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harts/chart15.xml" ContentType="application/vnd.openxmlformats-officedocument.drawingml.chart+xml"/>
  <Override PartName="/xl/charts/style5.xml" ContentType="application/vnd.ms-office.chartstyle+xml"/>
  <Override PartName="/xl/charts/colors5.xml" ContentType="application/vnd.ms-office.chartcolorstyle+xml"/>
  <Override PartName="/xl/charts/chart1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drawings/drawing10.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drawings/drawing11.xml" ContentType="application/vnd.openxmlformats-officedocument.drawing+xml"/>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drawings/drawing12.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13.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drawings/drawing14.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drawings/drawing15.xml" ContentType="application/vnd.openxmlformats-officedocument.drawing+xml"/>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drawings/drawing16.xml" ContentType="application/vnd.openxmlformats-officedocument.drawing+xml"/>
  <Override PartName="/xl/activeX/activeX53.xml" ContentType="application/vnd.ms-office.activeX+xml"/>
  <Override PartName="/xl/activeX/activeX53.bin" ContentType="application/vnd.ms-office.activeX"/>
  <Override PartName="/xl/activeX/activeX54.xml" ContentType="application/vnd.ms-office.activeX+xml"/>
  <Override PartName="/xl/activeX/activeX54.bin" ContentType="application/vnd.ms-office.activeX"/>
  <Override PartName="/xl/activeX/activeX55.xml" ContentType="application/vnd.ms-office.activeX+xml"/>
  <Override PartName="/xl/activeX/activeX55.bin" ContentType="application/vnd.ms-office.activeX"/>
  <Override PartName="/xl/activeX/activeX56.xml" ContentType="application/vnd.ms-office.activeX+xml"/>
  <Override PartName="/xl/activeX/activeX56.bin" ContentType="application/vnd.ms-office.activeX"/>
  <Override PartName="/xl/activeX/activeX57.xml" ContentType="application/vnd.ms-office.activeX+xml"/>
  <Override PartName="/xl/activeX/activeX57.bin" ContentType="application/vnd.ms-office.activeX"/>
  <Override PartName="/xl/activeX/activeX58.xml" ContentType="application/vnd.ms-office.activeX+xml"/>
  <Override PartName="/xl/activeX/activeX58.bin" ContentType="application/vnd.ms-office.activeX"/>
  <Override PartName="/xl/activeX/activeX59.xml" ContentType="application/vnd.ms-office.activeX+xml"/>
  <Override PartName="/xl/activeX/activeX59.bin" ContentType="application/vnd.ms-office.activeX"/>
  <Override PartName="/xl/activeX/activeX60.xml" ContentType="application/vnd.ms-office.activeX+xml"/>
  <Override PartName="/xl/activeX/activeX60.bin" ContentType="application/vnd.ms-office.activeX"/>
  <Override PartName="/xl/drawings/drawing17.xml" ContentType="application/vnd.openxmlformats-officedocument.drawing+xml"/>
  <Override PartName="/xl/activeX/activeX61.xml" ContentType="application/vnd.ms-office.activeX+xml"/>
  <Override PartName="/xl/activeX/activeX61.bin" ContentType="application/vnd.ms-office.activeX"/>
  <Override PartName="/xl/activeX/activeX62.xml" ContentType="application/vnd.ms-office.activeX+xml"/>
  <Override PartName="/xl/activeX/activeX62.bin" ContentType="application/vnd.ms-office.activeX"/>
  <Override PartName="/xl/activeX/activeX63.xml" ContentType="application/vnd.ms-office.activeX+xml"/>
  <Override PartName="/xl/activeX/activeX63.bin" ContentType="application/vnd.ms-office.activeX"/>
  <Override PartName="/xl/activeX/activeX64.xml" ContentType="application/vnd.ms-office.activeX+xml"/>
  <Override PartName="/xl/activeX/activeX64.bin" ContentType="application/vnd.ms-office.activeX"/>
  <Override PartName="/xl/drawings/drawing18.xml" ContentType="application/vnd.openxmlformats-officedocument.drawing+xml"/>
  <Override PartName="/xl/activeX/activeX65.xml" ContentType="application/vnd.ms-office.activeX+xml"/>
  <Override PartName="/xl/activeX/activeX65.bin" ContentType="application/vnd.ms-office.activeX"/>
  <Override PartName="/xl/activeX/activeX66.xml" ContentType="application/vnd.ms-office.activeX+xml"/>
  <Override PartName="/xl/activeX/activeX66.bin" ContentType="application/vnd.ms-office.activeX"/>
  <Override PartName="/xl/activeX/activeX67.xml" ContentType="application/vnd.ms-office.activeX+xml"/>
  <Override PartName="/xl/activeX/activeX67.bin" ContentType="application/vnd.ms-office.activeX"/>
  <Override PartName="/xl/activeX/activeX68.xml" ContentType="application/vnd.ms-office.activeX+xml"/>
  <Override PartName="/xl/activeX/activeX68.bin" ContentType="application/vnd.ms-office.activeX"/>
  <Override PartName="/xl/activeX/activeX69.xml" ContentType="application/vnd.ms-office.activeX+xml"/>
  <Override PartName="/xl/activeX/activeX69.bin" ContentType="application/vnd.ms-office.activeX"/>
  <Override PartName="/xl/activeX/activeX70.xml" ContentType="application/vnd.ms-office.activeX+xml"/>
  <Override PartName="/xl/activeX/activeX70.bin" ContentType="application/vnd.ms-office.activeX"/>
  <Override PartName="/xl/activeX/activeX71.xml" ContentType="application/vnd.ms-office.activeX+xml"/>
  <Override PartName="/xl/activeX/activeX71.bin" ContentType="application/vnd.ms-office.activeX"/>
  <Override PartName="/xl/activeX/activeX72.xml" ContentType="application/vnd.ms-office.activeX+xml"/>
  <Override PartName="/xl/activeX/activeX72.bin" ContentType="application/vnd.ms-office.activeX"/>
  <Override PartName="/xl/activeX/activeX73.xml" ContentType="application/vnd.ms-office.activeX+xml"/>
  <Override PartName="/xl/activeX/activeX73.bin" ContentType="application/vnd.ms-office.activeX"/>
  <Override PartName="/xl/drawings/drawing19.xml" ContentType="application/vnd.openxmlformats-officedocument.drawing+xml"/>
  <Override PartName="/xl/activeX/activeX74.xml" ContentType="application/vnd.ms-office.activeX+xml"/>
  <Override PartName="/xl/activeX/activeX74.bin" ContentType="application/vnd.ms-office.activeX"/>
  <Override PartName="/xl/activeX/activeX75.xml" ContentType="application/vnd.ms-office.activeX+xml"/>
  <Override PartName="/xl/activeX/activeX75.bin" ContentType="application/vnd.ms-office.activeX"/>
  <Override PartName="/xl/activeX/activeX76.xml" ContentType="application/vnd.ms-office.activeX+xml"/>
  <Override PartName="/xl/activeX/activeX76.bin" ContentType="application/vnd.ms-office.activeX"/>
  <Override PartName="/xl/activeX/activeX77.xml" ContentType="application/vnd.ms-office.activeX+xml"/>
  <Override PartName="/xl/activeX/activeX77.bin" ContentType="application/vnd.ms-office.activeX"/>
  <Override PartName="/xl/activeX/activeX78.xml" ContentType="application/vnd.ms-office.activeX+xml"/>
  <Override PartName="/xl/activeX/activeX78.bin" ContentType="application/vnd.ms-office.activeX"/>
  <Override PartName="/xl/activeX/activeX79.xml" ContentType="application/vnd.ms-office.activeX+xml"/>
  <Override PartName="/xl/activeX/activeX79.bin" ContentType="application/vnd.ms-office.activeX"/>
  <Override PartName="/xl/activeX/activeX80.xml" ContentType="application/vnd.ms-office.activeX+xml"/>
  <Override PartName="/xl/activeX/activeX80.bin" ContentType="application/vnd.ms-office.activeX"/>
  <Override PartName="/xl/activeX/activeX81.xml" ContentType="application/vnd.ms-office.activeX+xml"/>
  <Override PartName="/xl/activeX/activeX81.bin" ContentType="application/vnd.ms-office.activeX"/>
  <Override PartName="/xl/activeX/activeX82.xml" ContentType="application/vnd.ms-office.activeX+xml"/>
  <Override PartName="/xl/activeX/activeX82.bin" ContentType="application/vnd.ms-office.activeX"/>
  <Override PartName="/xl/drawings/drawing20.xml" ContentType="application/vnd.openxmlformats-officedocument.drawing+xml"/>
  <Override PartName="/xl/activeX/activeX83.xml" ContentType="application/vnd.ms-office.activeX+xml"/>
  <Override PartName="/xl/activeX/activeX83.bin" ContentType="application/vnd.ms-office.activeX"/>
  <Override PartName="/xl/activeX/activeX84.xml" ContentType="application/vnd.ms-office.activeX+xml"/>
  <Override PartName="/xl/activeX/activeX84.bin" ContentType="application/vnd.ms-office.activeX"/>
  <Override PartName="/xl/activeX/activeX85.xml" ContentType="application/vnd.ms-office.activeX+xml"/>
  <Override PartName="/xl/activeX/activeX85.bin" ContentType="application/vnd.ms-office.activeX"/>
  <Override PartName="/xl/activeX/activeX86.xml" ContentType="application/vnd.ms-office.activeX+xml"/>
  <Override PartName="/xl/activeX/activeX86.bin" ContentType="application/vnd.ms-office.activeX"/>
  <Override PartName="/xl/activeX/activeX87.xml" ContentType="application/vnd.ms-office.activeX+xml"/>
  <Override PartName="/xl/activeX/activeX87.bin" ContentType="application/vnd.ms-office.activeX"/>
  <Override PartName="/xl/activeX/activeX88.xml" ContentType="application/vnd.ms-office.activeX+xml"/>
  <Override PartName="/xl/activeX/activeX88.bin" ContentType="application/vnd.ms-office.activeX"/>
  <Override PartName="/xl/activeX/activeX89.xml" ContentType="application/vnd.ms-office.activeX+xml"/>
  <Override PartName="/xl/activeX/activeX89.bin" ContentType="application/vnd.ms-office.activeX"/>
  <Override PartName="/xl/activeX/activeX90.xml" ContentType="application/vnd.ms-office.activeX+xml"/>
  <Override PartName="/xl/activeX/activeX90.bin" ContentType="application/vnd.ms-office.activeX"/>
  <Override PartName="/xl/activeX/activeX91.xml" ContentType="application/vnd.ms-office.activeX+xml"/>
  <Override PartName="/xl/activeX/activeX91.bin" ContentType="application/vnd.ms-office.activeX"/>
  <Override PartName="/xl/drawings/drawing21.xml" ContentType="application/vnd.openxmlformats-officedocument.drawing+xml"/>
  <Override PartName="/xl/activeX/activeX92.xml" ContentType="application/vnd.ms-office.activeX+xml"/>
  <Override PartName="/xl/activeX/activeX92.bin" ContentType="application/vnd.ms-office.activeX"/>
  <Override PartName="/xl/activeX/activeX93.xml" ContentType="application/vnd.ms-office.activeX+xml"/>
  <Override PartName="/xl/activeX/activeX93.bin" ContentType="application/vnd.ms-office.activeX"/>
  <Override PartName="/xl/activeX/activeX94.xml" ContentType="application/vnd.ms-office.activeX+xml"/>
  <Override PartName="/xl/activeX/activeX94.bin" ContentType="application/vnd.ms-office.activeX"/>
  <Override PartName="/xl/activeX/activeX95.xml" ContentType="application/vnd.ms-office.activeX+xml"/>
  <Override PartName="/xl/activeX/activeX95.bin" ContentType="application/vnd.ms-office.activeX"/>
  <Override PartName="/xl/activeX/activeX96.xml" ContentType="application/vnd.ms-office.activeX+xml"/>
  <Override PartName="/xl/activeX/activeX96.bin" ContentType="application/vnd.ms-office.activeX"/>
  <Override PartName="/xl/activeX/activeX97.xml" ContentType="application/vnd.ms-office.activeX+xml"/>
  <Override PartName="/xl/activeX/activeX97.bin" ContentType="application/vnd.ms-office.activeX"/>
  <Override PartName="/xl/activeX/activeX98.xml" ContentType="application/vnd.ms-office.activeX+xml"/>
  <Override PartName="/xl/activeX/activeX98.bin" ContentType="application/vnd.ms-office.activeX"/>
  <Override PartName="/xl/activeX/activeX99.xml" ContentType="application/vnd.ms-office.activeX+xml"/>
  <Override PartName="/xl/activeX/activeX99.bin" ContentType="application/vnd.ms-office.activeX"/>
  <Override PartName="/xl/activeX/activeX100.xml" ContentType="application/vnd.ms-office.activeX+xml"/>
  <Override PartName="/xl/activeX/activeX100.bin" ContentType="application/vnd.ms-office.activeX"/>
  <Override PartName="/xl/drawings/drawing22.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3.xml" ContentType="application/vnd.ms-excel.threadedcomments+xml"/>
  <Override PartName="/xl/comments14.xml" ContentType="application/vnd.openxmlformats-officedocument.spreadsheetml.comments+xml"/>
  <Override PartName="/xl/threadedComments/threadedComment4.xml" ContentType="application/vnd.ms-excel.threadedcomments+xml"/>
  <Override PartName="/xl/drawings/drawing23.xml" ContentType="application/vnd.openxmlformats-officedocument.drawing+xml"/>
  <Override PartName="/xl/comments15.xml" ContentType="application/vnd.openxmlformats-officedocument.spreadsheetml.comments+xml"/>
  <Override PartName="/xl/threadedComments/threadedComment5.xml" ContentType="application/vnd.ms-excel.threadedcomments+xml"/>
  <Override PartName="/xl/charts/chart17.xml" ContentType="application/vnd.openxmlformats-officedocument.drawingml.chart+xml"/>
  <Override PartName="/xl/drawings/drawing24.xml" ContentType="application/vnd.openxmlformats-officedocument.drawing+xml"/>
  <Override PartName="/xl/embeddings/oleObject3.bin" ContentType="application/vnd.openxmlformats-officedocument.oleObject"/>
  <Override PartName="/xl/comments16.xml" ContentType="application/vnd.openxmlformats-officedocument.spreadsheetml.comments+xml"/>
  <Override PartName="/xl/threadedComments/threadedComment6.xml" ContentType="application/vnd.ms-excel.threadedcomments+xml"/>
  <Override PartName="/xl/comments17.xml" ContentType="application/vnd.openxmlformats-officedocument.spreadsheetml.comments+xml"/>
  <Override PartName="/xl/threadedComments/threadedComment7.xml" ContentType="application/vnd.ms-excel.threadedcomments+xml"/>
  <Override PartName="/xl/drawings/drawing25.xml" ContentType="application/vnd.openxmlformats-officedocument.drawing+xml"/>
  <Override PartName="/xl/embeddings/oleObject4.bin" ContentType="application/vnd.openxmlformats-officedocument.oleObject"/>
  <Override PartName="/xl/charts/chart18.xml" ContentType="application/vnd.openxmlformats-officedocument.drawingml.chart+xml"/>
  <Override PartName="/xl/charts/chart19.xml" ContentType="application/vnd.openxmlformats-officedocument.drawingml.chart+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comments18.xml" ContentType="application/vnd.openxmlformats-officedocument.spreadsheetml.comments+xml"/>
  <Override PartName="/xl/comments19.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13_ncr:1_{04849F37-E92F-447A-ADEC-C71D1412D040}" xr6:coauthVersionLast="47" xr6:coauthVersionMax="47" xr10:uidLastSave="{00000000-0000-0000-0000-000000000000}"/>
  <bookViews>
    <workbookView xWindow="-120" yWindow="-120" windowWidth="38640" windowHeight="21240" tabRatio="749" activeTab="6" xr2:uid="{893E7DD4-5B55-4252-BE69-2E1B3105536D}"/>
  </bookViews>
  <sheets>
    <sheet name="Index" sheetId="49" r:id="rId1"/>
    <sheet name="Methods" sheetId="2" r:id="rId2"/>
    <sheet name="Sources" sheetId="77" r:id="rId3"/>
    <sheet name="Change Log" sheetId="78" r:id="rId4"/>
    <sheet name="RES equip" sheetId="4" r:id="rId5"/>
    <sheet name="floor space projections 1990-19" sheetId="7" state="hidden" r:id="rId6"/>
    <sheet name="COM_2017" sheetId="75" r:id="rId7"/>
    <sheet name="COM_N_2017" sheetId="67" r:id="rId8"/>
    <sheet name="End use share comparison of yea" sheetId="13" r:id="rId9"/>
    <sheet name="Deflator" sheetId="33" r:id="rId10"/>
    <sheet name="Technology costs" sheetId="30" r:id="rId11"/>
    <sheet name="REGIONS" sheetId="16" r:id="rId12"/>
    <sheet name="Appliances_original" sheetId="63" r:id="rId13"/>
    <sheet name="Appliances (2)" sheetId="69" r:id="rId14"/>
    <sheet name="Appliances" sheetId="14" r:id="rId15"/>
    <sheet name="End use share 2006c (2)" sheetId="68" r:id="rId16"/>
    <sheet name="End use share 2006c" sheetId="12" r:id="rId17"/>
    <sheet name=" COM_2017_old" sheetId="66" r:id="rId18"/>
    <sheet name="COM_2012" sheetId="17" r:id="rId19"/>
    <sheet name="COM_N_2012" sheetId="41" r:id="rId20"/>
    <sheet name="ITEMS_Tech" sheetId="35" r:id="rId21"/>
    <sheet name="ITEMS_nTech" sheetId="18" r:id="rId22"/>
    <sheet name="ncapaf" sheetId="64" r:id="rId23"/>
    <sheet name="TS DTech" sheetId="19" r:id="rId24"/>
    <sheet name="TS nDTech" sheetId="36" r:id="rId25"/>
    <sheet name="TS DMARK" sheetId="32" r:id="rId26"/>
    <sheet name="TS nDMARK" sheetId="37" r:id="rId27"/>
    <sheet name="TID DTech" sheetId="20" r:id="rId28"/>
    <sheet name="TID nDTech" sheetId="38" r:id="rId29"/>
    <sheet name="ITEMS_Comm" sheetId="21" r:id="rId30"/>
    <sheet name="TID ZZCOM" sheetId="65" r:id="rId31"/>
    <sheet name="TS BYDem" sheetId="22" r:id="rId32"/>
    <sheet name="TS COMFR" sheetId="29" r:id="rId33"/>
    <sheet name="TS COMFR_10" sheetId="48" r:id="rId34"/>
    <sheet name="TRIGEN-1" sheetId="42" r:id="rId35"/>
    <sheet name="TRIGEN-2" sheetId="43" r:id="rId36"/>
    <sheet name="TRIGEN-3" sheetId="44" r:id="rId37"/>
    <sheet name="NameConv" sheetId="27" r:id="rId38"/>
    <sheet name="AFA" sheetId="28" r:id="rId39"/>
    <sheet name="Trigen data MTN + gas boiler" sheetId="40" r:id="rId40"/>
    <sheet name="Total Light bulbs" sheetId="50" state="hidden" r:id="rId41"/>
    <sheet name="Instructions for forecast" sheetId="60" r:id="rId42"/>
    <sheet name="STATSSA_Monthly" sheetId="54" r:id="rId43"/>
    <sheet name="STATSSA_Annual" sheetId="55" r:id="rId44"/>
    <sheet name="SA GDP" sheetId="59" r:id="rId45"/>
    <sheet name="floor space forecast_SA" sheetId="56" r:id="rId46"/>
    <sheet name="2019 floor space" sheetId="70" r:id="rId47"/>
    <sheet name="Forecast" sheetId="15" r:id="rId48"/>
    <sheet name="Forecast Comparison" sheetId="62" r:id="rId49"/>
    <sheet name="Glossary" sheetId="52" r:id="rId50"/>
    <sheet name="devilliers floor space projecti" sheetId="5" r:id="rId51"/>
    <sheet name="Stats SA floor 1993-2006" sheetId="6" r:id="rId52"/>
    <sheet name="floor space 1993-2007" sheetId="8" r:id="rId53"/>
    <sheet name="2006 Energy data " sheetId="9" r:id="rId54"/>
    <sheet name="End use share 1994" sheetId="10" r:id="rId55"/>
    <sheet name="End use share 2001" sheetId="11" r:id="rId56"/>
    <sheet name="Technology costs_2010" sheetId="57" state="hidden" r:id="rId57"/>
  </sheets>
  <externalReferences>
    <externalReference r:id="rId58"/>
    <externalReference r:id="rId59"/>
    <externalReference r:id="rId60"/>
    <externalReference r:id="rId61"/>
    <externalReference r:id="rId62"/>
    <externalReference r:id="rId6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1" hidden="1">ITEMS_nTech!$A$1:$F$89</definedName>
    <definedName name="_xlnm._FilterDatabase" localSheetId="20" hidden="1">ITEMS_Tech!$A$1:$F$85</definedName>
    <definedName name="_xlnm._FilterDatabase" localSheetId="33" hidden="1">'TS COMFR_10'!$M$10:$N$153</definedName>
    <definedName name="_xlnm._FilterDatabase" localSheetId="23" hidden="1">'TS DTech'!$A$7:$H$349</definedName>
    <definedName name="_xlnm._FilterDatabase" localSheetId="24" hidden="1">'TS nDTech'!$A$7:$H$339</definedName>
    <definedName name="AGR">[1]Index_SATIM!$C$7</definedName>
    <definedName name="COM">[1]Index_SATIM!$C$8</definedName>
    <definedName name="ComTechs" localSheetId="17">' COM_2017_old'!$B$121</definedName>
    <definedName name="ComTechs" localSheetId="6">COM_2017!$B$121</definedName>
    <definedName name="ComTechs" localSheetId="19">COM_N_2012!$B$121</definedName>
    <definedName name="ComTechs" localSheetId="7">COM_N_2017!$B$121</definedName>
    <definedName name="ComTechs">COM_2012!$B$121</definedName>
    <definedName name="deflate05to10" localSheetId="3">[2]Deflator!$E$14</definedName>
    <definedName name="deflate05to10" localSheetId="6">[3]Deflator!$E$14</definedName>
    <definedName name="deflate05to10" localSheetId="2">[2]Deflator!$E$14</definedName>
    <definedName name="deflate05to10">Deflator!$E$14</definedName>
    <definedName name="deflate06to10">Deflator!$G$14</definedName>
    <definedName name="deflate07to10" localSheetId="3">[2]Deflator!$B$14</definedName>
    <definedName name="deflate07to10" localSheetId="6">[3]Deflator!$B$14</definedName>
    <definedName name="deflate07to10" localSheetId="2">[2]Deflator!$B$14</definedName>
    <definedName name="deflate07to10">Deflator!$B$14</definedName>
    <definedName name="discount_rate">[4]NT_PWR!$H$7</definedName>
    <definedName name="epp_start">[4]PWR!$B$45</definedName>
    <definedName name="eps" localSheetId="3">[2]NameConv!$F$1</definedName>
    <definedName name="eps" localSheetId="6">[3]NameConv!$F$1</definedName>
    <definedName name="eps" localSheetId="2">[2]NameConv!$F$1</definedName>
    <definedName name="eps">NameConv!$F$1</definedName>
    <definedName name="ESDataSet__1" comment="BCR">STATSSA_Monthly!$B$1</definedName>
    <definedName name="etech_data">[4]PWR!$B$46:$BE$68</definedName>
    <definedName name="etech_parameters">[4]PWR!$B$42:$BH$42</definedName>
    <definedName name="Exist_basic_data_start">'[4]Existing capacity basic data'!$B$61</definedName>
    <definedName name="_xlnm.Extract" localSheetId="33">'TS COMFR_10'!$N$10</definedName>
    <definedName name="FuelNames" localSheetId="3">[2]NameConv!$D$3:$E$23</definedName>
    <definedName name="FuelNames" localSheetId="6">[3]NameConv!$D$3:$E$23</definedName>
    <definedName name="FuelNames" localSheetId="2">[2]NameConv!$D$3:$E$23</definedName>
    <definedName name="FuelNames">NameConv!$D$3:$E$23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New_basic_data_start">'[4]New Capacity basic data'!$B$9</definedName>
    <definedName name="newtech_cat">[4]NT_PWR!$A$24:$AW$24</definedName>
    <definedName name="newtech_count">[4]NT_PWR!$C$92</definedName>
    <definedName name="newtech_data">[4]NT_PWR!$C$31:$BD$109</definedName>
    <definedName name="newtech_parameters">[4]NT_PWR!$C$27:$BD$27</definedName>
    <definedName name="Newtech_Start">[4]NT_PWR!$C$30</definedName>
    <definedName name="Pal_Workbook_GUID" hidden="1">"E2D7SR7Q3BDXUD24G1M1SK63"</definedName>
    <definedName name="par_TID_ETech">'[4]TID ETech'!$A$9:$I$13</definedName>
    <definedName name="par_TID_Ntech">'[4]TID NTech'!$A$9:$I$14</definedName>
    <definedName name="par_TS_ETech">'[4]TS ETech'!$A$10:$J$18</definedName>
    <definedName name="RES">[1]Index_SATIM!$C$10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olver_adj" localSheetId="48" hidden="1">'Forecast Comparison'!$I$1</definedName>
    <definedName name="solver_cvg" localSheetId="48" hidden="1">0.0001</definedName>
    <definedName name="solver_drv" localSheetId="48" hidden="1">1</definedName>
    <definedName name="solver_eng" localSheetId="48" hidden="1">1</definedName>
    <definedName name="solver_est" localSheetId="48" hidden="1">1</definedName>
    <definedName name="solver_itr" localSheetId="48" hidden="1">2147483647</definedName>
    <definedName name="solver_mip" localSheetId="48" hidden="1">2147483647</definedName>
    <definedName name="solver_mni" localSheetId="48" hidden="1">30</definedName>
    <definedName name="solver_mrt" localSheetId="48" hidden="1">0.075</definedName>
    <definedName name="solver_msl" localSheetId="48" hidden="1">2</definedName>
    <definedName name="solver_neg" localSheetId="48" hidden="1">1</definedName>
    <definedName name="solver_nod" localSheetId="48" hidden="1">2147483647</definedName>
    <definedName name="solver_num" localSheetId="48" hidden="1">0</definedName>
    <definedName name="solver_nwt" localSheetId="48" hidden="1">1</definedName>
    <definedName name="solver_opt" localSheetId="48" hidden="1">'Forecast Comparison'!$G$14</definedName>
    <definedName name="solver_pre" localSheetId="48" hidden="1">0.000001</definedName>
    <definedName name="solver_rbv" localSheetId="48" hidden="1">1</definedName>
    <definedName name="solver_rlx" localSheetId="48" hidden="1">2</definedName>
    <definedName name="solver_rsd" localSheetId="48" hidden="1">0</definedName>
    <definedName name="solver_scl" localSheetId="48" hidden="1">1</definedName>
    <definedName name="solver_sho" localSheetId="48" hidden="1">2</definedName>
    <definedName name="solver_ssz" localSheetId="48" hidden="1">100</definedName>
    <definedName name="solver_tim" localSheetId="48" hidden="1">2147483647</definedName>
    <definedName name="solver_tol" localSheetId="48" hidden="1">0.01</definedName>
    <definedName name="solver_typ" localSheetId="48" hidden="1">3</definedName>
    <definedName name="solver_val" localSheetId="48" hidden="1">0</definedName>
    <definedName name="solver_ver" localSheetId="48" hidden="1">3</definedName>
    <definedName name="TRA">[1]Index_SATIM!$C$11</definedName>
    <definedName name="TScode" localSheetId="3">[2]Index!$B$1</definedName>
    <definedName name="TScode" localSheetId="6">[3]Index!$B$1</definedName>
    <definedName name="TScode" localSheetId="2">[2]Index!$B$1</definedName>
    <definedName name="TScode">Index!$B$1</definedName>
    <definedName name="XLSIMSI" localSheetId="3" hidden="1">{"Sim",3,"Output 1","'Reworked data'!$AI$84","Output 2","'Reworked data'!$AJ$84","Output 3","'Reworked data'!$AK$84","1","2","100","0"}</definedName>
    <definedName name="XLSIMSI" hidden="1">{"Sim",3,"Output 1","'Reworked data'!$AI$84","Output 2","'Reworked data'!$AJ$84","Output 3","'Reworked data'!$AK$84","1","2","100","0"}</definedName>
    <definedName name="XLSIMSIM" localSheetId="3"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86" i="75" l="1"/>
  <c r="X86" i="75"/>
  <c r="W86" i="75"/>
  <c r="V86" i="75"/>
  <c r="Y110" i="75"/>
  <c r="X110" i="75"/>
  <c r="W110" i="75"/>
  <c r="V110" i="75"/>
  <c r="U110" i="75"/>
  <c r="T110" i="75"/>
  <c r="Y107" i="75"/>
  <c r="X107" i="75"/>
  <c r="W107" i="75"/>
  <c r="V107" i="75"/>
  <c r="Y99" i="75"/>
  <c r="X99" i="75"/>
  <c r="W99" i="75"/>
  <c r="V99" i="75"/>
  <c r="Y98" i="75"/>
  <c r="X98" i="75"/>
  <c r="W98" i="75"/>
  <c r="V98" i="75"/>
  <c r="Y90" i="75"/>
  <c r="X90" i="75"/>
  <c r="W90" i="75"/>
  <c r="V90" i="75"/>
  <c r="U90" i="75"/>
  <c r="T90" i="75"/>
  <c r="Y89" i="75"/>
  <c r="X89" i="75"/>
  <c r="W89" i="75"/>
  <c r="V89" i="75"/>
  <c r="U89" i="75"/>
  <c r="T89" i="75"/>
  <c r="Y73" i="75"/>
  <c r="X73" i="75"/>
  <c r="W73" i="75"/>
  <c r="V73" i="75"/>
  <c r="U73" i="75"/>
  <c r="T73" i="75"/>
  <c r="U65" i="75"/>
  <c r="V65" i="75"/>
  <c r="W65" i="75"/>
  <c r="X65" i="75"/>
  <c r="Y65" i="75"/>
  <c r="U66" i="75"/>
  <c r="V66" i="75"/>
  <c r="W66" i="75"/>
  <c r="X66" i="75"/>
  <c r="Y66" i="75"/>
  <c r="T66" i="75"/>
  <c r="T65" i="75"/>
  <c r="T94" i="75"/>
  <c r="U94" i="75"/>
  <c r="V94" i="75"/>
  <c r="W94" i="75"/>
  <c r="X94" i="75"/>
  <c r="Y94" i="75"/>
  <c r="S94" i="75"/>
  <c r="J11" i="22"/>
  <c r="E73" i="17"/>
  <c r="I86" i="75"/>
  <c r="I85" i="75"/>
  <c r="I81" i="75"/>
  <c r="I84" i="75" s="1"/>
  <c r="I73" i="75"/>
  <c r="I86" i="67"/>
  <c r="I107" i="67" s="1"/>
  <c r="J107" i="67" s="1"/>
  <c r="I85" i="67"/>
  <c r="I81" i="67"/>
  <c r="I82" i="67" s="1"/>
  <c r="J82" i="67" s="1"/>
  <c r="I73" i="67"/>
  <c r="J73" i="67" s="1"/>
  <c r="R110" i="67"/>
  <c r="I84" i="67"/>
  <c r="J84" i="67" s="1"/>
  <c r="I83" i="67"/>
  <c r="E73" i="67"/>
  <c r="I103" i="67"/>
  <c r="J103" i="67" s="1"/>
  <c r="J110" i="67"/>
  <c r="I102" i="67"/>
  <c r="J102" i="67" s="1"/>
  <c r="J85" i="67"/>
  <c r="J83" i="67"/>
  <c r="I105" i="67"/>
  <c r="J81" i="67"/>
  <c r="J15" i="30"/>
  <c r="J16" i="30"/>
  <c r="J17" i="30"/>
  <c r="J18" i="30"/>
  <c r="J14" i="30"/>
  <c r="L8" i="30"/>
  <c r="L9" i="30"/>
  <c r="L10" i="30"/>
  <c r="L11" i="30"/>
  <c r="L12" i="30"/>
  <c r="L13" i="30"/>
  <c r="L14" i="30"/>
  <c r="L15" i="30"/>
  <c r="L16" i="30"/>
  <c r="L17" i="30"/>
  <c r="L18" i="30"/>
  <c r="L19" i="30"/>
  <c r="L20" i="30"/>
  <c r="L21" i="30"/>
  <c r="L22" i="30"/>
  <c r="L23" i="30"/>
  <c r="L24" i="30"/>
  <c r="L25" i="30"/>
  <c r="L26" i="30"/>
  <c r="L27" i="30"/>
  <c r="L28" i="30"/>
  <c r="L29" i="30"/>
  <c r="L7" i="30"/>
  <c r="I82" i="75" l="1"/>
  <c r="J82" i="75" s="1"/>
  <c r="I83" i="75"/>
  <c r="J86" i="67"/>
  <c r="I71" i="67"/>
  <c r="J71" i="67" s="1"/>
  <c r="I106" i="67"/>
  <c r="J106" i="67" s="1"/>
  <c r="J105" i="67"/>
  <c r="I104" i="67"/>
  <c r="J104" i="67" s="1"/>
  <c r="AS50" i="67"/>
  <c r="AS49" i="67"/>
  <c r="AS48" i="67"/>
  <c r="AS47" i="67"/>
  <c r="AS46" i="67"/>
  <c r="AS45" i="67"/>
  <c r="AS44" i="67"/>
  <c r="AS43" i="67"/>
  <c r="AS42" i="67"/>
  <c r="AR52" i="75"/>
  <c r="AR51" i="75"/>
  <c r="AR50" i="75"/>
  <c r="AR49" i="75"/>
  <c r="AR48" i="75"/>
  <c r="AR47" i="75"/>
  <c r="AR46" i="75"/>
  <c r="AR45" i="75"/>
  <c r="AR44" i="75"/>
  <c r="BC63" i="67"/>
  <c r="BC64" i="67"/>
  <c r="BC65" i="67"/>
  <c r="BC66" i="67"/>
  <c r="BC69" i="67"/>
  <c r="BC70" i="67"/>
  <c r="BC71" i="67"/>
  <c r="BC72" i="67"/>
  <c r="BC73" i="67"/>
  <c r="BC76" i="67"/>
  <c r="BC77" i="67"/>
  <c r="BC78" i="67"/>
  <c r="BC81" i="67"/>
  <c r="BC82" i="67"/>
  <c r="BC83" i="67"/>
  <c r="BC84" i="67"/>
  <c r="BC85" i="67"/>
  <c r="BC86" i="67"/>
  <c r="BC89" i="67"/>
  <c r="BC90" i="67"/>
  <c r="BC93" i="67"/>
  <c r="BC94" i="67"/>
  <c r="BC95" i="67"/>
  <c r="BC96" i="67"/>
  <c r="BC97" i="67"/>
  <c r="BC98" i="67"/>
  <c r="BC99" i="67"/>
  <c r="BC102" i="67"/>
  <c r="BC103" i="67"/>
  <c r="BC104" i="67"/>
  <c r="BC105" i="67"/>
  <c r="BC106" i="67"/>
  <c r="BC107" i="67"/>
  <c r="BC110" i="67"/>
  <c r="BC113" i="67"/>
  <c r="BC114" i="67"/>
  <c r="BC115" i="67"/>
  <c r="BC116" i="67"/>
  <c r="BC117" i="67"/>
  <c r="BC118" i="67"/>
  <c r="BC119" i="67"/>
  <c r="BC62" i="67"/>
  <c r="BC61" i="67"/>
  <c r="BD119" i="67"/>
  <c r="BD118" i="67"/>
  <c r="BD117" i="67"/>
  <c r="BD116" i="67"/>
  <c r="BD115" i="67"/>
  <c r="BD114" i="67"/>
  <c r="BD113" i="67"/>
  <c r="BD110" i="67"/>
  <c r="BD107" i="67"/>
  <c r="BD106" i="67"/>
  <c r="BD105" i="67"/>
  <c r="BD104" i="67"/>
  <c r="BD103" i="67"/>
  <c r="BD102" i="67"/>
  <c r="BD99" i="67"/>
  <c r="BD98" i="67"/>
  <c r="BD97" i="67"/>
  <c r="BD96" i="67"/>
  <c r="BD95" i="67"/>
  <c r="BD94" i="67"/>
  <c r="BD93" i="67"/>
  <c r="BD90" i="67"/>
  <c r="BD89" i="67"/>
  <c r="BD86" i="67"/>
  <c r="BD85" i="67"/>
  <c r="BD84" i="67"/>
  <c r="BD83" i="67"/>
  <c r="BD82" i="67"/>
  <c r="BD81" i="67"/>
  <c r="BD78" i="67"/>
  <c r="BD77" i="67"/>
  <c r="BD76" i="67"/>
  <c r="BD73" i="67"/>
  <c r="BD72" i="67"/>
  <c r="BD71" i="67"/>
  <c r="BD70" i="67"/>
  <c r="BD69" i="67"/>
  <c r="BD66" i="67"/>
  <c r="BD65" i="67"/>
  <c r="BD64" i="67"/>
  <c r="BD63" i="67"/>
  <c r="BD62" i="67"/>
  <c r="BD61" i="67"/>
  <c r="BB69" i="75"/>
  <c r="BB70" i="75"/>
  <c r="BB71" i="75"/>
  <c r="BB72" i="75"/>
  <c r="BB73" i="75"/>
  <c r="BB76" i="75"/>
  <c r="BB77" i="75"/>
  <c r="BB78" i="75"/>
  <c r="BB81" i="75"/>
  <c r="BB82" i="75"/>
  <c r="BB83" i="75"/>
  <c r="BB84" i="75"/>
  <c r="BB85" i="75"/>
  <c r="BB86" i="75"/>
  <c r="BB89" i="75"/>
  <c r="BB90" i="75"/>
  <c r="BB93" i="75"/>
  <c r="BB94" i="75"/>
  <c r="BB95" i="75"/>
  <c r="BB96" i="75"/>
  <c r="BB97" i="75"/>
  <c r="BB98" i="75"/>
  <c r="BB99" i="75"/>
  <c r="BB102" i="75"/>
  <c r="BB103" i="75"/>
  <c r="BB104" i="75"/>
  <c r="BB105" i="75"/>
  <c r="BB106" i="75"/>
  <c r="BB107" i="75"/>
  <c r="BB110" i="75"/>
  <c r="BB113" i="75"/>
  <c r="BB114" i="75"/>
  <c r="BB115" i="75"/>
  <c r="BB116" i="75"/>
  <c r="BB117" i="75"/>
  <c r="BB118" i="75"/>
  <c r="BB119" i="75"/>
  <c r="BB62" i="75"/>
  <c r="BB63" i="75"/>
  <c r="BB64" i="75"/>
  <c r="BB65" i="75"/>
  <c r="BB66" i="75"/>
  <c r="BB61" i="75"/>
  <c r="BC62" i="75"/>
  <c r="BC63" i="75"/>
  <c r="BC64" i="75"/>
  <c r="BC65" i="75"/>
  <c r="BC66" i="75"/>
  <c r="BC69" i="75"/>
  <c r="BC70" i="75"/>
  <c r="BC71" i="75"/>
  <c r="BC72" i="75"/>
  <c r="BC73" i="75"/>
  <c r="BC76" i="75"/>
  <c r="BC77" i="75"/>
  <c r="BC78" i="75"/>
  <c r="BC81" i="75"/>
  <c r="BC82" i="75"/>
  <c r="BC83" i="75"/>
  <c r="BC84" i="75"/>
  <c r="BC85" i="75"/>
  <c r="BC86" i="75"/>
  <c r="BC89" i="75"/>
  <c r="BC90" i="75"/>
  <c r="BC93" i="75"/>
  <c r="BC94" i="75"/>
  <c r="BC95" i="75"/>
  <c r="BC96" i="75"/>
  <c r="BC97" i="75"/>
  <c r="BC98" i="75"/>
  <c r="BC99" i="75"/>
  <c r="BC102" i="75"/>
  <c r="BC103" i="75"/>
  <c r="BC104" i="75"/>
  <c r="BC105" i="75"/>
  <c r="BC106" i="75"/>
  <c r="BC107" i="75"/>
  <c r="BC110" i="75"/>
  <c r="BC113" i="75"/>
  <c r="BC114" i="75"/>
  <c r="BC115" i="75"/>
  <c r="BC116" i="75"/>
  <c r="BC117" i="75"/>
  <c r="BC118" i="75"/>
  <c r="BC119" i="75"/>
  <c r="BC61" i="75"/>
  <c r="A112" i="67"/>
  <c r="A109" i="67"/>
  <c r="A101" i="67"/>
  <c r="A92" i="67"/>
  <c r="A88" i="67"/>
  <c r="A80" i="67"/>
  <c r="A75" i="67"/>
  <c r="A68" i="67"/>
  <c r="A60" i="67"/>
  <c r="A62" i="67"/>
  <c r="A63" i="67"/>
  <c r="A64" i="67"/>
  <c r="A65" i="67"/>
  <c r="A66" i="67"/>
  <c r="A97" i="67"/>
  <c r="B97" i="67"/>
  <c r="L119" i="75"/>
  <c r="L118" i="75"/>
  <c r="L117" i="75"/>
  <c r="L116" i="75"/>
  <c r="L115" i="75"/>
  <c r="E115" i="75"/>
  <c r="L114" i="75"/>
  <c r="E114" i="75"/>
  <c r="L113" i="75"/>
  <c r="E113" i="75"/>
  <c r="L110" i="75"/>
  <c r="E107" i="75"/>
  <c r="L106" i="75"/>
  <c r="E106" i="75"/>
  <c r="L105" i="75"/>
  <c r="E105" i="75"/>
  <c r="L104" i="75"/>
  <c r="E104" i="75"/>
  <c r="L103" i="75"/>
  <c r="E103" i="75"/>
  <c r="L102" i="75"/>
  <c r="E102" i="75"/>
  <c r="L97" i="75"/>
  <c r="E97" i="75"/>
  <c r="L96" i="75"/>
  <c r="E96" i="75"/>
  <c r="L95" i="75"/>
  <c r="E95" i="75"/>
  <c r="L94" i="75"/>
  <c r="E94" i="75"/>
  <c r="L93" i="75"/>
  <c r="E93" i="75"/>
  <c r="L89" i="75"/>
  <c r="E89" i="75"/>
  <c r="L85" i="75"/>
  <c r="E85" i="75"/>
  <c r="L84" i="75"/>
  <c r="E84" i="75"/>
  <c r="L83" i="75"/>
  <c r="E83" i="75"/>
  <c r="L82" i="75"/>
  <c r="E82" i="75"/>
  <c r="L81" i="75"/>
  <c r="E81" i="75"/>
  <c r="L78" i="75"/>
  <c r="E78" i="75"/>
  <c r="L77" i="75"/>
  <c r="E77" i="75"/>
  <c r="L76" i="75"/>
  <c r="E76" i="75"/>
  <c r="E73" i="75"/>
  <c r="L71" i="75"/>
  <c r="E71" i="75"/>
  <c r="L70" i="75"/>
  <c r="E70" i="75"/>
  <c r="L69" i="75"/>
  <c r="E69" i="75"/>
  <c r="L64" i="75"/>
  <c r="L67" i="75" s="1"/>
  <c r="E64" i="75"/>
  <c r="L63" i="75"/>
  <c r="E63" i="75"/>
  <c r="L62" i="75"/>
  <c r="E62" i="75"/>
  <c r="L61" i="75"/>
  <c r="E61" i="75"/>
  <c r="J39" i="75"/>
  <c r="J51" i="75" s="1"/>
  <c r="I39" i="75"/>
  <c r="I51" i="75" s="1"/>
  <c r="H39" i="75"/>
  <c r="H51" i="75" s="1"/>
  <c r="F39" i="75"/>
  <c r="E39" i="75"/>
  <c r="D39" i="75"/>
  <c r="C39" i="75"/>
  <c r="J38" i="75"/>
  <c r="I38" i="75"/>
  <c r="H38" i="75"/>
  <c r="F38" i="75"/>
  <c r="E38" i="75"/>
  <c r="D38" i="75"/>
  <c r="C38" i="75"/>
  <c r="J37" i="75"/>
  <c r="I37" i="75"/>
  <c r="H37" i="75"/>
  <c r="H49" i="75" s="1"/>
  <c r="F37" i="75"/>
  <c r="F49" i="75" s="1"/>
  <c r="E37" i="75"/>
  <c r="D37" i="75"/>
  <c r="C37" i="75"/>
  <c r="J36" i="75"/>
  <c r="I36" i="75"/>
  <c r="H36" i="75"/>
  <c r="F36" i="75"/>
  <c r="F48" i="75" s="1"/>
  <c r="E36" i="75"/>
  <c r="D36" i="75"/>
  <c r="D48" i="75" s="1"/>
  <c r="C36" i="75"/>
  <c r="J35" i="75"/>
  <c r="J47" i="75" s="1"/>
  <c r="I35" i="75"/>
  <c r="H35" i="75"/>
  <c r="F35" i="75"/>
  <c r="E35" i="75"/>
  <c r="D35" i="75"/>
  <c r="D47" i="75" s="1"/>
  <c r="C35" i="75"/>
  <c r="C47" i="75" s="1"/>
  <c r="J34" i="75"/>
  <c r="I34" i="75"/>
  <c r="I46" i="75" s="1"/>
  <c r="H34" i="75"/>
  <c r="F34" i="75"/>
  <c r="E34" i="75"/>
  <c r="D34" i="75"/>
  <c r="D46" i="75" s="1"/>
  <c r="C34" i="75"/>
  <c r="J33" i="75"/>
  <c r="J45" i="75" s="1"/>
  <c r="I33" i="75"/>
  <c r="H33" i="75"/>
  <c r="H45" i="75" s="1"/>
  <c r="F33" i="75"/>
  <c r="E33" i="75"/>
  <c r="D33" i="75"/>
  <c r="C33" i="75"/>
  <c r="C45" i="75" s="1"/>
  <c r="J32" i="75"/>
  <c r="J44" i="75" s="1"/>
  <c r="I32" i="75"/>
  <c r="I44" i="75" s="1"/>
  <c r="H32" i="75"/>
  <c r="F32" i="75"/>
  <c r="E32" i="75"/>
  <c r="D32" i="75"/>
  <c r="C32" i="75"/>
  <c r="J31" i="75"/>
  <c r="J43" i="75" s="1"/>
  <c r="I31" i="75"/>
  <c r="I43" i="75" s="1"/>
  <c r="H31" i="75"/>
  <c r="H43" i="75" s="1"/>
  <c r="F31" i="75"/>
  <c r="F43" i="75" s="1"/>
  <c r="E31" i="75"/>
  <c r="D31" i="75"/>
  <c r="C31" i="75"/>
  <c r="O121" i="75"/>
  <c r="AJ110" i="75"/>
  <c r="J110" i="75"/>
  <c r="AJ107" i="75"/>
  <c r="I107" i="75"/>
  <c r="J107" i="75" s="1"/>
  <c r="AJ106" i="75"/>
  <c r="AJ105" i="75"/>
  <c r="AJ104" i="75"/>
  <c r="AJ103" i="75"/>
  <c r="I102" i="75"/>
  <c r="J102" i="75" s="1"/>
  <c r="AJ99" i="75"/>
  <c r="AJ98" i="75"/>
  <c r="AJ97" i="75"/>
  <c r="AJ96" i="75"/>
  <c r="AJ95" i="75"/>
  <c r="AJ94" i="75"/>
  <c r="AJ93" i="75"/>
  <c r="E98" i="75"/>
  <c r="L91" i="75"/>
  <c r="AJ90" i="75"/>
  <c r="AJ89" i="75"/>
  <c r="E90" i="75"/>
  <c r="AJ86" i="75"/>
  <c r="J86" i="75"/>
  <c r="U85" i="75"/>
  <c r="V85" i="75" s="1"/>
  <c r="W85" i="75" s="1"/>
  <c r="X85" i="75" s="1"/>
  <c r="Y85" i="75" s="1"/>
  <c r="J85" i="75"/>
  <c r="AJ84" i="75"/>
  <c r="I106" i="75"/>
  <c r="J106" i="75" s="1"/>
  <c r="AJ83" i="75"/>
  <c r="AJ82" i="75"/>
  <c r="AJ81" i="75"/>
  <c r="J81" i="75"/>
  <c r="AJ78" i="75"/>
  <c r="AJ77" i="75"/>
  <c r="AJ76" i="75"/>
  <c r="Y74" i="75"/>
  <c r="X74" i="75"/>
  <c r="W74" i="75"/>
  <c r="V74" i="75"/>
  <c r="U74" i="75"/>
  <c r="T74" i="75"/>
  <c r="J73" i="75"/>
  <c r="I71" i="75"/>
  <c r="J71" i="75" s="1"/>
  <c r="E72" i="75"/>
  <c r="G65" i="75"/>
  <c r="E65" i="75"/>
  <c r="E66" i="75" s="1"/>
  <c r="AK62" i="75"/>
  <c r="AK63" i="75" s="1"/>
  <c r="AK64" i="75" s="1"/>
  <c r="AK65" i="75" s="1"/>
  <c r="AK66" i="75" s="1"/>
  <c r="AK67" i="75" s="1"/>
  <c r="AK68" i="75" s="1"/>
  <c r="AK69" i="75" s="1"/>
  <c r="AK70" i="75" s="1"/>
  <c r="AK71" i="75" s="1"/>
  <c r="AK72" i="75" s="1"/>
  <c r="AK73" i="75" s="1"/>
  <c r="AK74" i="75" s="1"/>
  <c r="AK75" i="75" s="1"/>
  <c r="AK76" i="75" s="1"/>
  <c r="AK77" i="75" s="1"/>
  <c r="AK78" i="75" s="1"/>
  <c r="AK79" i="75" s="1"/>
  <c r="AK80" i="75" s="1"/>
  <c r="AK81" i="75" s="1"/>
  <c r="AK82" i="75" s="1"/>
  <c r="AK83" i="75" s="1"/>
  <c r="AK84" i="75" s="1"/>
  <c r="AK85" i="75" s="1"/>
  <c r="AK86" i="75" s="1"/>
  <c r="AK87" i="75" s="1"/>
  <c r="AK88" i="75" s="1"/>
  <c r="AK89" i="75" s="1"/>
  <c r="AK90" i="75" s="1"/>
  <c r="AK91" i="75" s="1"/>
  <c r="AK92" i="75" s="1"/>
  <c r="AK93" i="75" s="1"/>
  <c r="AK94" i="75" s="1"/>
  <c r="AK95" i="75" s="1"/>
  <c r="AK96" i="75" s="1"/>
  <c r="AK97" i="75" s="1"/>
  <c r="AK98" i="75" s="1"/>
  <c r="AK99" i="75" s="1"/>
  <c r="AK100" i="75" s="1"/>
  <c r="AK101" i="75" s="1"/>
  <c r="AK102" i="75" s="1"/>
  <c r="AK103" i="75" s="1"/>
  <c r="AK104" i="75" s="1"/>
  <c r="AK105" i="75" s="1"/>
  <c r="AK106" i="75" s="1"/>
  <c r="AK107" i="75" s="1"/>
  <c r="AK108" i="75" s="1"/>
  <c r="AK109" i="75" s="1"/>
  <c r="AK110" i="75" s="1"/>
  <c r="AK111" i="75" s="1"/>
  <c r="AK112" i="75" s="1"/>
  <c r="AK113" i="75" s="1"/>
  <c r="AK114" i="75" s="1"/>
  <c r="AK115" i="75" s="1"/>
  <c r="AK116" i="75" s="1"/>
  <c r="AK117" i="75" s="1"/>
  <c r="AK118" i="75" s="1"/>
  <c r="AK119" i="75" s="1"/>
  <c r="AK120" i="75" s="1"/>
  <c r="AK121" i="75" s="1"/>
  <c r="D59" i="75"/>
  <c r="E59" i="75" s="1"/>
  <c r="F59" i="75" s="1"/>
  <c r="G59" i="75" s="1"/>
  <c r="H59" i="75" s="1"/>
  <c r="I59" i="75" s="1"/>
  <c r="J59" i="75" s="1"/>
  <c r="AJ58" i="75"/>
  <c r="AI58" i="75"/>
  <c r="AH58" i="75"/>
  <c r="AG58" i="75"/>
  <c r="AF58" i="75"/>
  <c r="AE58" i="75"/>
  <c r="AD58" i="75"/>
  <c r="AC58" i="75"/>
  <c r="AB58" i="75"/>
  <c r="Y58" i="75"/>
  <c r="X58" i="75"/>
  <c r="W58" i="75"/>
  <c r="V58" i="75"/>
  <c r="U58" i="75"/>
  <c r="T58" i="75"/>
  <c r="S58" i="75"/>
  <c r="R58" i="75"/>
  <c r="Q58" i="75"/>
  <c r="AM54" i="75"/>
  <c r="AM55" i="75" s="1"/>
  <c r="S52" i="75"/>
  <c r="S74" i="75" s="1"/>
  <c r="A52" i="75"/>
  <c r="G51" i="75"/>
  <c r="F51" i="75"/>
  <c r="C51" i="75"/>
  <c r="G49" i="75"/>
  <c r="G48" i="75"/>
  <c r="C48" i="75"/>
  <c r="G47" i="75"/>
  <c r="G46" i="75"/>
  <c r="G45" i="75"/>
  <c r="D45" i="75"/>
  <c r="G44" i="75"/>
  <c r="C44" i="75"/>
  <c r="G43" i="75"/>
  <c r="G40" i="75"/>
  <c r="D51" i="75"/>
  <c r="B39" i="75"/>
  <c r="B51" i="75" s="1"/>
  <c r="A39" i="75"/>
  <c r="A51" i="75" s="1"/>
  <c r="B38" i="75"/>
  <c r="B50" i="75" s="1"/>
  <c r="D110" i="75" s="1"/>
  <c r="A38" i="75"/>
  <c r="A50" i="75" s="1"/>
  <c r="J49" i="75"/>
  <c r="I49" i="75"/>
  <c r="D49" i="75"/>
  <c r="C49" i="75"/>
  <c r="B37" i="75"/>
  <c r="B49" i="75" s="1"/>
  <c r="A37" i="75"/>
  <c r="A49" i="75" s="1"/>
  <c r="J48" i="75"/>
  <c r="I48" i="75"/>
  <c r="H48" i="75"/>
  <c r="B36" i="75"/>
  <c r="B48" i="75" s="1"/>
  <c r="A36" i="75"/>
  <c r="A48" i="75" s="1"/>
  <c r="A97" i="75" s="1"/>
  <c r="I47" i="75"/>
  <c r="H47" i="75"/>
  <c r="F47" i="75"/>
  <c r="B35" i="75"/>
  <c r="B47" i="75" s="1"/>
  <c r="A35" i="75"/>
  <c r="A47" i="75" s="1"/>
  <c r="J46" i="75"/>
  <c r="H46" i="75"/>
  <c r="F46" i="75"/>
  <c r="C46" i="75"/>
  <c r="B34" i="75"/>
  <c r="B46" i="75" s="1"/>
  <c r="A34" i="75"/>
  <c r="A46" i="75" s="1"/>
  <c r="I45" i="75"/>
  <c r="F45" i="75"/>
  <c r="B33" i="75"/>
  <c r="B45" i="75" s="1"/>
  <c r="A33" i="75"/>
  <c r="A45" i="75" s="1"/>
  <c r="H44" i="75"/>
  <c r="D44" i="75"/>
  <c r="B32" i="75"/>
  <c r="B44" i="75" s="1"/>
  <c r="A32" i="75"/>
  <c r="A44" i="75" s="1"/>
  <c r="D43" i="75"/>
  <c r="C43" i="75"/>
  <c r="B31" i="75"/>
  <c r="B43" i="75" s="1"/>
  <c r="D63" i="75" s="1"/>
  <c r="A31" i="75"/>
  <c r="A43" i="75" s="1"/>
  <c r="J30" i="75"/>
  <c r="J42" i="75" s="1"/>
  <c r="I30" i="75"/>
  <c r="I42" i="75" s="1"/>
  <c r="H30" i="75"/>
  <c r="H42" i="75" s="1"/>
  <c r="G30" i="75"/>
  <c r="G42" i="75" s="1"/>
  <c r="F30" i="75"/>
  <c r="F42" i="75" s="1"/>
  <c r="E30" i="75"/>
  <c r="E42" i="75" s="1"/>
  <c r="D30" i="75"/>
  <c r="D42" i="75" s="1"/>
  <c r="C30" i="75"/>
  <c r="C42" i="75" s="1"/>
  <c r="C11" i="75"/>
  <c r="L10" i="75"/>
  <c r="L11" i="75" s="1"/>
  <c r="L12" i="75" s="1"/>
  <c r="L13" i="75" s="1"/>
  <c r="E7" i="75"/>
  <c r="J6" i="75"/>
  <c r="I6" i="75"/>
  <c r="C119" i="75" s="1"/>
  <c r="A119" i="75" s="1"/>
  <c r="H6" i="75"/>
  <c r="C118" i="75" s="1"/>
  <c r="A118" i="75" s="1"/>
  <c r="G6" i="75"/>
  <c r="C117" i="75" s="1"/>
  <c r="A117" i="75" s="1"/>
  <c r="F6" i="75"/>
  <c r="E6" i="75"/>
  <c r="C62" i="75" s="1"/>
  <c r="D6" i="75"/>
  <c r="C114" i="75" s="1"/>
  <c r="A114" i="75" s="1"/>
  <c r="C6" i="75"/>
  <c r="D4" i="75"/>
  <c r="E4" i="75" s="1"/>
  <c r="F4" i="75" s="1"/>
  <c r="G4" i="75" s="1"/>
  <c r="H4" i="75" s="1"/>
  <c r="I4" i="75" s="1"/>
  <c r="J4" i="75" s="1"/>
  <c r="E47" i="75" l="1"/>
  <c r="K47" i="75" s="1"/>
  <c r="E48" i="75"/>
  <c r="E45" i="75"/>
  <c r="E50" i="75"/>
  <c r="K50" i="75" s="1"/>
  <c r="E43" i="75"/>
  <c r="F40" i="75"/>
  <c r="E51" i="75"/>
  <c r="G52" i="75"/>
  <c r="E49" i="75"/>
  <c r="F52" i="75"/>
  <c r="C40" i="75"/>
  <c r="F44" i="75"/>
  <c r="M62" i="75"/>
  <c r="N62" i="75" s="1"/>
  <c r="H52" i="75"/>
  <c r="D99" i="75"/>
  <c r="D97" i="75"/>
  <c r="D94" i="75"/>
  <c r="D96" i="75"/>
  <c r="D95" i="75"/>
  <c r="D98" i="75"/>
  <c r="D93" i="75"/>
  <c r="D83" i="75"/>
  <c r="D84" i="75"/>
  <c r="D86" i="75"/>
  <c r="D85" i="75"/>
  <c r="D82" i="75"/>
  <c r="D81" i="75"/>
  <c r="D90" i="75"/>
  <c r="D89" i="75"/>
  <c r="A65" i="75"/>
  <c r="A63" i="75"/>
  <c r="A61" i="75"/>
  <c r="A66" i="75"/>
  <c r="A62" i="75"/>
  <c r="A64" i="75"/>
  <c r="J52" i="75"/>
  <c r="K49" i="75"/>
  <c r="I52" i="75"/>
  <c r="D118" i="75"/>
  <c r="D116" i="75"/>
  <c r="D114" i="75"/>
  <c r="D117" i="75"/>
  <c r="D115" i="75"/>
  <c r="D119" i="75"/>
  <c r="D113" i="75"/>
  <c r="K51" i="75"/>
  <c r="K43" i="75"/>
  <c r="C52" i="75"/>
  <c r="B4" i="75"/>
  <c r="D52" i="75"/>
  <c r="D76" i="75"/>
  <c r="D78" i="75"/>
  <c r="D77" i="75"/>
  <c r="K48" i="75"/>
  <c r="K45" i="75"/>
  <c r="D107" i="75"/>
  <c r="D102" i="75"/>
  <c r="D104" i="75"/>
  <c r="D106" i="75"/>
  <c r="D103" i="75"/>
  <c r="D105" i="75"/>
  <c r="C84" i="75"/>
  <c r="A84" i="75" s="1"/>
  <c r="C105" i="75"/>
  <c r="M117" i="75"/>
  <c r="N117" i="75" s="1"/>
  <c r="E44" i="75"/>
  <c r="K44" i="75" s="1"/>
  <c r="H40" i="75"/>
  <c r="M119" i="75"/>
  <c r="N119" i="75" s="1"/>
  <c r="I40" i="75"/>
  <c r="C81" i="75"/>
  <c r="A81" i="75" s="1"/>
  <c r="I105" i="75"/>
  <c r="I103" i="75"/>
  <c r="J103" i="75" s="1"/>
  <c r="J83" i="75"/>
  <c r="C116" i="75"/>
  <c r="C96" i="75"/>
  <c r="C73" i="75"/>
  <c r="A73" i="75" s="1"/>
  <c r="C71" i="75"/>
  <c r="A71" i="75" s="1"/>
  <c r="C95" i="75"/>
  <c r="A95" i="75" s="1"/>
  <c r="C76" i="75"/>
  <c r="A76" i="75" s="1"/>
  <c r="J40" i="75"/>
  <c r="D61" i="75"/>
  <c r="D64" i="75"/>
  <c r="D66" i="75"/>
  <c r="D62" i="75"/>
  <c r="E46" i="75"/>
  <c r="K46" i="75" s="1"/>
  <c r="D65" i="75"/>
  <c r="C94" i="75"/>
  <c r="A94" i="75" s="1"/>
  <c r="C113" i="75"/>
  <c r="M97" i="75"/>
  <c r="N97" i="75" s="1"/>
  <c r="C78" i="75"/>
  <c r="A78" i="75" s="1"/>
  <c r="C69" i="75"/>
  <c r="A69" i="75" s="1"/>
  <c r="K7" i="75"/>
  <c r="E8" i="75" s="1"/>
  <c r="D40" i="75"/>
  <c r="M118" i="75"/>
  <c r="N118" i="75" s="1"/>
  <c r="C106" i="75"/>
  <c r="A106" i="75" s="1"/>
  <c r="C104" i="75"/>
  <c r="C107" i="75"/>
  <c r="C99" i="75"/>
  <c r="A99" i="75" s="1"/>
  <c r="C110" i="75"/>
  <c r="C102" i="75"/>
  <c r="C93" i="75"/>
  <c r="A93" i="75" s="1"/>
  <c r="C115" i="75"/>
  <c r="C90" i="75"/>
  <c r="A90" i="75" s="1"/>
  <c r="C89" i="75"/>
  <c r="C77" i="75"/>
  <c r="A77" i="75" s="1"/>
  <c r="C98" i="75"/>
  <c r="A98" i="75" s="1"/>
  <c r="C82" i="75"/>
  <c r="A82" i="75" s="1"/>
  <c r="C86" i="75"/>
  <c r="C85" i="75"/>
  <c r="A85" i="75" s="1"/>
  <c r="C83" i="75"/>
  <c r="A83" i="75" s="1"/>
  <c r="C63" i="75"/>
  <c r="B63" i="75" s="1"/>
  <c r="C61" i="75"/>
  <c r="C64" i="75"/>
  <c r="M64" i="75" s="1"/>
  <c r="N64" i="75" s="1"/>
  <c r="C103" i="75"/>
  <c r="C72" i="75"/>
  <c r="A72" i="75" s="1"/>
  <c r="C66" i="75"/>
  <c r="C70" i="75"/>
  <c r="A70" i="75" s="1"/>
  <c r="C65" i="75"/>
  <c r="E40" i="75"/>
  <c r="D71" i="75"/>
  <c r="D69" i="75"/>
  <c r="D73" i="75"/>
  <c r="D72" i="75"/>
  <c r="D70" i="75"/>
  <c r="L79" i="75"/>
  <c r="L87" i="75"/>
  <c r="J84" i="75"/>
  <c r="M114" i="75"/>
  <c r="N114" i="75" s="1"/>
  <c r="J30" i="59"/>
  <c r="M93" i="75" l="1"/>
  <c r="M76" i="75"/>
  <c r="M94" i="75"/>
  <c r="N94" i="75" s="1"/>
  <c r="M95" i="75"/>
  <c r="N95" i="75" s="1"/>
  <c r="M78" i="75"/>
  <c r="N78" i="75" s="1"/>
  <c r="M86" i="75"/>
  <c r="N86" i="75" s="1"/>
  <c r="A86" i="75"/>
  <c r="M102" i="75"/>
  <c r="N102" i="75" s="1"/>
  <c r="A102" i="75"/>
  <c r="B102" i="75" s="1"/>
  <c r="M110" i="75"/>
  <c r="N110" i="75" s="1"/>
  <c r="AT51" i="75" s="1"/>
  <c r="A110" i="75"/>
  <c r="M103" i="75"/>
  <c r="N103" i="75" s="1"/>
  <c r="A103" i="75"/>
  <c r="B103" i="75" s="1"/>
  <c r="M107" i="75"/>
  <c r="N107" i="75" s="1"/>
  <c r="A107" i="75"/>
  <c r="B107" i="75" s="1"/>
  <c r="AL108" i="75" s="1"/>
  <c r="M77" i="75"/>
  <c r="N77" i="75" s="1"/>
  <c r="M89" i="75"/>
  <c r="M91" i="75" s="1"/>
  <c r="L47" i="75" s="1"/>
  <c r="M47" i="75" s="1"/>
  <c r="A89" i="75"/>
  <c r="M104" i="75"/>
  <c r="N104" i="75" s="1"/>
  <c r="A104" i="75"/>
  <c r="B104" i="75" s="1"/>
  <c r="M113" i="75"/>
  <c r="N113" i="75" s="1"/>
  <c r="A113" i="75"/>
  <c r="M63" i="75"/>
  <c r="N63" i="75" s="1"/>
  <c r="M105" i="75"/>
  <c r="N105" i="75" s="1"/>
  <c r="A105" i="75"/>
  <c r="B105" i="75" s="1"/>
  <c r="M96" i="75"/>
  <c r="N96" i="75" s="1"/>
  <c r="A96" i="75"/>
  <c r="M71" i="75"/>
  <c r="N71" i="75" s="1"/>
  <c r="M115" i="75"/>
  <c r="N115" i="75" s="1"/>
  <c r="A115" i="75"/>
  <c r="M116" i="75"/>
  <c r="N116" i="75" s="1"/>
  <c r="A116" i="75"/>
  <c r="L50" i="75"/>
  <c r="M50" i="75" s="1"/>
  <c r="E52" i="75"/>
  <c r="M84" i="75"/>
  <c r="N84" i="75" s="1"/>
  <c r="B117" i="75"/>
  <c r="B90" i="75"/>
  <c r="AL91" i="75" s="1"/>
  <c r="B98" i="75"/>
  <c r="M85" i="75"/>
  <c r="N85" i="75" s="1"/>
  <c r="B69" i="75"/>
  <c r="C8" i="75"/>
  <c r="F8" i="75"/>
  <c r="J8" i="75"/>
  <c r="I8" i="75"/>
  <c r="H8" i="75"/>
  <c r="G8" i="75"/>
  <c r="D8" i="75"/>
  <c r="B65" i="75"/>
  <c r="M70" i="75"/>
  <c r="N70" i="75" s="1"/>
  <c r="B114" i="75"/>
  <c r="B81" i="75"/>
  <c r="B95" i="75"/>
  <c r="B73" i="75"/>
  <c r="AL74" i="75" s="1"/>
  <c r="K52" i="75"/>
  <c r="B96" i="75"/>
  <c r="M106" i="75"/>
  <c r="N106" i="75" s="1"/>
  <c r="M82" i="75"/>
  <c r="N82" i="75" s="1"/>
  <c r="M61" i="75"/>
  <c r="B62" i="75"/>
  <c r="B118" i="75"/>
  <c r="B85" i="75"/>
  <c r="B94" i="75"/>
  <c r="N93" i="75"/>
  <c r="R98" i="75" s="1"/>
  <c r="M100" i="75"/>
  <c r="L48" i="75" s="1"/>
  <c r="M48" i="75" s="1"/>
  <c r="B71" i="75"/>
  <c r="B110" i="75"/>
  <c r="AL111" i="75" s="1"/>
  <c r="B116" i="75"/>
  <c r="B66" i="75"/>
  <c r="AL67" i="75" s="1"/>
  <c r="J105" i="75"/>
  <c r="I104" i="75"/>
  <c r="J104" i="75" s="1"/>
  <c r="B106" i="75"/>
  <c r="B77" i="75"/>
  <c r="B86" i="75"/>
  <c r="AL87" i="75" s="1"/>
  <c r="B97" i="75"/>
  <c r="B72" i="75"/>
  <c r="M69" i="75"/>
  <c r="B82" i="75"/>
  <c r="N76" i="75"/>
  <c r="M120" i="75"/>
  <c r="L51" i="75" s="1"/>
  <c r="M51" i="75" s="1"/>
  <c r="B64" i="75"/>
  <c r="M83" i="75"/>
  <c r="N83" i="75" s="1"/>
  <c r="B78" i="75"/>
  <c r="AL79" i="75" s="1"/>
  <c r="B113" i="75"/>
  <c r="B84" i="75"/>
  <c r="B99" i="75"/>
  <c r="AL100" i="75" s="1"/>
  <c r="M81" i="75"/>
  <c r="B70" i="75"/>
  <c r="B61" i="75"/>
  <c r="B76" i="75"/>
  <c r="B119" i="75"/>
  <c r="B83" i="75"/>
  <c r="B115" i="75"/>
  <c r="B89" i="75"/>
  <c r="B93" i="75"/>
  <c r="R99" i="75" l="1"/>
  <c r="AC99" i="75" s="1"/>
  <c r="R119" i="75"/>
  <c r="S119" i="75" s="1"/>
  <c r="T119" i="75" s="1"/>
  <c r="U119" i="75" s="1"/>
  <c r="V119" i="75" s="1"/>
  <c r="W119" i="75" s="1"/>
  <c r="X119" i="75" s="1"/>
  <c r="Y119" i="75" s="1"/>
  <c r="R117" i="75"/>
  <c r="S117" i="75" s="1"/>
  <c r="T117" i="75" s="1"/>
  <c r="U117" i="75" s="1"/>
  <c r="V117" i="75" s="1"/>
  <c r="W117" i="75" s="1"/>
  <c r="X117" i="75" s="1"/>
  <c r="Y117" i="75" s="1"/>
  <c r="R77" i="75"/>
  <c r="V77" i="75" s="1"/>
  <c r="M79" i="75"/>
  <c r="L45" i="75" s="1"/>
  <c r="M45" i="75" s="1"/>
  <c r="N89" i="75"/>
  <c r="R89" i="75" s="1"/>
  <c r="R95" i="75"/>
  <c r="V95" i="75" s="1"/>
  <c r="R94" i="75"/>
  <c r="M108" i="75"/>
  <c r="L49" i="75" s="1"/>
  <c r="M49" i="75" s="1"/>
  <c r="R105" i="75"/>
  <c r="T105" i="75" s="1"/>
  <c r="R107" i="75"/>
  <c r="S107" i="75" s="1"/>
  <c r="AC98" i="75"/>
  <c r="S98" i="75"/>
  <c r="B121" i="75"/>
  <c r="R118" i="75"/>
  <c r="R114" i="75"/>
  <c r="N108" i="75"/>
  <c r="AT50" i="75" s="1"/>
  <c r="R102" i="75"/>
  <c r="S102" i="75" s="1"/>
  <c r="T102" i="75" s="1"/>
  <c r="U102" i="75" s="1"/>
  <c r="V102" i="75" s="1"/>
  <c r="W102" i="75" s="1"/>
  <c r="X102" i="75" s="1"/>
  <c r="Y102" i="75" s="1"/>
  <c r="R104" i="75"/>
  <c r="R106" i="75"/>
  <c r="U77" i="75"/>
  <c r="R97" i="75"/>
  <c r="R110" i="75"/>
  <c r="N91" i="75"/>
  <c r="AT48" i="75" s="1"/>
  <c r="M87" i="75"/>
  <c r="L46" i="75" s="1"/>
  <c r="M46" i="75" s="1"/>
  <c r="N81" i="75"/>
  <c r="R83" i="75" s="1"/>
  <c r="R113" i="75"/>
  <c r="N120" i="75"/>
  <c r="AT52" i="75" s="1"/>
  <c r="N100" i="75"/>
  <c r="AT49" i="75" s="1"/>
  <c r="R93" i="75"/>
  <c r="R103" i="75"/>
  <c r="R116" i="75"/>
  <c r="R115" i="75"/>
  <c r="N69" i="75"/>
  <c r="R70" i="75" s="1"/>
  <c r="M74" i="75"/>
  <c r="L44" i="75" s="1"/>
  <c r="M44" i="75" s="1"/>
  <c r="AL120" i="75"/>
  <c r="R76" i="75"/>
  <c r="N79" i="75"/>
  <c r="AT46" i="75" s="1"/>
  <c r="N61" i="75"/>
  <c r="M67" i="75"/>
  <c r="R96" i="75"/>
  <c r="R78" i="75"/>
  <c r="T77" i="75" l="1"/>
  <c r="R90" i="75"/>
  <c r="X77" i="75"/>
  <c r="S99" i="75"/>
  <c r="AC105" i="75"/>
  <c r="AF105" i="75" s="1"/>
  <c r="W105" i="75"/>
  <c r="S105" i="75"/>
  <c r="W77" i="75"/>
  <c r="Y77" i="75"/>
  <c r="AC77" i="75"/>
  <c r="AI77" i="75" s="1"/>
  <c r="X105" i="75"/>
  <c r="Y105" i="75"/>
  <c r="U95" i="75"/>
  <c r="Y95" i="75"/>
  <c r="V105" i="75"/>
  <c r="W95" i="75"/>
  <c r="AC95" i="75"/>
  <c r="T95" i="75"/>
  <c r="S95" i="75"/>
  <c r="X95" i="75"/>
  <c r="AC119" i="75"/>
  <c r="AG119" i="75" s="1"/>
  <c r="U105" i="75"/>
  <c r="S77" i="75"/>
  <c r="AC117" i="75"/>
  <c r="AF117" i="75" s="1"/>
  <c r="AC107" i="75"/>
  <c r="AC94" i="75"/>
  <c r="AI94" i="75" s="1"/>
  <c r="Y83" i="75"/>
  <c r="W83" i="75"/>
  <c r="V83" i="75"/>
  <c r="S83" i="75"/>
  <c r="U83" i="75"/>
  <c r="T83" i="75"/>
  <c r="AC83" i="75"/>
  <c r="X83" i="75"/>
  <c r="U76" i="75"/>
  <c r="AC76" i="75"/>
  <c r="V76" i="75"/>
  <c r="T76" i="75"/>
  <c r="S76" i="75"/>
  <c r="X76" i="75"/>
  <c r="Y76" i="75"/>
  <c r="W76" i="75"/>
  <c r="Y115" i="75"/>
  <c r="V115" i="75"/>
  <c r="T115" i="75"/>
  <c r="S115" i="75"/>
  <c r="AC115" i="75"/>
  <c r="X115" i="75"/>
  <c r="W115" i="75"/>
  <c r="U115" i="75"/>
  <c r="U93" i="75"/>
  <c r="AC93" i="75"/>
  <c r="T93" i="75"/>
  <c r="W93" i="75"/>
  <c r="V93" i="75"/>
  <c r="X93" i="75"/>
  <c r="S93" i="75"/>
  <c r="Y93" i="75"/>
  <c r="AC89" i="75"/>
  <c r="S89" i="75"/>
  <c r="S78" i="75"/>
  <c r="T78" i="75" s="1"/>
  <c r="U78" i="75" s="1"/>
  <c r="V78" i="75" s="1"/>
  <c r="W78" i="75" s="1"/>
  <c r="X78" i="75" s="1"/>
  <c r="Y78" i="75" s="1"/>
  <c r="AC78" i="75"/>
  <c r="S90" i="75"/>
  <c r="AC90" i="75"/>
  <c r="AC116" i="75"/>
  <c r="S116" i="75"/>
  <c r="T116" i="75" s="1"/>
  <c r="U116" i="75" s="1"/>
  <c r="V116" i="75" s="1"/>
  <c r="W116" i="75" s="1"/>
  <c r="X116" i="75" s="1"/>
  <c r="Y116" i="75" s="1"/>
  <c r="S110" i="75"/>
  <c r="AC110" i="75"/>
  <c r="AC104" i="75"/>
  <c r="X104" i="75"/>
  <c r="W104" i="75"/>
  <c r="T104" i="75"/>
  <c r="S104" i="75"/>
  <c r="V104" i="75"/>
  <c r="U104" i="75"/>
  <c r="Y104" i="75"/>
  <c r="V70" i="75"/>
  <c r="U70" i="75"/>
  <c r="T70" i="75"/>
  <c r="S70" i="75"/>
  <c r="AC70" i="75"/>
  <c r="X70" i="75"/>
  <c r="Y70" i="75"/>
  <c r="W70" i="75"/>
  <c r="L43" i="75"/>
  <c r="M43" i="75" s="1"/>
  <c r="R84" i="75"/>
  <c r="R85" i="75"/>
  <c r="AC97" i="75"/>
  <c r="S97" i="75"/>
  <c r="T97" i="75" s="1"/>
  <c r="U97" i="75" s="1"/>
  <c r="V97" i="75" s="1"/>
  <c r="W97" i="75" s="1"/>
  <c r="X97" i="75" s="1"/>
  <c r="Y97" i="75" s="1"/>
  <c r="V96" i="75"/>
  <c r="S96" i="75"/>
  <c r="AC96" i="75"/>
  <c r="Y96" i="75"/>
  <c r="U96" i="75"/>
  <c r="T96" i="75"/>
  <c r="X96" i="75"/>
  <c r="W96" i="75"/>
  <c r="N67" i="75"/>
  <c r="AT44" i="75" s="1"/>
  <c r="R61" i="75"/>
  <c r="R62" i="75"/>
  <c r="R65" i="75"/>
  <c r="R64" i="75"/>
  <c r="R66" i="75"/>
  <c r="R63" i="75"/>
  <c r="AH99" i="75"/>
  <c r="AF99" i="75"/>
  <c r="AI99" i="75"/>
  <c r="AG99" i="75"/>
  <c r="S114" i="75"/>
  <c r="T114" i="75" s="1"/>
  <c r="U114" i="75" s="1"/>
  <c r="V114" i="75" s="1"/>
  <c r="W114" i="75" s="1"/>
  <c r="X114" i="75" s="1"/>
  <c r="Y114" i="75" s="1"/>
  <c r="AC114" i="75"/>
  <c r="AH105" i="75"/>
  <c r="AG105" i="75"/>
  <c r="AI105" i="75"/>
  <c r="AC113" i="75"/>
  <c r="S113" i="75"/>
  <c r="AC118" i="75"/>
  <c r="S118" i="75"/>
  <c r="T118" i="75" s="1"/>
  <c r="U118" i="75" s="1"/>
  <c r="V118" i="75" s="1"/>
  <c r="W118" i="75" s="1"/>
  <c r="X118" i="75" s="1"/>
  <c r="Y118" i="75" s="1"/>
  <c r="AI98" i="75"/>
  <c r="AG98" i="75"/>
  <c r="AF98" i="75"/>
  <c r="AH98" i="75"/>
  <c r="W103" i="75"/>
  <c r="U103" i="75"/>
  <c r="T103" i="75"/>
  <c r="AC103" i="75"/>
  <c r="Y103" i="75"/>
  <c r="X103" i="75"/>
  <c r="V103" i="75"/>
  <c r="S103" i="75"/>
  <c r="N87" i="75"/>
  <c r="AT47" i="75" s="1"/>
  <c r="R81" i="75"/>
  <c r="R86" i="75"/>
  <c r="N74" i="75"/>
  <c r="AT45" i="75" s="1"/>
  <c r="R69" i="75"/>
  <c r="R72" i="75"/>
  <c r="R73" i="75"/>
  <c r="R71" i="75"/>
  <c r="X106" i="75"/>
  <c r="V106" i="75"/>
  <c r="U106" i="75"/>
  <c r="Y106" i="75"/>
  <c r="W106" i="75"/>
  <c r="T106" i="75"/>
  <c r="S106" i="75"/>
  <c r="AC106" i="75"/>
  <c r="R82" i="75"/>
  <c r="AF77" i="75" l="1"/>
  <c r="AH77" i="75"/>
  <c r="AG77" i="75"/>
  <c r="AG95" i="75"/>
  <c r="AH95" i="75"/>
  <c r="AF95" i="75"/>
  <c r="AG117" i="75"/>
  <c r="AI95" i="75"/>
  <c r="AF107" i="75"/>
  <c r="AG107" i="75"/>
  <c r="AH107" i="75"/>
  <c r="AI107" i="75"/>
  <c r="AH119" i="75"/>
  <c r="AI119" i="75"/>
  <c r="AJ119" i="75" s="1"/>
  <c r="AF119" i="75"/>
  <c r="AI117" i="75"/>
  <c r="AJ117" i="75" s="1"/>
  <c r="AH117" i="75"/>
  <c r="AG94" i="75"/>
  <c r="AH94" i="75"/>
  <c r="AF94" i="75"/>
  <c r="AI113" i="75"/>
  <c r="AJ113" i="75" s="1"/>
  <c r="AG113" i="75"/>
  <c r="AF113" i="75"/>
  <c r="AH113" i="75"/>
  <c r="S69" i="75"/>
  <c r="AC69" i="75"/>
  <c r="Y69" i="75"/>
  <c r="X69" i="75"/>
  <c r="W69" i="75"/>
  <c r="U69" i="75"/>
  <c r="T69" i="75"/>
  <c r="V69" i="75"/>
  <c r="AC66" i="75"/>
  <c r="S66" i="75"/>
  <c r="V82" i="75"/>
  <c r="S82" i="75"/>
  <c r="X82" i="75"/>
  <c r="Y82" i="75"/>
  <c r="W82" i="75"/>
  <c r="U82" i="75"/>
  <c r="T82" i="75"/>
  <c r="AC82" i="75"/>
  <c r="S64" i="75"/>
  <c r="AC64" i="75"/>
  <c r="Y64" i="75"/>
  <c r="X64" i="75"/>
  <c r="W64" i="75"/>
  <c r="U64" i="75"/>
  <c r="T64" i="75"/>
  <c r="V64" i="75"/>
  <c r="AH83" i="75"/>
  <c r="AG83" i="75"/>
  <c r="AI83" i="75"/>
  <c r="AF83" i="75"/>
  <c r="S65" i="75"/>
  <c r="AC65" i="75"/>
  <c r="AG115" i="75"/>
  <c r="AF115" i="75"/>
  <c r="AH115" i="75"/>
  <c r="AI115" i="75"/>
  <c r="AJ115" i="75" s="1"/>
  <c r="AC86" i="75"/>
  <c r="AH103" i="75"/>
  <c r="AF103" i="75"/>
  <c r="AG103" i="75"/>
  <c r="AI103" i="75"/>
  <c r="AI114" i="75"/>
  <c r="AJ114" i="75" s="1"/>
  <c r="AF114" i="75"/>
  <c r="AH114" i="75"/>
  <c r="AG114" i="75"/>
  <c r="U62" i="75"/>
  <c r="T62" i="75"/>
  <c r="S62" i="75"/>
  <c r="AC62" i="75"/>
  <c r="Y62" i="75"/>
  <c r="W62" i="75"/>
  <c r="X62" i="75"/>
  <c r="V62" i="75"/>
  <c r="AG70" i="75"/>
  <c r="AF70" i="75"/>
  <c r="AI70" i="75"/>
  <c r="AJ70" i="75"/>
  <c r="AH70" i="75"/>
  <c r="AI106" i="75"/>
  <c r="AG106" i="75"/>
  <c r="AF106" i="75"/>
  <c r="AH106" i="75"/>
  <c r="Y71" i="75"/>
  <c r="X71" i="75"/>
  <c r="W71" i="75"/>
  <c r="V71" i="75"/>
  <c r="U71" i="75"/>
  <c r="S71" i="75"/>
  <c r="AC71" i="75"/>
  <c r="T71" i="75"/>
  <c r="S81" i="75"/>
  <c r="R87" i="75"/>
  <c r="X81" i="75"/>
  <c r="U81" i="75"/>
  <c r="AC81" i="75"/>
  <c r="Y81" i="75"/>
  <c r="W81" i="75"/>
  <c r="V81" i="75"/>
  <c r="T81" i="75"/>
  <c r="Y61" i="75"/>
  <c r="X61" i="75"/>
  <c r="W61" i="75"/>
  <c r="V61" i="75"/>
  <c r="U61" i="75"/>
  <c r="S61" i="75"/>
  <c r="AC61" i="75"/>
  <c r="T61" i="75"/>
  <c r="AI97" i="75"/>
  <c r="AH97" i="75"/>
  <c r="AG97" i="75"/>
  <c r="AF97" i="75"/>
  <c r="AI104" i="75"/>
  <c r="AH104" i="75"/>
  <c r="AG104" i="75"/>
  <c r="AF104" i="75"/>
  <c r="AF116" i="75"/>
  <c r="AI116" i="75"/>
  <c r="AJ116" i="75" s="1"/>
  <c r="AH116" i="75"/>
  <c r="AG116" i="75"/>
  <c r="AC73" i="75"/>
  <c r="S73" i="75"/>
  <c r="AC85" i="75"/>
  <c r="S85" i="75"/>
  <c r="AG78" i="75"/>
  <c r="AI78" i="75"/>
  <c r="AF78" i="75"/>
  <c r="AH78" i="75"/>
  <c r="AF93" i="75"/>
  <c r="AH93" i="75"/>
  <c r="AI93" i="75"/>
  <c r="AG93" i="75"/>
  <c r="AI76" i="75"/>
  <c r="AF76" i="75"/>
  <c r="AH76" i="75"/>
  <c r="AG76" i="75"/>
  <c r="W72" i="75"/>
  <c r="V72" i="75"/>
  <c r="U72" i="75"/>
  <c r="T72" i="75"/>
  <c r="S72" i="75"/>
  <c r="Y72" i="75"/>
  <c r="AC72" i="75"/>
  <c r="X72" i="75"/>
  <c r="AF118" i="75"/>
  <c r="AI118" i="75"/>
  <c r="AJ118" i="75" s="1"/>
  <c r="AH118" i="75"/>
  <c r="AG118" i="75"/>
  <c r="AG96" i="75"/>
  <c r="AF96" i="75"/>
  <c r="AI96" i="75"/>
  <c r="AH96" i="75"/>
  <c r="T84" i="75"/>
  <c r="AC84" i="75"/>
  <c r="Y84" i="75"/>
  <c r="V84" i="75"/>
  <c r="U84" i="75"/>
  <c r="W84" i="75"/>
  <c r="S84" i="75"/>
  <c r="X84" i="75"/>
  <c r="AH89" i="75"/>
  <c r="AG89" i="75"/>
  <c r="AI89" i="75"/>
  <c r="AF89" i="75"/>
  <c r="X63" i="75"/>
  <c r="W63" i="75"/>
  <c r="V63" i="75"/>
  <c r="U63" i="75"/>
  <c r="T63" i="75"/>
  <c r="AC63" i="75"/>
  <c r="Y63" i="75"/>
  <c r="S63" i="75"/>
  <c r="AD110" i="75"/>
  <c r="AI110" i="75"/>
  <c r="AF110" i="75"/>
  <c r="AE110" i="75"/>
  <c r="AH110" i="75"/>
  <c r="AG110" i="75"/>
  <c r="AG90" i="75"/>
  <c r="AF90" i="75"/>
  <c r="AI90" i="75"/>
  <c r="AH90" i="75"/>
  <c r="AG82" i="75" l="1"/>
  <c r="AI82" i="75"/>
  <c r="AH82" i="75"/>
  <c r="AF82" i="75"/>
  <c r="AJ73" i="75"/>
  <c r="AI73" i="75"/>
  <c r="AH73" i="75"/>
  <c r="AG73" i="75"/>
  <c r="AF73" i="75"/>
  <c r="Y87" i="75"/>
  <c r="V87" i="75"/>
  <c r="U87" i="75"/>
  <c r="S87" i="75"/>
  <c r="X87" i="75"/>
  <c r="W87" i="75"/>
  <c r="AC87" i="75"/>
  <c r="T87" i="75"/>
  <c r="AF72" i="75"/>
  <c r="AI72" i="75"/>
  <c r="AH72" i="75"/>
  <c r="AG72" i="75"/>
  <c r="AJ72" i="75"/>
  <c r="AF86" i="75"/>
  <c r="AH86" i="75"/>
  <c r="AI86" i="75"/>
  <c r="AG86" i="75"/>
  <c r="AI66" i="75"/>
  <c r="AH66" i="75"/>
  <c r="AG66" i="75"/>
  <c r="AF66" i="75"/>
  <c r="AJ66" i="75"/>
  <c r="AI63" i="75"/>
  <c r="AH63" i="75"/>
  <c r="AG63" i="75"/>
  <c r="AF63" i="75"/>
  <c r="AJ63" i="75"/>
  <c r="AJ61" i="75"/>
  <c r="AI61" i="75"/>
  <c r="AH61" i="75"/>
  <c r="AG61" i="75"/>
  <c r="AF61" i="75"/>
  <c r="AJ65" i="75"/>
  <c r="AI65" i="75"/>
  <c r="AH65" i="75"/>
  <c r="AG65" i="75"/>
  <c r="AF65" i="75"/>
  <c r="AJ71" i="75"/>
  <c r="AI71" i="75"/>
  <c r="AH71" i="75"/>
  <c r="AG71" i="75"/>
  <c r="AF71" i="75"/>
  <c r="AF62" i="75"/>
  <c r="AJ62" i="75"/>
  <c r="AH62" i="75"/>
  <c r="AI62" i="75"/>
  <c r="AG62" i="75"/>
  <c r="AG84" i="75"/>
  <c r="AF84" i="75"/>
  <c r="AI84" i="75"/>
  <c r="AH84" i="75"/>
  <c r="AI81" i="75"/>
  <c r="AF81" i="75"/>
  <c r="AH81" i="75"/>
  <c r="AG81" i="75"/>
  <c r="AJ64" i="75"/>
  <c r="AI64" i="75"/>
  <c r="AH64" i="75"/>
  <c r="AF64" i="75"/>
  <c r="AG64" i="75"/>
  <c r="AJ69" i="75"/>
  <c r="AI69" i="75"/>
  <c r="AH69" i="75"/>
  <c r="AF69" i="75"/>
  <c r="AG69" i="75"/>
  <c r="AG87" i="75" l="1"/>
  <c r="AI87" i="75"/>
  <c r="AF87" i="75"/>
  <c r="AE87" i="75"/>
  <c r="AH87" i="75"/>
  <c r="AD87" i="75"/>
  <c r="D11" i="14" l="1"/>
  <c r="B16" i="68" l="1"/>
  <c r="G50" i="68"/>
  <c r="G49" i="68"/>
  <c r="G48" i="68"/>
  <c r="G47" i="68"/>
  <c r="L47" i="68"/>
  <c r="K47" i="68"/>
  <c r="J47" i="68"/>
  <c r="L48" i="68" l="1"/>
  <c r="K48" i="68"/>
  <c r="J48" i="68"/>
  <c r="D12" i="14"/>
  <c r="I28" i="59" l="1"/>
  <c r="I29" i="59"/>
  <c r="I30" i="59"/>
  <c r="I31" i="59"/>
  <c r="I32" i="59"/>
  <c r="I33" i="59"/>
  <c r="I34" i="59"/>
  <c r="H28" i="59"/>
  <c r="H29" i="59"/>
  <c r="H30" i="59"/>
  <c r="H31" i="59"/>
  <c r="H32" i="59"/>
  <c r="H33" i="59"/>
  <c r="H34" i="59"/>
  <c r="L8" i="15"/>
  <c r="I5" i="55"/>
  <c r="I6" i="55"/>
  <c r="I7" i="55"/>
  <c r="I8" i="55"/>
  <c r="I9" i="55"/>
  <c r="I10" i="55"/>
  <c r="I11" i="55"/>
  <c r="I12" i="55"/>
  <c r="F22" i="56" s="1"/>
  <c r="I13" i="55"/>
  <c r="I14" i="55"/>
  <c r="I15" i="55"/>
  <c r="I16" i="55"/>
  <c r="I17" i="55"/>
  <c r="I18" i="55"/>
  <c r="F28" i="56" s="1"/>
  <c r="I19" i="55"/>
  <c r="I20" i="55"/>
  <c r="F30" i="56" s="1"/>
  <c r="I21" i="55"/>
  <c r="I22" i="55"/>
  <c r="I23" i="55"/>
  <c r="I24" i="55"/>
  <c r="I25" i="55"/>
  <c r="I26" i="55"/>
  <c r="F36" i="56" s="1"/>
  <c r="I27" i="55"/>
  <c r="I28" i="55"/>
  <c r="F38" i="56" s="1"/>
  <c r="I29" i="55"/>
  <c r="I30" i="55"/>
  <c r="I31" i="55"/>
  <c r="I32" i="55"/>
  <c r="I33" i="55"/>
  <c r="I34" i="55"/>
  <c r="F44" i="56" s="1"/>
  <c r="I35" i="55"/>
  <c r="I36" i="55"/>
  <c r="F46" i="56" s="1"/>
  <c r="I37" i="55"/>
  <c r="I38" i="55"/>
  <c r="I39" i="55"/>
  <c r="I40" i="55"/>
  <c r="I4" i="55"/>
  <c r="C8" i="15"/>
  <c r="F23" i="56"/>
  <c r="F24" i="56"/>
  <c r="F25" i="56"/>
  <c r="F26" i="56"/>
  <c r="F27" i="56"/>
  <c r="F29" i="56"/>
  <c r="F31" i="56"/>
  <c r="F32" i="56"/>
  <c r="F33" i="56"/>
  <c r="F34" i="56"/>
  <c r="F35" i="56"/>
  <c r="F37" i="56"/>
  <c r="F39" i="56"/>
  <c r="F40" i="56"/>
  <c r="F41" i="56"/>
  <c r="F42" i="56"/>
  <c r="F43" i="56"/>
  <c r="F45" i="56"/>
  <c r="F47" i="56"/>
  <c r="F48" i="56"/>
  <c r="F49" i="56"/>
  <c r="F50"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21" i="56"/>
  <c r="H5" i="55"/>
  <c r="H6" i="55"/>
  <c r="H7" i="55"/>
  <c r="H8" i="55"/>
  <c r="H9" i="55"/>
  <c r="H10" i="55"/>
  <c r="H11" i="55"/>
  <c r="H12" i="55"/>
  <c r="H13" i="55"/>
  <c r="H14" i="55"/>
  <c r="H15" i="55"/>
  <c r="H16" i="55"/>
  <c r="H17" i="55"/>
  <c r="H18" i="55"/>
  <c r="H19" i="55"/>
  <c r="H20" i="55"/>
  <c r="H21" i="55"/>
  <c r="H22" i="55"/>
  <c r="H23" i="55"/>
  <c r="H24" i="55"/>
  <c r="H25" i="55"/>
  <c r="H26" i="55"/>
  <c r="H27" i="55"/>
  <c r="H28" i="55"/>
  <c r="H29" i="55"/>
  <c r="H30" i="55"/>
  <c r="H31" i="55"/>
  <c r="H32" i="55"/>
  <c r="H33" i="55"/>
  <c r="H34" i="55"/>
  <c r="H35" i="55"/>
  <c r="H36" i="55"/>
  <c r="H37" i="55"/>
  <c r="H38" i="55"/>
  <c r="H39" i="55"/>
  <c r="H40" i="55"/>
  <c r="H4" i="55"/>
  <c r="G5" i="55"/>
  <c r="G6" i="55"/>
  <c r="G7" i="55"/>
  <c r="G8" i="55"/>
  <c r="G9" i="55"/>
  <c r="G10" i="55"/>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 i="55"/>
  <c r="F5" i="55"/>
  <c r="F6" i="55"/>
  <c r="F7" i="55"/>
  <c r="F8"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 i="55"/>
  <c r="A34" i="55"/>
  <c r="D34" i="55" s="1"/>
  <c r="E5" i="55"/>
  <c r="E6" i="55"/>
  <c r="E7" i="55"/>
  <c r="E8" i="55"/>
  <c r="E9" i="55"/>
  <c r="E10" i="55"/>
  <c r="E11" i="55"/>
  <c r="E12" i="55"/>
  <c r="E13" i="55"/>
  <c r="E14" i="55"/>
  <c r="E15" i="55"/>
  <c r="E16" i="55"/>
  <c r="E17" i="55"/>
  <c r="E18" i="55"/>
  <c r="E19" i="55"/>
  <c r="E20" i="55"/>
  <c r="E21" i="55"/>
  <c r="E22" i="55"/>
  <c r="E23" i="55"/>
  <c r="E24" i="55"/>
  <c r="E25" i="55"/>
  <c r="E26" i="55"/>
  <c r="E27" i="55"/>
  <c r="E28" i="55"/>
  <c r="E29" i="55"/>
  <c r="E30" i="55"/>
  <c r="E31" i="55"/>
  <c r="E32" i="55"/>
  <c r="E33" i="55"/>
  <c r="E4" i="55"/>
  <c r="D5" i="55"/>
  <c r="D6" i="55"/>
  <c r="D7" i="55"/>
  <c r="D8" i="55"/>
  <c r="D9" i="55"/>
  <c r="D10" i="55"/>
  <c r="D11" i="55"/>
  <c r="D12" i="55"/>
  <c r="D13" i="55"/>
  <c r="D14" i="55"/>
  <c r="D15" i="55"/>
  <c r="D16" i="55"/>
  <c r="D17" i="55"/>
  <c r="D18" i="55"/>
  <c r="D19" i="55"/>
  <c r="D20" i="55"/>
  <c r="D21" i="55"/>
  <c r="D22" i="55"/>
  <c r="D23" i="55"/>
  <c r="D24" i="55"/>
  <c r="D25" i="55"/>
  <c r="D26" i="55"/>
  <c r="D27" i="55"/>
  <c r="D28" i="55"/>
  <c r="D29" i="55"/>
  <c r="D30" i="55"/>
  <c r="D31" i="55"/>
  <c r="D32" i="55"/>
  <c r="D33" i="55"/>
  <c r="D4" i="55"/>
  <c r="C34" i="55"/>
  <c r="C33" i="55"/>
  <c r="C32" i="55"/>
  <c r="C31" i="55"/>
  <c r="C30" i="55"/>
  <c r="C29" i="55"/>
  <c r="C28" i="55"/>
  <c r="C27" i="55"/>
  <c r="C26" i="55"/>
  <c r="C25" i="55"/>
  <c r="C24" i="55"/>
  <c r="C23" i="55"/>
  <c r="C22" i="55"/>
  <c r="C21" i="55"/>
  <c r="C20" i="55"/>
  <c r="C19" i="55"/>
  <c r="C18" i="55"/>
  <c r="C17" i="55"/>
  <c r="C16" i="55"/>
  <c r="C15" i="55"/>
  <c r="C14" i="55"/>
  <c r="C13" i="55"/>
  <c r="C12" i="55"/>
  <c r="C11" i="55"/>
  <c r="C10" i="55"/>
  <c r="C9" i="55"/>
  <c r="C8" i="55"/>
  <c r="C7" i="55"/>
  <c r="C6" i="55"/>
  <c r="C5" i="55"/>
  <c r="C4" i="55"/>
  <c r="B5" i="55"/>
  <c r="B6" i="55"/>
  <c r="B7" i="55"/>
  <c r="B8" i="55"/>
  <c r="B9" i="55"/>
  <c r="B10" i="55"/>
  <c r="B11" i="55"/>
  <c r="B12" i="55"/>
  <c r="B13" i="55"/>
  <c r="B14" i="55"/>
  <c r="B15" i="55"/>
  <c r="B16" i="55"/>
  <c r="B17" i="55"/>
  <c r="B18" i="55"/>
  <c r="B19" i="55"/>
  <c r="B20" i="55"/>
  <c r="B21" i="55"/>
  <c r="B22" i="55"/>
  <c r="B23" i="55"/>
  <c r="B24" i="55"/>
  <c r="B25" i="55"/>
  <c r="B26" i="55"/>
  <c r="B27" i="55"/>
  <c r="B28" i="55"/>
  <c r="B29" i="55"/>
  <c r="B30" i="55"/>
  <c r="B31" i="55"/>
  <c r="B32" i="55"/>
  <c r="B33" i="55"/>
  <c r="B34" i="55"/>
  <c r="B4" i="55"/>
  <c r="A47" i="56"/>
  <c r="E34" i="55" l="1"/>
  <c r="A401" i="54"/>
  <c r="A402" i="54"/>
  <c r="A403" i="54"/>
  <c r="A404" i="54"/>
  <c r="A405" i="54"/>
  <c r="A406" i="54"/>
  <c r="A407" i="54"/>
  <c r="A408" i="54"/>
  <c r="A409" i="54"/>
  <c r="A410" i="54"/>
  <c r="A411" i="54"/>
  <c r="A412" i="54"/>
  <c r="A413" i="54"/>
  <c r="A414" i="54"/>
  <c r="A415" i="54"/>
  <c r="A416" i="54"/>
  <c r="A417" i="54"/>
  <c r="A418" i="54"/>
  <c r="A419" i="54"/>
  <c r="A420" i="54"/>
  <c r="A421" i="54"/>
  <c r="A422" i="54"/>
  <c r="A423" i="54"/>
  <c r="A424" i="54"/>
  <c r="A425" i="54"/>
  <c r="A426" i="54"/>
  <c r="A427" i="54"/>
  <c r="A428" i="54"/>
  <c r="A429" i="54"/>
  <c r="A430" i="54"/>
  <c r="A431" i="54"/>
  <c r="A432" i="54"/>
  <c r="A433" i="54"/>
  <c r="A434" i="54"/>
  <c r="A435" i="54"/>
  <c r="A436" i="54"/>
  <c r="A437" i="54"/>
  <c r="A438" i="54"/>
  <c r="A439" i="54"/>
  <c r="A440" i="54"/>
  <c r="A441" i="54"/>
  <c r="A442" i="54"/>
  <c r="A443" i="54"/>
  <c r="A444" i="54"/>
  <c r="A445" i="54"/>
  <c r="A446" i="54"/>
  <c r="A447" i="54"/>
  <c r="A448" i="54"/>
  <c r="A449" i="54"/>
  <c r="A450" i="54"/>
  <c r="G37" i="59"/>
  <c r="G29" i="59"/>
  <c r="G30" i="59"/>
  <c r="G31" i="59"/>
  <c r="G32" i="59"/>
  <c r="G33" i="59"/>
  <c r="G34" i="59"/>
  <c r="C32" i="59"/>
  <c r="C33" i="59"/>
  <c r="C34" i="59"/>
  <c r="A27" i="59"/>
  <c r="A28" i="59"/>
  <c r="A29" i="59"/>
  <c r="A30" i="59"/>
  <c r="A31" i="59"/>
  <c r="A32" i="59"/>
  <c r="A33" i="59"/>
  <c r="A34" i="59"/>
  <c r="A35" i="55"/>
  <c r="A36" i="55" l="1"/>
  <c r="C35" i="55"/>
  <c r="D35" i="55"/>
  <c r="B35" i="55"/>
  <c r="E35" i="55"/>
  <c r="Y74" i="66"/>
  <c r="X74" i="66"/>
  <c r="W74" i="66"/>
  <c r="V74" i="66"/>
  <c r="U74" i="66"/>
  <c r="T74" i="66"/>
  <c r="S74" i="66"/>
  <c r="S54" i="66"/>
  <c r="A37" i="55" l="1"/>
  <c r="E36" i="55"/>
  <c r="D36" i="55"/>
  <c r="B36" i="55"/>
  <c r="C36" i="55"/>
  <c r="V85" i="66"/>
  <c r="W85" i="66"/>
  <c r="X85" i="66" s="1"/>
  <c r="Y85" i="66" s="1"/>
  <c r="U85" i="66"/>
  <c r="AF85" i="67"/>
  <c r="AG85" i="67" s="1"/>
  <c r="AH85" i="67" s="1"/>
  <c r="AI85" i="67" s="1"/>
  <c r="AJ85" i="67" s="1"/>
  <c r="U85" i="67"/>
  <c r="V85" i="67" s="1"/>
  <c r="W85" i="67" s="1"/>
  <c r="X85" i="67" s="1"/>
  <c r="Y85" i="67" s="1"/>
  <c r="A38" i="55" l="1"/>
  <c r="B37" i="55"/>
  <c r="E37" i="55"/>
  <c r="D37" i="55"/>
  <c r="C37" i="55"/>
  <c r="J85" i="66"/>
  <c r="L85" i="66"/>
  <c r="A39" i="55" l="1"/>
  <c r="E38" i="55"/>
  <c r="C38" i="55"/>
  <c r="D38" i="55"/>
  <c r="B38" i="55"/>
  <c r="O14" i="32"/>
  <c r="O15" i="32"/>
  <c r="O16" i="32"/>
  <c r="O17" i="32"/>
  <c r="O18" i="32"/>
  <c r="O19" i="32"/>
  <c r="O20" i="32"/>
  <c r="O21" i="32"/>
  <c r="O22" i="32"/>
  <c r="O23" i="32"/>
  <c r="O24" i="32"/>
  <c r="O25" i="32"/>
  <c r="O26" i="32"/>
  <c r="O27" i="32"/>
  <c r="O28" i="32"/>
  <c r="O29" i="32"/>
  <c r="O30" i="32"/>
  <c r="O31" i="32"/>
  <c r="O32" i="32"/>
  <c r="O33" i="32"/>
  <c r="O34" i="32"/>
  <c r="O35" i="32"/>
  <c r="O36" i="32"/>
  <c r="O37" i="32"/>
  <c r="O38" i="32"/>
  <c r="O39" i="32"/>
  <c r="O40" i="32"/>
  <c r="O41" i="32"/>
  <c r="O42" i="32"/>
  <c r="O43" i="32"/>
  <c r="O44" i="32"/>
  <c r="O45" i="32"/>
  <c r="O46" i="32"/>
  <c r="O47" i="32"/>
  <c r="O48" i="32"/>
  <c r="O49" i="32"/>
  <c r="O50" i="32"/>
  <c r="O51" i="32"/>
  <c r="O52" i="32"/>
  <c r="O53" i="32"/>
  <c r="O54" i="32"/>
  <c r="O55" i="32"/>
  <c r="O56" i="32"/>
  <c r="O57" i="32"/>
  <c r="O58" i="32"/>
  <c r="O59" i="32"/>
  <c r="O60" i="32"/>
  <c r="O61" i="32"/>
  <c r="O62" i="32"/>
  <c r="O63" i="32"/>
  <c r="O64" i="32"/>
  <c r="O65" i="32"/>
  <c r="O66" i="32"/>
  <c r="O67" i="32"/>
  <c r="O68" i="32"/>
  <c r="O69" i="32"/>
  <c r="O70" i="32"/>
  <c r="O71" i="32"/>
  <c r="O72" i="32"/>
  <c r="O73" i="32"/>
  <c r="O74" i="32"/>
  <c r="O75" i="32"/>
  <c r="O76" i="32"/>
  <c r="O77" i="32"/>
  <c r="O78" i="32"/>
  <c r="O79" i="32"/>
  <c r="O80" i="32"/>
  <c r="O81" i="32"/>
  <c r="O82" i="32"/>
  <c r="O83" i="32"/>
  <c r="O84" i="32"/>
  <c r="O85" i="32"/>
  <c r="O86" i="32"/>
  <c r="O87" i="32"/>
  <c r="O88" i="32"/>
  <c r="O89" i="32"/>
  <c r="O90" i="32"/>
  <c r="O91" i="32"/>
  <c r="O92" i="32"/>
  <c r="O93" i="32"/>
  <c r="O94" i="32"/>
  <c r="O95" i="32"/>
  <c r="O96" i="32"/>
  <c r="O97" i="32"/>
  <c r="O98" i="32"/>
  <c r="O99" i="32"/>
  <c r="O100" i="32"/>
  <c r="O101" i="32"/>
  <c r="O102" i="32"/>
  <c r="O103" i="32"/>
  <c r="O104" i="32"/>
  <c r="O105" i="32"/>
  <c r="O106" i="32"/>
  <c r="O107" i="32"/>
  <c r="O108" i="32"/>
  <c r="O109" i="32"/>
  <c r="O110" i="32"/>
  <c r="O111" i="32"/>
  <c r="O112" i="32"/>
  <c r="O113" i="32"/>
  <c r="O114" i="32"/>
  <c r="O115" i="32"/>
  <c r="O116" i="32"/>
  <c r="O117" i="32"/>
  <c r="O118" i="32"/>
  <c r="O119" i="32"/>
  <c r="O120" i="32"/>
  <c r="O121" i="32"/>
  <c r="O122" i="32"/>
  <c r="O123" i="32"/>
  <c r="O124" i="32"/>
  <c r="O125" i="32"/>
  <c r="O126" i="32"/>
  <c r="O127" i="32"/>
  <c r="O128" i="32"/>
  <c r="O129" i="32"/>
  <c r="O130" i="32"/>
  <c r="O131" i="32"/>
  <c r="O132" i="32"/>
  <c r="O13" i="32"/>
  <c r="AJ103" i="66"/>
  <c r="AJ104" i="66"/>
  <c r="AJ105" i="66"/>
  <c r="AJ106" i="66"/>
  <c r="AJ107" i="66"/>
  <c r="AJ90" i="66"/>
  <c r="AJ94" i="66"/>
  <c r="AJ95" i="66"/>
  <c r="AJ96" i="66"/>
  <c r="AJ97" i="66"/>
  <c r="AJ98" i="66"/>
  <c r="AJ99" i="66"/>
  <c r="J19" i="32"/>
  <c r="K19" i="32"/>
  <c r="L19" i="32"/>
  <c r="M19" i="32"/>
  <c r="J20" i="32"/>
  <c r="K20" i="32"/>
  <c r="L20" i="32"/>
  <c r="M20" i="32"/>
  <c r="J21" i="32"/>
  <c r="K21" i="32"/>
  <c r="L21" i="32"/>
  <c r="M21" i="32"/>
  <c r="J22" i="32"/>
  <c r="K22" i="32"/>
  <c r="L22" i="32"/>
  <c r="M22" i="32"/>
  <c r="J23" i="32"/>
  <c r="K23" i="32"/>
  <c r="L23" i="32"/>
  <c r="M23" i="32"/>
  <c r="J24" i="32"/>
  <c r="K24" i="32"/>
  <c r="L24" i="32"/>
  <c r="M24" i="32"/>
  <c r="J25" i="32"/>
  <c r="K25" i="32"/>
  <c r="L25" i="32"/>
  <c r="M25" i="32"/>
  <c r="J26" i="32"/>
  <c r="K26" i="32"/>
  <c r="L26" i="32"/>
  <c r="M26" i="32"/>
  <c r="J27" i="32"/>
  <c r="K27" i="32"/>
  <c r="L27" i="32"/>
  <c r="M27" i="32"/>
  <c r="J28" i="32"/>
  <c r="K28" i="32"/>
  <c r="L28" i="32"/>
  <c r="M28" i="32"/>
  <c r="J29" i="32"/>
  <c r="K29" i="32"/>
  <c r="L29" i="32"/>
  <c r="M29" i="32"/>
  <c r="J30" i="32"/>
  <c r="K30" i="32"/>
  <c r="L30" i="32"/>
  <c r="M30" i="32"/>
  <c r="J31" i="32"/>
  <c r="K31" i="32"/>
  <c r="L31" i="32"/>
  <c r="M31" i="32"/>
  <c r="J32" i="32"/>
  <c r="K32" i="32"/>
  <c r="L32" i="32"/>
  <c r="M32" i="32"/>
  <c r="J33" i="32"/>
  <c r="K33" i="32"/>
  <c r="L33" i="32"/>
  <c r="M33" i="32"/>
  <c r="J34" i="32"/>
  <c r="K34" i="32"/>
  <c r="L34" i="32"/>
  <c r="M34" i="32"/>
  <c r="J35" i="32"/>
  <c r="K35" i="32"/>
  <c r="L35" i="32"/>
  <c r="M35" i="32"/>
  <c r="J36" i="32"/>
  <c r="K36" i="32"/>
  <c r="L36" i="32"/>
  <c r="M36" i="32"/>
  <c r="J37" i="32"/>
  <c r="K37" i="32"/>
  <c r="L37" i="32"/>
  <c r="M37" i="32"/>
  <c r="J38" i="32"/>
  <c r="K38" i="32"/>
  <c r="L38" i="32"/>
  <c r="M38" i="32"/>
  <c r="J39" i="32"/>
  <c r="K39" i="32"/>
  <c r="L39" i="32"/>
  <c r="M39" i="32"/>
  <c r="J40" i="32"/>
  <c r="K40" i="32"/>
  <c r="L40" i="32"/>
  <c r="M40" i="32"/>
  <c r="J41" i="32"/>
  <c r="K41" i="32"/>
  <c r="L41" i="32"/>
  <c r="M41" i="32"/>
  <c r="J42" i="32"/>
  <c r="K42" i="32"/>
  <c r="L42" i="32"/>
  <c r="M42" i="32"/>
  <c r="J43" i="32"/>
  <c r="K43" i="32"/>
  <c r="L43" i="32"/>
  <c r="M43" i="32"/>
  <c r="J44" i="32"/>
  <c r="K44" i="32"/>
  <c r="L44" i="32"/>
  <c r="M44" i="32"/>
  <c r="J45" i="32"/>
  <c r="K45" i="32"/>
  <c r="L45" i="32"/>
  <c r="M45" i="32"/>
  <c r="J46" i="32"/>
  <c r="K46" i="32"/>
  <c r="L46" i="32"/>
  <c r="M46" i="32"/>
  <c r="J47" i="32"/>
  <c r="K47" i="32"/>
  <c r="L47" i="32"/>
  <c r="M47" i="32"/>
  <c r="J48" i="32"/>
  <c r="K48" i="32"/>
  <c r="L48" i="32"/>
  <c r="M48" i="32"/>
  <c r="J49" i="32"/>
  <c r="K49" i="32"/>
  <c r="L49" i="32"/>
  <c r="M49" i="32"/>
  <c r="J50" i="32"/>
  <c r="K50" i="32"/>
  <c r="L50" i="32"/>
  <c r="M50" i="32"/>
  <c r="J51" i="32"/>
  <c r="K51" i="32"/>
  <c r="L51" i="32"/>
  <c r="M51" i="32"/>
  <c r="J52" i="32"/>
  <c r="K52" i="32"/>
  <c r="L52" i="32"/>
  <c r="M52" i="32"/>
  <c r="J53" i="32"/>
  <c r="K53" i="32"/>
  <c r="L53" i="32"/>
  <c r="M53" i="32"/>
  <c r="J54" i="32"/>
  <c r="K54" i="32"/>
  <c r="L54" i="32"/>
  <c r="M54" i="32"/>
  <c r="J55" i="32"/>
  <c r="K55" i="32"/>
  <c r="L55" i="32"/>
  <c r="M55" i="32"/>
  <c r="J56" i="32"/>
  <c r="K56" i="32"/>
  <c r="L56" i="32"/>
  <c r="M56" i="32"/>
  <c r="J57" i="32"/>
  <c r="K57" i="32"/>
  <c r="L57" i="32"/>
  <c r="M57" i="32"/>
  <c r="J58" i="32"/>
  <c r="K58" i="32"/>
  <c r="L58" i="32"/>
  <c r="M58" i="32"/>
  <c r="J59" i="32"/>
  <c r="K59" i="32"/>
  <c r="L59" i="32"/>
  <c r="M59" i="32"/>
  <c r="J60" i="32"/>
  <c r="K60" i="32"/>
  <c r="L60" i="32"/>
  <c r="M60" i="32"/>
  <c r="J61" i="32"/>
  <c r="K61" i="32"/>
  <c r="L61" i="32"/>
  <c r="M61" i="32"/>
  <c r="J62" i="32"/>
  <c r="K62" i="32"/>
  <c r="L62" i="32"/>
  <c r="M62" i="32"/>
  <c r="J63" i="32"/>
  <c r="K63" i="32"/>
  <c r="L63" i="32"/>
  <c r="M63" i="32"/>
  <c r="J64" i="32"/>
  <c r="K64" i="32"/>
  <c r="L64" i="32"/>
  <c r="M64" i="32"/>
  <c r="J65" i="32"/>
  <c r="K65" i="32"/>
  <c r="L65" i="32"/>
  <c r="M65" i="32"/>
  <c r="J66" i="32"/>
  <c r="K66" i="32"/>
  <c r="L66" i="32"/>
  <c r="M66" i="32"/>
  <c r="J67" i="32"/>
  <c r="K67" i="32"/>
  <c r="L67" i="32"/>
  <c r="M67" i="32"/>
  <c r="J68" i="32"/>
  <c r="K68" i="32"/>
  <c r="L68" i="32"/>
  <c r="M68" i="32"/>
  <c r="J69" i="32"/>
  <c r="K69" i="32"/>
  <c r="L69" i="32"/>
  <c r="M69" i="32"/>
  <c r="J70" i="32"/>
  <c r="K70" i="32"/>
  <c r="L70" i="32"/>
  <c r="M70" i="32"/>
  <c r="J71" i="32"/>
  <c r="K71" i="32"/>
  <c r="L71" i="32"/>
  <c r="M71" i="32"/>
  <c r="J72" i="32"/>
  <c r="K72" i="32"/>
  <c r="L72" i="32"/>
  <c r="M72" i="32"/>
  <c r="J73" i="32"/>
  <c r="K73" i="32"/>
  <c r="L73" i="32"/>
  <c r="M73" i="32"/>
  <c r="J74" i="32"/>
  <c r="K74" i="32"/>
  <c r="L74" i="32"/>
  <c r="M74" i="32"/>
  <c r="J75" i="32"/>
  <c r="K75" i="32"/>
  <c r="L75" i="32"/>
  <c r="M75" i="32"/>
  <c r="J76" i="32"/>
  <c r="K76" i="32"/>
  <c r="L76" i="32"/>
  <c r="M76" i="32"/>
  <c r="J77" i="32"/>
  <c r="K77" i="32"/>
  <c r="L77" i="32"/>
  <c r="M77" i="32"/>
  <c r="J78" i="32"/>
  <c r="K78" i="32"/>
  <c r="L78" i="32"/>
  <c r="M78" i="32"/>
  <c r="J79" i="32"/>
  <c r="K79" i="32"/>
  <c r="L79" i="32"/>
  <c r="M79" i="32"/>
  <c r="J80" i="32"/>
  <c r="K80" i="32"/>
  <c r="L80" i="32"/>
  <c r="M80" i="32"/>
  <c r="J81" i="32"/>
  <c r="K81" i="32"/>
  <c r="L81" i="32"/>
  <c r="M81" i="32"/>
  <c r="J82" i="32"/>
  <c r="K82" i="32"/>
  <c r="L82" i="32"/>
  <c r="M82" i="32"/>
  <c r="J83" i="32"/>
  <c r="K83" i="32"/>
  <c r="L83" i="32"/>
  <c r="M83" i="32"/>
  <c r="J84" i="32"/>
  <c r="K84" i="32"/>
  <c r="L84" i="32"/>
  <c r="M84" i="32"/>
  <c r="J85" i="32"/>
  <c r="K85" i="32"/>
  <c r="L85" i="32"/>
  <c r="M85" i="32"/>
  <c r="J86" i="32"/>
  <c r="K86" i="32"/>
  <c r="L86" i="32"/>
  <c r="M86" i="32"/>
  <c r="J87" i="32"/>
  <c r="K87" i="32"/>
  <c r="L87" i="32"/>
  <c r="M87" i="32"/>
  <c r="J88" i="32"/>
  <c r="K88" i="32"/>
  <c r="L88" i="32"/>
  <c r="M88" i="32"/>
  <c r="J89" i="32"/>
  <c r="K89" i="32"/>
  <c r="L89" i="32"/>
  <c r="M89" i="32"/>
  <c r="J90" i="32"/>
  <c r="K90" i="32"/>
  <c r="L90" i="32"/>
  <c r="M90" i="32"/>
  <c r="J91" i="32"/>
  <c r="K91" i="32"/>
  <c r="L91" i="32"/>
  <c r="M91" i="32"/>
  <c r="J92" i="32"/>
  <c r="K92" i="32"/>
  <c r="L92" i="32"/>
  <c r="M92" i="32"/>
  <c r="J93" i="32"/>
  <c r="K93" i="32"/>
  <c r="L93" i="32"/>
  <c r="M93" i="32"/>
  <c r="J94" i="32"/>
  <c r="K94" i="32"/>
  <c r="L94" i="32"/>
  <c r="M94" i="32"/>
  <c r="J95" i="32"/>
  <c r="K95" i="32"/>
  <c r="L95" i="32"/>
  <c r="M95" i="32"/>
  <c r="J96" i="32"/>
  <c r="K96" i="32"/>
  <c r="L96" i="32"/>
  <c r="M96" i="32"/>
  <c r="J97" i="32"/>
  <c r="K97" i="32"/>
  <c r="L97" i="32"/>
  <c r="M97" i="32"/>
  <c r="J98" i="32"/>
  <c r="K98" i="32"/>
  <c r="L98" i="32"/>
  <c r="M98" i="32"/>
  <c r="J99" i="32"/>
  <c r="K99" i="32"/>
  <c r="L99" i="32"/>
  <c r="M99" i="32"/>
  <c r="J100" i="32"/>
  <c r="K100" i="32"/>
  <c r="L100" i="32"/>
  <c r="M100" i="32"/>
  <c r="J101" i="32"/>
  <c r="K101" i="32"/>
  <c r="L101" i="32"/>
  <c r="M101" i="32"/>
  <c r="J102" i="32"/>
  <c r="K102" i="32"/>
  <c r="L102" i="32"/>
  <c r="M102" i="32"/>
  <c r="J103" i="32"/>
  <c r="K103" i="32"/>
  <c r="L103" i="32"/>
  <c r="M103" i="32"/>
  <c r="J104" i="32"/>
  <c r="K104" i="32"/>
  <c r="L104" i="32"/>
  <c r="M104" i="32"/>
  <c r="J105" i="32"/>
  <c r="K105" i="32"/>
  <c r="L105" i="32"/>
  <c r="M105" i="32"/>
  <c r="J106" i="32"/>
  <c r="K106" i="32"/>
  <c r="L106" i="32"/>
  <c r="M106" i="32"/>
  <c r="J107" i="32"/>
  <c r="K107" i="32"/>
  <c r="L107" i="32"/>
  <c r="M107" i="32"/>
  <c r="J108" i="32"/>
  <c r="K108" i="32"/>
  <c r="L108" i="32"/>
  <c r="M108" i="32"/>
  <c r="J109" i="32"/>
  <c r="K109" i="32"/>
  <c r="L109" i="32"/>
  <c r="M109" i="32"/>
  <c r="J110" i="32"/>
  <c r="K110" i="32"/>
  <c r="L110" i="32"/>
  <c r="M110" i="32"/>
  <c r="J111" i="32"/>
  <c r="K111" i="32"/>
  <c r="L111" i="32"/>
  <c r="M111" i="32"/>
  <c r="J112" i="32"/>
  <c r="K112" i="32"/>
  <c r="L112" i="32"/>
  <c r="M112" i="32"/>
  <c r="J113" i="32"/>
  <c r="K113" i="32"/>
  <c r="L113" i="32"/>
  <c r="M113" i="32"/>
  <c r="J114" i="32"/>
  <c r="K114" i="32"/>
  <c r="L114" i="32"/>
  <c r="M114" i="32"/>
  <c r="J115" i="32"/>
  <c r="K115" i="32"/>
  <c r="L115" i="32"/>
  <c r="M115" i="32"/>
  <c r="J116" i="32"/>
  <c r="K116" i="32"/>
  <c r="L116" i="32"/>
  <c r="M116" i="32"/>
  <c r="J117" i="32"/>
  <c r="K117" i="32"/>
  <c r="L117" i="32"/>
  <c r="M117" i="32"/>
  <c r="J118" i="32"/>
  <c r="K118" i="32"/>
  <c r="L118" i="32"/>
  <c r="M118" i="32"/>
  <c r="J119" i="32"/>
  <c r="K119" i="32"/>
  <c r="L119" i="32"/>
  <c r="M119" i="32"/>
  <c r="J120" i="32"/>
  <c r="K120" i="32"/>
  <c r="L120" i="32"/>
  <c r="M120" i="32"/>
  <c r="J121" i="32"/>
  <c r="K121" i="32"/>
  <c r="L121" i="32"/>
  <c r="M121" i="32"/>
  <c r="J122" i="32"/>
  <c r="K122" i="32"/>
  <c r="L122" i="32"/>
  <c r="M122" i="32"/>
  <c r="J123" i="32"/>
  <c r="K123" i="32"/>
  <c r="L123" i="32"/>
  <c r="M123" i="32"/>
  <c r="J124" i="32"/>
  <c r="K124" i="32"/>
  <c r="L124" i="32"/>
  <c r="M124" i="32"/>
  <c r="J125" i="32"/>
  <c r="K125" i="32"/>
  <c r="L125" i="32"/>
  <c r="M125" i="32"/>
  <c r="J126" i="32"/>
  <c r="K126" i="32"/>
  <c r="L126" i="32"/>
  <c r="M126" i="32"/>
  <c r="J127" i="32"/>
  <c r="K127" i="32"/>
  <c r="L127" i="32"/>
  <c r="M127" i="32"/>
  <c r="J128" i="32"/>
  <c r="K128" i="32"/>
  <c r="L128" i="32"/>
  <c r="M128" i="32"/>
  <c r="J129" i="32"/>
  <c r="K129" i="32"/>
  <c r="L129" i="32"/>
  <c r="M129" i="32"/>
  <c r="J130" i="32"/>
  <c r="K130" i="32"/>
  <c r="L130" i="32"/>
  <c r="M130" i="32"/>
  <c r="J131" i="32"/>
  <c r="K131" i="32"/>
  <c r="L131" i="32"/>
  <c r="M131" i="32"/>
  <c r="J132" i="32"/>
  <c r="K132" i="32"/>
  <c r="L132" i="32"/>
  <c r="M132" i="32"/>
  <c r="J14" i="32"/>
  <c r="K14" i="32"/>
  <c r="L14" i="32"/>
  <c r="M14" i="32"/>
  <c r="J15" i="32"/>
  <c r="K15" i="32"/>
  <c r="L15" i="32"/>
  <c r="M15" i="32"/>
  <c r="J16" i="32"/>
  <c r="K16" i="32"/>
  <c r="L16" i="32"/>
  <c r="M16" i="32"/>
  <c r="J17" i="32"/>
  <c r="K17" i="32"/>
  <c r="L17" i="32"/>
  <c r="M17" i="32"/>
  <c r="J18" i="32"/>
  <c r="K18" i="32"/>
  <c r="L18" i="32"/>
  <c r="M18" i="32"/>
  <c r="K13" i="32"/>
  <c r="L13" i="32"/>
  <c r="M13" i="32"/>
  <c r="J13" i="32"/>
  <c r="AY58" i="66"/>
  <c r="AO58" i="66"/>
  <c r="AP58" i="66"/>
  <c r="AQ58" i="66" s="1"/>
  <c r="AR58" i="66" s="1"/>
  <c r="AS58" i="66" s="1"/>
  <c r="AT58" i="66" s="1"/>
  <c r="AU58" i="66" s="1"/>
  <c r="AV58" i="66" s="1"/>
  <c r="AW58" i="66" s="1"/>
  <c r="AX58" i="66" s="1"/>
  <c r="AN58" i="66"/>
  <c r="A40" i="55" l="1"/>
  <c r="D39" i="55"/>
  <c r="B39" i="55"/>
  <c r="E39" i="55"/>
  <c r="C39" i="55"/>
  <c r="Z120" i="17"/>
  <c r="AA120" i="17" s="1"/>
  <c r="D40" i="55" l="1"/>
  <c r="C40" i="55"/>
  <c r="B40" i="55"/>
  <c r="E40" i="55"/>
  <c r="BN42" i="70"/>
  <c r="BN41" i="70" s="1"/>
  <c r="BN40" i="70" s="1"/>
  <c r="BN39" i="70" s="1"/>
  <c r="BN38" i="70" s="1"/>
  <c r="BN37" i="70" s="1"/>
  <c r="BN36" i="70" s="1"/>
  <c r="BO36" i="70" s="1"/>
  <c r="Q42" i="70"/>
  <c r="BP41" i="70"/>
  <c r="Q41" i="70"/>
  <c r="BP40" i="70"/>
  <c r="Y40" i="70"/>
  <c r="X40" i="70"/>
  <c r="W40" i="70"/>
  <c r="U40" i="70"/>
  <c r="BP39" i="70"/>
  <c r="Y39" i="70"/>
  <c r="X39" i="70"/>
  <c r="W39" i="70"/>
  <c r="U39" i="70"/>
  <c r="N39" i="70"/>
  <c r="N40" i="70" s="1"/>
  <c r="BP38" i="70"/>
  <c r="Y38" i="70"/>
  <c r="X38" i="70"/>
  <c r="W38" i="70"/>
  <c r="U38" i="70"/>
  <c r="BP37" i="70"/>
  <c r="Y37" i="70"/>
  <c r="X37" i="70"/>
  <c r="W37" i="70"/>
  <c r="U37" i="70"/>
  <c r="N37" i="70"/>
  <c r="BP36" i="70"/>
  <c r="Y36" i="70"/>
  <c r="X36" i="70"/>
  <c r="W36" i="70"/>
  <c r="U36" i="70"/>
  <c r="N36" i="70"/>
  <c r="BP35" i="70"/>
  <c r="Y35" i="70"/>
  <c r="X35" i="70"/>
  <c r="W35" i="70"/>
  <c r="U35" i="70"/>
  <c r="N35" i="70"/>
  <c r="BP34" i="70"/>
  <c r="Y34" i="70"/>
  <c r="X34" i="70"/>
  <c r="W34" i="70"/>
  <c r="U34" i="70"/>
  <c r="N34" i="70"/>
  <c r="BP33" i="70"/>
  <c r="Y33" i="70"/>
  <c r="X33" i="70"/>
  <c r="W33" i="70"/>
  <c r="U33" i="70"/>
  <c r="N33" i="70"/>
  <c r="Y32" i="70"/>
  <c r="X32" i="70"/>
  <c r="W32" i="70"/>
  <c r="U32" i="70"/>
  <c r="N32" i="70"/>
  <c r="Y31" i="70"/>
  <c r="X31" i="70"/>
  <c r="W31" i="70"/>
  <c r="U31" i="70"/>
  <c r="N31" i="70"/>
  <c r="Y30" i="70"/>
  <c r="X30" i="70"/>
  <c r="W30" i="70"/>
  <c r="U30" i="70"/>
  <c r="N30" i="70"/>
  <c r="Y29" i="70"/>
  <c r="X29" i="70"/>
  <c r="W29" i="70"/>
  <c r="U29" i="70"/>
  <c r="N29" i="70"/>
  <c r="Y28" i="70"/>
  <c r="X28" i="70"/>
  <c r="W28" i="70"/>
  <c r="U28" i="70"/>
  <c r="N28" i="70"/>
  <c r="Y27" i="70"/>
  <c r="X27" i="70"/>
  <c r="W27" i="70"/>
  <c r="U27" i="70"/>
  <c r="N27" i="70"/>
  <c r="Y26" i="70"/>
  <c r="W26" i="70" s="1"/>
  <c r="X26" i="70"/>
  <c r="U26" i="70"/>
  <c r="N26" i="70"/>
  <c r="Y25" i="70"/>
  <c r="X25" i="70"/>
  <c r="W25" i="70"/>
  <c r="U25" i="70"/>
  <c r="N25" i="70"/>
  <c r="Y24" i="70"/>
  <c r="W24" i="70" s="1"/>
  <c r="X24" i="70"/>
  <c r="U24" i="70"/>
  <c r="N24" i="70"/>
  <c r="Y23" i="70"/>
  <c r="X23" i="70"/>
  <c r="W23" i="70"/>
  <c r="U23" i="70"/>
  <c r="N23" i="70"/>
  <c r="Y22" i="70"/>
  <c r="W22" i="70" s="1"/>
  <c r="X22" i="70"/>
  <c r="U22" i="70"/>
  <c r="N22" i="70"/>
  <c r="Y21" i="70"/>
  <c r="X21" i="70"/>
  <c r="W21" i="70"/>
  <c r="U21" i="70"/>
  <c r="N21" i="70"/>
  <c r="Y20" i="70"/>
  <c r="W20" i="70" s="1"/>
  <c r="X20" i="70"/>
  <c r="U20" i="70"/>
  <c r="N20" i="70"/>
  <c r="Y19" i="70"/>
  <c r="X19" i="70"/>
  <c r="W19" i="70"/>
  <c r="U19" i="70"/>
  <c r="N19" i="70"/>
  <c r="Y18" i="70"/>
  <c r="C18" i="70" s="1"/>
  <c r="C19" i="70" s="1"/>
  <c r="X18" i="70"/>
  <c r="U18" i="70"/>
  <c r="N18" i="70"/>
  <c r="N17" i="70"/>
  <c r="J17" i="70"/>
  <c r="I17" i="70"/>
  <c r="H17" i="70"/>
  <c r="G17" i="70"/>
  <c r="G18" i="70" s="1"/>
  <c r="G19" i="70" s="1"/>
  <c r="G20" i="70" s="1"/>
  <c r="G21" i="70" s="1"/>
  <c r="G22" i="70" s="1"/>
  <c r="G23" i="70" s="1"/>
  <c r="G24" i="70" s="1"/>
  <c r="G25" i="70" s="1"/>
  <c r="G26" i="70" s="1"/>
  <c r="G27" i="70" s="1"/>
  <c r="G28" i="70" s="1"/>
  <c r="G29" i="70" s="1"/>
  <c r="G30" i="70" s="1"/>
  <c r="G31" i="70" s="1"/>
  <c r="G32" i="70" s="1"/>
  <c r="G33" i="70" s="1"/>
  <c r="G34" i="70" s="1"/>
  <c r="G35" i="70" s="1"/>
  <c r="G36" i="70" s="1"/>
  <c r="G37" i="70" s="1"/>
  <c r="G38" i="70" s="1"/>
  <c r="G39" i="70" s="1"/>
  <c r="G40" i="70" s="1"/>
  <c r="F17" i="70"/>
  <c r="E17" i="70"/>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D17" i="70"/>
  <c r="D18" i="70" s="1"/>
  <c r="D19" i="70" s="1"/>
  <c r="D20" i="70" s="1"/>
  <c r="D21" i="70" s="1"/>
  <c r="D22" i="70" s="1"/>
  <c r="D23" i="70" s="1"/>
  <c r="D24" i="70" s="1"/>
  <c r="D25" i="70" s="1"/>
  <c r="D26" i="70" s="1"/>
  <c r="D27" i="70" s="1"/>
  <c r="D28" i="70" s="1"/>
  <c r="D29" i="70" s="1"/>
  <c r="D30" i="70" s="1"/>
  <c r="D31" i="70" s="1"/>
  <c r="D32" i="70" s="1"/>
  <c r="D33" i="70" s="1"/>
  <c r="D34" i="70" s="1"/>
  <c r="D35" i="70" s="1"/>
  <c r="D36" i="70" s="1"/>
  <c r="D37" i="70" s="1"/>
  <c r="D38" i="70" s="1"/>
  <c r="D39" i="70" s="1"/>
  <c r="D40" i="70" s="1"/>
  <c r="C17" i="70"/>
  <c r="Q17" i="70" s="1"/>
  <c r="R16" i="70"/>
  <c r="N16" i="70"/>
  <c r="L16" i="70"/>
  <c r="L15" i="70"/>
  <c r="S16" i="70" s="1"/>
  <c r="L14" i="70"/>
  <c r="L13" i="70"/>
  <c r="BO39" i="70" l="1"/>
  <c r="W18" i="70"/>
  <c r="BO41" i="70"/>
  <c r="BO40" i="70"/>
  <c r="K19" i="70"/>
  <c r="C20" i="70"/>
  <c r="K18" i="70"/>
  <c r="K17" i="70"/>
  <c r="BN35" i="70"/>
  <c r="BN34" i="70" s="1"/>
  <c r="BO37" i="70"/>
  <c r="BO38" i="70"/>
  <c r="BO35" i="70" l="1"/>
  <c r="L17" i="70"/>
  <c r="S17" i="70" s="1"/>
  <c r="R17" i="70"/>
  <c r="R18" i="70"/>
  <c r="L18" i="70"/>
  <c r="V18" i="70" s="1"/>
  <c r="R19" i="70"/>
  <c r="L19" i="70"/>
  <c r="V19" i="70" s="1"/>
  <c r="BO34" i="70"/>
  <c r="BN33" i="70"/>
  <c r="BO33" i="70" s="1"/>
  <c r="C21" i="70"/>
  <c r="K20" i="70"/>
  <c r="P18" i="70" l="1"/>
  <c r="P19" i="70" s="1"/>
  <c r="C22" i="70"/>
  <c r="K21" i="70"/>
  <c r="Q18" i="70"/>
  <c r="S18" i="70" s="1"/>
  <c r="R20" i="70"/>
  <c r="L20" i="70"/>
  <c r="V20" i="70" s="1"/>
  <c r="P20" i="70" l="1"/>
  <c r="Q19" i="70"/>
  <c r="S19" i="70" s="1"/>
  <c r="C23" i="70"/>
  <c r="K22" i="70"/>
  <c r="R21" i="70"/>
  <c r="L21" i="70"/>
  <c r="V21" i="70" s="1"/>
  <c r="C24" i="70" l="1"/>
  <c r="K23" i="70"/>
  <c r="P21" i="70"/>
  <c r="Q20" i="70"/>
  <c r="S20" i="70" s="1"/>
  <c r="R22" i="70"/>
  <c r="L22" i="70"/>
  <c r="V22" i="70" s="1"/>
  <c r="P22" i="70" l="1"/>
  <c r="Q21" i="70"/>
  <c r="S21" i="70" s="1"/>
  <c r="R23" i="70"/>
  <c r="L23" i="70"/>
  <c r="V23" i="70" s="1"/>
  <c r="C25" i="70"/>
  <c r="K24" i="70"/>
  <c r="C26" i="70" l="1"/>
  <c r="K25" i="70"/>
  <c r="R24" i="70"/>
  <c r="L24" i="70"/>
  <c r="V24" i="70" s="1"/>
  <c r="P23" i="70"/>
  <c r="Q22" i="70"/>
  <c r="S22" i="70" s="1"/>
  <c r="P24" i="70" l="1"/>
  <c r="Q23" i="70"/>
  <c r="S23" i="70" s="1"/>
  <c r="C27" i="70"/>
  <c r="K26" i="70"/>
  <c r="R25" i="70"/>
  <c r="L25" i="70"/>
  <c r="V25" i="70" s="1"/>
  <c r="R26" i="70" l="1"/>
  <c r="L26" i="70"/>
  <c r="V26" i="70" s="1"/>
  <c r="K27" i="70"/>
  <c r="C28" i="70"/>
  <c r="P25" i="70"/>
  <c r="Q24" i="70"/>
  <c r="S24" i="70" s="1"/>
  <c r="C29" i="70" l="1"/>
  <c r="K28" i="70"/>
  <c r="P26" i="70"/>
  <c r="Q25" i="70"/>
  <c r="S25" i="70" s="1"/>
  <c r="R27" i="70"/>
  <c r="L27" i="70"/>
  <c r="V27" i="70" s="1"/>
  <c r="R28" i="70" l="1"/>
  <c r="L28" i="70"/>
  <c r="V28" i="70" s="1"/>
  <c r="P27" i="70"/>
  <c r="Q26" i="70"/>
  <c r="S26" i="70" s="1"/>
  <c r="K29" i="70"/>
  <c r="C30" i="70"/>
  <c r="R29" i="70" l="1"/>
  <c r="L29" i="70"/>
  <c r="V29" i="70" s="1"/>
  <c r="P28" i="70"/>
  <c r="Q27" i="70"/>
  <c r="S27" i="70" s="1"/>
  <c r="C31" i="70"/>
  <c r="K30" i="70"/>
  <c r="R30" i="70" l="1"/>
  <c r="L30" i="70"/>
  <c r="V30" i="70" s="1"/>
  <c r="K31" i="70"/>
  <c r="C32" i="70"/>
  <c r="P29" i="70"/>
  <c r="Q28" i="70"/>
  <c r="S28" i="70" s="1"/>
  <c r="P30" i="70" l="1"/>
  <c r="Q29" i="70"/>
  <c r="S29" i="70" s="1"/>
  <c r="R31" i="70"/>
  <c r="L31" i="70"/>
  <c r="V31" i="70" s="1"/>
  <c r="C33" i="70"/>
  <c r="K32" i="70"/>
  <c r="R32" i="70" l="1"/>
  <c r="L32" i="70"/>
  <c r="V32" i="70" s="1"/>
  <c r="K33" i="70"/>
  <c r="C34" i="70"/>
  <c r="E34" i="70" s="1"/>
  <c r="P31" i="70"/>
  <c r="Q30" i="70"/>
  <c r="S30" i="70" s="1"/>
  <c r="K34" i="70" l="1"/>
  <c r="C35" i="70"/>
  <c r="P32" i="70"/>
  <c r="Q31" i="70"/>
  <c r="S31" i="70" s="1"/>
  <c r="R33" i="70"/>
  <c r="L33" i="70"/>
  <c r="V33" i="70" s="1"/>
  <c r="K35" i="70" l="1"/>
  <c r="C36" i="70"/>
  <c r="P33" i="70"/>
  <c r="Q32" i="70"/>
  <c r="S32" i="70" s="1"/>
  <c r="R34" i="70"/>
  <c r="L34" i="70"/>
  <c r="V34" i="70" s="1"/>
  <c r="K36" i="70" l="1"/>
  <c r="C37" i="70"/>
  <c r="Q33" i="70"/>
  <c r="S33" i="70" s="1"/>
  <c r="P34" i="70"/>
  <c r="R35" i="70"/>
  <c r="L35" i="70"/>
  <c r="V35" i="70" s="1"/>
  <c r="P35" i="70" l="1"/>
  <c r="Q34" i="70"/>
  <c r="S34" i="70" s="1"/>
  <c r="C38" i="70"/>
  <c r="K37" i="70"/>
  <c r="L36" i="70"/>
  <c r="V36" i="70" s="1"/>
  <c r="R36" i="70"/>
  <c r="R37" i="70" l="1"/>
  <c r="L37" i="70"/>
  <c r="V37" i="70" s="1"/>
  <c r="K38" i="70"/>
  <c r="C39" i="70"/>
  <c r="P36" i="70"/>
  <c r="Q35" i="70"/>
  <c r="S35" i="70" s="1"/>
  <c r="K39" i="70" l="1"/>
  <c r="C40" i="70"/>
  <c r="K40" i="70" s="1"/>
  <c r="P37" i="70"/>
  <c r="Q36" i="70"/>
  <c r="S36" i="70" s="1"/>
  <c r="R38" i="70"/>
  <c r="L38" i="70"/>
  <c r="V38" i="70" s="1"/>
  <c r="P38" i="70" l="1"/>
  <c r="Q37" i="70"/>
  <c r="S37" i="70" s="1"/>
  <c r="R39" i="70"/>
  <c r="L39" i="70"/>
  <c r="V39" i="70" s="1"/>
  <c r="R40" i="70"/>
  <c r="L40" i="70"/>
  <c r="V40" i="70" s="1"/>
  <c r="Q38" i="70" l="1"/>
  <c r="S38" i="70" s="1"/>
  <c r="P39" i="70"/>
  <c r="P40" i="70" l="1"/>
  <c r="Q40" i="70" s="1"/>
  <c r="S40" i="70" s="1"/>
  <c r="Q39" i="70"/>
  <c r="S39" i="70" s="1"/>
  <c r="K7" i="22" l="1"/>
  <c r="L7" i="22" s="1"/>
  <c r="M7" i="22" s="1"/>
  <c r="N7" i="22" s="1"/>
  <c r="AN125" i="32" l="1"/>
  <c r="AM125" i="32"/>
  <c r="AL125" i="32"/>
  <c r="AG125" i="32"/>
  <c r="AB125" i="32"/>
  <c r="W125" i="32"/>
  <c r="R125" i="32"/>
  <c r="AC58" i="67"/>
  <c r="R58" i="67"/>
  <c r="J7" i="67"/>
  <c r="I7" i="67"/>
  <c r="I49" i="67" s="1"/>
  <c r="H7" i="67"/>
  <c r="G7" i="67"/>
  <c r="G47" i="67" s="1"/>
  <c r="F7" i="67"/>
  <c r="E7" i="67"/>
  <c r="D7" i="67"/>
  <c r="C7" i="67"/>
  <c r="C49" i="67" s="1"/>
  <c r="AC58" i="66"/>
  <c r="R58" i="66"/>
  <c r="R80" i="69"/>
  <c r="J80" i="69"/>
  <c r="AA79" i="69"/>
  <c r="F76" i="69" s="1"/>
  <c r="F79" i="69"/>
  <c r="AA78" i="69"/>
  <c r="W78" i="69"/>
  <c r="H79" i="69" s="1"/>
  <c r="R79" i="69" s="1"/>
  <c r="H78" i="69"/>
  <c r="J78" i="69" s="1"/>
  <c r="F78" i="69"/>
  <c r="F77" i="69"/>
  <c r="W76" i="69"/>
  <c r="H77" i="69" s="1"/>
  <c r="R77" i="69" s="1"/>
  <c r="W75" i="69"/>
  <c r="F73" i="69"/>
  <c r="N72" i="69"/>
  <c r="H72" i="69"/>
  <c r="G72" i="69"/>
  <c r="I72" i="69" s="1"/>
  <c r="N71" i="69"/>
  <c r="H71" i="69"/>
  <c r="I71" i="69" s="1"/>
  <c r="G71" i="69"/>
  <c r="N70" i="69"/>
  <c r="H70" i="69"/>
  <c r="G70" i="69"/>
  <c r="H76" i="69" s="1"/>
  <c r="R76" i="69" s="1"/>
  <c r="N69" i="69"/>
  <c r="H69" i="69"/>
  <c r="I69" i="69" s="1"/>
  <c r="G69" i="69"/>
  <c r="N68" i="69"/>
  <c r="N73" i="69" s="1"/>
  <c r="H68" i="69"/>
  <c r="G68" i="69"/>
  <c r="I68" i="69" s="1"/>
  <c r="H63" i="69"/>
  <c r="G63" i="69"/>
  <c r="F60" i="69"/>
  <c r="N59" i="69"/>
  <c r="H59" i="69"/>
  <c r="I59" i="69" s="1"/>
  <c r="G59" i="69"/>
  <c r="N58" i="69"/>
  <c r="H58" i="69"/>
  <c r="G58" i="69"/>
  <c r="I58" i="69" s="1"/>
  <c r="N57" i="69"/>
  <c r="H57" i="69"/>
  <c r="I57" i="69" s="1"/>
  <c r="G57" i="69"/>
  <c r="N56" i="69"/>
  <c r="N60" i="69" s="1"/>
  <c r="H56" i="69"/>
  <c r="G56" i="69"/>
  <c r="I56" i="69" s="1"/>
  <c r="H47" i="69"/>
  <c r="I47" i="69" s="1"/>
  <c r="G47" i="69"/>
  <c r="H46" i="69"/>
  <c r="I46" i="69" s="1"/>
  <c r="G46" i="69"/>
  <c r="H45" i="69"/>
  <c r="I45" i="69" s="1"/>
  <c r="G45" i="69"/>
  <c r="I40" i="69"/>
  <c r="I39" i="69"/>
  <c r="I38" i="69"/>
  <c r="I37" i="69"/>
  <c r="H36" i="69"/>
  <c r="G36" i="69"/>
  <c r="I36" i="69" s="1"/>
  <c r="I35" i="69"/>
  <c r="H34" i="69"/>
  <c r="G34" i="69"/>
  <c r="I34" i="69" s="1"/>
  <c r="H33" i="69"/>
  <c r="G33" i="69"/>
  <c r="I33" i="69" s="1"/>
  <c r="C29" i="69"/>
  <c r="C40" i="69" s="1"/>
  <c r="H28" i="69"/>
  <c r="G28" i="69"/>
  <c r="I28" i="69" s="1"/>
  <c r="C28" i="69"/>
  <c r="C39" i="69" s="1"/>
  <c r="H27" i="69"/>
  <c r="G27" i="69"/>
  <c r="I27" i="69" s="1"/>
  <c r="C27" i="69"/>
  <c r="C38" i="69" s="1"/>
  <c r="H26" i="69"/>
  <c r="G26" i="69"/>
  <c r="I26" i="69" s="1"/>
  <c r="C26" i="69"/>
  <c r="C37" i="69" s="1"/>
  <c r="H25" i="69"/>
  <c r="G25" i="69"/>
  <c r="I25" i="69" s="1"/>
  <c r="C25" i="69"/>
  <c r="C36" i="69" s="1"/>
  <c r="H24" i="69"/>
  <c r="G24" i="69"/>
  <c r="I24" i="69" s="1"/>
  <c r="C24" i="69"/>
  <c r="C35" i="69" s="1"/>
  <c r="H23" i="69"/>
  <c r="G23" i="69"/>
  <c r="I23" i="69" s="1"/>
  <c r="C23" i="69"/>
  <c r="C34" i="69" s="1"/>
  <c r="H22" i="69"/>
  <c r="G22" i="69"/>
  <c r="I22" i="69" s="1"/>
  <c r="C22" i="69"/>
  <c r="C33" i="69" s="1"/>
  <c r="D21" i="69"/>
  <c r="D32" i="69" s="1"/>
  <c r="D44" i="69" s="1"/>
  <c r="D55" i="69" s="1"/>
  <c r="D62" i="69" s="1"/>
  <c r="D67" i="69" s="1"/>
  <c r="D18" i="69"/>
  <c r="D17" i="69"/>
  <c r="H16" i="69"/>
  <c r="I16" i="69" s="1"/>
  <c r="G16" i="69"/>
  <c r="D16" i="69"/>
  <c r="I15" i="69"/>
  <c r="D15" i="69"/>
  <c r="H14" i="69"/>
  <c r="G14" i="69"/>
  <c r="D14" i="69"/>
  <c r="I13" i="69"/>
  <c r="D13" i="69"/>
  <c r="I12" i="69"/>
  <c r="D12" i="69"/>
  <c r="H11" i="69"/>
  <c r="G11" i="69"/>
  <c r="I11" i="69" s="1"/>
  <c r="D11" i="69"/>
  <c r="I157" i="68"/>
  <c r="H157" i="68"/>
  <c r="G157" i="68"/>
  <c r="I156" i="68"/>
  <c r="H156" i="68"/>
  <c r="G156" i="68"/>
  <c r="I155" i="68"/>
  <c r="H155" i="68"/>
  <c r="G155" i="68"/>
  <c r="I154" i="68"/>
  <c r="H154" i="68"/>
  <c r="G154" i="68"/>
  <c r="I153" i="68"/>
  <c r="H153" i="68"/>
  <c r="G153" i="68"/>
  <c r="I152" i="68"/>
  <c r="H152" i="68"/>
  <c r="H158" i="68" s="1"/>
  <c r="G83" i="68" s="1"/>
  <c r="G152" i="68"/>
  <c r="I151" i="68"/>
  <c r="I158" i="68" s="1"/>
  <c r="H83" i="68" s="1"/>
  <c r="H151" i="68"/>
  <c r="G151" i="68"/>
  <c r="G158" i="68" s="1"/>
  <c r="D83" i="68" s="1"/>
  <c r="H148" i="68"/>
  <c r="G82" i="68" s="1"/>
  <c r="G148" i="68"/>
  <c r="I146" i="68"/>
  <c r="I145" i="68"/>
  <c r="I148" i="68" s="1"/>
  <c r="H82" i="68" s="1"/>
  <c r="H138" i="68"/>
  <c r="G138" i="68"/>
  <c r="C81" i="68" s="1"/>
  <c r="I137" i="68"/>
  <c r="I136" i="68"/>
  <c r="I135" i="68"/>
  <c r="I134" i="68"/>
  <c r="I138" i="68" s="1"/>
  <c r="H81" i="68" s="1"/>
  <c r="I133" i="68"/>
  <c r="I128" i="68"/>
  <c r="G126" i="68"/>
  <c r="G128" i="68" s="1"/>
  <c r="H122" i="68"/>
  <c r="H128" i="68" s="1"/>
  <c r="G80" i="68" s="1"/>
  <c r="I118" i="68"/>
  <c r="G117" i="68"/>
  <c r="G118" i="68" s="1"/>
  <c r="C79" i="68" s="1"/>
  <c r="H112" i="68"/>
  <c r="H118" i="68" s="1"/>
  <c r="G79" i="68" s="1"/>
  <c r="I108" i="68"/>
  <c r="H78" i="68" s="1"/>
  <c r="H108" i="68"/>
  <c r="G105" i="68"/>
  <c r="G104" i="68"/>
  <c r="G103" i="68"/>
  <c r="C82" i="68"/>
  <c r="G81" i="68"/>
  <c r="H80" i="68"/>
  <c r="H79" i="68"/>
  <c r="G78" i="68"/>
  <c r="C50" i="68"/>
  <c r="C48" i="68"/>
  <c r="C47" i="68"/>
  <c r="J42" i="68"/>
  <c r="I42" i="68"/>
  <c r="H42" i="68"/>
  <c r="G42" i="68"/>
  <c r="F42" i="68"/>
  <c r="E42" i="68"/>
  <c r="B42" i="68"/>
  <c r="I41" i="68"/>
  <c r="H41" i="68"/>
  <c r="I40" i="68"/>
  <c r="H40" i="68"/>
  <c r="I39" i="68"/>
  <c r="H39" i="68"/>
  <c r="I38" i="68"/>
  <c r="H38" i="68"/>
  <c r="I37" i="68"/>
  <c r="H37" i="68"/>
  <c r="I36" i="68"/>
  <c r="H36" i="68"/>
  <c r="B11" i="68"/>
  <c r="D3" i="68" s="1"/>
  <c r="O121" i="67"/>
  <c r="AN120" i="67"/>
  <c r="AN112" i="67"/>
  <c r="E107" i="67"/>
  <c r="AN100" i="67"/>
  <c r="AN92" i="67"/>
  <c r="AN91" i="67"/>
  <c r="L91" i="67"/>
  <c r="AN88" i="67"/>
  <c r="AN87" i="67"/>
  <c r="L87" i="67"/>
  <c r="AN80" i="67"/>
  <c r="AN79" i="67"/>
  <c r="AN75" i="67"/>
  <c r="AN74" i="67"/>
  <c r="E71" i="67"/>
  <c r="E70" i="67"/>
  <c r="E72" i="67" s="1"/>
  <c r="E69" i="67"/>
  <c r="AN68" i="67"/>
  <c r="AN67" i="67"/>
  <c r="L67" i="67"/>
  <c r="G65" i="67"/>
  <c r="AK62" i="67"/>
  <c r="AK63" i="67" s="1"/>
  <c r="AK64" i="67" s="1"/>
  <c r="AK65" i="67" s="1"/>
  <c r="AK66" i="67" s="1"/>
  <c r="AK67" i="67" s="1"/>
  <c r="AK68" i="67" s="1"/>
  <c r="AK69" i="67" s="1"/>
  <c r="AK70" i="67" s="1"/>
  <c r="AK71" i="67" s="1"/>
  <c r="AK72" i="67" s="1"/>
  <c r="AK73" i="67" s="1"/>
  <c r="AK74" i="67" s="1"/>
  <c r="AK75" i="67" s="1"/>
  <c r="AK76" i="67" s="1"/>
  <c r="AK77" i="67" s="1"/>
  <c r="AK78" i="67" s="1"/>
  <c r="AK79" i="67" s="1"/>
  <c r="AK80" i="67" s="1"/>
  <c r="AK81" i="67" s="1"/>
  <c r="AK82" i="67" s="1"/>
  <c r="AK83" i="67" s="1"/>
  <c r="AK84" i="67" s="1"/>
  <c r="AK85" i="67" s="1"/>
  <c r="AK86" i="67" s="1"/>
  <c r="AK87" i="67" s="1"/>
  <c r="AK88" i="67" s="1"/>
  <c r="AK89" i="67" s="1"/>
  <c r="AK90" i="67" s="1"/>
  <c r="AK91" i="67" s="1"/>
  <c r="AK92" i="67" s="1"/>
  <c r="AK93" i="67" s="1"/>
  <c r="AK94" i="67" s="1"/>
  <c r="AK95" i="67" s="1"/>
  <c r="AK96" i="67" s="1"/>
  <c r="AK97" i="67" s="1"/>
  <c r="AK98" i="67" s="1"/>
  <c r="AK99" i="67" s="1"/>
  <c r="AK100" i="67" s="1"/>
  <c r="AK101" i="67" s="1"/>
  <c r="AK102" i="67" s="1"/>
  <c r="AK103" i="67" s="1"/>
  <c r="AK104" i="67" s="1"/>
  <c r="AK105" i="67" s="1"/>
  <c r="AK106" i="67" s="1"/>
  <c r="AK107" i="67" s="1"/>
  <c r="AK108" i="67" s="1"/>
  <c r="AK109" i="67" s="1"/>
  <c r="AK110" i="67" s="1"/>
  <c r="AK111" i="67" s="1"/>
  <c r="AK112" i="67" s="1"/>
  <c r="AK113" i="67" s="1"/>
  <c r="AK114" i="67" s="1"/>
  <c r="AK115" i="67" s="1"/>
  <c r="AK116" i="67" s="1"/>
  <c r="AK117" i="67" s="1"/>
  <c r="AK118" i="67" s="1"/>
  <c r="AK119" i="67" s="1"/>
  <c r="AK120" i="67" s="1"/>
  <c r="AK121" i="67" s="1"/>
  <c r="D59" i="67"/>
  <c r="E59" i="67" s="1"/>
  <c r="F59" i="67" s="1"/>
  <c r="G59" i="67" s="1"/>
  <c r="H59" i="67" s="1"/>
  <c r="I59" i="67" s="1"/>
  <c r="J59" i="67" s="1"/>
  <c r="AJ58" i="67"/>
  <c r="AI58" i="67"/>
  <c r="AH58" i="67"/>
  <c r="AG58" i="67"/>
  <c r="AF58" i="67"/>
  <c r="AE58" i="67"/>
  <c r="AD58" i="67"/>
  <c r="AB58" i="67"/>
  <c r="Y58" i="67"/>
  <c r="X58" i="67"/>
  <c r="W58" i="67"/>
  <c r="V58" i="67"/>
  <c r="U58" i="67"/>
  <c r="T58" i="67"/>
  <c r="S58" i="67"/>
  <c r="Q58" i="67"/>
  <c r="AM54" i="67"/>
  <c r="AM55" i="67" s="1"/>
  <c r="A52" i="67"/>
  <c r="N45" i="67"/>
  <c r="J44" i="67"/>
  <c r="F44" i="67"/>
  <c r="J43" i="67"/>
  <c r="F43" i="67"/>
  <c r="B43" i="67"/>
  <c r="I39" i="67"/>
  <c r="H39" i="67"/>
  <c r="H40" i="67" s="1"/>
  <c r="G39" i="67"/>
  <c r="F39" i="67"/>
  <c r="F40" i="67" s="1"/>
  <c r="D39" i="67"/>
  <c r="D51" i="67" s="1"/>
  <c r="B39" i="67"/>
  <c r="B51" i="67" s="1"/>
  <c r="A39" i="67"/>
  <c r="A51" i="67" s="1"/>
  <c r="B38" i="67"/>
  <c r="B50" i="67" s="1"/>
  <c r="D110" i="67" s="1"/>
  <c r="A38" i="67"/>
  <c r="A50" i="67" s="1"/>
  <c r="B37" i="67"/>
  <c r="B49" i="67" s="1"/>
  <c r="A37" i="67"/>
  <c r="A49" i="67" s="1"/>
  <c r="B36" i="67"/>
  <c r="B48" i="67" s="1"/>
  <c r="A36" i="67"/>
  <c r="A48" i="67" s="1"/>
  <c r="B35" i="67"/>
  <c r="B47" i="67" s="1"/>
  <c r="A35" i="67"/>
  <c r="A47" i="67" s="1"/>
  <c r="B34" i="67"/>
  <c r="B46" i="67" s="1"/>
  <c r="A34" i="67"/>
  <c r="A46" i="67" s="1"/>
  <c r="B33" i="67"/>
  <c r="B45" i="67" s="1"/>
  <c r="A33" i="67"/>
  <c r="A45" i="67" s="1"/>
  <c r="B32" i="67"/>
  <c r="B44" i="67" s="1"/>
  <c r="A32" i="67"/>
  <c r="A44" i="67" s="1"/>
  <c r="B31" i="67"/>
  <c r="A31" i="67"/>
  <c r="A43" i="67" s="1"/>
  <c r="J30" i="67"/>
  <c r="J42" i="67" s="1"/>
  <c r="I30" i="67"/>
  <c r="I42" i="67" s="1"/>
  <c r="H30" i="67"/>
  <c r="H42" i="67" s="1"/>
  <c r="G30" i="67"/>
  <c r="G42" i="67" s="1"/>
  <c r="F30" i="67"/>
  <c r="F42" i="67" s="1"/>
  <c r="E30" i="67"/>
  <c r="E42" i="67" s="1"/>
  <c r="D30" i="67"/>
  <c r="D42" i="67" s="1"/>
  <c r="C30" i="67"/>
  <c r="C42" i="67" s="1"/>
  <c r="C11" i="67"/>
  <c r="L10" i="67"/>
  <c r="L11" i="67" s="1"/>
  <c r="L12" i="67" s="1"/>
  <c r="L13" i="67" s="1"/>
  <c r="J6" i="67"/>
  <c r="I6" i="67"/>
  <c r="C119" i="67" s="1"/>
  <c r="H6" i="67"/>
  <c r="C118" i="67" s="1"/>
  <c r="G6" i="67"/>
  <c r="C117" i="67" s="1"/>
  <c r="F6" i="67"/>
  <c r="E6" i="67"/>
  <c r="C85" i="67" s="1"/>
  <c r="D6" i="67"/>
  <c r="C114" i="67" s="1"/>
  <c r="C6" i="67"/>
  <c r="C94" i="67" s="1"/>
  <c r="D4" i="67"/>
  <c r="O121" i="66"/>
  <c r="L119" i="66"/>
  <c r="L118" i="66"/>
  <c r="L117" i="66"/>
  <c r="L116" i="66"/>
  <c r="L115" i="66"/>
  <c r="E115" i="66"/>
  <c r="L114" i="66"/>
  <c r="E114" i="66"/>
  <c r="L113" i="66"/>
  <c r="E113" i="66"/>
  <c r="L110" i="66"/>
  <c r="J110" i="66"/>
  <c r="J107" i="66"/>
  <c r="I107" i="66"/>
  <c r="L97" i="66"/>
  <c r="E97" i="66"/>
  <c r="L96" i="66"/>
  <c r="E96" i="66"/>
  <c r="L95" i="66"/>
  <c r="E95" i="66"/>
  <c r="L94" i="66"/>
  <c r="E94" i="66"/>
  <c r="L93" i="66"/>
  <c r="E93" i="66"/>
  <c r="E98" i="66" s="1"/>
  <c r="L89" i="66"/>
  <c r="L91" i="66" s="1"/>
  <c r="E89" i="66"/>
  <c r="E90" i="66" s="1"/>
  <c r="J86" i="66"/>
  <c r="E85" i="66"/>
  <c r="L84" i="66"/>
  <c r="E84" i="66"/>
  <c r="L83" i="66"/>
  <c r="E83" i="66"/>
  <c r="L82" i="66"/>
  <c r="E82" i="66"/>
  <c r="L81" i="66"/>
  <c r="J81" i="66"/>
  <c r="E81" i="66"/>
  <c r="L78" i="66"/>
  <c r="E78" i="66"/>
  <c r="L77" i="66"/>
  <c r="E77" i="66"/>
  <c r="L76" i="66"/>
  <c r="L79" i="66" s="1"/>
  <c r="E76" i="66"/>
  <c r="J73" i="66"/>
  <c r="E73" i="66"/>
  <c r="L71" i="66"/>
  <c r="I71" i="66"/>
  <c r="J71" i="66" s="1"/>
  <c r="E71" i="66"/>
  <c r="L70" i="66"/>
  <c r="E70" i="66"/>
  <c r="E72" i="66" s="1"/>
  <c r="L69" i="66"/>
  <c r="E69" i="66"/>
  <c r="G65" i="66"/>
  <c r="L64" i="66"/>
  <c r="E64" i="66"/>
  <c r="L63" i="66"/>
  <c r="E63" i="66"/>
  <c r="AK62" i="66"/>
  <c r="AK63" i="66" s="1"/>
  <c r="AK64" i="66" s="1"/>
  <c r="AK65" i="66" s="1"/>
  <c r="AK66" i="66" s="1"/>
  <c r="AK67" i="66" s="1"/>
  <c r="AK68" i="66" s="1"/>
  <c r="AK69" i="66" s="1"/>
  <c r="AK70" i="66" s="1"/>
  <c r="AK71" i="66" s="1"/>
  <c r="AK72" i="66" s="1"/>
  <c r="AK73" i="66" s="1"/>
  <c r="AK74" i="66" s="1"/>
  <c r="AK75" i="66" s="1"/>
  <c r="AK76" i="66" s="1"/>
  <c r="AK77" i="66" s="1"/>
  <c r="AK78" i="66" s="1"/>
  <c r="AK79" i="66" s="1"/>
  <c r="AK80" i="66" s="1"/>
  <c r="AK81" i="66" s="1"/>
  <c r="AK82" i="66" s="1"/>
  <c r="AK83" i="66" s="1"/>
  <c r="AK84" i="66" s="1"/>
  <c r="AK85" i="66" s="1"/>
  <c r="AK86" i="66" s="1"/>
  <c r="AK87" i="66" s="1"/>
  <c r="AK88" i="66" s="1"/>
  <c r="AK89" i="66" s="1"/>
  <c r="AK90" i="66" s="1"/>
  <c r="AK91" i="66" s="1"/>
  <c r="AK92" i="66" s="1"/>
  <c r="AK93" i="66" s="1"/>
  <c r="AK94" i="66" s="1"/>
  <c r="AK95" i="66" s="1"/>
  <c r="AK96" i="66" s="1"/>
  <c r="AK97" i="66" s="1"/>
  <c r="AK98" i="66" s="1"/>
  <c r="AK99" i="66" s="1"/>
  <c r="AK100" i="66" s="1"/>
  <c r="AK101" i="66" s="1"/>
  <c r="AK102" i="66" s="1"/>
  <c r="AK103" i="66" s="1"/>
  <c r="AK104" i="66" s="1"/>
  <c r="AK105" i="66" s="1"/>
  <c r="AK106" i="66" s="1"/>
  <c r="AK107" i="66" s="1"/>
  <c r="AK108" i="66" s="1"/>
  <c r="AK109" i="66" s="1"/>
  <c r="AK110" i="66" s="1"/>
  <c r="AK111" i="66" s="1"/>
  <c r="AK112" i="66" s="1"/>
  <c r="AK113" i="66" s="1"/>
  <c r="AK114" i="66" s="1"/>
  <c r="AK115" i="66" s="1"/>
  <c r="AK116" i="66" s="1"/>
  <c r="AK117" i="66" s="1"/>
  <c r="AK118" i="66" s="1"/>
  <c r="AK119" i="66" s="1"/>
  <c r="AK120" i="66" s="1"/>
  <c r="AK121" i="66" s="1"/>
  <c r="L62" i="66"/>
  <c r="E62" i="66"/>
  <c r="E65" i="66" s="1"/>
  <c r="E66" i="66" s="1"/>
  <c r="L61" i="66"/>
  <c r="E61" i="66"/>
  <c r="D59" i="66"/>
  <c r="E59" i="66" s="1"/>
  <c r="F59" i="66" s="1"/>
  <c r="G59" i="66" s="1"/>
  <c r="H59" i="66" s="1"/>
  <c r="I59" i="66" s="1"/>
  <c r="J59" i="66" s="1"/>
  <c r="AJ58" i="66"/>
  <c r="AI58" i="66"/>
  <c r="AH58" i="66"/>
  <c r="AG58" i="66"/>
  <c r="AF58" i="66"/>
  <c r="AE58" i="66"/>
  <c r="AD58" i="66"/>
  <c r="AB58" i="66"/>
  <c r="Y58" i="66"/>
  <c r="X58" i="66"/>
  <c r="W58" i="66"/>
  <c r="V58" i="66"/>
  <c r="U58" i="66"/>
  <c r="T58" i="66"/>
  <c r="S58" i="66"/>
  <c r="Q58" i="66"/>
  <c r="AM54" i="66"/>
  <c r="AM55" i="66" s="1"/>
  <c r="A52" i="66"/>
  <c r="G51" i="66"/>
  <c r="G49" i="66"/>
  <c r="G48" i="66"/>
  <c r="G47" i="66"/>
  <c r="G46" i="66"/>
  <c r="G45" i="66"/>
  <c r="G44" i="66"/>
  <c r="G43" i="66"/>
  <c r="G40" i="66"/>
  <c r="B39" i="66"/>
  <c r="B51" i="66" s="1"/>
  <c r="A39" i="66"/>
  <c r="A51" i="66" s="1"/>
  <c r="B38" i="66"/>
  <c r="B50" i="66" s="1"/>
  <c r="D110" i="66" s="1"/>
  <c r="A38" i="66"/>
  <c r="A50" i="66" s="1"/>
  <c r="B37" i="66"/>
  <c r="B49" i="66" s="1"/>
  <c r="A37" i="66"/>
  <c r="A49" i="66" s="1"/>
  <c r="B36" i="66"/>
  <c r="B48" i="66" s="1"/>
  <c r="A36" i="66"/>
  <c r="A48" i="66" s="1"/>
  <c r="B35" i="66"/>
  <c r="B47" i="66" s="1"/>
  <c r="A35" i="66"/>
  <c r="A47" i="66" s="1"/>
  <c r="B34" i="66"/>
  <c r="B46" i="66" s="1"/>
  <c r="A34" i="66"/>
  <c r="A46" i="66" s="1"/>
  <c r="B33" i="66"/>
  <c r="B45" i="66" s="1"/>
  <c r="A33" i="66"/>
  <c r="A45" i="66" s="1"/>
  <c r="B32" i="66"/>
  <c r="B44" i="66" s="1"/>
  <c r="A32" i="66"/>
  <c r="A44" i="66" s="1"/>
  <c r="B31" i="66"/>
  <c r="B43" i="66" s="1"/>
  <c r="A31" i="66"/>
  <c r="A43" i="66" s="1"/>
  <c r="J30" i="66"/>
  <c r="J42" i="66" s="1"/>
  <c r="I30" i="66"/>
  <c r="I42" i="66" s="1"/>
  <c r="H30" i="66"/>
  <c r="H42" i="66" s="1"/>
  <c r="G30" i="66"/>
  <c r="G42" i="66" s="1"/>
  <c r="F30" i="66"/>
  <c r="F42" i="66" s="1"/>
  <c r="E30" i="66"/>
  <c r="E42" i="66" s="1"/>
  <c r="D30" i="66"/>
  <c r="D42" i="66" s="1"/>
  <c r="C30" i="66"/>
  <c r="C42" i="66" s="1"/>
  <c r="C11" i="66"/>
  <c r="L10" i="66"/>
  <c r="L11" i="66" s="1"/>
  <c r="L12" i="66" s="1"/>
  <c r="L13" i="66" s="1"/>
  <c r="K7" i="66"/>
  <c r="J6" i="66"/>
  <c r="C95" i="66" s="1"/>
  <c r="I6" i="66"/>
  <c r="C119" i="66" s="1"/>
  <c r="H6" i="66"/>
  <c r="C118" i="66" s="1"/>
  <c r="G6" i="66"/>
  <c r="C117" i="66" s="1"/>
  <c r="F6" i="66"/>
  <c r="E6" i="66"/>
  <c r="D6" i="66"/>
  <c r="C114" i="66" s="1"/>
  <c r="C6" i="66"/>
  <c r="D4" i="66"/>
  <c r="E4" i="66" s="1"/>
  <c r="F4" i="66" s="1"/>
  <c r="G4" i="66" s="1"/>
  <c r="H4" i="66" s="1"/>
  <c r="I4" i="66" s="1"/>
  <c r="J4" i="66" s="1"/>
  <c r="A117" i="67" l="1"/>
  <c r="B117" i="67"/>
  <c r="A118" i="67"/>
  <c r="B118" i="67"/>
  <c r="B119" i="67"/>
  <c r="A119" i="67"/>
  <c r="A94" i="67"/>
  <c r="B94" i="67"/>
  <c r="A114" i="67"/>
  <c r="B114" i="67"/>
  <c r="A85" i="67"/>
  <c r="B85" i="67"/>
  <c r="D5" i="68"/>
  <c r="D7" i="68"/>
  <c r="D9" i="68"/>
  <c r="I44" i="67"/>
  <c r="D40" i="67"/>
  <c r="I45" i="67"/>
  <c r="H51" i="67"/>
  <c r="H84" i="68"/>
  <c r="D38" i="69"/>
  <c r="I81" i="68"/>
  <c r="O81" i="68" s="1"/>
  <c r="F39" i="68" s="1"/>
  <c r="G108" i="68"/>
  <c r="D78" i="68" s="1"/>
  <c r="I14" i="69"/>
  <c r="D22" i="69"/>
  <c r="D23" i="69"/>
  <c r="D24" i="69"/>
  <c r="D25" i="69"/>
  <c r="D26" i="69"/>
  <c r="D27" i="69"/>
  <c r="D28" i="69"/>
  <c r="D29" i="69"/>
  <c r="D40" i="69"/>
  <c r="H75" i="69"/>
  <c r="J75" i="69" s="1"/>
  <c r="J76" i="69"/>
  <c r="G48" i="67"/>
  <c r="G49" i="67"/>
  <c r="C45" i="67"/>
  <c r="G46" i="67"/>
  <c r="I47" i="67"/>
  <c r="G44" i="67"/>
  <c r="G45" i="67"/>
  <c r="C46" i="67"/>
  <c r="I46" i="67"/>
  <c r="I48" i="67"/>
  <c r="M97" i="67" s="1"/>
  <c r="C63" i="67"/>
  <c r="B63" i="67" s="1"/>
  <c r="C83" i="67"/>
  <c r="C47" i="67"/>
  <c r="L67" i="66"/>
  <c r="G52" i="66"/>
  <c r="C45" i="69"/>
  <c r="D33" i="69"/>
  <c r="D34" i="69"/>
  <c r="D35" i="69"/>
  <c r="C47" i="69"/>
  <c r="D37" i="69"/>
  <c r="D36" i="69"/>
  <c r="C70" i="67"/>
  <c r="C72" i="67"/>
  <c r="D39" i="69"/>
  <c r="C46" i="69"/>
  <c r="I70" i="69"/>
  <c r="J77" i="69"/>
  <c r="R78" i="69"/>
  <c r="AA81" i="69"/>
  <c r="F75" i="69"/>
  <c r="J79" i="69"/>
  <c r="C96" i="66"/>
  <c r="A96" i="66" s="1"/>
  <c r="C73" i="66"/>
  <c r="M81" i="68"/>
  <c r="D39" i="68" s="1"/>
  <c r="N81" i="68"/>
  <c r="E39" i="68" s="1"/>
  <c r="I78" i="68"/>
  <c r="D10" i="68"/>
  <c r="D8" i="68"/>
  <c r="D6" i="68"/>
  <c r="D4" i="68"/>
  <c r="P83" i="68"/>
  <c r="G41" i="68" s="1"/>
  <c r="I83" i="68"/>
  <c r="L79" i="68"/>
  <c r="C37" i="68" s="1"/>
  <c r="I79" i="68"/>
  <c r="P81" i="68"/>
  <c r="G39" i="68" s="1"/>
  <c r="P79" i="68"/>
  <c r="G37" i="68" s="1"/>
  <c r="M83" i="68"/>
  <c r="D41" i="68" s="1"/>
  <c r="S83" i="68"/>
  <c r="J41" i="68" s="1"/>
  <c r="C65" i="67"/>
  <c r="B65" i="67" s="1"/>
  <c r="C81" i="67"/>
  <c r="G84" i="68"/>
  <c r="S79" i="68"/>
  <c r="J37" i="68" s="1"/>
  <c r="I82" i="68"/>
  <c r="P82" i="68"/>
  <c r="G40" i="68" s="1"/>
  <c r="E4" i="67"/>
  <c r="F4" i="67" s="1"/>
  <c r="G4" i="67" s="1"/>
  <c r="H4" i="67" s="1"/>
  <c r="I4" i="67" s="1"/>
  <c r="J4" i="67" s="1"/>
  <c r="A61" i="67"/>
  <c r="D90" i="67"/>
  <c r="D89" i="67"/>
  <c r="D107" i="67"/>
  <c r="D106" i="67"/>
  <c r="D105" i="67"/>
  <c r="D104" i="67"/>
  <c r="D103" i="67"/>
  <c r="D102" i="67"/>
  <c r="D65" i="67"/>
  <c r="D63" i="67"/>
  <c r="D72" i="67"/>
  <c r="D70" i="67"/>
  <c r="D73" i="67"/>
  <c r="D71" i="67"/>
  <c r="D69" i="67"/>
  <c r="D78" i="67"/>
  <c r="D77" i="67"/>
  <c r="D76" i="67"/>
  <c r="D66" i="67"/>
  <c r="M114" i="67"/>
  <c r="C116" i="67"/>
  <c r="C73" i="67"/>
  <c r="C71" i="67"/>
  <c r="C96" i="67"/>
  <c r="M118" i="67"/>
  <c r="N118" i="67" s="1"/>
  <c r="C95" i="67"/>
  <c r="C76" i="67"/>
  <c r="D49" i="67"/>
  <c r="D48" i="67"/>
  <c r="D47" i="67"/>
  <c r="D46" i="67"/>
  <c r="F49" i="67"/>
  <c r="F48" i="67"/>
  <c r="F47" i="67"/>
  <c r="F46" i="67"/>
  <c r="F45" i="67"/>
  <c r="H49" i="67"/>
  <c r="H48" i="67"/>
  <c r="H47" i="67"/>
  <c r="H46" i="67"/>
  <c r="H45" i="67"/>
  <c r="J49" i="67"/>
  <c r="J47" i="67"/>
  <c r="J46" i="67"/>
  <c r="D85" i="67"/>
  <c r="D83" i="67"/>
  <c r="D81" i="67"/>
  <c r="D86" i="67"/>
  <c r="D84" i="67"/>
  <c r="D82" i="67"/>
  <c r="D99" i="67"/>
  <c r="D97" i="67"/>
  <c r="D96" i="67"/>
  <c r="D94" i="67"/>
  <c r="D98" i="67"/>
  <c r="D95" i="67"/>
  <c r="D93" i="67"/>
  <c r="G51" i="67"/>
  <c r="M117" i="67" s="1"/>
  <c r="N117" i="67" s="1"/>
  <c r="G40" i="67"/>
  <c r="I51" i="67"/>
  <c r="M119" i="67" s="1"/>
  <c r="N119" i="67" s="1"/>
  <c r="I40" i="67"/>
  <c r="D43" i="67"/>
  <c r="H43" i="67"/>
  <c r="D44" i="67"/>
  <c r="H44" i="67"/>
  <c r="D45" i="67"/>
  <c r="D119" i="67"/>
  <c r="D118" i="67"/>
  <c r="D117" i="67"/>
  <c r="D116" i="67"/>
  <c r="D113" i="67"/>
  <c r="D115" i="67"/>
  <c r="D114" i="67"/>
  <c r="F51" i="67"/>
  <c r="D61" i="67"/>
  <c r="D62" i="67"/>
  <c r="D64" i="67"/>
  <c r="C76" i="66"/>
  <c r="C116" i="66"/>
  <c r="A116" i="66" s="1"/>
  <c r="C113" i="67"/>
  <c r="C115" i="67"/>
  <c r="C110" i="67"/>
  <c r="C107" i="67"/>
  <c r="A107" i="67" s="1"/>
  <c r="B107" i="67" s="1"/>
  <c r="C106" i="67"/>
  <c r="C105" i="67"/>
  <c r="C104" i="67"/>
  <c r="C103" i="67"/>
  <c r="A103" i="67" s="1"/>
  <c r="B103" i="67" s="1"/>
  <c r="C102" i="67"/>
  <c r="C98" i="67"/>
  <c r="C93" i="67"/>
  <c r="C89" i="67"/>
  <c r="C86" i="67"/>
  <c r="C84" i="67"/>
  <c r="C82" i="67"/>
  <c r="C77" i="67"/>
  <c r="K7" i="67"/>
  <c r="C43" i="67"/>
  <c r="G43" i="67"/>
  <c r="I43" i="67"/>
  <c r="C61" i="67"/>
  <c r="C62" i="67"/>
  <c r="B62" i="67" s="1"/>
  <c r="C64" i="67"/>
  <c r="B64" i="67" s="1"/>
  <c r="C66" i="67"/>
  <c r="B66" i="67" s="1"/>
  <c r="C69" i="67"/>
  <c r="C78" i="67"/>
  <c r="C90" i="67"/>
  <c r="C99" i="67"/>
  <c r="A119" i="66"/>
  <c r="A117" i="66"/>
  <c r="A118" i="66"/>
  <c r="A114" i="66"/>
  <c r="A112" i="66"/>
  <c r="C113" i="66"/>
  <c r="A113" i="66" s="1"/>
  <c r="C78" i="66"/>
  <c r="A78" i="66" s="1"/>
  <c r="C69" i="66"/>
  <c r="C94" i="66"/>
  <c r="A94" i="66" s="1"/>
  <c r="C115" i="66"/>
  <c r="C110" i="66"/>
  <c r="B110" i="66" s="1"/>
  <c r="AL111" i="66" s="1"/>
  <c r="C106" i="66"/>
  <c r="C104" i="66"/>
  <c r="C99" i="66"/>
  <c r="C98" i="66"/>
  <c r="C93" i="66"/>
  <c r="C84" i="66"/>
  <c r="C82" i="66"/>
  <c r="C81" i="66"/>
  <c r="C107" i="66"/>
  <c r="C103" i="66"/>
  <c r="C102" i="66"/>
  <c r="C89" i="66"/>
  <c r="C86" i="66"/>
  <c r="C85" i="66"/>
  <c r="C83" i="66"/>
  <c r="C77" i="66"/>
  <c r="C72" i="66"/>
  <c r="C70" i="66"/>
  <c r="C66" i="66"/>
  <c r="C61" i="66"/>
  <c r="C105" i="66"/>
  <c r="C90" i="66"/>
  <c r="M117" i="66"/>
  <c r="N117" i="66" s="1"/>
  <c r="I8" i="66"/>
  <c r="G8" i="66"/>
  <c r="E8" i="66"/>
  <c r="C8" i="66"/>
  <c r="F8" i="66"/>
  <c r="J8" i="66"/>
  <c r="A66" i="66"/>
  <c r="A61" i="66"/>
  <c r="D73" i="66"/>
  <c r="D72" i="66"/>
  <c r="A75" i="66"/>
  <c r="D86" i="66"/>
  <c r="D85" i="66"/>
  <c r="D83" i="66"/>
  <c r="D84" i="66"/>
  <c r="D82" i="66"/>
  <c r="D81" i="66"/>
  <c r="A88" i="66"/>
  <c r="D97" i="66"/>
  <c r="D96" i="66"/>
  <c r="D94" i="66"/>
  <c r="D99" i="66"/>
  <c r="D93" i="66"/>
  <c r="D98" i="66"/>
  <c r="D95" i="66"/>
  <c r="A101" i="66"/>
  <c r="D65" i="66"/>
  <c r="D64" i="66"/>
  <c r="D63" i="66"/>
  <c r="D62" i="66"/>
  <c r="D76" i="66"/>
  <c r="D78" i="66"/>
  <c r="D77" i="66"/>
  <c r="D90" i="66"/>
  <c r="D89" i="66"/>
  <c r="D107" i="66"/>
  <c r="D106" i="66"/>
  <c r="D105" i="66"/>
  <c r="D104" i="66"/>
  <c r="D103" i="66"/>
  <c r="D102" i="66"/>
  <c r="A62" i="66"/>
  <c r="C63" i="66"/>
  <c r="A64" i="66"/>
  <c r="C65" i="66"/>
  <c r="D69" i="66"/>
  <c r="D71" i="66"/>
  <c r="B4" i="66"/>
  <c r="D8" i="66"/>
  <c r="H8" i="66"/>
  <c r="D118" i="66"/>
  <c r="D116" i="66"/>
  <c r="D115" i="66"/>
  <c r="D119" i="66"/>
  <c r="D117" i="66"/>
  <c r="D113" i="66"/>
  <c r="D114" i="66"/>
  <c r="A73" i="66"/>
  <c r="A80" i="66"/>
  <c r="A97" i="66"/>
  <c r="A95" i="66"/>
  <c r="A92" i="66"/>
  <c r="A109" i="66"/>
  <c r="A60" i="66"/>
  <c r="D61" i="66"/>
  <c r="C62" i="66"/>
  <c r="A63" i="66"/>
  <c r="C64" i="66"/>
  <c r="A65" i="66"/>
  <c r="D66" i="66"/>
  <c r="A68" i="66"/>
  <c r="D70" i="66"/>
  <c r="C71" i="66"/>
  <c r="C23" i="19"/>
  <c r="C19" i="19"/>
  <c r="D10" i="35"/>
  <c r="D11" i="35"/>
  <c r="D12" i="35"/>
  <c r="D13" i="35"/>
  <c r="D14" i="35"/>
  <c r="D15" i="35"/>
  <c r="D16" i="35"/>
  <c r="D17" i="35"/>
  <c r="D9" i="35"/>
  <c r="B17" i="35"/>
  <c r="C10" i="35"/>
  <c r="C9" i="65" s="1"/>
  <c r="C11" i="35"/>
  <c r="C20" i="19" s="1"/>
  <c r="C12" i="35"/>
  <c r="C11" i="65" s="1"/>
  <c r="C31" i="65" s="1"/>
  <c r="C13" i="35"/>
  <c r="C22" i="19" s="1"/>
  <c r="C14" i="35"/>
  <c r="C13" i="65" s="1"/>
  <c r="C43" i="65" s="1"/>
  <c r="C15" i="35"/>
  <c r="C24" i="19" s="1"/>
  <c r="C16" i="35"/>
  <c r="C15" i="65" s="1"/>
  <c r="C17" i="35"/>
  <c r="C26" i="19" s="1"/>
  <c r="C9" i="35"/>
  <c r="C18" i="19" s="1"/>
  <c r="E16" i="65"/>
  <c r="E15" i="65"/>
  <c r="E14" i="65"/>
  <c r="E13" i="65"/>
  <c r="E12" i="65"/>
  <c r="E11" i="65"/>
  <c r="E10" i="65"/>
  <c r="E9" i="65"/>
  <c r="E8" i="65"/>
  <c r="I39" i="65"/>
  <c r="I40" i="65" s="1"/>
  <c r="I41" i="65" s="1"/>
  <c r="I42" i="65" s="1"/>
  <c r="I43" i="65" s="1"/>
  <c r="I44" i="65" s="1"/>
  <c r="I45" i="65" s="1"/>
  <c r="I46" i="65" s="1"/>
  <c r="B39" i="65"/>
  <c r="B40" i="65" s="1"/>
  <c r="B41" i="65" s="1"/>
  <c r="B42" i="65" s="1"/>
  <c r="B43" i="65" s="1"/>
  <c r="B44" i="65" s="1"/>
  <c r="B45" i="65" s="1"/>
  <c r="B46" i="65" s="1"/>
  <c r="A86" i="67" l="1"/>
  <c r="B86" i="67"/>
  <c r="A106" i="67"/>
  <c r="B106" i="67" s="1"/>
  <c r="A99" i="67"/>
  <c r="B99" i="67"/>
  <c r="A89" i="67"/>
  <c r="B89" i="67"/>
  <c r="A76" i="67"/>
  <c r="B76" i="67"/>
  <c r="A83" i="67"/>
  <c r="B83" i="67"/>
  <c r="B90" i="67"/>
  <c r="A90" i="67"/>
  <c r="A93" i="67"/>
  <c r="B93" i="67"/>
  <c r="A110" i="67"/>
  <c r="B110" i="67"/>
  <c r="A95" i="67"/>
  <c r="B95" i="67"/>
  <c r="A81" i="67"/>
  <c r="B81" i="67"/>
  <c r="B78" i="67"/>
  <c r="A78" i="67"/>
  <c r="A98" i="67"/>
  <c r="B98" i="67"/>
  <c r="B115" i="67"/>
  <c r="A115" i="67"/>
  <c r="A69" i="67"/>
  <c r="B69" i="67"/>
  <c r="A102" i="67"/>
  <c r="B102" i="67" s="1"/>
  <c r="A113" i="67"/>
  <c r="B113" i="67"/>
  <c r="B96" i="67"/>
  <c r="A96" i="67"/>
  <c r="M77" i="67"/>
  <c r="A77" i="67"/>
  <c r="B77" i="67"/>
  <c r="M71" i="67"/>
  <c r="N71" i="67" s="1"/>
  <c r="A71" i="67"/>
  <c r="B71" i="67"/>
  <c r="B72" i="67"/>
  <c r="A72" i="67"/>
  <c r="A82" i="67"/>
  <c r="B82" i="67"/>
  <c r="A104" i="67"/>
  <c r="B104" i="67"/>
  <c r="A73" i="67"/>
  <c r="B73" i="67"/>
  <c r="A70" i="67"/>
  <c r="B70" i="67"/>
  <c r="B84" i="67"/>
  <c r="A84" i="67"/>
  <c r="A105" i="67"/>
  <c r="B105" i="67"/>
  <c r="A116" i="67"/>
  <c r="B116" i="67"/>
  <c r="D11" i="68"/>
  <c r="C21" i="19"/>
  <c r="C25" i="19"/>
  <c r="A76" i="66"/>
  <c r="S81" i="68"/>
  <c r="J39" i="68" s="1"/>
  <c r="L81" i="68"/>
  <c r="C39" i="68" s="1"/>
  <c r="K81" i="68"/>
  <c r="B39" i="68" s="1"/>
  <c r="R75" i="69"/>
  <c r="M78" i="67"/>
  <c r="G52" i="67"/>
  <c r="B4" i="67"/>
  <c r="F52" i="67"/>
  <c r="M116" i="67"/>
  <c r="N116" i="67" s="1"/>
  <c r="D52" i="67"/>
  <c r="A69" i="66"/>
  <c r="D45" i="69"/>
  <c r="C50" i="69"/>
  <c r="F80" i="69"/>
  <c r="F82" i="69" s="1"/>
  <c r="D46" i="69"/>
  <c r="D47" i="69"/>
  <c r="N82" i="68"/>
  <c r="E40" i="68" s="1"/>
  <c r="O82" i="68"/>
  <c r="F40" i="68" s="1"/>
  <c r="K82" i="68"/>
  <c r="B40" i="68" s="1"/>
  <c r="M82" i="68"/>
  <c r="D40" i="68" s="1"/>
  <c r="O78" i="68"/>
  <c r="F36" i="68" s="1"/>
  <c r="K78" i="68"/>
  <c r="B36" i="68" s="1"/>
  <c r="L78" i="68"/>
  <c r="C36" i="68" s="1"/>
  <c r="N78" i="68"/>
  <c r="E36" i="68" s="1"/>
  <c r="S82" i="68"/>
  <c r="J40" i="68" s="1"/>
  <c r="A71" i="66"/>
  <c r="S78" i="68"/>
  <c r="J36" i="68" s="1"/>
  <c r="L82" i="68"/>
  <c r="C40" i="68" s="1"/>
  <c r="P78" i="68"/>
  <c r="G36" i="68" s="1"/>
  <c r="N79" i="68"/>
  <c r="E37" i="68" s="1"/>
  <c r="M79" i="68"/>
  <c r="D37" i="68" s="1"/>
  <c r="O79" i="68"/>
  <c r="F37" i="68" s="1"/>
  <c r="K79" i="68"/>
  <c r="B37" i="68" s="1"/>
  <c r="O83" i="68"/>
  <c r="F41" i="68" s="1"/>
  <c r="K83" i="68"/>
  <c r="B41" i="68" s="1"/>
  <c r="L83" i="68"/>
  <c r="C41" i="68" s="1"/>
  <c r="N83" i="68"/>
  <c r="E41" i="68" s="1"/>
  <c r="M78" i="68"/>
  <c r="D36" i="68" s="1"/>
  <c r="I52" i="67"/>
  <c r="I8" i="67"/>
  <c r="E8" i="67"/>
  <c r="G8" i="67"/>
  <c r="C8" i="67"/>
  <c r="B61" i="67"/>
  <c r="H52" i="67"/>
  <c r="J8" i="67"/>
  <c r="H8" i="67"/>
  <c r="F8" i="67"/>
  <c r="D8" i="67"/>
  <c r="M96" i="67"/>
  <c r="B70" i="66"/>
  <c r="B66" i="66"/>
  <c r="AL67" i="66" s="1"/>
  <c r="B61" i="66"/>
  <c r="B113" i="66"/>
  <c r="B119" i="66"/>
  <c r="AL120" i="66" s="1"/>
  <c r="B116" i="66"/>
  <c r="B71" i="66"/>
  <c r="B90" i="66"/>
  <c r="AL91" i="66" s="1"/>
  <c r="B63" i="66"/>
  <c r="B81" i="66"/>
  <c r="B84" i="66"/>
  <c r="B85" i="66"/>
  <c r="B73" i="66"/>
  <c r="AL74" i="66" s="1"/>
  <c r="B69" i="66"/>
  <c r="B78" i="66"/>
  <c r="AL79" i="66" s="1"/>
  <c r="B65" i="66"/>
  <c r="B98" i="66"/>
  <c r="B99" i="66"/>
  <c r="AL100" i="66" s="1"/>
  <c r="B96" i="66"/>
  <c r="B114" i="66"/>
  <c r="B117" i="66"/>
  <c r="B115" i="66"/>
  <c r="B118" i="66"/>
  <c r="B89" i="66"/>
  <c r="B77" i="66"/>
  <c r="B76" i="66"/>
  <c r="B62" i="66"/>
  <c r="B64" i="66"/>
  <c r="B95" i="66"/>
  <c r="B93" i="66"/>
  <c r="B94" i="66"/>
  <c r="B97" i="66"/>
  <c r="B82" i="66"/>
  <c r="B83" i="66"/>
  <c r="B86" i="66"/>
  <c r="AL87" i="66" s="1"/>
  <c r="B72" i="66"/>
  <c r="C35" i="65"/>
  <c r="C24" i="65"/>
  <c r="C29" i="65"/>
  <c r="C39" i="65"/>
  <c r="C18" i="65"/>
  <c r="C27" i="65" s="1"/>
  <c r="C16" i="65"/>
  <c r="C36" i="65" s="1"/>
  <c r="C14" i="65"/>
  <c r="C34" i="65" s="1"/>
  <c r="C12" i="65"/>
  <c r="C42" i="65" s="1"/>
  <c r="C10" i="65"/>
  <c r="E17" i="35"/>
  <c r="C8" i="65"/>
  <c r="C33" i="65"/>
  <c r="C20" i="65"/>
  <c r="C22" i="65"/>
  <c r="C23" i="65"/>
  <c r="C25" i="65"/>
  <c r="C44" i="65"/>
  <c r="C41" i="65"/>
  <c r="C40" i="65"/>
  <c r="C45" i="65"/>
  <c r="C32" i="65" l="1"/>
  <c r="C56" i="69"/>
  <c r="C51" i="69"/>
  <c r="D50" i="69"/>
  <c r="C46" i="65"/>
  <c r="C21" i="65"/>
  <c r="C28" i="65"/>
  <c r="C38" i="65"/>
  <c r="C17" i="65"/>
  <c r="C30" i="65"/>
  <c r="C19" i="65"/>
  <c r="C7" i="28"/>
  <c r="D7" i="28"/>
  <c r="E7" i="28"/>
  <c r="F7" i="28"/>
  <c r="G7" i="28"/>
  <c r="H7" i="28"/>
  <c r="I7" i="28"/>
  <c r="J7" i="28"/>
  <c r="B7" i="28"/>
  <c r="AI58" i="41"/>
  <c r="AH58" i="41"/>
  <c r="AG58" i="41"/>
  <c r="AE58" i="41"/>
  <c r="AB58" i="41"/>
  <c r="X58" i="41"/>
  <c r="W58" i="41"/>
  <c r="V58" i="41"/>
  <c r="T58" i="41"/>
  <c r="Q58" i="41"/>
  <c r="L119" i="17"/>
  <c r="I6" i="17"/>
  <c r="C119" i="17" s="1"/>
  <c r="A119" i="17" s="1"/>
  <c r="C6" i="17"/>
  <c r="C9" i="18" s="1"/>
  <c r="D6" i="17"/>
  <c r="E6" i="17"/>
  <c r="C63" i="17" s="1"/>
  <c r="F6" i="17"/>
  <c r="C73" i="17" s="1"/>
  <c r="G6" i="17"/>
  <c r="H6" i="17"/>
  <c r="C118" i="17" s="1"/>
  <c r="J6" i="17"/>
  <c r="L61" i="17"/>
  <c r="E61" i="17"/>
  <c r="L62" i="17"/>
  <c r="C62" i="17"/>
  <c r="E62" i="17"/>
  <c r="L63" i="17"/>
  <c r="E63" i="17"/>
  <c r="L64" i="17"/>
  <c r="E64" i="17"/>
  <c r="L69" i="17"/>
  <c r="E69" i="17"/>
  <c r="L70" i="17"/>
  <c r="E70" i="17"/>
  <c r="L71" i="17"/>
  <c r="E71" i="17"/>
  <c r="L76" i="17"/>
  <c r="E76" i="17"/>
  <c r="L77" i="17"/>
  <c r="E77" i="17"/>
  <c r="L78" i="17"/>
  <c r="E78" i="17"/>
  <c r="L81" i="17"/>
  <c r="E81" i="17"/>
  <c r="L82" i="17"/>
  <c r="E82" i="17"/>
  <c r="L83" i="17"/>
  <c r="E83" i="17"/>
  <c r="L84" i="17"/>
  <c r="E84" i="17"/>
  <c r="L85" i="17"/>
  <c r="E85" i="17"/>
  <c r="L89" i="17"/>
  <c r="E89" i="17"/>
  <c r="L93" i="17"/>
  <c r="E93" i="17"/>
  <c r="L94" i="17"/>
  <c r="E94" i="17"/>
  <c r="L95" i="17"/>
  <c r="E95" i="17"/>
  <c r="L96" i="17"/>
  <c r="E96" i="17"/>
  <c r="L97" i="17"/>
  <c r="E97" i="17"/>
  <c r="L110" i="17"/>
  <c r="L113" i="17"/>
  <c r="E113" i="17"/>
  <c r="L114" i="17"/>
  <c r="E114" i="17"/>
  <c r="L115" i="17"/>
  <c r="E115" i="17"/>
  <c r="L116" i="17"/>
  <c r="L117" i="17"/>
  <c r="L118" i="17"/>
  <c r="AE58" i="17"/>
  <c r="AF58" i="17"/>
  <c r="AG58" i="17"/>
  <c r="AB58" i="17"/>
  <c r="AC58" i="17"/>
  <c r="W58" i="17"/>
  <c r="V58" i="17"/>
  <c r="U58" i="17"/>
  <c r="S58" i="17"/>
  <c r="R58" i="17"/>
  <c r="D87" i="64"/>
  <c r="D10" i="48"/>
  <c r="D11" i="48"/>
  <c r="D12" i="48"/>
  <c r="A12" i="48" s="1"/>
  <c r="D13" i="48"/>
  <c r="D85" i="48" s="1"/>
  <c r="A85" i="48" s="1"/>
  <c r="D14" i="48"/>
  <c r="A14" i="48" s="1"/>
  <c r="D15" i="48"/>
  <c r="A15" i="48" s="1"/>
  <c r="D16" i="48"/>
  <c r="A16" i="48" s="1"/>
  <c r="D17" i="48"/>
  <c r="A17" i="48" s="1"/>
  <c r="D18" i="48"/>
  <c r="A18" i="48" s="1"/>
  <c r="D19" i="48"/>
  <c r="A19" i="48" s="1"/>
  <c r="D20" i="48"/>
  <c r="D92" i="48" s="1"/>
  <c r="A92" i="48" s="1"/>
  <c r="D21" i="48"/>
  <c r="A21" i="48" s="1"/>
  <c r="D22" i="48"/>
  <c r="A22" i="48" s="1"/>
  <c r="D23" i="48"/>
  <c r="A23" i="48" s="1"/>
  <c r="D24" i="48"/>
  <c r="A24" i="48" s="1"/>
  <c r="D25" i="48"/>
  <c r="A25" i="48" s="1"/>
  <c r="D26" i="48"/>
  <c r="A26" i="48" s="1"/>
  <c r="D27" i="48"/>
  <c r="A27" i="48" s="1"/>
  <c r="D28" i="48"/>
  <c r="A28" i="48" s="1"/>
  <c r="D29" i="48"/>
  <c r="A29" i="48" s="1"/>
  <c r="D30" i="48"/>
  <c r="A30" i="48" s="1"/>
  <c r="D31" i="48"/>
  <c r="A31" i="48" s="1"/>
  <c r="D32" i="48"/>
  <c r="D104" i="48" s="1"/>
  <c r="D33" i="48"/>
  <c r="A33" i="48" s="1"/>
  <c r="D34" i="48"/>
  <c r="A34" i="48" s="1"/>
  <c r="D35" i="48"/>
  <c r="A35" i="48" s="1"/>
  <c r="D36" i="48"/>
  <c r="A36" i="48" s="1"/>
  <c r="D37" i="48"/>
  <c r="A37" i="48" s="1"/>
  <c r="D38" i="48"/>
  <c r="A38" i="48" s="1"/>
  <c r="D39" i="48"/>
  <c r="A39" i="48" s="1"/>
  <c r="D40" i="48"/>
  <c r="A40" i="48" s="1"/>
  <c r="D41" i="48"/>
  <c r="A41" i="48" s="1"/>
  <c r="D42" i="48"/>
  <c r="A42" i="48" s="1"/>
  <c r="D43" i="48"/>
  <c r="A43" i="48" s="1"/>
  <c r="D44" i="48"/>
  <c r="A44" i="48" s="1"/>
  <c r="D45" i="48"/>
  <c r="A45" i="48" s="1"/>
  <c r="D46" i="48"/>
  <c r="A46" i="48" s="1"/>
  <c r="D47" i="48"/>
  <c r="A47" i="48" s="1"/>
  <c r="D48" i="48"/>
  <c r="A48" i="48" s="1"/>
  <c r="D49" i="48"/>
  <c r="A49" i="48" s="1"/>
  <c r="D50" i="48"/>
  <c r="A50" i="48" s="1"/>
  <c r="D51" i="48"/>
  <c r="A51" i="48" s="1"/>
  <c r="D52" i="48"/>
  <c r="A52" i="48" s="1"/>
  <c r="D53" i="48"/>
  <c r="D54" i="48"/>
  <c r="A54" i="48" s="1"/>
  <c r="D55" i="48"/>
  <c r="A55" i="48" s="1"/>
  <c r="D56" i="48"/>
  <c r="D128" i="48" s="1"/>
  <c r="A128" i="48" s="1"/>
  <c r="D57" i="48"/>
  <c r="A57" i="48" s="1"/>
  <c r="D58" i="48"/>
  <c r="A58" i="48" s="1"/>
  <c r="D59" i="48"/>
  <c r="A59" i="48" s="1"/>
  <c r="D60" i="48"/>
  <c r="A60" i="48" s="1"/>
  <c r="D61" i="48"/>
  <c r="A61" i="48" s="1"/>
  <c r="D62" i="48"/>
  <c r="A62" i="48" s="1"/>
  <c r="D63" i="48"/>
  <c r="A63" i="48" s="1"/>
  <c r="D64" i="48"/>
  <c r="D136" i="48" s="1"/>
  <c r="A136" i="48" s="1"/>
  <c r="D65" i="48"/>
  <c r="A65" i="48" s="1"/>
  <c r="D66" i="48"/>
  <c r="A66" i="48" s="1"/>
  <c r="D67" i="48"/>
  <c r="D139" i="48" s="1"/>
  <c r="A139" i="48" s="1"/>
  <c r="D68" i="48"/>
  <c r="A68" i="48" s="1"/>
  <c r="D69" i="48"/>
  <c r="D141" i="48" s="1"/>
  <c r="A141" i="48" s="1"/>
  <c r="D70" i="48"/>
  <c r="D142" i="48" s="1"/>
  <c r="A142" i="48" s="1"/>
  <c r="D71" i="48"/>
  <c r="A71" i="48" s="1"/>
  <c r="D72" i="48"/>
  <c r="A72" i="48" s="1"/>
  <c r="D73" i="48"/>
  <c r="A73" i="48" s="1"/>
  <c r="D74" i="48"/>
  <c r="A74" i="48" s="1"/>
  <c r="D75" i="48"/>
  <c r="D147" i="48" s="1"/>
  <c r="A147" i="48" s="1"/>
  <c r="D76" i="48"/>
  <c r="A76" i="48" s="1"/>
  <c r="D77" i="48"/>
  <c r="A77" i="48" s="1"/>
  <c r="D78" i="48"/>
  <c r="A78" i="48" s="1"/>
  <c r="D79" i="48"/>
  <c r="D151" i="48" s="1"/>
  <c r="A151" i="48" s="1"/>
  <c r="D80" i="48"/>
  <c r="A80" i="48" s="1"/>
  <c r="D81" i="48"/>
  <c r="A81" i="48" s="1"/>
  <c r="D82" i="48"/>
  <c r="A82" i="48" s="1"/>
  <c r="D83" i="48"/>
  <c r="A83" i="48" s="1"/>
  <c r="D101" i="48"/>
  <c r="A101" i="48" s="1"/>
  <c r="D125" i="48"/>
  <c r="A125" i="48" s="1"/>
  <c r="J10" i="48"/>
  <c r="J11" i="48"/>
  <c r="J12" i="48"/>
  <c r="J13" i="48"/>
  <c r="J14" i="48"/>
  <c r="J15" i="48"/>
  <c r="J87" i="48" s="1"/>
  <c r="J16" i="48"/>
  <c r="J88" i="48" s="1"/>
  <c r="J17" i="48"/>
  <c r="J18" i="48"/>
  <c r="J90" i="48" s="1"/>
  <c r="J19" i="48"/>
  <c r="J91" i="48" s="1"/>
  <c r="J20" i="48"/>
  <c r="J92" i="48" s="1"/>
  <c r="J21" i="48"/>
  <c r="J93" i="48" s="1"/>
  <c r="J22" i="48"/>
  <c r="J94" i="48" s="1"/>
  <c r="J23" i="48"/>
  <c r="J95" i="48" s="1"/>
  <c r="J24" i="48"/>
  <c r="J96" i="48" s="1"/>
  <c r="J25" i="48"/>
  <c r="J97" i="48" s="1"/>
  <c r="J26" i="48"/>
  <c r="J98" i="48" s="1"/>
  <c r="J27" i="48"/>
  <c r="J99" i="48" s="1"/>
  <c r="J28" i="48"/>
  <c r="J100" i="48" s="1"/>
  <c r="J29" i="48"/>
  <c r="J101" i="48" s="1"/>
  <c r="J30" i="48"/>
  <c r="J102" i="48" s="1"/>
  <c r="J31" i="48"/>
  <c r="J103" i="48" s="1"/>
  <c r="J32" i="48"/>
  <c r="J104" i="48" s="1"/>
  <c r="J33" i="48"/>
  <c r="J105" i="48" s="1"/>
  <c r="J34" i="48"/>
  <c r="J106" i="48" s="1"/>
  <c r="J35" i="48"/>
  <c r="J107" i="48" s="1"/>
  <c r="J36" i="48"/>
  <c r="J108" i="48" s="1"/>
  <c r="J37" i="48"/>
  <c r="J109" i="48" s="1"/>
  <c r="J38" i="48"/>
  <c r="J110" i="48" s="1"/>
  <c r="J39" i="48"/>
  <c r="J111" i="48" s="1"/>
  <c r="J40" i="48"/>
  <c r="J112" i="48" s="1"/>
  <c r="J41" i="48"/>
  <c r="J113" i="48" s="1"/>
  <c r="J42" i="48"/>
  <c r="J114" i="48" s="1"/>
  <c r="J43" i="48"/>
  <c r="J115" i="48" s="1"/>
  <c r="J44" i="48"/>
  <c r="J116" i="48" s="1"/>
  <c r="J45" i="48"/>
  <c r="J117" i="48" s="1"/>
  <c r="J46" i="48"/>
  <c r="J118" i="48" s="1"/>
  <c r="J47" i="48"/>
  <c r="J119" i="48" s="1"/>
  <c r="J48" i="48"/>
  <c r="J120" i="48" s="1"/>
  <c r="J49" i="48"/>
  <c r="J121" i="48" s="1"/>
  <c r="J50" i="48"/>
  <c r="J122" i="48" s="1"/>
  <c r="J51" i="48"/>
  <c r="J123" i="48" s="1"/>
  <c r="J52" i="48"/>
  <c r="J124" i="48" s="1"/>
  <c r="J53" i="48"/>
  <c r="J125" i="48" s="1"/>
  <c r="J54" i="48"/>
  <c r="J126" i="48" s="1"/>
  <c r="J55" i="48"/>
  <c r="J127" i="48" s="1"/>
  <c r="J56" i="48"/>
  <c r="J128" i="48" s="1"/>
  <c r="J57" i="48"/>
  <c r="J129" i="48" s="1"/>
  <c r="J58" i="48"/>
  <c r="J130" i="48" s="1"/>
  <c r="J59" i="48"/>
  <c r="J131" i="48" s="1"/>
  <c r="J60" i="48"/>
  <c r="J132" i="48" s="1"/>
  <c r="J61" i="48"/>
  <c r="J133" i="48" s="1"/>
  <c r="J62" i="48"/>
  <c r="J134" i="48" s="1"/>
  <c r="J63" i="48"/>
  <c r="J135" i="48" s="1"/>
  <c r="J64" i="48"/>
  <c r="J136" i="48" s="1"/>
  <c r="J65" i="48"/>
  <c r="J137" i="48" s="1"/>
  <c r="J66" i="48"/>
  <c r="J138" i="48" s="1"/>
  <c r="J67" i="48"/>
  <c r="J139" i="48" s="1"/>
  <c r="J68" i="48"/>
  <c r="J140" i="48" s="1"/>
  <c r="J69" i="48"/>
  <c r="J141" i="48" s="1"/>
  <c r="J70" i="48"/>
  <c r="J142" i="48" s="1"/>
  <c r="J71" i="48"/>
  <c r="J143" i="48" s="1"/>
  <c r="J72" i="48"/>
  <c r="J144" i="48" s="1"/>
  <c r="J73" i="48"/>
  <c r="J145" i="48" s="1"/>
  <c r="J74" i="48"/>
  <c r="J146" i="48" s="1"/>
  <c r="J75" i="48"/>
  <c r="J147" i="48" s="1"/>
  <c r="J76" i="48"/>
  <c r="J148" i="48" s="1"/>
  <c r="J77" i="48"/>
  <c r="J149" i="48" s="1"/>
  <c r="J78" i="48"/>
  <c r="J150" i="48" s="1"/>
  <c r="J79" i="48"/>
  <c r="J151" i="48" s="1"/>
  <c r="J80" i="48"/>
  <c r="J152" i="48" s="1"/>
  <c r="J81" i="48"/>
  <c r="J153" i="48" s="1"/>
  <c r="J82" i="48"/>
  <c r="J83" i="48"/>
  <c r="J84" i="48"/>
  <c r="J85" i="48"/>
  <c r="J86" i="48"/>
  <c r="D88" i="64"/>
  <c r="D89" i="64"/>
  <c r="D84" i="64"/>
  <c r="D85" i="64"/>
  <c r="D86" i="64"/>
  <c r="D47" i="64"/>
  <c r="D48" i="64"/>
  <c r="D49" i="64"/>
  <c r="D50" i="64"/>
  <c r="D51" i="64"/>
  <c r="D52" i="64"/>
  <c r="D53" i="64"/>
  <c r="D54" i="64"/>
  <c r="D55" i="64"/>
  <c r="D56" i="64"/>
  <c r="D57" i="64"/>
  <c r="D58" i="64"/>
  <c r="D59" i="64"/>
  <c r="D60" i="64"/>
  <c r="D61" i="64"/>
  <c r="D62" i="64"/>
  <c r="D63" i="64"/>
  <c r="D64" i="64"/>
  <c r="D65" i="64"/>
  <c r="D66" i="64"/>
  <c r="D67" i="64"/>
  <c r="D68" i="64"/>
  <c r="D69" i="64"/>
  <c r="D70" i="64"/>
  <c r="D71" i="64"/>
  <c r="D72" i="64"/>
  <c r="D73" i="64"/>
  <c r="D74" i="64"/>
  <c r="D75" i="64"/>
  <c r="D76" i="64"/>
  <c r="D77" i="64"/>
  <c r="D78" i="64"/>
  <c r="D79" i="64"/>
  <c r="D80" i="64"/>
  <c r="D81" i="64"/>
  <c r="D82" i="64"/>
  <c r="D83" i="64"/>
  <c r="D31" i="64"/>
  <c r="F2" i="64"/>
  <c r="G2" i="64" s="1"/>
  <c r="H2" i="64" s="1"/>
  <c r="I2" i="64" s="1"/>
  <c r="J2" i="64" s="1"/>
  <c r="K2" i="64" s="1"/>
  <c r="L2" i="64" s="1"/>
  <c r="D32" i="64"/>
  <c r="D33" i="64"/>
  <c r="D34" i="64"/>
  <c r="D35" i="64"/>
  <c r="D36" i="64"/>
  <c r="D37" i="64"/>
  <c r="D38" i="64"/>
  <c r="D39" i="64"/>
  <c r="D40" i="64"/>
  <c r="D41" i="64"/>
  <c r="D42" i="64"/>
  <c r="D43" i="64"/>
  <c r="D44" i="64"/>
  <c r="D45" i="64"/>
  <c r="D46" i="64"/>
  <c r="G126" i="12"/>
  <c r="G128" i="12" s="1"/>
  <c r="B86" i="10"/>
  <c r="H122" i="12"/>
  <c r="H128" i="12"/>
  <c r="G80" i="12" s="1"/>
  <c r="I128" i="12"/>
  <c r="H80" i="12" s="1"/>
  <c r="G138" i="12"/>
  <c r="C81" i="12" s="1"/>
  <c r="H138" i="12"/>
  <c r="G81" i="12" s="1"/>
  <c r="I133" i="12"/>
  <c r="I138" i="12" s="1"/>
  <c r="H81" i="12" s="1"/>
  <c r="I134" i="12"/>
  <c r="I135" i="12"/>
  <c r="I136" i="12"/>
  <c r="I137" i="12"/>
  <c r="A5" i="55"/>
  <c r="A6" i="55" s="1"/>
  <c r="A3" i="54"/>
  <c r="A4" i="54"/>
  <c r="A5" i="54"/>
  <c r="A6" i="54"/>
  <c r="A7" i="54"/>
  <c r="A8" i="54"/>
  <c r="A9" i="54"/>
  <c r="A10" i="54"/>
  <c r="A11" i="54"/>
  <c r="A12" i="54"/>
  <c r="A13" i="54"/>
  <c r="A14" i="54"/>
  <c r="A15" i="54"/>
  <c r="A16" i="54"/>
  <c r="A17" i="54"/>
  <c r="A18" i="54"/>
  <c r="A19" i="54"/>
  <c r="A20" i="54"/>
  <c r="A21" i="54"/>
  <c r="A22" i="54"/>
  <c r="A23" i="54"/>
  <c r="A24" i="54"/>
  <c r="A25" i="54"/>
  <c r="A26" i="54"/>
  <c r="A27" i="54"/>
  <c r="A28" i="54"/>
  <c r="A29" i="54"/>
  <c r="A30" i="54"/>
  <c r="A31" i="54"/>
  <c r="A32" i="54"/>
  <c r="A33" i="54"/>
  <c r="A34" i="54"/>
  <c r="A35" i="54"/>
  <c r="A36" i="54"/>
  <c r="A37" i="54"/>
  <c r="A38" i="54"/>
  <c r="A39" i="54"/>
  <c r="A40" i="54"/>
  <c r="A41" i="54"/>
  <c r="A42" i="54"/>
  <c r="A43" i="54"/>
  <c r="A44" i="54"/>
  <c r="A45" i="54"/>
  <c r="A46" i="54"/>
  <c r="A47" i="54"/>
  <c r="A48" i="54"/>
  <c r="A49" i="54"/>
  <c r="A50" i="54"/>
  <c r="A51" i="54"/>
  <c r="A52" i="54"/>
  <c r="A53" i="54"/>
  <c r="A54" i="54"/>
  <c r="A55" i="54"/>
  <c r="A56" i="54"/>
  <c r="A57" i="54"/>
  <c r="A58" i="54"/>
  <c r="A59" i="54"/>
  <c r="A60" i="54"/>
  <c r="A61" i="54"/>
  <c r="A62" i="54"/>
  <c r="A63" i="54"/>
  <c r="A64" i="54"/>
  <c r="A65" i="54"/>
  <c r="A66" i="54"/>
  <c r="A67" i="54"/>
  <c r="A68" i="54"/>
  <c r="A69" i="54"/>
  <c r="A70" i="54"/>
  <c r="A71" i="54"/>
  <c r="A72" i="54"/>
  <c r="A73" i="54"/>
  <c r="A74" i="54"/>
  <c r="A75" i="54"/>
  <c r="A76" i="54"/>
  <c r="A77" i="54"/>
  <c r="A78" i="54"/>
  <c r="A79" i="54"/>
  <c r="A80" i="54"/>
  <c r="A81" i="54"/>
  <c r="A82" i="54"/>
  <c r="A83" i="54"/>
  <c r="A84" i="54"/>
  <c r="A85" i="54"/>
  <c r="A86" i="54"/>
  <c r="A87" i="54"/>
  <c r="A88" i="54"/>
  <c r="A89" i="54"/>
  <c r="A90" i="54"/>
  <c r="A91" i="54"/>
  <c r="A92" i="54"/>
  <c r="A93" i="54"/>
  <c r="A94" i="54"/>
  <c r="A95" i="54"/>
  <c r="A96" i="54"/>
  <c r="A97" i="54"/>
  <c r="A98" i="54"/>
  <c r="A99" i="54"/>
  <c r="A100" i="54"/>
  <c r="A101" i="54"/>
  <c r="A102" i="54"/>
  <c r="A103" i="54"/>
  <c r="A104" i="54"/>
  <c r="A105" i="54"/>
  <c r="A106" i="54"/>
  <c r="A107" i="54"/>
  <c r="A108" i="54"/>
  <c r="A109" i="54"/>
  <c r="A110" i="54"/>
  <c r="A111" i="54"/>
  <c r="A112" i="54"/>
  <c r="A113" i="54"/>
  <c r="A114" i="54"/>
  <c r="A115" i="54"/>
  <c r="A116" i="54"/>
  <c r="A117" i="54"/>
  <c r="A118" i="54"/>
  <c r="A119" i="54"/>
  <c r="A120" i="54"/>
  <c r="A121" i="54"/>
  <c r="A122" i="54"/>
  <c r="A123" i="54"/>
  <c r="A124" i="54"/>
  <c r="A125" i="54"/>
  <c r="A126" i="54"/>
  <c r="A127" i="54"/>
  <c r="A128" i="54"/>
  <c r="A129" i="54"/>
  <c r="A130" i="54"/>
  <c r="A131" i="54"/>
  <c r="A132" i="54"/>
  <c r="A133" i="54"/>
  <c r="A134" i="54"/>
  <c r="A135" i="54"/>
  <c r="A136" i="54"/>
  <c r="A137" i="54"/>
  <c r="A138" i="54"/>
  <c r="A139" i="54"/>
  <c r="A140" i="54"/>
  <c r="A141" i="54"/>
  <c r="A142" i="54"/>
  <c r="A143" i="54"/>
  <c r="A144" i="54"/>
  <c r="A145" i="54"/>
  <c r="A146" i="54"/>
  <c r="A147" i="54"/>
  <c r="A148" i="54"/>
  <c r="A149" i="54"/>
  <c r="A150" i="54"/>
  <c r="A151" i="54"/>
  <c r="A152" i="54"/>
  <c r="A153" i="54"/>
  <c r="A154" i="54"/>
  <c r="A155" i="54"/>
  <c r="A156" i="54"/>
  <c r="A157" i="54"/>
  <c r="A158" i="54"/>
  <c r="A159" i="54"/>
  <c r="A160" i="54"/>
  <c r="A161" i="54"/>
  <c r="A162" i="54"/>
  <c r="A163" i="54"/>
  <c r="A164" i="54"/>
  <c r="A165" i="54"/>
  <c r="A166" i="54"/>
  <c r="A167" i="54"/>
  <c r="A168" i="54"/>
  <c r="A169" i="54"/>
  <c r="A170" i="54"/>
  <c r="A171" i="54"/>
  <c r="A172" i="54"/>
  <c r="A173" i="54"/>
  <c r="A174" i="54"/>
  <c r="A175" i="54"/>
  <c r="A176" i="54"/>
  <c r="A177" i="54"/>
  <c r="A178" i="54"/>
  <c r="A179" i="54"/>
  <c r="A180" i="54"/>
  <c r="A181" i="54"/>
  <c r="A182" i="54"/>
  <c r="A183" i="54"/>
  <c r="A184" i="54"/>
  <c r="A185" i="54"/>
  <c r="A186" i="54"/>
  <c r="A187" i="54"/>
  <c r="A188" i="54"/>
  <c r="A189" i="54"/>
  <c r="A190" i="54"/>
  <c r="A191" i="54"/>
  <c r="A192" i="54"/>
  <c r="A193" i="54"/>
  <c r="A194" i="54"/>
  <c r="A195" i="54"/>
  <c r="A196" i="54"/>
  <c r="A197" i="54"/>
  <c r="A198" i="54"/>
  <c r="A199" i="54"/>
  <c r="A200" i="54"/>
  <c r="A201" i="54"/>
  <c r="A202" i="54"/>
  <c r="A203" i="54"/>
  <c r="A204" i="54"/>
  <c r="A205" i="54"/>
  <c r="A206" i="54"/>
  <c r="A207" i="54"/>
  <c r="A208" i="54"/>
  <c r="A209" i="54"/>
  <c r="A210" i="54"/>
  <c r="A211" i="54"/>
  <c r="A212" i="54"/>
  <c r="A213" i="54"/>
  <c r="A214" i="54"/>
  <c r="A215" i="54"/>
  <c r="A216" i="54"/>
  <c r="A217" i="54"/>
  <c r="A218" i="54"/>
  <c r="A219" i="54"/>
  <c r="A220" i="54"/>
  <c r="A221" i="54"/>
  <c r="A222" i="54"/>
  <c r="A223" i="54"/>
  <c r="A224" i="54"/>
  <c r="A225" i="54"/>
  <c r="A226" i="54"/>
  <c r="A227" i="54"/>
  <c r="A228" i="54"/>
  <c r="A229" i="54"/>
  <c r="A230" i="54"/>
  <c r="A231" i="54"/>
  <c r="A232" i="54"/>
  <c r="A233" i="54"/>
  <c r="A234" i="54"/>
  <c r="A235" i="54"/>
  <c r="A236" i="54"/>
  <c r="A237" i="54"/>
  <c r="A238" i="54"/>
  <c r="A239" i="54"/>
  <c r="A240" i="54"/>
  <c r="A241" i="54"/>
  <c r="A242" i="54"/>
  <c r="A243" i="54"/>
  <c r="A244" i="54"/>
  <c r="A245" i="54"/>
  <c r="A246" i="54"/>
  <c r="A247" i="54"/>
  <c r="A248" i="54"/>
  <c r="A249" i="54"/>
  <c r="A250" i="54"/>
  <c r="A251" i="54"/>
  <c r="A252" i="54"/>
  <c r="A253" i="54"/>
  <c r="A254" i="54"/>
  <c r="A255" i="54"/>
  <c r="A256" i="54"/>
  <c r="A257" i="54"/>
  <c r="A258" i="54"/>
  <c r="A259" i="54"/>
  <c r="A260" i="54"/>
  <c r="A261" i="54"/>
  <c r="A262" i="54"/>
  <c r="A263" i="54"/>
  <c r="A264" i="54"/>
  <c r="A265" i="54"/>
  <c r="A266" i="54"/>
  <c r="A267" i="54"/>
  <c r="A268" i="54"/>
  <c r="A269" i="54"/>
  <c r="A270" i="54"/>
  <c r="A271" i="54"/>
  <c r="A272" i="54"/>
  <c r="A273" i="54"/>
  <c r="A274" i="54"/>
  <c r="A275" i="54"/>
  <c r="A276" i="54"/>
  <c r="A277" i="54"/>
  <c r="A278" i="54"/>
  <c r="A279" i="54"/>
  <c r="A280" i="54"/>
  <c r="A281" i="54"/>
  <c r="A282" i="54"/>
  <c r="A283" i="54"/>
  <c r="A284" i="54"/>
  <c r="A285" i="54"/>
  <c r="A286" i="54"/>
  <c r="A287" i="54"/>
  <c r="A288" i="54"/>
  <c r="A289" i="54"/>
  <c r="A290" i="54"/>
  <c r="A291" i="54"/>
  <c r="A292" i="54"/>
  <c r="A293" i="54"/>
  <c r="A294" i="54"/>
  <c r="A295" i="54"/>
  <c r="A296" i="54"/>
  <c r="A297" i="54"/>
  <c r="A298" i="54"/>
  <c r="A299" i="54"/>
  <c r="A300" i="54"/>
  <c r="A301" i="54"/>
  <c r="A302" i="54"/>
  <c r="A303" i="54"/>
  <c r="A304" i="54"/>
  <c r="A305" i="54"/>
  <c r="A306" i="54"/>
  <c r="A307" i="54"/>
  <c r="A308" i="54"/>
  <c r="A309" i="54"/>
  <c r="A310" i="54"/>
  <c r="A311" i="54"/>
  <c r="A312" i="54"/>
  <c r="A313" i="54"/>
  <c r="A314" i="54"/>
  <c r="A315" i="54"/>
  <c r="A316" i="54"/>
  <c r="A317" i="54"/>
  <c r="A318" i="54"/>
  <c r="A319" i="54"/>
  <c r="A320" i="54"/>
  <c r="A321" i="54"/>
  <c r="A322" i="54"/>
  <c r="A323" i="54"/>
  <c r="A324" i="54"/>
  <c r="A325" i="54"/>
  <c r="A326" i="54"/>
  <c r="A327" i="54"/>
  <c r="A328" i="54"/>
  <c r="A329" i="54"/>
  <c r="A330" i="54"/>
  <c r="A331" i="54"/>
  <c r="A332" i="54"/>
  <c r="A333" i="54"/>
  <c r="A334" i="54"/>
  <c r="A335" i="54"/>
  <c r="A336" i="54"/>
  <c r="A337" i="54"/>
  <c r="A338" i="54"/>
  <c r="A339" i="54"/>
  <c r="A340" i="54"/>
  <c r="A341" i="54"/>
  <c r="A342" i="54"/>
  <c r="A343" i="54"/>
  <c r="A344" i="54"/>
  <c r="A345" i="54"/>
  <c r="A346" i="54"/>
  <c r="A347" i="54"/>
  <c r="A348" i="54"/>
  <c r="A349" i="54"/>
  <c r="A350" i="54"/>
  <c r="A351" i="54"/>
  <c r="A352" i="54"/>
  <c r="A353" i="54"/>
  <c r="A354" i="54"/>
  <c r="A355" i="54"/>
  <c r="A356" i="54"/>
  <c r="A357" i="54"/>
  <c r="A358" i="54"/>
  <c r="A359" i="54"/>
  <c r="A360" i="54"/>
  <c r="A361" i="54"/>
  <c r="A362" i="54"/>
  <c r="A363" i="54"/>
  <c r="A364" i="54"/>
  <c r="A365" i="54"/>
  <c r="A366" i="54"/>
  <c r="A367" i="54"/>
  <c r="A368" i="54"/>
  <c r="A369" i="54"/>
  <c r="A370" i="54"/>
  <c r="A371" i="54"/>
  <c r="A372" i="54"/>
  <c r="A373" i="54"/>
  <c r="A374" i="54"/>
  <c r="A375" i="54"/>
  <c r="A376" i="54"/>
  <c r="A377" i="54"/>
  <c r="A378" i="54"/>
  <c r="A379" i="54"/>
  <c r="A380" i="54"/>
  <c r="A381" i="54"/>
  <c r="A382" i="54"/>
  <c r="A383" i="54"/>
  <c r="A384" i="54"/>
  <c r="A385" i="54"/>
  <c r="A386" i="54"/>
  <c r="A387" i="54"/>
  <c r="A388" i="54"/>
  <c r="A389" i="54"/>
  <c r="A390" i="54"/>
  <c r="A391" i="54"/>
  <c r="A392" i="54"/>
  <c r="A393" i="54"/>
  <c r="A394" i="54"/>
  <c r="A395" i="54"/>
  <c r="A396" i="54"/>
  <c r="A397" i="54"/>
  <c r="A398" i="54"/>
  <c r="A399" i="54"/>
  <c r="A400" i="54"/>
  <c r="A22" i="56"/>
  <c r="A23" i="56" s="1"/>
  <c r="A24" i="56" s="1"/>
  <c r="A25" i="56" s="1"/>
  <c r="A26" i="56" s="1"/>
  <c r="A27" i="56" s="1"/>
  <c r="A28" i="56" s="1"/>
  <c r="A29" i="56" s="1"/>
  <c r="A30" i="56" s="1"/>
  <c r="A31" i="56" s="1"/>
  <c r="A32" i="56" s="1"/>
  <c r="A33" i="56" s="1"/>
  <c r="A34" i="56" s="1"/>
  <c r="A35" i="56" s="1"/>
  <c r="A36" i="56" s="1"/>
  <c r="A37" i="56" s="1"/>
  <c r="A38" i="56" s="1"/>
  <c r="A39" i="56" s="1"/>
  <c r="A40" i="56" s="1"/>
  <c r="B108" i="10"/>
  <c r="D108" i="10"/>
  <c r="D24" i="10" s="1"/>
  <c r="J108" i="10"/>
  <c r="J24" i="10" s="1"/>
  <c r="M24" i="10"/>
  <c r="C40" i="11" s="1"/>
  <c r="G44" i="17"/>
  <c r="G148" i="12"/>
  <c r="C82" i="12" s="1"/>
  <c r="I82" i="12" s="1"/>
  <c r="S82" i="12" s="1"/>
  <c r="J40" i="12" s="1"/>
  <c r="H148" i="12"/>
  <c r="G82" i="12" s="1"/>
  <c r="I145" i="12"/>
  <c r="I146" i="12"/>
  <c r="I148" i="12"/>
  <c r="H82" i="12" s="1"/>
  <c r="G103" i="12"/>
  <c r="G108" i="12" s="1"/>
  <c r="D78" i="12" s="1"/>
  <c r="G104" i="12"/>
  <c r="G105" i="12"/>
  <c r="H108" i="12"/>
  <c r="G78" i="12" s="1"/>
  <c r="I108" i="12"/>
  <c r="H78" i="12" s="1"/>
  <c r="G151" i="12"/>
  <c r="G158" i="12" s="1"/>
  <c r="D83" i="12" s="1"/>
  <c r="G152" i="12"/>
  <c r="G153" i="12"/>
  <c r="G154" i="12"/>
  <c r="G155" i="12"/>
  <c r="G156" i="12"/>
  <c r="G157" i="12"/>
  <c r="H151" i="12"/>
  <c r="H152" i="12"/>
  <c r="H153" i="12"/>
  <c r="H154" i="12"/>
  <c r="H155" i="12"/>
  <c r="H156" i="12"/>
  <c r="H157" i="12"/>
  <c r="I151" i="12"/>
  <c r="I152" i="12"/>
  <c r="I153" i="12"/>
  <c r="I154" i="12"/>
  <c r="I155" i="12"/>
  <c r="I156" i="12"/>
  <c r="I157" i="12"/>
  <c r="I158" i="12"/>
  <c r="H83" i="12" s="1"/>
  <c r="B32" i="17"/>
  <c r="B44" i="17" s="1"/>
  <c r="D71" i="17" s="1"/>
  <c r="B31" i="17"/>
  <c r="B43" i="17" s="1"/>
  <c r="B33" i="17"/>
  <c r="B45" i="17" s="1"/>
  <c r="D77" i="17" s="1"/>
  <c r="B34" i="17"/>
  <c r="B46" i="17" s="1"/>
  <c r="B35" i="17"/>
  <c r="B47" i="17" s="1"/>
  <c r="B36" i="17"/>
  <c r="B48" i="17" s="1"/>
  <c r="B37" i="17"/>
  <c r="B49" i="17" s="1"/>
  <c r="D104" i="17" s="1"/>
  <c r="B38" i="17"/>
  <c r="B50" i="17" s="1"/>
  <c r="D110" i="17" s="1"/>
  <c r="B39" i="17"/>
  <c r="B51" i="17"/>
  <c r="D116" i="17" s="1"/>
  <c r="E108" i="10"/>
  <c r="E24" i="10"/>
  <c r="N24" i="10" s="1"/>
  <c r="D40" i="11" s="1"/>
  <c r="AA78" i="14"/>
  <c r="F75" i="14" s="1"/>
  <c r="G72" i="14"/>
  <c r="AA79" i="14"/>
  <c r="F76" i="14" s="1"/>
  <c r="G70" i="14"/>
  <c r="E83" i="67" s="1"/>
  <c r="F77" i="14"/>
  <c r="W76" i="14"/>
  <c r="H77" i="14"/>
  <c r="F78" i="14"/>
  <c r="W75" i="14"/>
  <c r="H78" i="14" s="1"/>
  <c r="F79" i="14"/>
  <c r="W78" i="14"/>
  <c r="H79" i="14"/>
  <c r="J80" i="14"/>
  <c r="J42" i="12"/>
  <c r="G51" i="17"/>
  <c r="G36" i="28"/>
  <c r="F36" i="28"/>
  <c r="E36" i="28"/>
  <c r="D36" i="28"/>
  <c r="C36" i="28"/>
  <c r="B36" i="28"/>
  <c r="G35" i="28"/>
  <c r="F35" i="28"/>
  <c r="E35" i="28"/>
  <c r="D35" i="28"/>
  <c r="C35" i="28"/>
  <c r="B35" i="28"/>
  <c r="G34" i="28"/>
  <c r="F34" i="28"/>
  <c r="E34" i="28"/>
  <c r="D34" i="28"/>
  <c r="C34" i="28"/>
  <c r="B34" i="28"/>
  <c r="G33" i="28"/>
  <c r="F33" i="28"/>
  <c r="E33" i="28"/>
  <c r="D33" i="28"/>
  <c r="C33" i="28"/>
  <c r="B33" i="28"/>
  <c r="G32" i="28"/>
  <c r="F32" i="28"/>
  <c r="E32" i="28"/>
  <c r="D32" i="28"/>
  <c r="C32" i="28"/>
  <c r="B32" i="28"/>
  <c r="G31" i="28"/>
  <c r="F31" i="28"/>
  <c r="E31" i="28"/>
  <c r="D31" i="28"/>
  <c r="C31" i="28"/>
  <c r="B31" i="28"/>
  <c r="G30" i="28"/>
  <c r="F30" i="28"/>
  <c r="E30" i="28"/>
  <c r="D30" i="28"/>
  <c r="C30" i="28"/>
  <c r="B30" i="28"/>
  <c r="G29" i="28"/>
  <c r="F29" i="28"/>
  <c r="E29" i="28"/>
  <c r="D29" i="28"/>
  <c r="C29" i="28"/>
  <c r="B29" i="28"/>
  <c r="G28" i="28"/>
  <c r="F28" i="28"/>
  <c r="E28" i="28"/>
  <c r="D28" i="28"/>
  <c r="C28" i="28"/>
  <c r="B28" i="28"/>
  <c r="J6" i="28"/>
  <c r="I6" i="28"/>
  <c r="H6" i="28"/>
  <c r="G6" i="28"/>
  <c r="F6" i="28"/>
  <c r="E6" i="28"/>
  <c r="D6" i="28"/>
  <c r="C6" i="28"/>
  <c r="B6" i="28"/>
  <c r="J189" i="29"/>
  <c r="J369" i="29" s="1"/>
  <c r="G189" i="29"/>
  <c r="G369" i="29" s="1"/>
  <c r="D189" i="29"/>
  <c r="D369" i="29" s="1"/>
  <c r="J188" i="29"/>
  <c r="J368" i="29" s="1"/>
  <c r="G188" i="29"/>
  <c r="G368" i="29" s="1"/>
  <c r="D188" i="29"/>
  <c r="D368" i="29" s="1"/>
  <c r="J187" i="29"/>
  <c r="J367" i="29" s="1"/>
  <c r="G187" i="29"/>
  <c r="G367" i="29" s="1"/>
  <c r="D187" i="29"/>
  <c r="D367" i="29" s="1"/>
  <c r="J186" i="29"/>
  <c r="J366" i="29" s="1"/>
  <c r="G186" i="29"/>
  <c r="G366" i="29" s="1"/>
  <c r="D186" i="29"/>
  <c r="J185" i="29"/>
  <c r="J365" i="29" s="1"/>
  <c r="G185" i="29"/>
  <c r="G365" i="29" s="1"/>
  <c r="D185" i="29"/>
  <c r="D365" i="29" s="1"/>
  <c r="J184" i="29"/>
  <c r="J364" i="29" s="1"/>
  <c r="G184" i="29"/>
  <c r="G364" i="29" s="1"/>
  <c r="D184" i="29"/>
  <c r="D364" i="29" s="1"/>
  <c r="J183" i="29"/>
  <c r="J363" i="29" s="1"/>
  <c r="G183" i="29"/>
  <c r="G363" i="29" s="1"/>
  <c r="D183" i="29"/>
  <c r="D363" i="29" s="1"/>
  <c r="J182" i="29"/>
  <c r="J362" i="29" s="1"/>
  <c r="G182" i="29"/>
  <c r="G362" i="29" s="1"/>
  <c r="D182" i="29"/>
  <c r="D362" i="29" s="1"/>
  <c r="J181" i="29"/>
  <c r="J361" i="29" s="1"/>
  <c r="G181" i="29"/>
  <c r="G361" i="29" s="1"/>
  <c r="D181" i="29"/>
  <c r="D361" i="29" s="1"/>
  <c r="J180" i="29"/>
  <c r="J360" i="29" s="1"/>
  <c r="G180" i="29"/>
  <c r="G360" i="29" s="1"/>
  <c r="D180" i="29"/>
  <c r="D360" i="29" s="1"/>
  <c r="J179" i="29"/>
  <c r="J359" i="29" s="1"/>
  <c r="G179" i="29"/>
  <c r="G359" i="29" s="1"/>
  <c r="D179" i="29"/>
  <c r="D359" i="29" s="1"/>
  <c r="J178" i="29"/>
  <c r="J358" i="29" s="1"/>
  <c r="G178" i="29"/>
  <c r="G358" i="29" s="1"/>
  <c r="D178" i="29"/>
  <c r="D358" i="29" s="1"/>
  <c r="J177" i="29"/>
  <c r="J357" i="29" s="1"/>
  <c r="G177" i="29"/>
  <c r="G357" i="29" s="1"/>
  <c r="D177" i="29"/>
  <c r="D357" i="29" s="1"/>
  <c r="J176" i="29"/>
  <c r="J356" i="29" s="1"/>
  <c r="G176" i="29"/>
  <c r="G356" i="29" s="1"/>
  <c r="D176" i="29"/>
  <c r="D356" i="29" s="1"/>
  <c r="J175" i="29"/>
  <c r="J355" i="29" s="1"/>
  <c r="G175" i="29"/>
  <c r="G355" i="29" s="1"/>
  <c r="D175" i="29"/>
  <c r="D355" i="29" s="1"/>
  <c r="J174" i="29"/>
  <c r="J354" i="29" s="1"/>
  <c r="G174" i="29"/>
  <c r="G354" i="29" s="1"/>
  <c r="D174" i="29"/>
  <c r="D354" i="29" s="1"/>
  <c r="J173" i="29"/>
  <c r="J353" i="29" s="1"/>
  <c r="G173" i="29"/>
  <c r="G353" i="29" s="1"/>
  <c r="D173" i="29"/>
  <c r="D353" i="29" s="1"/>
  <c r="J172" i="29"/>
  <c r="J352" i="29" s="1"/>
  <c r="G172" i="29"/>
  <c r="G352" i="29" s="1"/>
  <c r="D172" i="29"/>
  <c r="D352" i="29" s="1"/>
  <c r="J171" i="29"/>
  <c r="J351" i="29" s="1"/>
  <c r="G171" i="29"/>
  <c r="G351" i="29" s="1"/>
  <c r="D171" i="29"/>
  <c r="D351" i="29" s="1"/>
  <c r="J170" i="29"/>
  <c r="J350" i="29" s="1"/>
  <c r="G170" i="29"/>
  <c r="G350" i="29" s="1"/>
  <c r="D170" i="29"/>
  <c r="D350" i="29" s="1"/>
  <c r="J169" i="29"/>
  <c r="J349" i="29" s="1"/>
  <c r="G169" i="29"/>
  <c r="G349" i="29" s="1"/>
  <c r="D169" i="29"/>
  <c r="D349" i="29" s="1"/>
  <c r="J168" i="29"/>
  <c r="J348" i="29" s="1"/>
  <c r="G168" i="29"/>
  <c r="G348" i="29" s="1"/>
  <c r="D168" i="29"/>
  <c r="D348" i="29" s="1"/>
  <c r="J167" i="29"/>
  <c r="J347" i="29" s="1"/>
  <c r="G167" i="29"/>
  <c r="G347" i="29" s="1"/>
  <c r="D167" i="29"/>
  <c r="D347" i="29" s="1"/>
  <c r="J166" i="29"/>
  <c r="J346" i="29" s="1"/>
  <c r="G166" i="29"/>
  <c r="G346" i="29" s="1"/>
  <c r="D166" i="29"/>
  <c r="D346" i="29" s="1"/>
  <c r="J165" i="29"/>
  <c r="J345" i="29" s="1"/>
  <c r="G165" i="29"/>
  <c r="G345" i="29" s="1"/>
  <c r="D165" i="29"/>
  <c r="D345" i="29" s="1"/>
  <c r="J164" i="29"/>
  <c r="J344" i="29" s="1"/>
  <c r="G164" i="29"/>
  <c r="G344" i="29" s="1"/>
  <c r="D164" i="29"/>
  <c r="D344" i="29" s="1"/>
  <c r="J163" i="29"/>
  <c r="J343" i="29" s="1"/>
  <c r="G163" i="29"/>
  <c r="G343" i="29" s="1"/>
  <c r="D163" i="29"/>
  <c r="D343" i="29" s="1"/>
  <c r="J162" i="29"/>
  <c r="J342" i="29" s="1"/>
  <c r="G162" i="29"/>
  <c r="G342" i="29" s="1"/>
  <c r="D162" i="29"/>
  <c r="D342" i="29" s="1"/>
  <c r="J161" i="29"/>
  <c r="J341" i="29" s="1"/>
  <c r="G161" i="29"/>
  <c r="G341" i="29" s="1"/>
  <c r="D161" i="29"/>
  <c r="D341" i="29" s="1"/>
  <c r="J160" i="29"/>
  <c r="J340" i="29" s="1"/>
  <c r="G160" i="29"/>
  <c r="G340" i="29" s="1"/>
  <c r="D160" i="29"/>
  <c r="D340" i="29" s="1"/>
  <c r="J159" i="29"/>
  <c r="J339" i="29" s="1"/>
  <c r="G159" i="29"/>
  <c r="G339" i="29" s="1"/>
  <c r="D159" i="29"/>
  <c r="D339" i="29" s="1"/>
  <c r="J158" i="29"/>
  <c r="J338" i="29" s="1"/>
  <c r="G158" i="29"/>
  <c r="G338" i="29" s="1"/>
  <c r="D158" i="29"/>
  <c r="D338" i="29" s="1"/>
  <c r="J157" i="29"/>
  <c r="J337" i="29" s="1"/>
  <c r="G157" i="29"/>
  <c r="G337" i="29" s="1"/>
  <c r="D157" i="29"/>
  <c r="D337" i="29" s="1"/>
  <c r="J156" i="29"/>
  <c r="J336" i="29" s="1"/>
  <c r="G156" i="29"/>
  <c r="G336" i="29" s="1"/>
  <c r="D156" i="29"/>
  <c r="D336" i="29" s="1"/>
  <c r="J155" i="29"/>
  <c r="J335" i="29" s="1"/>
  <c r="G155" i="29"/>
  <c r="G335" i="29" s="1"/>
  <c r="D155" i="29"/>
  <c r="D335" i="29" s="1"/>
  <c r="J154" i="29"/>
  <c r="J334" i="29" s="1"/>
  <c r="G154" i="29"/>
  <c r="G334" i="29" s="1"/>
  <c r="D154" i="29"/>
  <c r="D334" i="29" s="1"/>
  <c r="J153" i="29"/>
  <c r="J333" i="29" s="1"/>
  <c r="G153" i="29"/>
  <c r="G333" i="29" s="1"/>
  <c r="D153" i="29"/>
  <c r="D333" i="29" s="1"/>
  <c r="J152" i="29"/>
  <c r="J332" i="29" s="1"/>
  <c r="G152" i="29"/>
  <c r="G332" i="29" s="1"/>
  <c r="D152" i="29"/>
  <c r="D332" i="29" s="1"/>
  <c r="J151" i="29"/>
  <c r="J331" i="29" s="1"/>
  <c r="G151" i="29"/>
  <c r="G331" i="29" s="1"/>
  <c r="D151" i="29"/>
  <c r="D331" i="29" s="1"/>
  <c r="J150" i="29"/>
  <c r="J330" i="29" s="1"/>
  <c r="G150" i="29"/>
  <c r="G330" i="29" s="1"/>
  <c r="D150" i="29"/>
  <c r="D330" i="29" s="1"/>
  <c r="J149" i="29"/>
  <c r="J329" i="29" s="1"/>
  <c r="G149" i="29"/>
  <c r="G329" i="29" s="1"/>
  <c r="D149" i="29"/>
  <c r="D329" i="29" s="1"/>
  <c r="J148" i="29"/>
  <c r="J328" i="29" s="1"/>
  <c r="G148" i="29"/>
  <c r="G328" i="29" s="1"/>
  <c r="D148" i="29"/>
  <c r="D328" i="29" s="1"/>
  <c r="J147" i="29"/>
  <c r="J327" i="29" s="1"/>
  <c r="G147" i="29"/>
  <c r="G327" i="29" s="1"/>
  <c r="D147" i="29"/>
  <c r="D327" i="29" s="1"/>
  <c r="J146" i="29"/>
  <c r="J326" i="29" s="1"/>
  <c r="G146" i="29"/>
  <c r="G326" i="29" s="1"/>
  <c r="D146" i="29"/>
  <c r="D326" i="29" s="1"/>
  <c r="J145" i="29"/>
  <c r="J325" i="29" s="1"/>
  <c r="G145" i="29"/>
  <c r="G325" i="29" s="1"/>
  <c r="D145" i="29"/>
  <c r="D325" i="29" s="1"/>
  <c r="J144" i="29"/>
  <c r="J324" i="29" s="1"/>
  <c r="G144" i="29"/>
  <c r="G324" i="29" s="1"/>
  <c r="D144" i="29"/>
  <c r="D324" i="29" s="1"/>
  <c r="J143" i="29"/>
  <c r="J323" i="29" s="1"/>
  <c r="G143" i="29"/>
  <c r="G323" i="29" s="1"/>
  <c r="D143" i="29"/>
  <c r="D323" i="29" s="1"/>
  <c r="J142" i="29"/>
  <c r="J322" i="29" s="1"/>
  <c r="G142" i="29"/>
  <c r="G322" i="29" s="1"/>
  <c r="D142" i="29"/>
  <c r="D322" i="29" s="1"/>
  <c r="J141" i="29"/>
  <c r="J321" i="29" s="1"/>
  <c r="G141" i="29"/>
  <c r="G321" i="29" s="1"/>
  <c r="D141" i="29"/>
  <c r="D321" i="29" s="1"/>
  <c r="J140" i="29"/>
  <c r="J320" i="29" s="1"/>
  <c r="G140" i="29"/>
  <c r="G320" i="29" s="1"/>
  <c r="D140" i="29"/>
  <c r="D320" i="29" s="1"/>
  <c r="J139" i="29"/>
  <c r="J319" i="29" s="1"/>
  <c r="G139" i="29"/>
  <c r="G319" i="29" s="1"/>
  <c r="D139" i="29"/>
  <c r="D319" i="29" s="1"/>
  <c r="J138" i="29"/>
  <c r="J318" i="29" s="1"/>
  <c r="G138" i="29"/>
  <c r="G318" i="29" s="1"/>
  <c r="D138" i="29"/>
  <c r="D318" i="29" s="1"/>
  <c r="J137" i="29"/>
  <c r="J317" i="29" s="1"/>
  <c r="G137" i="29"/>
  <c r="G317" i="29" s="1"/>
  <c r="D137" i="29"/>
  <c r="D317" i="29" s="1"/>
  <c r="J136" i="29"/>
  <c r="J316" i="29" s="1"/>
  <c r="G136" i="29"/>
  <c r="G316" i="29" s="1"/>
  <c r="D136" i="29"/>
  <c r="D316" i="29" s="1"/>
  <c r="J135" i="29"/>
  <c r="J315" i="29" s="1"/>
  <c r="G135" i="29"/>
  <c r="G315" i="29" s="1"/>
  <c r="D135" i="29"/>
  <c r="D315" i="29" s="1"/>
  <c r="J134" i="29"/>
  <c r="J314" i="29" s="1"/>
  <c r="G134" i="29"/>
  <c r="G314" i="29" s="1"/>
  <c r="D134" i="29"/>
  <c r="D314" i="29" s="1"/>
  <c r="J133" i="29"/>
  <c r="J313" i="29" s="1"/>
  <c r="G133" i="29"/>
  <c r="G313" i="29" s="1"/>
  <c r="D133" i="29"/>
  <c r="D313" i="29" s="1"/>
  <c r="J132" i="29"/>
  <c r="J312" i="29" s="1"/>
  <c r="G132" i="29"/>
  <c r="G312" i="29" s="1"/>
  <c r="D132" i="29"/>
  <c r="D312" i="29" s="1"/>
  <c r="J131" i="29"/>
  <c r="J311" i="29" s="1"/>
  <c r="G131" i="29"/>
  <c r="G311" i="29" s="1"/>
  <c r="D131" i="29"/>
  <c r="D311" i="29" s="1"/>
  <c r="J130" i="29"/>
  <c r="J310" i="29" s="1"/>
  <c r="G130" i="29"/>
  <c r="G310" i="29" s="1"/>
  <c r="D130" i="29"/>
  <c r="D310" i="29" s="1"/>
  <c r="J129" i="29"/>
  <c r="J309" i="29" s="1"/>
  <c r="G129" i="29"/>
  <c r="G309" i="29" s="1"/>
  <c r="D129" i="29"/>
  <c r="D309" i="29" s="1"/>
  <c r="J128" i="29"/>
  <c r="J308" i="29" s="1"/>
  <c r="G128" i="29"/>
  <c r="G308" i="29" s="1"/>
  <c r="D128" i="29"/>
  <c r="D308" i="29" s="1"/>
  <c r="J127" i="29"/>
  <c r="J307" i="29" s="1"/>
  <c r="G127" i="29"/>
  <c r="G307" i="29" s="1"/>
  <c r="D127" i="29"/>
  <c r="D307" i="29" s="1"/>
  <c r="J126" i="29"/>
  <c r="J306" i="29" s="1"/>
  <c r="G126" i="29"/>
  <c r="G306" i="29" s="1"/>
  <c r="D126" i="29"/>
  <c r="D306" i="29" s="1"/>
  <c r="J125" i="29"/>
  <c r="J305" i="29" s="1"/>
  <c r="G125" i="29"/>
  <c r="G305" i="29" s="1"/>
  <c r="D125" i="29"/>
  <c r="D305" i="29" s="1"/>
  <c r="J124" i="29"/>
  <c r="J304" i="29" s="1"/>
  <c r="G124" i="29"/>
  <c r="G304" i="29" s="1"/>
  <c r="D124" i="29"/>
  <c r="D304" i="29" s="1"/>
  <c r="J123" i="29"/>
  <c r="J303" i="29" s="1"/>
  <c r="G123" i="29"/>
  <c r="G303" i="29" s="1"/>
  <c r="D123" i="29"/>
  <c r="D303" i="29" s="1"/>
  <c r="J122" i="29"/>
  <c r="J302" i="29" s="1"/>
  <c r="G122" i="29"/>
  <c r="G302" i="29" s="1"/>
  <c r="D122" i="29"/>
  <c r="D302" i="29" s="1"/>
  <c r="J121" i="29"/>
  <c r="J301" i="29" s="1"/>
  <c r="G121" i="29"/>
  <c r="G301" i="29" s="1"/>
  <c r="D121" i="29"/>
  <c r="D301" i="29" s="1"/>
  <c r="J120" i="29"/>
  <c r="J300" i="29" s="1"/>
  <c r="G120" i="29"/>
  <c r="G300" i="29" s="1"/>
  <c r="D120" i="29"/>
  <c r="D300" i="29" s="1"/>
  <c r="J119" i="29"/>
  <c r="J299" i="29" s="1"/>
  <c r="G119" i="29"/>
  <c r="G299" i="29" s="1"/>
  <c r="D119" i="29"/>
  <c r="D299" i="29" s="1"/>
  <c r="J118" i="29"/>
  <c r="J298" i="29" s="1"/>
  <c r="G118" i="29"/>
  <c r="G298" i="29" s="1"/>
  <c r="D118" i="29"/>
  <c r="D298" i="29" s="1"/>
  <c r="J117" i="29"/>
  <c r="J297" i="29" s="1"/>
  <c r="G117" i="29"/>
  <c r="G297" i="29" s="1"/>
  <c r="D117" i="29"/>
  <c r="D297" i="29" s="1"/>
  <c r="J116" i="29"/>
  <c r="J296" i="29" s="1"/>
  <c r="G116" i="29"/>
  <c r="G296" i="29" s="1"/>
  <c r="D116" i="29"/>
  <c r="D296" i="29" s="1"/>
  <c r="J115" i="29"/>
  <c r="J295" i="29" s="1"/>
  <c r="G115" i="29"/>
  <c r="G295" i="29" s="1"/>
  <c r="D115" i="29"/>
  <c r="D295" i="29" s="1"/>
  <c r="J114" i="29"/>
  <c r="J294" i="29" s="1"/>
  <c r="G114" i="29"/>
  <c r="G294" i="29" s="1"/>
  <c r="D114" i="29"/>
  <c r="D294" i="29" s="1"/>
  <c r="J113" i="29"/>
  <c r="J293" i="29" s="1"/>
  <c r="G113" i="29"/>
  <c r="G293" i="29" s="1"/>
  <c r="D113" i="29"/>
  <c r="D293" i="29" s="1"/>
  <c r="J112" i="29"/>
  <c r="J292" i="29" s="1"/>
  <c r="G112" i="29"/>
  <c r="G292" i="29" s="1"/>
  <c r="D112" i="29"/>
  <c r="D292" i="29" s="1"/>
  <c r="J111" i="29"/>
  <c r="J291" i="29" s="1"/>
  <c r="G111" i="29"/>
  <c r="G291" i="29" s="1"/>
  <c r="D111" i="29"/>
  <c r="D291" i="29" s="1"/>
  <c r="J110" i="29"/>
  <c r="J290" i="29" s="1"/>
  <c r="G110" i="29"/>
  <c r="G290" i="29" s="1"/>
  <c r="D110" i="29"/>
  <c r="D290" i="29" s="1"/>
  <c r="J109" i="29"/>
  <c r="J289" i="29" s="1"/>
  <c r="G109" i="29"/>
  <c r="G289" i="29" s="1"/>
  <c r="D109" i="29"/>
  <c r="D289" i="29" s="1"/>
  <c r="J108" i="29"/>
  <c r="J288" i="29" s="1"/>
  <c r="G108" i="29"/>
  <c r="G288" i="29" s="1"/>
  <c r="D108" i="29"/>
  <c r="D288" i="29" s="1"/>
  <c r="J107" i="29"/>
  <c r="J287" i="29" s="1"/>
  <c r="G107" i="29"/>
  <c r="G287" i="29" s="1"/>
  <c r="D107" i="29"/>
  <c r="D287" i="29" s="1"/>
  <c r="J106" i="29"/>
  <c r="J286" i="29" s="1"/>
  <c r="G106" i="29"/>
  <c r="G286" i="29" s="1"/>
  <c r="D106" i="29"/>
  <c r="D286" i="29" s="1"/>
  <c r="J105" i="29"/>
  <c r="J285" i="29" s="1"/>
  <c r="G105" i="29"/>
  <c r="G285" i="29" s="1"/>
  <c r="D105" i="29"/>
  <c r="D285" i="29" s="1"/>
  <c r="J104" i="29"/>
  <c r="J284" i="29" s="1"/>
  <c r="G104" i="29"/>
  <c r="G284" i="29" s="1"/>
  <c r="D104" i="29"/>
  <c r="D284" i="29" s="1"/>
  <c r="J103" i="29"/>
  <c r="J283" i="29" s="1"/>
  <c r="G103" i="29"/>
  <c r="G283" i="29" s="1"/>
  <c r="D103" i="29"/>
  <c r="D283" i="29" s="1"/>
  <c r="J102" i="29"/>
  <c r="J282" i="29" s="1"/>
  <c r="G102" i="29"/>
  <c r="G282" i="29" s="1"/>
  <c r="D102" i="29"/>
  <c r="D282" i="29" s="1"/>
  <c r="J101" i="29"/>
  <c r="J281" i="29" s="1"/>
  <c r="G101" i="29"/>
  <c r="G281" i="29" s="1"/>
  <c r="D101" i="29"/>
  <c r="D281" i="29" s="1"/>
  <c r="J100" i="29"/>
  <c r="J280" i="29" s="1"/>
  <c r="G100" i="29"/>
  <c r="G280" i="29" s="1"/>
  <c r="D100" i="29"/>
  <c r="D280" i="29" s="1"/>
  <c r="J99" i="29"/>
  <c r="J279" i="29" s="1"/>
  <c r="G99" i="29"/>
  <c r="G279" i="29" s="1"/>
  <c r="D99" i="29"/>
  <c r="D279" i="29" s="1"/>
  <c r="J98" i="29"/>
  <c r="J278" i="29" s="1"/>
  <c r="G98" i="29"/>
  <c r="G278" i="29" s="1"/>
  <c r="D98" i="29"/>
  <c r="J97" i="29"/>
  <c r="J277" i="29" s="1"/>
  <c r="G97" i="29"/>
  <c r="G277" i="29" s="1"/>
  <c r="D97" i="29"/>
  <c r="D277" i="29" s="1"/>
  <c r="J96" i="29"/>
  <c r="J276" i="29" s="1"/>
  <c r="G96" i="29"/>
  <c r="G276" i="29" s="1"/>
  <c r="D96" i="29"/>
  <c r="D276" i="29" s="1"/>
  <c r="J95" i="29"/>
  <c r="J275" i="29" s="1"/>
  <c r="G95" i="29"/>
  <c r="G275" i="29" s="1"/>
  <c r="D95" i="29"/>
  <c r="D275" i="29" s="1"/>
  <c r="J94" i="29"/>
  <c r="J274" i="29" s="1"/>
  <c r="G94" i="29"/>
  <c r="G274" i="29" s="1"/>
  <c r="D94" i="29"/>
  <c r="D274" i="29" s="1"/>
  <c r="J93" i="29"/>
  <c r="J273" i="29" s="1"/>
  <c r="G93" i="29"/>
  <c r="G273" i="29" s="1"/>
  <c r="D93" i="29"/>
  <c r="D273" i="29" s="1"/>
  <c r="J92" i="29"/>
  <c r="J272" i="29" s="1"/>
  <c r="G92" i="29"/>
  <c r="G272" i="29" s="1"/>
  <c r="D92" i="29"/>
  <c r="D272" i="29" s="1"/>
  <c r="J91" i="29"/>
  <c r="J271" i="29" s="1"/>
  <c r="G91" i="29"/>
  <c r="G271" i="29" s="1"/>
  <c r="D91" i="29"/>
  <c r="D271" i="29" s="1"/>
  <c r="J90" i="29"/>
  <c r="J270" i="29" s="1"/>
  <c r="G90" i="29"/>
  <c r="G270" i="29" s="1"/>
  <c r="D90" i="29"/>
  <c r="D270" i="29" s="1"/>
  <c r="J89" i="29"/>
  <c r="J269" i="29" s="1"/>
  <c r="G89" i="29"/>
  <c r="G269" i="29" s="1"/>
  <c r="D89" i="29"/>
  <c r="D269" i="29" s="1"/>
  <c r="J88" i="29"/>
  <c r="J268" i="29" s="1"/>
  <c r="G88" i="29"/>
  <c r="G268" i="29" s="1"/>
  <c r="D88" i="29"/>
  <c r="D268" i="29" s="1"/>
  <c r="J87" i="29"/>
  <c r="J267" i="29" s="1"/>
  <c r="G87" i="29"/>
  <c r="G267" i="29" s="1"/>
  <c r="D87" i="29"/>
  <c r="D267" i="29" s="1"/>
  <c r="J86" i="29"/>
  <c r="J266" i="29" s="1"/>
  <c r="G86" i="29"/>
  <c r="G266" i="29" s="1"/>
  <c r="D86" i="29"/>
  <c r="D266" i="29" s="1"/>
  <c r="J85" i="29"/>
  <c r="J265" i="29" s="1"/>
  <c r="G85" i="29"/>
  <c r="G265" i="29" s="1"/>
  <c r="D85" i="29"/>
  <c r="D265" i="29" s="1"/>
  <c r="J84" i="29"/>
  <c r="J264" i="29" s="1"/>
  <c r="G84" i="29"/>
  <c r="G264" i="29" s="1"/>
  <c r="D84" i="29"/>
  <c r="D264" i="29" s="1"/>
  <c r="J83" i="29"/>
  <c r="J263" i="29" s="1"/>
  <c r="G83" i="29"/>
  <c r="G263" i="29" s="1"/>
  <c r="D83" i="29"/>
  <c r="D263" i="29" s="1"/>
  <c r="J82" i="29"/>
  <c r="J262" i="29" s="1"/>
  <c r="G82" i="29"/>
  <c r="G262" i="29" s="1"/>
  <c r="D82" i="29"/>
  <c r="D262" i="29" s="1"/>
  <c r="J81" i="29"/>
  <c r="J261" i="29" s="1"/>
  <c r="G81" i="29"/>
  <c r="G261" i="29" s="1"/>
  <c r="D81" i="29"/>
  <c r="D261" i="29" s="1"/>
  <c r="J80" i="29"/>
  <c r="J260" i="29" s="1"/>
  <c r="G80" i="29"/>
  <c r="G260" i="29" s="1"/>
  <c r="D80" i="29"/>
  <c r="D260" i="29" s="1"/>
  <c r="J79" i="29"/>
  <c r="J259" i="29" s="1"/>
  <c r="G79" i="29"/>
  <c r="G259" i="29" s="1"/>
  <c r="D79" i="29"/>
  <c r="D259" i="29" s="1"/>
  <c r="J78" i="29"/>
  <c r="J258" i="29" s="1"/>
  <c r="G78" i="29"/>
  <c r="G258" i="29" s="1"/>
  <c r="D78" i="29"/>
  <c r="D258" i="29" s="1"/>
  <c r="J77" i="29"/>
  <c r="J257" i="29" s="1"/>
  <c r="G77" i="29"/>
  <c r="G257" i="29" s="1"/>
  <c r="D77" i="29"/>
  <c r="D257" i="29" s="1"/>
  <c r="J76" i="29"/>
  <c r="J256" i="29" s="1"/>
  <c r="G76" i="29"/>
  <c r="G256" i="29" s="1"/>
  <c r="D76" i="29"/>
  <c r="D256" i="29" s="1"/>
  <c r="J75" i="29"/>
  <c r="J255" i="29" s="1"/>
  <c r="G75" i="29"/>
  <c r="G255" i="29" s="1"/>
  <c r="D75" i="29"/>
  <c r="D255" i="29" s="1"/>
  <c r="J74" i="29"/>
  <c r="J254" i="29" s="1"/>
  <c r="G74" i="29"/>
  <c r="G254" i="29" s="1"/>
  <c r="D74" i="29"/>
  <c r="D254" i="29" s="1"/>
  <c r="J73" i="29"/>
  <c r="J253" i="29" s="1"/>
  <c r="G73" i="29"/>
  <c r="G253" i="29" s="1"/>
  <c r="D73" i="29"/>
  <c r="D253" i="29" s="1"/>
  <c r="J72" i="29"/>
  <c r="J252" i="29" s="1"/>
  <c r="G72" i="29"/>
  <c r="G252" i="29" s="1"/>
  <c r="D72" i="29"/>
  <c r="D252" i="29" s="1"/>
  <c r="J71" i="29"/>
  <c r="J251" i="29" s="1"/>
  <c r="G71" i="29"/>
  <c r="G251" i="29" s="1"/>
  <c r="D71" i="29"/>
  <c r="D251" i="29" s="1"/>
  <c r="J70" i="29"/>
  <c r="J250" i="29" s="1"/>
  <c r="G70" i="29"/>
  <c r="G250" i="29" s="1"/>
  <c r="D70" i="29"/>
  <c r="D250" i="29" s="1"/>
  <c r="J69" i="29"/>
  <c r="J249" i="29" s="1"/>
  <c r="G69" i="29"/>
  <c r="G249" i="29" s="1"/>
  <c r="D69" i="29"/>
  <c r="D249" i="29" s="1"/>
  <c r="J68" i="29"/>
  <c r="J248" i="29" s="1"/>
  <c r="G68" i="29"/>
  <c r="G248" i="29" s="1"/>
  <c r="D68" i="29"/>
  <c r="D248" i="29" s="1"/>
  <c r="J67" i="29"/>
  <c r="J247" i="29" s="1"/>
  <c r="G67" i="29"/>
  <c r="G247" i="29" s="1"/>
  <c r="D67" i="29"/>
  <c r="D247" i="29" s="1"/>
  <c r="J66" i="29"/>
  <c r="J246" i="29" s="1"/>
  <c r="G66" i="29"/>
  <c r="G246" i="29" s="1"/>
  <c r="D66" i="29"/>
  <c r="D246" i="29" s="1"/>
  <c r="J65" i="29"/>
  <c r="J245" i="29" s="1"/>
  <c r="G65" i="29"/>
  <c r="G245" i="29" s="1"/>
  <c r="D65" i="29"/>
  <c r="D245" i="29" s="1"/>
  <c r="J64" i="29"/>
  <c r="J244" i="29" s="1"/>
  <c r="G64" i="29"/>
  <c r="G244" i="29" s="1"/>
  <c r="D64" i="29"/>
  <c r="D244" i="29" s="1"/>
  <c r="J63" i="29"/>
  <c r="J243" i="29" s="1"/>
  <c r="G63" i="29"/>
  <c r="G243" i="29" s="1"/>
  <c r="D63" i="29"/>
  <c r="D243" i="29" s="1"/>
  <c r="J62" i="29"/>
  <c r="J242" i="29" s="1"/>
  <c r="G62" i="29"/>
  <c r="G242" i="29" s="1"/>
  <c r="D62" i="29"/>
  <c r="D242" i="29" s="1"/>
  <c r="J61" i="29"/>
  <c r="J241" i="29" s="1"/>
  <c r="G61" i="29"/>
  <c r="G241" i="29" s="1"/>
  <c r="D61" i="29"/>
  <c r="D241" i="29" s="1"/>
  <c r="J60" i="29"/>
  <c r="J240" i="29" s="1"/>
  <c r="G60" i="29"/>
  <c r="G240" i="29" s="1"/>
  <c r="D60" i="29"/>
  <c r="D240" i="29" s="1"/>
  <c r="J59" i="29"/>
  <c r="J239" i="29" s="1"/>
  <c r="G59" i="29"/>
  <c r="G239" i="29" s="1"/>
  <c r="D59" i="29"/>
  <c r="D239" i="29" s="1"/>
  <c r="J58" i="29"/>
  <c r="J238" i="29" s="1"/>
  <c r="G58" i="29"/>
  <c r="G238" i="29" s="1"/>
  <c r="D58" i="29"/>
  <c r="D238" i="29" s="1"/>
  <c r="J57" i="29"/>
  <c r="J237" i="29" s="1"/>
  <c r="G57" i="29"/>
  <c r="G237" i="29" s="1"/>
  <c r="D57" i="29"/>
  <c r="D237" i="29" s="1"/>
  <c r="J56" i="29"/>
  <c r="J236" i="29" s="1"/>
  <c r="G56" i="29"/>
  <c r="G236" i="29" s="1"/>
  <c r="D56" i="29"/>
  <c r="D236" i="29" s="1"/>
  <c r="J55" i="29"/>
  <c r="J235" i="29" s="1"/>
  <c r="G55" i="29"/>
  <c r="G235" i="29" s="1"/>
  <c r="D55" i="29"/>
  <c r="D235" i="29" s="1"/>
  <c r="J54" i="29"/>
  <c r="J234" i="29" s="1"/>
  <c r="G54" i="29"/>
  <c r="G234" i="29" s="1"/>
  <c r="D54" i="29"/>
  <c r="D234" i="29" s="1"/>
  <c r="J53" i="29"/>
  <c r="J233" i="29" s="1"/>
  <c r="G53" i="29"/>
  <c r="G233" i="29" s="1"/>
  <c r="D53" i="29"/>
  <c r="D233" i="29" s="1"/>
  <c r="J52" i="29"/>
  <c r="J232" i="29" s="1"/>
  <c r="G52" i="29"/>
  <c r="G232" i="29" s="1"/>
  <c r="D52" i="29"/>
  <c r="D232" i="29" s="1"/>
  <c r="J51" i="29"/>
  <c r="J231" i="29" s="1"/>
  <c r="G51" i="29"/>
  <c r="G231" i="29" s="1"/>
  <c r="D51" i="29"/>
  <c r="D231" i="29" s="1"/>
  <c r="J50" i="29"/>
  <c r="J230" i="29" s="1"/>
  <c r="G50" i="29"/>
  <c r="G230" i="29" s="1"/>
  <c r="D50" i="29"/>
  <c r="D230" i="29" s="1"/>
  <c r="J49" i="29"/>
  <c r="J229" i="29" s="1"/>
  <c r="G49" i="29"/>
  <c r="G229" i="29" s="1"/>
  <c r="D49" i="29"/>
  <c r="J48" i="29"/>
  <c r="J228" i="29" s="1"/>
  <c r="G48" i="29"/>
  <c r="G228" i="29" s="1"/>
  <c r="D48" i="29"/>
  <c r="J47" i="29"/>
  <c r="J227" i="29" s="1"/>
  <c r="G47" i="29"/>
  <c r="G227" i="29" s="1"/>
  <c r="D47" i="29"/>
  <c r="D227" i="29" s="1"/>
  <c r="J46" i="29"/>
  <c r="J226" i="29" s="1"/>
  <c r="G46" i="29"/>
  <c r="G226" i="29" s="1"/>
  <c r="D46" i="29"/>
  <c r="D226" i="29" s="1"/>
  <c r="J45" i="29"/>
  <c r="J225" i="29" s="1"/>
  <c r="G45" i="29"/>
  <c r="G225" i="29" s="1"/>
  <c r="D45" i="29"/>
  <c r="J44" i="29"/>
  <c r="J224" i="29" s="1"/>
  <c r="G44" i="29"/>
  <c r="G224" i="29" s="1"/>
  <c r="D44" i="29"/>
  <c r="J43" i="29"/>
  <c r="J223" i="29" s="1"/>
  <c r="G43" i="29"/>
  <c r="G223" i="29" s="1"/>
  <c r="D43" i="29"/>
  <c r="J42" i="29"/>
  <c r="J222" i="29" s="1"/>
  <c r="G42" i="29"/>
  <c r="G222" i="29" s="1"/>
  <c r="D42" i="29"/>
  <c r="A42" i="29" s="1"/>
  <c r="J41" i="29"/>
  <c r="J221" i="29" s="1"/>
  <c r="G41" i="29"/>
  <c r="G221" i="29" s="1"/>
  <c r="D41" i="29"/>
  <c r="J40" i="29"/>
  <c r="J220" i="29" s="1"/>
  <c r="G40" i="29"/>
  <c r="G220" i="29" s="1"/>
  <c r="D40" i="29"/>
  <c r="D220" i="29" s="1"/>
  <c r="J39" i="29"/>
  <c r="J219" i="29" s="1"/>
  <c r="G39" i="29"/>
  <c r="G219" i="29" s="1"/>
  <c r="D39" i="29"/>
  <c r="J38" i="29"/>
  <c r="J218" i="29" s="1"/>
  <c r="G38" i="29"/>
  <c r="G218" i="29" s="1"/>
  <c r="D38" i="29"/>
  <c r="D218" i="29" s="1"/>
  <c r="J37" i="29"/>
  <c r="J217" i="29" s="1"/>
  <c r="G37" i="29"/>
  <c r="G217" i="29" s="1"/>
  <c r="D37" i="29"/>
  <c r="J36" i="29"/>
  <c r="J216" i="29" s="1"/>
  <c r="G36" i="29"/>
  <c r="G216" i="29" s="1"/>
  <c r="D36" i="29"/>
  <c r="J35" i="29"/>
  <c r="J215" i="29" s="1"/>
  <c r="G35" i="29"/>
  <c r="G215" i="29" s="1"/>
  <c r="D35" i="29"/>
  <c r="D215" i="29" s="1"/>
  <c r="J34" i="29"/>
  <c r="J214" i="29" s="1"/>
  <c r="G34" i="29"/>
  <c r="G214" i="29" s="1"/>
  <c r="D34" i="29"/>
  <c r="A34" i="29" s="1"/>
  <c r="J33" i="29"/>
  <c r="J213" i="29" s="1"/>
  <c r="G33" i="29"/>
  <c r="G213" i="29" s="1"/>
  <c r="D33" i="29"/>
  <c r="J32" i="29"/>
  <c r="J212" i="29" s="1"/>
  <c r="G32" i="29"/>
  <c r="G212" i="29" s="1"/>
  <c r="D32" i="29"/>
  <c r="D212" i="29" s="1"/>
  <c r="J31" i="29"/>
  <c r="J211" i="29" s="1"/>
  <c r="G31" i="29"/>
  <c r="D31" i="29"/>
  <c r="A31" i="29" s="1"/>
  <c r="J30" i="29"/>
  <c r="J210" i="29" s="1"/>
  <c r="G30" i="29"/>
  <c r="G210" i="29" s="1"/>
  <c r="D30" i="29"/>
  <c r="A30" i="29" s="1"/>
  <c r="J29" i="29"/>
  <c r="J209" i="29" s="1"/>
  <c r="G29" i="29"/>
  <c r="G209" i="29" s="1"/>
  <c r="D29" i="29"/>
  <c r="J28" i="29"/>
  <c r="J208" i="29" s="1"/>
  <c r="G28" i="29"/>
  <c r="G208" i="29" s="1"/>
  <c r="D28" i="29"/>
  <c r="A28" i="29" s="1"/>
  <c r="J27" i="29"/>
  <c r="J207" i="29" s="1"/>
  <c r="G27" i="29"/>
  <c r="G207" i="29" s="1"/>
  <c r="D27" i="29"/>
  <c r="D207" i="29" s="1"/>
  <c r="J26" i="29"/>
  <c r="J206" i="29" s="1"/>
  <c r="G26" i="29"/>
  <c r="G206" i="29" s="1"/>
  <c r="D26" i="29"/>
  <c r="A26" i="29" s="1"/>
  <c r="J25" i="29"/>
  <c r="J205" i="29" s="1"/>
  <c r="G25" i="29"/>
  <c r="G205" i="29" s="1"/>
  <c r="D25" i="29"/>
  <c r="J24" i="29"/>
  <c r="J204" i="29" s="1"/>
  <c r="G24" i="29"/>
  <c r="G204" i="29" s="1"/>
  <c r="D24" i="29"/>
  <c r="J23" i="29"/>
  <c r="J203" i="29" s="1"/>
  <c r="G23" i="29"/>
  <c r="G203" i="29" s="1"/>
  <c r="D23" i="29"/>
  <c r="D203" i="29" s="1"/>
  <c r="J22" i="29"/>
  <c r="J202" i="29" s="1"/>
  <c r="G22" i="29"/>
  <c r="G202" i="29" s="1"/>
  <c r="D22" i="29"/>
  <c r="D202" i="29" s="1"/>
  <c r="J21" i="29"/>
  <c r="J201" i="29" s="1"/>
  <c r="G21" i="29"/>
  <c r="G201" i="29" s="1"/>
  <c r="D21" i="29"/>
  <c r="J20" i="29"/>
  <c r="J200" i="29" s="1"/>
  <c r="G20" i="29"/>
  <c r="G200" i="29" s="1"/>
  <c r="D20" i="29"/>
  <c r="J19" i="29"/>
  <c r="J199" i="29" s="1"/>
  <c r="G19" i="29"/>
  <c r="G199" i="29" s="1"/>
  <c r="D19" i="29"/>
  <c r="J18" i="29"/>
  <c r="J198" i="29" s="1"/>
  <c r="G18" i="29"/>
  <c r="G198" i="29" s="1"/>
  <c r="D18" i="29"/>
  <c r="A18" i="29" s="1"/>
  <c r="J17" i="29"/>
  <c r="J197" i="29" s="1"/>
  <c r="G17" i="29"/>
  <c r="G197" i="29" s="1"/>
  <c r="D17" i="29"/>
  <c r="J16" i="29"/>
  <c r="J196" i="29" s="1"/>
  <c r="G16" i="29"/>
  <c r="G196" i="29" s="1"/>
  <c r="D16" i="29"/>
  <c r="D196" i="29" s="1"/>
  <c r="J15" i="29"/>
  <c r="J195" i="29" s="1"/>
  <c r="G15" i="29"/>
  <c r="G195" i="29" s="1"/>
  <c r="D15" i="29"/>
  <c r="D195" i="29" s="1"/>
  <c r="J14" i="29"/>
  <c r="J194" i="29" s="1"/>
  <c r="G14" i="29"/>
  <c r="G194" i="29" s="1"/>
  <c r="D14" i="29"/>
  <c r="D194" i="29" s="1"/>
  <c r="J13" i="29"/>
  <c r="J193" i="29" s="1"/>
  <c r="G13" i="29"/>
  <c r="G193" i="29" s="1"/>
  <c r="D13" i="29"/>
  <c r="D193" i="29" s="1"/>
  <c r="J12" i="29"/>
  <c r="J192" i="29" s="1"/>
  <c r="G12" i="29"/>
  <c r="G192" i="29" s="1"/>
  <c r="D12" i="29"/>
  <c r="D192" i="29" s="1"/>
  <c r="J11" i="29"/>
  <c r="J191" i="29" s="1"/>
  <c r="G11" i="29"/>
  <c r="G191" i="29" s="1"/>
  <c r="D11" i="29"/>
  <c r="D191" i="29" s="1"/>
  <c r="J10" i="29"/>
  <c r="J190" i="29" s="1"/>
  <c r="G10" i="29"/>
  <c r="G190" i="29" s="1"/>
  <c r="D10" i="29"/>
  <c r="D190" i="29" s="1"/>
  <c r="G81" i="48"/>
  <c r="G153" i="48" s="1"/>
  <c r="G80" i="48"/>
  <c r="G152" i="48" s="1"/>
  <c r="G79" i="48"/>
  <c r="G151" i="48" s="1"/>
  <c r="G78" i="48"/>
  <c r="G150" i="48" s="1"/>
  <c r="G77" i="48"/>
  <c r="G149" i="48" s="1"/>
  <c r="G76" i="48"/>
  <c r="G148" i="48" s="1"/>
  <c r="G75" i="48"/>
  <c r="G147" i="48" s="1"/>
  <c r="G74" i="48"/>
  <c r="G146" i="48" s="1"/>
  <c r="G73" i="48"/>
  <c r="G145" i="48" s="1"/>
  <c r="G72" i="48"/>
  <c r="G144" i="48" s="1"/>
  <c r="G71" i="48"/>
  <c r="G143" i="48" s="1"/>
  <c r="G70" i="48"/>
  <c r="G142" i="48" s="1"/>
  <c r="G69" i="48"/>
  <c r="G141" i="48" s="1"/>
  <c r="G68" i="48"/>
  <c r="G140" i="48" s="1"/>
  <c r="G67" i="48"/>
  <c r="G139" i="48" s="1"/>
  <c r="G66" i="48"/>
  <c r="G138" i="48" s="1"/>
  <c r="G65" i="48"/>
  <c r="G137" i="48" s="1"/>
  <c r="G64" i="48"/>
  <c r="G136" i="48" s="1"/>
  <c r="G63" i="48"/>
  <c r="G135" i="48" s="1"/>
  <c r="G62" i="48"/>
  <c r="G134" i="48" s="1"/>
  <c r="G61" i="48"/>
  <c r="G133" i="48" s="1"/>
  <c r="G60" i="48"/>
  <c r="G132" i="48" s="1"/>
  <c r="G59" i="48"/>
  <c r="G131" i="48" s="1"/>
  <c r="G58" i="48"/>
  <c r="G130" i="48" s="1"/>
  <c r="G57" i="48"/>
  <c r="G129" i="48" s="1"/>
  <c r="G56" i="48"/>
  <c r="G128" i="48" s="1"/>
  <c r="G55" i="48"/>
  <c r="G127" i="48" s="1"/>
  <c r="G54" i="48"/>
  <c r="G126" i="48" s="1"/>
  <c r="G53" i="48"/>
  <c r="G125" i="48" s="1"/>
  <c r="G52" i="48"/>
  <c r="G124" i="48" s="1"/>
  <c r="G51" i="48"/>
  <c r="G123" i="48" s="1"/>
  <c r="G50" i="48"/>
  <c r="G122" i="48" s="1"/>
  <c r="G49" i="48"/>
  <c r="G121" i="48" s="1"/>
  <c r="G48" i="48"/>
  <c r="G120" i="48" s="1"/>
  <c r="G47" i="48"/>
  <c r="G119" i="48" s="1"/>
  <c r="G46" i="48"/>
  <c r="G118" i="48" s="1"/>
  <c r="G45" i="48"/>
  <c r="G117" i="48" s="1"/>
  <c r="G44" i="48"/>
  <c r="G116" i="48" s="1"/>
  <c r="G43" i="48"/>
  <c r="G115" i="48" s="1"/>
  <c r="G42" i="48"/>
  <c r="G114" i="48" s="1"/>
  <c r="G41" i="48"/>
  <c r="G113" i="48" s="1"/>
  <c r="G40" i="48"/>
  <c r="G112" i="48" s="1"/>
  <c r="G39" i="48"/>
  <c r="G111" i="48" s="1"/>
  <c r="G38" i="48"/>
  <c r="G110" i="48" s="1"/>
  <c r="G37" i="48"/>
  <c r="G109" i="48" s="1"/>
  <c r="G36" i="48"/>
  <c r="G108" i="48" s="1"/>
  <c r="G35" i="48"/>
  <c r="G107" i="48" s="1"/>
  <c r="G34" i="48"/>
  <c r="G106" i="48" s="1"/>
  <c r="G33" i="48"/>
  <c r="G105" i="48" s="1"/>
  <c r="G32" i="48"/>
  <c r="G104" i="48" s="1"/>
  <c r="G31" i="48"/>
  <c r="G103" i="48" s="1"/>
  <c r="G30" i="48"/>
  <c r="G102" i="48" s="1"/>
  <c r="G29" i="48"/>
  <c r="G101" i="48" s="1"/>
  <c r="G28" i="48"/>
  <c r="G100" i="48" s="1"/>
  <c r="G27" i="48"/>
  <c r="G99" i="48" s="1"/>
  <c r="G26" i="48"/>
  <c r="G98" i="48" s="1"/>
  <c r="G25" i="48"/>
  <c r="G97" i="48" s="1"/>
  <c r="G24" i="48"/>
  <c r="G96" i="48" s="1"/>
  <c r="G23" i="48"/>
  <c r="G95" i="48" s="1"/>
  <c r="G22" i="48"/>
  <c r="G94" i="48" s="1"/>
  <c r="G21" i="48"/>
  <c r="G93" i="48" s="1"/>
  <c r="G20" i="48"/>
  <c r="G92" i="48" s="1"/>
  <c r="G19" i="48"/>
  <c r="G91" i="48" s="1"/>
  <c r="G18" i="48"/>
  <c r="G90" i="48" s="1"/>
  <c r="G17" i="48"/>
  <c r="G16" i="48"/>
  <c r="G15" i="48"/>
  <c r="J3" i="64" s="1"/>
  <c r="G14" i="48"/>
  <c r="G86" i="48" s="1"/>
  <c r="G13" i="48"/>
  <c r="G12" i="48"/>
  <c r="G84" i="48" s="1"/>
  <c r="G11" i="48"/>
  <c r="G83" i="48" s="1"/>
  <c r="G10" i="48"/>
  <c r="AK62" i="41"/>
  <c r="AK63" i="41" s="1"/>
  <c r="AK64" i="41" s="1"/>
  <c r="AK65" i="41" s="1"/>
  <c r="AK66" i="41" s="1"/>
  <c r="AK67" i="41" s="1"/>
  <c r="AK68" i="41" s="1"/>
  <c r="AK69" i="41" s="1"/>
  <c r="AK70" i="41" s="1"/>
  <c r="AK71" i="41" s="1"/>
  <c r="AK72" i="41" s="1"/>
  <c r="AK73" i="41" s="1"/>
  <c r="AK74" i="41" s="1"/>
  <c r="AK75" i="41" s="1"/>
  <c r="AK76" i="41" s="1"/>
  <c r="AK77" i="41" s="1"/>
  <c r="AK78" i="41" s="1"/>
  <c r="AK79" i="41" s="1"/>
  <c r="AK80" i="41" s="1"/>
  <c r="AK81" i="41" s="1"/>
  <c r="AK82" i="41" s="1"/>
  <c r="AK83" i="41" s="1"/>
  <c r="AK84" i="41" s="1"/>
  <c r="AK85" i="41" s="1"/>
  <c r="AK86" i="41" s="1"/>
  <c r="AK87" i="41" s="1"/>
  <c r="AK88" i="41" s="1"/>
  <c r="AK89" i="41" s="1"/>
  <c r="AK90" i="41" s="1"/>
  <c r="AK91" i="41" s="1"/>
  <c r="AK92" i="41" s="1"/>
  <c r="AK93" i="41" s="1"/>
  <c r="AK94" i="41" s="1"/>
  <c r="AK95" i="41" s="1"/>
  <c r="AK96" i="41" s="1"/>
  <c r="AK97" i="41" s="1"/>
  <c r="AK98" i="41" s="1"/>
  <c r="AK99" i="41" s="1"/>
  <c r="AK100" i="41" s="1"/>
  <c r="AK101" i="41" s="1"/>
  <c r="AK102" i="41" s="1"/>
  <c r="AK103" i="41" s="1"/>
  <c r="AK104" i="41" s="1"/>
  <c r="AK105" i="41" s="1"/>
  <c r="AK106" i="41" s="1"/>
  <c r="AK107" i="41" s="1"/>
  <c r="AK108" i="41" s="1"/>
  <c r="AK109" i="41" s="1"/>
  <c r="AK110" i="41" s="1"/>
  <c r="AK111" i="41" s="1"/>
  <c r="AK112" i="41" s="1"/>
  <c r="AK113" i="41" s="1"/>
  <c r="AK114" i="41" s="1"/>
  <c r="AK115" i="41" s="1"/>
  <c r="AK116" i="41" s="1"/>
  <c r="AK117" i="41" s="1"/>
  <c r="AK118" i="41" s="1"/>
  <c r="AK119" i="41" s="1"/>
  <c r="AK120" i="41" s="1"/>
  <c r="AK121" i="41" s="1"/>
  <c r="C9" i="37"/>
  <c r="D9" i="37" s="1"/>
  <c r="E9" i="37" s="1"/>
  <c r="F9" i="37" s="1"/>
  <c r="G9" i="37" s="1"/>
  <c r="F125" i="32"/>
  <c r="G125" i="32"/>
  <c r="AI62" i="17"/>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X14" i="32" s="1"/>
  <c r="AY14" i="32" s="1"/>
  <c r="AX15" i="32" s="1"/>
  <c r="AY15" i="32" s="1"/>
  <c r="AX16" i="32" s="1"/>
  <c r="AY16" i="32" s="1"/>
  <c r="AX17" i="32" s="1"/>
  <c r="AY17" i="32" s="1"/>
  <c r="AX18" i="32" s="1"/>
  <c r="AY18" i="32" s="1"/>
  <c r="AX19" i="32" s="1"/>
  <c r="AY19" i="32" s="1"/>
  <c r="AX20" i="32" s="1"/>
  <c r="AY20" i="32" s="1"/>
  <c r="AX21" i="32" s="1"/>
  <c r="AY21" i="32" s="1"/>
  <c r="AX22" i="32" s="1"/>
  <c r="AY22" i="32" s="1"/>
  <c r="AX23" i="32" s="1"/>
  <c r="AY23" i="32" s="1"/>
  <c r="AX24" i="32" s="1"/>
  <c r="AY24" i="32" s="1"/>
  <c r="AX25" i="32" s="1"/>
  <c r="AY25" i="32" s="1"/>
  <c r="AX26" i="32" s="1"/>
  <c r="AY26" i="32" s="1"/>
  <c r="AX27" i="32" s="1"/>
  <c r="AY27" i="32" s="1"/>
  <c r="AX28" i="32" s="1"/>
  <c r="AY28" i="32" s="1"/>
  <c r="AX29" i="32" s="1"/>
  <c r="AY29" i="32" s="1"/>
  <c r="AX30" i="32" s="1"/>
  <c r="AY30" i="32" s="1"/>
  <c r="AX31" i="32" s="1"/>
  <c r="AY31" i="32" s="1"/>
  <c r="AX32" i="32" s="1"/>
  <c r="AY32" i="32" s="1"/>
  <c r="AX33" i="32" s="1"/>
  <c r="AY33" i="32" s="1"/>
  <c r="AX34" i="32" s="1"/>
  <c r="AY34" i="32" s="1"/>
  <c r="AX35" i="32" s="1"/>
  <c r="AY35" i="32" s="1"/>
  <c r="AX36" i="32" s="1"/>
  <c r="AY36" i="32" s="1"/>
  <c r="AX37" i="32" s="1"/>
  <c r="AY37" i="32" s="1"/>
  <c r="AX38" i="32" s="1"/>
  <c r="AY38" i="32" s="1"/>
  <c r="AX39" i="32" s="1"/>
  <c r="AY39" i="32" s="1"/>
  <c r="AX40" i="32" s="1"/>
  <c r="AY40" i="32" s="1"/>
  <c r="AX41" i="32" s="1"/>
  <c r="AY41" i="32" s="1"/>
  <c r="AX42" i="32" s="1"/>
  <c r="AY42" i="32" s="1"/>
  <c r="AX43" i="32" s="1"/>
  <c r="AY43" i="32" s="1"/>
  <c r="AX44" i="32" s="1"/>
  <c r="AY44" i="32" s="1"/>
  <c r="AX45" i="32" s="1"/>
  <c r="AY45" i="32" s="1"/>
  <c r="AX46" i="32" s="1"/>
  <c r="AY46" i="32" s="1"/>
  <c r="AX47" i="32" s="1"/>
  <c r="AY47" i="32" s="1"/>
  <c r="AX48" i="32" s="1"/>
  <c r="AY48" i="32" s="1"/>
  <c r="AX49" i="32" s="1"/>
  <c r="AY49" i="32" s="1"/>
  <c r="AX50" i="32" s="1"/>
  <c r="AY50" i="32" s="1"/>
  <c r="AX51" i="32" s="1"/>
  <c r="AY51" i="32" s="1"/>
  <c r="AX52" i="32" s="1"/>
  <c r="AY52" i="32" s="1"/>
  <c r="AX53" i="32" s="1"/>
  <c r="AY53" i="32" s="1"/>
  <c r="AX54" i="32" s="1"/>
  <c r="AY54" i="32" s="1"/>
  <c r="AX55" i="32" s="1"/>
  <c r="AY55" i="32" s="1"/>
  <c r="AX56" i="32" s="1"/>
  <c r="AY56" i="32" s="1"/>
  <c r="AX57" i="32" s="1"/>
  <c r="AY57" i="32" s="1"/>
  <c r="AX58" i="32" s="1"/>
  <c r="AY58" i="32" s="1"/>
  <c r="AX59" i="32" s="1"/>
  <c r="AY59" i="32" s="1"/>
  <c r="AX60" i="32" s="1"/>
  <c r="AY60" i="32" s="1"/>
  <c r="C9" i="32"/>
  <c r="D9" i="32" s="1"/>
  <c r="E9" i="32" s="1"/>
  <c r="F9" i="32" s="1"/>
  <c r="G9" i="32" s="1"/>
  <c r="H9" i="32" s="1"/>
  <c r="I9" i="32" s="1"/>
  <c r="J9" i="32" s="1"/>
  <c r="K7" i="36"/>
  <c r="L7" i="36"/>
  <c r="M7" i="36" s="1"/>
  <c r="N7" i="36" s="1"/>
  <c r="O7" i="36" s="1"/>
  <c r="P7" i="36" s="1"/>
  <c r="Q7" i="36" s="1"/>
  <c r="R7" i="36" s="1"/>
  <c r="S7" i="36" s="1"/>
  <c r="T7" i="36" s="1"/>
  <c r="U7" i="36" s="1"/>
  <c r="V7" i="36" s="1"/>
  <c r="W7" i="36" s="1"/>
  <c r="X7" i="36" s="1"/>
  <c r="Y7" i="36" s="1"/>
  <c r="Z7" i="36" s="1"/>
  <c r="AA7" i="36" s="1"/>
  <c r="AB7" i="36" s="1"/>
  <c r="AC7" i="36" s="1"/>
  <c r="AD7" i="36" s="1"/>
  <c r="AE7" i="36" s="1"/>
  <c r="AF7" i="36" s="1"/>
  <c r="AG7" i="36" s="1"/>
  <c r="AH7" i="36" s="1"/>
  <c r="AI7" i="36" s="1"/>
  <c r="AJ7" i="36" s="1"/>
  <c r="AK7" i="36" s="1"/>
  <c r="AL7" i="36" s="1"/>
  <c r="AM7" i="36" s="1"/>
  <c r="AN7" i="36" s="1"/>
  <c r="AO7" i="36" s="1"/>
  <c r="AP7" i="36" s="1"/>
  <c r="AQ7" i="36" s="1"/>
  <c r="AR7" i="36" s="1"/>
  <c r="K7" i="19"/>
  <c r="L7" i="19"/>
  <c r="M7" i="19" s="1"/>
  <c r="N7" i="19" s="1"/>
  <c r="O7" i="19" s="1"/>
  <c r="P7" i="19" s="1"/>
  <c r="Q7" i="19" s="1"/>
  <c r="R7" i="19" s="1"/>
  <c r="S7" i="19" s="1"/>
  <c r="T7" i="19" s="1"/>
  <c r="U7" i="19" s="1"/>
  <c r="V7" i="19" s="1"/>
  <c r="W7" i="19" s="1"/>
  <c r="X7" i="19" s="1"/>
  <c r="Y7" i="19" s="1"/>
  <c r="Z7" i="19" s="1"/>
  <c r="AA7" i="19" s="1"/>
  <c r="AB7" i="19" s="1"/>
  <c r="AC7" i="19" s="1"/>
  <c r="AD7" i="19" s="1"/>
  <c r="AE7" i="19" s="1"/>
  <c r="AF7" i="19" s="1"/>
  <c r="AG7" i="19" s="1"/>
  <c r="AH7" i="19" s="1"/>
  <c r="AI7" i="19" s="1"/>
  <c r="AJ7" i="19" s="1"/>
  <c r="AK7" i="19" s="1"/>
  <c r="AL7" i="19" s="1"/>
  <c r="AM7" i="19" s="1"/>
  <c r="AN7" i="19" s="1"/>
  <c r="AO7" i="19" s="1"/>
  <c r="AP7" i="19" s="1"/>
  <c r="AQ7" i="19" s="1"/>
  <c r="AR7" i="19" s="1"/>
  <c r="K7" i="32"/>
  <c r="L7" i="32" s="1"/>
  <c r="M7" i="32" s="1"/>
  <c r="N7" i="32" s="1"/>
  <c r="O7" i="32" s="1"/>
  <c r="P7" i="32" s="1"/>
  <c r="Q7" i="32" s="1"/>
  <c r="R7" i="32" s="1"/>
  <c r="S7" i="32" s="1"/>
  <c r="T7" i="32" s="1"/>
  <c r="U7" i="32" s="1"/>
  <c r="V7" i="32" s="1"/>
  <c r="W7" i="32" s="1"/>
  <c r="X7" i="32" s="1"/>
  <c r="Y7" i="32" s="1"/>
  <c r="Z7" i="32" s="1"/>
  <c r="AA7" i="32" s="1"/>
  <c r="AB7" i="32" s="1"/>
  <c r="AC7" i="32" s="1"/>
  <c r="AD7" i="32" s="1"/>
  <c r="AE7" i="32" s="1"/>
  <c r="AF7" i="32" s="1"/>
  <c r="AG7" i="32" s="1"/>
  <c r="AH7" i="32" s="1"/>
  <c r="AI7" i="32" s="1"/>
  <c r="AJ7" i="32" s="1"/>
  <c r="AK7" i="32" s="1"/>
  <c r="AL7" i="32" s="1"/>
  <c r="AM7" i="32" s="1"/>
  <c r="AN7" i="32" s="1"/>
  <c r="AO7" i="32" s="1"/>
  <c r="AP7" i="32" s="1"/>
  <c r="AQ7" i="32" s="1"/>
  <c r="AR7" i="32" s="1"/>
  <c r="K7" i="37"/>
  <c r="L7" i="37" s="1"/>
  <c r="M7" i="37" s="1"/>
  <c r="N7" i="37" s="1"/>
  <c r="O7" i="37" s="1"/>
  <c r="P7" i="37" s="1"/>
  <c r="Q7" i="37" s="1"/>
  <c r="R7" i="37" s="1"/>
  <c r="S7" i="37" s="1"/>
  <c r="T7" i="37" s="1"/>
  <c r="U7" i="37" s="1"/>
  <c r="V7" i="37" s="1"/>
  <c r="W7" i="37" s="1"/>
  <c r="X7" i="37" s="1"/>
  <c r="Y7" i="37" s="1"/>
  <c r="Z7" i="37" s="1"/>
  <c r="AA7" i="37" s="1"/>
  <c r="AB7" i="37" s="1"/>
  <c r="AC7" i="37" s="1"/>
  <c r="AD7" i="37" s="1"/>
  <c r="AE7" i="37" s="1"/>
  <c r="AF7" i="37" s="1"/>
  <c r="AG7" i="37" s="1"/>
  <c r="AH7" i="37" s="1"/>
  <c r="AI7" i="37" s="1"/>
  <c r="AJ7" i="37" s="1"/>
  <c r="AK7" i="37" s="1"/>
  <c r="AL7" i="37" s="1"/>
  <c r="AM7" i="37" s="1"/>
  <c r="AN7" i="37" s="1"/>
  <c r="AO7" i="37" s="1"/>
  <c r="AP7" i="37" s="1"/>
  <c r="AQ7" i="37" s="1"/>
  <c r="AR7" i="37" s="1"/>
  <c r="D20" i="64"/>
  <c r="D21" i="64"/>
  <c r="D22" i="64"/>
  <c r="D23" i="64"/>
  <c r="D24" i="64"/>
  <c r="D25" i="64"/>
  <c r="D26" i="64"/>
  <c r="D27" i="64"/>
  <c r="D28" i="64"/>
  <c r="D29" i="64"/>
  <c r="D30" i="64"/>
  <c r="V2" i="64"/>
  <c r="W2" i="64" s="1"/>
  <c r="N2" i="64"/>
  <c r="O2" i="64" s="1"/>
  <c r="P2" i="64" s="1"/>
  <c r="Q2" i="64" s="1"/>
  <c r="R2" i="64" s="1"/>
  <c r="S2" i="64" s="1"/>
  <c r="X2" i="64"/>
  <c r="Y2" i="64" s="1"/>
  <c r="Z2" i="64" s="1"/>
  <c r="T2" i="64"/>
  <c r="D5" i="64"/>
  <c r="D6" i="64"/>
  <c r="D7" i="64"/>
  <c r="D8" i="64"/>
  <c r="D9" i="64"/>
  <c r="D10" i="64"/>
  <c r="D11" i="64"/>
  <c r="D12" i="64"/>
  <c r="D13" i="64"/>
  <c r="D14" i="64"/>
  <c r="D15" i="64"/>
  <c r="D16" i="64"/>
  <c r="D17" i="64"/>
  <c r="D18" i="64"/>
  <c r="D19" i="64"/>
  <c r="D4" i="64"/>
  <c r="F133" i="32"/>
  <c r="F134" i="32"/>
  <c r="D29" i="40"/>
  <c r="C69" i="40"/>
  <c r="B10" i="40"/>
  <c r="B21" i="40"/>
  <c r="D92" i="40"/>
  <c r="J2" i="43"/>
  <c r="J3" i="43" s="1"/>
  <c r="H255" i="38"/>
  <c r="G255" i="38"/>
  <c r="F255" i="38"/>
  <c r="H254" i="38"/>
  <c r="G254" i="38"/>
  <c r="F254" i="38"/>
  <c r="H253" i="38"/>
  <c r="G253" i="38"/>
  <c r="F253" i="38"/>
  <c r="H252" i="38"/>
  <c r="G252" i="38"/>
  <c r="F252" i="38"/>
  <c r="H251" i="38"/>
  <c r="G251" i="38"/>
  <c r="F251" i="38"/>
  <c r="H250" i="38"/>
  <c r="G250" i="38"/>
  <c r="F250" i="38"/>
  <c r="H249" i="38"/>
  <c r="G249" i="38"/>
  <c r="F249" i="38"/>
  <c r="H246" i="38"/>
  <c r="G246" i="38"/>
  <c r="F246" i="38"/>
  <c r="H243" i="38"/>
  <c r="G243" i="38"/>
  <c r="F243" i="38"/>
  <c r="H242" i="38"/>
  <c r="G242" i="38"/>
  <c r="F242" i="38"/>
  <c r="H241" i="38"/>
  <c r="G241" i="38"/>
  <c r="F241" i="38"/>
  <c r="H240" i="38"/>
  <c r="G240" i="38"/>
  <c r="F240" i="38"/>
  <c r="H239" i="38"/>
  <c r="G239" i="38"/>
  <c r="F239" i="38"/>
  <c r="H238" i="38"/>
  <c r="G238" i="38"/>
  <c r="F238" i="38"/>
  <c r="H257" i="20"/>
  <c r="G257" i="20"/>
  <c r="F257" i="20"/>
  <c r="C257" i="20"/>
  <c r="B257" i="20"/>
  <c r="I257" i="20"/>
  <c r="H256" i="20"/>
  <c r="G256" i="20"/>
  <c r="F256" i="20"/>
  <c r="C256" i="20"/>
  <c r="B256" i="20"/>
  <c r="I256" i="20"/>
  <c r="H255" i="20"/>
  <c r="G255" i="20"/>
  <c r="F255" i="20"/>
  <c r="H254" i="20"/>
  <c r="G254" i="20"/>
  <c r="F254" i="20"/>
  <c r="H253" i="20"/>
  <c r="G253" i="20"/>
  <c r="F253" i="20"/>
  <c r="H252" i="20"/>
  <c r="G252" i="20"/>
  <c r="F252" i="20"/>
  <c r="H251" i="20"/>
  <c r="G251" i="20"/>
  <c r="F251" i="20"/>
  <c r="H250" i="20"/>
  <c r="G250" i="20"/>
  <c r="F250" i="20"/>
  <c r="H249" i="20"/>
  <c r="G249" i="20"/>
  <c r="F249" i="20"/>
  <c r="H248" i="20"/>
  <c r="G248" i="20"/>
  <c r="F248" i="20"/>
  <c r="C248" i="20"/>
  <c r="B248" i="20"/>
  <c r="I248" i="20"/>
  <c r="H247" i="20"/>
  <c r="G247" i="20"/>
  <c r="F247" i="20"/>
  <c r="C247" i="20"/>
  <c r="B247" i="20"/>
  <c r="I247" i="20"/>
  <c r="H246" i="20"/>
  <c r="G246" i="20"/>
  <c r="F246" i="20"/>
  <c r="H245" i="20"/>
  <c r="G245" i="20"/>
  <c r="F245" i="20"/>
  <c r="C245" i="20"/>
  <c r="B245" i="20"/>
  <c r="I245" i="20"/>
  <c r="H244" i="20"/>
  <c r="G244" i="20"/>
  <c r="F244" i="20"/>
  <c r="C244" i="20"/>
  <c r="B244" i="20"/>
  <c r="I244" i="20"/>
  <c r="H243" i="20"/>
  <c r="G243" i="20"/>
  <c r="F243" i="20"/>
  <c r="H242" i="20"/>
  <c r="G242" i="20"/>
  <c r="F242" i="20"/>
  <c r="H241" i="20"/>
  <c r="G241" i="20"/>
  <c r="F241" i="20"/>
  <c r="H240" i="20"/>
  <c r="G240" i="20"/>
  <c r="F240" i="20"/>
  <c r="H239" i="20"/>
  <c r="G239" i="20"/>
  <c r="F239" i="20"/>
  <c r="H238" i="20"/>
  <c r="G238" i="20"/>
  <c r="F238" i="20"/>
  <c r="I134" i="37"/>
  <c r="H134" i="37"/>
  <c r="C134" i="37"/>
  <c r="B134" i="37"/>
  <c r="G134" i="37"/>
  <c r="I133" i="37"/>
  <c r="H133" i="37"/>
  <c r="C133" i="37"/>
  <c r="B133" i="37"/>
  <c r="D244" i="20"/>
  <c r="D245" i="20"/>
  <c r="D247" i="20"/>
  <c r="D248" i="20"/>
  <c r="D256" i="20"/>
  <c r="D257" i="20"/>
  <c r="E244" i="20"/>
  <c r="E245" i="20"/>
  <c r="E247" i="20"/>
  <c r="E248" i="20"/>
  <c r="E256" i="20"/>
  <c r="E257" i="20"/>
  <c r="G133" i="37"/>
  <c r="E133" i="37"/>
  <c r="D134" i="37"/>
  <c r="E134" i="37"/>
  <c r="D133" i="37"/>
  <c r="I134" i="32"/>
  <c r="H134" i="32"/>
  <c r="E134" i="32"/>
  <c r="C134" i="32"/>
  <c r="B134" i="32"/>
  <c r="I133" i="32"/>
  <c r="H133" i="32"/>
  <c r="E133" i="32"/>
  <c r="C133" i="32"/>
  <c r="B133" i="32"/>
  <c r="I125" i="32"/>
  <c r="H125" i="32"/>
  <c r="E125" i="32"/>
  <c r="D125" i="32"/>
  <c r="C125" i="32"/>
  <c r="B125" i="32"/>
  <c r="B53" i="18"/>
  <c r="E53" i="18"/>
  <c r="F53" i="18"/>
  <c r="B54" i="18"/>
  <c r="E54" i="18"/>
  <c r="F54" i="18"/>
  <c r="B34" i="18"/>
  <c r="E34" i="18"/>
  <c r="F34" i="18"/>
  <c r="B35" i="18"/>
  <c r="E35" i="18"/>
  <c r="F35" i="18"/>
  <c r="B28" i="18"/>
  <c r="E28" i="18"/>
  <c r="F28" i="18"/>
  <c r="D133" i="32"/>
  <c r="D134" i="32"/>
  <c r="AN74" i="41"/>
  <c r="AN75" i="41"/>
  <c r="AN79" i="41"/>
  <c r="AN80" i="41"/>
  <c r="AN87" i="41"/>
  <c r="AN88" i="41"/>
  <c r="AN91" i="41"/>
  <c r="AN92" i="41"/>
  <c r="E71" i="41"/>
  <c r="AL100" i="17"/>
  <c r="AL101" i="17"/>
  <c r="AL108" i="17"/>
  <c r="AL109" i="17"/>
  <c r="AL111" i="17"/>
  <c r="AL112" i="17"/>
  <c r="AL120" i="17"/>
  <c r="AL80" i="17"/>
  <c r="AL87" i="17"/>
  <c r="AL88" i="17"/>
  <c r="AL91" i="17"/>
  <c r="AL92" i="17"/>
  <c r="AL74" i="17"/>
  <c r="AL75" i="17"/>
  <c r="AL79" i="17"/>
  <c r="AL68" i="17"/>
  <c r="AA81" i="14"/>
  <c r="J7" i="41"/>
  <c r="I7" i="41"/>
  <c r="I46" i="41" s="1"/>
  <c r="H7" i="41"/>
  <c r="G7" i="41"/>
  <c r="G46" i="41" s="1"/>
  <c r="F7" i="41"/>
  <c r="E7" i="41"/>
  <c r="D7" i="41"/>
  <c r="C7" i="41"/>
  <c r="C49" i="41" s="1"/>
  <c r="D21" i="14"/>
  <c r="D32" i="14" s="1"/>
  <c r="D44" i="14" s="1"/>
  <c r="D55" i="14" s="1"/>
  <c r="D62" i="14" s="1"/>
  <c r="D67" i="14" s="1"/>
  <c r="I35" i="14"/>
  <c r="I40" i="14"/>
  <c r="I39" i="14"/>
  <c r="I38" i="14"/>
  <c r="I37" i="14"/>
  <c r="H36" i="14"/>
  <c r="G36" i="14"/>
  <c r="H28" i="14"/>
  <c r="G28" i="14"/>
  <c r="C23" i="14"/>
  <c r="C24" i="14"/>
  <c r="D24" i="14" s="1"/>
  <c r="C25" i="14"/>
  <c r="D25" i="14" s="1"/>
  <c r="C26" i="14"/>
  <c r="D26" i="14" s="1"/>
  <c r="C27" i="14"/>
  <c r="C38" i="14" s="1"/>
  <c r="C28" i="14"/>
  <c r="C39" i="14"/>
  <c r="D39" i="14" s="1"/>
  <c r="C29" i="14"/>
  <c r="C40" i="14"/>
  <c r="C46" i="14" s="1"/>
  <c r="D46" i="14" s="1"/>
  <c r="C22" i="14"/>
  <c r="C33" i="14"/>
  <c r="D33" i="14" s="1"/>
  <c r="D13" i="14"/>
  <c r="D14" i="14"/>
  <c r="D15" i="14"/>
  <c r="D16" i="14"/>
  <c r="D17" i="14"/>
  <c r="D18" i="14"/>
  <c r="R70" i="63"/>
  <c r="J70" i="63"/>
  <c r="AA69" i="63"/>
  <c r="F66" i="63"/>
  <c r="F69" i="63"/>
  <c r="AA68" i="63"/>
  <c r="F65" i="63" s="1"/>
  <c r="W68" i="63"/>
  <c r="H69" i="63" s="1"/>
  <c r="J69" i="63" s="1"/>
  <c r="F68" i="63"/>
  <c r="F67" i="63"/>
  <c r="C67" i="63"/>
  <c r="C68" i="63" s="1"/>
  <c r="C69" i="63" s="1"/>
  <c r="C70" i="63" s="1"/>
  <c r="W66" i="63"/>
  <c r="H67" i="63" s="1"/>
  <c r="J67" i="63" s="1"/>
  <c r="G60" i="63"/>
  <c r="H66" i="63" s="1"/>
  <c r="R66" i="63" s="1"/>
  <c r="W65" i="63"/>
  <c r="H68" i="63" s="1"/>
  <c r="J68" i="63" s="1"/>
  <c r="F63" i="63"/>
  <c r="N62" i="63"/>
  <c r="H62" i="63"/>
  <c r="G62" i="63"/>
  <c r="H65" i="63" s="1"/>
  <c r="N61" i="63"/>
  <c r="H61" i="63"/>
  <c r="G61" i="63"/>
  <c r="I61" i="63" s="1"/>
  <c r="N60" i="63"/>
  <c r="H60" i="63"/>
  <c r="N59" i="63"/>
  <c r="H59" i="63"/>
  <c r="G59" i="63"/>
  <c r="N58" i="63"/>
  <c r="H58" i="63"/>
  <c r="G58" i="63"/>
  <c r="D58" i="63"/>
  <c r="H53" i="63"/>
  <c r="G53" i="63"/>
  <c r="D53" i="63"/>
  <c r="F50" i="63"/>
  <c r="N49" i="63"/>
  <c r="H49" i="63"/>
  <c r="G49" i="63"/>
  <c r="N48" i="63"/>
  <c r="H48" i="63"/>
  <c r="G48" i="63"/>
  <c r="I48" i="63" s="1"/>
  <c r="N47" i="63"/>
  <c r="H47" i="63"/>
  <c r="I47" i="63" s="1"/>
  <c r="G47" i="63"/>
  <c r="N46" i="63"/>
  <c r="N50" i="63" s="1"/>
  <c r="H46" i="63"/>
  <c r="G46" i="63"/>
  <c r="D46" i="63"/>
  <c r="H37" i="63"/>
  <c r="I37" i="63" s="1"/>
  <c r="G37" i="63"/>
  <c r="D37" i="63"/>
  <c r="H36" i="63"/>
  <c r="G36" i="63"/>
  <c r="I36" i="63" s="1"/>
  <c r="D36" i="63"/>
  <c r="H35" i="63"/>
  <c r="I35" i="63" s="1"/>
  <c r="G35" i="63"/>
  <c r="D35" i="63"/>
  <c r="H31" i="63"/>
  <c r="G31" i="63"/>
  <c r="I31" i="63" s="1"/>
  <c r="D31" i="63"/>
  <c r="H30" i="63"/>
  <c r="G30" i="63"/>
  <c r="D30" i="63"/>
  <c r="H29" i="63"/>
  <c r="G29" i="63"/>
  <c r="I29" i="63" s="1"/>
  <c r="D29" i="63"/>
  <c r="H25" i="63"/>
  <c r="G25" i="63"/>
  <c r="D25" i="63"/>
  <c r="H24" i="63"/>
  <c r="G24" i="63"/>
  <c r="D24" i="63"/>
  <c r="H23" i="63"/>
  <c r="G23" i="63"/>
  <c r="I23" i="63" s="1"/>
  <c r="D23" i="63"/>
  <c r="H22" i="63"/>
  <c r="G22" i="63"/>
  <c r="D22" i="63"/>
  <c r="H21" i="63"/>
  <c r="G21" i="63"/>
  <c r="I21" i="63" s="1"/>
  <c r="D21" i="63"/>
  <c r="H20" i="63"/>
  <c r="G20" i="63"/>
  <c r="D20" i="63"/>
  <c r="H16" i="63"/>
  <c r="G16" i="63"/>
  <c r="D16" i="63"/>
  <c r="I15" i="63"/>
  <c r="D15" i="63"/>
  <c r="H14" i="63"/>
  <c r="G14" i="63"/>
  <c r="D14" i="63"/>
  <c r="I13" i="63"/>
  <c r="I12" i="63"/>
  <c r="D12" i="63"/>
  <c r="H11" i="63"/>
  <c r="G11" i="63"/>
  <c r="D11" i="63"/>
  <c r="B42" i="12"/>
  <c r="I42" i="12"/>
  <c r="H42" i="12"/>
  <c r="F37" i="66" s="1"/>
  <c r="F49" i="66" s="1"/>
  <c r="G42" i="12"/>
  <c r="F42" i="12"/>
  <c r="F35" i="66" s="1"/>
  <c r="F47" i="66" s="1"/>
  <c r="E42" i="12"/>
  <c r="B11" i="12"/>
  <c r="D5" i="12"/>
  <c r="D7" i="12"/>
  <c r="I20" i="63"/>
  <c r="C37" i="14"/>
  <c r="D37" i="14" s="1"/>
  <c r="I62" i="63"/>
  <c r="I28" i="14"/>
  <c r="C45" i="14"/>
  <c r="C50" i="14" s="1"/>
  <c r="I30" i="63"/>
  <c r="I59" i="63"/>
  <c r="I46" i="63"/>
  <c r="C35" i="14"/>
  <c r="I36" i="14"/>
  <c r="D22" i="14"/>
  <c r="R67" i="63"/>
  <c r="D29" i="14"/>
  <c r="D28" i="14"/>
  <c r="F37" i="17"/>
  <c r="F49" i="17" s="1"/>
  <c r="F35" i="17"/>
  <c r="F47" i="17" s="1"/>
  <c r="R68" i="63"/>
  <c r="R69" i="63"/>
  <c r="D35" i="59"/>
  <c r="D36" i="59"/>
  <c r="D37" i="59"/>
  <c r="D38" i="59"/>
  <c r="D39" i="59"/>
  <c r="D40" i="59"/>
  <c r="D41" i="59"/>
  <c r="D42" i="59"/>
  <c r="D43" i="59"/>
  <c r="D44" i="59"/>
  <c r="D45" i="59"/>
  <c r="D46" i="59"/>
  <c r="D47" i="59"/>
  <c r="D48" i="59"/>
  <c r="D49" i="59"/>
  <c r="D50" i="59"/>
  <c r="D51" i="59"/>
  <c r="D52" i="59"/>
  <c r="D53" i="59"/>
  <c r="D54" i="59"/>
  <c r="D55" i="59"/>
  <c r="D56" i="59"/>
  <c r="D57" i="59"/>
  <c r="D58" i="59"/>
  <c r="D59" i="59"/>
  <c r="D60" i="59"/>
  <c r="D61" i="59"/>
  <c r="D62" i="59"/>
  <c r="D29" i="59"/>
  <c r="D30" i="59"/>
  <c r="D31" i="59"/>
  <c r="D32" i="59"/>
  <c r="D33" i="59"/>
  <c r="D34" i="59"/>
  <c r="A6" i="59"/>
  <c r="G7" i="59" s="1"/>
  <c r="A7" i="59"/>
  <c r="A8" i="59"/>
  <c r="A9" i="59"/>
  <c r="A10" i="59"/>
  <c r="A11" i="59"/>
  <c r="A12" i="59"/>
  <c r="A13" i="59"/>
  <c r="A14" i="59"/>
  <c r="A15" i="59"/>
  <c r="A16" i="59"/>
  <c r="A17" i="59"/>
  <c r="A18" i="59"/>
  <c r="A19" i="59"/>
  <c r="A20" i="59"/>
  <c r="A21" i="59"/>
  <c r="A22" i="59"/>
  <c r="A23" i="59"/>
  <c r="A24" i="59"/>
  <c r="A25" i="59"/>
  <c r="A26" i="59"/>
  <c r="A5" i="59"/>
  <c r="G38" i="59"/>
  <c r="G39" i="59" s="1"/>
  <c r="G40" i="59" s="1"/>
  <c r="G41" i="59" s="1"/>
  <c r="G42" i="59" s="1"/>
  <c r="G43" i="59" s="1"/>
  <c r="G44" i="59" s="1"/>
  <c r="G45" i="59" s="1"/>
  <c r="G46" i="59" s="1"/>
  <c r="G47" i="59" s="1"/>
  <c r="G48" i="59" s="1"/>
  <c r="G49" i="59" s="1"/>
  <c r="G50" i="59" s="1"/>
  <c r="G51" i="59" s="1"/>
  <c r="G52" i="59" s="1"/>
  <c r="G53" i="59" s="1"/>
  <c r="G54" i="59" s="1"/>
  <c r="G55" i="59" s="1"/>
  <c r="G56" i="59" s="1"/>
  <c r="G57" i="59" s="1"/>
  <c r="G58" i="59" s="1"/>
  <c r="G59" i="59" s="1"/>
  <c r="G60" i="59" s="1"/>
  <c r="G61" i="59" s="1"/>
  <c r="G62" i="59" s="1"/>
  <c r="F7" i="59"/>
  <c r="D7" i="59"/>
  <c r="F8" i="59"/>
  <c r="F9" i="59"/>
  <c r="D9" i="59"/>
  <c r="F10" i="59"/>
  <c r="D10" i="59"/>
  <c r="F11" i="59"/>
  <c r="D11" i="59"/>
  <c r="F12" i="59"/>
  <c r="F13" i="59"/>
  <c r="F14" i="59"/>
  <c r="F15" i="59"/>
  <c r="F16" i="59"/>
  <c r="G16" i="59" s="1"/>
  <c r="F17" i="59"/>
  <c r="F18" i="59"/>
  <c r="F19" i="59"/>
  <c r="F20" i="59"/>
  <c r="G20" i="59" s="1"/>
  <c r="F21" i="59"/>
  <c r="F22" i="59"/>
  <c r="F23" i="59"/>
  <c r="F24" i="59"/>
  <c r="G24" i="59" s="1"/>
  <c r="F25" i="59"/>
  <c r="F26" i="59"/>
  <c r="F27" i="59"/>
  <c r="F28" i="59"/>
  <c r="F29" i="59" s="1"/>
  <c r="F30" i="59" s="1"/>
  <c r="F31" i="59" s="1"/>
  <c r="F32" i="59" s="1"/>
  <c r="F33" i="59" s="1"/>
  <c r="F34" i="59" s="1"/>
  <c r="F35" i="59" s="1"/>
  <c r="F36" i="59" s="1"/>
  <c r="F37" i="59" s="1"/>
  <c r="F38" i="59" s="1"/>
  <c r="F39" i="59" s="1"/>
  <c r="F40" i="59" s="1"/>
  <c r="F41" i="59" s="1"/>
  <c r="F42" i="59" s="1"/>
  <c r="F43" i="59" s="1"/>
  <c r="F44" i="59" s="1"/>
  <c r="F45" i="59" s="1"/>
  <c r="F46" i="59" s="1"/>
  <c r="F47" i="59" s="1"/>
  <c r="F48" i="59" s="1"/>
  <c r="F49" i="59" s="1"/>
  <c r="F50" i="59" s="1"/>
  <c r="F51" i="59" s="1"/>
  <c r="F52" i="59" s="1"/>
  <c r="F53" i="59" s="1"/>
  <c r="F54" i="59" s="1"/>
  <c r="F55" i="59" s="1"/>
  <c r="F56" i="59" s="1"/>
  <c r="F57" i="59" s="1"/>
  <c r="F58" i="59" s="1"/>
  <c r="F59" i="59" s="1"/>
  <c r="F60" i="59" s="1"/>
  <c r="F61" i="59" s="1"/>
  <c r="F62" i="59" s="1"/>
  <c r="F6" i="59"/>
  <c r="D6" i="59"/>
  <c r="D27" i="59"/>
  <c r="D26" i="59"/>
  <c r="D25" i="59"/>
  <c r="D24" i="59"/>
  <c r="D23" i="59"/>
  <c r="D22" i="59"/>
  <c r="D21" i="59"/>
  <c r="D20" i="59"/>
  <c r="D19" i="59"/>
  <c r="D18" i="59"/>
  <c r="D17" i="59"/>
  <c r="D16" i="59"/>
  <c r="D15" i="59"/>
  <c r="D14" i="59"/>
  <c r="D13" i="59"/>
  <c r="D12" i="59"/>
  <c r="D8" i="59"/>
  <c r="D2" i="59"/>
  <c r="G14" i="59"/>
  <c r="C47" i="14"/>
  <c r="D47" i="14" s="1"/>
  <c r="G15" i="59"/>
  <c r="G13" i="59"/>
  <c r="D35" i="14"/>
  <c r="E22" i="56"/>
  <c r="E23" i="56" s="1"/>
  <c r="E24" i="56" s="1"/>
  <c r="E25" i="56" s="1"/>
  <c r="E26" i="56" s="1"/>
  <c r="E27" i="56" s="1"/>
  <c r="E28" i="56" s="1"/>
  <c r="E29" i="56" s="1"/>
  <c r="E30" i="56" s="1"/>
  <c r="E31" i="56" s="1"/>
  <c r="E32" i="56" s="1"/>
  <c r="E33" i="56" s="1"/>
  <c r="E34" i="56" s="1"/>
  <c r="E35" i="56" s="1"/>
  <c r="E36" i="56" s="1"/>
  <c r="E37" i="56" s="1"/>
  <c r="E38" i="56" s="1"/>
  <c r="E39" i="56" s="1"/>
  <c r="E40" i="56" s="1"/>
  <c r="E41" i="56" s="1"/>
  <c r="E42" i="56" s="1"/>
  <c r="E43" i="56" s="1"/>
  <c r="E44" i="56" s="1"/>
  <c r="E45" i="56" s="1"/>
  <c r="E46" i="56" s="1"/>
  <c r="E47" i="56" s="1"/>
  <c r="E48" i="56" s="1"/>
  <c r="E49" i="56" s="1"/>
  <c r="E50" i="56" s="1"/>
  <c r="E51" i="56" s="1"/>
  <c r="E52" i="56" s="1"/>
  <c r="E53" i="56" s="1"/>
  <c r="E54" i="56" s="1"/>
  <c r="E55" i="56" s="1"/>
  <c r="E56" i="56" s="1"/>
  <c r="E57" i="56" s="1"/>
  <c r="E58" i="56" s="1"/>
  <c r="E59" i="56" s="1"/>
  <c r="E60" i="56" s="1"/>
  <c r="E61" i="56" s="1"/>
  <c r="E62" i="56" s="1"/>
  <c r="E63" i="56" s="1"/>
  <c r="C28" i="21"/>
  <c r="E73" i="41"/>
  <c r="I22" i="30"/>
  <c r="I21" i="30"/>
  <c r="I20" i="30"/>
  <c r="I19" i="30"/>
  <c r="I18" i="30"/>
  <c r="I17" i="30"/>
  <c r="I84" i="66" s="1"/>
  <c r="I16" i="30"/>
  <c r="I15" i="30"/>
  <c r="I82" i="66" s="1"/>
  <c r="J82" i="66" s="1"/>
  <c r="I14" i="30"/>
  <c r="I12" i="30"/>
  <c r="I11" i="30"/>
  <c r="I10" i="30"/>
  <c r="I9" i="30"/>
  <c r="I8" i="30"/>
  <c r="I7" i="30"/>
  <c r="J42" i="57"/>
  <c r="A37" i="57"/>
  <c r="H22" i="57"/>
  <c r="H21" i="57"/>
  <c r="H20" i="57"/>
  <c r="H19" i="57"/>
  <c r="H18" i="57"/>
  <c r="H17" i="57"/>
  <c r="H16" i="57"/>
  <c r="H15" i="57"/>
  <c r="H14" i="57"/>
  <c r="H12" i="57"/>
  <c r="H11" i="57"/>
  <c r="H10" i="57"/>
  <c r="H9" i="57"/>
  <c r="H8" i="57"/>
  <c r="H7" i="57"/>
  <c r="C4" i="57"/>
  <c r="AD4" i="55"/>
  <c r="I2" i="55"/>
  <c r="M2" i="55" s="1"/>
  <c r="Q2" i="55" s="1"/>
  <c r="U2" i="55" s="1"/>
  <c r="Y2" i="55" s="1"/>
  <c r="AC2" i="55" s="1"/>
  <c r="AG2" i="55" s="1"/>
  <c r="AK2" i="55" s="1"/>
  <c r="AO2" i="55" s="1"/>
  <c r="H2" i="55"/>
  <c r="L2" i="55" s="1"/>
  <c r="P2" i="55" s="1"/>
  <c r="T2" i="55" s="1"/>
  <c r="X2" i="55" s="1"/>
  <c r="AB2" i="55" s="1"/>
  <c r="AF2" i="55" s="1"/>
  <c r="AJ2" i="55" s="1"/>
  <c r="AN2" i="55" s="1"/>
  <c r="G2" i="55"/>
  <c r="K2" i="55" s="1"/>
  <c r="O2" i="55" s="1"/>
  <c r="S2" i="55" s="1"/>
  <c r="W2" i="55" s="1"/>
  <c r="AA2" i="55" s="1"/>
  <c r="AE2" i="55" s="1"/>
  <c r="AI2" i="55" s="1"/>
  <c r="AM2" i="55" s="1"/>
  <c r="F2" i="55"/>
  <c r="J2" i="55"/>
  <c r="N2" i="55" s="1"/>
  <c r="R2" i="55" s="1"/>
  <c r="V2" i="55" s="1"/>
  <c r="Z2" i="55" s="1"/>
  <c r="AD2" i="55" s="1"/>
  <c r="AH2" i="55" s="1"/>
  <c r="AL2" i="55" s="1"/>
  <c r="W5" i="55"/>
  <c r="N4" i="55"/>
  <c r="X4" i="55"/>
  <c r="AG4" i="55"/>
  <c r="AL4" i="55"/>
  <c r="J5" i="55"/>
  <c r="J4" i="55"/>
  <c r="O4" i="55"/>
  <c r="Y4" i="55"/>
  <c r="AH4" i="55"/>
  <c r="AM4" i="55"/>
  <c r="AE5" i="55"/>
  <c r="L4" i="55"/>
  <c r="U4" i="55"/>
  <c r="Z4" i="55"/>
  <c r="AJ4" i="55"/>
  <c r="AG5" i="55"/>
  <c r="M4" i="55"/>
  <c r="V4" i="55"/>
  <c r="AA4" i="55"/>
  <c r="AK4" i="55"/>
  <c r="AH5" i="55"/>
  <c r="L5" i="55"/>
  <c r="AI5" i="55"/>
  <c r="S5" i="55"/>
  <c r="R5" i="55"/>
  <c r="AJ5" i="55"/>
  <c r="K5" i="55"/>
  <c r="U5" i="55"/>
  <c r="V5" i="55"/>
  <c r="AO5" i="55"/>
  <c r="AC5" i="55"/>
  <c r="Q5" i="55"/>
  <c r="AN5" i="55"/>
  <c r="AB5" i="55"/>
  <c r="P5" i="55"/>
  <c r="AM5" i="55"/>
  <c r="AA5" i="55"/>
  <c r="O5" i="55"/>
  <c r="AL5" i="55"/>
  <c r="Z5" i="55"/>
  <c r="N5" i="55"/>
  <c r="AK5" i="55"/>
  <c r="Y5" i="55"/>
  <c r="M5" i="55"/>
  <c r="AF5" i="55"/>
  <c r="T5" i="55"/>
  <c r="X5" i="55"/>
  <c r="AD5" i="55"/>
  <c r="K4" i="55"/>
  <c r="W4" i="55"/>
  <c r="AI4" i="55"/>
  <c r="P4" i="55"/>
  <c r="AB4" i="55"/>
  <c r="AN4" i="55"/>
  <c r="Q4" i="55"/>
  <c r="AC4" i="55"/>
  <c r="AO4" i="55"/>
  <c r="R4" i="55"/>
  <c r="S4" i="55"/>
  <c r="AE4" i="55"/>
  <c r="T4" i="55"/>
  <c r="AF4" i="55"/>
  <c r="AL6" i="55"/>
  <c r="Z6" i="55"/>
  <c r="N6" i="55"/>
  <c r="AK6" i="55"/>
  <c r="Y6" i="55"/>
  <c r="M6" i="55"/>
  <c r="AJ6" i="55"/>
  <c r="X6" i="55"/>
  <c r="L6" i="55"/>
  <c r="AI6" i="55"/>
  <c r="W6" i="55"/>
  <c r="K6" i="55"/>
  <c r="AH6" i="55"/>
  <c r="V6" i="55"/>
  <c r="J6" i="55"/>
  <c r="AO6" i="55"/>
  <c r="AC6" i="55"/>
  <c r="Q6" i="55"/>
  <c r="AM6" i="55"/>
  <c r="O6" i="55"/>
  <c r="AG6" i="55"/>
  <c r="U6" i="55"/>
  <c r="AF6" i="55"/>
  <c r="T6" i="55"/>
  <c r="AE6" i="55"/>
  <c r="AA6" i="55"/>
  <c r="AD6" i="55"/>
  <c r="AB6" i="55"/>
  <c r="AN6" i="55"/>
  <c r="S6" i="55"/>
  <c r="R6" i="55"/>
  <c r="P6" i="55"/>
  <c r="A1" i="48"/>
  <c r="F4" i="28" s="1"/>
  <c r="C35" i="50"/>
  <c r="I20" i="50"/>
  <c r="J20" i="50" s="1"/>
  <c r="L20" i="50" s="1"/>
  <c r="I19" i="50"/>
  <c r="J19" i="50"/>
  <c r="L19" i="50" s="1"/>
  <c r="B11" i="50"/>
  <c r="B12" i="50"/>
  <c r="B10" i="50"/>
  <c r="D81" i="40"/>
  <c r="D80" i="40"/>
  <c r="D83" i="40" s="1"/>
  <c r="D85" i="40" s="1"/>
  <c r="D86" i="40" s="1"/>
  <c r="D88" i="40" s="1"/>
  <c r="D77" i="40"/>
  <c r="A65" i="18"/>
  <c r="C65" i="18" s="1"/>
  <c r="A68" i="18"/>
  <c r="B68" i="18" s="1"/>
  <c r="A77" i="18"/>
  <c r="F77" i="18" s="1"/>
  <c r="A31" i="18"/>
  <c r="C31" i="18" s="1"/>
  <c r="A36" i="18"/>
  <c r="C36" i="18" s="1"/>
  <c r="A44" i="18"/>
  <c r="F44" i="18" s="1"/>
  <c r="A48" i="18"/>
  <c r="B48" i="18" s="1"/>
  <c r="A57" i="18"/>
  <c r="C57" i="18" s="1"/>
  <c r="A78" i="18"/>
  <c r="A79" i="18"/>
  <c r="I102" i="17"/>
  <c r="J102" i="17"/>
  <c r="I107" i="17"/>
  <c r="I71" i="17"/>
  <c r="J71" i="17" s="1"/>
  <c r="J73" i="17"/>
  <c r="I73" i="41"/>
  <c r="I71" i="41" s="1"/>
  <c r="J71" i="41" s="1"/>
  <c r="B65" i="18"/>
  <c r="D77" i="18"/>
  <c r="F36" i="18"/>
  <c r="D31" i="18"/>
  <c r="I102" i="41"/>
  <c r="M12" i="38"/>
  <c r="H9" i="37"/>
  <c r="I9" i="37"/>
  <c r="A89" i="18"/>
  <c r="A88" i="18"/>
  <c r="A87" i="18"/>
  <c r="A86" i="18"/>
  <c r="A85" i="18"/>
  <c r="A84" i="18"/>
  <c r="A83" i="18"/>
  <c r="A82" i="18"/>
  <c r="A24" i="18"/>
  <c r="F24" i="18" s="1"/>
  <c r="B14" i="18"/>
  <c r="B13" i="18"/>
  <c r="B12" i="18"/>
  <c r="B11" i="18"/>
  <c r="I10" i="18"/>
  <c r="B10" i="18"/>
  <c r="D9" i="18"/>
  <c r="B9" i="18"/>
  <c r="J9" i="37"/>
  <c r="B24" i="18"/>
  <c r="C24" i="18"/>
  <c r="D24" i="18"/>
  <c r="I110" i="41"/>
  <c r="I107" i="41"/>
  <c r="I86" i="41"/>
  <c r="I85" i="41"/>
  <c r="I81" i="41"/>
  <c r="AN68" i="41"/>
  <c r="AN100" i="41"/>
  <c r="S58" i="41"/>
  <c r="O121" i="41"/>
  <c r="AN120" i="41"/>
  <c r="AN112" i="41"/>
  <c r="E107" i="41"/>
  <c r="L91" i="41"/>
  <c r="E70" i="41"/>
  <c r="E72" i="41" s="1"/>
  <c r="E69" i="41"/>
  <c r="AN67" i="41"/>
  <c r="G65" i="41"/>
  <c r="D59" i="41"/>
  <c r="AJ58" i="41"/>
  <c r="AF58" i="41"/>
  <c r="AD58" i="41"/>
  <c r="Y58" i="41"/>
  <c r="U58" i="41"/>
  <c r="AM54" i="41"/>
  <c r="AM55" i="41"/>
  <c r="A52" i="41"/>
  <c r="D28" i="21"/>
  <c r="J49" i="41"/>
  <c r="I49" i="41"/>
  <c r="H49" i="41"/>
  <c r="G49" i="41"/>
  <c r="F49" i="41"/>
  <c r="D49" i="41"/>
  <c r="H48" i="41"/>
  <c r="F48" i="41"/>
  <c r="D48" i="41"/>
  <c r="J47" i="41"/>
  <c r="H47" i="41"/>
  <c r="F47" i="41"/>
  <c r="D47" i="41"/>
  <c r="J46" i="41"/>
  <c r="H46" i="41"/>
  <c r="F46" i="41"/>
  <c r="D46" i="41"/>
  <c r="C46" i="41"/>
  <c r="N45" i="41"/>
  <c r="I45" i="41"/>
  <c r="H45" i="41"/>
  <c r="G45" i="41"/>
  <c r="F45" i="41"/>
  <c r="D45" i="41"/>
  <c r="J44" i="41"/>
  <c r="H44" i="41"/>
  <c r="F44" i="41"/>
  <c r="D44" i="41"/>
  <c r="J43" i="41"/>
  <c r="H43" i="41"/>
  <c r="F43" i="41"/>
  <c r="D43" i="41"/>
  <c r="I39" i="41"/>
  <c r="I51" i="41" s="1"/>
  <c r="H39" i="41"/>
  <c r="H40" i="41" s="1"/>
  <c r="G39" i="41"/>
  <c r="G51" i="41" s="1"/>
  <c r="F39" i="41"/>
  <c r="F40" i="41" s="1"/>
  <c r="D39" i="41"/>
  <c r="D51" i="41" s="1"/>
  <c r="B39" i="41"/>
  <c r="B51" i="41" s="1"/>
  <c r="D118" i="41" s="1"/>
  <c r="A39" i="41"/>
  <c r="A51" i="41"/>
  <c r="D27" i="21" s="1"/>
  <c r="B38" i="41"/>
  <c r="B50" i="41" s="1"/>
  <c r="D110" i="41" s="1"/>
  <c r="A38" i="41"/>
  <c r="A50" i="41" s="1"/>
  <c r="B37" i="41"/>
  <c r="B49" i="41"/>
  <c r="C25" i="21" s="1"/>
  <c r="A37" i="41"/>
  <c r="A49" i="41" s="1"/>
  <c r="B36" i="41"/>
  <c r="B48" i="41" s="1"/>
  <c r="A36" i="41"/>
  <c r="A48" i="41" s="1"/>
  <c r="B35" i="41"/>
  <c r="B47" i="41" s="1"/>
  <c r="C23" i="21" s="1"/>
  <c r="A35" i="41"/>
  <c r="A47" i="41" s="1"/>
  <c r="B34" i="41"/>
  <c r="B46" i="41"/>
  <c r="C22" i="21" s="1"/>
  <c r="A34" i="41"/>
  <c r="A46" i="41" s="1"/>
  <c r="A80" i="41" s="1"/>
  <c r="A37" i="18" s="1"/>
  <c r="B33" i="41"/>
  <c r="B45" i="41" s="1"/>
  <c r="D77" i="41" s="1"/>
  <c r="A33" i="41"/>
  <c r="A45" i="41" s="1"/>
  <c r="A75" i="41" s="1"/>
  <c r="A32" i="18" s="1"/>
  <c r="B32" i="41"/>
  <c r="B44" i="41" s="1"/>
  <c r="C20" i="21" s="1"/>
  <c r="A32" i="41"/>
  <c r="A44" i="41" s="1"/>
  <c r="B31" i="41"/>
  <c r="B43" i="41" s="1"/>
  <c r="D66" i="41" s="1"/>
  <c r="A31" i="41"/>
  <c r="A43" i="41" s="1"/>
  <c r="A64" i="41" s="1"/>
  <c r="J30" i="41"/>
  <c r="J42" i="41" s="1"/>
  <c r="I30" i="41"/>
  <c r="I42" i="41" s="1"/>
  <c r="H30" i="41"/>
  <c r="H42" i="41" s="1"/>
  <c r="G30" i="41"/>
  <c r="G42" i="41" s="1"/>
  <c r="F30" i="41"/>
  <c r="F42" i="41" s="1"/>
  <c r="E30" i="41"/>
  <c r="E42" i="41" s="1"/>
  <c r="D30" i="41"/>
  <c r="D42" i="41" s="1"/>
  <c r="C30" i="41"/>
  <c r="C42" i="41"/>
  <c r="C11" i="41"/>
  <c r="L10" i="41"/>
  <c r="L11" i="41" s="1"/>
  <c r="L12" i="41" s="1"/>
  <c r="L13" i="41" s="1"/>
  <c r="J6" i="41"/>
  <c r="C76" i="41" s="1"/>
  <c r="I6" i="41"/>
  <c r="C119" i="41" s="1"/>
  <c r="H6" i="41"/>
  <c r="C118" i="41" s="1"/>
  <c r="G6" i="41"/>
  <c r="C117" i="41" s="1"/>
  <c r="F6" i="41"/>
  <c r="C116" i="41" s="1"/>
  <c r="E6" i="41"/>
  <c r="C89" i="41" s="1"/>
  <c r="D6" i="41"/>
  <c r="C114" i="41" s="1"/>
  <c r="C6" i="41"/>
  <c r="C78" i="41" s="1"/>
  <c r="D4" i="41"/>
  <c r="E4" i="41" s="1"/>
  <c r="F4" i="41" s="1"/>
  <c r="G4" i="41" s="1"/>
  <c r="H4" i="41" s="1"/>
  <c r="I4" i="41" s="1"/>
  <c r="J4" i="41" s="1"/>
  <c r="C21" i="21"/>
  <c r="D22" i="21"/>
  <c r="C19" i="21"/>
  <c r="C26" i="21"/>
  <c r="D102" i="41"/>
  <c r="E59" i="41"/>
  <c r="AX10" i="36" s="1"/>
  <c r="M11" i="38"/>
  <c r="M9" i="38"/>
  <c r="H51" i="41"/>
  <c r="D40" i="41"/>
  <c r="G40" i="41"/>
  <c r="L67" i="41"/>
  <c r="D73" i="41"/>
  <c r="D83" i="41"/>
  <c r="D119" i="41"/>
  <c r="A65" i="41"/>
  <c r="A22" i="18" s="1"/>
  <c r="F22" i="18" s="1"/>
  <c r="L87" i="41"/>
  <c r="D3" i="35"/>
  <c r="B16" i="18"/>
  <c r="B15" i="18"/>
  <c r="F59" i="41"/>
  <c r="AX11" i="36" s="1"/>
  <c r="AY10" i="37"/>
  <c r="E64" i="56"/>
  <c r="E65" i="56" s="1"/>
  <c r="E66" i="56" s="1"/>
  <c r="E67" i="56" s="1"/>
  <c r="E68" i="56" s="1"/>
  <c r="E69" i="56" s="1"/>
  <c r="E70" i="56" s="1"/>
  <c r="E71" i="56" s="1"/>
  <c r="E72" i="56" s="1"/>
  <c r="E73" i="56" s="1"/>
  <c r="E74" i="56" s="1"/>
  <c r="E75" i="56" s="1"/>
  <c r="E76" i="56" s="1"/>
  <c r="B7" i="40"/>
  <c r="P38" i="40"/>
  <c r="C59" i="40" s="1"/>
  <c r="J30" i="43"/>
  <c r="J31" i="43" s="1"/>
  <c r="C65" i="40"/>
  <c r="C4" i="30"/>
  <c r="E83" i="41"/>
  <c r="E85" i="41"/>
  <c r="E104" i="41"/>
  <c r="E105" i="41"/>
  <c r="E106" i="41"/>
  <c r="A37" i="30"/>
  <c r="C27" i="13"/>
  <c r="G65" i="17"/>
  <c r="B16" i="35"/>
  <c r="B15" i="35"/>
  <c r="B14" i="35"/>
  <c r="B13" i="35"/>
  <c r="B12" i="35"/>
  <c r="B11" i="35"/>
  <c r="I10" i="35"/>
  <c r="I11" i="35"/>
  <c r="B10" i="35"/>
  <c r="B9" i="35"/>
  <c r="G45" i="14"/>
  <c r="J110" i="17"/>
  <c r="AC55" i="33"/>
  <c r="AC56" i="33"/>
  <c r="AC58" i="33" s="1"/>
  <c r="I41" i="33"/>
  <c r="H41" i="33"/>
  <c r="G41" i="33"/>
  <c r="F41" i="33"/>
  <c r="E41" i="33"/>
  <c r="D41" i="33"/>
  <c r="C41" i="33"/>
  <c r="AC38" i="33"/>
  <c r="AC40" i="33" s="1"/>
  <c r="AC39" i="33"/>
  <c r="P20" i="33"/>
  <c r="Q20" i="33" s="1"/>
  <c r="A3" i="33"/>
  <c r="J42" i="30"/>
  <c r="G43" i="17"/>
  <c r="E72" i="17"/>
  <c r="L91" i="17"/>
  <c r="G40" i="17"/>
  <c r="A36" i="17"/>
  <c r="A48" i="17" s="1"/>
  <c r="A31" i="17"/>
  <c r="A43" i="17" s="1"/>
  <c r="D59" i="17"/>
  <c r="M9" i="20"/>
  <c r="G48" i="17"/>
  <c r="A32" i="17"/>
  <c r="A44" i="17" s="1"/>
  <c r="A37" i="17"/>
  <c r="A49" i="17" s="1"/>
  <c r="A33" i="17"/>
  <c r="A45" i="17" s="1"/>
  <c r="A75" i="17" s="1"/>
  <c r="A34" i="17"/>
  <c r="A46" i="17" s="1"/>
  <c r="J81" i="17"/>
  <c r="J85" i="17"/>
  <c r="J86" i="17"/>
  <c r="A38" i="17"/>
  <c r="A50" i="17"/>
  <c r="A109" i="17" s="1"/>
  <c r="A39" i="17"/>
  <c r="A51" i="17"/>
  <c r="A35" i="17"/>
  <c r="A47" i="17"/>
  <c r="AK54" i="17"/>
  <c r="AK55" i="17"/>
  <c r="H68" i="14"/>
  <c r="G68" i="14"/>
  <c r="G69" i="14"/>
  <c r="E82" i="67" s="1"/>
  <c r="G71" i="14"/>
  <c r="R80" i="14"/>
  <c r="H37" i="12"/>
  <c r="I37" i="12"/>
  <c r="H38" i="12"/>
  <c r="I38" i="12"/>
  <c r="C38" i="66" s="1"/>
  <c r="C38" i="17"/>
  <c r="H39" i="12"/>
  <c r="D37" i="66" s="1"/>
  <c r="D49" i="66" s="1"/>
  <c r="D37" i="17"/>
  <c r="D49" i="17" s="1"/>
  <c r="I39" i="12"/>
  <c r="H40" i="12"/>
  <c r="I40" i="12"/>
  <c r="H38" i="66" s="1"/>
  <c r="H38" i="17"/>
  <c r="H41" i="12"/>
  <c r="J37" i="66" s="1"/>
  <c r="J49" i="66" s="1"/>
  <c r="J37" i="17"/>
  <c r="J49" i="17" s="1"/>
  <c r="I41" i="12"/>
  <c r="H36" i="12"/>
  <c r="I36" i="12"/>
  <c r="I38" i="66" s="1"/>
  <c r="I38" i="17"/>
  <c r="G45" i="17"/>
  <c r="G46" i="17"/>
  <c r="G47" i="17"/>
  <c r="G49" i="17"/>
  <c r="K7" i="17"/>
  <c r="G8" i="17"/>
  <c r="F10" i="27"/>
  <c r="AD58" i="17"/>
  <c r="AH58" i="17"/>
  <c r="AA58" i="17"/>
  <c r="T58" i="17"/>
  <c r="X58" i="17"/>
  <c r="Q58" i="17"/>
  <c r="G63" i="14"/>
  <c r="E89" i="67" s="1"/>
  <c r="E90" i="67" s="1"/>
  <c r="I10" i="22"/>
  <c r="I11" i="22" s="1"/>
  <c r="I12" i="22" s="1"/>
  <c r="I13" i="22" s="1"/>
  <c r="I14" i="22" s="1"/>
  <c r="I15" i="22" s="1"/>
  <c r="I16" i="22" s="1"/>
  <c r="I17" i="22" s="1"/>
  <c r="I18" i="22" s="1"/>
  <c r="B10" i="22"/>
  <c r="B11" i="22" s="1"/>
  <c r="B12" i="22" s="1"/>
  <c r="B13" i="22" s="1"/>
  <c r="B14" i="22" s="1"/>
  <c r="B15" i="22" s="1"/>
  <c r="B16" i="22" s="1"/>
  <c r="B17" i="22" s="1"/>
  <c r="B18" i="22" s="1"/>
  <c r="H40" i="21"/>
  <c r="C40" i="21" s="1"/>
  <c r="D39" i="21"/>
  <c r="C39" i="21"/>
  <c r="H31" i="21"/>
  <c r="H32" i="21" s="1"/>
  <c r="H33" i="21" s="1"/>
  <c r="D30" i="21"/>
  <c r="M12" i="20"/>
  <c r="O121" i="17"/>
  <c r="A52" i="17"/>
  <c r="J30" i="17"/>
  <c r="J42" i="17" s="1"/>
  <c r="I30" i="17"/>
  <c r="I42" i="17" s="1"/>
  <c r="H30" i="17"/>
  <c r="H42" i="17" s="1"/>
  <c r="G30" i="17"/>
  <c r="G42" i="17" s="1"/>
  <c r="F30" i="17"/>
  <c r="F42" i="17" s="1"/>
  <c r="E30" i="17"/>
  <c r="E42" i="17" s="1"/>
  <c r="D30" i="17"/>
  <c r="D42" i="17" s="1"/>
  <c r="C30" i="17"/>
  <c r="C42" i="17" s="1"/>
  <c r="C11" i="17"/>
  <c r="L10" i="17"/>
  <c r="L11" i="17"/>
  <c r="L12" i="17" s="1"/>
  <c r="L13" i="17" s="1"/>
  <c r="D4" i="17"/>
  <c r="E4" i="17"/>
  <c r="F4" i="17" s="1"/>
  <c r="G4" i="17" s="1"/>
  <c r="H4" i="17" s="1"/>
  <c r="I4" i="17" s="1"/>
  <c r="J4" i="17" s="1"/>
  <c r="C38" i="7"/>
  <c r="D38" i="7" s="1"/>
  <c r="E38" i="7" s="1"/>
  <c r="C39" i="7"/>
  <c r="D39" i="7" s="1"/>
  <c r="C40" i="7"/>
  <c r="D40" i="7" s="1"/>
  <c r="E40" i="7" s="1"/>
  <c r="C41" i="7"/>
  <c r="D41" i="7" s="1"/>
  <c r="E41" i="7" s="1"/>
  <c r="C42" i="7"/>
  <c r="D42" i="7"/>
  <c r="E42" i="7" s="1"/>
  <c r="C43" i="7"/>
  <c r="D43" i="7" s="1"/>
  <c r="E43" i="7" s="1"/>
  <c r="C44" i="7"/>
  <c r="D44" i="7" s="1"/>
  <c r="E44" i="7" s="1"/>
  <c r="C45" i="7"/>
  <c r="D45" i="7" s="1"/>
  <c r="E45" i="7" s="1"/>
  <c r="B5" i="6"/>
  <c r="B6" i="6"/>
  <c r="B7" i="6"/>
  <c r="C5" i="6"/>
  <c r="C6" i="6"/>
  <c r="C7" i="6"/>
  <c r="D5" i="6"/>
  <c r="D6" i="6"/>
  <c r="D8" i="6" s="1"/>
  <c r="D7" i="6"/>
  <c r="E5" i="6"/>
  <c r="E6" i="6"/>
  <c r="E7" i="6"/>
  <c r="F5" i="6"/>
  <c r="F6" i="6"/>
  <c r="F7" i="6"/>
  <c r="F8" i="6"/>
  <c r="B25" i="8" s="1"/>
  <c r="G5" i="6"/>
  <c r="G6" i="6"/>
  <c r="G7" i="6"/>
  <c r="H5" i="6"/>
  <c r="H6" i="6"/>
  <c r="H7" i="6"/>
  <c r="I5" i="6"/>
  <c r="I6" i="6"/>
  <c r="I7" i="6"/>
  <c r="J5" i="6"/>
  <c r="J6" i="6"/>
  <c r="J7" i="6"/>
  <c r="K5" i="6"/>
  <c r="K6" i="6"/>
  <c r="K7" i="6"/>
  <c r="L5" i="6"/>
  <c r="L6" i="6"/>
  <c r="L7" i="6"/>
  <c r="M5" i="6"/>
  <c r="M6" i="6"/>
  <c r="M7" i="6"/>
  <c r="N5" i="6"/>
  <c r="N6" i="6"/>
  <c r="N7" i="6"/>
  <c r="O5" i="6"/>
  <c r="O6" i="6"/>
  <c r="O7" i="6"/>
  <c r="I118" i="12"/>
  <c r="H79" i="12" s="1"/>
  <c r="H84" i="12" s="1"/>
  <c r="G117" i="12"/>
  <c r="G118" i="12" s="1"/>
  <c r="C79" i="12" s="1"/>
  <c r="H112" i="12"/>
  <c r="H118" i="12" s="1"/>
  <c r="G79" i="12" s="1"/>
  <c r="I86" i="10"/>
  <c r="F73" i="14"/>
  <c r="N72" i="14"/>
  <c r="H72" i="14"/>
  <c r="N71" i="14"/>
  <c r="H71" i="14"/>
  <c r="N70" i="14"/>
  <c r="H70" i="14"/>
  <c r="N69" i="14"/>
  <c r="H69" i="14"/>
  <c r="I69" i="14" s="1"/>
  <c r="N68" i="14"/>
  <c r="H63" i="14"/>
  <c r="F60" i="14"/>
  <c r="N59" i="14"/>
  <c r="N56" i="14"/>
  <c r="N57" i="14"/>
  <c r="N60" i="14" s="1"/>
  <c r="N58" i="14"/>
  <c r="H59" i="14"/>
  <c r="I59" i="14" s="1"/>
  <c r="G59" i="14"/>
  <c r="H58" i="14"/>
  <c r="G58" i="14"/>
  <c r="E63" i="67" s="1"/>
  <c r="H57" i="14"/>
  <c r="I57" i="14" s="1"/>
  <c r="G57" i="14"/>
  <c r="H56" i="14"/>
  <c r="I56" i="14" s="1"/>
  <c r="G56" i="14"/>
  <c r="E61" i="67" s="1"/>
  <c r="H47" i="14"/>
  <c r="I47" i="14" s="1"/>
  <c r="G47" i="14"/>
  <c r="H46" i="14"/>
  <c r="G46" i="14"/>
  <c r="H45" i="14"/>
  <c r="H34" i="14"/>
  <c r="G34" i="14"/>
  <c r="H33" i="14"/>
  <c r="G33" i="14"/>
  <c r="H27" i="14"/>
  <c r="G27" i="14"/>
  <c r="H26" i="14"/>
  <c r="G26" i="14"/>
  <c r="H25" i="14"/>
  <c r="G25" i="14"/>
  <c r="H24" i="14"/>
  <c r="G24" i="14"/>
  <c r="H23" i="14"/>
  <c r="G23" i="14"/>
  <c r="H22" i="14"/>
  <c r="G22" i="14"/>
  <c r="H16" i="14"/>
  <c r="G16" i="14"/>
  <c r="I16" i="14" s="1"/>
  <c r="I15" i="14"/>
  <c r="H14" i="14"/>
  <c r="I14" i="14" s="1"/>
  <c r="G14" i="14"/>
  <c r="I13" i="14"/>
  <c r="I12" i="14"/>
  <c r="H11" i="14"/>
  <c r="I11" i="14" s="1"/>
  <c r="G11" i="14"/>
  <c r="C32" i="13"/>
  <c r="B32" i="13"/>
  <c r="C31" i="13"/>
  <c r="B31" i="13"/>
  <c r="C30" i="13"/>
  <c r="B30" i="13"/>
  <c r="C29" i="13"/>
  <c r="B29" i="13"/>
  <c r="C28" i="13"/>
  <c r="B28" i="13"/>
  <c r="B27" i="13"/>
  <c r="A14" i="13"/>
  <c r="C50" i="12"/>
  <c r="C48" i="12"/>
  <c r="C47" i="12"/>
  <c r="G108" i="10"/>
  <c r="G24" i="10"/>
  <c r="R107" i="10"/>
  <c r="Q107" i="10"/>
  <c r="P107" i="10"/>
  <c r="O107" i="10"/>
  <c r="N107" i="10"/>
  <c r="M107" i="10"/>
  <c r="L107" i="10"/>
  <c r="R106" i="10"/>
  <c r="Q106" i="10"/>
  <c r="P106" i="10"/>
  <c r="O106" i="10"/>
  <c r="N106" i="10"/>
  <c r="M106" i="10"/>
  <c r="L106" i="10"/>
  <c r="R105" i="10"/>
  <c r="Q105" i="10"/>
  <c r="P105" i="10"/>
  <c r="O105" i="10"/>
  <c r="N105" i="10"/>
  <c r="M105" i="10"/>
  <c r="L105" i="10"/>
  <c r="R104" i="10"/>
  <c r="Q104" i="10"/>
  <c r="P104" i="10"/>
  <c r="O104" i="10"/>
  <c r="N104" i="10"/>
  <c r="M104" i="10"/>
  <c r="L104" i="10"/>
  <c r="R103" i="10"/>
  <c r="Q103" i="10"/>
  <c r="P103" i="10"/>
  <c r="O103" i="10"/>
  <c r="N103" i="10"/>
  <c r="M103" i="10"/>
  <c r="L103" i="10"/>
  <c r="R102" i="10"/>
  <c r="Q102" i="10"/>
  <c r="P102" i="10"/>
  <c r="O102" i="10"/>
  <c r="N102" i="10"/>
  <c r="M102" i="10"/>
  <c r="L102" i="10"/>
  <c r="R101" i="10"/>
  <c r="Q101" i="10"/>
  <c r="P101" i="10"/>
  <c r="O101" i="10"/>
  <c r="N101" i="10"/>
  <c r="M101" i="10"/>
  <c r="L101" i="10"/>
  <c r="R100" i="10"/>
  <c r="Q100" i="10"/>
  <c r="P100" i="10"/>
  <c r="O100" i="10"/>
  <c r="N100" i="10"/>
  <c r="M100" i="10"/>
  <c r="L100" i="10"/>
  <c r="B97" i="10"/>
  <c r="I97" i="10"/>
  <c r="I23" i="10" s="1"/>
  <c r="R96" i="10"/>
  <c r="Q96" i="10"/>
  <c r="P96" i="10"/>
  <c r="O96" i="10"/>
  <c r="N96" i="10"/>
  <c r="M96" i="10"/>
  <c r="L96" i="10"/>
  <c r="R95" i="10"/>
  <c r="Q95" i="10"/>
  <c r="P95" i="10"/>
  <c r="O95" i="10"/>
  <c r="N95" i="10"/>
  <c r="M95" i="10"/>
  <c r="L95" i="10"/>
  <c r="R94" i="10"/>
  <c r="Q94" i="10"/>
  <c r="P94" i="10"/>
  <c r="O94" i="10"/>
  <c r="N94" i="10"/>
  <c r="M94" i="10"/>
  <c r="L94" i="10"/>
  <c r="R93" i="10"/>
  <c r="Q93" i="10"/>
  <c r="P93" i="10"/>
  <c r="O93" i="10"/>
  <c r="N93" i="10"/>
  <c r="M93" i="10"/>
  <c r="L93" i="10"/>
  <c r="R92" i="10"/>
  <c r="Q92" i="10"/>
  <c r="P92" i="10"/>
  <c r="O92" i="10"/>
  <c r="N92" i="10"/>
  <c r="M92" i="10"/>
  <c r="L92" i="10"/>
  <c r="R91" i="10"/>
  <c r="Q91" i="10"/>
  <c r="P91" i="10"/>
  <c r="O91" i="10"/>
  <c r="N91" i="10"/>
  <c r="M91" i="10"/>
  <c r="L91" i="10"/>
  <c r="R90" i="10"/>
  <c r="Q90" i="10"/>
  <c r="P90" i="10"/>
  <c r="O90" i="10"/>
  <c r="N90" i="10"/>
  <c r="M90" i="10"/>
  <c r="L90" i="10"/>
  <c r="R89" i="10"/>
  <c r="Q89" i="10"/>
  <c r="P89" i="10"/>
  <c r="O89" i="10"/>
  <c r="N89" i="10"/>
  <c r="M89" i="10"/>
  <c r="L89" i="10"/>
  <c r="R85" i="10"/>
  <c r="Q85" i="10"/>
  <c r="P85" i="10"/>
  <c r="O85" i="10"/>
  <c r="N85" i="10"/>
  <c r="M85" i="10"/>
  <c r="L85" i="10"/>
  <c r="R84" i="10"/>
  <c r="Q84" i="10"/>
  <c r="P84" i="10"/>
  <c r="O84" i="10"/>
  <c r="N84" i="10"/>
  <c r="M84" i="10"/>
  <c r="L84" i="10"/>
  <c r="R83" i="10"/>
  <c r="Q83" i="10"/>
  <c r="P83" i="10"/>
  <c r="O83" i="10"/>
  <c r="N83" i="10"/>
  <c r="M83" i="10"/>
  <c r="L83" i="10"/>
  <c r="R82" i="10"/>
  <c r="Q82" i="10"/>
  <c r="P82" i="10"/>
  <c r="O82" i="10"/>
  <c r="N82" i="10"/>
  <c r="M82" i="10"/>
  <c r="L82" i="10"/>
  <c r="R81" i="10"/>
  <c r="Q81" i="10"/>
  <c r="P81" i="10"/>
  <c r="O81" i="10"/>
  <c r="N81" i="10"/>
  <c r="M81" i="10"/>
  <c r="L81" i="10"/>
  <c r="R80" i="10"/>
  <c r="Q80" i="10"/>
  <c r="P80" i="10"/>
  <c r="O80" i="10"/>
  <c r="N80" i="10"/>
  <c r="M80" i="10"/>
  <c r="L80" i="10"/>
  <c r="R79" i="10"/>
  <c r="Q79" i="10"/>
  <c r="P79" i="10"/>
  <c r="O79" i="10"/>
  <c r="N79" i="10"/>
  <c r="M79" i="10"/>
  <c r="L79" i="10"/>
  <c r="R78" i="10"/>
  <c r="Q78" i="10"/>
  <c r="P78" i="10"/>
  <c r="O78" i="10"/>
  <c r="N78" i="10"/>
  <c r="M78" i="10"/>
  <c r="L78" i="10"/>
  <c r="B74" i="10"/>
  <c r="F74" i="10"/>
  <c r="F21" i="10" s="1"/>
  <c r="R73" i="10"/>
  <c r="Q73" i="10"/>
  <c r="P73" i="10"/>
  <c r="O73" i="10"/>
  <c r="N73" i="10"/>
  <c r="M73" i="10"/>
  <c r="L73" i="10"/>
  <c r="R72" i="10"/>
  <c r="Q72" i="10"/>
  <c r="P72" i="10"/>
  <c r="O72" i="10"/>
  <c r="N72" i="10"/>
  <c r="M72" i="10"/>
  <c r="L72" i="10"/>
  <c r="R71" i="10"/>
  <c r="Q71" i="10"/>
  <c r="P71" i="10"/>
  <c r="O71" i="10"/>
  <c r="N71" i="10"/>
  <c r="M71" i="10"/>
  <c r="L71" i="10"/>
  <c r="R70" i="10"/>
  <c r="Q70" i="10"/>
  <c r="P70" i="10"/>
  <c r="O70" i="10"/>
  <c r="N70" i="10"/>
  <c r="M70" i="10"/>
  <c r="L70" i="10"/>
  <c r="R69" i="10"/>
  <c r="Q69" i="10"/>
  <c r="P69" i="10"/>
  <c r="O69" i="10"/>
  <c r="N69" i="10"/>
  <c r="M69" i="10"/>
  <c r="L69" i="10"/>
  <c r="R68" i="10"/>
  <c r="Q68" i="10"/>
  <c r="P68" i="10"/>
  <c r="O68" i="10"/>
  <c r="N68" i="10"/>
  <c r="M68" i="10"/>
  <c r="L68" i="10"/>
  <c r="R67" i="10"/>
  <c r="Q67" i="10"/>
  <c r="P67" i="10"/>
  <c r="O67" i="10"/>
  <c r="N67" i="10"/>
  <c r="M67" i="10"/>
  <c r="L67" i="10"/>
  <c r="R66" i="10"/>
  <c r="Q66" i="10"/>
  <c r="P66" i="10"/>
  <c r="O66" i="10"/>
  <c r="N66" i="10"/>
  <c r="M66" i="10"/>
  <c r="L66" i="10"/>
  <c r="B63" i="10"/>
  <c r="D63" i="10"/>
  <c r="D20" i="10" s="1"/>
  <c r="R62" i="10"/>
  <c r="Q62" i="10"/>
  <c r="P62" i="10"/>
  <c r="O62" i="10"/>
  <c r="N62" i="10"/>
  <c r="M62" i="10"/>
  <c r="L62" i="10"/>
  <c r="R61" i="10"/>
  <c r="Q61" i="10"/>
  <c r="P61" i="10"/>
  <c r="O61" i="10"/>
  <c r="N61" i="10"/>
  <c r="M61" i="10"/>
  <c r="L61" i="10"/>
  <c r="R60" i="10"/>
  <c r="Q60" i="10"/>
  <c r="P60" i="10"/>
  <c r="O60" i="10"/>
  <c r="N60" i="10"/>
  <c r="M60" i="10"/>
  <c r="L60" i="10"/>
  <c r="R59" i="10"/>
  <c r="Q59" i="10"/>
  <c r="P59" i="10"/>
  <c r="O59" i="10"/>
  <c r="N59" i="10"/>
  <c r="M59" i="10"/>
  <c r="L59" i="10"/>
  <c r="R58" i="10"/>
  <c r="Q58" i="10"/>
  <c r="P58" i="10"/>
  <c r="O58" i="10"/>
  <c r="N58" i="10"/>
  <c r="M58" i="10"/>
  <c r="L58" i="10"/>
  <c r="R57" i="10"/>
  <c r="Q57" i="10"/>
  <c r="P57" i="10"/>
  <c r="O57" i="10"/>
  <c r="N57" i="10"/>
  <c r="M57" i="10"/>
  <c r="L57" i="10"/>
  <c r="R56" i="10"/>
  <c r="Q56" i="10"/>
  <c r="P56" i="10"/>
  <c r="O56" i="10"/>
  <c r="N56" i="10"/>
  <c r="M56" i="10"/>
  <c r="L56" i="10"/>
  <c r="R55" i="10"/>
  <c r="Q55" i="10"/>
  <c r="P55" i="10"/>
  <c r="O55" i="10"/>
  <c r="N55" i="10"/>
  <c r="M55" i="10"/>
  <c r="L55" i="10"/>
  <c r="B51" i="10"/>
  <c r="H51" i="10" s="1"/>
  <c r="R50" i="10"/>
  <c r="Q50" i="10"/>
  <c r="P50" i="10"/>
  <c r="O50" i="10"/>
  <c r="N50" i="10"/>
  <c r="M50" i="10"/>
  <c r="L50" i="10"/>
  <c r="R49" i="10"/>
  <c r="Q49" i="10"/>
  <c r="P49" i="10"/>
  <c r="O49" i="10"/>
  <c r="N49" i="10"/>
  <c r="M49" i="10"/>
  <c r="L49" i="10"/>
  <c r="R48" i="10"/>
  <c r="Q48" i="10"/>
  <c r="P48" i="10"/>
  <c r="O48" i="10"/>
  <c r="N48" i="10"/>
  <c r="M48" i="10"/>
  <c r="L48" i="10"/>
  <c r="R47" i="10"/>
  <c r="Q47" i="10"/>
  <c r="P47" i="10"/>
  <c r="O47" i="10"/>
  <c r="N47" i="10"/>
  <c r="M47" i="10"/>
  <c r="L47" i="10"/>
  <c r="R46" i="10"/>
  <c r="Q46" i="10"/>
  <c r="P46" i="10"/>
  <c r="O46" i="10"/>
  <c r="N46" i="10"/>
  <c r="M46" i="10"/>
  <c r="L46" i="10"/>
  <c r="R45" i="10"/>
  <c r="Q45" i="10"/>
  <c r="P45" i="10"/>
  <c r="O45" i="10"/>
  <c r="N45" i="10"/>
  <c r="M45" i="10"/>
  <c r="L45" i="10"/>
  <c r="R44" i="10"/>
  <c r="Q44" i="10"/>
  <c r="P44" i="10"/>
  <c r="O44" i="10"/>
  <c r="N44" i="10"/>
  <c r="M44" i="10"/>
  <c r="L44" i="10"/>
  <c r="R43" i="10"/>
  <c r="Q43" i="10"/>
  <c r="P43" i="10"/>
  <c r="O43" i="10"/>
  <c r="N43" i="10"/>
  <c r="M43" i="10"/>
  <c r="L43" i="10"/>
  <c r="B38" i="10"/>
  <c r="I37" i="10"/>
  <c r="H37" i="10"/>
  <c r="G37" i="10"/>
  <c r="F37" i="10"/>
  <c r="E37" i="10"/>
  <c r="D37" i="10"/>
  <c r="J37" i="10" s="1"/>
  <c r="N37" i="10" s="1"/>
  <c r="C37" i="10"/>
  <c r="I36" i="10"/>
  <c r="H36" i="10"/>
  <c r="C36" i="10"/>
  <c r="D36" i="10"/>
  <c r="E36" i="10"/>
  <c r="F36" i="10"/>
  <c r="G36" i="10"/>
  <c r="I35" i="10"/>
  <c r="H35" i="10"/>
  <c r="F35" i="10"/>
  <c r="E35" i="10"/>
  <c r="D35" i="10"/>
  <c r="C35" i="10"/>
  <c r="J35" i="10" s="1"/>
  <c r="I34" i="10"/>
  <c r="F34" i="10"/>
  <c r="E34" i="10"/>
  <c r="D34" i="10"/>
  <c r="C34" i="10"/>
  <c r="I33" i="10"/>
  <c r="H33" i="10"/>
  <c r="C33" i="10"/>
  <c r="C38" i="10" s="1"/>
  <c r="D33" i="10"/>
  <c r="E33" i="10"/>
  <c r="E38" i="10" s="1"/>
  <c r="F33" i="10"/>
  <c r="G33" i="10"/>
  <c r="I32" i="10"/>
  <c r="F32" i="10"/>
  <c r="E32" i="10"/>
  <c r="D32" i="10"/>
  <c r="C32" i="10"/>
  <c r="I31" i="10"/>
  <c r="G31" i="10"/>
  <c r="F31" i="10"/>
  <c r="E31" i="10"/>
  <c r="D31" i="10"/>
  <c r="D38" i="10" s="1"/>
  <c r="C31" i="10"/>
  <c r="I30" i="10"/>
  <c r="I38" i="10" s="1"/>
  <c r="G30" i="10"/>
  <c r="F30" i="10"/>
  <c r="F38" i="10" s="1"/>
  <c r="C30" i="10"/>
  <c r="B20" i="9"/>
  <c r="D37" i="7"/>
  <c r="E37" i="7"/>
  <c r="C33" i="7"/>
  <c r="D16" i="7"/>
  <c r="E16" i="7" s="1"/>
  <c r="P7" i="6"/>
  <c r="P5" i="6"/>
  <c r="P6" i="6"/>
  <c r="C89" i="5"/>
  <c r="D88" i="5"/>
  <c r="D87" i="5"/>
  <c r="D86" i="5"/>
  <c r="D85" i="5"/>
  <c r="D84" i="5"/>
  <c r="D83" i="5"/>
  <c r="D82" i="5"/>
  <c r="D81" i="5"/>
  <c r="E80" i="5"/>
  <c r="F80" i="5" s="1"/>
  <c r="G80" i="5" s="1"/>
  <c r="H80" i="5" s="1"/>
  <c r="I80" i="5" s="1"/>
  <c r="J80" i="5" s="1"/>
  <c r="K80" i="5" s="1"/>
  <c r="L80" i="5" s="1"/>
  <c r="M80" i="5" s="1"/>
  <c r="N80" i="5" s="1"/>
  <c r="O80" i="5" s="1"/>
  <c r="P80" i="5" s="1"/>
  <c r="Q80" i="5" s="1"/>
  <c r="R80" i="5" s="1"/>
  <c r="S80" i="5" s="1"/>
  <c r="T80" i="5" s="1"/>
  <c r="U80" i="5" s="1"/>
  <c r="E76" i="5"/>
  <c r="J89" i="5" s="1"/>
  <c r="C71" i="5"/>
  <c r="D70" i="5"/>
  <c r="E70" i="5" s="1"/>
  <c r="F70" i="5" s="1"/>
  <c r="G70" i="5" s="1"/>
  <c r="H70" i="5" s="1"/>
  <c r="I70" i="5" s="1"/>
  <c r="J70" i="5" s="1"/>
  <c r="K70" i="5" s="1"/>
  <c r="L70" i="5" s="1"/>
  <c r="M70" i="5" s="1"/>
  <c r="N70" i="5" s="1"/>
  <c r="O70" i="5" s="1"/>
  <c r="P70" i="5" s="1"/>
  <c r="Q70" i="5" s="1"/>
  <c r="R70" i="5" s="1"/>
  <c r="S70" i="5" s="1"/>
  <c r="T70" i="5" s="1"/>
  <c r="U70" i="5" s="1"/>
  <c r="D69" i="5"/>
  <c r="E69" i="5" s="1"/>
  <c r="F69" i="5" s="1"/>
  <c r="G69" i="5" s="1"/>
  <c r="H69" i="5" s="1"/>
  <c r="I69" i="5" s="1"/>
  <c r="J69" i="5" s="1"/>
  <c r="K69" i="5" s="1"/>
  <c r="L69" i="5" s="1"/>
  <c r="M69" i="5" s="1"/>
  <c r="N69" i="5" s="1"/>
  <c r="O69" i="5" s="1"/>
  <c r="P69" i="5" s="1"/>
  <c r="Q69" i="5" s="1"/>
  <c r="R69" i="5" s="1"/>
  <c r="S69" i="5" s="1"/>
  <c r="T69" i="5" s="1"/>
  <c r="U69" i="5" s="1"/>
  <c r="D68" i="5"/>
  <c r="E68" i="5" s="1"/>
  <c r="F68" i="5" s="1"/>
  <c r="G68" i="5" s="1"/>
  <c r="H68" i="5" s="1"/>
  <c r="I68" i="5" s="1"/>
  <c r="J68" i="5" s="1"/>
  <c r="K68" i="5" s="1"/>
  <c r="L68" i="5" s="1"/>
  <c r="M68" i="5" s="1"/>
  <c r="N68" i="5" s="1"/>
  <c r="O68" i="5" s="1"/>
  <c r="P68" i="5" s="1"/>
  <c r="Q68" i="5" s="1"/>
  <c r="R68" i="5" s="1"/>
  <c r="S68" i="5" s="1"/>
  <c r="T68" i="5" s="1"/>
  <c r="U68" i="5" s="1"/>
  <c r="D67" i="5"/>
  <c r="E67" i="5" s="1"/>
  <c r="F67" i="5" s="1"/>
  <c r="G67" i="5" s="1"/>
  <c r="H67" i="5" s="1"/>
  <c r="I67" i="5" s="1"/>
  <c r="J67" i="5" s="1"/>
  <c r="K67" i="5" s="1"/>
  <c r="L67" i="5" s="1"/>
  <c r="M67" i="5" s="1"/>
  <c r="N67" i="5" s="1"/>
  <c r="O67" i="5" s="1"/>
  <c r="P67" i="5" s="1"/>
  <c r="Q67" i="5" s="1"/>
  <c r="R67" i="5" s="1"/>
  <c r="S67" i="5" s="1"/>
  <c r="T67" i="5" s="1"/>
  <c r="U67" i="5" s="1"/>
  <c r="D66" i="5"/>
  <c r="E66" i="5" s="1"/>
  <c r="F66" i="5" s="1"/>
  <c r="G66" i="5" s="1"/>
  <c r="D65" i="5"/>
  <c r="E65" i="5" s="1"/>
  <c r="F65" i="5" s="1"/>
  <c r="G65" i="5" s="1"/>
  <c r="H65" i="5" s="1"/>
  <c r="I65" i="5" s="1"/>
  <c r="J65" i="5" s="1"/>
  <c r="K65" i="5" s="1"/>
  <c r="L65" i="5" s="1"/>
  <c r="M65" i="5" s="1"/>
  <c r="N65" i="5" s="1"/>
  <c r="O65" i="5" s="1"/>
  <c r="P65" i="5" s="1"/>
  <c r="Q65" i="5" s="1"/>
  <c r="R65" i="5" s="1"/>
  <c r="S65" i="5" s="1"/>
  <c r="T65" i="5" s="1"/>
  <c r="U65" i="5" s="1"/>
  <c r="D64" i="5"/>
  <c r="E64" i="5" s="1"/>
  <c r="F64" i="5" s="1"/>
  <c r="G64" i="5" s="1"/>
  <c r="H64" i="5" s="1"/>
  <c r="I64" i="5" s="1"/>
  <c r="J64" i="5" s="1"/>
  <c r="K64" i="5" s="1"/>
  <c r="L64" i="5" s="1"/>
  <c r="M64" i="5" s="1"/>
  <c r="N64" i="5" s="1"/>
  <c r="O64" i="5" s="1"/>
  <c r="P64" i="5" s="1"/>
  <c r="Q64" i="5" s="1"/>
  <c r="R64" i="5" s="1"/>
  <c r="S64" i="5" s="1"/>
  <c r="T64" i="5" s="1"/>
  <c r="U64" i="5" s="1"/>
  <c r="D63" i="5"/>
  <c r="E63" i="5" s="1"/>
  <c r="F63" i="5" s="1"/>
  <c r="F71" i="5" s="1"/>
  <c r="E62" i="5"/>
  <c r="F62" i="5" s="1"/>
  <c r="G62" i="5" s="1"/>
  <c r="H62" i="5" s="1"/>
  <c r="I62" i="5" s="1"/>
  <c r="J62" i="5" s="1"/>
  <c r="K62" i="5" s="1"/>
  <c r="L62" i="5" s="1"/>
  <c r="M62" i="5" s="1"/>
  <c r="N62" i="5" s="1"/>
  <c r="O62" i="5" s="1"/>
  <c r="P62" i="5" s="1"/>
  <c r="Q62" i="5" s="1"/>
  <c r="R62" i="5" s="1"/>
  <c r="S62" i="5" s="1"/>
  <c r="T62" i="5" s="1"/>
  <c r="U62" i="5" s="1"/>
  <c r="C58" i="5"/>
  <c r="D57" i="5"/>
  <c r="E57" i="5" s="1"/>
  <c r="F57" i="5" s="1"/>
  <c r="G57" i="5" s="1"/>
  <c r="H57" i="5" s="1"/>
  <c r="I57" i="5" s="1"/>
  <c r="J57" i="5" s="1"/>
  <c r="K57" i="5" s="1"/>
  <c r="L57" i="5" s="1"/>
  <c r="M57" i="5" s="1"/>
  <c r="N57" i="5" s="1"/>
  <c r="O57" i="5" s="1"/>
  <c r="P57" i="5" s="1"/>
  <c r="Q57" i="5" s="1"/>
  <c r="R57" i="5" s="1"/>
  <c r="S57" i="5" s="1"/>
  <c r="T57" i="5" s="1"/>
  <c r="U57" i="5" s="1"/>
  <c r="D56" i="5"/>
  <c r="E56" i="5" s="1"/>
  <c r="F56" i="5" s="1"/>
  <c r="G56" i="5" s="1"/>
  <c r="H56" i="5" s="1"/>
  <c r="I56" i="5" s="1"/>
  <c r="J56" i="5" s="1"/>
  <c r="K56" i="5" s="1"/>
  <c r="L56" i="5" s="1"/>
  <c r="M56" i="5" s="1"/>
  <c r="N56" i="5" s="1"/>
  <c r="O56" i="5" s="1"/>
  <c r="P56" i="5" s="1"/>
  <c r="Q56" i="5" s="1"/>
  <c r="R56" i="5" s="1"/>
  <c r="S56" i="5" s="1"/>
  <c r="T56" i="5" s="1"/>
  <c r="U56" i="5" s="1"/>
  <c r="D55" i="5"/>
  <c r="E55" i="5" s="1"/>
  <c r="F55" i="5" s="1"/>
  <c r="G55" i="5" s="1"/>
  <c r="H55" i="5" s="1"/>
  <c r="I55" i="5" s="1"/>
  <c r="J55" i="5" s="1"/>
  <c r="K55" i="5" s="1"/>
  <c r="L55" i="5" s="1"/>
  <c r="M55" i="5" s="1"/>
  <c r="N55" i="5" s="1"/>
  <c r="O55" i="5" s="1"/>
  <c r="P55" i="5" s="1"/>
  <c r="Q55" i="5" s="1"/>
  <c r="R55" i="5" s="1"/>
  <c r="S55" i="5" s="1"/>
  <c r="T55" i="5" s="1"/>
  <c r="U55" i="5" s="1"/>
  <c r="D54" i="5"/>
  <c r="E54" i="5" s="1"/>
  <c r="F54" i="5" s="1"/>
  <c r="G54" i="5" s="1"/>
  <c r="H54" i="5" s="1"/>
  <c r="I54" i="5" s="1"/>
  <c r="J54" i="5" s="1"/>
  <c r="K54" i="5" s="1"/>
  <c r="L54" i="5" s="1"/>
  <c r="M54" i="5" s="1"/>
  <c r="N54" i="5" s="1"/>
  <c r="O54" i="5" s="1"/>
  <c r="P54" i="5" s="1"/>
  <c r="Q54" i="5" s="1"/>
  <c r="R54" i="5" s="1"/>
  <c r="S54" i="5" s="1"/>
  <c r="T54" i="5" s="1"/>
  <c r="U54" i="5" s="1"/>
  <c r="D53" i="5"/>
  <c r="E53" i="5" s="1"/>
  <c r="F53" i="5" s="1"/>
  <c r="G53" i="5" s="1"/>
  <c r="H53" i="5" s="1"/>
  <c r="I53" i="5" s="1"/>
  <c r="J53" i="5" s="1"/>
  <c r="K53" i="5" s="1"/>
  <c r="L53" i="5" s="1"/>
  <c r="M53" i="5" s="1"/>
  <c r="N53" i="5" s="1"/>
  <c r="O53" i="5" s="1"/>
  <c r="P53" i="5" s="1"/>
  <c r="Q53" i="5" s="1"/>
  <c r="R53" i="5" s="1"/>
  <c r="S53" i="5" s="1"/>
  <c r="T53" i="5" s="1"/>
  <c r="U53" i="5" s="1"/>
  <c r="D52" i="5"/>
  <c r="E52" i="5" s="1"/>
  <c r="F52" i="5" s="1"/>
  <c r="G52" i="5" s="1"/>
  <c r="H52" i="5" s="1"/>
  <c r="I52" i="5" s="1"/>
  <c r="J52" i="5" s="1"/>
  <c r="K52" i="5" s="1"/>
  <c r="L52" i="5" s="1"/>
  <c r="M52" i="5" s="1"/>
  <c r="N52" i="5" s="1"/>
  <c r="O52" i="5" s="1"/>
  <c r="P52" i="5" s="1"/>
  <c r="Q52" i="5" s="1"/>
  <c r="R52" i="5" s="1"/>
  <c r="S52" i="5" s="1"/>
  <c r="T52" i="5" s="1"/>
  <c r="U52" i="5" s="1"/>
  <c r="D51" i="5"/>
  <c r="E51" i="5" s="1"/>
  <c r="F51" i="5" s="1"/>
  <c r="G51" i="5" s="1"/>
  <c r="H51" i="5" s="1"/>
  <c r="I51" i="5" s="1"/>
  <c r="J51" i="5" s="1"/>
  <c r="K51" i="5" s="1"/>
  <c r="L51" i="5" s="1"/>
  <c r="M51" i="5" s="1"/>
  <c r="N51" i="5" s="1"/>
  <c r="O51" i="5" s="1"/>
  <c r="P51" i="5" s="1"/>
  <c r="Q51" i="5" s="1"/>
  <c r="R51" i="5" s="1"/>
  <c r="S51" i="5" s="1"/>
  <c r="T51" i="5" s="1"/>
  <c r="U51" i="5" s="1"/>
  <c r="D50" i="5"/>
  <c r="E50" i="5" s="1"/>
  <c r="E49" i="5"/>
  <c r="F49" i="5"/>
  <c r="G49" i="5" s="1"/>
  <c r="H49" i="5" s="1"/>
  <c r="I49" i="5" s="1"/>
  <c r="J49" i="5" s="1"/>
  <c r="K49" i="5" s="1"/>
  <c r="L49" i="5" s="1"/>
  <c r="M49" i="5" s="1"/>
  <c r="N49" i="5" s="1"/>
  <c r="O49" i="5" s="1"/>
  <c r="P49" i="5" s="1"/>
  <c r="Q49" i="5" s="1"/>
  <c r="R49" i="5" s="1"/>
  <c r="S49" i="5" s="1"/>
  <c r="T49" i="5" s="1"/>
  <c r="U49" i="5" s="1"/>
  <c r="C45" i="5"/>
  <c r="D44" i="5"/>
  <c r="E44" i="5" s="1"/>
  <c r="F44" i="5" s="1"/>
  <c r="D43" i="5"/>
  <c r="E43" i="5" s="1"/>
  <c r="F43" i="5" s="1"/>
  <c r="D42" i="5"/>
  <c r="E42" i="5"/>
  <c r="F42" i="5" s="1"/>
  <c r="D41" i="5"/>
  <c r="E41" i="5" s="1"/>
  <c r="F41" i="5" s="1"/>
  <c r="D40" i="5"/>
  <c r="E40" i="5" s="1"/>
  <c r="F40" i="5" s="1"/>
  <c r="D39" i="5"/>
  <c r="E39" i="5" s="1"/>
  <c r="F39" i="5" s="1"/>
  <c r="D38" i="5"/>
  <c r="E38" i="5"/>
  <c r="F38" i="5" s="1"/>
  <c r="D37" i="5"/>
  <c r="E37" i="5" s="1"/>
  <c r="E36" i="5"/>
  <c r="F36" i="5" s="1"/>
  <c r="G36" i="5" s="1"/>
  <c r="H36" i="5" s="1"/>
  <c r="I36" i="5" s="1"/>
  <c r="J36" i="5" s="1"/>
  <c r="K36" i="5" s="1"/>
  <c r="L36" i="5" s="1"/>
  <c r="M36" i="5" s="1"/>
  <c r="N36" i="5" s="1"/>
  <c r="O36" i="5" s="1"/>
  <c r="P36" i="5" s="1"/>
  <c r="Q36" i="5" s="1"/>
  <c r="R36" i="5" s="1"/>
  <c r="S36" i="5" s="1"/>
  <c r="T36" i="5" s="1"/>
  <c r="U36" i="5" s="1"/>
  <c r="C28" i="5"/>
  <c r="C27" i="5"/>
  <c r="C26" i="5"/>
  <c r="E25" i="5"/>
  <c r="F25" i="5" s="1"/>
  <c r="U16" i="5"/>
  <c r="T16" i="5"/>
  <c r="S16" i="5"/>
  <c r="R16" i="5"/>
  <c r="Q16" i="5"/>
  <c r="P16" i="5"/>
  <c r="O16" i="5"/>
  <c r="N16" i="5"/>
  <c r="M16" i="5"/>
  <c r="L16" i="5"/>
  <c r="K16" i="5"/>
  <c r="J16" i="5"/>
  <c r="I16" i="5"/>
  <c r="H16" i="5"/>
  <c r="E14" i="5"/>
  <c r="F14" i="5" s="1"/>
  <c r="D10" i="5"/>
  <c r="E8" i="5"/>
  <c r="F8" i="5"/>
  <c r="F63" i="10"/>
  <c r="F20" i="10"/>
  <c r="F86" i="10"/>
  <c r="H86" i="10"/>
  <c r="H22" i="10" s="1"/>
  <c r="J86" i="10"/>
  <c r="H108" i="10"/>
  <c r="H24" i="10" s="1"/>
  <c r="Q24" i="10" s="1"/>
  <c r="G40" i="11" s="1"/>
  <c r="E63" i="10"/>
  <c r="E20" i="10" s="1"/>
  <c r="G63" i="10"/>
  <c r="G20" i="10" s="1"/>
  <c r="E74" i="10"/>
  <c r="G74" i="10"/>
  <c r="G21" i="10" s="1"/>
  <c r="F22" i="10"/>
  <c r="H66" i="5"/>
  <c r="I66" i="5" s="1"/>
  <c r="J66" i="5"/>
  <c r="K66" i="5" s="1"/>
  <c r="L66" i="5" s="1"/>
  <c r="I108" i="10"/>
  <c r="I24" i="10" s="1"/>
  <c r="I22" i="10"/>
  <c r="H74" i="10"/>
  <c r="H21" i="10" s="1"/>
  <c r="H25" i="10" s="1"/>
  <c r="H89" i="5"/>
  <c r="U26" i="33"/>
  <c r="V26" i="33" s="1"/>
  <c r="V27" i="33" s="1"/>
  <c r="C63" i="10"/>
  <c r="C20" i="10"/>
  <c r="G89" i="5"/>
  <c r="O8" i="6"/>
  <c r="B34" i="8" s="1"/>
  <c r="C8" i="6"/>
  <c r="B22" i="8" s="1"/>
  <c r="P8" i="6"/>
  <c r="P82" i="12"/>
  <c r="G40" i="12"/>
  <c r="L37" i="10"/>
  <c r="G51" i="10"/>
  <c r="J63" i="10"/>
  <c r="H63" i="10"/>
  <c r="I63" i="10"/>
  <c r="I20" i="10" s="1"/>
  <c r="R20" i="10" s="1"/>
  <c r="H36" i="11" s="1"/>
  <c r="C108" i="10"/>
  <c r="C24" i="10" s="1"/>
  <c r="L24" i="10" s="1"/>
  <c r="B40" i="11" s="1"/>
  <c r="R35" i="10"/>
  <c r="F108" i="10"/>
  <c r="F89" i="5"/>
  <c r="U89" i="5"/>
  <c r="H38" i="10"/>
  <c r="S89" i="5"/>
  <c r="D15" i="22"/>
  <c r="I12" i="35"/>
  <c r="I13" i="35" s="1"/>
  <c r="I14" i="35" s="1"/>
  <c r="E8" i="17"/>
  <c r="G82" i="5"/>
  <c r="L79" i="17"/>
  <c r="M89" i="5"/>
  <c r="M85" i="5" s="1"/>
  <c r="T89" i="5"/>
  <c r="N89" i="5"/>
  <c r="S81" i="5"/>
  <c r="J74" i="10"/>
  <c r="J21" i="10"/>
  <c r="O89" i="5"/>
  <c r="O84" i="5"/>
  <c r="D74" i="10"/>
  <c r="D21" i="10"/>
  <c r="M21" i="10" s="1"/>
  <c r="C37" i="11" s="1"/>
  <c r="B23" i="8"/>
  <c r="S82" i="5"/>
  <c r="C74" i="10"/>
  <c r="C21" i="10" s="1"/>
  <c r="Q89" i="5"/>
  <c r="R89" i="5"/>
  <c r="R86" i="5" s="1"/>
  <c r="S83" i="5"/>
  <c r="S84" i="5"/>
  <c r="P89" i="5"/>
  <c r="G87" i="5"/>
  <c r="K89" i="5"/>
  <c r="U83" i="5"/>
  <c r="I89" i="5"/>
  <c r="I82" i="5" s="1"/>
  <c r="I74" i="10"/>
  <c r="I21" i="10" s="1"/>
  <c r="R21" i="10" s="1"/>
  <c r="H37" i="11" s="1"/>
  <c r="E89" i="5"/>
  <c r="C19" i="5"/>
  <c r="S85" i="5"/>
  <c r="G86" i="10"/>
  <c r="G22" i="10"/>
  <c r="L89" i="5"/>
  <c r="L81" i="5"/>
  <c r="C86" i="10"/>
  <c r="N8" i="6"/>
  <c r="B33" i="8" s="1"/>
  <c r="J8" i="17"/>
  <c r="D8" i="17"/>
  <c r="H8" i="17"/>
  <c r="F8" i="17"/>
  <c r="I8" i="17"/>
  <c r="H85" i="5"/>
  <c r="H86" i="5"/>
  <c r="H88" i="5"/>
  <c r="H84" i="5"/>
  <c r="H81" i="5"/>
  <c r="H87" i="5"/>
  <c r="H83" i="5"/>
  <c r="H82" i="5"/>
  <c r="E71" i="5"/>
  <c r="F24" i="10"/>
  <c r="O35" i="10"/>
  <c r="Q35" i="10"/>
  <c r="J30" i="10"/>
  <c r="R63" i="10"/>
  <c r="M63" i="10"/>
  <c r="J20" i="10"/>
  <c r="E97" i="10"/>
  <c r="E23" i="10" s="1"/>
  <c r="M86" i="5"/>
  <c r="R82" i="5"/>
  <c r="M83" i="5"/>
  <c r="E21" i="10"/>
  <c r="H19" i="10"/>
  <c r="G38" i="10"/>
  <c r="J34" i="10"/>
  <c r="H97" i="10"/>
  <c r="H23" i="10" s="1"/>
  <c r="D97" i="10"/>
  <c r="F97" i="10"/>
  <c r="F23" i="10" s="1"/>
  <c r="C97" i="10"/>
  <c r="J97" i="10"/>
  <c r="G97" i="10"/>
  <c r="G23" i="10" s="1"/>
  <c r="C16" i="5"/>
  <c r="H20" i="10"/>
  <c r="J36" i="10"/>
  <c r="M8" i="6"/>
  <c r="B32" i="8" s="1"/>
  <c r="Q5" i="6"/>
  <c r="O86" i="10"/>
  <c r="J33" i="10"/>
  <c r="Q33" i="10" s="1"/>
  <c r="J51" i="10"/>
  <c r="J19" i="10" s="1"/>
  <c r="D19" i="13" s="1"/>
  <c r="C51" i="10"/>
  <c r="C19" i="10" s="1"/>
  <c r="R108" i="10"/>
  <c r="J22" i="10"/>
  <c r="O83" i="5"/>
  <c r="J32" i="10"/>
  <c r="R86" i="10"/>
  <c r="D32" i="21"/>
  <c r="O20" i="33"/>
  <c r="P21" i="33"/>
  <c r="I8" i="6"/>
  <c r="B28" i="8" s="1"/>
  <c r="E8" i="6"/>
  <c r="B24" i="8" s="1"/>
  <c r="E59" i="17"/>
  <c r="F59" i="17" s="1"/>
  <c r="M11" i="20"/>
  <c r="AC57" i="33"/>
  <c r="AD56" i="33"/>
  <c r="I46" i="14"/>
  <c r="E90" i="17"/>
  <c r="C8" i="17"/>
  <c r="D11" i="21"/>
  <c r="D14" i="22"/>
  <c r="R77" i="14"/>
  <c r="D16" i="21"/>
  <c r="R78" i="14"/>
  <c r="E98" i="17"/>
  <c r="C9" i="21"/>
  <c r="C17" i="21"/>
  <c r="D10" i="22"/>
  <c r="A88" i="17"/>
  <c r="A61" i="17"/>
  <c r="A65" i="17"/>
  <c r="A64" i="17"/>
  <c r="A10" i="30" s="1"/>
  <c r="A60" i="17"/>
  <c r="I26" i="14"/>
  <c r="I33" i="14"/>
  <c r="I22" i="14"/>
  <c r="I58" i="14"/>
  <c r="I45" i="14"/>
  <c r="N73" i="14"/>
  <c r="I72" i="14"/>
  <c r="I70" i="14"/>
  <c r="E9" i="35"/>
  <c r="U27" i="33"/>
  <c r="D16" i="22"/>
  <c r="C15" i="21"/>
  <c r="A112" i="17"/>
  <c r="D17" i="21"/>
  <c r="C11" i="21"/>
  <c r="D12" i="22"/>
  <c r="C16" i="21"/>
  <c r="D17" i="22"/>
  <c r="D11" i="22"/>
  <c r="C10" i="21"/>
  <c r="D10" i="21"/>
  <c r="D18" i="22"/>
  <c r="D13" i="22"/>
  <c r="C12" i="21"/>
  <c r="D13" i="21"/>
  <c r="C14" i="21"/>
  <c r="C13" i="21"/>
  <c r="L67" i="17"/>
  <c r="I27" i="14"/>
  <c r="R79" i="14"/>
  <c r="L87" i="17"/>
  <c r="I23" i="14"/>
  <c r="I25" i="14"/>
  <c r="I71" i="14"/>
  <c r="I68" i="14"/>
  <c r="T26" i="33"/>
  <c r="T27" i="33" s="1"/>
  <c r="P37" i="10"/>
  <c r="F81" i="5"/>
  <c r="M88" i="5"/>
  <c r="M82" i="5"/>
  <c r="U86" i="5"/>
  <c r="R37" i="10"/>
  <c r="M81" i="5"/>
  <c r="M87" i="5"/>
  <c r="M84" i="5"/>
  <c r="G83" i="5"/>
  <c r="U88" i="5"/>
  <c r="P86" i="10"/>
  <c r="R74" i="10"/>
  <c r="M74" i="10"/>
  <c r="F88" i="5"/>
  <c r="S86" i="5"/>
  <c r="S88" i="5"/>
  <c r="S87" i="5"/>
  <c r="L20" i="10"/>
  <c r="B36" i="11" s="1"/>
  <c r="U82" i="5"/>
  <c r="F85" i="5"/>
  <c r="A10" i="57"/>
  <c r="L21" i="10"/>
  <c r="B37" i="11" s="1"/>
  <c r="L74" i="10"/>
  <c r="N86" i="5"/>
  <c r="N85" i="5"/>
  <c r="N83" i="5"/>
  <c r="N87" i="5"/>
  <c r="I87" i="5"/>
  <c r="T81" i="5"/>
  <c r="T87" i="5"/>
  <c r="T84" i="5"/>
  <c r="T86" i="5"/>
  <c r="T82" i="5"/>
  <c r="T88" i="5"/>
  <c r="T85" i="5"/>
  <c r="T83" i="5"/>
  <c r="Q74" i="10"/>
  <c r="Q88" i="5"/>
  <c r="Q84" i="5"/>
  <c r="Q82" i="5"/>
  <c r="Q87" i="5"/>
  <c r="D3" i="12"/>
  <c r="N74" i="10"/>
  <c r="R84" i="5"/>
  <c r="I85" i="5"/>
  <c r="I81" i="5"/>
  <c r="R97" i="10"/>
  <c r="L88" i="5"/>
  <c r="L82" i="5"/>
  <c r="L86" i="5"/>
  <c r="L87" i="5"/>
  <c r="L85" i="5"/>
  <c r="L84" i="5"/>
  <c r="L83" i="5"/>
  <c r="I86" i="5"/>
  <c r="P83" i="5"/>
  <c r="P84" i="5"/>
  <c r="P82" i="5"/>
  <c r="P88" i="5"/>
  <c r="P85" i="5"/>
  <c r="P87" i="5"/>
  <c r="P86" i="5"/>
  <c r="P81" i="5"/>
  <c r="I88" i="5"/>
  <c r="R87" i="5"/>
  <c r="I84" i="5"/>
  <c r="Q20" i="10"/>
  <c r="G36" i="11" s="1"/>
  <c r="I83" i="5"/>
  <c r="R81" i="5"/>
  <c r="E85" i="5"/>
  <c r="E88" i="5"/>
  <c r="E87" i="5"/>
  <c r="E84" i="5"/>
  <c r="E86" i="5"/>
  <c r="E83" i="5"/>
  <c r="E82" i="5"/>
  <c r="E81" i="5"/>
  <c r="R88" i="5"/>
  <c r="K86" i="5"/>
  <c r="K85" i="5"/>
  <c r="K83" i="5"/>
  <c r="K82" i="5"/>
  <c r="K88" i="5"/>
  <c r="K84" i="5"/>
  <c r="K81" i="5"/>
  <c r="K87" i="5"/>
  <c r="O88" i="5"/>
  <c r="O87" i="5"/>
  <c r="O85" i="5"/>
  <c r="O81" i="5"/>
  <c r="O82" i="5"/>
  <c r="O86" i="5"/>
  <c r="R85" i="5"/>
  <c r="E77" i="56"/>
  <c r="E78" i="56" s="1"/>
  <c r="D22" i="13"/>
  <c r="H34" i="21"/>
  <c r="L51" i="10"/>
  <c r="O97" i="10"/>
  <c r="N36" i="10"/>
  <c r="P36" i="10"/>
  <c r="R36" i="10"/>
  <c r="M97" i="10"/>
  <c r="D23" i="10"/>
  <c r="D21" i="13"/>
  <c r="O21" i="33"/>
  <c r="N20" i="33"/>
  <c r="N32" i="10"/>
  <c r="L32" i="10"/>
  <c r="O32" i="10"/>
  <c r="O24" i="10"/>
  <c r="E40" i="11" s="1"/>
  <c r="L108" i="10"/>
  <c r="P108" i="10"/>
  <c r="Q108" i="10"/>
  <c r="M33" i="10"/>
  <c r="O33" i="10"/>
  <c r="N33" i="10"/>
  <c r="P97" i="10"/>
  <c r="O108" i="10"/>
  <c r="AZ10" i="32"/>
  <c r="AX10" i="19"/>
  <c r="Q97" i="10"/>
  <c r="Q51" i="10"/>
  <c r="N97" i="10"/>
  <c r="L30" i="10"/>
  <c r="N30" i="10"/>
  <c r="Q30" i="10"/>
  <c r="N108" i="10"/>
  <c r="M34" i="10"/>
  <c r="L34" i="10"/>
  <c r="P34" i="10"/>
  <c r="N21" i="10"/>
  <c r="D37" i="11" s="1"/>
  <c r="D20" i="13"/>
  <c r="M108" i="10"/>
  <c r="C23" i="10"/>
  <c r="G63" i="5"/>
  <c r="O82" i="12"/>
  <c r="F40" i="12"/>
  <c r="M82" i="12"/>
  <c r="D40" i="12"/>
  <c r="N82" i="12"/>
  <c r="E40" i="12"/>
  <c r="K82" i="12"/>
  <c r="B40" i="12" s="1"/>
  <c r="E65" i="17"/>
  <c r="E66" i="17" s="1"/>
  <c r="A7" i="30"/>
  <c r="W26" i="33"/>
  <c r="W27" i="33" s="1"/>
  <c r="S26" i="33"/>
  <c r="E37" i="63"/>
  <c r="E47" i="14"/>
  <c r="L47" i="14" s="1"/>
  <c r="F13" i="56"/>
  <c r="W3" i="33"/>
  <c r="W4" i="33" s="1"/>
  <c r="Q19" i="10"/>
  <c r="G35" i="11" s="1"/>
  <c r="D24" i="13"/>
  <c r="P24" i="10"/>
  <c r="F40" i="11" s="1"/>
  <c r="R24" i="10"/>
  <c r="H40" i="11" s="1"/>
  <c r="N21" i="33"/>
  <c r="M20" i="33"/>
  <c r="L20" i="33" s="1"/>
  <c r="D34" i="21"/>
  <c r="H35" i="21"/>
  <c r="AZ11" i="32"/>
  <c r="G59" i="17"/>
  <c r="AX11" i="19"/>
  <c r="H63" i="5"/>
  <c r="G71" i="5"/>
  <c r="L19" i="10"/>
  <c r="B35" i="11"/>
  <c r="R26" i="33"/>
  <c r="S27" i="33"/>
  <c r="I15" i="35"/>
  <c r="I16" i="35" s="1"/>
  <c r="L37" i="63"/>
  <c r="K37" i="63"/>
  <c r="H59" i="17"/>
  <c r="AX13" i="19"/>
  <c r="M21" i="33"/>
  <c r="H36" i="21"/>
  <c r="D35" i="21"/>
  <c r="I63" i="5"/>
  <c r="H71" i="5"/>
  <c r="AV29" i="19"/>
  <c r="AW29" i="19" s="1"/>
  <c r="K15" i="20"/>
  <c r="L15" i="20" s="1"/>
  <c r="Q26" i="33"/>
  <c r="R27" i="33"/>
  <c r="I59" i="17"/>
  <c r="AX14" i="19" s="1"/>
  <c r="AX16" i="19"/>
  <c r="J63" i="5"/>
  <c r="K63" i="5" s="1"/>
  <c r="I71" i="5"/>
  <c r="D36" i="21"/>
  <c r="H37" i="21"/>
  <c r="Q27" i="33"/>
  <c r="P26" i="33"/>
  <c r="P27" i="33" s="1"/>
  <c r="J71" i="5"/>
  <c r="D37" i="21"/>
  <c r="J59" i="17"/>
  <c r="AX15" i="19" s="1"/>
  <c r="I13" i="30"/>
  <c r="F13" i="30" s="1"/>
  <c r="I82" i="17"/>
  <c r="I31" i="30"/>
  <c r="F21" i="30"/>
  <c r="F11" i="30"/>
  <c r="O26" i="33"/>
  <c r="J82" i="17"/>
  <c r="I32" i="30"/>
  <c r="I36" i="30"/>
  <c r="I83" i="17"/>
  <c r="I34" i="30"/>
  <c r="I38" i="30" s="1"/>
  <c r="I84" i="17"/>
  <c r="I33" i="30"/>
  <c r="I37" i="30" s="1"/>
  <c r="I35" i="30"/>
  <c r="I39" i="30" s="1"/>
  <c r="I40" i="30" s="1"/>
  <c r="O27" i="33"/>
  <c r="N26" i="33"/>
  <c r="I103" i="17"/>
  <c r="I105" i="17"/>
  <c r="J83" i="17"/>
  <c r="I106" i="17"/>
  <c r="F31" i="30"/>
  <c r="F32" i="30"/>
  <c r="M26" i="33"/>
  <c r="N27" i="33"/>
  <c r="J106" i="17"/>
  <c r="I104" i="17"/>
  <c r="J105" i="17"/>
  <c r="J104" i="17"/>
  <c r="A19" i="32"/>
  <c r="A26" i="32"/>
  <c r="D11" i="50"/>
  <c r="D10" i="50"/>
  <c r="D12" i="50"/>
  <c r="A52" i="32"/>
  <c r="G82" i="48"/>
  <c r="A53" i="48"/>
  <c r="G211" i="29"/>
  <c r="D278" i="29"/>
  <c r="D366" i="29"/>
  <c r="A77" i="35"/>
  <c r="D206" i="29" l="1"/>
  <c r="D198" i="29"/>
  <c r="A67" i="48"/>
  <c r="A75" i="48"/>
  <c r="D127" i="48"/>
  <c r="A127" i="48" s="1"/>
  <c r="A69" i="48"/>
  <c r="D126" i="48"/>
  <c r="A126" i="48" s="1"/>
  <c r="D109" i="48"/>
  <c r="A109" i="48" s="1"/>
  <c r="A70" i="48"/>
  <c r="D222" i="29"/>
  <c r="D214" i="29"/>
  <c r="D149" i="48"/>
  <c r="A149" i="48" s="1"/>
  <c r="D120" i="48"/>
  <c r="A120" i="48" s="1"/>
  <c r="A56" i="48"/>
  <c r="D144" i="48"/>
  <c r="A144" i="48" s="1"/>
  <c r="D96" i="48"/>
  <c r="A96" i="48" s="1"/>
  <c r="F90" i="75"/>
  <c r="F89" i="75"/>
  <c r="H89" i="75" s="1"/>
  <c r="D111" i="48"/>
  <c r="A111" i="48" s="1"/>
  <c r="D135" i="48"/>
  <c r="A135" i="48" s="1"/>
  <c r="D103" i="48"/>
  <c r="A103" i="48" s="1"/>
  <c r="A79" i="48"/>
  <c r="D95" i="48"/>
  <c r="A95" i="48" s="1"/>
  <c r="D208" i="29"/>
  <c r="D87" i="48"/>
  <c r="A87" i="48" s="1"/>
  <c r="D119" i="48"/>
  <c r="A119" i="48" s="1"/>
  <c r="A1" i="29"/>
  <c r="D84" i="48"/>
  <c r="A84" i="48" s="1"/>
  <c r="D152" i="48"/>
  <c r="A152" i="48" s="1"/>
  <c r="A22" i="29"/>
  <c r="A32" i="48"/>
  <c r="D112" i="48"/>
  <c r="A112" i="48" s="1"/>
  <c r="D88" i="48"/>
  <c r="A88" i="48" s="1"/>
  <c r="A46" i="29"/>
  <c r="D210" i="29"/>
  <c r="D124" i="48"/>
  <c r="A124" i="48" s="1"/>
  <c r="D140" i="48"/>
  <c r="A140" i="48" s="1"/>
  <c r="A20" i="48"/>
  <c r="D148" i="48"/>
  <c r="A148" i="48" s="1"/>
  <c r="D133" i="48"/>
  <c r="A133" i="48" s="1"/>
  <c r="D108" i="48"/>
  <c r="A108" i="48" s="1"/>
  <c r="D94" i="48"/>
  <c r="A94" i="48" s="1"/>
  <c r="D143" i="48"/>
  <c r="A143" i="48" s="1"/>
  <c r="D132" i="48"/>
  <c r="A132" i="48" s="1"/>
  <c r="D118" i="48"/>
  <c r="A118" i="48" s="1"/>
  <c r="D93" i="48"/>
  <c r="A93" i="48" s="1"/>
  <c r="D117" i="48"/>
  <c r="A117" i="48" s="1"/>
  <c r="D116" i="48"/>
  <c r="A116" i="48" s="1"/>
  <c r="D102" i="48"/>
  <c r="A102" i="48" s="1"/>
  <c r="D91" i="48"/>
  <c r="A91" i="48" s="1"/>
  <c r="D150" i="48"/>
  <c r="A150" i="48" s="1"/>
  <c r="D100" i="48"/>
  <c r="A100" i="48" s="1"/>
  <c r="D110" i="48"/>
  <c r="A110" i="48" s="1"/>
  <c r="D134" i="48"/>
  <c r="A134" i="48" s="1"/>
  <c r="A38" i="29"/>
  <c r="E6" i="64"/>
  <c r="M6" i="64" s="1"/>
  <c r="A35" i="29"/>
  <c r="D90" i="48"/>
  <c r="A90" i="48" s="1"/>
  <c r="D131" i="48"/>
  <c r="A131" i="48" s="1"/>
  <c r="D123" i="48"/>
  <c r="A123" i="48" s="1"/>
  <c r="D115" i="48"/>
  <c r="A115" i="48" s="1"/>
  <c r="D107" i="48"/>
  <c r="A107" i="48" s="1"/>
  <c r="D99" i="48"/>
  <c r="A99" i="48" s="1"/>
  <c r="D89" i="48"/>
  <c r="A89" i="48" s="1"/>
  <c r="D146" i="48"/>
  <c r="A146" i="48" s="1"/>
  <c r="D138" i="48"/>
  <c r="A138" i="48" s="1"/>
  <c r="D130" i="48"/>
  <c r="A130" i="48" s="1"/>
  <c r="D122" i="48"/>
  <c r="A122" i="48" s="1"/>
  <c r="D114" i="48"/>
  <c r="A114" i="48" s="1"/>
  <c r="D106" i="48"/>
  <c r="A106" i="48" s="1"/>
  <c r="D153" i="48"/>
  <c r="A153" i="48" s="1"/>
  <c r="D145" i="48"/>
  <c r="A145" i="48" s="1"/>
  <c r="D137" i="48"/>
  <c r="A137" i="48" s="1"/>
  <c r="D129" i="48"/>
  <c r="A129" i="48" s="1"/>
  <c r="D121" i="48"/>
  <c r="A121" i="48" s="1"/>
  <c r="D113" i="48"/>
  <c r="A113" i="48" s="1"/>
  <c r="D105" i="48"/>
  <c r="A105" i="48" s="1"/>
  <c r="A32" i="29"/>
  <c r="K47" i="14"/>
  <c r="D97" i="48"/>
  <c r="A97" i="48" s="1"/>
  <c r="D98" i="48"/>
  <c r="A98" i="48" s="1"/>
  <c r="D86" i="48"/>
  <c r="A86" i="48" s="1"/>
  <c r="G87" i="48"/>
  <c r="G9" i="64"/>
  <c r="O9" i="64" s="1"/>
  <c r="AK26" i="32"/>
  <c r="AI26" i="32"/>
  <c r="AG26" i="32"/>
  <c r="AE26" i="32"/>
  <c r="AC26" i="32"/>
  <c r="AA26" i="32"/>
  <c r="Y26" i="32"/>
  <c r="W26" i="32"/>
  <c r="U26" i="32"/>
  <c r="S26" i="32"/>
  <c r="AJ26" i="32"/>
  <c r="AH26" i="32"/>
  <c r="AF26" i="32"/>
  <c r="AD26" i="32"/>
  <c r="AB26" i="32"/>
  <c r="Z26" i="32"/>
  <c r="X26" i="32"/>
  <c r="V26" i="32"/>
  <c r="T26" i="32"/>
  <c r="AK19" i="32"/>
  <c r="AI19" i="32"/>
  <c r="AG19" i="32"/>
  <c r="AE19" i="32"/>
  <c r="AC19" i="32"/>
  <c r="AA19" i="32"/>
  <c r="Y19" i="32"/>
  <c r="W19" i="32"/>
  <c r="U19" i="32"/>
  <c r="S19" i="32"/>
  <c r="AJ19" i="32"/>
  <c r="AH19" i="32"/>
  <c r="AF19" i="32"/>
  <c r="AD19" i="32"/>
  <c r="AB19" i="32"/>
  <c r="Z19" i="32"/>
  <c r="X19" i="32"/>
  <c r="V19" i="32"/>
  <c r="T19" i="32"/>
  <c r="J104" i="41"/>
  <c r="J88" i="5"/>
  <c r="J85" i="5"/>
  <c r="J84" i="5"/>
  <c r="J83" i="5"/>
  <c r="J86" i="5"/>
  <c r="Q21" i="33"/>
  <c r="R20" i="33"/>
  <c r="C24" i="21"/>
  <c r="D94" i="41"/>
  <c r="D93" i="41"/>
  <c r="AW14" i="37"/>
  <c r="AX14" i="37" s="1"/>
  <c r="AW15" i="37" s="1"/>
  <c r="AX15" i="37" s="1"/>
  <c r="AW16" i="37" s="1"/>
  <c r="AX16" i="37" s="1"/>
  <c r="AW17" i="37" s="1"/>
  <c r="AX17" i="37" s="1"/>
  <c r="AW18" i="37" s="1"/>
  <c r="AX18" i="37" s="1"/>
  <c r="AW19" i="37" s="1"/>
  <c r="AX19" i="37" s="1"/>
  <c r="K15" i="38"/>
  <c r="L15" i="38" s="1"/>
  <c r="AV19" i="36"/>
  <c r="AW19" i="36" s="1"/>
  <c r="AV20" i="36" s="1"/>
  <c r="AW20" i="36" s="1"/>
  <c r="AV21" i="36" s="1"/>
  <c r="AW21" i="36" s="1"/>
  <c r="J105" i="41"/>
  <c r="J106" i="41"/>
  <c r="L26" i="33"/>
  <c r="M27" i="33"/>
  <c r="J83" i="41"/>
  <c r="I103" i="41"/>
  <c r="J103" i="17"/>
  <c r="K71" i="5"/>
  <c r="L63" i="5"/>
  <c r="M63" i="5" s="1"/>
  <c r="N63" i="5" s="1"/>
  <c r="O63" i="5" s="1"/>
  <c r="P63" i="5" s="1"/>
  <c r="Q63" i="5" s="1"/>
  <c r="R63" i="5" s="1"/>
  <c r="S63" i="5" s="1"/>
  <c r="T63" i="5" s="1"/>
  <c r="U63" i="5" s="1"/>
  <c r="L21" i="33"/>
  <c r="K20" i="33"/>
  <c r="B79" i="63"/>
  <c r="B89" i="69"/>
  <c r="B89" i="14"/>
  <c r="I79" i="12"/>
  <c r="E39" i="7"/>
  <c r="E46" i="7" s="1"/>
  <c r="F46" i="7" s="1"/>
  <c r="B13" i="8" s="1"/>
  <c r="D46" i="7"/>
  <c r="A97" i="17"/>
  <c r="A49" i="32" s="1"/>
  <c r="D14" i="21"/>
  <c r="A92" i="17"/>
  <c r="A44" i="32" s="1"/>
  <c r="D24" i="21"/>
  <c r="A97" i="41"/>
  <c r="D54" i="18" s="1"/>
  <c r="J82" i="41"/>
  <c r="I82" i="41"/>
  <c r="H31" i="17"/>
  <c r="H43" i="17" s="1"/>
  <c r="H31" i="66"/>
  <c r="H36" i="66"/>
  <c r="H48" i="66" s="1"/>
  <c r="E26" i="69"/>
  <c r="H35" i="17"/>
  <c r="H47" i="17" s="1"/>
  <c r="H35" i="66"/>
  <c r="H47" i="66" s="1"/>
  <c r="B19" i="5"/>
  <c r="E113" i="41"/>
  <c r="E113" i="67"/>
  <c r="E114" i="41"/>
  <c r="E114" i="67"/>
  <c r="N114" i="67" s="1"/>
  <c r="E62" i="41"/>
  <c r="E65" i="41" s="1"/>
  <c r="E66" i="41" s="1"/>
  <c r="E62" i="67"/>
  <c r="E65" i="67" s="1"/>
  <c r="E66" i="67" s="1"/>
  <c r="E64" i="41"/>
  <c r="E64" i="67"/>
  <c r="L8" i="6"/>
  <c r="B31" i="8" s="1"/>
  <c r="K8" i="6"/>
  <c r="B30" i="8" s="1"/>
  <c r="J8" i="6"/>
  <c r="B29" i="8" s="1"/>
  <c r="H8" i="6"/>
  <c r="B27" i="8" s="1"/>
  <c r="G8" i="6"/>
  <c r="B26" i="8" s="1"/>
  <c r="A77" i="66"/>
  <c r="A103" i="66"/>
  <c r="B103" i="66" s="1"/>
  <c r="A104" i="66"/>
  <c r="B104" i="66" s="1"/>
  <c r="A72" i="66"/>
  <c r="A99" i="66"/>
  <c r="A70" i="66"/>
  <c r="A110" i="66"/>
  <c r="A81" i="66"/>
  <c r="A107" i="66"/>
  <c r="B107" i="66" s="1"/>
  <c r="AL108" i="66" s="1"/>
  <c r="A86" i="66"/>
  <c r="A106" i="66"/>
  <c r="B106" i="66" s="1"/>
  <c r="A105" i="66"/>
  <c r="B105" i="66" s="1"/>
  <c r="A93" i="66"/>
  <c r="A90" i="66"/>
  <c r="A98" i="66"/>
  <c r="A85" i="66"/>
  <c r="A89" i="66"/>
  <c r="A84" i="66"/>
  <c r="A83" i="66"/>
  <c r="A102" i="66"/>
  <c r="B102" i="66" s="1"/>
  <c r="B121" i="66" s="1"/>
  <c r="A82" i="66"/>
  <c r="A115" i="66"/>
  <c r="J38" i="17"/>
  <c r="J38" i="66"/>
  <c r="D38" i="17"/>
  <c r="D38" i="66"/>
  <c r="J85" i="41"/>
  <c r="E115" i="41"/>
  <c r="E115" i="67"/>
  <c r="E82" i="41"/>
  <c r="E61" i="41"/>
  <c r="D64" i="41"/>
  <c r="D117" i="41"/>
  <c r="F51" i="41"/>
  <c r="D84" i="41"/>
  <c r="D107" i="41"/>
  <c r="C69" i="41"/>
  <c r="J73" i="41"/>
  <c r="J107" i="17"/>
  <c r="I83" i="66"/>
  <c r="D45" i="14"/>
  <c r="G19" i="59"/>
  <c r="G6" i="59"/>
  <c r="G9" i="59"/>
  <c r="D40" i="14"/>
  <c r="D4" i="12"/>
  <c r="D11" i="12" s="1"/>
  <c r="D6" i="12"/>
  <c r="D9" i="12"/>
  <c r="D10" i="12"/>
  <c r="D8" i="12"/>
  <c r="R65" i="63"/>
  <c r="F70" i="63" s="1"/>
  <c r="F72" i="63" s="1"/>
  <c r="J65" i="63"/>
  <c r="E97" i="67"/>
  <c r="N97" i="67" s="1"/>
  <c r="E97" i="41"/>
  <c r="E78" i="41"/>
  <c r="E78" i="67"/>
  <c r="N78" i="67" s="1"/>
  <c r="J78" i="14"/>
  <c r="E105" i="67"/>
  <c r="L103" i="17"/>
  <c r="L103" i="66"/>
  <c r="H39" i="17"/>
  <c r="H51" i="17" s="1"/>
  <c r="M118" i="17" s="1"/>
  <c r="N118" i="17" s="1"/>
  <c r="H39" i="66"/>
  <c r="H51" i="66" s="1"/>
  <c r="M118" i="66" s="1"/>
  <c r="N118" i="66" s="1"/>
  <c r="E47" i="69"/>
  <c r="A7" i="55"/>
  <c r="I104" i="41"/>
  <c r="I106" i="41"/>
  <c r="I105" i="41"/>
  <c r="I84" i="41"/>
  <c r="I83" i="41"/>
  <c r="I25" i="30"/>
  <c r="F25" i="30" s="1"/>
  <c r="I28" i="30"/>
  <c r="F28" i="30" s="1"/>
  <c r="I23" i="30"/>
  <c r="F23" i="30" s="1"/>
  <c r="I27" i="30"/>
  <c r="F27" i="30" s="1"/>
  <c r="I24" i="30"/>
  <c r="F24" i="30" s="1"/>
  <c r="I29" i="30"/>
  <c r="F29" i="30" s="1"/>
  <c r="I26" i="30"/>
  <c r="F26" i="30" s="1"/>
  <c r="E26" i="14"/>
  <c r="H34" i="17"/>
  <c r="H46" i="17" s="1"/>
  <c r="H34" i="66"/>
  <c r="H46" i="66" s="1"/>
  <c r="R83" i="5"/>
  <c r="H33" i="66"/>
  <c r="H45" i="66" s="1"/>
  <c r="E37" i="69"/>
  <c r="E93" i="41"/>
  <c r="E98" i="41" s="1"/>
  <c r="E93" i="67"/>
  <c r="E98" i="67" s="1"/>
  <c r="E94" i="41"/>
  <c r="E94" i="67"/>
  <c r="E95" i="41"/>
  <c r="E95" i="67"/>
  <c r="E96" i="41"/>
  <c r="E96" i="67"/>
  <c r="N96" i="67" s="1"/>
  <c r="E77" i="41"/>
  <c r="E77" i="67"/>
  <c r="N77" i="67" s="1"/>
  <c r="E76" i="41"/>
  <c r="E76" i="67"/>
  <c r="Q7" i="6"/>
  <c r="Q6" i="6"/>
  <c r="G52" i="17"/>
  <c r="I37" i="17"/>
  <c r="I49" i="17" s="1"/>
  <c r="I37" i="66"/>
  <c r="I49" i="66" s="1"/>
  <c r="H37" i="17"/>
  <c r="H49" i="17" s="1"/>
  <c r="H37" i="66"/>
  <c r="H49" i="66" s="1"/>
  <c r="C37" i="17"/>
  <c r="C49" i="17" s="1"/>
  <c r="C37" i="66"/>
  <c r="C49" i="66" s="1"/>
  <c r="E84" i="41"/>
  <c r="E84" i="67"/>
  <c r="E81" i="41"/>
  <c r="E81" i="67"/>
  <c r="J86" i="41"/>
  <c r="J81" i="41"/>
  <c r="J110" i="41"/>
  <c r="E89" i="41"/>
  <c r="E90" i="41" s="1"/>
  <c r="E63" i="41"/>
  <c r="F52" i="41"/>
  <c r="J102" i="41"/>
  <c r="J84" i="66"/>
  <c r="I106" i="66"/>
  <c r="J106" i="66" s="1"/>
  <c r="G11" i="59"/>
  <c r="G17" i="59"/>
  <c r="G23" i="59"/>
  <c r="F31" i="66"/>
  <c r="F31" i="17"/>
  <c r="F33" i="66"/>
  <c r="F45" i="66" s="1"/>
  <c r="E38" i="69"/>
  <c r="F33" i="17"/>
  <c r="F45" i="17" s="1"/>
  <c r="F38" i="17"/>
  <c r="F38" i="66"/>
  <c r="D38" i="14"/>
  <c r="E38" i="14"/>
  <c r="K38" i="14" s="1"/>
  <c r="D23" i="14"/>
  <c r="C34" i="14"/>
  <c r="D34" i="14" s="1"/>
  <c r="G27" i="59"/>
  <c r="G25" i="59"/>
  <c r="G21" i="59"/>
  <c r="G10" i="59"/>
  <c r="F34" i="17"/>
  <c r="F46" i="17" s="1"/>
  <c r="F34" i="66"/>
  <c r="F46" i="66" s="1"/>
  <c r="I11" i="63"/>
  <c r="I14" i="63"/>
  <c r="I16" i="63"/>
  <c r="I22" i="63"/>
  <c r="I24" i="63"/>
  <c r="I25" i="63"/>
  <c r="I49" i="63"/>
  <c r="I58" i="63"/>
  <c r="N63" i="63"/>
  <c r="I60" i="63"/>
  <c r="E107" i="17"/>
  <c r="E107" i="66"/>
  <c r="L105" i="17"/>
  <c r="L105" i="66"/>
  <c r="H76" i="14"/>
  <c r="L102" i="17"/>
  <c r="L102" i="66"/>
  <c r="C37" i="21"/>
  <c r="C34" i="21"/>
  <c r="F39" i="17"/>
  <c r="F51" i="17" s="1"/>
  <c r="F39" i="66"/>
  <c r="F51" i="66" s="1"/>
  <c r="M116" i="66" s="1"/>
  <c r="N116" i="66" s="1"/>
  <c r="J79" i="14"/>
  <c r="E106" i="67"/>
  <c r="L106" i="17"/>
  <c r="L106" i="66"/>
  <c r="J77" i="14"/>
  <c r="E104" i="67"/>
  <c r="L104" i="17"/>
  <c r="L104" i="66"/>
  <c r="H75" i="14"/>
  <c r="E85" i="67"/>
  <c r="D42" i="12"/>
  <c r="D42" i="68"/>
  <c r="C42" i="12"/>
  <c r="C42" i="68"/>
  <c r="E77" i="35"/>
  <c r="F77" i="35"/>
  <c r="B77" i="35"/>
  <c r="A29" i="57"/>
  <c r="AM26" i="32"/>
  <c r="AN26" i="32"/>
  <c r="AM19" i="32"/>
  <c r="AN19" i="32"/>
  <c r="AM52" i="32"/>
  <c r="AN52" i="32"/>
  <c r="AL26" i="32"/>
  <c r="AL19" i="32"/>
  <c r="AG52" i="32"/>
  <c r="AL52" i="32"/>
  <c r="W52" i="32"/>
  <c r="AB52" i="32"/>
  <c r="R26" i="32"/>
  <c r="R52" i="32"/>
  <c r="E19" i="32"/>
  <c r="G52" i="32"/>
  <c r="AX61" i="32"/>
  <c r="AY61" i="32" s="1"/>
  <c r="A60" i="32"/>
  <c r="A43" i="32"/>
  <c r="A40" i="32"/>
  <c r="A39" i="32"/>
  <c r="A31" i="32"/>
  <c r="A27" i="32"/>
  <c r="A17" i="32"/>
  <c r="A16" i="32"/>
  <c r="H52" i="41"/>
  <c r="D62" i="41"/>
  <c r="D81" i="41"/>
  <c r="D70" i="41"/>
  <c r="D105" i="41"/>
  <c r="I40" i="41"/>
  <c r="D103" i="41"/>
  <c r="C43" i="41"/>
  <c r="G47" i="41"/>
  <c r="I47" i="41"/>
  <c r="G48" i="41"/>
  <c r="I48" i="41"/>
  <c r="B31" i="18"/>
  <c r="D68" i="18"/>
  <c r="B118" i="41"/>
  <c r="A61" i="41"/>
  <c r="D98" i="41"/>
  <c r="D90" i="41"/>
  <c r="D97" i="41"/>
  <c r="B97" i="41" s="1"/>
  <c r="C54" i="18" s="1"/>
  <c r="K7" i="41"/>
  <c r="G43" i="41"/>
  <c r="I43" i="41"/>
  <c r="G44" i="41"/>
  <c r="I44" i="41"/>
  <c r="C45" i="41"/>
  <c r="M78" i="41" s="1"/>
  <c r="N78" i="41" s="1"/>
  <c r="C47" i="41"/>
  <c r="C68" i="18"/>
  <c r="E68" i="18"/>
  <c r="C106" i="41"/>
  <c r="A106" i="41" s="1"/>
  <c r="C63" i="69"/>
  <c r="D56" i="69"/>
  <c r="C57" i="69"/>
  <c r="C58" i="69" s="1"/>
  <c r="C59" i="69" s="1"/>
  <c r="V3" i="33"/>
  <c r="V4" i="33" s="1"/>
  <c r="C85" i="41"/>
  <c r="C78" i="17"/>
  <c r="A78" i="17" s="1"/>
  <c r="F90" i="67"/>
  <c r="F89" i="67"/>
  <c r="C35" i="21"/>
  <c r="C73" i="41"/>
  <c r="A73" i="41" s="1"/>
  <c r="B117" i="41"/>
  <c r="C90" i="41"/>
  <c r="B90" i="41" s="1"/>
  <c r="C110" i="41"/>
  <c r="B110" i="41" s="1"/>
  <c r="C113" i="41"/>
  <c r="A113" i="41" s="1"/>
  <c r="F90" i="66"/>
  <c r="F89" i="66"/>
  <c r="C117" i="17"/>
  <c r="A117" i="17" s="1"/>
  <c r="C113" i="17"/>
  <c r="C95" i="17"/>
  <c r="A95" i="17" s="1"/>
  <c r="A22" i="30" s="1"/>
  <c r="C69" i="17"/>
  <c r="A69" i="17" s="1"/>
  <c r="AJ84" i="66"/>
  <c r="AJ77" i="66"/>
  <c r="AJ86" i="66"/>
  <c r="AJ78" i="66"/>
  <c r="C30" i="21"/>
  <c r="R3" i="64"/>
  <c r="C94" i="17"/>
  <c r="A94" i="17" s="1"/>
  <c r="C86" i="17"/>
  <c r="A86" i="17" s="1"/>
  <c r="C81" i="17"/>
  <c r="A81" i="17" s="1"/>
  <c r="C70" i="17"/>
  <c r="A70" i="17" s="1"/>
  <c r="L27" i="33"/>
  <c r="K26" i="33"/>
  <c r="K16" i="20"/>
  <c r="L16" i="20" s="1"/>
  <c r="M66" i="5"/>
  <c r="L71" i="5"/>
  <c r="E24" i="63"/>
  <c r="H36" i="17"/>
  <c r="H48" i="17" s="1"/>
  <c r="M36" i="10"/>
  <c r="O36" i="10"/>
  <c r="Q36" i="10"/>
  <c r="J23" i="10"/>
  <c r="L97" i="10"/>
  <c r="P22" i="10"/>
  <c r="F38" i="11" s="1"/>
  <c r="Q86" i="5"/>
  <c r="Q83" i="5"/>
  <c r="Q85" i="5"/>
  <c r="Q81" i="5"/>
  <c r="N81" i="5"/>
  <c r="N82" i="5"/>
  <c r="N88" i="5"/>
  <c r="N84" i="5"/>
  <c r="U84" i="5"/>
  <c r="U81" i="5"/>
  <c r="U87" i="5"/>
  <c r="U85" i="5"/>
  <c r="Q63" i="10"/>
  <c r="G19" i="10"/>
  <c r="P51" i="10"/>
  <c r="H33" i="17"/>
  <c r="H45" i="17" s="1"/>
  <c r="E37" i="14"/>
  <c r="Q21" i="10"/>
  <c r="G37" i="11" s="1"/>
  <c r="R22" i="10"/>
  <c r="H38" i="11" s="1"/>
  <c r="P21" i="10"/>
  <c r="F37" i="11" s="1"/>
  <c r="P20" i="10"/>
  <c r="F36" i="11" s="1"/>
  <c r="N20" i="10"/>
  <c r="D36" i="11" s="1"/>
  <c r="F37" i="5"/>
  <c r="F45" i="5" s="1"/>
  <c r="F10" i="5" s="1"/>
  <c r="G10" i="5" s="1"/>
  <c r="E45" i="5"/>
  <c r="E10" i="5" s="1"/>
  <c r="L79" i="12"/>
  <c r="C37" i="12" s="1"/>
  <c r="E13" i="69" s="1"/>
  <c r="D33" i="21"/>
  <c r="C33" i="21"/>
  <c r="A38" i="57"/>
  <c r="A38" i="30"/>
  <c r="A68" i="17"/>
  <c r="D9" i="21"/>
  <c r="A63" i="17"/>
  <c r="A62" i="17"/>
  <c r="A15" i="20" s="1"/>
  <c r="B15" i="20" s="1"/>
  <c r="A66" i="17"/>
  <c r="J84" i="17"/>
  <c r="L23" i="10"/>
  <c r="B39" i="11" s="1"/>
  <c r="A7" i="57"/>
  <c r="A13" i="32"/>
  <c r="A28" i="19"/>
  <c r="B28" i="19" s="1"/>
  <c r="AU28" i="19" s="1"/>
  <c r="A14" i="20"/>
  <c r="F14" i="20" s="1"/>
  <c r="Q32" i="10"/>
  <c r="P32" i="10"/>
  <c r="R32" i="10"/>
  <c r="P23" i="10"/>
  <c r="F39" i="11" s="1"/>
  <c r="R34" i="10"/>
  <c r="Q34" i="10"/>
  <c r="N34" i="10"/>
  <c r="M30" i="10"/>
  <c r="P30" i="10"/>
  <c r="L86" i="10"/>
  <c r="C22" i="10"/>
  <c r="M79" i="12"/>
  <c r="D37" i="12" s="1"/>
  <c r="E24" i="69" s="1"/>
  <c r="N79" i="12"/>
  <c r="E37" i="12" s="1"/>
  <c r="S79" i="12"/>
  <c r="J37" i="12" s="1"/>
  <c r="F82" i="5"/>
  <c r="F83" i="5"/>
  <c r="F84" i="5"/>
  <c r="F86" i="5"/>
  <c r="F87" i="5"/>
  <c r="O63" i="10"/>
  <c r="L63" i="10"/>
  <c r="P63" i="10"/>
  <c r="N63" i="10"/>
  <c r="G85" i="5"/>
  <c r="G84" i="5"/>
  <c r="G88" i="5"/>
  <c r="G81" i="5"/>
  <c r="G86" i="5"/>
  <c r="O22" i="10"/>
  <c r="E38" i="11" s="1"/>
  <c r="Q22" i="10"/>
  <c r="G38" i="11" s="1"/>
  <c r="O20" i="10"/>
  <c r="E36" i="11" s="1"/>
  <c r="F50" i="5"/>
  <c r="E58" i="5"/>
  <c r="M32" i="10"/>
  <c r="P33" i="10"/>
  <c r="R33" i="10"/>
  <c r="O34" i="10"/>
  <c r="M35" i="10"/>
  <c r="P35" i="10"/>
  <c r="N35" i="10"/>
  <c r="L36" i="10"/>
  <c r="O37" i="10"/>
  <c r="Q37" i="10"/>
  <c r="M20" i="10"/>
  <c r="C36" i="11" s="1"/>
  <c r="O21" i="10"/>
  <c r="E37" i="11" s="1"/>
  <c r="A80" i="17"/>
  <c r="D12" i="21"/>
  <c r="D15" i="21"/>
  <c r="A101" i="17"/>
  <c r="AV22" i="36"/>
  <c r="AW22" i="36" s="1"/>
  <c r="A21" i="36"/>
  <c r="B21" i="36" s="1"/>
  <c r="J21" i="36" s="1"/>
  <c r="A21" i="18"/>
  <c r="A16" i="37"/>
  <c r="D32" i="18"/>
  <c r="B32" i="18"/>
  <c r="E32" i="18"/>
  <c r="C32" i="18"/>
  <c r="F32" i="18"/>
  <c r="E37" i="18"/>
  <c r="C37" i="18"/>
  <c r="D37" i="18"/>
  <c r="L33" i="10"/>
  <c r="P74" i="10"/>
  <c r="R30" i="10"/>
  <c r="M37" i="10"/>
  <c r="I34" i="14"/>
  <c r="A73" i="17"/>
  <c r="I24" i="14"/>
  <c r="B8" i="6"/>
  <c r="E51" i="10"/>
  <c r="D51" i="10"/>
  <c r="J81" i="5"/>
  <c r="J87" i="5"/>
  <c r="J31" i="10"/>
  <c r="O74" i="10"/>
  <c r="O30" i="10"/>
  <c r="L35" i="10"/>
  <c r="J82" i="5"/>
  <c r="Q86" i="10"/>
  <c r="H41" i="21"/>
  <c r="B4" i="17"/>
  <c r="I51" i="10"/>
  <c r="D40" i="21"/>
  <c r="D31" i="21"/>
  <c r="F51" i="10"/>
  <c r="A17" i="37"/>
  <c r="K16" i="38"/>
  <c r="L16" i="38" s="1"/>
  <c r="A63" i="41"/>
  <c r="B4" i="41"/>
  <c r="B73" i="41"/>
  <c r="D21" i="21"/>
  <c r="D63" i="41"/>
  <c r="D65" i="41"/>
  <c r="D61" i="41"/>
  <c r="D71" i="41"/>
  <c r="D69" i="41"/>
  <c r="D72" i="41"/>
  <c r="D78" i="41"/>
  <c r="B78" i="41" s="1"/>
  <c r="C35" i="18" s="1"/>
  <c r="D76" i="41"/>
  <c r="B76" i="41" s="1"/>
  <c r="D23" i="21"/>
  <c r="A88" i="41"/>
  <c r="D26" i="21"/>
  <c r="A109" i="41"/>
  <c r="C27" i="21"/>
  <c r="D116" i="41"/>
  <c r="B116" i="41" s="1"/>
  <c r="D113" i="41"/>
  <c r="D115" i="41"/>
  <c r="D114" i="41"/>
  <c r="D50" i="14"/>
  <c r="C56" i="14"/>
  <c r="C51" i="14"/>
  <c r="G59" i="41"/>
  <c r="AY11" i="37"/>
  <c r="A14" i="38"/>
  <c r="H14" i="38" s="1"/>
  <c r="A13" i="37"/>
  <c r="B22" i="18"/>
  <c r="D22" i="18"/>
  <c r="D19" i="21"/>
  <c r="A66" i="41"/>
  <c r="A62" i="41"/>
  <c r="A19" i="36" s="1"/>
  <c r="B19" i="36" s="1"/>
  <c r="AA19" i="36" s="1"/>
  <c r="A60" i="41"/>
  <c r="A17" i="18" s="1"/>
  <c r="F17" i="18" s="1"/>
  <c r="D20" i="21"/>
  <c r="A68" i="41"/>
  <c r="D25" i="21"/>
  <c r="A101" i="41"/>
  <c r="D52" i="41"/>
  <c r="AA2" i="64"/>
  <c r="Z3" i="64"/>
  <c r="D82" i="41"/>
  <c r="A92" i="41"/>
  <c r="D99" i="41"/>
  <c r="D95" i="41"/>
  <c r="A112" i="41"/>
  <c r="D86" i="41"/>
  <c r="D85" i="41"/>
  <c r="D89" i="41"/>
  <c r="B89" i="41" s="1"/>
  <c r="D106" i="41"/>
  <c r="D8" i="41"/>
  <c r="F8" i="41"/>
  <c r="D104" i="41"/>
  <c r="D96" i="41"/>
  <c r="E31" i="18"/>
  <c r="F68" i="18"/>
  <c r="F31" i="18"/>
  <c r="B57" i="18"/>
  <c r="G28" i="59"/>
  <c r="G12" i="59"/>
  <c r="G26" i="59"/>
  <c r="G18" i="59"/>
  <c r="G8" i="59"/>
  <c r="G22" i="59"/>
  <c r="J66" i="63"/>
  <c r="C36" i="14"/>
  <c r="D27" i="14"/>
  <c r="A76" i="41"/>
  <c r="F89" i="41"/>
  <c r="D113" i="17"/>
  <c r="D115" i="17"/>
  <c r="D117" i="17"/>
  <c r="D119" i="17"/>
  <c r="D114" i="17"/>
  <c r="D118" i="17"/>
  <c r="D94" i="17"/>
  <c r="D96" i="17"/>
  <c r="D98" i="17"/>
  <c r="D93" i="17"/>
  <c r="D97" i="17"/>
  <c r="B97" i="17" s="1"/>
  <c r="D95" i="17"/>
  <c r="B95" i="17" s="1"/>
  <c r="D99" i="17"/>
  <c r="D82" i="17"/>
  <c r="D84" i="17"/>
  <c r="D86" i="17"/>
  <c r="D83" i="17"/>
  <c r="D81" i="17"/>
  <c r="D85" i="17"/>
  <c r="D61" i="17"/>
  <c r="D63" i="17"/>
  <c r="D65" i="17"/>
  <c r="D64" i="17"/>
  <c r="D62" i="17"/>
  <c r="D66" i="17"/>
  <c r="H158" i="12"/>
  <c r="G83" i="12" s="1"/>
  <c r="I78" i="12"/>
  <c r="S78" i="12" s="1"/>
  <c r="J36" i="12" s="1"/>
  <c r="I39" i="66" s="1"/>
  <c r="I51" i="66" s="1"/>
  <c r="M119" i="66" s="1"/>
  <c r="N119" i="66" s="1"/>
  <c r="D89" i="17"/>
  <c r="F89" i="17" s="1"/>
  <c r="D90" i="17"/>
  <c r="L82" i="12"/>
  <c r="C40" i="12" s="1"/>
  <c r="A41" i="56"/>
  <c r="D86" i="10"/>
  <c r="E86" i="10"/>
  <c r="D76" i="17"/>
  <c r="C71" i="17"/>
  <c r="B71" i="17" s="1"/>
  <c r="C96" i="17"/>
  <c r="B96" i="17" s="1"/>
  <c r="C116" i="17"/>
  <c r="B116" i="17" s="1"/>
  <c r="B4" i="28"/>
  <c r="F61" i="41" s="1"/>
  <c r="D103" i="17"/>
  <c r="D105" i="17"/>
  <c r="D107" i="17"/>
  <c r="D70" i="17"/>
  <c r="D72" i="17"/>
  <c r="I81" i="12"/>
  <c r="L9" i="64"/>
  <c r="T9" i="64" s="1"/>
  <c r="H9" i="64"/>
  <c r="P9" i="64" s="1"/>
  <c r="D106" i="17"/>
  <c r="D102" i="17"/>
  <c r="D78" i="17"/>
  <c r="D73" i="17"/>
  <c r="B73" i="17" s="1"/>
  <c r="D69" i="17"/>
  <c r="J6" i="64"/>
  <c r="R6" i="64" s="1"/>
  <c r="J4" i="28"/>
  <c r="F114" i="17" s="1"/>
  <c r="C37" i="65"/>
  <c r="C26" i="65"/>
  <c r="A10" i="48"/>
  <c r="K8" i="64"/>
  <c r="S8" i="64" s="1"/>
  <c r="J5" i="64"/>
  <c r="R5" i="64" s="1"/>
  <c r="F90" i="17"/>
  <c r="G6" i="64"/>
  <c r="O6" i="64" s="1"/>
  <c r="J26" i="64"/>
  <c r="R26" i="64" s="1"/>
  <c r="F7" i="64"/>
  <c r="N7" i="64" s="1"/>
  <c r="K24" i="64"/>
  <c r="S24" i="64" s="1"/>
  <c r="I26" i="64"/>
  <c r="Q26" i="64" s="1"/>
  <c r="I4" i="64"/>
  <c r="Q4" i="64" s="1"/>
  <c r="K34" i="64"/>
  <c r="S34" i="64" s="1"/>
  <c r="G32" i="64"/>
  <c r="O32" i="64" s="1"/>
  <c r="E43" i="64"/>
  <c r="M43" i="64" s="1"/>
  <c r="A64" i="48"/>
  <c r="G23" i="64"/>
  <c r="O23" i="64" s="1"/>
  <c r="G26" i="64"/>
  <c r="O26" i="64" s="1"/>
  <c r="D199" i="29"/>
  <c r="A19" i="29"/>
  <c r="D219" i="29"/>
  <c r="A39" i="29"/>
  <c r="D223" i="29"/>
  <c r="A43" i="29"/>
  <c r="A27" i="29"/>
  <c r="G20" i="64"/>
  <c r="O20" i="64" s="1"/>
  <c r="K23" i="64"/>
  <c r="S23" i="64" s="1"/>
  <c r="G21" i="64"/>
  <c r="O21" i="64" s="1"/>
  <c r="J89" i="48"/>
  <c r="L52" i="64" s="1"/>
  <c r="T52" i="64" s="1"/>
  <c r="E29" i="64"/>
  <c r="M29" i="64" s="1"/>
  <c r="L17" i="64"/>
  <c r="T17" i="64" s="1"/>
  <c r="F43" i="64"/>
  <c r="N43" i="64" s="1"/>
  <c r="A13" i="48"/>
  <c r="J29" i="64"/>
  <c r="R29" i="64" s="1"/>
  <c r="L27" i="64"/>
  <c r="T27" i="64" s="1"/>
  <c r="L24" i="64"/>
  <c r="T24" i="64" s="1"/>
  <c r="J20" i="64"/>
  <c r="R20" i="64" s="1"/>
  <c r="F21" i="64"/>
  <c r="N21" i="64" s="1"/>
  <c r="K22" i="64"/>
  <c r="S22" i="64" s="1"/>
  <c r="D200" i="29"/>
  <c r="A20" i="29"/>
  <c r="D204" i="29"/>
  <c r="A24" i="29"/>
  <c r="A36" i="29"/>
  <c r="D216" i="29"/>
  <c r="D224" i="29"/>
  <c r="A44" i="29"/>
  <c r="D228" i="29"/>
  <c r="A48" i="29"/>
  <c r="H43" i="64"/>
  <c r="P43" i="64" s="1"/>
  <c r="A40" i="29"/>
  <c r="H23" i="64"/>
  <c r="P23" i="64" s="1"/>
  <c r="F22" i="64"/>
  <c r="N22" i="64" s="1"/>
  <c r="F28" i="64"/>
  <c r="N28" i="64" s="1"/>
  <c r="A47" i="29"/>
  <c r="A16" i="29"/>
  <c r="I22" i="64"/>
  <c r="Q22" i="64" s="1"/>
  <c r="D211" i="29"/>
  <c r="A23" i="29"/>
  <c r="H22" i="64"/>
  <c r="P22" i="64" s="1"/>
  <c r="G27" i="64"/>
  <c r="O27" i="64" s="1"/>
  <c r="I29" i="64"/>
  <c r="Q29" i="64" s="1"/>
  <c r="G28" i="64"/>
  <c r="O28" i="64" s="1"/>
  <c r="J27" i="64"/>
  <c r="R27" i="64" s="1"/>
  <c r="J23" i="64"/>
  <c r="R23" i="64" s="1"/>
  <c r="L22" i="64"/>
  <c r="T22" i="64" s="1"/>
  <c r="I24" i="64"/>
  <c r="Q24" i="64" s="1"/>
  <c r="E24" i="64"/>
  <c r="M24" i="64" s="1"/>
  <c r="E23" i="64"/>
  <c r="M23" i="64" s="1"/>
  <c r="L21" i="64"/>
  <c r="T21" i="64" s="1"/>
  <c r="J22" i="64"/>
  <c r="R22" i="64" s="1"/>
  <c r="E30" i="64"/>
  <c r="M30" i="64" s="1"/>
  <c r="J28" i="64"/>
  <c r="R28" i="64" s="1"/>
  <c r="F27" i="64"/>
  <c r="N27" i="64" s="1"/>
  <c r="L25" i="64"/>
  <c r="T25" i="64" s="1"/>
  <c r="G22" i="64"/>
  <c r="O22" i="64" s="1"/>
  <c r="E28" i="64"/>
  <c r="M28" i="64" s="1"/>
  <c r="L28" i="64"/>
  <c r="T28" i="64" s="1"/>
  <c r="J25" i="64"/>
  <c r="R25" i="64" s="1"/>
  <c r="E17" i="64"/>
  <c r="M17" i="64" s="1"/>
  <c r="I21" i="64"/>
  <c r="Q21" i="64" s="1"/>
  <c r="H29" i="64"/>
  <c r="P29" i="64" s="1"/>
  <c r="F26" i="64"/>
  <c r="N26" i="64" s="1"/>
  <c r="E25" i="64"/>
  <c r="M25" i="64" s="1"/>
  <c r="H12" i="64"/>
  <c r="P12" i="64" s="1"/>
  <c r="J16" i="64"/>
  <c r="R16" i="64" s="1"/>
  <c r="F25" i="64"/>
  <c r="N25" i="64" s="1"/>
  <c r="I28" i="64"/>
  <c r="Q28" i="64" s="1"/>
  <c r="L26" i="64"/>
  <c r="T26" i="64" s="1"/>
  <c r="K21" i="64"/>
  <c r="S21" i="64" s="1"/>
  <c r="A11" i="48"/>
  <c r="F23" i="64"/>
  <c r="N23" i="64" s="1"/>
  <c r="I27" i="64"/>
  <c r="Q27" i="64" s="1"/>
  <c r="E26" i="64"/>
  <c r="M26" i="64" s="1"/>
  <c r="G4" i="64"/>
  <c r="O4" i="64" s="1"/>
  <c r="A21" i="29"/>
  <c r="D201" i="29"/>
  <c r="D229" i="29"/>
  <c r="A49" i="29"/>
  <c r="C77" i="41"/>
  <c r="M77" i="41" s="1"/>
  <c r="N77" i="41" s="1"/>
  <c r="C64" i="41"/>
  <c r="C115" i="41"/>
  <c r="C105" i="41"/>
  <c r="C93" i="41"/>
  <c r="C99" i="41"/>
  <c r="C107" i="41"/>
  <c r="C81" i="41"/>
  <c r="C66" i="41"/>
  <c r="B66" i="41" s="1"/>
  <c r="C63" i="41"/>
  <c r="C103" i="41"/>
  <c r="C98" i="41"/>
  <c r="C84" i="41"/>
  <c r="C72" i="41"/>
  <c r="C104" i="41"/>
  <c r="C86" i="41"/>
  <c r="C83" i="41"/>
  <c r="A83" i="41" s="1"/>
  <c r="C61" i="41"/>
  <c r="B61" i="41" s="1"/>
  <c r="C102" i="41"/>
  <c r="A102" i="41" s="1"/>
  <c r="B102" i="41" s="1"/>
  <c r="C70" i="41"/>
  <c r="C62" i="41"/>
  <c r="C82" i="41"/>
  <c r="C65" i="41"/>
  <c r="C84" i="17"/>
  <c r="C103" i="17"/>
  <c r="C77" i="17"/>
  <c r="C107" i="17"/>
  <c r="C32" i="21"/>
  <c r="C65" i="17"/>
  <c r="B65" i="17" s="1"/>
  <c r="C61" i="17"/>
  <c r="C64" i="17"/>
  <c r="C93" i="17"/>
  <c r="C104" i="17"/>
  <c r="C115" i="17"/>
  <c r="C85" i="17"/>
  <c r="C110" i="17"/>
  <c r="C66" i="17"/>
  <c r="B66" i="17" s="1"/>
  <c r="C90" i="17"/>
  <c r="C83" i="17"/>
  <c r="C99" i="17"/>
  <c r="C82" i="17"/>
  <c r="C89" i="17"/>
  <c r="C72" i="17"/>
  <c r="C105" i="17"/>
  <c r="C98" i="17"/>
  <c r="C102" i="17"/>
  <c r="D209" i="29"/>
  <c r="A29" i="29"/>
  <c r="A11" i="30"/>
  <c r="A21" i="32"/>
  <c r="D205" i="29"/>
  <c r="A25" i="29"/>
  <c r="A41" i="29"/>
  <c r="D221" i="29"/>
  <c r="B119" i="17"/>
  <c r="A85" i="41"/>
  <c r="B26" i="57"/>
  <c r="I3" i="64"/>
  <c r="Y3" i="64"/>
  <c r="Q3" i="64"/>
  <c r="K36" i="64"/>
  <c r="S36" i="64" s="1"/>
  <c r="A17" i="29"/>
  <c r="D197" i="29"/>
  <c r="D217" i="29"/>
  <c r="A37" i="29"/>
  <c r="B63" i="17"/>
  <c r="A90" i="41"/>
  <c r="A69" i="41"/>
  <c r="B69" i="41"/>
  <c r="A110" i="41"/>
  <c r="B86" i="17"/>
  <c r="B81" i="17"/>
  <c r="A89" i="41"/>
  <c r="D225" i="29"/>
  <c r="A45" i="29"/>
  <c r="C36" i="21"/>
  <c r="B62" i="17"/>
  <c r="S3" i="64"/>
  <c r="G88" i="48"/>
  <c r="K3" i="64"/>
  <c r="G29" i="64"/>
  <c r="O29" i="64" s="1"/>
  <c r="E27" i="64"/>
  <c r="M27" i="64" s="1"/>
  <c r="J30" i="64"/>
  <c r="R30" i="64" s="1"/>
  <c r="F20" i="64"/>
  <c r="N20" i="64" s="1"/>
  <c r="J21" i="64"/>
  <c r="R21" i="64" s="1"/>
  <c r="I20" i="64"/>
  <c r="Q20" i="64" s="1"/>
  <c r="H39" i="64"/>
  <c r="P39" i="64" s="1"/>
  <c r="F30" i="64"/>
  <c r="N30" i="64" s="1"/>
  <c r="E20" i="64"/>
  <c r="M20" i="64" s="1"/>
  <c r="H25" i="64"/>
  <c r="P25" i="64" s="1"/>
  <c r="H30" i="64"/>
  <c r="P30" i="64" s="1"/>
  <c r="H28" i="64"/>
  <c r="P28" i="64" s="1"/>
  <c r="I25" i="64"/>
  <c r="Q25" i="64" s="1"/>
  <c r="I23" i="64"/>
  <c r="Q23" i="64" s="1"/>
  <c r="I39" i="64"/>
  <c r="Q39" i="64" s="1"/>
  <c r="F10" i="64"/>
  <c r="N10" i="64" s="1"/>
  <c r="E21" i="64"/>
  <c r="M21" i="64" s="1"/>
  <c r="H24" i="64"/>
  <c r="P24" i="64" s="1"/>
  <c r="I30" i="64"/>
  <c r="Q30" i="64" s="1"/>
  <c r="K28" i="64"/>
  <c r="S28" i="64" s="1"/>
  <c r="H20" i="64"/>
  <c r="P20" i="64" s="1"/>
  <c r="L23" i="64"/>
  <c r="T23" i="64" s="1"/>
  <c r="K25" i="64"/>
  <c r="S25" i="64" s="1"/>
  <c r="L30" i="64"/>
  <c r="T30" i="64" s="1"/>
  <c r="F29" i="64"/>
  <c r="N29" i="64" s="1"/>
  <c r="E22" i="64"/>
  <c r="M22" i="64" s="1"/>
  <c r="H26" i="64"/>
  <c r="P26" i="64" s="1"/>
  <c r="L20" i="64"/>
  <c r="T20" i="64" s="1"/>
  <c r="K20" i="64"/>
  <c r="S20" i="64" s="1"/>
  <c r="L29" i="64"/>
  <c r="T29" i="64" s="1"/>
  <c r="J24" i="64"/>
  <c r="R24" i="64" s="1"/>
  <c r="G30" i="64"/>
  <c r="O30" i="64" s="1"/>
  <c r="F24" i="64"/>
  <c r="N24" i="64" s="1"/>
  <c r="H27" i="64"/>
  <c r="P27" i="64" s="1"/>
  <c r="H21" i="64"/>
  <c r="P21" i="64" s="1"/>
  <c r="C106" i="17"/>
  <c r="D213" i="29"/>
  <c r="A33" i="29"/>
  <c r="C114" i="17"/>
  <c r="C31" i="21"/>
  <c r="A29" i="30"/>
  <c r="G89" i="48"/>
  <c r="C94" i="41"/>
  <c r="A118" i="41"/>
  <c r="A75" i="18" s="1"/>
  <c r="A78" i="41"/>
  <c r="G48" i="64"/>
  <c r="O48" i="64" s="1"/>
  <c r="L39" i="64"/>
  <c r="T39" i="64" s="1"/>
  <c r="K7" i="64"/>
  <c r="S7" i="64" s="1"/>
  <c r="J9" i="64"/>
  <c r="R9" i="64" s="1"/>
  <c r="L7" i="64"/>
  <c r="T7" i="64" s="1"/>
  <c r="E4" i="64"/>
  <c r="M4" i="64" s="1"/>
  <c r="L13" i="64"/>
  <c r="T13" i="64" s="1"/>
  <c r="H49" i="64"/>
  <c r="P49" i="64" s="1"/>
  <c r="H16" i="64"/>
  <c r="P16" i="64" s="1"/>
  <c r="F35" i="64"/>
  <c r="N35" i="64" s="1"/>
  <c r="J41" i="64"/>
  <c r="R41" i="64" s="1"/>
  <c r="E8" i="64"/>
  <c r="M8" i="64" s="1"/>
  <c r="J14" i="64"/>
  <c r="R14" i="64" s="1"/>
  <c r="E5" i="64"/>
  <c r="M5" i="64" s="1"/>
  <c r="F8" i="64"/>
  <c r="N8" i="64" s="1"/>
  <c r="F39" i="64"/>
  <c r="N39" i="64" s="1"/>
  <c r="H6" i="64"/>
  <c r="P6" i="64" s="1"/>
  <c r="F17" i="64"/>
  <c r="N17" i="64" s="1"/>
  <c r="J4" i="64"/>
  <c r="R4" i="64" s="1"/>
  <c r="A113" i="17"/>
  <c r="C10" i="18"/>
  <c r="F10" i="18" s="1"/>
  <c r="X3" i="64"/>
  <c r="G85" i="48"/>
  <c r="I6" i="64"/>
  <c r="Q6" i="64" s="1"/>
  <c r="K45" i="64"/>
  <c r="S45" i="64" s="1"/>
  <c r="G12" i="64"/>
  <c r="O12" i="64" s="1"/>
  <c r="A29" i="19"/>
  <c r="B29" i="19" s="1"/>
  <c r="J29" i="19" s="1"/>
  <c r="AV30" i="19"/>
  <c r="AW30" i="19" s="1"/>
  <c r="A30" i="19" s="1"/>
  <c r="E22" i="18"/>
  <c r="B36" i="18"/>
  <c r="I11" i="18"/>
  <c r="D11" i="18" s="1"/>
  <c r="C44" i="18"/>
  <c r="D44" i="18"/>
  <c r="C48" i="18"/>
  <c r="B77" i="18"/>
  <c r="B44" i="18"/>
  <c r="D10" i="18"/>
  <c r="D36" i="18"/>
  <c r="B21" i="18"/>
  <c r="B37" i="18"/>
  <c r="E24" i="18"/>
  <c r="D65" i="18"/>
  <c r="E36" i="18"/>
  <c r="E57" i="18"/>
  <c r="F48" i="18"/>
  <c r="F21" i="18"/>
  <c r="F57" i="18"/>
  <c r="C11" i="18"/>
  <c r="E11" i="18" s="1"/>
  <c r="F37" i="18"/>
  <c r="E65" i="18"/>
  <c r="E48" i="18"/>
  <c r="C77" i="18"/>
  <c r="E44" i="18"/>
  <c r="D48" i="18"/>
  <c r="D17" i="18"/>
  <c r="E77" i="18"/>
  <c r="D57" i="18"/>
  <c r="E17" i="18"/>
  <c r="I12" i="18"/>
  <c r="F65" i="18"/>
  <c r="AV31" i="19"/>
  <c r="AW31" i="19" s="1"/>
  <c r="A114" i="41"/>
  <c r="B114" i="41"/>
  <c r="M114" i="41"/>
  <c r="B118" i="17"/>
  <c r="A118" i="17"/>
  <c r="A116" i="41"/>
  <c r="M116" i="41"/>
  <c r="N116" i="41" s="1"/>
  <c r="A119" i="41"/>
  <c r="M119" i="41"/>
  <c r="N119" i="41" s="1"/>
  <c r="B119" i="41"/>
  <c r="A117" i="41"/>
  <c r="M117" i="41"/>
  <c r="N117" i="41" s="1"/>
  <c r="M118" i="41"/>
  <c r="N118" i="41" s="1"/>
  <c r="C95" i="41"/>
  <c r="M97" i="41"/>
  <c r="N97" i="41" s="1"/>
  <c r="C4" i="28"/>
  <c r="D4" i="28"/>
  <c r="C71" i="41"/>
  <c r="C96" i="41"/>
  <c r="C76" i="17"/>
  <c r="I4" i="28"/>
  <c r="H4" i="28"/>
  <c r="G4" i="28"/>
  <c r="E4" i="28"/>
  <c r="B19" i="32"/>
  <c r="E15" i="35"/>
  <c r="E52" i="32"/>
  <c r="H52" i="32"/>
  <c r="E13" i="35"/>
  <c r="C19" i="32"/>
  <c r="K30" i="64"/>
  <c r="S30" i="64" s="1"/>
  <c r="K26" i="64"/>
  <c r="S26" i="64" s="1"/>
  <c r="G24" i="64"/>
  <c r="O24" i="64" s="1"/>
  <c r="G25" i="64"/>
  <c r="O25" i="64" s="1"/>
  <c r="A104" i="48"/>
  <c r="K27" i="64"/>
  <c r="S27" i="64" s="1"/>
  <c r="K29" i="64"/>
  <c r="S29" i="64" s="1"/>
  <c r="M3" i="64"/>
  <c r="E3" i="64"/>
  <c r="V3" i="64"/>
  <c r="F3" i="64"/>
  <c r="N3" i="64"/>
  <c r="D26" i="32"/>
  <c r="H26" i="32"/>
  <c r="I26" i="32"/>
  <c r="F16" i="64"/>
  <c r="N16" i="64" s="1"/>
  <c r="E39" i="64"/>
  <c r="M39" i="64" s="1"/>
  <c r="I31" i="64"/>
  <c r="Q31" i="64" s="1"/>
  <c r="K11" i="64"/>
  <c r="S11" i="64" s="1"/>
  <c r="I15" i="64"/>
  <c r="Q15" i="64" s="1"/>
  <c r="E19" i="64"/>
  <c r="M19" i="64" s="1"/>
  <c r="H15" i="64"/>
  <c r="P15" i="64" s="1"/>
  <c r="E12" i="64"/>
  <c r="M12" i="64" s="1"/>
  <c r="L15" i="64"/>
  <c r="T15" i="64" s="1"/>
  <c r="I11" i="64"/>
  <c r="Q11" i="64" s="1"/>
  <c r="G16" i="64"/>
  <c r="O16" i="64" s="1"/>
  <c r="J47" i="64"/>
  <c r="R47" i="64" s="1"/>
  <c r="F31" i="64"/>
  <c r="N31" i="64" s="1"/>
  <c r="G36" i="64"/>
  <c r="O36" i="64" s="1"/>
  <c r="L42" i="64"/>
  <c r="T42" i="64" s="1"/>
  <c r="K44" i="64"/>
  <c r="S44" i="64" s="1"/>
  <c r="I19" i="64"/>
  <c r="Q19" i="64" s="1"/>
  <c r="I17" i="64"/>
  <c r="Q17" i="64" s="1"/>
  <c r="K13" i="64"/>
  <c r="S13" i="64" s="1"/>
  <c r="E34" i="64"/>
  <c r="M34" i="64" s="1"/>
  <c r="J36" i="64"/>
  <c r="R36" i="64" s="1"/>
  <c r="L44" i="64"/>
  <c r="T44" i="64" s="1"/>
  <c r="K12" i="64"/>
  <c r="S12" i="64" s="1"/>
  <c r="E16" i="64"/>
  <c r="M16" i="64" s="1"/>
  <c r="J19" i="64"/>
  <c r="R19" i="64" s="1"/>
  <c r="K17" i="64"/>
  <c r="S17" i="64" s="1"/>
  <c r="L16" i="64"/>
  <c r="T16" i="64" s="1"/>
  <c r="J13" i="64"/>
  <c r="R13" i="64" s="1"/>
  <c r="G50" i="64"/>
  <c r="O50" i="64" s="1"/>
  <c r="H35" i="64"/>
  <c r="P35" i="64" s="1"/>
  <c r="K14" i="64"/>
  <c r="S14" i="64" s="1"/>
  <c r="J18" i="64"/>
  <c r="R18" i="64" s="1"/>
  <c r="J10" i="64"/>
  <c r="R10" i="64" s="1"/>
  <c r="J31" i="64"/>
  <c r="R31" i="64" s="1"/>
  <c r="F33" i="64"/>
  <c r="N33" i="64" s="1"/>
  <c r="J35" i="64"/>
  <c r="R35" i="64" s="1"/>
  <c r="E40" i="64"/>
  <c r="M40" i="64" s="1"/>
  <c r="E46" i="64"/>
  <c r="M46" i="64" s="1"/>
  <c r="G11" i="64"/>
  <c r="O11" i="64" s="1"/>
  <c r="L14" i="64"/>
  <c r="T14" i="64" s="1"/>
  <c r="G18" i="64"/>
  <c r="O18" i="64" s="1"/>
  <c r="L18" i="64"/>
  <c r="T18" i="64" s="1"/>
  <c r="I16" i="64"/>
  <c r="Q16" i="64" s="1"/>
  <c r="L45" i="64"/>
  <c r="T45" i="64" s="1"/>
  <c r="L41" i="64"/>
  <c r="T41" i="64" s="1"/>
  <c r="H31" i="64"/>
  <c r="P31" i="64" s="1"/>
  <c r="I45" i="64"/>
  <c r="Q45" i="64" s="1"/>
  <c r="G41" i="64"/>
  <c r="O41" i="64" s="1"/>
  <c r="L37" i="64"/>
  <c r="T37" i="64" s="1"/>
  <c r="G31" i="64"/>
  <c r="O31" i="64" s="1"/>
  <c r="L19" i="64"/>
  <c r="T19" i="64" s="1"/>
  <c r="G45" i="64"/>
  <c r="O45" i="64" s="1"/>
  <c r="I37" i="64"/>
  <c r="Q37" i="64" s="1"/>
  <c r="L32" i="64"/>
  <c r="T32" i="64" s="1"/>
  <c r="E50" i="64"/>
  <c r="M50" i="64" s="1"/>
  <c r="E14" i="35"/>
  <c r="K32" i="64"/>
  <c r="S32" i="64" s="1"/>
  <c r="H32" i="64"/>
  <c r="P32" i="64" s="1"/>
  <c r="J33" i="64"/>
  <c r="R33" i="64" s="1"/>
  <c r="L36" i="64"/>
  <c r="T36" i="64" s="1"/>
  <c r="K5" i="64"/>
  <c r="S5" i="64" s="1"/>
  <c r="G7" i="64"/>
  <c r="O7" i="64" s="1"/>
  <c r="E9" i="64"/>
  <c r="M9" i="64" s="1"/>
  <c r="G10" i="64"/>
  <c r="O10" i="64" s="1"/>
  <c r="F14" i="64"/>
  <c r="N14" i="64" s="1"/>
  <c r="J15" i="64"/>
  <c r="R15" i="64" s="1"/>
  <c r="G19" i="64"/>
  <c r="O19" i="64" s="1"/>
  <c r="H19" i="64"/>
  <c r="P19" i="64" s="1"/>
  <c r="H7" i="64"/>
  <c r="P7" i="64" s="1"/>
  <c r="H14" i="64"/>
  <c r="P14" i="64" s="1"/>
  <c r="L5" i="64"/>
  <c r="T5" i="64" s="1"/>
  <c r="I10" i="64"/>
  <c r="Q10" i="64" s="1"/>
  <c r="G49" i="64"/>
  <c r="O49" i="64" s="1"/>
  <c r="E31" i="64"/>
  <c r="M31" i="64" s="1"/>
  <c r="K31" i="64"/>
  <c r="S31" i="64" s="1"/>
  <c r="I32" i="64"/>
  <c r="Q32" i="64" s="1"/>
  <c r="K33" i="64"/>
  <c r="S33" i="64" s="1"/>
  <c r="J7" i="64"/>
  <c r="R7" i="64" s="1"/>
  <c r="F9" i="64"/>
  <c r="N9" i="64" s="1"/>
  <c r="H10" i="64"/>
  <c r="P10" i="64" s="1"/>
  <c r="F12" i="64"/>
  <c r="N12" i="64" s="1"/>
  <c r="G14" i="64"/>
  <c r="O14" i="64" s="1"/>
  <c r="H17" i="64"/>
  <c r="P17" i="64" s="1"/>
  <c r="L10" i="64"/>
  <c r="T10" i="64" s="1"/>
  <c r="I8" i="64"/>
  <c r="Q8" i="64" s="1"/>
  <c r="I12" i="64"/>
  <c r="Q12" i="64" s="1"/>
  <c r="I34" i="64"/>
  <c r="Q34" i="64" s="1"/>
  <c r="I35" i="64"/>
  <c r="Q35" i="64" s="1"/>
  <c r="H36" i="64"/>
  <c r="P36" i="64" s="1"/>
  <c r="K37" i="64"/>
  <c r="S37" i="64" s="1"/>
  <c r="J38" i="64"/>
  <c r="R38" i="64" s="1"/>
  <c r="J39" i="64"/>
  <c r="R39" i="64" s="1"/>
  <c r="L40" i="64"/>
  <c r="T40" i="64" s="1"/>
  <c r="K41" i="64"/>
  <c r="S41" i="64" s="1"/>
  <c r="I42" i="64"/>
  <c r="Q42" i="64" s="1"/>
  <c r="I43" i="64"/>
  <c r="Q43" i="64" s="1"/>
  <c r="I44" i="64"/>
  <c r="Q44" i="64" s="1"/>
  <c r="J45" i="64"/>
  <c r="R45" i="64" s="1"/>
  <c r="K46" i="64"/>
  <c r="S46" i="64" s="1"/>
  <c r="J8" i="64"/>
  <c r="R8" i="64" s="1"/>
  <c r="E10" i="64"/>
  <c r="M10" i="64" s="1"/>
  <c r="G13" i="64"/>
  <c r="O13" i="64" s="1"/>
  <c r="E15" i="64"/>
  <c r="M15" i="64" s="1"/>
  <c r="K16" i="64"/>
  <c r="S16" i="64" s="1"/>
  <c r="L4" i="64"/>
  <c r="T4" i="64" s="1"/>
  <c r="H4" i="64"/>
  <c r="P4" i="64" s="1"/>
  <c r="H11" i="64"/>
  <c r="P11" i="64" s="1"/>
  <c r="K9" i="64"/>
  <c r="S9" i="64" s="1"/>
  <c r="G51" i="64"/>
  <c r="O51" i="64" s="1"/>
  <c r="F34" i="64"/>
  <c r="N34" i="64" s="1"/>
  <c r="K35" i="64"/>
  <c r="S35" i="64" s="1"/>
  <c r="F37" i="64"/>
  <c r="N37" i="64" s="1"/>
  <c r="H38" i="64"/>
  <c r="P38" i="64" s="1"/>
  <c r="E42" i="64"/>
  <c r="M42" i="64" s="1"/>
  <c r="J43" i="64"/>
  <c r="R43" i="64" s="1"/>
  <c r="G46" i="64"/>
  <c r="O46" i="64" s="1"/>
  <c r="E11" i="64"/>
  <c r="M11" i="64" s="1"/>
  <c r="G15" i="64"/>
  <c r="O15" i="64" s="1"/>
  <c r="E18" i="64"/>
  <c r="M18" i="64" s="1"/>
  <c r="K6" i="64"/>
  <c r="S6" i="64" s="1"/>
  <c r="I7" i="64"/>
  <c r="Q7" i="64" s="1"/>
  <c r="E48" i="64"/>
  <c r="M48" i="64" s="1"/>
  <c r="H51" i="64"/>
  <c r="P51" i="64" s="1"/>
  <c r="G34" i="64"/>
  <c r="O34" i="64" s="1"/>
  <c r="L35" i="64"/>
  <c r="T35" i="64" s="1"/>
  <c r="G37" i="64"/>
  <c r="O37" i="64" s="1"/>
  <c r="I38" i="64"/>
  <c r="Q38" i="64" s="1"/>
  <c r="E41" i="64"/>
  <c r="M41" i="64" s="1"/>
  <c r="F42" i="64"/>
  <c r="N42" i="64" s="1"/>
  <c r="K43" i="64"/>
  <c r="S43" i="64" s="1"/>
  <c r="H46" i="64"/>
  <c r="P46" i="64" s="1"/>
  <c r="F13" i="64"/>
  <c r="N13" i="64" s="1"/>
  <c r="F4" i="64"/>
  <c r="N4" i="64" s="1"/>
  <c r="L12" i="64"/>
  <c r="T12" i="64" s="1"/>
  <c r="H8" i="64"/>
  <c r="P8" i="64" s="1"/>
  <c r="K10" i="64"/>
  <c r="S10" i="64" s="1"/>
  <c r="F48" i="64"/>
  <c r="N48" i="64" s="1"/>
  <c r="L31" i="64"/>
  <c r="T31" i="64" s="1"/>
  <c r="J34" i="64"/>
  <c r="R34" i="64" s="1"/>
  <c r="H37" i="64"/>
  <c r="P37" i="64" s="1"/>
  <c r="K38" i="64"/>
  <c r="S38" i="64" s="1"/>
  <c r="F41" i="64"/>
  <c r="N41" i="64" s="1"/>
  <c r="G42" i="64"/>
  <c r="O42" i="64" s="1"/>
  <c r="L43" i="64"/>
  <c r="T43" i="64" s="1"/>
  <c r="F45" i="64"/>
  <c r="N45" i="64" s="1"/>
  <c r="I46" i="64"/>
  <c r="Q46" i="64" s="1"/>
  <c r="E7" i="64"/>
  <c r="M7" i="64" s="1"/>
  <c r="F11" i="64"/>
  <c r="N11" i="64" s="1"/>
  <c r="H13" i="64"/>
  <c r="P13" i="64" s="1"/>
  <c r="K15" i="64"/>
  <c r="S15" i="64" s="1"/>
  <c r="F18" i="64"/>
  <c r="N18" i="64" s="1"/>
  <c r="K4" i="64"/>
  <c r="S4" i="64" s="1"/>
  <c r="L6" i="64"/>
  <c r="T6" i="64" s="1"/>
  <c r="I18" i="64"/>
  <c r="Q18" i="64" s="1"/>
  <c r="G8" i="64"/>
  <c r="O8" i="64" s="1"/>
  <c r="G5" i="64"/>
  <c r="O5" i="64" s="1"/>
  <c r="E52" i="64"/>
  <c r="M52" i="64" s="1"/>
  <c r="L34" i="64"/>
  <c r="T34" i="64" s="1"/>
  <c r="J37" i="64"/>
  <c r="R37" i="64" s="1"/>
  <c r="F40" i="64"/>
  <c r="N40" i="64" s="1"/>
  <c r="H41" i="64"/>
  <c r="P41" i="64" s="1"/>
  <c r="K42" i="64"/>
  <c r="S42" i="64" s="1"/>
  <c r="H45" i="64"/>
  <c r="P45" i="64" s="1"/>
  <c r="L46" i="64"/>
  <c r="T46" i="64" s="1"/>
  <c r="F5" i="64"/>
  <c r="N5" i="64" s="1"/>
  <c r="J11" i="64"/>
  <c r="R11" i="64" s="1"/>
  <c r="E14" i="64"/>
  <c r="M14" i="64" s="1"/>
  <c r="H18" i="64"/>
  <c r="P18" i="64" s="1"/>
  <c r="K18" i="64"/>
  <c r="S18" i="64" s="1"/>
  <c r="L8" i="64"/>
  <c r="T8" i="64" s="1"/>
  <c r="H5" i="64"/>
  <c r="P5" i="64" s="1"/>
  <c r="I5" i="64"/>
  <c r="Q5" i="64" s="1"/>
  <c r="F47" i="64"/>
  <c r="N47" i="64" s="1"/>
  <c r="F50" i="64"/>
  <c r="N50" i="64" s="1"/>
  <c r="E32" i="64"/>
  <c r="M32" i="64" s="1"/>
  <c r="L33" i="64"/>
  <c r="T33" i="64" s="1"/>
  <c r="E35" i="64"/>
  <c r="M35" i="64" s="1"/>
  <c r="I36" i="64"/>
  <c r="Q36" i="64" s="1"/>
  <c r="G39" i="64"/>
  <c r="O39" i="64" s="1"/>
  <c r="K40" i="64"/>
  <c r="S40" i="64" s="1"/>
  <c r="H44" i="64"/>
  <c r="P44" i="64" s="1"/>
  <c r="F6" i="64"/>
  <c r="N6" i="64" s="1"/>
  <c r="J12" i="64"/>
  <c r="R12" i="64" s="1"/>
  <c r="F19" i="64"/>
  <c r="N19" i="64" s="1"/>
  <c r="I14" i="64"/>
  <c r="Q14" i="64" s="1"/>
  <c r="I13" i="64"/>
  <c r="Q13" i="64" s="1"/>
  <c r="I9" i="64"/>
  <c r="Q9" i="64" s="1"/>
  <c r="J44" i="64"/>
  <c r="R44" i="64" s="1"/>
  <c r="J42" i="64"/>
  <c r="R42" i="64" s="1"/>
  <c r="I40" i="64"/>
  <c r="Q40" i="64" s="1"/>
  <c r="G38" i="64"/>
  <c r="O38" i="64" s="1"/>
  <c r="E36" i="64"/>
  <c r="M36" i="64" s="1"/>
  <c r="K52" i="64"/>
  <c r="S52" i="64" s="1"/>
  <c r="I47" i="64"/>
  <c r="Q47" i="64" s="1"/>
  <c r="J46" i="64"/>
  <c r="R46" i="64" s="1"/>
  <c r="G44" i="64"/>
  <c r="O44" i="64" s="1"/>
  <c r="H40" i="64"/>
  <c r="P40" i="64" s="1"/>
  <c r="F38" i="64"/>
  <c r="N38" i="64" s="1"/>
  <c r="H33" i="64"/>
  <c r="P33" i="64" s="1"/>
  <c r="H47" i="64"/>
  <c r="P47" i="64" s="1"/>
  <c r="F46" i="64"/>
  <c r="N46" i="64" s="1"/>
  <c r="E44" i="64"/>
  <c r="M44" i="64" s="1"/>
  <c r="G40" i="64"/>
  <c r="O40" i="64" s="1"/>
  <c r="E38" i="64"/>
  <c r="M38" i="64" s="1"/>
  <c r="G33" i="64"/>
  <c r="O33" i="64" s="1"/>
  <c r="E47" i="64"/>
  <c r="M47" i="64" s="1"/>
  <c r="E12" i="35"/>
  <c r="C52" i="32"/>
  <c r="F52" i="32"/>
  <c r="E16" i="35"/>
  <c r="I52" i="32"/>
  <c r="B52" i="32"/>
  <c r="D52" i="32"/>
  <c r="B26" i="32"/>
  <c r="F26" i="32"/>
  <c r="C26" i="32"/>
  <c r="G26" i="32"/>
  <c r="E26" i="32"/>
  <c r="E10" i="35"/>
  <c r="E11" i="35"/>
  <c r="I19" i="32"/>
  <c r="F19" i="32"/>
  <c r="D19" i="32"/>
  <c r="H19" i="32"/>
  <c r="G19" i="32"/>
  <c r="E9" i="18"/>
  <c r="F9" i="18"/>
  <c r="F90" i="41"/>
  <c r="P3" i="64"/>
  <c r="H3" i="64"/>
  <c r="G3" i="64"/>
  <c r="W3" i="64"/>
  <c r="O3" i="64"/>
  <c r="L3" i="64"/>
  <c r="T3" i="64"/>
  <c r="U3" i="64"/>
  <c r="K47" i="64"/>
  <c r="S47" i="64" s="1"/>
  <c r="J48" i="64"/>
  <c r="R48" i="64" s="1"/>
  <c r="I49" i="64"/>
  <c r="Q49" i="64" s="1"/>
  <c r="H50" i="64"/>
  <c r="P50" i="64" s="1"/>
  <c r="K48" i="64"/>
  <c r="S48" i="64" s="1"/>
  <c r="J49" i="64"/>
  <c r="R49" i="64" s="1"/>
  <c r="I50" i="64"/>
  <c r="Q50" i="64" s="1"/>
  <c r="K49" i="64"/>
  <c r="S49" i="64" s="1"/>
  <c r="J50" i="64"/>
  <c r="R50" i="64" s="1"/>
  <c r="I51" i="64"/>
  <c r="Q51" i="64" s="1"/>
  <c r="H52" i="64"/>
  <c r="P52" i="64" s="1"/>
  <c r="K50" i="64"/>
  <c r="S50" i="64" s="1"/>
  <c r="J51" i="64"/>
  <c r="R51" i="64" s="1"/>
  <c r="H48" i="64"/>
  <c r="P48" i="64" s="1"/>
  <c r="F52" i="64"/>
  <c r="N52" i="64" s="1"/>
  <c r="I48" i="64"/>
  <c r="Q48" i="64" s="1"/>
  <c r="G52" i="64"/>
  <c r="O52" i="64" s="1"/>
  <c r="E49" i="64"/>
  <c r="M49" i="64" s="1"/>
  <c r="E51" i="64"/>
  <c r="M51" i="64" s="1"/>
  <c r="I52" i="64"/>
  <c r="Q52" i="64" s="1"/>
  <c r="F32" i="64"/>
  <c r="N32" i="64" s="1"/>
  <c r="E33" i="64"/>
  <c r="M33" i="64" s="1"/>
  <c r="L38" i="64"/>
  <c r="T38" i="64" s="1"/>
  <c r="K39" i="64"/>
  <c r="S39" i="64" s="1"/>
  <c r="J40" i="64"/>
  <c r="R40" i="64" s="1"/>
  <c r="I41" i="64"/>
  <c r="Q41" i="64" s="1"/>
  <c r="H42" i="64"/>
  <c r="P42" i="64" s="1"/>
  <c r="G43" i="64"/>
  <c r="O43" i="64" s="1"/>
  <c r="F44" i="64"/>
  <c r="N44" i="64" s="1"/>
  <c r="E45" i="64"/>
  <c r="M45" i="64" s="1"/>
  <c r="L11" i="64"/>
  <c r="T11" i="64" s="1"/>
  <c r="E13" i="64"/>
  <c r="M13" i="64" s="1"/>
  <c r="F15" i="64"/>
  <c r="N15" i="64" s="1"/>
  <c r="G17" i="64"/>
  <c r="O17" i="64" s="1"/>
  <c r="K19" i="64"/>
  <c r="S19" i="64" s="1"/>
  <c r="J17" i="64"/>
  <c r="R17" i="64" s="1"/>
  <c r="F49" i="64"/>
  <c r="N49" i="64" s="1"/>
  <c r="F51" i="64"/>
  <c r="N51" i="64" s="1"/>
  <c r="J52" i="64"/>
  <c r="R52" i="64" s="1"/>
  <c r="G47" i="64"/>
  <c r="O47" i="64" s="1"/>
  <c r="K51" i="64"/>
  <c r="S51" i="64" s="1"/>
  <c r="J32" i="64"/>
  <c r="R32" i="64" s="1"/>
  <c r="I33" i="64"/>
  <c r="Q33" i="64" s="1"/>
  <c r="H34" i="64"/>
  <c r="P34" i="64" s="1"/>
  <c r="G35" i="64"/>
  <c r="O35" i="64" s="1"/>
  <c r="F36" i="64"/>
  <c r="N36" i="64" s="1"/>
  <c r="E37" i="64"/>
  <c r="M37" i="64" s="1"/>
  <c r="A55" i="35"/>
  <c r="A46" i="35"/>
  <c r="A80" i="35"/>
  <c r="A50" i="35"/>
  <c r="A26" i="35"/>
  <c r="A25" i="35"/>
  <c r="A85" i="35"/>
  <c r="A81" i="35"/>
  <c r="A71" i="35"/>
  <c r="A75" i="35"/>
  <c r="A84" i="35"/>
  <c r="A69" i="35"/>
  <c r="A44" i="35"/>
  <c r="A45" i="35"/>
  <c r="A66" i="35"/>
  <c r="A20" i="35"/>
  <c r="A82" i="35"/>
  <c r="A24" i="35"/>
  <c r="A23" i="35"/>
  <c r="A58" i="35"/>
  <c r="A28" i="35"/>
  <c r="A59" i="35"/>
  <c r="A18" i="35"/>
  <c r="A67" i="35"/>
  <c r="A76" i="35"/>
  <c r="A53" i="35"/>
  <c r="A39" i="35"/>
  <c r="A31" i="35"/>
  <c r="A70" i="35"/>
  <c r="D77" i="35"/>
  <c r="A37" i="35"/>
  <c r="A49" i="35"/>
  <c r="A33" i="35"/>
  <c r="A52" i="35"/>
  <c r="A32" i="35"/>
  <c r="A38" i="35"/>
  <c r="A19" i="35"/>
  <c r="A27" i="35"/>
  <c r="A22" i="35"/>
  <c r="A36" i="35"/>
  <c r="C77" i="35"/>
  <c r="A79" i="35"/>
  <c r="A83" i="35"/>
  <c r="A21" i="35"/>
  <c r="A78" i="35"/>
  <c r="F118" i="41" l="1"/>
  <c r="H118" i="41" s="1"/>
  <c r="F61" i="17"/>
  <c r="F63" i="17"/>
  <c r="F65" i="17"/>
  <c r="F64" i="41"/>
  <c r="F66" i="41"/>
  <c r="F114" i="41"/>
  <c r="J56" i="64"/>
  <c r="R56" i="64" s="1"/>
  <c r="L56" i="64"/>
  <c r="T56" i="64" s="1"/>
  <c r="E55" i="64"/>
  <c r="M55" i="64" s="1"/>
  <c r="J53" i="64"/>
  <c r="R53" i="64" s="1"/>
  <c r="E57" i="64"/>
  <c r="M57" i="64" s="1"/>
  <c r="I53" i="64"/>
  <c r="Q53" i="64" s="1"/>
  <c r="G88" i="64"/>
  <c r="O88" i="64" s="1"/>
  <c r="J55" i="64"/>
  <c r="R55" i="64" s="1"/>
  <c r="F55" i="64"/>
  <c r="N55" i="64" s="1"/>
  <c r="G57" i="64"/>
  <c r="O57" i="64" s="1"/>
  <c r="L54" i="64"/>
  <c r="T54" i="64" s="1"/>
  <c r="K53" i="64"/>
  <c r="S53" i="64" s="1"/>
  <c r="L57" i="64"/>
  <c r="T57" i="64" s="1"/>
  <c r="K56" i="64"/>
  <c r="S56" i="64" s="1"/>
  <c r="H55" i="64"/>
  <c r="P55" i="64" s="1"/>
  <c r="E53" i="64"/>
  <c r="M53" i="64" s="1"/>
  <c r="G56" i="64"/>
  <c r="O56" i="64" s="1"/>
  <c r="M117" i="17"/>
  <c r="B77" i="41"/>
  <c r="C34" i="18" s="1"/>
  <c r="B26" i="30"/>
  <c r="B83" i="41"/>
  <c r="B22" i="30"/>
  <c r="F110" i="75"/>
  <c r="H110" i="75" s="1"/>
  <c r="K57" i="64"/>
  <c r="S57" i="64" s="1"/>
  <c r="H57" i="64"/>
  <c r="P57" i="64" s="1"/>
  <c r="F57" i="64"/>
  <c r="N57" i="64" s="1"/>
  <c r="F53" i="64"/>
  <c r="N53" i="64" s="1"/>
  <c r="I55" i="64"/>
  <c r="Q55" i="64" s="1"/>
  <c r="H54" i="64"/>
  <c r="P54" i="64" s="1"/>
  <c r="L55" i="64"/>
  <c r="T55" i="64" s="1"/>
  <c r="K55" i="64"/>
  <c r="S55" i="64" s="1"/>
  <c r="I54" i="64"/>
  <c r="Q54" i="64" s="1"/>
  <c r="F54" i="64"/>
  <c r="N54" i="64" s="1"/>
  <c r="E56" i="64"/>
  <c r="M56" i="64" s="1"/>
  <c r="H56" i="64"/>
  <c r="P56" i="64" s="1"/>
  <c r="L53" i="64"/>
  <c r="T53" i="64" s="1"/>
  <c r="G54" i="64"/>
  <c r="O54" i="64" s="1"/>
  <c r="J57" i="64"/>
  <c r="R57" i="64" s="1"/>
  <c r="I56" i="64"/>
  <c r="Q56" i="64" s="1"/>
  <c r="K54" i="64"/>
  <c r="S54" i="64" s="1"/>
  <c r="J54" i="64"/>
  <c r="R54" i="64" s="1"/>
  <c r="H53" i="64"/>
  <c r="P53" i="64" s="1"/>
  <c r="G53" i="64"/>
  <c r="O53" i="64" s="1"/>
  <c r="K66" i="64"/>
  <c r="S66" i="64" s="1"/>
  <c r="K67" i="64"/>
  <c r="S67" i="64" s="1"/>
  <c r="K88" i="64"/>
  <c r="S88" i="64" s="1"/>
  <c r="I59" i="64"/>
  <c r="Q59" i="64" s="1"/>
  <c r="E76" i="64"/>
  <c r="M76" i="64" s="1"/>
  <c r="H70" i="64"/>
  <c r="P70" i="64" s="1"/>
  <c r="F70" i="64"/>
  <c r="N70" i="64" s="1"/>
  <c r="K68" i="64"/>
  <c r="S68" i="64" s="1"/>
  <c r="F115" i="17"/>
  <c r="F116" i="75"/>
  <c r="H116" i="75" s="1"/>
  <c r="F113" i="75"/>
  <c r="H113" i="75" s="1"/>
  <c r="F119" i="75"/>
  <c r="H119" i="75" s="1"/>
  <c r="F115" i="75"/>
  <c r="H115" i="75" s="1"/>
  <c r="F114" i="75"/>
  <c r="H114" i="75" s="1"/>
  <c r="F117" i="75"/>
  <c r="H117" i="75" s="1"/>
  <c r="F118" i="75"/>
  <c r="H118" i="75" s="1"/>
  <c r="F61" i="75"/>
  <c r="F63" i="75"/>
  <c r="H63" i="75" s="1"/>
  <c r="F64" i="75"/>
  <c r="H64" i="75" s="1"/>
  <c r="F66" i="75"/>
  <c r="F65" i="75"/>
  <c r="F62" i="75"/>
  <c r="H62" i="75" s="1"/>
  <c r="F82" i="75"/>
  <c r="H82" i="75" s="1"/>
  <c r="F84" i="75"/>
  <c r="H84" i="75" s="1"/>
  <c r="F86" i="75"/>
  <c r="F85" i="75"/>
  <c r="H85" i="75" s="1"/>
  <c r="F81" i="75"/>
  <c r="H81" i="75" s="1"/>
  <c r="F83" i="75"/>
  <c r="H83" i="75" s="1"/>
  <c r="F78" i="75"/>
  <c r="H78" i="75" s="1"/>
  <c r="F77" i="75"/>
  <c r="H77" i="75" s="1"/>
  <c r="F76" i="75"/>
  <c r="H76" i="75" s="1"/>
  <c r="F95" i="17"/>
  <c r="F95" i="75"/>
  <c r="H95" i="75" s="1"/>
  <c r="F97" i="75"/>
  <c r="H97" i="75" s="1"/>
  <c r="F94" i="75"/>
  <c r="H94" i="75" s="1"/>
  <c r="F93" i="75"/>
  <c r="H93" i="75" s="1"/>
  <c r="F99" i="75"/>
  <c r="F96" i="75"/>
  <c r="H96" i="75" s="1"/>
  <c r="F98" i="75"/>
  <c r="F73" i="75"/>
  <c r="F69" i="75"/>
  <c r="H69" i="75" s="1"/>
  <c r="F72" i="75"/>
  <c r="F71" i="75"/>
  <c r="H71" i="75" s="1"/>
  <c r="F70" i="75"/>
  <c r="H70" i="75" s="1"/>
  <c r="F103" i="41"/>
  <c r="F106" i="75"/>
  <c r="H106" i="75" s="1"/>
  <c r="F103" i="75"/>
  <c r="H103" i="75" s="1"/>
  <c r="F105" i="75"/>
  <c r="H105" i="75" s="1"/>
  <c r="F104" i="75"/>
  <c r="H104" i="75" s="1"/>
  <c r="F102" i="75"/>
  <c r="H102" i="75" s="1"/>
  <c r="F107" i="75"/>
  <c r="B22" i="57"/>
  <c r="A22" i="57"/>
  <c r="B94" i="17"/>
  <c r="A96" i="17"/>
  <c r="A116" i="17"/>
  <c r="F93" i="17"/>
  <c r="F64" i="17"/>
  <c r="B78" i="17"/>
  <c r="B113" i="41"/>
  <c r="L49" i="64"/>
  <c r="T49" i="64" s="1"/>
  <c r="AB49" i="64" s="1"/>
  <c r="I87" i="64"/>
  <c r="Q87" i="64" s="1"/>
  <c r="E54" i="64"/>
  <c r="M54" i="64" s="1"/>
  <c r="E59" i="64"/>
  <c r="M59" i="64" s="1"/>
  <c r="I57" i="64"/>
  <c r="Q57" i="64" s="1"/>
  <c r="G55" i="64"/>
  <c r="O55" i="64" s="1"/>
  <c r="F56" i="64"/>
  <c r="N56" i="64" s="1"/>
  <c r="A47" i="32"/>
  <c r="B47" i="32" s="1"/>
  <c r="E47" i="32" s="1"/>
  <c r="K73" i="64"/>
  <c r="S73" i="64" s="1"/>
  <c r="F68" i="64"/>
  <c r="N68" i="64" s="1"/>
  <c r="F65" i="64"/>
  <c r="N65" i="64" s="1"/>
  <c r="K78" i="64"/>
  <c r="S78" i="64" s="1"/>
  <c r="K61" i="64"/>
  <c r="S61" i="64" s="1"/>
  <c r="E77" i="64"/>
  <c r="M77" i="64" s="1"/>
  <c r="F69" i="64"/>
  <c r="N69" i="64" s="1"/>
  <c r="J68" i="64"/>
  <c r="R68" i="64" s="1"/>
  <c r="J88" i="64"/>
  <c r="R88" i="64" s="1"/>
  <c r="I81" i="64"/>
  <c r="Q81" i="64" s="1"/>
  <c r="I80" i="64"/>
  <c r="Q80" i="64" s="1"/>
  <c r="J87" i="64"/>
  <c r="R87" i="64" s="1"/>
  <c r="L66" i="64"/>
  <c r="T66" i="64" s="1"/>
  <c r="F87" i="64"/>
  <c r="N87" i="64" s="1"/>
  <c r="J81" i="64"/>
  <c r="R81" i="64" s="1"/>
  <c r="H75" i="64"/>
  <c r="P75" i="64" s="1"/>
  <c r="J72" i="64"/>
  <c r="R72" i="64" s="1"/>
  <c r="K80" i="64"/>
  <c r="S80" i="64" s="1"/>
  <c r="G83" i="64"/>
  <c r="O83" i="64" s="1"/>
  <c r="L75" i="64"/>
  <c r="T75" i="64" s="1"/>
  <c r="H60" i="64"/>
  <c r="P60" i="64" s="1"/>
  <c r="H72" i="64"/>
  <c r="P72" i="64" s="1"/>
  <c r="G59" i="64"/>
  <c r="O59" i="64" s="1"/>
  <c r="F73" i="64"/>
  <c r="N73" i="64" s="1"/>
  <c r="E60" i="64"/>
  <c r="M60" i="64" s="1"/>
  <c r="L80" i="64"/>
  <c r="T80" i="64" s="1"/>
  <c r="L68" i="64"/>
  <c r="T68" i="64" s="1"/>
  <c r="H89" i="64"/>
  <c r="P89" i="64" s="1"/>
  <c r="L85" i="64"/>
  <c r="T85" i="64" s="1"/>
  <c r="L70" i="64"/>
  <c r="T70" i="64" s="1"/>
  <c r="L58" i="64"/>
  <c r="T58" i="64" s="1"/>
  <c r="F86" i="64"/>
  <c r="N86" i="64" s="1"/>
  <c r="E84" i="64"/>
  <c r="M84" i="64" s="1"/>
  <c r="I75" i="64"/>
  <c r="Q75" i="64" s="1"/>
  <c r="I63" i="64"/>
  <c r="Q63" i="64" s="1"/>
  <c r="E87" i="64"/>
  <c r="M87" i="64" s="1"/>
  <c r="E70" i="64"/>
  <c r="M70" i="64" s="1"/>
  <c r="I88" i="64"/>
  <c r="Q88" i="64" s="1"/>
  <c r="L59" i="64"/>
  <c r="T59" i="64" s="1"/>
  <c r="K83" i="64"/>
  <c r="S83" i="64" s="1"/>
  <c r="I71" i="64"/>
  <c r="Q71" i="64" s="1"/>
  <c r="K64" i="64"/>
  <c r="S64" i="64" s="1"/>
  <c r="K79" i="64"/>
  <c r="S79" i="64" s="1"/>
  <c r="F85" i="64"/>
  <c r="N85" i="64" s="1"/>
  <c r="K82" i="64"/>
  <c r="S82" i="64" s="1"/>
  <c r="I62" i="64"/>
  <c r="Q62" i="64" s="1"/>
  <c r="K76" i="64"/>
  <c r="S76" i="64" s="1"/>
  <c r="E58" i="64"/>
  <c r="M58" i="64" s="1"/>
  <c r="I72" i="64"/>
  <c r="Q72" i="64" s="1"/>
  <c r="K86" i="64"/>
  <c r="S86" i="64" s="1"/>
  <c r="L64" i="64"/>
  <c r="T64" i="64" s="1"/>
  <c r="E65" i="64"/>
  <c r="M65" i="64" s="1"/>
  <c r="L61" i="64"/>
  <c r="T61" i="64" s="1"/>
  <c r="G81" i="64"/>
  <c r="O81" i="64" s="1"/>
  <c r="J70" i="64"/>
  <c r="R70" i="64" s="1"/>
  <c r="I77" i="64"/>
  <c r="Q77" i="64" s="1"/>
  <c r="K71" i="64"/>
  <c r="S71" i="64" s="1"/>
  <c r="G78" i="64"/>
  <c r="O78" i="64" s="1"/>
  <c r="K62" i="64"/>
  <c r="S62" i="64" s="1"/>
  <c r="G75" i="64"/>
  <c r="O75" i="64" s="1"/>
  <c r="I73" i="64"/>
  <c r="Q73" i="64" s="1"/>
  <c r="F61" i="64"/>
  <c r="N61" i="64" s="1"/>
  <c r="G71" i="64"/>
  <c r="O71" i="64" s="1"/>
  <c r="F58" i="64"/>
  <c r="N58" i="64" s="1"/>
  <c r="E72" i="64"/>
  <c r="M72" i="64" s="1"/>
  <c r="L79" i="64"/>
  <c r="T79" i="64" s="1"/>
  <c r="L67" i="64"/>
  <c r="T67" i="64" s="1"/>
  <c r="L88" i="64"/>
  <c r="T88" i="64" s="1"/>
  <c r="G89" i="64"/>
  <c r="O89" i="64" s="1"/>
  <c r="K69" i="64"/>
  <c r="S69" i="64" s="1"/>
  <c r="J85" i="64"/>
  <c r="R85" i="64" s="1"/>
  <c r="F89" i="64"/>
  <c r="N89" i="64" s="1"/>
  <c r="J74" i="64"/>
  <c r="R74" i="64" s="1"/>
  <c r="J62" i="64"/>
  <c r="R62" i="64" s="1"/>
  <c r="E88" i="64"/>
  <c r="M88" i="64" s="1"/>
  <c r="F72" i="64"/>
  <c r="N72" i="64" s="1"/>
  <c r="L62" i="64"/>
  <c r="T62" i="64" s="1"/>
  <c r="G82" i="64"/>
  <c r="O82" i="64" s="1"/>
  <c r="J61" i="64"/>
  <c r="R61" i="64" s="1"/>
  <c r="F59" i="64"/>
  <c r="N59" i="64" s="1"/>
  <c r="G85" i="64"/>
  <c r="O85" i="64" s="1"/>
  <c r="J75" i="64"/>
  <c r="R75" i="64" s="1"/>
  <c r="L87" i="64"/>
  <c r="T87" i="64" s="1"/>
  <c r="K81" i="64"/>
  <c r="S81" i="64" s="1"/>
  <c r="I60" i="64"/>
  <c r="Q60" i="64" s="1"/>
  <c r="I74" i="64"/>
  <c r="Q74" i="64" s="1"/>
  <c r="L69" i="64"/>
  <c r="T69" i="64" s="1"/>
  <c r="I84" i="64"/>
  <c r="Q84" i="64" s="1"/>
  <c r="J80" i="64"/>
  <c r="R80" i="64" s="1"/>
  <c r="F75" i="64"/>
  <c r="N75" i="64" s="1"/>
  <c r="F81" i="64"/>
  <c r="N81" i="64" s="1"/>
  <c r="J58" i="64"/>
  <c r="R58" i="64" s="1"/>
  <c r="L78" i="64"/>
  <c r="T78" i="64" s="1"/>
  <c r="J86" i="64"/>
  <c r="R86" i="64" s="1"/>
  <c r="I67" i="64"/>
  <c r="Q67" i="64" s="1"/>
  <c r="J83" i="64"/>
  <c r="R83" i="64" s="1"/>
  <c r="F82" i="64"/>
  <c r="N82" i="64" s="1"/>
  <c r="E69" i="64"/>
  <c r="M69" i="64" s="1"/>
  <c r="K65" i="64"/>
  <c r="S65" i="64" s="1"/>
  <c r="J77" i="64"/>
  <c r="R77" i="64" s="1"/>
  <c r="J65" i="64"/>
  <c r="R65" i="64" s="1"/>
  <c r="J66" i="64"/>
  <c r="R66" i="64" s="1"/>
  <c r="J79" i="64"/>
  <c r="R79" i="64" s="1"/>
  <c r="J67" i="64"/>
  <c r="R67" i="64" s="1"/>
  <c r="K85" i="64"/>
  <c r="S85" i="64" s="1"/>
  <c r="H87" i="64"/>
  <c r="P87" i="64" s="1"/>
  <c r="L72" i="64"/>
  <c r="T72" i="64" s="1"/>
  <c r="L60" i="64"/>
  <c r="T60" i="64" s="1"/>
  <c r="E89" i="64"/>
  <c r="M89" i="64" s="1"/>
  <c r="H59" i="64"/>
  <c r="P59" i="64" s="1"/>
  <c r="K72" i="64"/>
  <c r="S72" i="64" s="1"/>
  <c r="L74" i="64"/>
  <c r="T74" i="64" s="1"/>
  <c r="G84" i="64"/>
  <c r="O84" i="64" s="1"/>
  <c r="F83" i="64"/>
  <c r="N83" i="64" s="1"/>
  <c r="E80" i="64"/>
  <c r="M80" i="64" s="1"/>
  <c r="H85" i="64"/>
  <c r="P85" i="64" s="1"/>
  <c r="K75" i="64"/>
  <c r="S75" i="64" s="1"/>
  <c r="F67" i="64"/>
  <c r="N67" i="64" s="1"/>
  <c r="K77" i="64"/>
  <c r="S77" i="64" s="1"/>
  <c r="E71" i="64"/>
  <c r="M71" i="64" s="1"/>
  <c r="G66" i="64"/>
  <c r="O66" i="64" s="1"/>
  <c r="E74" i="64"/>
  <c r="M74" i="64" s="1"/>
  <c r="L71" i="64"/>
  <c r="T71" i="64" s="1"/>
  <c r="I82" i="64"/>
  <c r="Q82" i="64" s="1"/>
  <c r="K84" i="64"/>
  <c r="S84" i="64" s="1"/>
  <c r="H71" i="64"/>
  <c r="P71" i="64" s="1"/>
  <c r="J60" i="64"/>
  <c r="R60" i="64" s="1"/>
  <c r="E81" i="64"/>
  <c r="M81" i="64" s="1"/>
  <c r="L63" i="64"/>
  <c r="T63" i="64" s="1"/>
  <c r="J64" i="64"/>
  <c r="R64" i="64" s="1"/>
  <c r="I76" i="64"/>
  <c r="Q76" i="64" s="1"/>
  <c r="I64" i="64"/>
  <c r="Q64" i="64" s="1"/>
  <c r="I65" i="64"/>
  <c r="Q65" i="64" s="1"/>
  <c r="I78" i="64"/>
  <c r="Q78" i="64" s="1"/>
  <c r="I66" i="64"/>
  <c r="Q66" i="64" s="1"/>
  <c r="L84" i="64"/>
  <c r="T84" i="64" s="1"/>
  <c r="E79" i="64"/>
  <c r="M79" i="64" s="1"/>
  <c r="E67" i="64"/>
  <c r="M67" i="64" s="1"/>
  <c r="F88" i="64"/>
  <c r="N88" i="64" s="1"/>
  <c r="G70" i="64"/>
  <c r="O70" i="64" s="1"/>
  <c r="G79" i="64"/>
  <c r="O79" i="64" s="1"/>
  <c r="I70" i="64"/>
  <c r="Q70" i="64" s="1"/>
  <c r="G80" i="64"/>
  <c r="O80" i="64" s="1"/>
  <c r="G73" i="64"/>
  <c r="O73" i="64" s="1"/>
  <c r="H88" i="64"/>
  <c r="P88" i="64" s="1"/>
  <c r="H69" i="64"/>
  <c r="P69" i="64" s="1"/>
  <c r="K60" i="64"/>
  <c r="S60" i="64" s="1"/>
  <c r="L73" i="64"/>
  <c r="T73" i="64" s="1"/>
  <c r="G68" i="64"/>
  <c r="O68" i="64" s="1"/>
  <c r="J84" i="64"/>
  <c r="R84" i="64" s="1"/>
  <c r="K63" i="64"/>
  <c r="S63" i="64" s="1"/>
  <c r="H80" i="64"/>
  <c r="P80" i="64" s="1"/>
  <c r="J69" i="64"/>
  <c r="R69" i="64" s="1"/>
  <c r="F80" i="64"/>
  <c r="N80" i="64" s="1"/>
  <c r="J89" i="64"/>
  <c r="R89" i="64" s="1"/>
  <c r="I83" i="64"/>
  <c r="Q83" i="64" s="1"/>
  <c r="G63" i="64"/>
  <c r="O63" i="64" s="1"/>
  <c r="H77" i="64"/>
  <c r="P77" i="64" s="1"/>
  <c r="H65" i="64"/>
  <c r="P65" i="64" s="1"/>
  <c r="F78" i="64"/>
  <c r="N78" i="64" s="1"/>
  <c r="F66" i="64"/>
  <c r="N66" i="64" s="1"/>
  <c r="G87" i="64"/>
  <c r="O87" i="64" s="1"/>
  <c r="G72" i="64"/>
  <c r="O72" i="64" s="1"/>
  <c r="E82" i="64"/>
  <c r="M82" i="64" s="1"/>
  <c r="I68" i="64"/>
  <c r="Q68" i="64" s="1"/>
  <c r="H78" i="64"/>
  <c r="P78" i="64" s="1"/>
  <c r="F71" i="64"/>
  <c r="N71" i="64" s="1"/>
  <c r="G67" i="64"/>
  <c r="O67" i="64" s="1"/>
  <c r="K58" i="64"/>
  <c r="S58" i="64" s="1"/>
  <c r="K70" i="64"/>
  <c r="S70" i="64" s="1"/>
  <c r="E83" i="64"/>
  <c r="M83" i="64" s="1"/>
  <c r="H66" i="64"/>
  <c r="P66" i="64" s="1"/>
  <c r="K87" i="64"/>
  <c r="S87" i="64" s="1"/>
  <c r="H79" i="64"/>
  <c r="P79" i="64" s="1"/>
  <c r="J59" i="64"/>
  <c r="R59" i="64" s="1"/>
  <c r="H61" i="64"/>
  <c r="P61" i="64" s="1"/>
  <c r="F77" i="64"/>
  <c r="N77" i="64" s="1"/>
  <c r="J71" i="64"/>
  <c r="R71" i="64" s="1"/>
  <c r="H68" i="64"/>
  <c r="P68" i="64" s="1"/>
  <c r="H84" i="64"/>
  <c r="P84" i="64" s="1"/>
  <c r="G64" i="64"/>
  <c r="O64" i="64" s="1"/>
  <c r="K74" i="64"/>
  <c r="S74" i="64" s="1"/>
  <c r="I61" i="64"/>
  <c r="Q61" i="64" s="1"/>
  <c r="L89" i="64"/>
  <c r="T89" i="64" s="1"/>
  <c r="G62" i="64"/>
  <c r="O62" i="64" s="1"/>
  <c r="I86" i="64"/>
  <c r="Q86" i="64" s="1"/>
  <c r="F74" i="64"/>
  <c r="N74" i="64" s="1"/>
  <c r="F62" i="64"/>
  <c r="N62" i="64" s="1"/>
  <c r="F63" i="64"/>
  <c r="N63" i="64" s="1"/>
  <c r="F76" i="64"/>
  <c r="N76" i="64" s="1"/>
  <c r="F64" i="64"/>
  <c r="N64" i="64" s="1"/>
  <c r="G77" i="64"/>
  <c r="O77" i="64" s="1"/>
  <c r="G65" i="64"/>
  <c r="O65" i="64" s="1"/>
  <c r="L76" i="64"/>
  <c r="T76" i="64" s="1"/>
  <c r="H62" i="64"/>
  <c r="P62" i="64" s="1"/>
  <c r="G76" i="64"/>
  <c r="O76" i="64" s="1"/>
  <c r="E86" i="64"/>
  <c r="M86" i="64" s="1"/>
  <c r="I69" i="64"/>
  <c r="Q69" i="64" s="1"/>
  <c r="E64" i="64"/>
  <c r="M64" i="64" s="1"/>
  <c r="L82" i="64"/>
  <c r="T82" i="64" s="1"/>
  <c r="G69" i="64"/>
  <c r="O69" i="64" s="1"/>
  <c r="I85" i="64"/>
  <c r="Q85" i="64" s="1"/>
  <c r="I79" i="64"/>
  <c r="Q79" i="64" s="1"/>
  <c r="G61" i="64"/>
  <c r="O61" i="64" s="1"/>
  <c r="J76" i="64"/>
  <c r="R76" i="64" s="1"/>
  <c r="F84" i="64"/>
  <c r="N84" i="64" s="1"/>
  <c r="I58" i="64"/>
  <c r="Q58" i="64" s="1"/>
  <c r="H73" i="64"/>
  <c r="P73" i="64" s="1"/>
  <c r="L77" i="64"/>
  <c r="T77" i="64" s="1"/>
  <c r="E85" i="64"/>
  <c r="M85" i="64" s="1"/>
  <c r="H83" i="64"/>
  <c r="P83" i="64" s="1"/>
  <c r="F60" i="64"/>
  <c r="N60" i="64" s="1"/>
  <c r="X20" i="64"/>
  <c r="G60" i="64"/>
  <c r="O60" i="64" s="1"/>
  <c r="H63" i="64"/>
  <c r="P63" i="64" s="1"/>
  <c r="G74" i="64"/>
  <c r="O74" i="64" s="1"/>
  <c r="I89" i="64"/>
  <c r="Q89" i="64" s="1"/>
  <c r="E73" i="64"/>
  <c r="M73" i="64" s="1"/>
  <c r="E61" i="64"/>
  <c r="M61" i="64" s="1"/>
  <c r="H86" i="64"/>
  <c r="P86" i="64" s="1"/>
  <c r="E62" i="64"/>
  <c r="M62" i="64" s="1"/>
  <c r="G86" i="64"/>
  <c r="O86" i="64" s="1"/>
  <c r="E75" i="64"/>
  <c r="M75" i="64" s="1"/>
  <c r="E63" i="64"/>
  <c r="M63" i="64" s="1"/>
  <c r="H76" i="64"/>
  <c r="P76" i="64" s="1"/>
  <c r="H64" i="64"/>
  <c r="P64" i="64" s="1"/>
  <c r="L86" i="64"/>
  <c r="T86" i="64" s="1"/>
  <c r="E66" i="64"/>
  <c r="M66" i="64" s="1"/>
  <c r="F79" i="64"/>
  <c r="N79" i="64" s="1"/>
  <c r="G58" i="64"/>
  <c r="O58" i="64" s="1"/>
  <c r="J73" i="64"/>
  <c r="R73" i="64" s="1"/>
  <c r="H67" i="64"/>
  <c r="P67" i="64" s="1"/>
  <c r="H81" i="64"/>
  <c r="P81" i="64" s="1"/>
  <c r="L65" i="64"/>
  <c r="T65" i="64" s="1"/>
  <c r="K89" i="64"/>
  <c r="S89" i="64" s="1"/>
  <c r="E78" i="64"/>
  <c r="M78" i="64" s="1"/>
  <c r="K59" i="64"/>
  <c r="S59" i="64" s="1"/>
  <c r="H74" i="64"/>
  <c r="P74" i="64" s="1"/>
  <c r="H58" i="64"/>
  <c r="P58" i="64" s="1"/>
  <c r="L81" i="64"/>
  <c r="T81" i="64" s="1"/>
  <c r="L83" i="64"/>
  <c r="T83" i="64" s="1"/>
  <c r="J63" i="64"/>
  <c r="R63" i="64" s="1"/>
  <c r="H82" i="64"/>
  <c r="P82" i="64" s="1"/>
  <c r="J82" i="64"/>
  <c r="R82" i="64" s="1"/>
  <c r="J78" i="64"/>
  <c r="R78" i="64" s="1"/>
  <c r="E68" i="64"/>
  <c r="M68" i="64" s="1"/>
  <c r="L38" i="14"/>
  <c r="F94" i="41"/>
  <c r="F98" i="17"/>
  <c r="H98" i="17" s="1"/>
  <c r="F96" i="41"/>
  <c r="AA21" i="64"/>
  <c r="F99" i="17"/>
  <c r="H99" i="17" s="1"/>
  <c r="F94" i="17"/>
  <c r="F95" i="41"/>
  <c r="F93" i="41"/>
  <c r="F99" i="41"/>
  <c r="H99" i="41" s="1"/>
  <c r="W7" i="64"/>
  <c r="AK43" i="32"/>
  <c r="AI43" i="32"/>
  <c r="AG43" i="32"/>
  <c r="AE43" i="32"/>
  <c r="AC43" i="32"/>
  <c r="AA43" i="32"/>
  <c r="Y43" i="32"/>
  <c r="W43" i="32"/>
  <c r="U43" i="32"/>
  <c r="S43" i="32"/>
  <c r="AJ43" i="32"/>
  <c r="AH43" i="32"/>
  <c r="AF43" i="32"/>
  <c r="AD43" i="32"/>
  <c r="AB43" i="32"/>
  <c r="Z43" i="32"/>
  <c r="X43" i="32"/>
  <c r="V43" i="32"/>
  <c r="T43" i="32"/>
  <c r="AJ44" i="32"/>
  <c r="AH44" i="32"/>
  <c r="AF44" i="32"/>
  <c r="AD44" i="32"/>
  <c r="AB44" i="32"/>
  <c r="Z44" i="32"/>
  <c r="X44" i="32"/>
  <c r="V44" i="32"/>
  <c r="T44" i="32"/>
  <c r="AK44" i="32"/>
  <c r="AI44" i="32"/>
  <c r="AG44" i="32"/>
  <c r="AE44" i="32"/>
  <c r="AC44" i="32"/>
  <c r="AA44" i="32"/>
  <c r="Y44" i="32"/>
  <c r="W44" i="32"/>
  <c r="U44" i="32"/>
  <c r="S44" i="32"/>
  <c r="AK40" i="32"/>
  <c r="AI40" i="32"/>
  <c r="AG40" i="32"/>
  <c r="AE40" i="32"/>
  <c r="AC40" i="32"/>
  <c r="AA40" i="32"/>
  <c r="Y40" i="32"/>
  <c r="W40" i="32"/>
  <c r="U40" i="32"/>
  <c r="S40" i="32"/>
  <c r="AJ40" i="32"/>
  <c r="AH40" i="32"/>
  <c r="AF40" i="32"/>
  <c r="AD40" i="32"/>
  <c r="AB40" i="32"/>
  <c r="Z40" i="32"/>
  <c r="X40" i="32"/>
  <c r="V40" i="32"/>
  <c r="T40" i="32"/>
  <c r="AK39" i="32"/>
  <c r="AI39" i="32"/>
  <c r="AG39" i="32"/>
  <c r="AE39" i="32"/>
  <c r="AC39" i="32"/>
  <c r="AA39" i="32"/>
  <c r="Y39" i="32"/>
  <c r="W39" i="32"/>
  <c r="U39" i="32"/>
  <c r="S39" i="32"/>
  <c r="AJ39" i="32"/>
  <c r="AH39" i="32"/>
  <c r="AF39" i="32"/>
  <c r="AD39" i="32"/>
  <c r="AB39" i="32"/>
  <c r="Z39" i="32"/>
  <c r="X39" i="32"/>
  <c r="V39" i="32"/>
  <c r="T39" i="32"/>
  <c r="AK31" i="32"/>
  <c r="AI31" i="32"/>
  <c r="AG31" i="32"/>
  <c r="AE31" i="32"/>
  <c r="AC31" i="32"/>
  <c r="AA31" i="32"/>
  <c r="Y31" i="32"/>
  <c r="W31" i="32"/>
  <c r="U31" i="32"/>
  <c r="S31" i="32"/>
  <c r="AJ31" i="32"/>
  <c r="AH31" i="32"/>
  <c r="AF31" i="32"/>
  <c r="AD31" i="32"/>
  <c r="AB31" i="32"/>
  <c r="Z31" i="32"/>
  <c r="X31" i="32"/>
  <c r="V31" i="32"/>
  <c r="T31" i="32"/>
  <c r="AK27" i="32"/>
  <c r="AI27" i="32"/>
  <c r="AG27" i="32"/>
  <c r="AE27" i="32"/>
  <c r="AC27" i="32"/>
  <c r="AA27" i="32"/>
  <c r="Y27" i="32"/>
  <c r="W27" i="32"/>
  <c r="U27" i="32"/>
  <c r="S27" i="32"/>
  <c r="AJ27" i="32"/>
  <c r="AH27" i="32"/>
  <c r="AF27" i="32"/>
  <c r="AD27" i="32"/>
  <c r="AB27" i="32"/>
  <c r="Z27" i="32"/>
  <c r="X27" i="32"/>
  <c r="V27" i="32"/>
  <c r="T27" i="32"/>
  <c r="I31" i="32"/>
  <c r="D60" i="32"/>
  <c r="AM44" i="32"/>
  <c r="F49" i="32"/>
  <c r="E44" i="32"/>
  <c r="C44" i="32"/>
  <c r="B49" i="32"/>
  <c r="E49" i="32" s="1"/>
  <c r="D44" i="32"/>
  <c r="B44" i="32"/>
  <c r="I49" i="32"/>
  <c r="C49" i="32"/>
  <c r="R44" i="32"/>
  <c r="AL44" i="32"/>
  <c r="G49" i="32"/>
  <c r="AN44" i="32"/>
  <c r="G44" i="32"/>
  <c r="F44" i="32"/>
  <c r="I44" i="32"/>
  <c r="H44" i="32"/>
  <c r="H49" i="32"/>
  <c r="D67" i="35"/>
  <c r="C67" i="35"/>
  <c r="B67" i="35"/>
  <c r="F67" i="35"/>
  <c r="E67" i="35"/>
  <c r="D66" i="35"/>
  <c r="C66" i="35"/>
  <c r="B66" i="35"/>
  <c r="F66" i="35"/>
  <c r="E66" i="35"/>
  <c r="D59" i="35"/>
  <c r="D25" i="35"/>
  <c r="C25" i="35"/>
  <c r="B25" i="35"/>
  <c r="E25" i="35"/>
  <c r="F25" i="35"/>
  <c r="E23" i="35"/>
  <c r="B23" i="35"/>
  <c r="F23" i="35"/>
  <c r="D33" i="35"/>
  <c r="C33" i="35"/>
  <c r="F33" i="35"/>
  <c r="E33" i="35"/>
  <c r="B33" i="35"/>
  <c r="B22" i="35"/>
  <c r="E22" i="35"/>
  <c r="F22" i="35"/>
  <c r="D49" i="35"/>
  <c r="C49" i="35"/>
  <c r="F49" i="35"/>
  <c r="E49" i="35"/>
  <c r="B49" i="35"/>
  <c r="D32" i="35"/>
  <c r="C32" i="35"/>
  <c r="B32" i="35"/>
  <c r="F32" i="35"/>
  <c r="E32" i="35"/>
  <c r="D58" i="35"/>
  <c r="C58" i="35"/>
  <c r="E58" i="35"/>
  <c r="F58" i="35"/>
  <c r="B58" i="35"/>
  <c r="D50" i="35"/>
  <c r="C50" i="35"/>
  <c r="E50" i="35"/>
  <c r="F50" i="35"/>
  <c r="B50" i="35"/>
  <c r="D70" i="35"/>
  <c r="C70" i="35"/>
  <c r="F70" i="35"/>
  <c r="B70" i="35"/>
  <c r="E70" i="35"/>
  <c r="C78" i="35"/>
  <c r="C79" i="35"/>
  <c r="B55" i="35"/>
  <c r="E55" i="35"/>
  <c r="F55" i="35"/>
  <c r="B19" i="35"/>
  <c r="F19" i="35"/>
  <c r="E19" i="35"/>
  <c r="F18" i="35"/>
  <c r="D18" i="35"/>
  <c r="E18" i="35"/>
  <c r="C18" i="35"/>
  <c r="D26" i="35"/>
  <c r="C26" i="35"/>
  <c r="D37" i="35"/>
  <c r="C37" i="35"/>
  <c r="B37" i="35"/>
  <c r="F37" i="35"/>
  <c r="E37" i="35"/>
  <c r="D69" i="35"/>
  <c r="C69" i="35"/>
  <c r="B69" i="35"/>
  <c r="E69" i="35"/>
  <c r="F69" i="35"/>
  <c r="D45" i="35"/>
  <c r="C45" i="35"/>
  <c r="F45" i="35"/>
  <c r="B45" i="35"/>
  <c r="E45" i="35"/>
  <c r="D38" i="35"/>
  <c r="D46" i="35"/>
  <c r="C46" i="35"/>
  <c r="E46" i="35"/>
  <c r="F46" i="35"/>
  <c r="B46" i="35"/>
  <c r="E15" i="69"/>
  <c r="H32" i="66"/>
  <c r="H44" i="66" s="1"/>
  <c r="J84" i="41"/>
  <c r="K13" i="69"/>
  <c r="L13" i="69"/>
  <c r="B70" i="17"/>
  <c r="F32" i="17"/>
  <c r="F44" i="17" s="1"/>
  <c r="M71" i="17" s="1"/>
  <c r="N71" i="17" s="1"/>
  <c r="E16" i="69"/>
  <c r="F32" i="66"/>
  <c r="F44" i="66" s="1"/>
  <c r="M71" i="66" s="1"/>
  <c r="N71" i="66" s="1"/>
  <c r="E16" i="14"/>
  <c r="F36" i="17"/>
  <c r="F48" i="17" s="1"/>
  <c r="M96" i="17" s="1"/>
  <c r="N96" i="17" s="1"/>
  <c r="F36" i="66"/>
  <c r="F48" i="66" s="1"/>
  <c r="M96" i="66" s="1"/>
  <c r="N96" i="66" s="1"/>
  <c r="E27" i="69"/>
  <c r="E27" i="14"/>
  <c r="L27" i="14" s="1"/>
  <c r="E102" i="67"/>
  <c r="J75" i="14"/>
  <c r="R75" i="14"/>
  <c r="F80" i="14" s="1"/>
  <c r="F82" i="14" s="1"/>
  <c r="E102" i="41"/>
  <c r="E104" i="17"/>
  <c r="E104" i="66"/>
  <c r="E106" i="17"/>
  <c r="E106" i="66"/>
  <c r="J76" i="14"/>
  <c r="E103" i="67"/>
  <c r="E103" i="41"/>
  <c r="R76" i="14"/>
  <c r="K38" i="69"/>
  <c r="L38" i="69"/>
  <c r="F43" i="17"/>
  <c r="L26" i="14"/>
  <c r="K26" i="14"/>
  <c r="A8" i="55"/>
  <c r="AI7" i="55"/>
  <c r="K7" i="55"/>
  <c r="V7" i="55"/>
  <c r="AG7" i="55"/>
  <c r="T7" i="55"/>
  <c r="AE7" i="55"/>
  <c r="Z7" i="55"/>
  <c r="X7" i="55"/>
  <c r="AC7" i="55"/>
  <c r="Q7" i="55"/>
  <c r="AD7" i="55"/>
  <c r="P7" i="55"/>
  <c r="AM7" i="55"/>
  <c r="AK7" i="55"/>
  <c r="AJ7" i="55"/>
  <c r="AA7" i="55"/>
  <c r="W7" i="55"/>
  <c r="AH7" i="55"/>
  <c r="J7" i="55"/>
  <c r="U7" i="55"/>
  <c r="AF7" i="55"/>
  <c r="S7" i="55"/>
  <c r="AL7" i="55"/>
  <c r="N7" i="55"/>
  <c r="R7" i="55"/>
  <c r="AO7" i="55"/>
  <c r="L7" i="55"/>
  <c r="AN7" i="55"/>
  <c r="O7" i="55"/>
  <c r="M7" i="55"/>
  <c r="AB7" i="55"/>
  <c r="Y7" i="55"/>
  <c r="J83" i="66"/>
  <c r="I103" i="66"/>
  <c r="J103" i="66" s="1"/>
  <c r="I105" i="66"/>
  <c r="J107" i="41"/>
  <c r="O79" i="12"/>
  <c r="F37" i="12" s="1"/>
  <c r="K79" i="12"/>
  <c r="B37" i="12" s="1"/>
  <c r="P79" i="12"/>
  <c r="G37" i="12" s="1"/>
  <c r="K21" i="33"/>
  <c r="J20" i="33"/>
  <c r="J103" i="41"/>
  <c r="L24" i="69"/>
  <c r="K24" i="69"/>
  <c r="I52" i="41"/>
  <c r="F43" i="66"/>
  <c r="K37" i="69"/>
  <c r="L37" i="69"/>
  <c r="K47" i="69"/>
  <c r="L47" i="69"/>
  <c r="E105" i="17"/>
  <c r="E105" i="66"/>
  <c r="B121" i="67"/>
  <c r="L26" i="69"/>
  <c r="K26" i="69"/>
  <c r="H43" i="66"/>
  <c r="AW20" i="37"/>
  <c r="AX20" i="37" s="1"/>
  <c r="AW21" i="37" s="1"/>
  <c r="AX21" i="37" s="1"/>
  <c r="AW22" i="37" s="1"/>
  <c r="AX22" i="37" s="1"/>
  <c r="AW23" i="37" s="1"/>
  <c r="AX23" i="37" s="1"/>
  <c r="AW24" i="37" s="1"/>
  <c r="AX24" i="37" s="1"/>
  <c r="AW25" i="37" s="1"/>
  <c r="AX25" i="37" s="1"/>
  <c r="AW26" i="37" s="1"/>
  <c r="AX26" i="37" s="1"/>
  <c r="A19" i="37"/>
  <c r="S20" i="33"/>
  <c r="R21" i="33"/>
  <c r="B27" i="35"/>
  <c r="E27" i="35"/>
  <c r="F27" i="35"/>
  <c r="B53" i="35"/>
  <c r="E53" i="35"/>
  <c r="F53" i="35"/>
  <c r="A23" i="57"/>
  <c r="Y21" i="64"/>
  <c r="V23" i="64"/>
  <c r="A27" i="30"/>
  <c r="F115" i="41"/>
  <c r="A25" i="32"/>
  <c r="F98" i="41"/>
  <c r="C38" i="35"/>
  <c r="C59" i="35"/>
  <c r="G16" i="37"/>
  <c r="F17" i="37"/>
  <c r="H13" i="37"/>
  <c r="AM31" i="32"/>
  <c r="AN31" i="32"/>
  <c r="AM40" i="32"/>
  <c r="AN40" i="32"/>
  <c r="AM27" i="32"/>
  <c r="AN27" i="32"/>
  <c r="AM39" i="32"/>
  <c r="AN39" i="32"/>
  <c r="AM43" i="32"/>
  <c r="AN43" i="32"/>
  <c r="AM60" i="32"/>
  <c r="AN60" i="32"/>
  <c r="AL31" i="32"/>
  <c r="AL40" i="32"/>
  <c r="AL27" i="32"/>
  <c r="AL39" i="32"/>
  <c r="AL43" i="32"/>
  <c r="AG60" i="32"/>
  <c r="AL60" i="32"/>
  <c r="W60" i="32"/>
  <c r="AB60" i="32"/>
  <c r="R31" i="32"/>
  <c r="R40" i="32"/>
  <c r="R27" i="32"/>
  <c r="R39" i="32"/>
  <c r="R43" i="32"/>
  <c r="R60" i="32"/>
  <c r="B21" i="32"/>
  <c r="E21" i="32" s="1"/>
  <c r="F17" i="32"/>
  <c r="C31" i="32"/>
  <c r="N31" i="32" s="1"/>
  <c r="C40" i="32"/>
  <c r="G16" i="32"/>
  <c r="D27" i="32"/>
  <c r="G39" i="32"/>
  <c r="H43" i="32"/>
  <c r="B60" i="32"/>
  <c r="F13" i="32"/>
  <c r="I17" i="32"/>
  <c r="F31" i="32"/>
  <c r="I40" i="32"/>
  <c r="D39" i="32"/>
  <c r="E40" i="32"/>
  <c r="G17" i="32"/>
  <c r="H31" i="32"/>
  <c r="H40" i="32"/>
  <c r="G40" i="32"/>
  <c r="D31" i="32"/>
  <c r="H16" i="32"/>
  <c r="E27" i="32"/>
  <c r="B39" i="32"/>
  <c r="G27" i="32"/>
  <c r="H17" i="32"/>
  <c r="E31" i="32"/>
  <c r="B31" i="32"/>
  <c r="F40" i="32"/>
  <c r="B40" i="32"/>
  <c r="D40" i="32"/>
  <c r="G31" i="32"/>
  <c r="B17" i="32"/>
  <c r="E17" i="32" s="1"/>
  <c r="I16" i="32"/>
  <c r="B27" i="32"/>
  <c r="I43" i="32"/>
  <c r="F16" i="32"/>
  <c r="I27" i="32"/>
  <c r="H39" i="32"/>
  <c r="F39" i="32"/>
  <c r="H17" i="37"/>
  <c r="C43" i="32"/>
  <c r="P43" i="32" s="1"/>
  <c r="B43" i="32"/>
  <c r="I60" i="32"/>
  <c r="G43" i="32"/>
  <c r="F60" i="32"/>
  <c r="I39" i="32"/>
  <c r="B16" i="32"/>
  <c r="E16" i="32" s="1"/>
  <c r="C27" i="32"/>
  <c r="H27" i="32"/>
  <c r="F27" i="32"/>
  <c r="E39" i="32"/>
  <c r="C39" i="32"/>
  <c r="E43" i="32"/>
  <c r="F43" i="32"/>
  <c r="D43" i="32"/>
  <c r="H60" i="32"/>
  <c r="G60" i="32"/>
  <c r="C60" i="32"/>
  <c r="E60" i="32"/>
  <c r="AX62" i="32"/>
  <c r="AY62" i="32" s="1"/>
  <c r="AX63" i="32" s="1"/>
  <c r="AY63" i="32" s="1"/>
  <c r="A61" i="32"/>
  <c r="C13" i="37"/>
  <c r="AK13" i="37" s="1"/>
  <c r="G52" i="41"/>
  <c r="F97" i="41"/>
  <c r="H97" i="41" s="1"/>
  <c r="C17" i="18"/>
  <c r="B65" i="41"/>
  <c r="C17" i="37" s="1"/>
  <c r="B85" i="41"/>
  <c r="J8" i="41"/>
  <c r="H8" i="41"/>
  <c r="G8" i="41"/>
  <c r="C8" i="41"/>
  <c r="E8" i="41"/>
  <c r="I8" i="41"/>
  <c r="A18" i="36"/>
  <c r="A18" i="18"/>
  <c r="C18" i="18" s="1"/>
  <c r="I13" i="32"/>
  <c r="H15" i="20"/>
  <c r="C68" i="69"/>
  <c r="D63" i="69"/>
  <c r="F116" i="41"/>
  <c r="H116" i="41" s="1"/>
  <c r="F119" i="41"/>
  <c r="H119" i="41" s="1"/>
  <c r="F117" i="41"/>
  <c r="H117" i="41" s="1"/>
  <c r="F113" i="41"/>
  <c r="F65" i="41"/>
  <c r="F63" i="41"/>
  <c r="F62" i="41"/>
  <c r="G13" i="32"/>
  <c r="I17" i="37"/>
  <c r="G14" i="20"/>
  <c r="F66" i="17"/>
  <c r="F118" i="17"/>
  <c r="H118" i="17" s="1"/>
  <c r="B69" i="17"/>
  <c r="B11" i="57" s="1"/>
  <c r="A11" i="57"/>
  <c r="D15" i="20"/>
  <c r="U3" i="33"/>
  <c r="T3" i="33" s="1"/>
  <c r="T4" i="33" s="1"/>
  <c r="U4" i="33"/>
  <c r="AC60" i="33"/>
  <c r="AC47" i="33"/>
  <c r="AD18" i="33"/>
  <c r="AD20" i="33" s="1"/>
  <c r="AD24" i="33" s="1"/>
  <c r="AE56" i="33"/>
  <c r="AD19" i="33"/>
  <c r="AD21" i="33" s="1"/>
  <c r="AD25" i="33" s="1"/>
  <c r="B15" i="33"/>
  <c r="B14" i="33" s="1"/>
  <c r="G14" i="38"/>
  <c r="G15" i="20"/>
  <c r="H14" i="20"/>
  <c r="B17" i="37"/>
  <c r="E17" i="37" s="1"/>
  <c r="S3" i="33"/>
  <c r="C14" i="38"/>
  <c r="F14" i="38"/>
  <c r="B14" i="38"/>
  <c r="E14" i="38" s="1"/>
  <c r="H13" i="32"/>
  <c r="E15" i="20"/>
  <c r="I15" i="20"/>
  <c r="F15" i="20"/>
  <c r="C15" i="20"/>
  <c r="B13" i="32"/>
  <c r="E13" i="32" s="1"/>
  <c r="G17" i="37"/>
  <c r="B14" i="20"/>
  <c r="I14" i="20" s="1"/>
  <c r="F82" i="67"/>
  <c r="F86" i="67"/>
  <c r="F83" i="67"/>
  <c r="F84" i="67"/>
  <c r="F81" i="67"/>
  <c r="F85" i="67"/>
  <c r="F103" i="67"/>
  <c r="F105" i="67"/>
  <c r="F107" i="67"/>
  <c r="F102" i="67"/>
  <c r="F104" i="67"/>
  <c r="F106" i="67"/>
  <c r="F69" i="67"/>
  <c r="F73" i="67"/>
  <c r="H73" i="67" s="1"/>
  <c r="F72" i="67"/>
  <c r="H72" i="67" s="1"/>
  <c r="F71" i="67"/>
  <c r="H71" i="67" s="1"/>
  <c r="F70" i="67"/>
  <c r="F114" i="67"/>
  <c r="H114" i="67" s="1"/>
  <c r="F113" i="67"/>
  <c r="F117" i="67"/>
  <c r="H117" i="67" s="1"/>
  <c r="F119" i="67"/>
  <c r="H119" i="67" s="1"/>
  <c r="F115" i="67"/>
  <c r="F116" i="67"/>
  <c r="H116" i="67" s="1"/>
  <c r="F118" i="67"/>
  <c r="H118" i="67" s="1"/>
  <c r="F64" i="67"/>
  <c r="F62" i="67"/>
  <c r="F65" i="67"/>
  <c r="F61" i="67"/>
  <c r="F66" i="67"/>
  <c r="F63" i="67"/>
  <c r="F93" i="67"/>
  <c r="F99" i="67"/>
  <c r="H99" i="67" s="1"/>
  <c r="F94" i="67"/>
  <c r="F97" i="67"/>
  <c r="H97" i="67" s="1"/>
  <c r="F98" i="67"/>
  <c r="F96" i="67"/>
  <c r="H96" i="67" s="1"/>
  <c r="F95" i="67"/>
  <c r="F110" i="66"/>
  <c r="F110" i="67"/>
  <c r="F77" i="67"/>
  <c r="H77" i="67" s="1"/>
  <c r="F76" i="67"/>
  <c r="F78" i="67"/>
  <c r="H78" i="67" s="1"/>
  <c r="F96" i="66"/>
  <c r="F95" i="66"/>
  <c r="F98" i="66"/>
  <c r="H98" i="66" s="1"/>
  <c r="F99" i="66"/>
  <c r="H99" i="66" s="1"/>
  <c r="F93" i="66"/>
  <c r="F94" i="66"/>
  <c r="F97" i="66"/>
  <c r="F78" i="41"/>
  <c r="H78" i="41" s="1"/>
  <c r="F78" i="66"/>
  <c r="F77" i="66"/>
  <c r="F76" i="66"/>
  <c r="AJ89" i="66"/>
  <c r="F83" i="41"/>
  <c r="F81" i="66"/>
  <c r="F84" i="66"/>
  <c r="F85" i="66"/>
  <c r="F82" i="66"/>
  <c r="F83" i="66"/>
  <c r="F86" i="66"/>
  <c r="F102" i="17"/>
  <c r="F103" i="66"/>
  <c r="F105" i="66"/>
  <c r="F107" i="66"/>
  <c r="F102" i="66"/>
  <c r="F104" i="66"/>
  <c r="F106" i="66"/>
  <c r="F70" i="66"/>
  <c r="F69" i="66"/>
  <c r="F72" i="66"/>
  <c r="H72" i="66" s="1"/>
  <c r="F71" i="66"/>
  <c r="F73" i="66"/>
  <c r="H73" i="66" s="1"/>
  <c r="F116" i="17"/>
  <c r="F116" i="66"/>
  <c r="H116" i="66" s="1"/>
  <c r="F117" i="66"/>
  <c r="H117" i="66" s="1"/>
  <c r="F115" i="66"/>
  <c r="F113" i="66"/>
  <c r="F119" i="66"/>
  <c r="F114" i="66"/>
  <c r="F118" i="66"/>
  <c r="H118" i="66" s="1"/>
  <c r="F62" i="17"/>
  <c r="F65" i="66"/>
  <c r="F62" i="66"/>
  <c r="F66" i="66"/>
  <c r="F61" i="66"/>
  <c r="F63" i="66"/>
  <c r="F64" i="66"/>
  <c r="AJ81" i="66"/>
  <c r="AJ110" i="66"/>
  <c r="AJ82" i="66"/>
  <c r="AJ76" i="66"/>
  <c r="AJ93" i="66"/>
  <c r="AJ83" i="66"/>
  <c r="I16" i="37"/>
  <c r="I13" i="37"/>
  <c r="F85" i="41"/>
  <c r="C29" i="19"/>
  <c r="X21" i="64"/>
  <c r="H16" i="37"/>
  <c r="A77" i="41"/>
  <c r="D34" i="18" s="1"/>
  <c r="X22" i="64"/>
  <c r="M116" i="17"/>
  <c r="N116" i="17" s="1"/>
  <c r="F16" i="37"/>
  <c r="B16" i="37"/>
  <c r="E16" i="37" s="1"/>
  <c r="G13" i="37"/>
  <c r="B13" i="37"/>
  <c r="E13" i="37" s="1"/>
  <c r="F13" i="37"/>
  <c r="E75" i="35"/>
  <c r="B75" i="35"/>
  <c r="F75" i="35"/>
  <c r="B31" i="35"/>
  <c r="F31" i="35"/>
  <c r="E31" i="35"/>
  <c r="B38" i="35"/>
  <c r="F38" i="35"/>
  <c r="E38" i="35"/>
  <c r="E24" i="35"/>
  <c r="F24" i="35"/>
  <c r="B24" i="35"/>
  <c r="F21" i="35"/>
  <c r="B21" i="35"/>
  <c r="E21" i="35"/>
  <c r="E26" i="35"/>
  <c r="F26" i="35"/>
  <c r="B26" i="35"/>
  <c r="F59" i="35"/>
  <c r="E59" i="35"/>
  <c r="B59" i="35"/>
  <c r="F20" i="35"/>
  <c r="E20" i="35"/>
  <c r="B20" i="35"/>
  <c r="I39" i="17"/>
  <c r="I51" i="17" s="1"/>
  <c r="M119" i="17" s="1"/>
  <c r="N119" i="17" s="1"/>
  <c r="X5" i="64"/>
  <c r="W9" i="64"/>
  <c r="AB25" i="64"/>
  <c r="Z27" i="64"/>
  <c r="A27" i="57"/>
  <c r="S81" i="12"/>
  <c r="J39" i="12" s="1"/>
  <c r="O81" i="12"/>
  <c r="F39" i="12" s="1"/>
  <c r="D35" i="66" s="1"/>
  <c r="D47" i="66" s="1"/>
  <c r="M81" i="12"/>
  <c r="D39" i="12" s="1"/>
  <c r="K81" i="12"/>
  <c r="B39" i="12" s="1"/>
  <c r="D34" i="66" s="1"/>
  <c r="D46" i="66" s="1"/>
  <c r="P81" i="12"/>
  <c r="G39" i="12" s="1"/>
  <c r="N81" i="12"/>
  <c r="E39" i="12" s="1"/>
  <c r="D31" i="66" s="1"/>
  <c r="E22" i="10"/>
  <c r="N86" i="10"/>
  <c r="L81" i="12"/>
  <c r="C39" i="12" s="1"/>
  <c r="H32" i="17"/>
  <c r="E15" i="63"/>
  <c r="E15" i="14"/>
  <c r="B117" i="17"/>
  <c r="F117" i="17"/>
  <c r="B113" i="17"/>
  <c r="F113" i="17"/>
  <c r="A33" i="18"/>
  <c r="A49" i="18"/>
  <c r="AB2" i="64"/>
  <c r="AB3" i="64" s="1"/>
  <c r="AA3" i="64"/>
  <c r="A58" i="18"/>
  <c r="A25" i="18"/>
  <c r="A20" i="37"/>
  <c r="A23" i="18"/>
  <c r="A18" i="37"/>
  <c r="AX13" i="36"/>
  <c r="H59" i="41"/>
  <c r="C63" i="14"/>
  <c r="C57" i="14"/>
  <c r="C58" i="14" s="1"/>
  <c r="C59" i="14" s="1"/>
  <c r="D56" i="14"/>
  <c r="K17" i="38"/>
  <c r="L17" i="38" s="1"/>
  <c r="A16" i="38"/>
  <c r="F19" i="10"/>
  <c r="O51" i="10"/>
  <c r="D19" i="10"/>
  <c r="M51" i="10"/>
  <c r="B21" i="8"/>
  <c r="C21" i="8" s="1"/>
  <c r="C22" i="8" s="1"/>
  <c r="C23" i="8" s="1"/>
  <c r="C24" i="8" s="1"/>
  <c r="C25" i="8" s="1"/>
  <c r="C26" i="8" s="1"/>
  <c r="C27" i="8" s="1"/>
  <c r="C28" i="8" s="1"/>
  <c r="C29" i="8" s="1"/>
  <c r="C30" i="8" s="1"/>
  <c r="C31" i="8" s="1"/>
  <c r="C32" i="8" s="1"/>
  <c r="C33" i="8" s="1"/>
  <c r="C34" i="8" s="1"/>
  <c r="C29" i="50" s="1"/>
  <c r="C31" i="50" s="1"/>
  <c r="C37" i="50" s="1"/>
  <c r="Q8" i="6"/>
  <c r="D21" i="18"/>
  <c r="E21" i="18"/>
  <c r="AV23" i="36"/>
  <c r="AW23" i="36" s="1"/>
  <c r="A22" i="36"/>
  <c r="B22" i="36" s="1"/>
  <c r="Q22" i="36" s="1"/>
  <c r="A32" i="32"/>
  <c r="G50" i="5"/>
  <c r="F58" i="5"/>
  <c r="E24" i="14"/>
  <c r="L22" i="10"/>
  <c r="B38" i="11" s="1"/>
  <c r="C25" i="10"/>
  <c r="B93" i="69" s="1"/>
  <c r="A18" i="32"/>
  <c r="A9" i="57"/>
  <c r="A9" i="30"/>
  <c r="A15" i="32"/>
  <c r="A20" i="32"/>
  <c r="E13" i="63"/>
  <c r="E13" i="14"/>
  <c r="G43" i="5"/>
  <c r="G38" i="5"/>
  <c r="G44" i="5"/>
  <c r="G37" i="5"/>
  <c r="H10" i="5"/>
  <c r="G40" i="5"/>
  <c r="G41" i="5"/>
  <c r="G11" i="5"/>
  <c r="G42" i="5"/>
  <c r="G39" i="5"/>
  <c r="K37" i="14"/>
  <c r="L37" i="14"/>
  <c r="D23" i="13"/>
  <c r="M23" i="10"/>
  <c r="C39" i="11" s="1"/>
  <c r="O23" i="10"/>
  <c r="E39" i="11" s="1"/>
  <c r="R23" i="10"/>
  <c r="H39" i="11" s="1"/>
  <c r="Q23" i="10"/>
  <c r="G39" i="11" s="1"/>
  <c r="N23" i="10"/>
  <c r="D39" i="11" s="1"/>
  <c r="J25" i="10"/>
  <c r="Q25" i="10" s="1"/>
  <c r="X28" i="64"/>
  <c r="W29" i="64"/>
  <c r="AA28" i="64"/>
  <c r="Y22" i="64"/>
  <c r="X23" i="64"/>
  <c r="D22" i="10"/>
  <c r="C80" i="68" s="1"/>
  <c r="M86" i="10"/>
  <c r="A42" i="56"/>
  <c r="L78" i="12"/>
  <c r="C36" i="12" s="1"/>
  <c r="M78" i="12"/>
  <c r="D36" i="12" s="1"/>
  <c r="K78" i="12"/>
  <c r="B36" i="12" s="1"/>
  <c r="I34" i="66" s="1"/>
  <c r="I46" i="66" s="1"/>
  <c r="P78" i="12"/>
  <c r="G36" i="12" s="1"/>
  <c r="O78" i="12"/>
  <c r="F36" i="12" s="1"/>
  <c r="I35" i="66" s="1"/>
  <c r="I47" i="66" s="1"/>
  <c r="N78" i="12"/>
  <c r="E36" i="12" s="1"/>
  <c r="I31" i="66" s="1"/>
  <c r="I83" i="12"/>
  <c r="P83" i="12" s="1"/>
  <c r="G41" i="12" s="1"/>
  <c r="F119" i="17"/>
  <c r="D36" i="14"/>
  <c r="A69" i="18"/>
  <c r="A19" i="18"/>
  <c r="A14" i="37"/>
  <c r="A66" i="18"/>
  <c r="A45" i="18"/>
  <c r="A15" i="37"/>
  <c r="A20" i="18"/>
  <c r="A20" i="36"/>
  <c r="A15" i="38"/>
  <c r="R51" i="10"/>
  <c r="I19" i="10"/>
  <c r="H42" i="21"/>
  <c r="D41" i="21"/>
  <c r="C41" i="21"/>
  <c r="L31" i="10"/>
  <c r="N31" i="10"/>
  <c r="R31" i="10"/>
  <c r="Q31" i="10"/>
  <c r="P31" i="10"/>
  <c r="O31" i="10"/>
  <c r="N51" i="10"/>
  <c r="E19" i="10"/>
  <c r="M31" i="10"/>
  <c r="A53" i="32"/>
  <c r="G84" i="12"/>
  <c r="J38" i="10"/>
  <c r="A8" i="30"/>
  <c r="A8" i="57"/>
  <c r="A14" i="32"/>
  <c r="A71" i="17"/>
  <c r="G25" i="10"/>
  <c r="B92" i="69" s="1"/>
  <c r="P19" i="10"/>
  <c r="F35" i="11" s="1"/>
  <c r="K24" i="63"/>
  <c r="L24" i="63"/>
  <c r="N66" i="5"/>
  <c r="M71" i="5"/>
  <c r="A16" i="20"/>
  <c r="C16" i="20" s="1"/>
  <c r="K17" i="20"/>
  <c r="L17" i="20" s="1"/>
  <c r="J26" i="33"/>
  <c r="K27" i="33"/>
  <c r="X10" i="64"/>
  <c r="U4" i="64"/>
  <c r="Y4" i="64"/>
  <c r="W27" i="64"/>
  <c r="AB23" i="64"/>
  <c r="Z23" i="64"/>
  <c r="AB22" i="64"/>
  <c r="F105" i="17"/>
  <c r="Z21" i="64"/>
  <c r="Z4" i="64"/>
  <c r="W20" i="64"/>
  <c r="L47" i="64"/>
  <c r="T47" i="64" s="1"/>
  <c r="AB47" i="64" s="1"/>
  <c r="F107" i="41"/>
  <c r="AB27" i="64"/>
  <c r="Z29" i="64"/>
  <c r="F106" i="41"/>
  <c r="W23" i="64"/>
  <c r="AA4" i="64"/>
  <c r="Y7" i="64"/>
  <c r="AA9" i="64"/>
  <c r="L50" i="64"/>
  <c r="T50" i="64" s="1"/>
  <c r="AA50" i="64" s="1"/>
  <c r="AB7" i="64"/>
  <c r="AB26" i="64"/>
  <c r="V28" i="64"/>
  <c r="AA22" i="64"/>
  <c r="F104" i="17"/>
  <c r="V22" i="64"/>
  <c r="L51" i="64"/>
  <c r="T51" i="64" s="1"/>
  <c r="V51" i="64" s="1"/>
  <c r="V7" i="64"/>
  <c r="U21" i="64"/>
  <c r="Y20" i="64"/>
  <c r="W22" i="64"/>
  <c r="W21" i="64"/>
  <c r="F103" i="17"/>
  <c r="Y9" i="64"/>
  <c r="V6" i="64"/>
  <c r="AB4" i="64"/>
  <c r="Y23" i="64"/>
  <c r="X37" i="64"/>
  <c r="AA23" i="64"/>
  <c r="V9" i="64"/>
  <c r="U9" i="64"/>
  <c r="U7" i="64"/>
  <c r="F104" i="41"/>
  <c r="V21" i="64"/>
  <c r="Z22" i="64"/>
  <c r="U23" i="64"/>
  <c r="W24" i="64"/>
  <c r="AB28" i="64"/>
  <c r="L48" i="64"/>
  <c r="T48" i="64" s="1"/>
  <c r="U48" i="64" s="1"/>
  <c r="X25" i="64"/>
  <c r="F102" i="41"/>
  <c r="U28" i="64"/>
  <c r="X27" i="64"/>
  <c r="Z20" i="64"/>
  <c r="U27" i="64"/>
  <c r="F107" i="17"/>
  <c r="Z28" i="64"/>
  <c r="F86" i="41"/>
  <c r="F82" i="41"/>
  <c r="W4" i="64"/>
  <c r="U22" i="64"/>
  <c r="V4" i="64"/>
  <c r="Z9" i="64"/>
  <c r="X9" i="64"/>
  <c r="Y29" i="64"/>
  <c r="AA7" i="64"/>
  <c r="AA20" i="64"/>
  <c r="U20" i="64"/>
  <c r="F105" i="41"/>
  <c r="V20" i="64"/>
  <c r="AB21" i="64"/>
  <c r="AA43" i="64"/>
  <c r="X41" i="64"/>
  <c r="F81" i="41"/>
  <c r="F106" i="17"/>
  <c r="AB20" i="64"/>
  <c r="U40" i="64"/>
  <c r="I21" i="32"/>
  <c r="G21" i="32"/>
  <c r="H21" i="32"/>
  <c r="F21" i="32"/>
  <c r="E10" i="18"/>
  <c r="B44" i="35"/>
  <c r="E44" i="35"/>
  <c r="F44" i="35"/>
  <c r="F52" i="35"/>
  <c r="E52" i="35"/>
  <c r="B52" i="35"/>
  <c r="B36" i="35"/>
  <c r="F36" i="35"/>
  <c r="E36" i="35"/>
  <c r="E71" i="35"/>
  <c r="F71" i="35"/>
  <c r="B71" i="35"/>
  <c r="E28" i="35"/>
  <c r="F28" i="35"/>
  <c r="B28" i="35"/>
  <c r="B39" i="35"/>
  <c r="E39" i="35"/>
  <c r="F39" i="35"/>
  <c r="B98" i="41"/>
  <c r="A98" i="41"/>
  <c r="F77" i="17"/>
  <c r="F78" i="17"/>
  <c r="F76" i="17"/>
  <c r="F76" i="41"/>
  <c r="F77" i="41"/>
  <c r="H77" i="41" s="1"/>
  <c r="A42" i="18"/>
  <c r="A72" i="17"/>
  <c r="B72" i="17"/>
  <c r="F73" i="41"/>
  <c r="H73" i="41" s="1"/>
  <c r="F69" i="41"/>
  <c r="F72" i="41"/>
  <c r="H72" i="41" s="1"/>
  <c r="F70" i="41"/>
  <c r="F71" i="41"/>
  <c r="F73" i="17"/>
  <c r="H73" i="17" s="1"/>
  <c r="F72" i="17"/>
  <c r="H72" i="17" s="1"/>
  <c r="F70" i="17"/>
  <c r="A38" i="32"/>
  <c r="B89" i="17"/>
  <c r="A89" i="17"/>
  <c r="B61" i="17"/>
  <c r="A82" i="41"/>
  <c r="B82" i="41"/>
  <c r="B63" i="41"/>
  <c r="A46" i="18"/>
  <c r="A93" i="17"/>
  <c r="B93" i="17"/>
  <c r="C22" i="18"/>
  <c r="A26" i="57"/>
  <c r="A26" i="30"/>
  <c r="A103" i="41"/>
  <c r="A60" i="18" s="1"/>
  <c r="A21" i="57"/>
  <c r="A21" i="30"/>
  <c r="A46" i="32"/>
  <c r="A105" i="17"/>
  <c r="B64" i="17"/>
  <c r="A47" i="18"/>
  <c r="AA24" i="64"/>
  <c r="A30" i="32"/>
  <c r="W28" i="64"/>
  <c r="Y28" i="64"/>
  <c r="B21" i="30"/>
  <c r="B21" i="57"/>
  <c r="A21" i="37"/>
  <c r="A26" i="18"/>
  <c r="B29" i="57"/>
  <c r="B29" i="30"/>
  <c r="A82" i="17"/>
  <c r="B82" i="17"/>
  <c r="C17" i="32"/>
  <c r="B62" i="41"/>
  <c r="C23" i="18"/>
  <c r="F97" i="17"/>
  <c r="F96" i="17"/>
  <c r="B8" i="57"/>
  <c r="B8" i="30"/>
  <c r="B99" i="17"/>
  <c r="A99" i="17"/>
  <c r="B70" i="41"/>
  <c r="A70" i="41"/>
  <c r="B81" i="41"/>
  <c r="A81" i="41"/>
  <c r="B9" i="30"/>
  <c r="B9" i="57"/>
  <c r="B83" i="17"/>
  <c r="A83" i="17"/>
  <c r="A107" i="17"/>
  <c r="A107" i="41"/>
  <c r="D35" i="18"/>
  <c r="B114" i="17"/>
  <c r="A114" i="17"/>
  <c r="A23" i="30"/>
  <c r="A67" i="18"/>
  <c r="A48" i="32"/>
  <c r="B90" i="17"/>
  <c r="A90" i="17"/>
  <c r="B77" i="17"/>
  <c r="A77" i="17"/>
  <c r="B99" i="41"/>
  <c r="A99" i="41"/>
  <c r="B106" i="41"/>
  <c r="A63" i="18"/>
  <c r="A103" i="17"/>
  <c r="B93" i="41"/>
  <c r="A93" i="41"/>
  <c r="A106" i="17"/>
  <c r="A12" i="57"/>
  <c r="A12" i="30"/>
  <c r="A22" i="32"/>
  <c r="A110" i="17"/>
  <c r="B110" i="17"/>
  <c r="B84" i="17"/>
  <c r="A84" i="17"/>
  <c r="B86" i="41"/>
  <c r="A86" i="41"/>
  <c r="A105" i="41"/>
  <c r="A94" i="41"/>
  <c r="B94" i="41"/>
  <c r="A14" i="57"/>
  <c r="A33" i="32"/>
  <c r="A14" i="30"/>
  <c r="A85" i="17"/>
  <c r="B85" i="17"/>
  <c r="A104" i="41"/>
  <c r="B115" i="41"/>
  <c r="A115" i="41"/>
  <c r="B14" i="30"/>
  <c r="B14" i="57"/>
  <c r="A102" i="17"/>
  <c r="B115" i="17"/>
  <c r="A115" i="17"/>
  <c r="A72" i="41"/>
  <c r="B72" i="41"/>
  <c r="B64" i="41"/>
  <c r="C30" i="19"/>
  <c r="A98" i="17"/>
  <c r="B98" i="17"/>
  <c r="A104" i="17"/>
  <c r="A84" i="41"/>
  <c r="B84" i="41"/>
  <c r="F11" i="18"/>
  <c r="C12" i="18"/>
  <c r="D12" i="18"/>
  <c r="I13" i="18"/>
  <c r="B30" i="19"/>
  <c r="O30" i="19" s="1"/>
  <c r="A31" i="19"/>
  <c r="AV32" i="19"/>
  <c r="AW32" i="19" s="1"/>
  <c r="F76" i="35"/>
  <c r="B76" i="35"/>
  <c r="E76" i="35"/>
  <c r="B76" i="17"/>
  <c r="A76" i="17"/>
  <c r="N117" i="17"/>
  <c r="A40" i="18"/>
  <c r="F83" i="17"/>
  <c r="F84" i="41"/>
  <c r="F85" i="17"/>
  <c r="F81" i="17"/>
  <c r="F86" i="17"/>
  <c r="F84" i="17"/>
  <c r="F82" i="17"/>
  <c r="A25" i="37"/>
  <c r="A30" i="18"/>
  <c r="A71" i="41"/>
  <c r="B71" i="41"/>
  <c r="M71" i="41"/>
  <c r="N71" i="41" s="1"/>
  <c r="A96" i="41"/>
  <c r="M96" i="41"/>
  <c r="N96" i="41" s="1"/>
  <c r="B96" i="41"/>
  <c r="C53" i="18" s="1"/>
  <c r="F110" i="41"/>
  <c r="F110" i="17"/>
  <c r="A28" i="57"/>
  <c r="A28" i="30"/>
  <c r="A95" i="41"/>
  <c r="B95" i="41"/>
  <c r="A74" i="18"/>
  <c r="B28" i="57"/>
  <c r="B28" i="30"/>
  <c r="N114" i="41"/>
  <c r="F69" i="17"/>
  <c r="F71" i="17"/>
  <c r="A71" i="18"/>
  <c r="A70" i="18"/>
  <c r="A59" i="18"/>
  <c r="A76" i="18"/>
  <c r="A73" i="18"/>
  <c r="C75" i="18"/>
  <c r="B75" i="18"/>
  <c r="E75" i="18"/>
  <c r="F75" i="18"/>
  <c r="D75" i="18"/>
  <c r="E28" i="19"/>
  <c r="AI28" i="19"/>
  <c r="M28" i="19"/>
  <c r="D28" i="19"/>
  <c r="N28" i="19"/>
  <c r="AS28" i="19"/>
  <c r="V42" i="64"/>
  <c r="AB10" i="64"/>
  <c r="Z5" i="64"/>
  <c r="V28" i="19"/>
  <c r="AK28" i="19"/>
  <c r="K28" i="19"/>
  <c r="F28" i="19"/>
  <c r="P28" i="19"/>
  <c r="X28" i="19"/>
  <c r="J28" i="19"/>
  <c r="H28" i="19"/>
  <c r="I28" i="19"/>
  <c r="G28" i="19"/>
  <c r="AA28" i="19"/>
  <c r="AF28" i="19"/>
  <c r="AO28" i="19"/>
  <c r="S28" i="19"/>
  <c r="AL28" i="19"/>
  <c r="AE28" i="19"/>
  <c r="W28" i="19"/>
  <c r="AN28" i="19"/>
  <c r="AT28" i="19"/>
  <c r="AJ28" i="19"/>
  <c r="O28" i="19"/>
  <c r="R28" i="19"/>
  <c r="AC28" i="19"/>
  <c r="AR28" i="19"/>
  <c r="L28" i="19"/>
  <c r="AB28" i="19"/>
  <c r="Z28" i="19"/>
  <c r="AH28" i="19"/>
  <c r="AK19" i="36"/>
  <c r="P19" i="36"/>
  <c r="AF19" i="36"/>
  <c r="T19" i="36"/>
  <c r="Z19" i="36"/>
  <c r="M19" i="36"/>
  <c r="U19" i="36"/>
  <c r="AL19" i="36"/>
  <c r="O19" i="36"/>
  <c r="AG19" i="36"/>
  <c r="AA35" i="64"/>
  <c r="Z35" i="64"/>
  <c r="Z12" i="64"/>
  <c r="W12" i="64"/>
  <c r="W5" i="64"/>
  <c r="AA12" i="64"/>
  <c r="AA13" i="64"/>
  <c r="U36" i="64"/>
  <c r="V12" i="64"/>
  <c r="V5" i="64"/>
  <c r="AB12" i="64"/>
  <c r="AA5" i="64"/>
  <c r="AA10" i="64"/>
  <c r="Y5" i="64"/>
  <c r="X35" i="64"/>
  <c r="V35" i="64"/>
  <c r="Y12" i="64"/>
  <c r="W25" i="64"/>
  <c r="Y25" i="64"/>
  <c r="U25" i="64"/>
  <c r="AA25" i="64"/>
  <c r="AB9" i="64"/>
  <c r="Z25" i="64"/>
  <c r="V14" i="64"/>
  <c r="AB35" i="64"/>
  <c r="Z7" i="64"/>
  <c r="X14" i="64"/>
  <c r="X32" i="64"/>
  <c r="AB45" i="64"/>
  <c r="V31" i="64"/>
  <c r="AB29" i="64"/>
  <c r="V29" i="64"/>
  <c r="U29" i="64"/>
  <c r="X29" i="64"/>
  <c r="AA29" i="64"/>
  <c r="V26" i="64"/>
  <c r="AA26" i="64"/>
  <c r="Z26" i="64"/>
  <c r="X26" i="64"/>
  <c r="Y26" i="64"/>
  <c r="U26" i="64"/>
  <c r="W26" i="64"/>
  <c r="U30" i="64"/>
  <c r="AB30" i="64"/>
  <c r="W30" i="64"/>
  <c r="AA19" i="64"/>
  <c r="U38" i="64"/>
  <c r="U5" i="64"/>
  <c r="V25" i="64"/>
  <c r="Z46" i="64"/>
  <c r="AA18" i="64"/>
  <c r="AA34" i="64"/>
  <c r="W37" i="64"/>
  <c r="U6" i="64"/>
  <c r="W42" i="64"/>
  <c r="Z31" i="64"/>
  <c r="U28" i="19"/>
  <c r="AP28" i="19"/>
  <c r="AQ28" i="19"/>
  <c r="AA32" i="64"/>
  <c r="V11" i="64"/>
  <c r="V8" i="64"/>
  <c r="Y16" i="64"/>
  <c r="Y39" i="64"/>
  <c r="U10" i="64"/>
  <c r="V27" i="64"/>
  <c r="Y27" i="64"/>
  <c r="AA27" i="64"/>
  <c r="U24" i="64"/>
  <c r="Z24" i="64"/>
  <c r="V40" i="64"/>
  <c r="Z16" i="64"/>
  <c r="AA14" i="64"/>
  <c r="Z10" i="64"/>
  <c r="X19" i="64"/>
  <c r="AF52" i="32"/>
  <c r="AI52" i="32"/>
  <c r="AD52" i="32"/>
  <c r="X52" i="32"/>
  <c r="AO52" i="32"/>
  <c r="Q28" i="19"/>
  <c r="T28" i="19"/>
  <c r="AD28" i="19"/>
  <c r="AO19" i="32"/>
  <c r="AJ52" i="32"/>
  <c r="AR19" i="32"/>
  <c r="AV19" i="32"/>
  <c r="AA52" i="32"/>
  <c r="AC52" i="32"/>
  <c r="AT19" i="32"/>
  <c r="AQ19" i="32"/>
  <c r="Y52" i="32"/>
  <c r="V52" i="32"/>
  <c r="S52" i="32"/>
  <c r="N19" i="32"/>
  <c r="AR52" i="32"/>
  <c r="AU19" i="32"/>
  <c r="AT52" i="32"/>
  <c r="Q19" i="32"/>
  <c r="P19" i="32"/>
  <c r="AW19" i="32"/>
  <c r="AK52" i="32"/>
  <c r="T52" i="32"/>
  <c r="P52" i="32"/>
  <c r="AS19" i="32"/>
  <c r="AP19" i="32"/>
  <c r="AH52" i="32"/>
  <c r="AG28" i="19"/>
  <c r="AM28" i="19"/>
  <c r="Y28" i="19"/>
  <c r="AA15" i="64"/>
  <c r="U32" i="64"/>
  <c r="W39" i="64"/>
  <c r="AB19" i="64"/>
  <c r="AA8" i="64"/>
  <c r="AA37" i="64"/>
  <c r="U18" i="64"/>
  <c r="Y46" i="64"/>
  <c r="H19" i="36"/>
  <c r="AJ19" i="36"/>
  <c r="Y19" i="36"/>
  <c r="Z39" i="64"/>
  <c r="Z13" i="64"/>
  <c r="AB52" i="64"/>
  <c r="Y37" i="64"/>
  <c r="V37" i="64"/>
  <c r="AA16" i="64"/>
  <c r="Z8" i="64"/>
  <c r="V16" i="64"/>
  <c r="W40" i="64"/>
  <c r="W19" i="36"/>
  <c r="AT19" i="36"/>
  <c r="AQ19" i="36"/>
  <c r="Y10" i="64"/>
  <c r="W35" i="64"/>
  <c r="Y45" i="64"/>
  <c r="Y38" i="64"/>
  <c r="W18" i="64"/>
  <c r="Y8" i="64"/>
  <c r="U16" i="64"/>
  <c r="AB6" i="64"/>
  <c r="W14" i="64"/>
  <c r="AO19" i="36"/>
  <c r="K19" i="36"/>
  <c r="AP19" i="36"/>
  <c r="W10" i="64"/>
  <c r="Y34" i="64"/>
  <c r="U44" i="64"/>
  <c r="X38" i="64"/>
  <c r="AA31" i="64"/>
  <c r="AB31" i="64"/>
  <c r="Y31" i="64"/>
  <c r="Z14" i="64"/>
  <c r="G19" i="36"/>
  <c r="Y6" i="64"/>
  <c r="R19" i="36"/>
  <c r="AH19" i="36"/>
  <c r="Q19" i="36"/>
  <c r="X19" i="36"/>
  <c r="V19" i="36"/>
  <c r="V10" i="64"/>
  <c r="Z19" i="64"/>
  <c r="V46" i="64"/>
  <c r="W34" i="64"/>
  <c r="Y18" i="64"/>
  <c r="U31" i="64"/>
  <c r="W6" i="64"/>
  <c r="D19" i="36"/>
  <c r="X6" i="64"/>
  <c r="AB19" i="36"/>
  <c r="N19" i="36"/>
  <c r="AN19" i="36"/>
  <c r="AB14" i="64"/>
  <c r="Y44" i="64"/>
  <c r="U34" i="64"/>
  <c r="W13" i="64"/>
  <c r="AB18" i="64"/>
  <c r="AI19" i="36"/>
  <c r="Y13" i="64"/>
  <c r="X18" i="64"/>
  <c r="Z6" i="64"/>
  <c r="F19" i="36"/>
  <c r="W31" i="64"/>
  <c r="AU19" i="36"/>
  <c r="U14" i="64"/>
  <c r="U35" i="64"/>
  <c r="AR19" i="36"/>
  <c r="AE19" i="36"/>
  <c r="AA38" i="64"/>
  <c r="V18" i="64"/>
  <c r="X13" i="64"/>
  <c r="I19" i="36"/>
  <c r="AA6" i="64"/>
  <c r="S19" i="36"/>
  <c r="AD19" i="36"/>
  <c r="X46" i="64"/>
  <c r="AS19" i="36"/>
  <c r="Z18" i="64"/>
  <c r="W8" i="64"/>
  <c r="W46" i="64"/>
  <c r="E19" i="36"/>
  <c r="V39" i="64"/>
  <c r="Y52" i="64"/>
  <c r="AB46" i="64"/>
  <c r="V38" i="64"/>
  <c r="X8" i="64"/>
  <c r="U46" i="64"/>
  <c r="L19" i="36"/>
  <c r="AM19" i="36"/>
  <c r="AC19" i="36"/>
  <c r="W15" i="64"/>
  <c r="X7" i="64"/>
  <c r="X4" i="64"/>
  <c r="U12" i="64"/>
  <c r="X12" i="64"/>
  <c r="Y24" i="64"/>
  <c r="V24" i="64"/>
  <c r="X24" i="64"/>
  <c r="AB24" i="64"/>
  <c r="U8" i="64"/>
  <c r="AA30" i="64"/>
  <c r="V30" i="64"/>
  <c r="X30" i="64"/>
  <c r="Y30" i="64"/>
  <c r="Z30" i="64"/>
  <c r="X16" i="64"/>
  <c r="Y14" i="64"/>
  <c r="AB8" i="64"/>
  <c r="X31" i="64"/>
  <c r="AB16" i="64"/>
  <c r="AA46" i="64"/>
  <c r="AB5" i="64"/>
  <c r="W16" i="64"/>
  <c r="F21" i="36"/>
  <c r="AW52" i="32"/>
  <c r="AE52" i="32"/>
  <c r="AP52" i="32"/>
  <c r="U52" i="32"/>
  <c r="AQ52" i="32"/>
  <c r="AS52" i="32"/>
  <c r="Z52" i="32"/>
  <c r="N52" i="32"/>
  <c r="AU52" i="32"/>
  <c r="Q52" i="32"/>
  <c r="AV52" i="32"/>
  <c r="J19" i="36"/>
  <c r="U33" i="64"/>
  <c r="Z33" i="64"/>
  <c r="W33" i="64"/>
  <c r="AB33" i="64"/>
  <c r="X33" i="64"/>
  <c r="V33" i="64"/>
  <c r="AA33" i="64"/>
  <c r="AR21" i="36"/>
  <c r="R21" i="36"/>
  <c r="AJ21" i="36"/>
  <c r="AO21" i="36"/>
  <c r="AN21" i="36"/>
  <c r="AB21" i="36"/>
  <c r="AQ21" i="36"/>
  <c r="N21" i="36"/>
  <c r="AS21" i="36"/>
  <c r="AC21" i="36"/>
  <c r="AL21" i="36"/>
  <c r="AF21" i="36"/>
  <c r="AU21" i="36"/>
  <c r="AP21" i="36"/>
  <c r="AD21" i="36"/>
  <c r="AE21" i="36"/>
  <c r="W21" i="36"/>
  <c r="O21" i="36"/>
  <c r="AG21" i="36"/>
  <c r="Q21" i="36"/>
  <c r="AH21" i="36"/>
  <c r="AT21" i="36"/>
  <c r="AK21" i="36"/>
  <c r="Z21" i="36"/>
  <c r="T21" i="36"/>
  <c r="U21" i="36"/>
  <c r="AM21" i="36"/>
  <c r="L21" i="36"/>
  <c r="AI21" i="36"/>
  <c r="K21" i="36"/>
  <c r="I21" i="36"/>
  <c r="P21" i="36"/>
  <c r="X21" i="36"/>
  <c r="Y21" i="36"/>
  <c r="V21" i="36"/>
  <c r="AA21" i="36"/>
  <c r="M21" i="36"/>
  <c r="S21" i="36"/>
  <c r="H21" i="36"/>
  <c r="E21" i="36"/>
  <c r="D21" i="36"/>
  <c r="G21" i="36"/>
  <c r="Y33" i="64"/>
  <c r="W43" i="64"/>
  <c r="U43" i="64"/>
  <c r="Y43" i="64"/>
  <c r="X43" i="64"/>
  <c r="AB43" i="64"/>
  <c r="V43" i="64"/>
  <c r="Z43" i="64"/>
  <c r="Y41" i="64"/>
  <c r="V41" i="64"/>
  <c r="AA41" i="64"/>
  <c r="AB41" i="64"/>
  <c r="U41" i="64"/>
  <c r="Z41" i="64"/>
  <c r="W17" i="64"/>
  <c r="AB17" i="64"/>
  <c r="Y17" i="64"/>
  <c r="U17" i="64"/>
  <c r="X17" i="64"/>
  <c r="V17" i="64"/>
  <c r="AA17" i="64"/>
  <c r="W41" i="64"/>
  <c r="Z32" i="64"/>
  <c r="X42" i="64"/>
  <c r="AA42" i="64"/>
  <c r="Z42" i="64"/>
  <c r="Y42" i="64"/>
  <c r="AB42" i="64"/>
  <c r="Z40" i="64"/>
  <c r="AA40" i="64"/>
  <c r="X40" i="64"/>
  <c r="AB40" i="64"/>
  <c r="U15" i="64"/>
  <c r="AB39" i="64"/>
  <c r="Y40" i="64"/>
  <c r="AB15" i="64"/>
  <c r="Z17" i="64"/>
  <c r="AA39" i="64"/>
  <c r="U39" i="64"/>
  <c r="X39" i="64"/>
  <c r="U42" i="64"/>
  <c r="Y15" i="64"/>
  <c r="X15" i="64"/>
  <c r="V15" i="64"/>
  <c r="Z15" i="64"/>
  <c r="V32" i="64"/>
  <c r="Y32" i="64"/>
  <c r="W32" i="64"/>
  <c r="AB32" i="64"/>
  <c r="X52" i="64"/>
  <c r="V36" i="64"/>
  <c r="Y36" i="64"/>
  <c r="AA36" i="64"/>
  <c r="Z36" i="64"/>
  <c r="AB36" i="64"/>
  <c r="X36" i="64"/>
  <c r="AB11" i="64"/>
  <c r="Y11" i="64"/>
  <c r="U11" i="64"/>
  <c r="Z11" i="64"/>
  <c r="AA11" i="64"/>
  <c r="W11" i="64"/>
  <c r="X11" i="64"/>
  <c r="W52" i="64"/>
  <c r="W36" i="64"/>
  <c r="AB38" i="64"/>
  <c r="W38" i="64"/>
  <c r="AB34" i="64"/>
  <c r="W19" i="64"/>
  <c r="Z44" i="64"/>
  <c r="AA44" i="64"/>
  <c r="X45" i="64"/>
  <c r="V19" i="64"/>
  <c r="AM29" i="19"/>
  <c r="AH29" i="19"/>
  <c r="Y29" i="19"/>
  <c r="W29" i="19"/>
  <c r="V29" i="19"/>
  <c r="AS29" i="19"/>
  <c r="AG29" i="19"/>
  <c r="N29" i="19"/>
  <c r="AU29" i="19"/>
  <c r="AK29" i="19"/>
  <c r="AP29" i="19"/>
  <c r="D29" i="19"/>
  <c r="P29" i="19"/>
  <c r="R29" i="19"/>
  <c r="AC29" i="19"/>
  <c r="X29" i="19"/>
  <c r="AB29" i="19"/>
  <c r="AD29" i="19"/>
  <c r="AF29" i="19"/>
  <c r="AL29" i="19"/>
  <c r="AQ29" i="19"/>
  <c r="Z29" i="19"/>
  <c r="U29" i="19"/>
  <c r="L29" i="19"/>
  <c r="AR29" i="19"/>
  <c r="Q29" i="19"/>
  <c r="AI29" i="19"/>
  <c r="E29" i="19"/>
  <c r="K29" i="19"/>
  <c r="AA29" i="19"/>
  <c r="M29" i="19"/>
  <c r="AJ29" i="19"/>
  <c r="T29" i="19"/>
  <c r="AT29" i="19"/>
  <c r="S29" i="19"/>
  <c r="AO29" i="19"/>
  <c r="F29" i="19"/>
  <c r="AE29" i="19"/>
  <c r="AN29" i="19"/>
  <c r="H29" i="19"/>
  <c r="O29" i="19"/>
  <c r="G29" i="19"/>
  <c r="Q26" i="32"/>
  <c r="AU26" i="32"/>
  <c r="AV26" i="32"/>
  <c r="AQ26" i="32"/>
  <c r="AS26" i="32"/>
  <c r="AP26" i="32"/>
  <c r="AT26" i="32"/>
  <c r="P26" i="32"/>
  <c r="AR26" i="32"/>
  <c r="AW26" i="32"/>
  <c r="AO26" i="32"/>
  <c r="N26" i="32"/>
  <c r="U37" i="64"/>
  <c r="Z37" i="64"/>
  <c r="U13" i="64"/>
  <c r="AB13" i="64"/>
  <c r="V13" i="64"/>
  <c r="Z38" i="64"/>
  <c r="U19" i="64"/>
  <c r="AB37" i="64"/>
  <c r="I29" i="19"/>
  <c r="V45" i="64"/>
  <c r="AA45" i="64"/>
  <c r="U45" i="64"/>
  <c r="Z45" i="64"/>
  <c r="V52" i="64"/>
  <c r="AA52" i="64"/>
  <c r="W45" i="64"/>
  <c r="Y19" i="64"/>
  <c r="X34" i="64"/>
  <c r="Z34" i="64"/>
  <c r="Z52" i="64"/>
  <c r="V44" i="64"/>
  <c r="W44" i="64"/>
  <c r="X44" i="64"/>
  <c r="U52" i="64"/>
  <c r="AB44" i="64"/>
  <c r="V34" i="64"/>
  <c r="Y35" i="64"/>
  <c r="D24" i="35"/>
  <c r="C52" i="35"/>
  <c r="D19" i="35"/>
  <c r="D20" i="35"/>
  <c r="C39" i="35"/>
  <c r="A41" i="35"/>
  <c r="C23" i="35"/>
  <c r="A65" i="35"/>
  <c r="C21" i="35"/>
  <c r="A68" i="35"/>
  <c r="D76" i="35"/>
  <c r="A51" i="35"/>
  <c r="C27" i="35"/>
  <c r="C28" i="35"/>
  <c r="D31" i="35"/>
  <c r="A63" i="35"/>
  <c r="A73" i="35"/>
  <c r="D71" i="35"/>
  <c r="A30" i="35"/>
  <c r="A29" i="35"/>
  <c r="D52" i="35"/>
  <c r="C31" i="35"/>
  <c r="A61" i="35"/>
  <c r="A74" i="35"/>
  <c r="C76" i="35"/>
  <c r="C20" i="35"/>
  <c r="C75" i="35"/>
  <c r="A60" i="35"/>
  <c r="D27" i="35"/>
  <c r="D44" i="35"/>
  <c r="A62" i="35"/>
  <c r="C24" i="35"/>
  <c r="D39" i="35"/>
  <c r="C19" i="35"/>
  <c r="A47" i="35"/>
  <c r="C53" i="35"/>
  <c r="A42" i="35"/>
  <c r="D21" i="35"/>
  <c r="C22" i="35"/>
  <c r="A35" i="35"/>
  <c r="D53" i="35"/>
  <c r="A57" i="35"/>
  <c r="D75" i="35"/>
  <c r="C71" i="35"/>
  <c r="A54" i="35"/>
  <c r="A40" i="35"/>
  <c r="D23" i="35"/>
  <c r="A56" i="35"/>
  <c r="D55" i="35"/>
  <c r="A43" i="35"/>
  <c r="D22" i="35"/>
  <c r="D28" i="35"/>
  <c r="A72" i="35"/>
  <c r="C55" i="35"/>
  <c r="C44" i="35"/>
  <c r="A34" i="35"/>
  <c r="A48" i="35"/>
  <c r="C36" i="35"/>
  <c r="A64" i="35"/>
  <c r="D36" i="35"/>
  <c r="AB53" i="64" l="1"/>
  <c r="AA53" i="64"/>
  <c r="Y53" i="64"/>
  <c r="X53" i="64"/>
  <c r="U53" i="64"/>
  <c r="W53" i="64"/>
  <c r="V53" i="64"/>
  <c r="Z53" i="64"/>
  <c r="X88" i="64"/>
  <c r="V57" i="64"/>
  <c r="AA49" i="64"/>
  <c r="V49" i="64"/>
  <c r="W49" i="64"/>
  <c r="Z49" i="64"/>
  <c r="X49" i="64"/>
  <c r="AA88" i="64"/>
  <c r="X54" i="64"/>
  <c r="Y49" i="64"/>
  <c r="U49" i="64"/>
  <c r="AB88" i="64"/>
  <c r="Z55" i="64"/>
  <c r="V54" i="64"/>
  <c r="W57" i="64"/>
  <c r="Y54" i="64"/>
  <c r="Y68" i="64"/>
  <c r="AB56" i="64"/>
  <c r="AA55" i="64"/>
  <c r="Z54" i="64"/>
  <c r="W54" i="64"/>
  <c r="AA54" i="64"/>
  <c r="U54" i="64"/>
  <c r="AB54" i="64"/>
  <c r="B12" i="30"/>
  <c r="B12" i="57"/>
  <c r="W55" i="64"/>
  <c r="U56" i="64"/>
  <c r="X55" i="64"/>
  <c r="Y55" i="64"/>
  <c r="AB55" i="64"/>
  <c r="Z82" i="64"/>
  <c r="U55" i="64"/>
  <c r="AA56" i="64"/>
  <c r="Z56" i="64"/>
  <c r="V55" i="64"/>
  <c r="Y78" i="64"/>
  <c r="AB74" i="64"/>
  <c r="Y86" i="64"/>
  <c r="AA68" i="64"/>
  <c r="E74" i="35"/>
  <c r="B74" i="35"/>
  <c r="F74" i="35"/>
  <c r="E54" i="35"/>
  <c r="B54" i="35"/>
  <c r="F54" i="35"/>
  <c r="E16" i="75"/>
  <c r="D16" i="75"/>
  <c r="G16" i="75"/>
  <c r="J16" i="75"/>
  <c r="F16" i="75"/>
  <c r="I16" i="75"/>
  <c r="C16" i="75"/>
  <c r="H16" i="75"/>
  <c r="H61" i="75"/>
  <c r="H67" i="75" s="1"/>
  <c r="W78" i="64"/>
  <c r="Z78" i="64"/>
  <c r="U62" i="64"/>
  <c r="Z86" i="64"/>
  <c r="X64" i="64"/>
  <c r="AB87" i="64"/>
  <c r="V68" i="64"/>
  <c r="V84" i="64"/>
  <c r="W75" i="64"/>
  <c r="Z89" i="64"/>
  <c r="AB78" i="64"/>
  <c r="U82" i="64"/>
  <c r="AB86" i="64"/>
  <c r="Z68" i="64"/>
  <c r="AA51" i="64"/>
  <c r="AA87" i="64"/>
  <c r="X57" i="64"/>
  <c r="AB68" i="64"/>
  <c r="V87" i="64"/>
  <c r="U51" i="64"/>
  <c r="Z87" i="64"/>
  <c r="U86" i="64"/>
  <c r="U57" i="64"/>
  <c r="AA62" i="64"/>
  <c r="X87" i="64"/>
  <c r="U87" i="64"/>
  <c r="V86" i="64"/>
  <c r="Z57" i="64"/>
  <c r="AA86" i="64"/>
  <c r="W73" i="64"/>
  <c r="AA75" i="64"/>
  <c r="V59" i="64"/>
  <c r="AA78" i="64"/>
  <c r="W87" i="64"/>
  <c r="W68" i="64"/>
  <c r="X68" i="64"/>
  <c r="V78" i="64"/>
  <c r="U78" i="64"/>
  <c r="X86" i="64"/>
  <c r="U68" i="64"/>
  <c r="Y87" i="64"/>
  <c r="Y57" i="64"/>
  <c r="X78" i="64"/>
  <c r="H96" i="41"/>
  <c r="AA57" i="64"/>
  <c r="W86" i="64"/>
  <c r="AB57" i="64"/>
  <c r="G47" i="32"/>
  <c r="I47" i="32"/>
  <c r="H47" i="32"/>
  <c r="C47" i="32"/>
  <c r="Q47" i="32" s="1"/>
  <c r="F47" i="32"/>
  <c r="C21" i="32"/>
  <c r="AV21" i="32" s="1"/>
  <c r="U83" i="64"/>
  <c r="V81" i="64"/>
  <c r="V89" i="64"/>
  <c r="Y65" i="64"/>
  <c r="X56" i="64"/>
  <c r="W56" i="64"/>
  <c r="V56" i="64"/>
  <c r="Y56" i="64"/>
  <c r="AA83" i="64"/>
  <c r="X48" i="64"/>
  <c r="Y88" i="64"/>
  <c r="W51" i="64"/>
  <c r="X58" i="64"/>
  <c r="AB73" i="64"/>
  <c r="W64" i="64"/>
  <c r="V64" i="64"/>
  <c r="U61" i="64"/>
  <c r="Z59" i="64"/>
  <c r="V71" i="64"/>
  <c r="X80" i="64"/>
  <c r="Y72" i="64"/>
  <c r="U79" i="64"/>
  <c r="X67" i="64"/>
  <c r="Z61" i="64"/>
  <c r="U85" i="64"/>
  <c r="U70" i="64"/>
  <c r="AB59" i="64"/>
  <c r="AB58" i="64"/>
  <c r="AA59" i="64"/>
  <c r="U69" i="64"/>
  <c r="U47" i="64"/>
  <c r="AB61" i="64"/>
  <c r="V67" i="64"/>
  <c r="U59" i="64"/>
  <c r="W61" i="64"/>
  <c r="AB72" i="64"/>
  <c r="AB70" i="64"/>
  <c r="W59" i="64"/>
  <c r="Y70" i="64"/>
  <c r="Y67" i="64"/>
  <c r="X61" i="64"/>
  <c r="Z71" i="64"/>
  <c r="X73" i="64"/>
  <c r="Y73" i="64"/>
  <c r="Z64" i="64"/>
  <c r="V73" i="64"/>
  <c r="W67" i="64"/>
  <c r="Y64" i="64"/>
  <c r="AB67" i="64"/>
  <c r="X75" i="64"/>
  <c r="V75" i="64"/>
  <c r="U73" i="64"/>
  <c r="Y61" i="64"/>
  <c r="AA67" i="64"/>
  <c r="W70" i="64"/>
  <c r="Z67" i="64"/>
  <c r="U67" i="64"/>
  <c r="Z75" i="64"/>
  <c r="Z73" i="64"/>
  <c r="AA61" i="64"/>
  <c r="AA80" i="64"/>
  <c r="X70" i="64"/>
  <c r="Z70" i="64"/>
  <c r="U64" i="64"/>
  <c r="AB75" i="64"/>
  <c r="X59" i="64"/>
  <c r="U75" i="64"/>
  <c r="Y59" i="64"/>
  <c r="V70" i="64"/>
  <c r="V80" i="64"/>
  <c r="AA73" i="64"/>
  <c r="AA70" i="64"/>
  <c r="V61" i="64"/>
  <c r="AA64" i="64"/>
  <c r="Y75" i="64"/>
  <c r="AB64" i="64"/>
  <c r="Z81" i="64"/>
  <c r="AB76" i="64"/>
  <c r="AB77" i="64"/>
  <c r="Y69" i="64"/>
  <c r="X65" i="64"/>
  <c r="AA77" i="64"/>
  <c r="V58" i="64"/>
  <c r="X66" i="64"/>
  <c r="Z69" i="64"/>
  <c r="V79" i="64"/>
  <c r="V63" i="64"/>
  <c r="W66" i="64"/>
  <c r="W84" i="64"/>
  <c r="AA85" i="64"/>
  <c r="Y82" i="64"/>
  <c r="AB80" i="64"/>
  <c r="Z85" i="64"/>
  <c r="AA74" i="64"/>
  <c r="W72" i="64"/>
  <c r="AA71" i="64"/>
  <c r="AB71" i="64"/>
  <c r="Z84" i="64"/>
  <c r="X60" i="64"/>
  <c r="X72" i="64"/>
  <c r="Y85" i="64"/>
  <c r="W60" i="64"/>
  <c r="V60" i="64"/>
  <c r="AB89" i="64"/>
  <c r="X89" i="64"/>
  <c r="Z60" i="64"/>
  <c r="U58" i="64"/>
  <c r="U88" i="64"/>
  <c r="U71" i="64"/>
  <c r="AA84" i="64"/>
  <c r="AB81" i="64"/>
  <c r="Z79" i="64"/>
  <c r="X82" i="64"/>
  <c r="W89" i="64"/>
  <c r="V77" i="64"/>
  <c r="Z83" i="64"/>
  <c r="U76" i="64"/>
  <c r="AA79" i="64"/>
  <c r="Y66" i="64"/>
  <c r="W80" i="64"/>
  <c r="X83" i="64"/>
  <c r="Z77" i="64"/>
  <c r="AA82" i="64"/>
  <c r="U80" i="64"/>
  <c r="W74" i="64"/>
  <c r="Z66" i="64"/>
  <c r="V69" i="64"/>
  <c r="W69" i="64"/>
  <c r="V62" i="64"/>
  <c r="U60" i="64"/>
  <c r="W85" i="64"/>
  <c r="AA81" i="64"/>
  <c r="Y84" i="64"/>
  <c r="Y62" i="64"/>
  <c r="W82" i="64"/>
  <c r="W77" i="64"/>
  <c r="V83" i="64"/>
  <c r="V76" i="64"/>
  <c r="X79" i="64"/>
  <c r="V65" i="64"/>
  <c r="AB84" i="64"/>
  <c r="Z58" i="64"/>
  <c r="Y83" i="64"/>
  <c r="V82" i="64"/>
  <c r="AB85" i="64"/>
  <c r="AA69" i="64"/>
  <c r="AA58" i="64"/>
  <c r="W79" i="64"/>
  <c r="Z72" i="64"/>
  <c r="U65" i="64"/>
  <c r="X81" i="64"/>
  <c r="Z88" i="64"/>
  <c r="W65" i="64"/>
  <c r="Y58" i="64"/>
  <c r="U84" i="64"/>
  <c r="AB82" i="64"/>
  <c r="AB79" i="64"/>
  <c r="U81" i="64"/>
  <c r="X76" i="64"/>
  <c r="Y89" i="64"/>
  <c r="V85" i="64"/>
  <c r="V72" i="64"/>
  <c r="X74" i="64"/>
  <c r="Z76" i="64"/>
  <c r="U89" i="64"/>
  <c r="Y76" i="64"/>
  <c r="AB63" i="64"/>
  <c r="AB69" i="64"/>
  <c r="AA66" i="64"/>
  <c r="Y81" i="64"/>
  <c r="W63" i="64"/>
  <c r="Z65" i="64"/>
  <c r="Y74" i="64"/>
  <c r="AA89" i="64"/>
  <c r="W88" i="64"/>
  <c r="Y60" i="64"/>
  <c r="Z80" i="64"/>
  <c r="Z74" i="64"/>
  <c r="X63" i="64"/>
  <c r="X69" i="64"/>
  <c r="U66" i="64"/>
  <c r="X84" i="64"/>
  <c r="W81" i="64"/>
  <c r="AA65" i="64"/>
  <c r="X85" i="64"/>
  <c r="AA72" i="64"/>
  <c r="U77" i="64"/>
  <c r="U74" i="64"/>
  <c r="W76" i="64"/>
  <c r="Y63" i="64"/>
  <c r="W62" i="64"/>
  <c r="AB60" i="64"/>
  <c r="W83" i="64"/>
  <c r="W58" i="64"/>
  <c r="AB62" i="64"/>
  <c r="V66" i="64"/>
  <c r="Y71" i="64"/>
  <c r="AB65" i="64"/>
  <c r="AA63" i="64"/>
  <c r="AA60" i="64"/>
  <c r="V88" i="64"/>
  <c r="U72" i="64"/>
  <c r="X62" i="64"/>
  <c r="Y77" i="64"/>
  <c r="Z63" i="64"/>
  <c r="V74" i="64"/>
  <c r="AB66" i="64"/>
  <c r="AA76" i="64"/>
  <c r="Y79" i="64"/>
  <c r="Y80" i="64"/>
  <c r="AB83" i="64"/>
  <c r="X77" i="64"/>
  <c r="X71" i="64"/>
  <c r="W71" i="64"/>
  <c r="U63" i="64"/>
  <c r="Z62" i="64"/>
  <c r="H71" i="66"/>
  <c r="H96" i="66"/>
  <c r="H40" i="66"/>
  <c r="H52" i="66"/>
  <c r="H96" i="17"/>
  <c r="K27" i="14"/>
  <c r="F40" i="17"/>
  <c r="F40" i="66"/>
  <c r="F52" i="66"/>
  <c r="H71" i="17"/>
  <c r="AB50" i="64"/>
  <c r="X50" i="64"/>
  <c r="V50" i="64"/>
  <c r="U50" i="64"/>
  <c r="Y50" i="64"/>
  <c r="W50" i="64"/>
  <c r="AD20" i="64"/>
  <c r="AK32" i="32"/>
  <c r="AI32" i="32"/>
  <c r="AG32" i="32"/>
  <c r="AE32" i="32"/>
  <c r="AC32" i="32"/>
  <c r="AA32" i="32"/>
  <c r="Y32" i="32"/>
  <c r="W32" i="32"/>
  <c r="U32" i="32"/>
  <c r="S32" i="32"/>
  <c r="AJ32" i="32"/>
  <c r="AH32" i="32"/>
  <c r="AF32" i="32"/>
  <c r="AD32" i="32"/>
  <c r="AB32" i="32"/>
  <c r="Z32" i="32"/>
  <c r="X32" i="32"/>
  <c r="V32" i="32"/>
  <c r="T32" i="32"/>
  <c r="AK20" i="32"/>
  <c r="AI20" i="32"/>
  <c r="AG20" i="32"/>
  <c r="AE20" i="32"/>
  <c r="AC20" i="32"/>
  <c r="AA20" i="32"/>
  <c r="Y20" i="32"/>
  <c r="W20" i="32"/>
  <c r="U20" i="32"/>
  <c r="S20" i="32"/>
  <c r="AJ20" i="32"/>
  <c r="AH20" i="32"/>
  <c r="AF20" i="32"/>
  <c r="AD20" i="32"/>
  <c r="AB20" i="32"/>
  <c r="Z20" i="32"/>
  <c r="X20" i="32"/>
  <c r="V20" i="32"/>
  <c r="T20" i="32"/>
  <c r="P44" i="32"/>
  <c r="AV44" i="32"/>
  <c r="N44" i="32"/>
  <c r="AO44" i="32"/>
  <c r="F25" i="32"/>
  <c r="AP44" i="32"/>
  <c r="AT44" i="32"/>
  <c r="AU44" i="32"/>
  <c r="AS44" i="32"/>
  <c r="Q44" i="32"/>
  <c r="AR44" i="32"/>
  <c r="AW44" i="32"/>
  <c r="AQ44" i="32"/>
  <c r="AQ49" i="32"/>
  <c r="D49" i="32"/>
  <c r="Q49" i="32"/>
  <c r="AW49" i="32"/>
  <c r="AR49" i="32"/>
  <c r="AO49" i="32"/>
  <c r="AT49" i="32"/>
  <c r="P49" i="32"/>
  <c r="AS49" i="32"/>
  <c r="AU49" i="32"/>
  <c r="AV49" i="32"/>
  <c r="AP49" i="32"/>
  <c r="N49" i="32"/>
  <c r="AD21" i="64"/>
  <c r="AA47" i="64"/>
  <c r="X47" i="64"/>
  <c r="C84" i="68"/>
  <c r="Z47" i="64"/>
  <c r="Y51" i="64"/>
  <c r="V47" i="64"/>
  <c r="W47" i="64"/>
  <c r="X51" i="64"/>
  <c r="Z51" i="64"/>
  <c r="AB51" i="64"/>
  <c r="Y47" i="64"/>
  <c r="AD9" i="64"/>
  <c r="B11" i="30"/>
  <c r="I43" i="66"/>
  <c r="I33" i="66"/>
  <c r="I45" i="66" s="1"/>
  <c r="E39" i="69"/>
  <c r="I36" i="66"/>
  <c r="I48" i="66" s="1"/>
  <c r="M97" i="66" s="1"/>
  <c r="N97" i="66" s="1"/>
  <c r="H97" i="66" s="1"/>
  <c r="E28" i="69"/>
  <c r="E18" i="69"/>
  <c r="D32" i="66"/>
  <c r="D44" i="66" s="1"/>
  <c r="D80" i="68"/>
  <c r="D33" i="66"/>
  <c r="D45" i="66" s="1"/>
  <c r="E40" i="69"/>
  <c r="D36" i="66"/>
  <c r="D48" i="66" s="1"/>
  <c r="E29" i="69"/>
  <c r="D39" i="66"/>
  <c r="D51" i="66" s="1"/>
  <c r="M114" i="66" s="1"/>
  <c r="N114" i="66" s="1"/>
  <c r="E46" i="69"/>
  <c r="J33" i="66"/>
  <c r="J45" i="66" s="1"/>
  <c r="M76" i="66" s="1"/>
  <c r="N76" i="66" s="1"/>
  <c r="H76" i="66" s="1"/>
  <c r="J33" i="67"/>
  <c r="E34" i="69"/>
  <c r="E17" i="69"/>
  <c r="I32" i="66"/>
  <c r="I44" i="66" s="1"/>
  <c r="D43" i="66"/>
  <c r="AN19" i="37"/>
  <c r="AL19" i="37"/>
  <c r="AB19" i="37"/>
  <c r="R19" i="37"/>
  <c r="I19" i="37"/>
  <c r="E19" i="37"/>
  <c r="B19" i="37"/>
  <c r="AM19" i="37"/>
  <c r="AG19" i="37"/>
  <c r="W19" i="37"/>
  <c r="O19" i="37"/>
  <c r="C19" i="37"/>
  <c r="D19" i="37"/>
  <c r="G19" i="37"/>
  <c r="H19" i="37"/>
  <c r="F19" i="37"/>
  <c r="J105" i="66"/>
  <c r="I104" i="66"/>
  <c r="J104" i="66" s="1"/>
  <c r="F52" i="17"/>
  <c r="E102" i="17"/>
  <c r="E102" i="66"/>
  <c r="K16" i="14"/>
  <c r="L16" i="14"/>
  <c r="K16" i="69"/>
  <c r="L16" i="69"/>
  <c r="K15" i="69"/>
  <c r="L15" i="69"/>
  <c r="S21" i="33"/>
  <c r="T20" i="33"/>
  <c r="AW27" i="37"/>
  <c r="AX27" i="37" s="1"/>
  <c r="A26" i="37"/>
  <c r="J21" i="33"/>
  <c r="I20" i="33"/>
  <c r="E35" i="69"/>
  <c r="E35" i="14"/>
  <c r="A9" i="55"/>
  <c r="T8" i="55"/>
  <c r="AE8" i="55"/>
  <c r="R8" i="55"/>
  <c r="AO8" i="55"/>
  <c r="Q8" i="55"/>
  <c r="AB8" i="55"/>
  <c r="AI8" i="55"/>
  <c r="K8" i="55"/>
  <c r="AA8" i="55"/>
  <c r="Z8" i="55"/>
  <c r="N8" i="55"/>
  <c r="V8" i="55"/>
  <c r="AL8" i="55"/>
  <c r="AJ8" i="55"/>
  <c r="L8" i="55"/>
  <c r="M8" i="55"/>
  <c r="AF8" i="55"/>
  <c r="S8" i="55"/>
  <c r="AD8" i="55"/>
  <c r="AC8" i="55"/>
  <c r="AN8" i="55"/>
  <c r="P8" i="55"/>
  <c r="W8" i="55"/>
  <c r="AG8" i="55"/>
  <c r="O8" i="55"/>
  <c r="U8" i="55"/>
  <c r="Y8" i="55"/>
  <c r="X8" i="55"/>
  <c r="AM8" i="55"/>
  <c r="AK8" i="55"/>
  <c r="AH8" i="55"/>
  <c r="J8" i="55"/>
  <c r="E103" i="17"/>
  <c r="E103" i="66"/>
  <c r="L27" i="69"/>
  <c r="K27" i="69"/>
  <c r="H25" i="32"/>
  <c r="B25" i="32"/>
  <c r="E25" i="32" s="1"/>
  <c r="C25" i="32"/>
  <c r="I25" i="32"/>
  <c r="G25" i="32"/>
  <c r="B106" i="17"/>
  <c r="AW40" i="32"/>
  <c r="AM20" i="37"/>
  <c r="AN20" i="37"/>
  <c r="AG20" i="37"/>
  <c r="AL20" i="37"/>
  <c r="W20" i="37"/>
  <c r="AB20" i="37"/>
  <c r="O20" i="37"/>
  <c r="R20" i="37"/>
  <c r="I21" i="37"/>
  <c r="AA13" i="37"/>
  <c r="AM53" i="32"/>
  <c r="AN53" i="32"/>
  <c r="AM20" i="32"/>
  <c r="AN20" i="32"/>
  <c r="AM32" i="32"/>
  <c r="AN32" i="32"/>
  <c r="AM61" i="32"/>
  <c r="AN61" i="32"/>
  <c r="AG53" i="32"/>
  <c r="AL53" i="32"/>
  <c r="AL20" i="32"/>
  <c r="AL32" i="32"/>
  <c r="AG61" i="32"/>
  <c r="AL61" i="32"/>
  <c r="AU40" i="32"/>
  <c r="AR40" i="32"/>
  <c r="W61" i="32"/>
  <c r="AB61" i="32"/>
  <c r="Q31" i="32"/>
  <c r="AT31" i="32"/>
  <c r="AQ31" i="32"/>
  <c r="W53" i="32"/>
  <c r="AB53" i="32"/>
  <c r="R53" i="32"/>
  <c r="R20" i="32"/>
  <c r="R32" i="32"/>
  <c r="R61" i="32"/>
  <c r="AS40" i="32"/>
  <c r="AS31" i="32"/>
  <c r="AP40" i="32"/>
  <c r="AI60" i="32"/>
  <c r="P39" i="32"/>
  <c r="Q27" i="32"/>
  <c r="AT40" i="32"/>
  <c r="N40" i="32"/>
  <c r="AO40" i="32"/>
  <c r="P31" i="32"/>
  <c r="AW31" i="32"/>
  <c r="AU31" i="32"/>
  <c r="P40" i="32"/>
  <c r="AP31" i="32"/>
  <c r="AR31" i="32"/>
  <c r="AV31" i="32"/>
  <c r="AV40" i="32"/>
  <c r="Q40" i="32"/>
  <c r="AQ40" i="32"/>
  <c r="AO31" i="32"/>
  <c r="AV43" i="32"/>
  <c r="Q43" i="32"/>
  <c r="AW43" i="32"/>
  <c r="Q17" i="32"/>
  <c r="P17" i="32"/>
  <c r="N17" i="32"/>
  <c r="AS43" i="32"/>
  <c r="AT43" i="32"/>
  <c r="AW39" i="32"/>
  <c r="P27" i="32"/>
  <c r="AU39" i="32"/>
  <c r="Q39" i="32"/>
  <c r="AW27" i="32"/>
  <c r="AT60" i="32"/>
  <c r="AD60" i="32"/>
  <c r="AU27" i="32"/>
  <c r="P60" i="32"/>
  <c r="AU60" i="32"/>
  <c r="AF60" i="32"/>
  <c r="AP43" i="32"/>
  <c r="AO43" i="32"/>
  <c r="AR43" i="32"/>
  <c r="AU43" i="32"/>
  <c r="N43" i="32"/>
  <c r="AQ43" i="32"/>
  <c r="H116" i="17"/>
  <c r="AV39" i="32"/>
  <c r="AP27" i="32"/>
  <c r="AV27" i="32"/>
  <c r="AQ27" i="32"/>
  <c r="T60" i="32"/>
  <c r="S60" i="32"/>
  <c r="AV60" i="32"/>
  <c r="N60" i="32"/>
  <c r="V60" i="32"/>
  <c r="X60" i="32"/>
  <c r="AC60" i="32"/>
  <c r="AK60" i="32"/>
  <c r="AT39" i="32"/>
  <c r="AS39" i="32"/>
  <c r="AO39" i="32"/>
  <c r="AP39" i="32"/>
  <c r="AR39" i="32"/>
  <c r="N39" i="32"/>
  <c r="AQ39" i="32"/>
  <c r="AT27" i="32"/>
  <c r="AO27" i="32"/>
  <c r="N27" i="32"/>
  <c r="AS27" i="32"/>
  <c r="AR27" i="32"/>
  <c r="AH60" i="32"/>
  <c r="Z60" i="32"/>
  <c r="AW60" i="32"/>
  <c r="AR60" i="32"/>
  <c r="AA60" i="32"/>
  <c r="Y60" i="32"/>
  <c r="AJ60" i="32"/>
  <c r="AE60" i="32"/>
  <c r="AP60" i="32"/>
  <c r="AS60" i="32"/>
  <c r="AQ60" i="32"/>
  <c r="U60" i="32"/>
  <c r="AO60" i="32"/>
  <c r="Q60" i="32"/>
  <c r="AV13" i="37"/>
  <c r="AX64" i="32"/>
  <c r="AY64" i="32" s="1"/>
  <c r="A63" i="32"/>
  <c r="B61" i="32"/>
  <c r="E61" i="32"/>
  <c r="H61" i="32"/>
  <c r="I61" i="32"/>
  <c r="D61" i="32"/>
  <c r="F61" i="32"/>
  <c r="G61" i="32"/>
  <c r="C61" i="32"/>
  <c r="AC22" i="36"/>
  <c r="AF13" i="37"/>
  <c r="Q13" i="37"/>
  <c r="P13" i="37"/>
  <c r="AH13" i="37"/>
  <c r="AD13" i="37"/>
  <c r="Z13" i="37"/>
  <c r="AE13" i="37"/>
  <c r="Y13" i="37"/>
  <c r="L13" i="37"/>
  <c r="AJ13" i="37"/>
  <c r="AP13" i="37"/>
  <c r="N13" i="37"/>
  <c r="X13" i="37"/>
  <c r="U13" i="37"/>
  <c r="D13" i="37"/>
  <c r="AU13" i="37"/>
  <c r="S13" i="37"/>
  <c r="AR13" i="37"/>
  <c r="AT13" i="37"/>
  <c r="K13" i="37"/>
  <c r="AO13" i="37"/>
  <c r="AS13" i="37"/>
  <c r="AC13" i="37"/>
  <c r="T13" i="37"/>
  <c r="AI13" i="37"/>
  <c r="V13" i="37"/>
  <c r="AQ13" i="37"/>
  <c r="E18" i="18"/>
  <c r="D18" i="18"/>
  <c r="B18" i="18"/>
  <c r="F18" i="18"/>
  <c r="B18" i="36"/>
  <c r="C18" i="36"/>
  <c r="AH22" i="36"/>
  <c r="I14" i="38"/>
  <c r="AG22" i="36"/>
  <c r="AM22" i="36"/>
  <c r="D14" i="38"/>
  <c r="J22" i="36"/>
  <c r="T22" i="36"/>
  <c r="X22" i="36"/>
  <c r="AP22" i="36"/>
  <c r="E22" i="36"/>
  <c r="AB22" i="36"/>
  <c r="Y22" i="36"/>
  <c r="AF22" i="36"/>
  <c r="M22" i="36"/>
  <c r="AJ22" i="36"/>
  <c r="AU22" i="36"/>
  <c r="AA22" i="36"/>
  <c r="F22" i="36"/>
  <c r="E14" i="20"/>
  <c r="C22" i="36"/>
  <c r="C77" i="69"/>
  <c r="C78" i="69" s="1"/>
  <c r="C79" i="69" s="1"/>
  <c r="C80" i="69" s="1"/>
  <c r="D68" i="69"/>
  <c r="C69" i="69"/>
  <c r="C70" i="69" s="1"/>
  <c r="C71" i="69" s="1"/>
  <c r="C72" i="69" s="1"/>
  <c r="S4" i="33"/>
  <c r="R3" i="33"/>
  <c r="AE22" i="36"/>
  <c r="N22" i="36"/>
  <c r="D22" i="36"/>
  <c r="H22" i="36"/>
  <c r="V22" i="36"/>
  <c r="D14" i="20"/>
  <c r="I8" i="57"/>
  <c r="I11" i="57"/>
  <c r="F11" i="57" s="1"/>
  <c r="I10" i="57"/>
  <c r="I17" i="57"/>
  <c r="I16" i="57"/>
  <c r="I32" i="57" s="1"/>
  <c r="I36" i="57" s="1"/>
  <c r="I20" i="57"/>
  <c r="I19" i="57"/>
  <c r="I13" i="57" s="1"/>
  <c r="F13" i="57" s="1"/>
  <c r="I15" i="57"/>
  <c r="I12" i="57"/>
  <c r="I18" i="57"/>
  <c r="I31" i="57" s="1"/>
  <c r="I21" i="57"/>
  <c r="F21" i="57" s="1"/>
  <c r="I9" i="57"/>
  <c r="I22" i="57"/>
  <c r="I14" i="57"/>
  <c r="I7" i="57"/>
  <c r="H119" i="66"/>
  <c r="I22" i="36"/>
  <c r="R22" i="36"/>
  <c r="Z22" i="36"/>
  <c r="AQ22" i="36"/>
  <c r="AO22" i="36"/>
  <c r="AL22" i="36"/>
  <c r="AI22" i="36"/>
  <c r="S22" i="36"/>
  <c r="W22" i="36"/>
  <c r="AN22" i="36"/>
  <c r="AK22" i="36"/>
  <c r="P22" i="36"/>
  <c r="AS22" i="36"/>
  <c r="AD22" i="36"/>
  <c r="U22" i="36"/>
  <c r="AR22" i="36"/>
  <c r="L22" i="36"/>
  <c r="G22" i="36"/>
  <c r="AT22" i="36"/>
  <c r="K22" i="36"/>
  <c r="O22" i="36"/>
  <c r="F29" i="35"/>
  <c r="B29" i="35"/>
  <c r="E29" i="35"/>
  <c r="J33" i="17"/>
  <c r="J45" i="17" s="1"/>
  <c r="M76" i="17" s="1"/>
  <c r="N76" i="17" s="1"/>
  <c r="J33" i="41"/>
  <c r="E30" i="63"/>
  <c r="E34" i="14"/>
  <c r="K18" i="20"/>
  <c r="L18" i="20" s="1"/>
  <c r="A17" i="20"/>
  <c r="C17" i="20" s="1"/>
  <c r="B82" i="63"/>
  <c r="B92" i="14"/>
  <c r="P25" i="10"/>
  <c r="A23" i="32"/>
  <c r="F14" i="32"/>
  <c r="G14" i="32"/>
  <c r="C14" i="32"/>
  <c r="H14" i="32"/>
  <c r="I14" i="32"/>
  <c r="B14" i="32"/>
  <c r="E14" i="32" s="1"/>
  <c r="F53" i="32"/>
  <c r="C53" i="32"/>
  <c r="H53" i="32"/>
  <c r="I53" i="32"/>
  <c r="G53" i="32"/>
  <c r="D53" i="32"/>
  <c r="E53" i="32"/>
  <c r="B53" i="32"/>
  <c r="N19" i="10"/>
  <c r="D35" i="11" s="1"/>
  <c r="E25" i="10"/>
  <c r="B88" i="69" s="1"/>
  <c r="H43" i="21"/>
  <c r="C42" i="21"/>
  <c r="D42" i="21"/>
  <c r="F20" i="18"/>
  <c r="E20" i="18"/>
  <c r="B20" i="18"/>
  <c r="D20" i="18"/>
  <c r="C45" i="18"/>
  <c r="E45" i="18"/>
  <c r="D45" i="18"/>
  <c r="F45" i="18"/>
  <c r="B45" i="18"/>
  <c r="D19" i="18"/>
  <c r="B19" i="18"/>
  <c r="E19" i="18"/>
  <c r="F19" i="18"/>
  <c r="I35" i="17"/>
  <c r="I47" i="17" s="1"/>
  <c r="I34" i="17"/>
  <c r="I46" i="17" s="1"/>
  <c r="I32" i="17"/>
  <c r="I44" i="17" s="1"/>
  <c r="E17" i="14"/>
  <c r="M22" i="10"/>
  <c r="C38" i="11" s="1"/>
  <c r="C80" i="12"/>
  <c r="H39" i="5"/>
  <c r="H38" i="5"/>
  <c r="H43" i="5"/>
  <c r="H37" i="5"/>
  <c r="H44" i="5"/>
  <c r="H42" i="5"/>
  <c r="H40" i="5"/>
  <c r="H41" i="5"/>
  <c r="H11" i="5"/>
  <c r="I10" i="5"/>
  <c r="K13" i="14"/>
  <c r="L13" i="14"/>
  <c r="L24" i="14"/>
  <c r="K24" i="14"/>
  <c r="G58" i="5"/>
  <c r="H50" i="5"/>
  <c r="R5" i="6"/>
  <c r="R6" i="6"/>
  <c r="R7" i="6"/>
  <c r="G16" i="38"/>
  <c r="B16" i="38"/>
  <c r="H16" i="38"/>
  <c r="F16" i="38"/>
  <c r="AX16" i="36"/>
  <c r="I59" i="41"/>
  <c r="B23" i="18"/>
  <c r="E23" i="18"/>
  <c r="D23" i="18"/>
  <c r="F23" i="18"/>
  <c r="F20" i="37"/>
  <c r="G20" i="37"/>
  <c r="E20" i="37"/>
  <c r="I20" i="37"/>
  <c r="H20" i="37"/>
  <c r="C20" i="37"/>
  <c r="D20" i="37"/>
  <c r="B20" i="37"/>
  <c r="B58" i="18"/>
  <c r="F58" i="18"/>
  <c r="C58" i="18"/>
  <c r="E58" i="18"/>
  <c r="D58" i="18"/>
  <c r="K15" i="63"/>
  <c r="L15" i="63"/>
  <c r="D32" i="17"/>
  <c r="D44" i="17" s="1"/>
  <c r="E18" i="14"/>
  <c r="D80" i="12"/>
  <c r="N22" i="10"/>
  <c r="D38" i="11" s="1"/>
  <c r="E40" i="14"/>
  <c r="D33" i="17"/>
  <c r="D45" i="17" s="1"/>
  <c r="D36" i="17"/>
  <c r="D48" i="17" s="1"/>
  <c r="E29" i="14"/>
  <c r="D39" i="17"/>
  <c r="D51" i="17" s="1"/>
  <c r="M114" i="17" s="1"/>
  <c r="N114" i="17" s="1"/>
  <c r="H114" i="17" s="1"/>
  <c r="E46" i="14"/>
  <c r="AD23" i="64"/>
  <c r="AD22" i="64"/>
  <c r="J27" i="33"/>
  <c r="I26" i="33"/>
  <c r="F16" i="20"/>
  <c r="H16" i="20"/>
  <c r="G16" i="20"/>
  <c r="B16" i="20"/>
  <c r="O66" i="5"/>
  <c r="N71" i="5"/>
  <c r="M38" i="10"/>
  <c r="O38" i="10"/>
  <c r="N38" i="10"/>
  <c r="L38" i="10"/>
  <c r="Q38" i="10"/>
  <c r="P38" i="10"/>
  <c r="R38" i="10"/>
  <c r="I25" i="10"/>
  <c r="B90" i="69" s="1"/>
  <c r="R19" i="10"/>
  <c r="H35" i="11" s="1"/>
  <c r="B15" i="38"/>
  <c r="E15" i="38" s="1"/>
  <c r="G15" i="38"/>
  <c r="H15" i="38"/>
  <c r="F15" i="38"/>
  <c r="B20" i="36"/>
  <c r="J20" i="36" s="1"/>
  <c r="I15" i="37"/>
  <c r="F15" i="37"/>
  <c r="H15" i="37"/>
  <c r="B15" i="37"/>
  <c r="E15" i="37" s="1"/>
  <c r="G15" i="37"/>
  <c r="D66" i="18"/>
  <c r="B66" i="18"/>
  <c r="C66" i="18"/>
  <c r="E66" i="18"/>
  <c r="F66" i="18"/>
  <c r="G14" i="37"/>
  <c r="B14" i="37"/>
  <c r="E14" i="37" s="1"/>
  <c r="F14" i="37"/>
  <c r="I14" i="37"/>
  <c r="H14" i="37"/>
  <c r="C69" i="18"/>
  <c r="F69" i="18"/>
  <c r="E69" i="18"/>
  <c r="B69" i="18"/>
  <c r="D69" i="18"/>
  <c r="L83" i="12"/>
  <c r="C41" i="12" s="1"/>
  <c r="M83" i="12"/>
  <c r="D41" i="12" s="1"/>
  <c r="S83" i="12"/>
  <c r="J41" i="12" s="1"/>
  <c r="J39" i="66" s="1"/>
  <c r="J51" i="66" s="1"/>
  <c r="O83" i="12"/>
  <c r="F41" i="12" s="1"/>
  <c r="J35" i="66" s="1"/>
  <c r="J47" i="66" s="1"/>
  <c r="K83" i="12"/>
  <c r="B41" i="12" s="1"/>
  <c r="J34" i="66" s="1"/>
  <c r="J46" i="66" s="1"/>
  <c r="N83" i="12"/>
  <c r="E41" i="12" s="1"/>
  <c r="J31" i="66" s="1"/>
  <c r="I31" i="17"/>
  <c r="I33" i="17"/>
  <c r="I45" i="17" s="1"/>
  <c r="E39" i="14"/>
  <c r="I36" i="17"/>
  <c r="I48" i="17" s="1"/>
  <c r="M97" i="17" s="1"/>
  <c r="N97" i="17" s="1"/>
  <c r="H97" i="17" s="1"/>
  <c r="E28" i="14"/>
  <c r="E22" i="63"/>
  <c r="A43" i="56"/>
  <c r="G45" i="5"/>
  <c r="K13" i="63"/>
  <c r="L13" i="63"/>
  <c r="C20" i="32"/>
  <c r="F20" i="32"/>
  <c r="D20" i="32"/>
  <c r="B20" i="32"/>
  <c r="E20" i="32"/>
  <c r="I20" i="32"/>
  <c r="G20" i="32"/>
  <c r="H20" i="32"/>
  <c r="I15" i="32"/>
  <c r="C15" i="32"/>
  <c r="G15" i="32"/>
  <c r="H15" i="32"/>
  <c r="F15" i="32"/>
  <c r="B15" i="32"/>
  <c r="E15" i="32" s="1"/>
  <c r="H18" i="32"/>
  <c r="I18" i="32"/>
  <c r="G18" i="32"/>
  <c r="C18" i="32"/>
  <c r="B18" i="32"/>
  <c r="E18" i="32" s="1"/>
  <c r="F18" i="32"/>
  <c r="B93" i="14"/>
  <c r="B83" i="63"/>
  <c r="L25" i="10"/>
  <c r="D32" i="32"/>
  <c r="B32" i="32"/>
  <c r="G32" i="32"/>
  <c r="C32" i="32"/>
  <c r="F32" i="32"/>
  <c r="E32" i="32"/>
  <c r="H32" i="32"/>
  <c r="I32" i="32"/>
  <c r="A23" i="36"/>
  <c r="AV24" i="36"/>
  <c r="AW24" i="36" s="1"/>
  <c r="C43" i="50"/>
  <c r="C46" i="50" s="1"/>
  <c r="C42" i="50"/>
  <c r="C45" i="50" s="1"/>
  <c r="M19" i="10"/>
  <c r="C35" i="11" s="1"/>
  <c r="D25" i="10"/>
  <c r="B87" i="69" s="1"/>
  <c r="F25" i="10"/>
  <c r="B91" i="69" s="1"/>
  <c r="O19" i="10"/>
  <c r="E35" i="11" s="1"/>
  <c r="K18" i="38"/>
  <c r="L18" i="38" s="1"/>
  <c r="A17" i="38"/>
  <c r="C17" i="38" s="1"/>
  <c r="D63" i="14"/>
  <c r="C68" i="14"/>
  <c r="I18" i="37"/>
  <c r="B18" i="37"/>
  <c r="E18" i="37" s="1"/>
  <c r="G18" i="37"/>
  <c r="F18" i="37"/>
  <c r="H18" i="37"/>
  <c r="C18" i="37"/>
  <c r="F25" i="18"/>
  <c r="E25" i="18"/>
  <c r="C25" i="18"/>
  <c r="D25" i="18"/>
  <c r="B25" i="18"/>
  <c r="C49" i="18"/>
  <c r="D49" i="18"/>
  <c r="E49" i="18"/>
  <c r="F49" i="18"/>
  <c r="B49" i="18"/>
  <c r="E33" i="18"/>
  <c r="B33" i="18"/>
  <c r="C33" i="18"/>
  <c r="D33" i="18"/>
  <c r="F33" i="18"/>
  <c r="B23" i="30"/>
  <c r="B23" i="57"/>
  <c r="B27" i="57"/>
  <c r="B27" i="30"/>
  <c r="I70" i="17" s="1"/>
  <c r="K15" i="14"/>
  <c r="L15" i="14"/>
  <c r="H44" i="17"/>
  <c r="H52" i="17" s="1"/>
  <c r="H40" i="17"/>
  <c r="D31" i="17"/>
  <c r="D34" i="17"/>
  <c r="D46" i="17" s="1"/>
  <c r="D35" i="17"/>
  <c r="D47" i="17" s="1"/>
  <c r="H119" i="17"/>
  <c r="V48" i="64"/>
  <c r="Z50" i="64"/>
  <c r="AD4" i="64"/>
  <c r="AD14" i="64"/>
  <c r="AD28" i="64"/>
  <c r="Y48" i="64"/>
  <c r="AT17" i="32"/>
  <c r="W48" i="64"/>
  <c r="H71" i="41"/>
  <c r="Z48" i="64"/>
  <c r="AB48" i="64"/>
  <c r="AA48" i="64"/>
  <c r="AD7" i="64"/>
  <c r="AD31" i="64"/>
  <c r="AV17" i="32"/>
  <c r="B21" i="37"/>
  <c r="E21" i="37" s="1"/>
  <c r="D17" i="32"/>
  <c r="C21" i="37"/>
  <c r="V21" i="37" s="1"/>
  <c r="G21" i="37"/>
  <c r="H21" i="37"/>
  <c r="F21" i="37"/>
  <c r="E30" i="35"/>
  <c r="F30" i="35"/>
  <c r="B30" i="35"/>
  <c r="F63" i="35"/>
  <c r="B63" i="35"/>
  <c r="E63" i="35"/>
  <c r="E73" i="35"/>
  <c r="F73" i="35"/>
  <c r="B73" i="35"/>
  <c r="B62" i="35"/>
  <c r="F62" i="35"/>
  <c r="E62" i="35"/>
  <c r="E40" i="35"/>
  <c r="B40" i="35"/>
  <c r="F40" i="35"/>
  <c r="E43" i="35"/>
  <c r="F43" i="35"/>
  <c r="B43" i="35"/>
  <c r="E61" i="35"/>
  <c r="B61" i="35"/>
  <c r="F61" i="35"/>
  <c r="F65" i="35"/>
  <c r="B65" i="35"/>
  <c r="E65" i="35"/>
  <c r="F42" i="35"/>
  <c r="B42" i="35"/>
  <c r="E42" i="35"/>
  <c r="E72" i="35"/>
  <c r="F72" i="35"/>
  <c r="B72" i="35"/>
  <c r="E64" i="35"/>
  <c r="F64" i="35"/>
  <c r="B64" i="35"/>
  <c r="E41" i="35"/>
  <c r="F41" i="35"/>
  <c r="B41" i="35"/>
  <c r="F51" i="35"/>
  <c r="B51" i="35"/>
  <c r="E51" i="35"/>
  <c r="F47" i="35"/>
  <c r="E47" i="35"/>
  <c r="B47" i="35"/>
  <c r="E56" i="35"/>
  <c r="B56" i="35"/>
  <c r="F56" i="35"/>
  <c r="F68" i="35"/>
  <c r="B68" i="35"/>
  <c r="E68" i="35"/>
  <c r="B60" i="35"/>
  <c r="E60" i="35"/>
  <c r="F60" i="35"/>
  <c r="B35" i="35"/>
  <c r="F35" i="35"/>
  <c r="E35" i="35"/>
  <c r="B48" i="35"/>
  <c r="E48" i="35"/>
  <c r="F48" i="35"/>
  <c r="F57" i="35"/>
  <c r="E57" i="35"/>
  <c r="B57" i="35"/>
  <c r="B38" i="32"/>
  <c r="E38" i="32" s="1"/>
  <c r="I38" i="32"/>
  <c r="G38" i="32"/>
  <c r="F38" i="32"/>
  <c r="C38" i="32"/>
  <c r="H38" i="32"/>
  <c r="A24" i="32"/>
  <c r="C33" i="32"/>
  <c r="G33" i="32"/>
  <c r="B33" i="32"/>
  <c r="E33" i="32" s="1"/>
  <c r="I33" i="32"/>
  <c r="H33" i="32"/>
  <c r="F33" i="32"/>
  <c r="B17" i="30"/>
  <c r="B17" i="57"/>
  <c r="C16" i="38"/>
  <c r="C15" i="37"/>
  <c r="C20" i="36"/>
  <c r="C20" i="18"/>
  <c r="A34" i="57"/>
  <c r="A34" i="30"/>
  <c r="A57" i="32"/>
  <c r="B105" i="17"/>
  <c r="F47" i="18"/>
  <c r="D47" i="18"/>
  <c r="E47" i="18"/>
  <c r="B47" i="18"/>
  <c r="C47" i="18"/>
  <c r="A39" i="18"/>
  <c r="A24" i="37"/>
  <c r="A29" i="18"/>
  <c r="A72" i="18"/>
  <c r="P17" i="37"/>
  <c r="AJ17" i="37"/>
  <c r="AD17" i="37"/>
  <c r="AV17" i="37"/>
  <c r="AR17" i="37"/>
  <c r="Y17" i="37"/>
  <c r="Q17" i="37"/>
  <c r="AS17" i="37"/>
  <c r="X17" i="37"/>
  <c r="AT17" i="37"/>
  <c r="AC17" i="37"/>
  <c r="U17" i="37"/>
  <c r="AK17" i="37"/>
  <c r="Z17" i="37"/>
  <c r="D17" i="37"/>
  <c r="S17" i="37"/>
  <c r="AO17" i="37"/>
  <c r="AA17" i="37"/>
  <c r="L17" i="37"/>
  <c r="AE17" i="37"/>
  <c r="AI17" i="37"/>
  <c r="AF17" i="37"/>
  <c r="AH17" i="37"/>
  <c r="AU17" i="37"/>
  <c r="K17" i="37"/>
  <c r="V17" i="37"/>
  <c r="T17" i="37"/>
  <c r="AQ17" i="37"/>
  <c r="AP17" i="37"/>
  <c r="N17" i="37"/>
  <c r="B7" i="57"/>
  <c r="C28" i="19"/>
  <c r="C13" i="32"/>
  <c r="B7" i="30"/>
  <c r="C14" i="20"/>
  <c r="C42" i="18"/>
  <c r="E42" i="18"/>
  <c r="B42" i="18"/>
  <c r="D42" i="18"/>
  <c r="F42" i="18"/>
  <c r="A41" i="18"/>
  <c r="AW17" i="32"/>
  <c r="AQ17" i="32"/>
  <c r="AP17" i="32"/>
  <c r="AS17" i="32"/>
  <c r="AR17" i="32"/>
  <c r="AU17" i="32"/>
  <c r="AO17" i="32"/>
  <c r="A25" i="30"/>
  <c r="A25" i="57"/>
  <c r="B15" i="57"/>
  <c r="B15" i="30"/>
  <c r="B103" i="41"/>
  <c r="C60" i="18" s="1"/>
  <c r="B104" i="17"/>
  <c r="A56" i="32"/>
  <c r="A34" i="32"/>
  <c r="A15" i="57"/>
  <c r="A15" i="30"/>
  <c r="E63" i="18"/>
  <c r="F63" i="18"/>
  <c r="D63" i="18"/>
  <c r="C63" i="18"/>
  <c r="B63" i="18"/>
  <c r="A18" i="30"/>
  <c r="A18" i="57"/>
  <c r="A37" i="32"/>
  <c r="B103" i="17"/>
  <c r="A55" i="32"/>
  <c r="F48" i="32"/>
  <c r="C48" i="32"/>
  <c r="H48" i="32"/>
  <c r="G48" i="32"/>
  <c r="I48" i="32"/>
  <c r="B48" i="32"/>
  <c r="E48" i="32" s="1"/>
  <c r="E67" i="18"/>
  <c r="D67" i="18"/>
  <c r="C67" i="18"/>
  <c r="B67" i="18"/>
  <c r="F67" i="18"/>
  <c r="B26" i="18"/>
  <c r="D26" i="18"/>
  <c r="F26" i="18"/>
  <c r="C26" i="18"/>
  <c r="E26" i="18"/>
  <c r="B30" i="32"/>
  <c r="E30" i="32" s="1"/>
  <c r="F30" i="32"/>
  <c r="H30" i="32"/>
  <c r="I30" i="32"/>
  <c r="C30" i="32"/>
  <c r="G30" i="32"/>
  <c r="B20" i="30"/>
  <c r="B20" i="57"/>
  <c r="D46" i="18"/>
  <c r="F46" i="18"/>
  <c r="B46" i="18"/>
  <c r="C46" i="18"/>
  <c r="E46" i="18"/>
  <c r="A43" i="18"/>
  <c r="A40" i="30"/>
  <c r="A36" i="30"/>
  <c r="A59" i="32"/>
  <c r="A40" i="57"/>
  <c r="A36" i="57"/>
  <c r="B107" i="17"/>
  <c r="B10" i="57"/>
  <c r="B10" i="30"/>
  <c r="C16" i="32"/>
  <c r="C21" i="18"/>
  <c r="C16" i="37"/>
  <c r="C21" i="36"/>
  <c r="A17" i="30"/>
  <c r="A17" i="57"/>
  <c r="A36" i="32"/>
  <c r="A24" i="57"/>
  <c r="A24" i="30"/>
  <c r="A38" i="18"/>
  <c r="B25" i="30"/>
  <c r="B25" i="57"/>
  <c r="A35" i="30"/>
  <c r="A35" i="57"/>
  <c r="A58" i="32"/>
  <c r="A56" i="18"/>
  <c r="B24" i="57"/>
  <c r="B24" i="30"/>
  <c r="A16" i="57"/>
  <c r="A16" i="30"/>
  <c r="A35" i="32"/>
  <c r="A45" i="32"/>
  <c r="A20" i="57"/>
  <c r="A20" i="30"/>
  <c r="A19" i="57"/>
  <c r="A19" i="30"/>
  <c r="A41" i="32"/>
  <c r="A50" i="32"/>
  <c r="A62" i="32"/>
  <c r="A39" i="30"/>
  <c r="A39" i="57"/>
  <c r="B16" i="57"/>
  <c r="B16" i="30"/>
  <c r="A27" i="18"/>
  <c r="A22" i="37"/>
  <c r="B19" i="30"/>
  <c r="B19" i="57"/>
  <c r="A54" i="32"/>
  <c r="A61" i="18"/>
  <c r="A51" i="18"/>
  <c r="A29" i="32"/>
  <c r="AD29" i="64"/>
  <c r="A50" i="18"/>
  <c r="C46" i="32"/>
  <c r="I46" i="32"/>
  <c r="G46" i="32"/>
  <c r="B46" i="32"/>
  <c r="E46" i="32" s="1"/>
  <c r="F46" i="32"/>
  <c r="H46" i="32"/>
  <c r="B104" i="41"/>
  <c r="A42" i="32"/>
  <c r="B107" i="41"/>
  <c r="A64" i="18"/>
  <c r="A51" i="32"/>
  <c r="A55" i="18"/>
  <c r="B102" i="17"/>
  <c r="B18" i="57"/>
  <c r="B18" i="30"/>
  <c r="A62" i="18"/>
  <c r="B105" i="41"/>
  <c r="I22" i="32"/>
  <c r="H22" i="32"/>
  <c r="B22" i="32"/>
  <c r="E22" i="32" s="1"/>
  <c r="F22" i="32"/>
  <c r="G22" i="32"/>
  <c r="C22" i="32"/>
  <c r="C15" i="38"/>
  <c r="C19" i="18"/>
  <c r="C14" i="37"/>
  <c r="C19" i="36"/>
  <c r="C13" i="18"/>
  <c r="D13" i="18"/>
  <c r="I14" i="18"/>
  <c r="F12" i="18"/>
  <c r="E12" i="18"/>
  <c r="AR30" i="19"/>
  <c r="V30" i="19"/>
  <c r="AC30" i="19"/>
  <c r="G30" i="19"/>
  <c r="W30" i="19"/>
  <c r="Z30" i="19"/>
  <c r="F30" i="19"/>
  <c r="J30" i="19"/>
  <c r="M30" i="19"/>
  <c r="AN30" i="19"/>
  <c r="AJ30" i="19"/>
  <c r="S30" i="19"/>
  <c r="T30" i="19"/>
  <c r="X30" i="19"/>
  <c r="P30" i="19"/>
  <c r="AM30" i="19"/>
  <c r="AU30" i="19"/>
  <c r="Y30" i="19"/>
  <c r="AS30" i="19"/>
  <c r="H30" i="19"/>
  <c r="AF30" i="19"/>
  <c r="AQ30" i="19"/>
  <c r="AD30" i="19"/>
  <c r="AA30" i="19"/>
  <c r="AH30" i="19"/>
  <c r="AE30" i="19"/>
  <c r="AL30" i="19"/>
  <c r="AI30" i="19"/>
  <c r="L30" i="19"/>
  <c r="E30" i="19"/>
  <c r="N30" i="19"/>
  <c r="K30" i="19"/>
  <c r="D30" i="19"/>
  <c r="Q30" i="19"/>
  <c r="AT30" i="19"/>
  <c r="U30" i="19"/>
  <c r="R30" i="19"/>
  <c r="AP30" i="19"/>
  <c r="AK30" i="19"/>
  <c r="I30" i="19"/>
  <c r="AG30" i="19"/>
  <c r="AB30" i="19"/>
  <c r="AO30" i="19"/>
  <c r="A32" i="19"/>
  <c r="AV33" i="19"/>
  <c r="AW33" i="19" s="1"/>
  <c r="C31" i="19"/>
  <c r="B31" i="19"/>
  <c r="B34" i="35"/>
  <c r="E34" i="35"/>
  <c r="F34" i="35"/>
  <c r="E70" i="18"/>
  <c r="D70" i="18"/>
  <c r="F70" i="18"/>
  <c r="C70" i="18"/>
  <c r="B70" i="18"/>
  <c r="E74" i="18"/>
  <c r="D74" i="18"/>
  <c r="F74" i="18"/>
  <c r="B74" i="18"/>
  <c r="C74" i="18"/>
  <c r="D71" i="18"/>
  <c r="B71" i="18"/>
  <c r="C71" i="18"/>
  <c r="E71" i="18"/>
  <c r="F71" i="18"/>
  <c r="D53" i="18"/>
  <c r="E40" i="18"/>
  <c r="F40" i="18"/>
  <c r="D40" i="18"/>
  <c r="C40" i="18"/>
  <c r="B40" i="18"/>
  <c r="E76" i="18"/>
  <c r="F76" i="18"/>
  <c r="C76" i="18"/>
  <c r="D76" i="18"/>
  <c r="B76" i="18"/>
  <c r="C59" i="18"/>
  <c r="E59" i="18"/>
  <c r="D59" i="18"/>
  <c r="B59" i="18"/>
  <c r="F59" i="18"/>
  <c r="A52" i="18"/>
  <c r="C28" i="18"/>
  <c r="C73" i="18"/>
  <c r="B73" i="18"/>
  <c r="D73" i="18"/>
  <c r="F73" i="18"/>
  <c r="E73" i="18"/>
  <c r="D28" i="18"/>
  <c r="A23" i="37"/>
  <c r="A13" i="30"/>
  <c r="A28" i="32"/>
  <c r="A13" i="57"/>
  <c r="B13" i="30"/>
  <c r="B13" i="57"/>
  <c r="D60" i="18"/>
  <c r="B60" i="18"/>
  <c r="E60" i="18"/>
  <c r="F60" i="18"/>
  <c r="C30" i="18"/>
  <c r="F30" i="18"/>
  <c r="B30" i="18"/>
  <c r="E30" i="18"/>
  <c r="D30" i="18"/>
  <c r="H117" i="17"/>
  <c r="F25" i="37"/>
  <c r="C25" i="37"/>
  <c r="H25" i="37"/>
  <c r="B25" i="37"/>
  <c r="E25" i="37" s="1"/>
  <c r="G25" i="37"/>
  <c r="I25" i="37"/>
  <c r="H114" i="41"/>
  <c r="AD24" i="64"/>
  <c r="AD18" i="64"/>
  <c r="AD27" i="64"/>
  <c r="AD10" i="64"/>
  <c r="AD25" i="64"/>
  <c r="AD12" i="64"/>
  <c r="AD36" i="64"/>
  <c r="AD30" i="64"/>
  <c r="AD26" i="64"/>
  <c r="AD16" i="64"/>
  <c r="AD5" i="64"/>
  <c r="AD6" i="64"/>
  <c r="AD46" i="64"/>
  <c r="AD35" i="64"/>
  <c r="AD8" i="64"/>
  <c r="AD40" i="64"/>
  <c r="AD45" i="64"/>
  <c r="AD19" i="64"/>
  <c r="AD38" i="64"/>
  <c r="AD33" i="64"/>
  <c r="AD44" i="64"/>
  <c r="AD34" i="64"/>
  <c r="AD32" i="64"/>
  <c r="AD11" i="64"/>
  <c r="AD39" i="64"/>
  <c r="AD52" i="64"/>
  <c r="AD42" i="64"/>
  <c r="AD43" i="64"/>
  <c r="AD13" i="64"/>
  <c r="AD15" i="64"/>
  <c r="AD53" i="64"/>
  <c r="AD37" i="64"/>
  <c r="AD17" i="64"/>
  <c r="AD41" i="64"/>
  <c r="D74" i="35"/>
  <c r="C41" i="35"/>
  <c r="D64" i="35"/>
  <c r="D40" i="35"/>
  <c r="D51" i="35"/>
  <c r="C48" i="35"/>
  <c r="C63" i="35"/>
  <c r="D29" i="35"/>
  <c r="D65" i="35"/>
  <c r="C65" i="35"/>
  <c r="C62" i="35"/>
  <c r="D48" i="35"/>
  <c r="C73" i="35"/>
  <c r="D34" i="35"/>
  <c r="D62" i="35"/>
  <c r="D73" i="35"/>
  <c r="C60" i="35"/>
  <c r="D60" i="35"/>
  <c r="C64" i="35"/>
  <c r="C29" i="35"/>
  <c r="C72" i="35"/>
  <c r="C43" i="35"/>
  <c r="C57" i="35"/>
  <c r="C54" i="35"/>
  <c r="C68" i="35"/>
  <c r="C35" i="35"/>
  <c r="C61" i="35"/>
  <c r="C74" i="35"/>
  <c r="C56" i="35"/>
  <c r="D56" i="35"/>
  <c r="D72" i="35"/>
  <c r="D47" i="35"/>
  <c r="D43" i="35"/>
  <c r="D63" i="35"/>
  <c r="D42" i="35"/>
  <c r="D54" i="35"/>
  <c r="C34" i="35"/>
  <c r="D35" i="35"/>
  <c r="D41" i="35"/>
  <c r="D61" i="35"/>
  <c r="C42" i="35"/>
  <c r="C40" i="35"/>
  <c r="C51" i="35"/>
  <c r="D30" i="35"/>
  <c r="D57" i="35"/>
  <c r="C30" i="35"/>
  <c r="C47" i="35"/>
  <c r="D68" i="35"/>
  <c r="AD49" i="64" l="1"/>
  <c r="AD54" i="64"/>
  <c r="AD55" i="64"/>
  <c r="AD85" i="64"/>
  <c r="I64" i="67"/>
  <c r="J64" i="67" s="1"/>
  <c r="I113" i="67"/>
  <c r="J113" i="67" s="1"/>
  <c r="I93" i="67"/>
  <c r="I61" i="17"/>
  <c r="I93" i="17"/>
  <c r="I114" i="17"/>
  <c r="I94" i="17"/>
  <c r="I117" i="17"/>
  <c r="I114" i="67"/>
  <c r="J114" i="67" s="1"/>
  <c r="I94" i="67"/>
  <c r="J94" i="67" s="1"/>
  <c r="I76" i="67"/>
  <c r="I117" i="67"/>
  <c r="J117" i="67" s="1"/>
  <c r="I113" i="17"/>
  <c r="I63" i="75"/>
  <c r="J63" i="75" s="1"/>
  <c r="I76" i="75"/>
  <c r="I62" i="75"/>
  <c r="I61" i="67"/>
  <c r="J61" i="67" s="1"/>
  <c r="I64" i="75"/>
  <c r="J64" i="75" s="1"/>
  <c r="I70" i="75"/>
  <c r="I94" i="75"/>
  <c r="I93" i="75"/>
  <c r="I89" i="75"/>
  <c r="I115" i="75"/>
  <c r="I118" i="75"/>
  <c r="I117" i="75"/>
  <c r="I119" i="75"/>
  <c r="I95" i="75"/>
  <c r="I61" i="75"/>
  <c r="I113" i="75"/>
  <c r="J113" i="75" s="1"/>
  <c r="I114" i="75"/>
  <c r="J114" i="75" s="1"/>
  <c r="I116" i="75"/>
  <c r="I116" i="17"/>
  <c r="I63" i="17"/>
  <c r="I63" i="67"/>
  <c r="J63" i="67" s="1"/>
  <c r="I62" i="67"/>
  <c r="I95" i="17"/>
  <c r="I119" i="17"/>
  <c r="I62" i="17"/>
  <c r="I95" i="67"/>
  <c r="I116" i="67"/>
  <c r="J116" i="67" s="1"/>
  <c r="I119" i="67"/>
  <c r="J119" i="67" s="1"/>
  <c r="I118" i="67"/>
  <c r="J118" i="67" s="1"/>
  <c r="I118" i="17"/>
  <c r="I76" i="17"/>
  <c r="I115" i="17"/>
  <c r="I89" i="67"/>
  <c r="I89" i="17"/>
  <c r="I64" i="17"/>
  <c r="I115" i="67"/>
  <c r="J115" i="67" s="1"/>
  <c r="I70" i="67"/>
  <c r="AD68" i="64"/>
  <c r="AD56" i="64"/>
  <c r="AD86" i="64"/>
  <c r="J116" i="75"/>
  <c r="J117" i="75"/>
  <c r="J118" i="75"/>
  <c r="J61" i="75"/>
  <c r="J94" i="75"/>
  <c r="J119" i="75"/>
  <c r="J115" i="75"/>
  <c r="AD72" i="64"/>
  <c r="AD59" i="64"/>
  <c r="AD87" i="64"/>
  <c r="AD75" i="64"/>
  <c r="AD89" i="64"/>
  <c r="AD88" i="64"/>
  <c r="AD64" i="64"/>
  <c r="AD57" i="64"/>
  <c r="AD78" i="64"/>
  <c r="AW47" i="32"/>
  <c r="AV47" i="32"/>
  <c r="AU47" i="32"/>
  <c r="AR47" i="32"/>
  <c r="AQ47" i="32"/>
  <c r="AT47" i="32"/>
  <c r="AO47" i="32"/>
  <c r="AS47" i="32"/>
  <c r="AP47" i="32"/>
  <c r="D47" i="32"/>
  <c r="AD61" i="64"/>
  <c r="AD74" i="64"/>
  <c r="AD84" i="64"/>
  <c r="AS21" i="32"/>
  <c r="Q21" i="32"/>
  <c r="AR21" i="32"/>
  <c r="P47" i="32"/>
  <c r="AQ21" i="32"/>
  <c r="AO21" i="32"/>
  <c r="N21" i="32"/>
  <c r="AW21" i="32"/>
  <c r="AP21" i="32"/>
  <c r="P21" i="32"/>
  <c r="AU21" i="32"/>
  <c r="D21" i="32"/>
  <c r="AT21" i="32"/>
  <c r="N47" i="32"/>
  <c r="AD71" i="64"/>
  <c r="AD76" i="64"/>
  <c r="AD65" i="64"/>
  <c r="AD80" i="64"/>
  <c r="AD66" i="64"/>
  <c r="AD81" i="64"/>
  <c r="AD62" i="64"/>
  <c r="AD69" i="64"/>
  <c r="AD60" i="64"/>
  <c r="AD73" i="64"/>
  <c r="AD70" i="64"/>
  <c r="AD67" i="64"/>
  <c r="AD83" i="64"/>
  <c r="AD77" i="64"/>
  <c r="AD63" i="64"/>
  <c r="AD79" i="64"/>
  <c r="AD82" i="64"/>
  <c r="AD58" i="64"/>
  <c r="AD47" i="64"/>
  <c r="D40" i="66"/>
  <c r="D52" i="66"/>
  <c r="H114" i="66"/>
  <c r="AD51" i="64"/>
  <c r="AD50" i="64"/>
  <c r="Q13" i="32"/>
  <c r="N13" i="32"/>
  <c r="P13" i="32"/>
  <c r="J43" i="66"/>
  <c r="J36" i="67"/>
  <c r="J48" i="67" s="1"/>
  <c r="M95" i="67" s="1"/>
  <c r="N95" i="67" s="1"/>
  <c r="H95" i="67" s="1"/>
  <c r="J36" i="66"/>
  <c r="J48" i="66" s="1"/>
  <c r="M95" i="66" s="1"/>
  <c r="N95" i="66" s="1"/>
  <c r="H95" i="66" s="1"/>
  <c r="E23" i="69"/>
  <c r="K35" i="14"/>
  <c r="L35" i="14"/>
  <c r="H20" i="33"/>
  <c r="I21" i="33"/>
  <c r="AM26" i="37"/>
  <c r="AG26" i="37"/>
  <c r="W26" i="37"/>
  <c r="O26" i="37"/>
  <c r="E26" i="37"/>
  <c r="C26" i="37"/>
  <c r="AN26" i="37"/>
  <c r="AL26" i="37"/>
  <c r="AB26" i="37"/>
  <c r="R26" i="37"/>
  <c r="B26" i="37"/>
  <c r="H26" i="37"/>
  <c r="G26" i="37"/>
  <c r="D26" i="37"/>
  <c r="I26" i="37"/>
  <c r="F26" i="37"/>
  <c r="U20" i="33"/>
  <c r="T21" i="33"/>
  <c r="J45" i="67"/>
  <c r="J39" i="67"/>
  <c r="J51" i="67" s="1"/>
  <c r="K46" i="69"/>
  <c r="L46" i="69"/>
  <c r="L40" i="69"/>
  <c r="K40" i="69"/>
  <c r="I52" i="66"/>
  <c r="I80" i="68"/>
  <c r="E12" i="69"/>
  <c r="J32" i="66"/>
  <c r="J44" i="66" s="1"/>
  <c r="A10" i="55"/>
  <c r="AF9" i="55"/>
  <c r="AN9" i="55"/>
  <c r="Q9" i="55"/>
  <c r="P9" i="55"/>
  <c r="O9" i="55"/>
  <c r="Z9" i="55"/>
  <c r="AL9" i="55"/>
  <c r="M9" i="55"/>
  <c r="T9" i="55"/>
  <c r="R9" i="55"/>
  <c r="L9" i="55"/>
  <c r="AJ9" i="55"/>
  <c r="AI9" i="55"/>
  <c r="AH9" i="55"/>
  <c r="AE9" i="55"/>
  <c r="AD9" i="55"/>
  <c r="V9" i="55"/>
  <c r="AO9" i="55"/>
  <c r="AC9" i="55"/>
  <c r="AB9" i="55"/>
  <c r="AA9" i="55"/>
  <c r="AM9" i="55"/>
  <c r="N9" i="55"/>
  <c r="Y9" i="55"/>
  <c r="AG9" i="55"/>
  <c r="AK9" i="55"/>
  <c r="X9" i="55"/>
  <c r="K9" i="55"/>
  <c r="W9" i="55"/>
  <c r="J9" i="55"/>
  <c r="S9" i="55"/>
  <c r="U9" i="55"/>
  <c r="L35" i="69"/>
  <c r="K35" i="69"/>
  <c r="AW28" i="37"/>
  <c r="AX28" i="37" s="1"/>
  <c r="A27" i="37"/>
  <c r="Q19" i="37"/>
  <c r="AI19" i="37"/>
  <c r="AU19" i="37"/>
  <c r="AS19" i="37"/>
  <c r="Y19" i="37"/>
  <c r="AA19" i="37"/>
  <c r="X19" i="37"/>
  <c r="T19" i="37"/>
  <c r="N19" i="37"/>
  <c r="AO19" i="37"/>
  <c r="AH19" i="37"/>
  <c r="AC19" i="37"/>
  <c r="AR19" i="37"/>
  <c r="AK19" i="37"/>
  <c r="AP19" i="37"/>
  <c r="AJ19" i="37"/>
  <c r="AF19" i="37"/>
  <c r="U19" i="37"/>
  <c r="AQ19" i="37"/>
  <c r="L19" i="37"/>
  <c r="V19" i="37"/>
  <c r="AV19" i="37"/>
  <c r="K19" i="37"/>
  <c r="Z19" i="37"/>
  <c r="AE19" i="37"/>
  <c r="P19" i="37"/>
  <c r="S19" i="37"/>
  <c r="AD19" i="37"/>
  <c r="AT19" i="37"/>
  <c r="L34" i="69"/>
  <c r="K34" i="69"/>
  <c r="L28" i="69"/>
  <c r="K28" i="69"/>
  <c r="K39" i="69"/>
  <c r="L39" i="69"/>
  <c r="I40" i="66"/>
  <c r="AP25" i="32"/>
  <c r="AT25" i="32"/>
  <c r="AU25" i="32"/>
  <c r="AQ25" i="32"/>
  <c r="AO25" i="32"/>
  <c r="Q25" i="32"/>
  <c r="AW25" i="32"/>
  <c r="AV25" i="32"/>
  <c r="AS25" i="32"/>
  <c r="AR25" i="32"/>
  <c r="N25" i="32"/>
  <c r="D25" i="32"/>
  <c r="P25" i="32"/>
  <c r="AM63" i="32"/>
  <c r="AN63" i="32"/>
  <c r="AG63" i="32"/>
  <c r="AL63" i="32"/>
  <c r="W63" i="32"/>
  <c r="AB63" i="32"/>
  <c r="R63" i="32"/>
  <c r="D48" i="32"/>
  <c r="P48" i="32"/>
  <c r="N48" i="32"/>
  <c r="Q48" i="32"/>
  <c r="P46" i="32"/>
  <c r="N46" i="32"/>
  <c r="Q46" i="32"/>
  <c r="D38" i="32"/>
  <c r="P38" i="32"/>
  <c r="N38" i="32"/>
  <c r="Q38" i="32"/>
  <c r="D33" i="32"/>
  <c r="Q33" i="32"/>
  <c r="P33" i="32"/>
  <c r="N33" i="32"/>
  <c r="P30" i="32"/>
  <c r="N30" i="32"/>
  <c r="Q30" i="32"/>
  <c r="P22" i="32"/>
  <c r="N22" i="32"/>
  <c r="Q22" i="32"/>
  <c r="P18" i="32"/>
  <c r="N18" i="32"/>
  <c r="Q18" i="32"/>
  <c r="P16" i="32"/>
  <c r="N16" i="32"/>
  <c r="Q16" i="32"/>
  <c r="Q15" i="32"/>
  <c r="P15" i="32"/>
  <c r="N15" i="32"/>
  <c r="V61" i="32"/>
  <c r="AA61" i="32"/>
  <c r="AO61" i="32"/>
  <c r="S61" i="32"/>
  <c r="P61" i="32"/>
  <c r="AD61" i="32"/>
  <c r="U61" i="32"/>
  <c r="AV61" i="32"/>
  <c r="AQ61" i="32"/>
  <c r="AU61" i="32"/>
  <c r="AF61" i="32"/>
  <c r="AW61" i="32"/>
  <c r="N61" i="32"/>
  <c r="Z61" i="32"/>
  <c r="AP61" i="32"/>
  <c r="Q61" i="32"/>
  <c r="AC61" i="32"/>
  <c r="AE61" i="32"/>
  <c r="T61" i="32"/>
  <c r="X61" i="32"/>
  <c r="AS61" i="32"/>
  <c r="AR61" i="32"/>
  <c r="AT61" i="32"/>
  <c r="Y61" i="32"/>
  <c r="AK61" i="32"/>
  <c r="AJ61" i="32"/>
  <c r="AI61" i="32"/>
  <c r="AH61" i="32"/>
  <c r="B63" i="32"/>
  <c r="D63" i="32"/>
  <c r="I63" i="32"/>
  <c r="F63" i="32"/>
  <c r="C63" i="32"/>
  <c r="E63" i="32"/>
  <c r="G63" i="32"/>
  <c r="H63" i="32"/>
  <c r="AX65" i="32"/>
  <c r="AY65" i="32" s="1"/>
  <c r="A64" i="32"/>
  <c r="D15" i="38"/>
  <c r="H18" i="36"/>
  <c r="AL18" i="36"/>
  <c r="AB18" i="36"/>
  <c r="X18" i="36"/>
  <c r="AD18" i="36"/>
  <c r="L18" i="36"/>
  <c r="V18" i="36"/>
  <c r="S18" i="36"/>
  <c r="K18" i="36"/>
  <c r="AK18" i="36"/>
  <c r="AO18" i="36"/>
  <c r="AA18" i="36"/>
  <c r="AM18" i="36"/>
  <c r="AH18" i="36"/>
  <c r="P18" i="36"/>
  <c r="E18" i="36"/>
  <c r="I18" i="36"/>
  <c r="AQ18" i="36"/>
  <c r="Q18" i="36"/>
  <c r="AI18" i="36"/>
  <c r="AF18" i="36"/>
  <c r="D18" i="36"/>
  <c r="AT18" i="36"/>
  <c r="T18" i="36"/>
  <c r="AS18" i="36"/>
  <c r="AC18" i="36"/>
  <c r="G18" i="36"/>
  <c r="F18" i="36"/>
  <c r="AN18" i="36"/>
  <c r="M18" i="36"/>
  <c r="AG18" i="36"/>
  <c r="R18" i="36"/>
  <c r="AU18" i="36"/>
  <c r="AP18" i="36"/>
  <c r="Y18" i="36"/>
  <c r="AJ18" i="36"/>
  <c r="O18" i="36"/>
  <c r="W18" i="36"/>
  <c r="N18" i="36"/>
  <c r="AR18" i="36"/>
  <c r="AE18" i="36"/>
  <c r="J18" i="36"/>
  <c r="Z18" i="36"/>
  <c r="U18" i="36"/>
  <c r="I34" i="57"/>
  <c r="I38" i="57" s="1"/>
  <c r="I35" i="57"/>
  <c r="I39" i="57" s="1"/>
  <c r="I40" i="57" s="1"/>
  <c r="I33" i="57"/>
  <c r="I37" i="57" s="1"/>
  <c r="R4" i="33"/>
  <c r="Q3" i="33"/>
  <c r="I24" i="57"/>
  <c r="F24" i="57" s="1"/>
  <c r="I29" i="57"/>
  <c r="F29" i="57" s="1"/>
  <c r="I27" i="57"/>
  <c r="F27" i="57" s="1"/>
  <c r="I28" i="57"/>
  <c r="F28" i="57" s="1"/>
  <c r="I25" i="57"/>
  <c r="F25" i="57" s="1"/>
  <c r="I26" i="57"/>
  <c r="F26" i="57" s="1"/>
  <c r="I23" i="57"/>
  <c r="F23" i="57" s="1"/>
  <c r="B121" i="41"/>
  <c r="I118" i="66"/>
  <c r="J118" i="66" s="1"/>
  <c r="I64" i="66"/>
  <c r="J64" i="66" s="1"/>
  <c r="I76" i="66"/>
  <c r="I115" i="66"/>
  <c r="J115" i="66" s="1"/>
  <c r="I70" i="66"/>
  <c r="I113" i="66"/>
  <c r="J113" i="66" s="1"/>
  <c r="I61" i="66"/>
  <c r="J61" i="66" s="1"/>
  <c r="I94" i="66"/>
  <c r="J94" i="66" s="1"/>
  <c r="I114" i="66"/>
  <c r="J114" i="66" s="1"/>
  <c r="I95" i="66"/>
  <c r="I62" i="66"/>
  <c r="I89" i="66"/>
  <c r="I117" i="66"/>
  <c r="J117" i="66" s="1"/>
  <c r="I116" i="66"/>
  <c r="J116" i="66" s="1"/>
  <c r="I93" i="66"/>
  <c r="I63" i="66"/>
  <c r="J63" i="66" s="1"/>
  <c r="I119" i="66"/>
  <c r="J119" i="66" s="1"/>
  <c r="H20" i="36"/>
  <c r="E20" i="36"/>
  <c r="F20" i="36"/>
  <c r="I20" i="36"/>
  <c r="G20" i="36"/>
  <c r="D20" i="36"/>
  <c r="I15" i="38"/>
  <c r="D43" i="17"/>
  <c r="D52" i="17" s="1"/>
  <c r="D40" i="17"/>
  <c r="AA18" i="37"/>
  <c r="Q18" i="37"/>
  <c r="AJ18" i="37"/>
  <c r="Z18" i="37"/>
  <c r="AO18" i="37"/>
  <c r="S18" i="37"/>
  <c r="V18" i="37"/>
  <c r="AS18" i="37"/>
  <c r="AI18" i="37"/>
  <c r="AD18" i="37"/>
  <c r="AR18" i="37"/>
  <c r="T18" i="37"/>
  <c r="AH18" i="37"/>
  <c r="AQ18" i="37"/>
  <c r="AT18" i="37"/>
  <c r="AV18" i="37"/>
  <c r="N18" i="37"/>
  <c r="AF18" i="37"/>
  <c r="AC18" i="37"/>
  <c r="K18" i="37"/>
  <c r="AP18" i="37"/>
  <c r="L18" i="37"/>
  <c r="AU18" i="37"/>
  <c r="U18" i="37"/>
  <c r="AK18" i="37"/>
  <c r="D18" i="37"/>
  <c r="Y18" i="37"/>
  <c r="AE18" i="37"/>
  <c r="P18" i="37"/>
  <c r="X18" i="37"/>
  <c r="B17" i="38"/>
  <c r="E17" i="38" s="1"/>
  <c r="G17" i="38"/>
  <c r="F17" i="38"/>
  <c r="H17" i="38"/>
  <c r="B87" i="14"/>
  <c r="B77" i="63"/>
  <c r="M25" i="10"/>
  <c r="C47" i="50"/>
  <c r="C49" i="50" s="1"/>
  <c r="AV25" i="36"/>
  <c r="AW25" i="36" s="1"/>
  <c r="A24" i="36"/>
  <c r="AO32" i="32"/>
  <c r="AR32" i="32"/>
  <c r="AQ32" i="32"/>
  <c r="AU32" i="32"/>
  <c r="AV32" i="32"/>
  <c r="AS32" i="32"/>
  <c r="N32" i="32"/>
  <c r="AP32" i="32"/>
  <c r="AT32" i="32"/>
  <c r="Q32" i="32"/>
  <c r="P32" i="32"/>
  <c r="AW32" i="32"/>
  <c r="P20" i="32"/>
  <c r="AR20" i="32"/>
  <c r="N20" i="32"/>
  <c r="AT20" i="32"/>
  <c r="AO20" i="32"/>
  <c r="AP20" i="32"/>
  <c r="AW20" i="32"/>
  <c r="AV20" i="32"/>
  <c r="AQ20" i="32"/>
  <c r="AS20" i="32"/>
  <c r="Q20" i="32"/>
  <c r="AU20" i="32"/>
  <c r="K28" i="14"/>
  <c r="L28" i="14"/>
  <c r="I43" i="17"/>
  <c r="I52" i="17" s="1"/>
  <c r="I40" i="17"/>
  <c r="J34" i="17"/>
  <c r="J46" i="17" s="1"/>
  <c r="J39" i="17"/>
  <c r="J51" i="17" s="1"/>
  <c r="J32" i="17"/>
  <c r="J44" i="17" s="1"/>
  <c r="E12" i="63"/>
  <c r="E12" i="14"/>
  <c r="E16" i="63"/>
  <c r="S20" i="36"/>
  <c r="L20" i="36"/>
  <c r="AC20" i="36"/>
  <c r="Y20" i="36"/>
  <c r="AO20" i="36"/>
  <c r="AF20" i="36"/>
  <c r="W20" i="36"/>
  <c r="AB20" i="36"/>
  <c r="T20" i="36"/>
  <c r="AG20" i="36"/>
  <c r="AP20" i="36"/>
  <c r="AM20" i="36"/>
  <c r="X20" i="36"/>
  <c r="AJ20" i="36"/>
  <c r="Q20" i="36"/>
  <c r="AH20" i="36"/>
  <c r="AE20" i="36"/>
  <c r="O20" i="36"/>
  <c r="P20" i="36"/>
  <c r="AT20" i="36"/>
  <c r="R20" i="36"/>
  <c r="AA20" i="36"/>
  <c r="Z20" i="36"/>
  <c r="K20" i="36"/>
  <c r="AN20" i="36"/>
  <c r="AS20" i="36"/>
  <c r="AK20" i="36"/>
  <c r="AL20" i="36"/>
  <c r="V20" i="36"/>
  <c r="AI20" i="36"/>
  <c r="AQ20" i="36"/>
  <c r="M20" i="36"/>
  <c r="AU20" i="36"/>
  <c r="AD20" i="36"/>
  <c r="AR20" i="36"/>
  <c r="U20" i="36"/>
  <c r="N20" i="36"/>
  <c r="B80" i="63"/>
  <c r="B90" i="14"/>
  <c r="R25" i="10"/>
  <c r="P66" i="5"/>
  <c r="O71" i="5"/>
  <c r="L46" i="14"/>
  <c r="K46" i="14"/>
  <c r="Q20" i="37"/>
  <c r="AE20" i="37"/>
  <c r="L20" i="37"/>
  <c r="AH20" i="37"/>
  <c r="AU20" i="37"/>
  <c r="AS20" i="37"/>
  <c r="AA20" i="37"/>
  <c r="AV20" i="37"/>
  <c r="AJ20" i="37"/>
  <c r="T20" i="37"/>
  <c r="Y20" i="37"/>
  <c r="AT20" i="37"/>
  <c r="AC20" i="37"/>
  <c r="AR20" i="37"/>
  <c r="X20" i="37"/>
  <c r="K20" i="37"/>
  <c r="AI20" i="37"/>
  <c r="U20" i="37"/>
  <c r="V20" i="37"/>
  <c r="AD20" i="37"/>
  <c r="N20" i="37"/>
  <c r="S20" i="37"/>
  <c r="AF20" i="37"/>
  <c r="AK20" i="37"/>
  <c r="Z20" i="37"/>
  <c r="AO20" i="37"/>
  <c r="P20" i="37"/>
  <c r="AP20" i="37"/>
  <c r="AQ20" i="37"/>
  <c r="J59" i="41"/>
  <c r="AX15" i="36" s="1"/>
  <c r="AX14" i="36"/>
  <c r="E16" i="38"/>
  <c r="D16" i="38"/>
  <c r="I16" i="38"/>
  <c r="I43" i="5"/>
  <c r="I44" i="5"/>
  <c r="I37" i="5"/>
  <c r="I11" i="5"/>
  <c r="I39" i="5"/>
  <c r="I41" i="5"/>
  <c r="I42" i="5"/>
  <c r="I38" i="5"/>
  <c r="J10" i="5"/>
  <c r="I40" i="5"/>
  <c r="H45" i="5"/>
  <c r="L80" i="12"/>
  <c r="C38" i="12" s="1"/>
  <c r="I80" i="12"/>
  <c r="C84" i="12"/>
  <c r="D43" i="21"/>
  <c r="C43" i="21"/>
  <c r="D14" i="32"/>
  <c r="Q14" i="32"/>
  <c r="AS14" i="32"/>
  <c r="AR14" i="32"/>
  <c r="AQ14" i="32"/>
  <c r="AO14" i="32"/>
  <c r="AP14" i="32"/>
  <c r="AU14" i="32"/>
  <c r="N14" i="32"/>
  <c r="AT14" i="32"/>
  <c r="P14" i="32"/>
  <c r="AV14" i="32"/>
  <c r="AW14" i="32"/>
  <c r="G23" i="32"/>
  <c r="I23" i="32"/>
  <c r="H23" i="32"/>
  <c r="C23" i="32"/>
  <c r="F23" i="32"/>
  <c r="B23" i="32"/>
  <c r="E23" i="32" s="1"/>
  <c r="F17" i="20"/>
  <c r="B17" i="20"/>
  <c r="I17" i="20" s="1"/>
  <c r="G17" i="20"/>
  <c r="H17" i="20"/>
  <c r="L30" i="63"/>
  <c r="K30" i="63"/>
  <c r="C69" i="14"/>
  <c r="C70" i="14" s="1"/>
  <c r="C71" i="14" s="1"/>
  <c r="C72" i="14" s="1"/>
  <c r="D68" i="14"/>
  <c r="C77" i="14"/>
  <c r="C78" i="14" s="1"/>
  <c r="C79" i="14" s="1"/>
  <c r="C80" i="14" s="1"/>
  <c r="K19" i="38"/>
  <c r="L19" i="38" s="1"/>
  <c r="A18" i="38"/>
  <c r="B91" i="14"/>
  <c r="B81" i="63"/>
  <c r="O25" i="10"/>
  <c r="C23" i="36"/>
  <c r="B23" i="36"/>
  <c r="G23" i="36" s="1"/>
  <c r="AW18" i="32"/>
  <c r="AS18" i="32"/>
  <c r="AO18" i="32"/>
  <c r="AV18" i="32"/>
  <c r="AU18" i="32"/>
  <c r="AR18" i="32"/>
  <c r="AP18" i="32"/>
  <c r="D18" i="32"/>
  <c r="AQ18" i="32"/>
  <c r="AT18" i="32"/>
  <c r="AV15" i="32"/>
  <c r="AO15" i="32"/>
  <c r="AW15" i="32"/>
  <c r="AQ15" i="32"/>
  <c r="D15" i="32"/>
  <c r="AR15" i="32"/>
  <c r="AS15" i="32"/>
  <c r="AU15" i="32"/>
  <c r="AP15" i="32"/>
  <c r="AT15" i="32"/>
  <c r="A44" i="56"/>
  <c r="K22" i="63"/>
  <c r="L22" i="63"/>
  <c r="K39" i="14"/>
  <c r="L39" i="14"/>
  <c r="J31" i="17"/>
  <c r="J35" i="17"/>
  <c r="J47" i="17" s="1"/>
  <c r="J36" i="17"/>
  <c r="J48" i="17" s="1"/>
  <c r="M95" i="17" s="1"/>
  <c r="N95" i="17" s="1"/>
  <c r="J36" i="41"/>
  <c r="J48" i="41" s="1"/>
  <c r="M95" i="41" s="1"/>
  <c r="N95" i="41" s="1"/>
  <c r="H95" i="41" s="1"/>
  <c r="E25" i="63"/>
  <c r="E21" i="63"/>
  <c r="E23" i="14"/>
  <c r="D16" i="20"/>
  <c r="E16" i="20"/>
  <c r="I16" i="20"/>
  <c r="I27" i="33"/>
  <c r="H26" i="33"/>
  <c r="L40" i="14"/>
  <c r="K40" i="14"/>
  <c r="M80" i="12"/>
  <c r="D38" i="12" s="1"/>
  <c r="H58" i="5"/>
  <c r="I50" i="5"/>
  <c r="B78" i="63"/>
  <c r="N25" i="10"/>
  <c r="B88" i="14"/>
  <c r="AH53" i="32"/>
  <c r="AK53" i="32"/>
  <c r="AU53" i="32"/>
  <c r="Q53" i="32"/>
  <c r="AS53" i="32"/>
  <c r="V53" i="32"/>
  <c r="AD53" i="32"/>
  <c r="Z53" i="32"/>
  <c r="AF53" i="32"/>
  <c r="AT53" i="32"/>
  <c r="AO53" i="32"/>
  <c r="X53" i="32"/>
  <c r="AE53" i="32"/>
  <c r="Y53" i="32"/>
  <c r="P53" i="32"/>
  <c r="AV53" i="32"/>
  <c r="AC53" i="32"/>
  <c r="U53" i="32"/>
  <c r="AQ53" i="32"/>
  <c r="AW53" i="32"/>
  <c r="AI53" i="32"/>
  <c r="AP53" i="32"/>
  <c r="N53" i="32"/>
  <c r="S53" i="32"/>
  <c r="AR53" i="32"/>
  <c r="AJ53" i="32"/>
  <c r="T53" i="32"/>
  <c r="AA53" i="32"/>
  <c r="K19" i="20"/>
  <c r="L19" i="20" s="1"/>
  <c r="A18" i="20"/>
  <c r="K34" i="14"/>
  <c r="L34" i="14"/>
  <c r="J45" i="41"/>
  <c r="J39" i="41"/>
  <c r="J51" i="41" s="1"/>
  <c r="AD48" i="64"/>
  <c r="U21" i="37"/>
  <c r="AI21" i="37"/>
  <c r="Y21" i="37"/>
  <c r="AT21" i="37"/>
  <c r="AA21" i="37"/>
  <c r="AK21" i="37"/>
  <c r="X21" i="37"/>
  <c r="AV21" i="37"/>
  <c r="D21" i="37"/>
  <c r="K21" i="37"/>
  <c r="AO21" i="37"/>
  <c r="L21" i="37"/>
  <c r="AE21" i="37"/>
  <c r="T21" i="37"/>
  <c r="AJ21" i="37"/>
  <c r="AU21" i="37"/>
  <c r="AS21" i="37"/>
  <c r="AC21" i="37"/>
  <c r="P21" i="37"/>
  <c r="S21" i="37"/>
  <c r="AR21" i="37"/>
  <c r="AQ21" i="37"/>
  <c r="AH21" i="37"/>
  <c r="AF21" i="37"/>
  <c r="Q21" i="37"/>
  <c r="AD21" i="37"/>
  <c r="Z21" i="37"/>
  <c r="AP21" i="37"/>
  <c r="N21" i="37"/>
  <c r="C41" i="32"/>
  <c r="I41" i="32"/>
  <c r="H41" i="32"/>
  <c r="F41" i="32"/>
  <c r="G41" i="32"/>
  <c r="B41" i="32"/>
  <c r="E41" i="32" s="1"/>
  <c r="C61" i="18"/>
  <c r="F61" i="18"/>
  <c r="E61" i="18"/>
  <c r="D61" i="18"/>
  <c r="B61" i="18"/>
  <c r="D38" i="18"/>
  <c r="B38" i="18"/>
  <c r="C38" i="18"/>
  <c r="E38" i="18"/>
  <c r="F38" i="18"/>
  <c r="Y15" i="37"/>
  <c r="L15" i="37"/>
  <c r="S15" i="37"/>
  <c r="AQ15" i="37"/>
  <c r="D15" i="37"/>
  <c r="K15" i="37"/>
  <c r="AV15" i="37"/>
  <c r="AH15" i="37"/>
  <c r="V15" i="37"/>
  <c r="Z15" i="37"/>
  <c r="T15" i="37"/>
  <c r="AS15" i="37"/>
  <c r="AI15" i="37"/>
  <c r="N15" i="37"/>
  <c r="AF15" i="37"/>
  <c r="AP15" i="37"/>
  <c r="AA15" i="37"/>
  <c r="AU15" i="37"/>
  <c r="AR15" i="37"/>
  <c r="AJ15" i="37"/>
  <c r="AO15" i="37"/>
  <c r="AE15" i="37"/>
  <c r="AC15" i="37"/>
  <c r="X15" i="37"/>
  <c r="P15" i="37"/>
  <c r="AK15" i="37"/>
  <c r="AD15" i="37"/>
  <c r="Q15" i="37"/>
  <c r="AT15" i="37"/>
  <c r="U15" i="37"/>
  <c r="C58" i="32"/>
  <c r="B58" i="32"/>
  <c r="E58" i="32" s="1"/>
  <c r="G58" i="32"/>
  <c r="H58" i="32"/>
  <c r="I58" i="32"/>
  <c r="F58" i="32"/>
  <c r="B34" i="32"/>
  <c r="E34" i="32" s="1"/>
  <c r="I34" i="32"/>
  <c r="C34" i="32"/>
  <c r="H34" i="32"/>
  <c r="F34" i="32"/>
  <c r="G34" i="32"/>
  <c r="AW16" i="32"/>
  <c r="AQ16" i="32"/>
  <c r="AO16" i="32"/>
  <c r="AV16" i="32"/>
  <c r="AU16" i="32"/>
  <c r="AR16" i="32"/>
  <c r="D16" i="32"/>
  <c r="AP16" i="32"/>
  <c r="AS16" i="32"/>
  <c r="AT16" i="32"/>
  <c r="C51" i="18"/>
  <c r="D51" i="18"/>
  <c r="B51" i="18"/>
  <c r="E51" i="18"/>
  <c r="F51" i="18"/>
  <c r="F22" i="37"/>
  <c r="G22" i="37"/>
  <c r="I22" i="37"/>
  <c r="C22" i="37"/>
  <c r="B22" i="37"/>
  <c r="E22" i="37" s="1"/>
  <c r="H22" i="37"/>
  <c r="C35" i="32"/>
  <c r="H35" i="32"/>
  <c r="I35" i="32"/>
  <c r="F35" i="32"/>
  <c r="B35" i="32"/>
  <c r="E35" i="32" s="1"/>
  <c r="G35" i="32"/>
  <c r="AQ13" i="32"/>
  <c r="AP13" i="32"/>
  <c r="AW13" i="32"/>
  <c r="AS13" i="32"/>
  <c r="AU13" i="32"/>
  <c r="AR13" i="32"/>
  <c r="AO13" i="32"/>
  <c r="AT13" i="32"/>
  <c r="D13" i="32"/>
  <c r="AV13" i="32"/>
  <c r="AO38" i="32"/>
  <c r="AW38" i="32"/>
  <c r="AR38" i="32"/>
  <c r="AT38" i="32"/>
  <c r="AS38" i="32"/>
  <c r="AV38" i="32"/>
  <c r="AU38" i="32"/>
  <c r="AP38" i="32"/>
  <c r="AQ38" i="32"/>
  <c r="B121" i="17"/>
  <c r="AO22" i="32"/>
  <c r="AQ22" i="32"/>
  <c r="AS22" i="32"/>
  <c r="AP22" i="32"/>
  <c r="AT22" i="32"/>
  <c r="AR22" i="32"/>
  <c r="AV22" i="32"/>
  <c r="AW22" i="32"/>
  <c r="D22" i="32"/>
  <c r="AU22" i="32"/>
  <c r="B27" i="18"/>
  <c r="E27" i="18"/>
  <c r="C27" i="18"/>
  <c r="F27" i="18"/>
  <c r="D27" i="18"/>
  <c r="E56" i="18"/>
  <c r="D56" i="18"/>
  <c r="B56" i="18"/>
  <c r="F56" i="18"/>
  <c r="C56" i="18"/>
  <c r="D14" i="37"/>
  <c r="AE14" i="37"/>
  <c r="AH14" i="37"/>
  <c r="N14" i="37"/>
  <c r="AI14" i="37"/>
  <c r="AT14" i="37"/>
  <c r="Y14" i="37"/>
  <c r="AR14" i="37"/>
  <c r="L14" i="37"/>
  <c r="AF14" i="37"/>
  <c r="P14" i="37"/>
  <c r="Z14" i="37"/>
  <c r="AK14" i="37"/>
  <c r="AA14" i="37"/>
  <c r="AU14" i="37"/>
  <c r="AV14" i="37"/>
  <c r="Q14" i="37"/>
  <c r="AP14" i="37"/>
  <c r="AQ14" i="37"/>
  <c r="AS14" i="37"/>
  <c r="U14" i="37"/>
  <c r="AJ14" i="37"/>
  <c r="S14" i="37"/>
  <c r="AD14" i="37"/>
  <c r="AO14" i="37"/>
  <c r="X14" i="37"/>
  <c r="V14" i="37"/>
  <c r="AC14" i="37"/>
  <c r="T14" i="37"/>
  <c r="K14" i="37"/>
  <c r="I24" i="32"/>
  <c r="H24" i="32"/>
  <c r="B24" i="32"/>
  <c r="E24" i="32" s="1"/>
  <c r="G24" i="32"/>
  <c r="C24" i="32"/>
  <c r="F24" i="32"/>
  <c r="I54" i="32"/>
  <c r="H54" i="32"/>
  <c r="B54" i="32"/>
  <c r="E54" i="32" s="1"/>
  <c r="C54" i="32"/>
  <c r="G54" i="32"/>
  <c r="F54" i="32"/>
  <c r="G45" i="32"/>
  <c r="C45" i="32"/>
  <c r="I45" i="32"/>
  <c r="F45" i="32"/>
  <c r="B45" i="32"/>
  <c r="E45" i="32" s="1"/>
  <c r="H45" i="32"/>
  <c r="I36" i="32"/>
  <c r="G36" i="32"/>
  <c r="F36" i="32"/>
  <c r="B36" i="32"/>
  <c r="E36" i="32" s="1"/>
  <c r="H36" i="32"/>
  <c r="C36" i="32"/>
  <c r="D16" i="37"/>
  <c r="N16" i="37"/>
  <c r="AV16" i="37"/>
  <c r="AE16" i="37"/>
  <c r="AS16" i="37"/>
  <c r="L16" i="37"/>
  <c r="U16" i="37"/>
  <c r="AQ16" i="37"/>
  <c r="AO16" i="37"/>
  <c r="AU16" i="37"/>
  <c r="AR16" i="37"/>
  <c r="AF16" i="37"/>
  <c r="X16" i="37"/>
  <c r="K16" i="37"/>
  <c r="AJ16" i="37"/>
  <c r="AH16" i="37"/>
  <c r="Q16" i="37"/>
  <c r="AC16" i="37"/>
  <c r="AA16" i="37"/>
  <c r="AI16" i="37"/>
  <c r="AP16" i="37"/>
  <c r="V16" i="37"/>
  <c r="T16" i="37"/>
  <c r="AD16" i="37"/>
  <c r="AK16" i="37"/>
  <c r="Z16" i="37"/>
  <c r="Y16" i="37"/>
  <c r="S16" i="37"/>
  <c r="AT16" i="37"/>
  <c r="P16" i="37"/>
  <c r="C56" i="32"/>
  <c r="I56" i="32"/>
  <c r="H56" i="32"/>
  <c r="F56" i="32"/>
  <c r="B56" i="32"/>
  <c r="E56" i="32" s="1"/>
  <c r="G56" i="32"/>
  <c r="F24" i="37"/>
  <c r="I24" i="37"/>
  <c r="H24" i="37"/>
  <c r="G24" i="37"/>
  <c r="C24" i="37"/>
  <c r="D24" i="37" s="1"/>
  <c r="B24" i="37"/>
  <c r="E24" i="37" s="1"/>
  <c r="F39" i="18"/>
  <c r="C39" i="18"/>
  <c r="B39" i="18"/>
  <c r="E39" i="18"/>
  <c r="D39" i="18"/>
  <c r="B51" i="32"/>
  <c r="E51" i="32" s="1"/>
  <c r="I51" i="32"/>
  <c r="H51" i="32"/>
  <c r="F51" i="32"/>
  <c r="G51" i="32"/>
  <c r="C51" i="32"/>
  <c r="H62" i="32"/>
  <c r="I62" i="32"/>
  <c r="C62" i="32"/>
  <c r="G62" i="32"/>
  <c r="B62" i="32"/>
  <c r="E62" i="32" s="1"/>
  <c r="F62" i="32"/>
  <c r="F62" i="18"/>
  <c r="E62" i="18"/>
  <c r="D62" i="18"/>
  <c r="B62" i="18"/>
  <c r="C62" i="18"/>
  <c r="C64" i="18"/>
  <c r="D64" i="18"/>
  <c r="F64" i="18"/>
  <c r="E64" i="18"/>
  <c r="B64" i="18"/>
  <c r="AV48" i="32"/>
  <c r="AU48" i="32"/>
  <c r="AS48" i="32"/>
  <c r="AT48" i="32"/>
  <c r="AO48" i="32"/>
  <c r="AW48" i="32"/>
  <c r="AR48" i="32"/>
  <c r="AQ48" i="32"/>
  <c r="AP48" i="32"/>
  <c r="E72" i="18"/>
  <c r="D72" i="18"/>
  <c r="F72" i="18"/>
  <c r="B72" i="18"/>
  <c r="C72" i="18"/>
  <c r="H57" i="32"/>
  <c r="G57" i="32"/>
  <c r="B57" i="32"/>
  <c r="E57" i="32" s="1"/>
  <c r="I57" i="32"/>
  <c r="F57" i="32"/>
  <c r="C57" i="32"/>
  <c r="I55" i="32"/>
  <c r="G55" i="32"/>
  <c r="C55" i="32"/>
  <c r="H55" i="32"/>
  <c r="F55" i="32"/>
  <c r="B55" i="32"/>
  <c r="E55" i="32" s="1"/>
  <c r="AR33" i="32"/>
  <c r="AQ33" i="32"/>
  <c r="AS33" i="32"/>
  <c r="AV33" i="32"/>
  <c r="AO33" i="32"/>
  <c r="AW33" i="32"/>
  <c r="AP33" i="32"/>
  <c r="AU33" i="32"/>
  <c r="AT33" i="32"/>
  <c r="F55" i="18"/>
  <c r="C55" i="18"/>
  <c r="B55" i="18"/>
  <c r="D55" i="18"/>
  <c r="E55" i="18"/>
  <c r="AU46" i="32"/>
  <c r="AQ46" i="32"/>
  <c r="AP46" i="32"/>
  <c r="D46" i="32"/>
  <c r="AS46" i="32"/>
  <c r="AW46" i="32"/>
  <c r="AT46" i="32"/>
  <c r="AR46" i="32"/>
  <c r="AO46" i="32"/>
  <c r="AV46" i="32"/>
  <c r="AW30" i="32"/>
  <c r="D30" i="32"/>
  <c r="AS30" i="32"/>
  <c r="AU30" i="32"/>
  <c r="AO30" i="32"/>
  <c r="AV30" i="32"/>
  <c r="AT30" i="32"/>
  <c r="AR30" i="32"/>
  <c r="AP30" i="32"/>
  <c r="AQ30" i="32"/>
  <c r="D41" i="18"/>
  <c r="F41" i="18"/>
  <c r="B41" i="18"/>
  <c r="C41" i="18"/>
  <c r="E41" i="18"/>
  <c r="E29" i="18"/>
  <c r="B29" i="18"/>
  <c r="F29" i="18"/>
  <c r="C29" i="18"/>
  <c r="D29" i="18"/>
  <c r="H42" i="32"/>
  <c r="I42" i="32"/>
  <c r="F42" i="32"/>
  <c r="C42" i="32"/>
  <c r="B42" i="32"/>
  <c r="E42" i="32" s="1"/>
  <c r="G42" i="32"/>
  <c r="C50" i="32"/>
  <c r="I50" i="32"/>
  <c r="F50" i="32"/>
  <c r="G50" i="32"/>
  <c r="B50" i="32"/>
  <c r="E50" i="32" s="1"/>
  <c r="H50" i="32"/>
  <c r="F43" i="18"/>
  <c r="D43" i="18"/>
  <c r="B43" i="18"/>
  <c r="E43" i="18"/>
  <c r="C43" i="18"/>
  <c r="D50" i="18"/>
  <c r="F50" i="18"/>
  <c r="E50" i="18"/>
  <c r="C50" i="18"/>
  <c r="B50" i="18"/>
  <c r="I29" i="32"/>
  <c r="H29" i="32"/>
  <c r="G29" i="32"/>
  <c r="B29" i="32"/>
  <c r="E29" i="32" s="1"/>
  <c r="F29" i="32"/>
  <c r="C29" i="32"/>
  <c r="G59" i="32"/>
  <c r="C59" i="32"/>
  <c r="H59" i="32"/>
  <c r="I59" i="32"/>
  <c r="F59" i="32"/>
  <c r="B59" i="32"/>
  <c r="E59" i="32" s="1"/>
  <c r="F37" i="32"/>
  <c r="H37" i="32"/>
  <c r="I37" i="32"/>
  <c r="C37" i="32"/>
  <c r="AG37" i="32" s="1"/>
  <c r="G37" i="32"/>
  <c r="B37" i="32"/>
  <c r="E37" i="32" s="1"/>
  <c r="I15" i="18"/>
  <c r="D14" i="18"/>
  <c r="C14" i="18"/>
  <c r="E13" i="18"/>
  <c r="F13" i="18"/>
  <c r="AV34" i="19"/>
  <c r="AW34" i="19" s="1"/>
  <c r="A33" i="19"/>
  <c r="F31" i="19"/>
  <c r="G31" i="19"/>
  <c r="Q31" i="19"/>
  <c r="Z31" i="19"/>
  <c r="V31" i="19"/>
  <c r="AE31" i="19"/>
  <c r="X31" i="19"/>
  <c r="AC31" i="19"/>
  <c r="AK31" i="19"/>
  <c r="AJ31" i="19"/>
  <c r="AS31" i="19"/>
  <c r="AR31" i="19"/>
  <c r="AH31" i="19"/>
  <c r="O31" i="19"/>
  <c r="AF31" i="19"/>
  <c r="AA31" i="19"/>
  <c r="AI31" i="19"/>
  <c r="AD31" i="19"/>
  <c r="AM31" i="19"/>
  <c r="AG31" i="19"/>
  <c r="AB31" i="19"/>
  <c r="R31" i="19"/>
  <c r="W31" i="19"/>
  <c r="N31" i="19"/>
  <c r="K31" i="19"/>
  <c r="S31" i="19"/>
  <c r="AO31" i="19"/>
  <c r="E31" i="19"/>
  <c r="AP31" i="19"/>
  <c r="H31" i="19"/>
  <c r="M31" i="19"/>
  <c r="L31" i="19"/>
  <c r="U31" i="19"/>
  <c r="T31" i="19"/>
  <c r="AQ31" i="19"/>
  <c r="AU31" i="19"/>
  <c r="P31" i="19"/>
  <c r="I31" i="19"/>
  <c r="AL31" i="19"/>
  <c r="J31" i="19"/>
  <c r="AN31" i="19"/>
  <c r="D31" i="19"/>
  <c r="AT31" i="19"/>
  <c r="Y31" i="19"/>
  <c r="C32" i="19"/>
  <c r="B32" i="19"/>
  <c r="F32" i="19" s="1"/>
  <c r="M19" i="37"/>
  <c r="J20" i="37"/>
  <c r="M20" i="37"/>
  <c r="L25" i="37"/>
  <c r="AQ25" i="37"/>
  <c r="AV25" i="37"/>
  <c r="Y25" i="37"/>
  <c r="Z25" i="37"/>
  <c r="AC25" i="37"/>
  <c r="Q25" i="37"/>
  <c r="S25" i="37"/>
  <c r="AA25" i="37"/>
  <c r="AK25" i="37"/>
  <c r="AT25" i="37"/>
  <c r="P25" i="37"/>
  <c r="U25" i="37"/>
  <c r="N25" i="37"/>
  <c r="AR25" i="37"/>
  <c r="AJ25" i="37"/>
  <c r="AE25" i="37"/>
  <c r="V25" i="37"/>
  <c r="D25" i="37"/>
  <c r="AO25" i="37"/>
  <c r="AS25" i="37"/>
  <c r="K25" i="37"/>
  <c r="AH25" i="37"/>
  <c r="X25" i="37"/>
  <c r="AP25" i="37"/>
  <c r="AU25" i="37"/>
  <c r="T25" i="37"/>
  <c r="AI25" i="37"/>
  <c r="AF25" i="37"/>
  <c r="AD25" i="37"/>
  <c r="H28" i="32"/>
  <c r="F28" i="32"/>
  <c r="G28" i="32"/>
  <c r="I28" i="32"/>
  <c r="B28" i="32"/>
  <c r="E28" i="32" s="1"/>
  <c r="C28" i="32"/>
  <c r="J19" i="37"/>
  <c r="H23" i="37"/>
  <c r="G23" i="37"/>
  <c r="C23" i="37"/>
  <c r="B23" i="37"/>
  <c r="E23" i="37" s="1"/>
  <c r="I23" i="37"/>
  <c r="F23" i="37"/>
  <c r="B52" i="18"/>
  <c r="D52" i="18"/>
  <c r="E52" i="18"/>
  <c r="F52" i="18"/>
  <c r="C52" i="18"/>
  <c r="H76" i="17"/>
  <c r="I72" i="67" l="1"/>
  <c r="J70" i="67"/>
  <c r="J95" i="67"/>
  <c r="I96" i="67"/>
  <c r="I77" i="67"/>
  <c r="J76" i="67"/>
  <c r="J93" i="67"/>
  <c r="I99" i="67"/>
  <c r="J99" i="67" s="1"/>
  <c r="I98" i="67"/>
  <c r="J98" i="67" s="1"/>
  <c r="J89" i="67"/>
  <c r="I90" i="67"/>
  <c r="J90" i="67" s="1"/>
  <c r="J62" i="67"/>
  <c r="J65" i="67" s="1"/>
  <c r="J66" i="67" s="1"/>
  <c r="I65" i="67"/>
  <c r="I66" i="67" s="1"/>
  <c r="I90" i="75"/>
  <c r="J90" i="75" s="1"/>
  <c r="J89" i="75"/>
  <c r="I98" i="75"/>
  <c r="J98" i="75" s="1"/>
  <c r="I99" i="75"/>
  <c r="J99" i="75" s="1"/>
  <c r="J93" i="75"/>
  <c r="I77" i="75"/>
  <c r="J76" i="75"/>
  <c r="I96" i="75"/>
  <c r="J95" i="75"/>
  <c r="I72" i="75"/>
  <c r="J70" i="75"/>
  <c r="J62" i="75"/>
  <c r="J65" i="75" s="1"/>
  <c r="J66" i="75" s="1"/>
  <c r="I65" i="75"/>
  <c r="I66" i="75" s="1"/>
  <c r="J40" i="67"/>
  <c r="J26" i="37"/>
  <c r="W37" i="32"/>
  <c r="AB37" i="32"/>
  <c r="AC37" i="32" s="1"/>
  <c r="AD37" i="32" s="1"/>
  <c r="AE37" i="32" s="1"/>
  <c r="AF37" i="32" s="1"/>
  <c r="M26" i="37"/>
  <c r="E14" i="69"/>
  <c r="C32" i="67"/>
  <c r="C32" i="66"/>
  <c r="C44" i="66" s="1"/>
  <c r="M69" i="66" s="1"/>
  <c r="N69" i="66" s="1"/>
  <c r="H69" i="66" s="1"/>
  <c r="AM27" i="37"/>
  <c r="AG27" i="37"/>
  <c r="W27" i="37"/>
  <c r="O27" i="37"/>
  <c r="AN27" i="37"/>
  <c r="AL27" i="37"/>
  <c r="AB27" i="37"/>
  <c r="R27" i="37"/>
  <c r="I27" i="37"/>
  <c r="C27" i="37"/>
  <c r="F27" i="37"/>
  <c r="H27" i="37"/>
  <c r="B27" i="37"/>
  <c r="E27" i="37"/>
  <c r="G27" i="37"/>
  <c r="D27" i="37"/>
  <c r="S80" i="68"/>
  <c r="J38" i="68" s="1"/>
  <c r="N80" i="68"/>
  <c r="E38" i="68" s="1"/>
  <c r="K80" i="68"/>
  <c r="B38" i="68" s="1"/>
  <c r="O80" i="68"/>
  <c r="F38" i="68" s="1"/>
  <c r="P80" i="68"/>
  <c r="G38" i="68" s="1"/>
  <c r="L80" i="68"/>
  <c r="C38" i="68" s="1"/>
  <c r="M80" i="68"/>
  <c r="D38" i="68" s="1"/>
  <c r="J52" i="67"/>
  <c r="AA26" i="37"/>
  <c r="Y26" i="37"/>
  <c r="AF26" i="37"/>
  <c r="AK26" i="37"/>
  <c r="AP26" i="37"/>
  <c r="AO26" i="37"/>
  <c r="AH26" i="37"/>
  <c r="T26" i="37"/>
  <c r="AT26" i="37"/>
  <c r="S26" i="37"/>
  <c r="X26" i="37"/>
  <c r="AR26" i="37"/>
  <c r="U26" i="37"/>
  <c r="AC26" i="37"/>
  <c r="P26" i="37"/>
  <c r="L26" i="37"/>
  <c r="Q26" i="37"/>
  <c r="AD26" i="37"/>
  <c r="AU26" i="37"/>
  <c r="Z26" i="37"/>
  <c r="AV26" i="37"/>
  <c r="AJ26" i="37"/>
  <c r="AI26" i="37"/>
  <c r="AE26" i="37"/>
  <c r="AS26" i="37"/>
  <c r="AQ26" i="37"/>
  <c r="N26" i="37"/>
  <c r="K26" i="37"/>
  <c r="V26" i="37"/>
  <c r="L23" i="69"/>
  <c r="K23" i="69"/>
  <c r="J52" i="66"/>
  <c r="C36" i="67"/>
  <c r="C48" i="67" s="1"/>
  <c r="M94" i="67" s="1"/>
  <c r="N94" i="67" s="1"/>
  <c r="H94" i="67" s="1"/>
  <c r="C36" i="66"/>
  <c r="C48" i="66" s="1"/>
  <c r="M94" i="66" s="1"/>
  <c r="N94" i="66" s="1"/>
  <c r="H94" i="66" s="1"/>
  <c r="E25" i="69"/>
  <c r="AW29" i="37"/>
  <c r="AX29" i="37" s="1"/>
  <c r="A28" i="37"/>
  <c r="AC10" i="55"/>
  <c r="AN10" i="55"/>
  <c r="P10" i="55"/>
  <c r="AA10" i="55"/>
  <c r="AL10" i="55"/>
  <c r="N10" i="55"/>
  <c r="Y10" i="55"/>
  <c r="AD10" i="55"/>
  <c r="X10" i="55"/>
  <c r="W10" i="55"/>
  <c r="V10" i="55"/>
  <c r="AG10" i="55"/>
  <c r="AJ10" i="55"/>
  <c r="AE10" i="55"/>
  <c r="AH10" i="55"/>
  <c r="J10" i="55"/>
  <c r="R10" i="55"/>
  <c r="AO10" i="55"/>
  <c r="Q10" i="55"/>
  <c r="AB10" i="55"/>
  <c r="AM10" i="55"/>
  <c r="O10" i="55"/>
  <c r="Z10" i="55"/>
  <c r="AK10" i="55"/>
  <c r="M10" i="55"/>
  <c r="U10" i="55"/>
  <c r="K10" i="55"/>
  <c r="S10" i="55"/>
  <c r="AI10" i="55"/>
  <c r="T10" i="55"/>
  <c r="AF10" i="55"/>
  <c r="L10" i="55"/>
  <c r="A11" i="55"/>
  <c r="K12" i="69"/>
  <c r="L12" i="69"/>
  <c r="K45" i="67"/>
  <c r="M76" i="67"/>
  <c r="N76" i="67" s="1"/>
  <c r="V20" i="33"/>
  <c r="U21" i="33"/>
  <c r="H21" i="33"/>
  <c r="G20" i="33"/>
  <c r="J40" i="66"/>
  <c r="AM64" i="32"/>
  <c r="AN64" i="32"/>
  <c r="AG64" i="32"/>
  <c r="AL64" i="32"/>
  <c r="W64" i="32"/>
  <c r="AB64" i="32"/>
  <c r="R64" i="32"/>
  <c r="D62" i="32"/>
  <c r="D17" i="38"/>
  <c r="D59" i="32"/>
  <c r="P59" i="32"/>
  <c r="N59" i="32"/>
  <c r="Q59" i="32"/>
  <c r="D58" i="32"/>
  <c r="Q58" i="32"/>
  <c r="P58" i="32"/>
  <c r="N58" i="32"/>
  <c r="D56" i="32"/>
  <c r="Q56" i="32"/>
  <c r="P56" i="32"/>
  <c r="N56" i="32"/>
  <c r="D57" i="32"/>
  <c r="P57" i="32"/>
  <c r="N57" i="32"/>
  <c r="Q57" i="32"/>
  <c r="P55" i="32"/>
  <c r="N55" i="32"/>
  <c r="Q55" i="32"/>
  <c r="Q54" i="32"/>
  <c r="P54" i="32"/>
  <c r="N54" i="32"/>
  <c r="Q50" i="32"/>
  <c r="P50" i="32"/>
  <c r="N50" i="32"/>
  <c r="D51" i="32"/>
  <c r="P51" i="32"/>
  <c r="N51" i="32"/>
  <c r="Q51" i="32"/>
  <c r="D50" i="32"/>
  <c r="D45" i="32"/>
  <c r="Q45" i="32"/>
  <c r="P45" i="32"/>
  <c r="N45" i="32"/>
  <c r="D42" i="32"/>
  <c r="P42" i="32"/>
  <c r="N42" i="32"/>
  <c r="Q42" i="32"/>
  <c r="Q41" i="32"/>
  <c r="P41" i="32"/>
  <c r="N41" i="32"/>
  <c r="D37" i="32"/>
  <c r="Q37" i="32"/>
  <c r="P37" i="32"/>
  <c r="N37" i="32"/>
  <c r="P36" i="32"/>
  <c r="N36" i="32"/>
  <c r="Q36" i="32"/>
  <c r="D35" i="32"/>
  <c r="Q35" i="32"/>
  <c r="P35" i="32"/>
  <c r="N35" i="32"/>
  <c r="D34" i="32"/>
  <c r="P34" i="32"/>
  <c r="N34" i="32"/>
  <c r="Q34" i="32"/>
  <c r="Q29" i="32"/>
  <c r="P29" i="32"/>
  <c r="N29" i="32"/>
  <c r="Q28" i="32"/>
  <c r="P28" i="32"/>
  <c r="N28" i="32"/>
  <c r="Q24" i="32"/>
  <c r="P24" i="32"/>
  <c r="N24" i="32"/>
  <c r="Q23" i="32"/>
  <c r="P23" i="32"/>
  <c r="N23" i="32"/>
  <c r="D28" i="32"/>
  <c r="D29" i="32"/>
  <c r="D23" i="32"/>
  <c r="G64" i="32"/>
  <c r="C64" i="32"/>
  <c r="F64" i="32"/>
  <c r="H64" i="32"/>
  <c r="D64" i="32"/>
  <c r="E64" i="32"/>
  <c r="B64" i="32"/>
  <c r="I64" i="32"/>
  <c r="AP63" i="32"/>
  <c r="AR63" i="32"/>
  <c r="Z63" i="32"/>
  <c r="Q63" i="32"/>
  <c r="AF63" i="32"/>
  <c r="AV63" i="32"/>
  <c r="U63" i="32"/>
  <c r="Y63" i="32"/>
  <c r="AC63" i="32"/>
  <c r="T63" i="32"/>
  <c r="AI63" i="32"/>
  <c r="AJ63" i="32"/>
  <c r="AO63" i="32"/>
  <c r="S63" i="32"/>
  <c r="X63" i="32"/>
  <c r="P63" i="32"/>
  <c r="AT63" i="32"/>
  <c r="AS63" i="32"/>
  <c r="N63" i="32"/>
  <c r="AD63" i="32"/>
  <c r="AE63" i="32"/>
  <c r="AA63" i="32"/>
  <c r="AK63" i="32"/>
  <c r="AU63" i="32"/>
  <c r="AH63" i="32"/>
  <c r="V63" i="32"/>
  <c r="AQ63" i="32"/>
  <c r="AW63" i="32"/>
  <c r="AX66" i="32"/>
  <c r="AY66" i="32" s="1"/>
  <c r="A65" i="32"/>
  <c r="G15" i="33"/>
  <c r="G14" i="33" s="1"/>
  <c r="Q4" i="33"/>
  <c r="P3" i="33"/>
  <c r="J76" i="17"/>
  <c r="I90" i="66"/>
  <c r="J90" i="66" s="1"/>
  <c r="J89" i="66"/>
  <c r="I96" i="66"/>
  <c r="J95" i="66"/>
  <c r="I99" i="66"/>
  <c r="J99" i="66" s="1"/>
  <c r="J93" i="66"/>
  <c r="I98" i="66"/>
  <c r="J98" i="66" s="1"/>
  <c r="I65" i="66"/>
  <c r="I66" i="66" s="1"/>
  <c r="J62" i="66"/>
  <c r="J65" i="66" s="1"/>
  <c r="J66" i="66" s="1"/>
  <c r="J70" i="66"/>
  <c r="I72" i="66"/>
  <c r="I77" i="66"/>
  <c r="J76" i="66"/>
  <c r="H23" i="36"/>
  <c r="D23" i="36"/>
  <c r="F23" i="36"/>
  <c r="I23" i="36"/>
  <c r="J23" i="36"/>
  <c r="E23" i="36"/>
  <c r="E17" i="20"/>
  <c r="I17" i="38"/>
  <c r="J40" i="41"/>
  <c r="B18" i="20"/>
  <c r="D18" i="20" s="1"/>
  <c r="G18" i="20"/>
  <c r="F18" i="20"/>
  <c r="C18" i="20"/>
  <c r="H18" i="20"/>
  <c r="G26" i="33"/>
  <c r="H27" i="33"/>
  <c r="L23" i="14"/>
  <c r="K23" i="14"/>
  <c r="L25" i="63"/>
  <c r="K25" i="63"/>
  <c r="H95" i="17"/>
  <c r="J43" i="17"/>
  <c r="J52" i="17" s="1"/>
  <c r="J40" i="17"/>
  <c r="A45" i="56"/>
  <c r="K20" i="38"/>
  <c r="L20" i="38" s="1"/>
  <c r="A19" i="38"/>
  <c r="P80" i="12"/>
  <c r="G38" i="12" s="1"/>
  <c r="S80" i="12"/>
  <c r="J38" i="12" s="1"/>
  <c r="C39" i="66" s="1"/>
  <c r="C51" i="66" s="1"/>
  <c r="M113" i="66" s="1"/>
  <c r="N113" i="66" s="1"/>
  <c r="K80" i="12"/>
  <c r="B38" i="12" s="1"/>
  <c r="C34" i="66" s="1"/>
  <c r="C46" i="66" s="1"/>
  <c r="O80" i="12"/>
  <c r="F38" i="12" s="1"/>
  <c r="C35" i="66" s="1"/>
  <c r="C47" i="66" s="1"/>
  <c r="N80" i="12"/>
  <c r="E38" i="12" s="1"/>
  <c r="C31" i="66" s="1"/>
  <c r="B9" i="10"/>
  <c r="B11" i="10"/>
  <c r="B13" i="10"/>
  <c r="B10" i="10"/>
  <c r="B8" i="10"/>
  <c r="B12" i="10"/>
  <c r="J43" i="5"/>
  <c r="J38" i="5"/>
  <c r="J40" i="5"/>
  <c r="J44" i="5"/>
  <c r="J42" i="5"/>
  <c r="J41" i="5"/>
  <c r="J39" i="5"/>
  <c r="J11" i="5"/>
  <c r="J37" i="5"/>
  <c r="K10" i="5"/>
  <c r="I45" i="5"/>
  <c r="L16" i="63"/>
  <c r="K16" i="63"/>
  <c r="L12" i="63"/>
  <c r="K12" i="63"/>
  <c r="J24" i="36"/>
  <c r="H24" i="36"/>
  <c r="I24" i="36"/>
  <c r="B24" i="36"/>
  <c r="D24" i="36"/>
  <c r="C24" i="36"/>
  <c r="G24" i="36"/>
  <c r="F24" i="36"/>
  <c r="E24" i="36"/>
  <c r="K45" i="41"/>
  <c r="J52" i="41"/>
  <c r="M76" i="41"/>
  <c r="N76" i="41" s="1"/>
  <c r="H76" i="41" s="1"/>
  <c r="K20" i="20"/>
  <c r="L20" i="20" s="1"/>
  <c r="A19" i="20"/>
  <c r="I58" i="5"/>
  <c r="J50" i="5"/>
  <c r="C36" i="17"/>
  <c r="C48" i="17" s="1"/>
  <c r="C36" i="41"/>
  <c r="C48" i="41" s="1"/>
  <c r="E23" i="63"/>
  <c r="E25" i="14"/>
  <c r="L21" i="63"/>
  <c r="K21" i="63"/>
  <c r="AI23" i="36"/>
  <c r="U23" i="36"/>
  <c r="L23" i="36"/>
  <c r="Q23" i="36"/>
  <c r="S23" i="36"/>
  <c r="AO23" i="36"/>
  <c r="AN23" i="36"/>
  <c r="K23" i="36"/>
  <c r="AJ23" i="36"/>
  <c r="AL23" i="36"/>
  <c r="W23" i="36"/>
  <c r="AR23" i="36"/>
  <c r="N23" i="36"/>
  <c r="AB23" i="36"/>
  <c r="Z23" i="36"/>
  <c r="AG23" i="36"/>
  <c r="AC23" i="36"/>
  <c r="AQ23" i="36"/>
  <c r="AA23" i="36"/>
  <c r="Y23" i="36"/>
  <c r="AK23" i="36"/>
  <c r="T23" i="36"/>
  <c r="AF23" i="36"/>
  <c r="AP23" i="36"/>
  <c r="AS23" i="36"/>
  <c r="AT23" i="36"/>
  <c r="O23" i="36"/>
  <c r="AE23" i="36"/>
  <c r="X23" i="36"/>
  <c r="AH23" i="36"/>
  <c r="AU23" i="36"/>
  <c r="AM23" i="36"/>
  <c r="AD23" i="36"/>
  <c r="R23" i="36"/>
  <c r="P23" i="36"/>
  <c r="V23" i="36"/>
  <c r="M23" i="36"/>
  <c r="B18" i="38"/>
  <c r="E18" i="38" s="1"/>
  <c r="F18" i="38"/>
  <c r="H18" i="38"/>
  <c r="G18" i="38"/>
  <c r="C18" i="38"/>
  <c r="D17" i="20"/>
  <c r="AQ23" i="32"/>
  <c r="AS23" i="32"/>
  <c r="AP23" i="32"/>
  <c r="AT23" i="32"/>
  <c r="AV23" i="32"/>
  <c r="AW23" i="32"/>
  <c r="AO23" i="32"/>
  <c r="AU23" i="32"/>
  <c r="AR23" i="32"/>
  <c r="C32" i="17"/>
  <c r="C44" i="17" s="1"/>
  <c r="C32" i="41"/>
  <c r="E14" i="14"/>
  <c r="E14" i="63"/>
  <c r="Q66" i="5"/>
  <c r="P71" i="5"/>
  <c r="L12" i="14"/>
  <c r="K12" i="14"/>
  <c r="A25" i="36"/>
  <c r="AV26" i="36"/>
  <c r="AW26" i="36" s="1"/>
  <c r="AS55" i="32"/>
  <c r="AO55" i="32"/>
  <c r="AR55" i="32"/>
  <c r="AV55" i="32"/>
  <c r="AQ55" i="32"/>
  <c r="AW55" i="32"/>
  <c r="AT55" i="32"/>
  <c r="AU55" i="32"/>
  <c r="AP55" i="32"/>
  <c r="AO34" i="32"/>
  <c r="AW34" i="32"/>
  <c r="AS34" i="32"/>
  <c r="AU34" i="32"/>
  <c r="AV34" i="32"/>
  <c r="AP34" i="32"/>
  <c r="AT34" i="32"/>
  <c r="AR34" i="32"/>
  <c r="AQ34" i="32"/>
  <c r="AR29" i="32"/>
  <c r="AQ29" i="32"/>
  <c r="AS29" i="32"/>
  <c r="AO29" i="32"/>
  <c r="AW29" i="32"/>
  <c r="AP29" i="32"/>
  <c r="AU29" i="32"/>
  <c r="AV29" i="32"/>
  <c r="AT29" i="32"/>
  <c r="Y24" i="37"/>
  <c r="L24" i="37"/>
  <c r="AK24" i="37"/>
  <c r="AJ24" i="37"/>
  <c r="AD24" i="37"/>
  <c r="Q24" i="37"/>
  <c r="AI24" i="37"/>
  <c r="AF24" i="37"/>
  <c r="Z24" i="37"/>
  <c r="V24" i="37"/>
  <c r="K24" i="37"/>
  <c r="N24" i="37"/>
  <c r="AE24" i="37"/>
  <c r="X24" i="37"/>
  <c r="AA24" i="37"/>
  <c r="AR24" i="37"/>
  <c r="S24" i="37"/>
  <c r="AS24" i="37"/>
  <c r="AV24" i="37"/>
  <c r="AT24" i="37"/>
  <c r="U24" i="37"/>
  <c r="P24" i="37"/>
  <c r="T24" i="37"/>
  <c r="AU24" i="37"/>
  <c r="AO24" i="37"/>
  <c r="AQ24" i="37"/>
  <c r="AC24" i="37"/>
  <c r="AP24" i="37"/>
  <c r="AH24" i="37"/>
  <c r="AV41" i="32"/>
  <c r="AP41" i="32"/>
  <c r="AU41" i="32"/>
  <c r="AW41" i="32"/>
  <c r="AT41" i="32"/>
  <c r="AQ41" i="32"/>
  <c r="AS41" i="32"/>
  <c r="AO41" i="32"/>
  <c r="AR41" i="32"/>
  <c r="I76" i="41"/>
  <c r="I77" i="41" s="1"/>
  <c r="AP51" i="32"/>
  <c r="AO51" i="32"/>
  <c r="AR51" i="32"/>
  <c r="AV51" i="32"/>
  <c r="AW51" i="32"/>
  <c r="AQ51" i="32"/>
  <c r="AU51" i="32"/>
  <c r="AT51" i="32"/>
  <c r="AS51" i="32"/>
  <c r="AO35" i="32"/>
  <c r="AT35" i="32"/>
  <c r="AW35" i="32"/>
  <c r="AP35" i="32"/>
  <c r="AS35" i="32"/>
  <c r="AU35" i="32"/>
  <c r="AV35" i="32"/>
  <c r="AQ35" i="32"/>
  <c r="AR35" i="32"/>
  <c r="D54" i="32"/>
  <c r="AO54" i="32"/>
  <c r="AS54" i="32"/>
  <c r="AR54" i="32"/>
  <c r="AP54" i="32"/>
  <c r="AW54" i="32"/>
  <c r="AT54" i="32"/>
  <c r="AQ54" i="32"/>
  <c r="AU54" i="32"/>
  <c r="AV54" i="32"/>
  <c r="AP24" i="32"/>
  <c r="AT24" i="32"/>
  <c r="AV24" i="32"/>
  <c r="AO24" i="32"/>
  <c r="AS24" i="32"/>
  <c r="AW24" i="32"/>
  <c r="AQ24" i="32"/>
  <c r="AU24" i="32"/>
  <c r="AR24" i="32"/>
  <c r="I77" i="17"/>
  <c r="J77" i="17" s="1"/>
  <c r="AR36" i="32"/>
  <c r="AP36" i="32"/>
  <c r="AU36" i="32"/>
  <c r="AW36" i="32"/>
  <c r="AO36" i="32"/>
  <c r="D36" i="32"/>
  <c r="AS36" i="32"/>
  <c r="AV36" i="32"/>
  <c r="AQ36" i="32"/>
  <c r="AT36" i="32"/>
  <c r="D41" i="32"/>
  <c r="AT37" i="32"/>
  <c r="AW37" i="32"/>
  <c r="AO37" i="32"/>
  <c r="AQ37" i="32"/>
  <c r="AU37" i="32"/>
  <c r="AP37" i="32"/>
  <c r="AR37" i="32"/>
  <c r="AS37" i="32"/>
  <c r="AV37" i="32"/>
  <c r="AU62" i="32"/>
  <c r="AT62" i="32"/>
  <c r="AS62" i="32"/>
  <c r="AR62" i="32"/>
  <c r="AP62" i="32"/>
  <c r="AO62" i="32"/>
  <c r="P62" i="32"/>
  <c r="AQ62" i="32"/>
  <c r="N62" i="32"/>
  <c r="AW62" i="32"/>
  <c r="AV62" i="32"/>
  <c r="Q62" i="32"/>
  <c r="AW58" i="32"/>
  <c r="AT58" i="32"/>
  <c r="AP58" i="32"/>
  <c r="AV58" i="32"/>
  <c r="AU58" i="32"/>
  <c r="AR58" i="32"/>
  <c r="AS58" i="32"/>
  <c r="AQ58" i="32"/>
  <c r="AO58" i="32"/>
  <c r="AT56" i="32"/>
  <c r="AS56" i="32"/>
  <c r="AV56" i="32"/>
  <c r="AW56" i="32"/>
  <c r="AQ56" i="32"/>
  <c r="AR56" i="32"/>
  <c r="AP56" i="32"/>
  <c r="AO56" i="32"/>
  <c r="AU56" i="32"/>
  <c r="D22" i="37"/>
  <c r="K22" i="37"/>
  <c r="AD22" i="37"/>
  <c r="AQ22" i="37"/>
  <c r="T22" i="37"/>
  <c r="V22" i="37"/>
  <c r="AR22" i="37"/>
  <c r="AF22" i="37"/>
  <c r="AT22" i="37"/>
  <c r="AO22" i="37"/>
  <c r="U22" i="37"/>
  <c r="AK22" i="37"/>
  <c r="AH22" i="37"/>
  <c r="AC22" i="37"/>
  <c r="X22" i="37"/>
  <c r="AJ22" i="37"/>
  <c r="Q22" i="37"/>
  <c r="L22" i="37"/>
  <c r="AV22" i="37"/>
  <c r="P22" i="37"/>
  <c r="S22" i="37"/>
  <c r="Z22" i="37"/>
  <c r="AE22" i="37"/>
  <c r="AA22" i="37"/>
  <c r="AP22" i="37"/>
  <c r="Y22" i="37"/>
  <c r="AU22" i="37"/>
  <c r="AI22" i="37"/>
  <c r="AS22" i="37"/>
  <c r="N22" i="37"/>
  <c r="AW42" i="32"/>
  <c r="AP42" i="32"/>
  <c r="AO42" i="32"/>
  <c r="AU42" i="32"/>
  <c r="AT42" i="32"/>
  <c r="AS42" i="32"/>
  <c r="AV42" i="32"/>
  <c r="AQ42" i="32"/>
  <c r="AR42" i="32"/>
  <c r="AV59" i="32"/>
  <c r="AT59" i="32"/>
  <c r="AO59" i="32"/>
  <c r="AW59" i="32"/>
  <c r="AP59" i="32"/>
  <c r="AR59" i="32"/>
  <c r="AQ59" i="32"/>
  <c r="AU59" i="32"/>
  <c r="AS59" i="32"/>
  <c r="D24" i="32"/>
  <c r="AR50" i="32"/>
  <c r="AS50" i="32"/>
  <c r="AW50" i="32"/>
  <c r="AU50" i="32"/>
  <c r="AO50" i="32"/>
  <c r="AV50" i="32"/>
  <c r="AT50" i="32"/>
  <c r="AQ50" i="32"/>
  <c r="AP50" i="32"/>
  <c r="D55" i="32"/>
  <c r="AR57" i="32"/>
  <c r="AQ57" i="32"/>
  <c r="AS57" i="32"/>
  <c r="AV57" i="32"/>
  <c r="AU57" i="32"/>
  <c r="AW57" i="32"/>
  <c r="AT57" i="32"/>
  <c r="AO57" i="32"/>
  <c r="AP57" i="32"/>
  <c r="AQ45" i="32"/>
  <c r="AT45" i="32"/>
  <c r="AR45" i="32"/>
  <c r="AV45" i="32"/>
  <c r="AW45" i="32"/>
  <c r="AU45" i="32"/>
  <c r="AP45" i="32"/>
  <c r="AS45" i="32"/>
  <c r="AO45" i="32"/>
  <c r="F14" i="18"/>
  <c r="E14" i="18"/>
  <c r="D15" i="18"/>
  <c r="I16" i="18"/>
  <c r="C15" i="18"/>
  <c r="D32" i="19"/>
  <c r="H32" i="19"/>
  <c r="G32" i="19"/>
  <c r="J32" i="19"/>
  <c r="I32" i="19"/>
  <c r="B33" i="19"/>
  <c r="H33" i="19" s="1"/>
  <c r="C33" i="19"/>
  <c r="E32" i="19"/>
  <c r="AN32" i="19"/>
  <c r="W32" i="19"/>
  <c r="S32" i="19"/>
  <c r="R32" i="19"/>
  <c r="Q32" i="19"/>
  <c r="AU32" i="19"/>
  <c r="AO32" i="19"/>
  <c r="AH32" i="19"/>
  <c r="L32" i="19"/>
  <c r="AB32" i="19"/>
  <c r="AQ32" i="19"/>
  <c r="Y32" i="19"/>
  <c r="AD32" i="19"/>
  <c r="AC32" i="19"/>
  <c r="AI32" i="19"/>
  <c r="V32" i="19"/>
  <c r="K32" i="19"/>
  <c r="T32" i="19"/>
  <c r="Z32" i="19"/>
  <c r="AR32" i="19"/>
  <c r="X32" i="19"/>
  <c r="AT32" i="19"/>
  <c r="AP32" i="19"/>
  <c r="AA32" i="19"/>
  <c r="AL32" i="19"/>
  <c r="AK32" i="19"/>
  <c r="N32" i="19"/>
  <c r="O32" i="19"/>
  <c r="P32" i="19"/>
  <c r="AM32" i="19"/>
  <c r="AE32" i="19"/>
  <c r="AS32" i="19"/>
  <c r="U32" i="19"/>
  <c r="AG32" i="19"/>
  <c r="AJ32" i="19"/>
  <c r="M32" i="19"/>
  <c r="AF32" i="19"/>
  <c r="A34" i="19"/>
  <c r="AV35" i="19"/>
  <c r="AW35" i="19" s="1"/>
  <c r="I96" i="17"/>
  <c r="J95" i="17"/>
  <c r="I95" i="41"/>
  <c r="I115" i="41"/>
  <c r="J115" i="17"/>
  <c r="D23" i="37"/>
  <c r="U23" i="37"/>
  <c r="Z23" i="37"/>
  <c r="AU23" i="37"/>
  <c r="AF23" i="37"/>
  <c r="Q23" i="37"/>
  <c r="AT23" i="37"/>
  <c r="V23" i="37"/>
  <c r="AO23" i="37"/>
  <c r="N23" i="37"/>
  <c r="AA23" i="37"/>
  <c r="AQ23" i="37"/>
  <c r="S23" i="37"/>
  <c r="AC23" i="37"/>
  <c r="AV23" i="37"/>
  <c r="AI23" i="37"/>
  <c r="AS23" i="37"/>
  <c r="AD23" i="37"/>
  <c r="AR23" i="37"/>
  <c r="AK23" i="37"/>
  <c r="X23" i="37"/>
  <c r="AE23" i="37"/>
  <c r="P23" i="37"/>
  <c r="AH23" i="37"/>
  <c r="L23" i="37"/>
  <c r="T23" i="37"/>
  <c r="K23" i="37"/>
  <c r="Y23" i="37"/>
  <c r="AJ23" i="37"/>
  <c r="AP23" i="37"/>
  <c r="I61" i="41"/>
  <c r="J61" i="17"/>
  <c r="I118" i="41"/>
  <c r="J118" i="17"/>
  <c r="I119" i="41"/>
  <c r="J119" i="17"/>
  <c r="I70" i="41"/>
  <c r="J70" i="17"/>
  <c r="I72" i="17"/>
  <c r="I90" i="17"/>
  <c r="I89" i="41"/>
  <c r="J89" i="17"/>
  <c r="J116" i="17"/>
  <c r="I116" i="41"/>
  <c r="I93" i="41"/>
  <c r="J93" i="17"/>
  <c r="I99" i="17"/>
  <c r="I98" i="17"/>
  <c r="I113" i="41"/>
  <c r="J113" i="17"/>
  <c r="I64" i="41"/>
  <c r="J64" i="17"/>
  <c r="J117" i="17"/>
  <c r="I117" i="41"/>
  <c r="I63" i="41"/>
  <c r="J63" i="17"/>
  <c r="AQ28" i="32"/>
  <c r="AP28" i="32"/>
  <c r="AU28" i="32"/>
  <c r="AT28" i="32"/>
  <c r="AR28" i="32"/>
  <c r="AV28" i="32"/>
  <c r="AW28" i="32"/>
  <c r="AO28" i="32"/>
  <c r="AS28" i="32"/>
  <c r="I62" i="41"/>
  <c r="J62" i="17"/>
  <c r="I65" i="17"/>
  <c r="I114" i="41"/>
  <c r="J114" i="17"/>
  <c r="J94" i="17"/>
  <c r="I94" i="41"/>
  <c r="J77" i="67" l="1"/>
  <c r="I78" i="67"/>
  <c r="J78" i="67" s="1"/>
  <c r="I97" i="67"/>
  <c r="J97" i="67" s="1"/>
  <c r="J96" i="67"/>
  <c r="I69" i="67"/>
  <c r="J69" i="67" s="1"/>
  <c r="J72" i="67"/>
  <c r="H76" i="67"/>
  <c r="N79" i="67"/>
  <c r="AU44" i="67" s="1"/>
  <c r="J96" i="75"/>
  <c r="I97" i="75"/>
  <c r="J97" i="75" s="1"/>
  <c r="I78" i="75"/>
  <c r="J78" i="75" s="1"/>
  <c r="J77" i="75"/>
  <c r="J72" i="75"/>
  <c r="I69" i="75"/>
  <c r="J69" i="75" s="1"/>
  <c r="H113" i="66"/>
  <c r="X37" i="32"/>
  <c r="Y37" i="32" s="1"/>
  <c r="Z37" i="32" s="1"/>
  <c r="AA37" i="32" s="1"/>
  <c r="F20" i="33"/>
  <c r="G21" i="33"/>
  <c r="V21" i="33"/>
  <c r="W20" i="33"/>
  <c r="AW30" i="37"/>
  <c r="AX30" i="37" s="1"/>
  <c r="A29" i="37"/>
  <c r="L25" i="69"/>
  <c r="K25" i="69"/>
  <c r="C44" i="67"/>
  <c r="C39" i="67"/>
  <c r="C51" i="67" s="1"/>
  <c r="M113" i="67" s="1"/>
  <c r="N113" i="67" s="1"/>
  <c r="H113" i="67" s="1"/>
  <c r="C43" i="66"/>
  <c r="C33" i="66"/>
  <c r="C45" i="66" s="1"/>
  <c r="M78" i="66" s="1"/>
  <c r="N78" i="66" s="1"/>
  <c r="H78" i="66" s="1"/>
  <c r="E36" i="69"/>
  <c r="AL11" i="55"/>
  <c r="Y11" i="55"/>
  <c r="L11" i="55"/>
  <c r="AH11" i="55"/>
  <c r="P11" i="55"/>
  <c r="T11" i="55"/>
  <c r="AF11" i="55"/>
  <c r="Z11" i="55"/>
  <c r="M11" i="55"/>
  <c r="AI11" i="55"/>
  <c r="V11" i="55"/>
  <c r="AC11" i="55"/>
  <c r="AA11" i="55"/>
  <c r="AN11" i="55"/>
  <c r="Q11" i="55"/>
  <c r="A12" i="55"/>
  <c r="N11" i="55"/>
  <c r="W11" i="55"/>
  <c r="AE11" i="55"/>
  <c r="R11" i="55"/>
  <c r="X11" i="55"/>
  <c r="AD11" i="55"/>
  <c r="AG11" i="55"/>
  <c r="AM11" i="55"/>
  <c r="AJ11" i="55"/>
  <c r="J11" i="55"/>
  <c r="U11" i="55"/>
  <c r="S11" i="55"/>
  <c r="AK11" i="55"/>
  <c r="K11" i="55"/>
  <c r="AB11" i="55"/>
  <c r="AO11" i="55"/>
  <c r="O11" i="55"/>
  <c r="G28" i="37"/>
  <c r="I28" i="37"/>
  <c r="H28" i="37"/>
  <c r="C28" i="37"/>
  <c r="D28" i="37" s="1"/>
  <c r="B28" i="37"/>
  <c r="E28" i="37" s="1"/>
  <c r="F28" i="37"/>
  <c r="N27" i="37"/>
  <c r="AK27" i="37"/>
  <c r="Q27" i="37"/>
  <c r="AI27" i="37"/>
  <c r="AA27" i="37"/>
  <c r="S27" i="37"/>
  <c r="AQ27" i="37"/>
  <c r="AO27" i="37"/>
  <c r="AS27" i="37"/>
  <c r="Z27" i="37"/>
  <c r="P27" i="37"/>
  <c r="X27" i="37"/>
  <c r="AC27" i="37"/>
  <c r="AP27" i="37"/>
  <c r="AV27" i="37"/>
  <c r="AF27" i="37"/>
  <c r="AD27" i="37"/>
  <c r="K27" i="37"/>
  <c r="Y27" i="37"/>
  <c r="AR27" i="37"/>
  <c r="L27" i="37"/>
  <c r="V27" i="37"/>
  <c r="U27" i="37"/>
  <c r="AE27" i="37"/>
  <c r="AJ27" i="37"/>
  <c r="T27" i="37"/>
  <c r="AT27" i="37"/>
  <c r="AH27" i="37"/>
  <c r="AU27" i="37"/>
  <c r="M27" i="37"/>
  <c r="J27" i="37"/>
  <c r="K14" i="69"/>
  <c r="L14" i="69"/>
  <c r="E18" i="20"/>
  <c r="D18" i="38"/>
  <c r="I18" i="38"/>
  <c r="AX67" i="32"/>
  <c r="AY67" i="32" s="1"/>
  <c r="A66" i="32"/>
  <c r="AJ64" i="32"/>
  <c r="AQ64" i="32"/>
  <c r="AF64" i="32"/>
  <c r="AO64" i="32"/>
  <c r="N64" i="32"/>
  <c r="AT64" i="32"/>
  <c r="AP64" i="32"/>
  <c r="X64" i="32"/>
  <c r="AK64" i="32"/>
  <c r="Z64" i="32"/>
  <c r="AR64" i="32"/>
  <c r="AC64" i="32"/>
  <c r="P64" i="32"/>
  <c r="AD64" i="32"/>
  <c r="Y64" i="32"/>
  <c r="AI64" i="32"/>
  <c r="V64" i="32"/>
  <c r="AA64" i="32"/>
  <c r="AU64" i="32"/>
  <c r="U64" i="32"/>
  <c r="S64" i="32"/>
  <c r="Q64" i="32"/>
  <c r="AW64" i="32"/>
  <c r="AV64" i="32"/>
  <c r="AE64" i="32"/>
  <c r="AH64" i="32"/>
  <c r="T64" i="32"/>
  <c r="AS64" i="32"/>
  <c r="H65" i="32"/>
  <c r="F65" i="32"/>
  <c r="B65" i="32"/>
  <c r="E65" i="32" s="1"/>
  <c r="I65" i="32"/>
  <c r="G65" i="32"/>
  <c r="C65" i="32"/>
  <c r="P4" i="33"/>
  <c r="E15" i="33"/>
  <c r="E14" i="33" s="1"/>
  <c r="O3" i="33"/>
  <c r="J76" i="41"/>
  <c r="I78" i="66"/>
  <c r="J78" i="66" s="1"/>
  <c r="J77" i="66"/>
  <c r="J72" i="66"/>
  <c r="I69" i="66"/>
  <c r="J69" i="66" s="1"/>
  <c r="I97" i="66"/>
  <c r="J97" i="66" s="1"/>
  <c r="J96" i="66"/>
  <c r="I18" i="20"/>
  <c r="AV27" i="36"/>
  <c r="AW27" i="36" s="1"/>
  <c r="A26" i="36"/>
  <c r="K14" i="14"/>
  <c r="L14" i="14"/>
  <c r="M69" i="17"/>
  <c r="K25" i="14"/>
  <c r="L25" i="14"/>
  <c r="M94" i="41"/>
  <c r="N94" i="41" s="1"/>
  <c r="H94" i="41" s="1"/>
  <c r="K50" i="5"/>
  <c r="J58" i="5"/>
  <c r="G19" i="20"/>
  <c r="H19" i="20"/>
  <c r="C19" i="20"/>
  <c r="B19" i="20"/>
  <c r="E19" i="20" s="1"/>
  <c r="F19" i="20"/>
  <c r="K37" i="5"/>
  <c r="K44" i="5"/>
  <c r="K40" i="5"/>
  <c r="L10" i="5"/>
  <c r="K41" i="5"/>
  <c r="K39" i="5"/>
  <c r="K43" i="5"/>
  <c r="K38" i="5"/>
  <c r="K42" i="5"/>
  <c r="K11" i="5"/>
  <c r="C31" i="17"/>
  <c r="C34" i="17"/>
  <c r="C46" i="17" s="1"/>
  <c r="C33" i="17"/>
  <c r="C45" i="17" s="1"/>
  <c r="E31" i="63"/>
  <c r="E36" i="14"/>
  <c r="H19" i="38"/>
  <c r="F19" i="38"/>
  <c r="B19" i="38"/>
  <c r="D19" i="38" s="1"/>
  <c r="G19" i="38"/>
  <c r="C19" i="38"/>
  <c r="A46" i="56"/>
  <c r="H25" i="36"/>
  <c r="J25" i="36"/>
  <c r="I25" i="36"/>
  <c r="E25" i="36"/>
  <c r="G25" i="36"/>
  <c r="D25" i="36"/>
  <c r="F25" i="36"/>
  <c r="B25" i="36"/>
  <c r="C25" i="36"/>
  <c r="R66" i="5"/>
  <c r="Q71" i="5"/>
  <c r="L14" i="63"/>
  <c r="K14" i="63"/>
  <c r="C44" i="41"/>
  <c r="C39" i="41"/>
  <c r="C51" i="41" s="1"/>
  <c r="L23" i="63"/>
  <c r="K23" i="63"/>
  <c r="M94" i="17"/>
  <c r="N94" i="17" s="1"/>
  <c r="K21" i="20"/>
  <c r="L21" i="20" s="1"/>
  <c r="A20" i="20"/>
  <c r="Y24" i="36"/>
  <c r="W24" i="36"/>
  <c r="AO24" i="36"/>
  <c r="S24" i="36"/>
  <c r="M24" i="36"/>
  <c r="AK24" i="36"/>
  <c r="X24" i="36"/>
  <c r="V24" i="36"/>
  <c r="P24" i="36"/>
  <c r="K24" i="36"/>
  <c r="AB24" i="36"/>
  <c r="U24" i="36"/>
  <c r="AL24" i="36"/>
  <c r="AH24" i="36"/>
  <c r="AN24" i="36"/>
  <c r="N24" i="36"/>
  <c r="AR24" i="36"/>
  <c r="AE24" i="36"/>
  <c r="L24" i="36"/>
  <c r="AM24" i="36"/>
  <c r="AQ24" i="36"/>
  <c r="Z24" i="36"/>
  <c r="R24" i="36"/>
  <c r="AG24" i="36"/>
  <c r="AP24" i="36"/>
  <c r="AA24" i="36"/>
  <c r="AT24" i="36"/>
  <c r="AS24" i="36"/>
  <c r="T24" i="36"/>
  <c r="AJ24" i="36"/>
  <c r="AD24" i="36"/>
  <c r="O24" i="36"/>
  <c r="AU24" i="36"/>
  <c r="AC24" i="36"/>
  <c r="AF24" i="36"/>
  <c r="Q24" i="36"/>
  <c r="AI24" i="36"/>
  <c r="J45" i="5"/>
  <c r="C35" i="17"/>
  <c r="C47" i="17" s="1"/>
  <c r="C39" i="17"/>
  <c r="C51" i="17" s="1"/>
  <c r="E36" i="63"/>
  <c r="A20" i="38"/>
  <c r="K21" i="38"/>
  <c r="L21" i="38" s="1"/>
  <c r="F26" i="33"/>
  <c r="G27" i="33"/>
  <c r="I78" i="17"/>
  <c r="F15" i="18"/>
  <c r="E15" i="18"/>
  <c r="D16" i="18"/>
  <c r="C16" i="18"/>
  <c r="J33" i="19"/>
  <c r="I33" i="19"/>
  <c r="E33" i="19"/>
  <c r="F33" i="19"/>
  <c r="G33" i="19"/>
  <c r="D33" i="19"/>
  <c r="D34" i="19"/>
  <c r="F34" i="19"/>
  <c r="C34" i="19"/>
  <c r="I34" i="19"/>
  <c r="G34" i="19"/>
  <c r="B34" i="19"/>
  <c r="H34" i="19"/>
  <c r="J34" i="19"/>
  <c r="E34" i="19"/>
  <c r="AV36" i="19"/>
  <c r="AW36" i="19" s="1"/>
  <c r="A35" i="19"/>
  <c r="AB33" i="19"/>
  <c r="Z33" i="19"/>
  <c r="R33" i="19"/>
  <c r="Y33" i="19"/>
  <c r="AQ33" i="19"/>
  <c r="AH33" i="19"/>
  <c r="S33" i="19"/>
  <c r="AT33" i="19"/>
  <c r="AF33" i="19"/>
  <c r="AK33" i="19"/>
  <c r="Q33" i="19"/>
  <c r="K33" i="19"/>
  <c r="AC33" i="19"/>
  <c r="N33" i="19"/>
  <c r="O33" i="19"/>
  <c r="AU33" i="19"/>
  <c r="X33" i="19"/>
  <c r="AL33" i="19"/>
  <c r="AM33" i="19"/>
  <c r="AO33" i="19"/>
  <c r="AN33" i="19"/>
  <c r="P33" i="19"/>
  <c r="T33" i="19"/>
  <c r="AS33" i="19"/>
  <c r="M33" i="19"/>
  <c r="AD33" i="19"/>
  <c r="U33" i="19"/>
  <c r="AI33" i="19"/>
  <c r="AG33" i="19"/>
  <c r="AE33" i="19"/>
  <c r="V33" i="19"/>
  <c r="W33" i="19"/>
  <c r="AJ33" i="19"/>
  <c r="AA33" i="19"/>
  <c r="AP33" i="19"/>
  <c r="L33" i="19"/>
  <c r="AR33" i="19"/>
  <c r="I98" i="41"/>
  <c r="J98" i="17"/>
  <c r="J119" i="41"/>
  <c r="J114" i="41"/>
  <c r="J89" i="41"/>
  <c r="J78" i="17"/>
  <c r="J115" i="41"/>
  <c r="J94" i="41"/>
  <c r="J90" i="17"/>
  <c r="I90" i="41"/>
  <c r="I96" i="41"/>
  <c r="J116" i="41"/>
  <c r="J117" i="41"/>
  <c r="I66" i="17"/>
  <c r="I65" i="41"/>
  <c r="J95" i="41"/>
  <c r="J62" i="41"/>
  <c r="J65" i="17"/>
  <c r="I78" i="41"/>
  <c r="J77" i="41"/>
  <c r="I69" i="17"/>
  <c r="J72" i="17"/>
  <c r="I72" i="41"/>
  <c r="J61" i="41"/>
  <c r="I97" i="17"/>
  <c r="J96" i="17"/>
  <c r="J113" i="41"/>
  <c r="J70" i="41"/>
  <c r="J118" i="41"/>
  <c r="J99" i="17"/>
  <c r="I99" i="41"/>
  <c r="J63" i="41"/>
  <c r="J93" i="41"/>
  <c r="J64" i="41"/>
  <c r="F21" i="56" l="1"/>
  <c r="G21" i="56" s="1"/>
  <c r="AC28" i="37"/>
  <c r="AK28" i="37"/>
  <c r="L28" i="37"/>
  <c r="AQ28" i="37"/>
  <c r="P28" i="37"/>
  <c r="AD28" i="37"/>
  <c r="Q28" i="37"/>
  <c r="Y28" i="37"/>
  <c r="AS28" i="37"/>
  <c r="AO28" i="37"/>
  <c r="Z28" i="37"/>
  <c r="AF28" i="37"/>
  <c r="T28" i="37"/>
  <c r="AI28" i="37"/>
  <c r="S28" i="37"/>
  <c r="AV28" i="37"/>
  <c r="AU28" i="37"/>
  <c r="AH28" i="37"/>
  <c r="X28" i="37"/>
  <c r="N28" i="37"/>
  <c r="K28" i="37"/>
  <c r="AA28" i="37"/>
  <c r="AJ28" i="37"/>
  <c r="AP28" i="37"/>
  <c r="V28" i="37"/>
  <c r="AT28" i="37"/>
  <c r="AR28" i="37"/>
  <c r="U28" i="37"/>
  <c r="AE28" i="37"/>
  <c r="W12" i="55"/>
  <c r="J12" i="55"/>
  <c r="AF12" i="55"/>
  <c r="S12" i="55"/>
  <c r="Y12" i="55"/>
  <c r="P12" i="55"/>
  <c r="AJ12" i="55"/>
  <c r="X12" i="55"/>
  <c r="AI12" i="55"/>
  <c r="V12" i="55"/>
  <c r="AE12" i="55"/>
  <c r="M12" i="55"/>
  <c r="AB12" i="55"/>
  <c r="AL12" i="55"/>
  <c r="N12" i="55"/>
  <c r="AM12" i="55"/>
  <c r="A13" i="55"/>
  <c r="AH12" i="55"/>
  <c r="Z12" i="55"/>
  <c r="AN12" i="55"/>
  <c r="K12" i="55"/>
  <c r="T12" i="55"/>
  <c r="AC12" i="55"/>
  <c r="O12" i="55"/>
  <c r="R12" i="55"/>
  <c r="U12" i="55"/>
  <c r="AD12" i="55"/>
  <c r="L12" i="55"/>
  <c r="AK12" i="55"/>
  <c r="Q12" i="55"/>
  <c r="AG12" i="55"/>
  <c r="AA12" i="55"/>
  <c r="AO12" i="55"/>
  <c r="C40" i="66"/>
  <c r="G29" i="37"/>
  <c r="F29" i="37"/>
  <c r="H29" i="37"/>
  <c r="C29" i="37"/>
  <c r="D29" i="37" s="1"/>
  <c r="B29" i="37"/>
  <c r="E29" i="37" s="1"/>
  <c r="I29" i="37"/>
  <c r="W21" i="33"/>
  <c r="AC46" i="33"/>
  <c r="AC48" i="33" s="1"/>
  <c r="AC49" i="33" s="1"/>
  <c r="AD49" i="33" s="1"/>
  <c r="AC59" i="33"/>
  <c r="AC61" i="33" s="1"/>
  <c r="L36" i="69"/>
  <c r="K36" i="69"/>
  <c r="C52" i="66"/>
  <c r="C40" i="67"/>
  <c r="M69" i="67"/>
  <c r="N69" i="67" s="1"/>
  <c r="H69" i="67" s="1"/>
  <c r="C52" i="67"/>
  <c r="M40" i="67" s="1"/>
  <c r="AW31" i="37"/>
  <c r="AX31" i="37" s="1"/>
  <c r="A30" i="37"/>
  <c r="E20" i="33"/>
  <c r="F21" i="33"/>
  <c r="Q65" i="32"/>
  <c r="P65" i="32"/>
  <c r="N65" i="32"/>
  <c r="G66" i="32"/>
  <c r="H66" i="32"/>
  <c r="B66" i="32"/>
  <c r="E66" i="32" s="1"/>
  <c r="I66" i="32"/>
  <c r="F66" i="32"/>
  <c r="C66" i="32"/>
  <c r="D65" i="32"/>
  <c r="AT65" i="32"/>
  <c r="AO65" i="32"/>
  <c r="AV65" i="32"/>
  <c r="AQ65" i="32"/>
  <c r="AS65" i="32"/>
  <c r="AW65" i="32"/>
  <c r="AU65" i="32"/>
  <c r="AR65" i="32"/>
  <c r="AP65" i="32"/>
  <c r="AX68" i="32"/>
  <c r="AY68" i="32" s="1"/>
  <c r="A67" i="32"/>
  <c r="I19" i="20"/>
  <c r="F8" i="57"/>
  <c r="F20" i="57"/>
  <c r="F10" i="57"/>
  <c r="F15" i="57"/>
  <c r="F18" i="57"/>
  <c r="F31" i="57" s="1"/>
  <c r="F9" i="57"/>
  <c r="F22" i="57"/>
  <c r="F16" i="57"/>
  <c r="F32" i="57" s="1"/>
  <c r="F19" i="57"/>
  <c r="F7" i="57"/>
  <c r="F17" i="57"/>
  <c r="F12" i="57"/>
  <c r="F14" i="57"/>
  <c r="O4" i="33"/>
  <c r="N3" i="33"/>
  <c r="I19" i="38"/>
  <c r="D19" i="20"/>
  <c r="E26" i="33"/>
  <c r="F27" i="33"/>
  <c r="G20" i="38"/>
  <c r="D20" i="38"/>
  <c r="E20" i="38"/>
  <c r="F20" i="38"/>
  <c r="C20" i="38"/>
  <c r="B20" i="38"/>
  <c r="I20" i="38"/>
  <c r="H20" i="38"/>
  <c r="M113" i="17"/>
  <c r="K22" i="20"/>
  <c r="L22" i="20" s="1"/>
  <c r="A21" i="20"/>
  <c r="M113" i="41"/>
  <c r="M78" i="17"/>
  <c r="N78" i="17" s="1"/>
  <c r="C43" i="17"/>
  <c r="C40" i="17"/>
  <c r="K45" i="5"/>
  <c r="N69" i="17"/>
  <c r="B26" i="36"/>
  <c r="H26" i="36" s="1"/>
  <c r="C26" i="36"/>
  <c r="K22" i="38"/>
  <c r="L22" i="38" s="1"/>
  <c r="A21" i="38"/>
  <c r="K36" i="63"/>
  <c r="L36" i="63"/>
  <c r="E20" i="20"/>
  <c r="G20" i="20"/>
  <c r="B20" i="20"/>
  <c r="I20" i="20"/>
  <c r="H20" i="20"/>
  <c r="C20" i="20"/>
  <c r="D20" i="20"/>
  <c r="F20" i="20"/>
  <c r="H94" i="17"/>
  <c r="C40" i="41"/>
  <c r="C52" i="41"/>
  <c r="M40" i="41" s="1"/>
  <c r="M69" i="41"/>
  <c r="S66" i="5"/>
  <c r="R71" i="5"/>
  <c r="AP25" i="36"/>
  <c r="AR25" i="36"/>
  <c r="AQ25" i="36"/>
  <c r="K25" i="36"/>
  <c r="X25" i="36"/>
  <c r="AU25" i="36"/>
  <c r="AG25" i="36"/>
  <c r="T25" i="36"/>
  <c r="O25" i="36"/>
  <c r="P25" i="36"/>
  <c r="W25" i="36"/>
  <c r="AJ25" i="36"/>
  <c r="AI25" i="36"/>
  <c r="Q25" i="36"/>
  <c r="R25" i="36"/>
  <c r="AF25" i="36"/>
  <c r="V25" i="36"/>
  <c r="AS25" i="36"/>
  <c r="U25" i="36"/>
  <c r="AM25" i="36"/>
  <c r="AL25" i="36"/>
  <c r="AO25" i="36"/>
  <c r="AE25" i="36"/>
  <c r="N25" i="36"/>
  <c r="Z25" i="36"/>
  <c r="AH25" i="36"/>
  <c r="Y25" i="36"/>
  <c r="M25" i="36"/>
  <c r="AT25" i="36"/>
  <c r="AA25" i="36"/>
  <c r="L25" i="36"/>
  <c r="AK25" i="36"/>
  <c r="S25" i="36"/>
  <c r="AN25" i="36"/>
  <c r="AB25" i="36"/>
  <c r="AD25" i="36"/>
  <c r="AC25" i="36"/>
  <c r="E19" i="38"/>
  <c r="L36" i="14"/>
  <c r="K36" i="14"/>
  <c r="K31" i="63"/>
  <c r="L31" i="63"/>
  <c r="L38" i="5"/>
  <c r="L44" i="5"/>
  <c r="L39" i="5"/>
  <c r="L11" i="5"/>
  <c r="L40" i="5"/>
  <c r="L41" i="5"/>
  <c r="L43" i="5"/>
  <c r="M10" i="5"/>
  <c r="L37" i="5"/>
  <c r="L42" i="5"/>
  <c r="L50" i="5"/>
  <c r="K58" i="5"/>
  <c r="AV28" i="36"/>
  <c r="AW28" i="36" s="1"/>
  <c r="A27" i="36"/>
  <c r="E16" i="18"/>
  <c r="F16" i="18"/>
  <c r="E35" i="19"/>
  <c r="G35" i="19"/>
  <c r="I35" i="19"/>
  <c r="F35" i="19"/>
  <c r="C35" i="19"/>
  <c r="J35" i="19"/>
  <c r="B35" i="19"/>
  <c r="H35" i="19"/>
  <c r="D35" i="19"/>
  <c r="AG34" i="19"/>
  <c r="AQ34" i="19"/>
  <c r="L34" i="19"/>
  <c r="AE34" i="19"/>
  <c r="AN34" i="19"/>
  <c r="AF34" i="19"/>
  <c r="Z34" i="19"/>
  <c r="AP34" i="19"/>
  <c r="AT34" i="19"/>
  <c r="AL34" i="19"/>
  <c r="AB34" i="19"/>
  <c r="O34" i="19"/>
  <c r="AR34" i="19"/>
  <c r="P34" i="19"/>
  <c r="AD34" i="19"/>
  <c r="AM34" i="19"/>
  <c r="X34" i="19"/>
  <c r="R34" i="19"/>
  <c r="U34" i="19"/>
  <c r="AU34" i="19"/>
  <c r="T34" i="19"/>
  <c r="K34" i="19"/>
  <c r="AJ34" i="19"/>
  <c r="AO34" i="19"/>
  <c r="AI34" i="19"/>
  <c r="AS34" i="19"/>
  <c r="N34" i="19"/>
  <c r="S34" i="19"/>
  <c r="AC34" i="19"/>
  <c r="W34" i="19"/>
  <c r="V34" i="19"/>
  <c r="AA34" i="19"/>
  <c r="AK34" i="19"/>
  <c r="Y34" i="19"/>
  <c r="M34" i="19"/>
  <c r="AH34" i="19"/>
  <c r="Q34" i="19"/>
  <c r="A36" i="19"/>
  <c r="AV37" i="19"/>
  <c r="AW37" i="19" s="1"/>
  <c r="J97" i="17"/>
  <c r="J66" i="17"/>
  <c r="J65" i="41"/>
  <c r="I97" i="41"/>
  <c r="J96" i="41"/>
  <c r="I66" i="41"/>
  <c r="J78" i="41"/>
  <c r="J98" i="41"/>
  <c r="J72" i="41"/>
  <c r="J99" i="41"/>
  <c r="J69" i="17"/>
  <c r="I69" i="41"/>
  <c r="J90" i="41"/>
  <c r="D20" i="33" l="1"/>
  <c r="E21" i="33"/>
  <c r="A14" i="55"/>
  <c r="AE13" i="55"/>
  <c r="R13" i="55"/>
  <c r="Q13" i="55"/>
  <c r="AI13" i="55"/>
  <c r="AG13" i="55"/>
  <c r="J13" i="55"/>
  <c r="U13" i="55"/>
  <c r="N13" i="55"/>
  <c r="AK13" i="55"/>
  <c r="AD13" i="55"/>
  <c r="AC13" i="55"/>
  <c r="P13" i="55"/>
  <c r="L13" i="55"/>
  <c r="AA13" i="55"/>
  <c r="AL13" i="55"/>
  <c r="O13" i="55"/>
  <c r="AJ13" i="55"/>
  <c r="T13" i="55"/>
  <c r="AO13" i="55"/>
  <c r="AB13" i="55"/>
  <c r="AH13" i="55"/>
  <c r="Y13" i="55"/>
  <c r="V13" i="55"/>
  <c r="X13" i="55"/>
  <c r="AF13" i="55"/>
  <c r="S13" i="55"/>
  <c r="AN13" i="55"/>
  <c r="M13" i="55"/>
  <c r="K13" i="55"/>
  <c r="Z13" i="55"/>
  <c r="W13" i="55"/>
  <c r="AM13" i="55"/>
  <c r="AW32" i="37"/>
  <c r="AX32" i="37" s="1"/>
  <c r="A31" i="37"/>
  <c r="I30" i="37"/>
  <c r="G30" i="37"/>
  <c r="F30" i="37"/>
  <c r="C30" i="37"/>
  <c r="D30" i="37" s="1"/>
  <c r="H30" i="37"/>
  <c r="B30" i="37"/>
  <c r="E30" i="37" s="1"/>
  <c r="AT29" i="37"/>
  <c r="P29" i="37"/>
  <c r="L29" i="37"/>
  <c r="Y29" i="37"/>
  <c r="AQ29" i="37"/>
  <c r="V29" i="37"/>
  <c r="AH29" i="37"/>
  <c r="T29" i="37"/>
  <c r="AK29" i="37"/>
  <c r="AP29" i="37"/>
  <c r="AS29" i="37"/>
  <c r="AJ29" i="37"/>
  <c r="AV29" i="37"/>
  <c r="AO29" i="37"/>
  <c r="Q29" i="37"/>
  <c r="S29" i="37"/>
  <c r="AR29" i="37"/>
  <c r="K29" i="37"/>
  <c r="AF29" i="37"/>
  <c r="Z29" i="37"/>
  <c r="AE29" i="37"/>
  <c r="AD29" i="37"/>
  <c r="AU29" i="37"/>
  <c r="AA29" i="37"/>
  <c r="AI29" i="37"/>
  <c r="AC29" i="37"/>
  <c r="N29" i="37"/>
  <c r="X29" i="37"/>
  <c r="U29" i="37"/>
  <c r="G22" i="56"/>
  <c r="P66" i="32"/>
  <c r="N66" i="32"/>
  <c r="Q66" i="32"/>
  <c r="C67" i="32"/>
  <c r="F67" i="32"/>
  <c r="G67" i="32"/>
  <c r="I67" i="32"/>
  <c r="H67" i="32"/>
  <c r="B67" i="32"/>
  <c r="E67" i="32" s="1"/>
  <c r="D66" i="32"/>
  <c r="AO66" i="32"/>
  <c r="AT66" i="32"/>
  <c r="AR66" i="32"/>
  <c r="AS66" i="32"/>
  <c r="AQ66" i="32"/>
  <c r="AP66" i="32"/>
  <c r="AW66" i="32"/>
  <c r="AU66" i="32"/>
  <c r="AV66" i="32"/>
  <c r="AX69" i="32"/>
  <c r="AY69" i="32" s="1"/>
  <c r="A68" i="32"/>
  <c r="N4" i="33"/>
  <c r="M3" i="33"/>
  <c r="D26" i="36"/>
  <c r="E26" i="36"/>
  <c r="J26" i="36"/>
  <c r="C27" i="36"/>
  <c r="B27" i="36"/>
  <c r="F27" i="36" s="1"/>
  <c r="M37" i="5"/>
  <c r="M43" i="5"/>
  <c r="M40" i="5"/>
  <c r="N10" i="5"/>
  <c r="M42" i="5"/>
  <c r="M11" i="5"/>
  <c r="M41" i="5"/>
  <c r="M44" i="5"/>
  <c r="M39" i="5"/>
  <c r="M38" i="5"/>
  <c r="A48" i="56"/>
  <c r="S71" i="5"/>
  <c r="T66" i="5"/>
  <c r="C21" i="38"/>
  <c r="F21" i="38"/>
  <c r="H21" i="38"/>
  <c r="E21" i="38"/>
  <c r="G21" i="38"/>
  <c r="I21" i="38"/>
  <c r="D21" i="38"/>
  <c r="B21" i="38"/>
  <c r="R26" i="36"/>
  <c r="AD26" i="36"/>
  <c r="AF26" i="36"/>
  <c r="AJ26" i="36"/>
  <c r="Q26" i="36"/>
  <c r="X26" i="36"/>
  <c r="AR26" i="36"/>
  <c r="AL26" i="36"/>
  <c r="AK26" i="36"/>
  <c r="W26" i="36"/>
  <c r="S26" i="36"/>
  <c r="AB26" i="36"/>
  <c r="AS26" i="36"/>
  <c r="AH26" i="36"/>
  <c r="AG26" i="36"/>
  <c r="M26" i="36"/>
  <c r="AM26" i="36"/>
  <c r="O26" i="36"/>
  <c r="AU26" i="36"/>
  <c r="V26" i="36"/>
  <c r="L26" i="36"/>
  <c r="AQ26" i="36"/>
  <c r="AN26" i="36"/>
  <c r="AA26" i="36"/>
  <c r="AI26" i="36"/>
  <c r="K26" i="36"/>
  <c r="AO26" i="36"/>
  <c r="Y26" i="36"/>
  <c r="AT26" i="36"/>
  <c r="AE26" i="36"/>
  <c r="P26" i="36"/>
  <c r="U26" i="36"/>
  <c r="T26" i="36"/>
  <c r="N26" i="36"/>
  <c r="AC26" i="36"/>
  <c r="Z26" i="36"/>
  <c r="AP26" i="36"/>
  <c r="N113" i="41"/>
  <c r="I21" i="20"/>
  <c r="F21" i="20"/>
  <c r="B21" i="20"/>
  <c r="C21" i="20"/>
  <c r="E21" i="20"/>
  <c r="H21" i="20"/>
  <c r="D21" i="20"/>
  <c r="G21" i="20"/>
  <c r="D26" i="33"/>
  <c r="E27" i="33"/>
  <c r="AV29" i="36"/>
  <c r="AW29" i="36" s="1"/>
  <c r="A28" i="36"/>
  <c r="M50" i="5"/>
  <c r="L58" i="5"/>
  <c r="L45" i="5"/>
  <c r="N69" i="41"/>
  <c r="K23" i="38"/>
  <c r="L23" i="38" s="1"/>
  <c r="A22" i="38"/>
  <c r="I26" i="36"/>
  <c r="G26" i="36"/>
  <c r="F26" i="36"/>
  <c r="H69" i="17"/>
  <c r="C52" i="17"/>
  <c r="H78" i="17"/>
  <c r="K23" i="20"/>
  <c r="L23" i="20" s="1"/>
  <c r="A22" i="20"/>
  <c r="N113" i="17"/>
  <c r="AJ35" i="19"/>
  <c r="AC35" i="19"/>
  <c r="P35" i="19"/>
  <c r="Y35" i="19"/>
  <c r="O35" i="19"/>
  <c r="AN35" i="19"/>
  <c r="M35" i="19"/>
  <c r="AK35" i="19"/>
  <c r="W35" i="19"/>
  <c r="U35" i="19"/>
  <c r="T35" i="19"/>
  <c r="AA35" i="19"/>
  <c r="AH35" i="19"/>
  <c r="Q35" i="19"/>
  <c r="AG35" i="19"/>
  <c r="AO35" i="19"/>
  <c r="R35" i="19"/>
  <c r="AP35" i="19"/>
  <c r="AL35" i="19"/>
  <c r="AB35" i="19"/>
  <c r="S35" i="19"/>
  <c r="AI35" i="19"/>
  <c r="AR35" i="19"/>
  <c r="AE35" i="19"/>
  <c r="X35" i="19"/>
  <c r="AQ35" i="19"/>
  <c r="N35" i="19"/>
  <c r="V35" i="19"/>
  <c r="Z35" i="19"/>
  <c r="AD35" i="19"/>
  <c r="AF35" i="19"/>
  <c r="AT35" i="19"/>
  <c r="K35" i="19"/>
  <c r="AU35" i="19"/>
  <c r="AS35" i="19"/>
  <c r="AM35" i="19"/>
  <c r="L35" i="19"/>
  <c r="C36" i="19"/>
  <c r="B36" i="19"/>
  <c r="G36" i="19" s="1"/>
  <c r="A37" i="19"/>
  <c r="AV38" i="19"/>
  <c r="AW38" i="19" s="1"/>
  <c r="J97" i="41"/>
  <c r="J66" i="41"/>
  <c r="J69" i="41"/>
  <c r="G23" i="56" l="1"/>
  <c r="AW33" i="37"/>
  <c r="AX33" i="37" s="1"/>
  <c r="A32" i="37"/>
  <c r="Y30" i="37"/>
  <c r="AS30" i="37"/>
  <c r="AV30" i="37"/>
  <c r="N30" i="37"/>
  <c r="X30" i="37"/>
  <c r="AF30" i="37"/>
  <c r="AA30" i="37"/>
  <c r="AC30" i="37"/>
  <c r="T30" i="37"/>
  <c r="U30" i="37"/>
  <c r="V30" i="37"/>
  <c r="AR30" i="37"/>
  <c r="AH30" i="37"/>
  <c r="AD30" i="37"/>
  <c r="AT30" i="37"/>
  <c r="AK30" i="37"/>
  <c r="Z30" i="37"/>
  <c r="AU30" i="37"/>
  <c r="K30" i="37"/>
  <c r="Q30" i="37"/>
  <c r="P30" i="37"/>
  <c r="AJ30" i="37"/>
  <c r="AI30" i="37"/>
  <c r="S30" i="37"/>
  <c r="AE30" i="37"/>
  <c r="AQ30" i="37"/>
  <c r="AO30" i="37"/>
  <c r="AP30" i="37"/>
  <c r="L30" i="37"/>
  <c r="AM31" i="37"/>
  <c r="AG31" i="37"/>
  <c r="W31" i="37"/>
  <c r="O31" i="37"/>
  <c r="AN31" i="37"/>
  <c r="AL31" i="37"/>
  <c r="AB31" i="37"/>
  <c r="R31" i="37"/>
  <c r="B31" i="37"/>
  <c r="D31" i="37"/>
  <c r="F31" i="37"/>
  <c r="H31" i="37"/>
  <c r="E31" i="37"/>
  <c r="I31" i="37"/>
  <c r="C31" i="37"/>
  <c r="G31" i="37"/>
  <c r="A15" i="55"/>
  <c r="AN14" i="55"/>
  <c r="AA14" i="55"/>
  <c r="N14" i="55"/>
  <c r="AI14" i="55"/>
  <c r="J14" i="55"/>
  <c r="U14" i="55"/>
  <c r="W14" i="55"/>
  <c r="S14" i="55"/>
  <c r="Q14" i="55"/>
  <c r="AM14" i="55"/>
  <c r="Z14" i="55"/>
  <c r="M14" i="55"/>
  <c r="L14" i="55"/>
  <c r="AF14" i="55"/>
  <c r="T14" i="55"/>
  <c r="AC14" i="55"/>
  <c r="P14" i="55"/>
  <c r="AL14" i="55"/>
  <c r="Y14" i="55"/>
  <c r="AH14" i="55"/>
  <c r="K14" i="55"/>
  <c r="AE14" i="55"/>
  <c r="X14" i="55"/>
  <c r="V14" i="55"/>
  <c r="AO14" i="55"/>
  <c r="AB14" i="55"/>
  <c r="O14" i="55"/>
  <c r="AK14" i="55"/>
  <c r="R14" i="55"/>
  <c r="AG14" i="55"/>
  <c r="AD14" i="55"/>
  <c r="AJ14" i="55"/>
  <c r="C20" i="33"/>
  <c r="D21" i="33"/>
  <c r="D67" i="32"/>
  <c r="Q67" i="32"/>
  <c r="P67" i="32"/>
  <c r="N67" i="32"/>
  <c r="F68" i="32"/>
  <c r="I68" i="32"/>
  <c r="C68" i="32"/>
  <c r="D68" i="32" s="1"/>
  <c r="B68" i="32"/>
  <c r="E68" i="32" s="1"/>
  <c r="G68" i="32"/>
  <c r="H68" i="32"/>
  <c r="AX70" i="32"/>
  <c r="AY70" i="32" s="1"/>
  <c r="A69" i="32"/>
  <c r="AP67" i="32"/>
  <c r="AU67" i="32"/>
  <c r="AW67" i="32"/>
  <c r="AO67" i="32"/>
  <c r="AR67" i="32"/>
  <c r="AS67" i="32"/>
  <c r="AT67" i="32"/>
  <c r="AQ67" i="32"/>
  <c r="AV67" i="32"/>
  <c r="L3" i="33"/>
  <c r="M4" i="33"/>
  <c r="H27" i="36"/>
  <c r="I27" i="36"/>
  <c r="E27" i="36"/>
  <c r="D27" i="36"/>
  <c r="G27" i="36"/>
  <c r="G22" i="20"/>
  <c r="F22" i="20"/>
  <c r="B22" i="20"/>
  <c r="I22" i="20" s="1"/>
  <c r="C22" i="20"/>
  <c r="H22" i="20"/>
  <c r="K24" i="38"/>
  <c r="L24" i="38" s="1"/>
  <c r="A23" i="38"/>
  <c r="M58" i="5"/>
  <c r="N50" i="5"/>
  <c r="AV30" i="36"/>
  <c r="AW30" i="36" s="1"/>
  <c r="A29" i="36"/>
  <c r="U66" i="5"/>
  <c r="U71" i="5" s="1"/>
  <c r="T71" i="5"/>
  <c r="A49" i="56"/>
  <c r="A50" i="56" s="1"/>
  <c r="M45" i="5"/>
  <c r="H113" i="17"/>
  <c r="K24" i="20"/>
  <c r="L24" i="20" s="1"/>
  <c r="A23" i="20"/>
  <c r="F22" i="38"/>
  <c r="H22" i="38"/>
  <c r="C22" i="38"/>
  <c r="G22" i="38"/>
  <c r="B22" i="38"/>
  <c r="D22" i="38" s="1"/>
  <c r="H69" i="41"/>
  <c r="B28" i="36"/>
  <c r="E28" i="36" s="1"/>
  <c r="C28" i="36"/>
  <c r="D27" i="33"/>
  <c r="C26" i="33"/>
  <c r="H113" i="41"/>
  <c r="N43" i="5"/>
  <c r="N38" i="5"/>
  <c r="N39" i="5"/>
  <c r="O10" i="5"/>
  <c r="N44" i="5"/>
  <c r="N37" i="5"/>
  <c r="N42" i="5"/>
  <c r="N41" i="5"/>
  <c r="N40" i="5"/>
  <c r="N11" i="5"/>
  <c r="J27" i="36"/>
  <c r="AM27" i="36"/>
  <c r="AB27" i="36"/>
  <c r="AJ27" i="36"/>
  <c r="K27" i="36"/>
  <c r="AF27" i="36"/>
  <c r="AP27" i="36"/>
  <c r="Q27" i="36"/>
  <c r="AT27" i="36"/>
  <c r="Z27" i="36"/>
  <c r="AO27" i="36"/>
  <c r="S27" i="36"/>
  <c r="R27" i="36"/>
  <c r="AE27" i="36"/>
  <c r="AC27" i="36"/>
  <c r="X27" i="36"/>
  <c r="AQ27" i="36"/>
  <c r="AL27" i="36"/>
  <c r="AR27" i="36"/>
  <c r="V27" i="36"/>
  <c r="AG27" i="36"/>
  <c r="M27" i="36"/>
  <c r="AN27" i="36"/>
  <c r="AA27" i="36"/>
  <c r="Y27" i="36"/>
  <c r="T27" i="36"/>
  <c r="AU27" i="36"/>
  <c r="AH27" i="36"/>
  <c r="AS27" i="36"/>
  <c r="AK27" i="36"/>
  <c r="N27" i="36"/>
  <c r="AI27" i="36"/>
  <c r="AD27" i="36"/>
  <c r="U27" i="36"/>
  <c r="L27" i="36"/>
  <c r="P27" i="36"/>
  <c r="W27" i="36"/>
  <c r="O27" i="36"/>
  <c r="J36" i="19"/>
  <c r="E36" i="19"/>
  <c r="I36" i="19"/>
  <c r="H36" i="19"/>
  <c r="A38" i="19"/>
  <c r="AV39" i="19"/>
  <c r="AW39" i="19" s="1"/>
  <c r="D36" i="19"/>
  <c r="F36" i="19"/>
  <c r="AP36" i="19"/>
  <c r="V36" i="19"/>
  <c r="AT36" i="19"/>
  <c r="AD36" i="19"/>
  <c r="AQ36" i="19"/>
  <c r="R36" i="19"/>
  <c r="Y36" i="19"/>
  <c r="U36" i="19"/>
  <c r="AO36" i="19"/>
  <c r="K36" i="19"/>
  <c r="P36" i="19"/>
  <c r="N36" i="19"/>
  <c r="AE36" i="19"/>
  <c r="AK36" i="19"/>
  <c r="AF36" i="19"/>
  <c r="AC36" i="19"/>
  <c r="AA36" i="19"/>
  <c r="AG36" i="19"/>
  <c r="AM36" i="19"/>
  <c r="X36" i="19"/>
  <c r="AH36" i="19"/>
  <c r="AR36" i="19"/>
  <c r="S36" i="19"/>
  <c r="L36" i="19"/>
  <c r="AL36" i="19"/>
  <c r="AN36" i="19"/>
  <c r="Q36" i="19"/>
  <c r="W36" i="19"/>
  <c r="O36" i="19"/>
  <c r="AI36" i="19"/>
  <c r="AB36" i="19"/>
  <c r="M36" i="19"/>
  <c r="AS36" i="19"/>
  <c r="AU36" i="19"/>
  <c r="T36" i="19"/>
  <c r="AJ36" i="19"/>
  <c r="Z36" i="19"/>
  <c r="B37" i="19"/>
  <c r="G37" i="19" s="1"/>
  <c r="C37" i="19"/>
  <c r="B20" i="33" l="1"/>
  <c r="B21" i="33" s="1"/>
  <c r="C21" i="33"/>
  <c r="G24" i="56"/>
  <c r="AN32" i="37"/>
  <c r="AM32" i="37"/>
  <c r="AG32" i="37"/>
  <c r="W32" i="37"/>
  <c r="I32" i="37"/>
  <c r="AL32" i="37"/>
  <c r="AB32" i="37"/>
  <c r="R32" i="37"/>
  <c r="O32" i="37"/>
  <c r="D32" i="37"/>
  <c r="H32" i="37"/>
  <c r="B32" i="37"/>
  <c r="G32" i="37"/>
  <c r="C32" i="37"/>
  <c r="F32" i="37"/>
  <c r="E32" i="37"/>
  <c r="A16" i="55"/>
  <c r="N15" i="55"/>
  <c r="AJ15" i="55"/>
  <c r="W15" i="55"/>
  <c r="J15" i="55"/>
  <c r="AM15" i="55"/>
  <c r="AD15" i="55"/>
  <c r="AC15" i="55"/>
  <c r="S15" i="55"/>
  <c r="X15" i="55"/>
  <c r="AN15" i="55"/>
  <c r="AF15" i="55"/>
  <c r="AB15" i="55"/>
  <c r="Z15" i="55"/>
  <c r="AI15" i="55"/>
  <c r="AE15" i="55"/>
  <c r="T15" i="55"/>
  <c r="AL15" i="55"/>
  <c r="Y15" i="55"/>
  <c r="L15" i="55"/>
  <c r="AH15" i="55"/>
  <c r="R15" i="55"/>
  <c r="AG15" i="55"/>
  <c r="O15" i="55"/>
  <c r="AA15" i="55"/>
  <c r="AK15" i="55"/>
  <c r="K15" i="55"/>
  <c r="Q15" i="55"/>
  <c r="U15" i="55"/>
  <c r="M15" i="55"/>
  <c r="V15" i="55"/>
  <c r="P15" i="55"/>
  <c r="AO15" i="55"/>
  <c r="AD31" i="37"/>
  <c r="AF31" i="37"/>
  <c r="N31" i="37"/>
  <c r="AC31" i="37"/>
  <c r="AQ31" i="37"/>
  <c r="T31" i="37"/>
  <c r="V31" i="37"/>
  <c r="Z31" i="37"/>
  <c r="AU31" i="37"/>
  <c r="AI31" i="37"/>
  <c r="AS31" i="37"/>
  <c r="AJ31" i="37"/>
  <c r="AT31" i="37"/>
  <c r="P31" i="37"/>
  <c r="U31" i="37"/>
  <c r="S31" i="37"/>
  <c r="AV31" i="37"/>
  <c r="AE31" i="37"/>
  <c r="AK31" i="37"/>
  <c r="AH31" i="37"/>
  <c r="X31" i="37"/>
  <c r="L31" i="37"/>
  <c r="Y31" i="37"/>
  <c r="Q31" i="37"/>
  <c r="AA31" i="37"/>
  <c r="AO31" i="37"/>
  <c r="AP31" i="37"/>
  <c r="K31" i="37"/>
  <c r="AR31" i="37"/>
  <c r="M31" i="37"/>
  <c r="J31" i="37"/>
  <c r="AW34" i="37"/>
  <c r="AX34" i="37" s="1"/>
  <c r="A33" i="37"/>
  <c r="I28" i="36"/>
  <c r="P68" i="32"/>
  <c r="N68" i="32"/>
  <c r="Q68" i="32"/>
  <c r="AX71" i="32"/>
  <c r="AY71" i="32" s="1"/>
  <c r="A70" i="32"/>
  <c r="G69" i="32"/>
  <c r="C69" i="32"/>
  <c r="H69" i="32"/>
  <c r="F69" i="32"/>
  <c r="B69" i="32"/>
  <c r="E69" i="32" s="1"/>
  <c r="I69" i="32"/>
  <c r="AU68" i="32"/>
  <c r="AQ68" i="32"/>
  <c r="AW68" i="32"/>
  <c r="AV68" i="32"/>
  <c r="AS68" i="32"/>
  <c r="AT68" i="32"/>
  <c r="AR68" i="32"/>
  <c r="AP68" i="32"/>
  <c r="AO68" i="32"/>
  <c r="K3" i="33"/>
  <c r="L4" i="33"/>
  <c r="G28" i="36"/>
  <c r="J28" i="36"/>
  <c r="F28" i="36"/>
  <c r="H28" i="36"/>
  <c r="E22" i="38"/>
  <c r="I22" i="38"/>
  <c r="E22" i="20"/>
  <c r="B26" i="33"/>
  <c r="B27" i="33" s="1"/>
  <c r="C27" i="33"/>
  <c r="A24" i="20"/>
  <c r="K25" i="20"/>
  <c r="L25" i="20" s="1"/>
  <c r="B29" i="36"/>
  <c r="D29" i="36" s="1"/>
  <c r="C29" i="36"/>
  <c r="N58" i="5"/>
  <c r="O50" i="5"/>
  <c r="G23" i="38"/>
  <c r="B23" i="38"/>
  <c r="I23" i="38" s="1"/>
  <c r="C23" i="38"/>
  <c r="H23" i="38"/>
  <c r="F23" i="38"/>
  <c r="N45" i="5"/>
  <c r="O38" i="5"/>
  <c r="O11" i="5"/>
  <c r="O43" i="5"/>
  <c r="O42" i="5"/>
  <c r="O39" i="5"/>
  <c r="O37" i="5"/>
  <c r="P10" i="5"/>
  <c r="O41" i="5"/>
  <c r="O44" i="5"/>
  <c r="O40" i="5"/>
  <c r="D28" i="36"/>
  <c r="AM28" i="36"/>
  <c r="Y28" i="36"/>
  <c r="T28" i="36"/>
  <c r="Z28" i="36"/>
  <c r="AK28" i="36"/>
  <c r="N28" i="36"/>
  <c r="AT28" i="36"/>
  <c r="AG28" i="36"/>
  <c r="M28" i="36"/>
  <c r="AD28" i="36"/>
  <c r="AP28" i="36"/>
  <c r="L28" i="36"/>
  <c r="K28" i="36"/>
  <c r="X28" i="36"/>
  <c r="AL28" i="36"/>
  <c r="O28" i="36"/>
  <c r="AN28" i="36"/>
  <c r="R28" i="36"/>
  <c r="AS28" i="36"/>
  <c r="AO28" i="36"/>
  <c r="Q28" i="36"/>
  <c r="S28" i="36"/>
  <c r="AU28" i="36"/>
  <c r="AH28" i="36"/>
  <c r="P28" i="36"/>
  <c r="AQ28" i="36"/>
  <c r="AC28" i="36"/>
  <c r="AJ28" i="36"/>
  <c r="AF28" i="36"/>
  <c r="U28" i="36"/>
  <c r="AB28" i="36"/>
  <c r="AA28" i="36"/>
  <c r="W28" i="36"/>
  <c r="AR28" i="36"/>
  <c r="AI28" i="36"/>
  <c r="V28" i="36"/>
  <c r="AE28" i="36"/>
  <c r="G23" i="20"/>
  <c r="H23" i="20"/>
  <c r="B23" i="20"/>
  <c r="E23" i="20" s="1"/>
  <c r="C23" i="20"/>
  <c r="F23" i="20"/>
  <c r="AV31" i="36"/>
  <c r="AW31" i="36" s="1"/>
  <c r="A30" i="36"/>
  <c r="K25" i="38"/>
  <c r="L25" i="38" s="1"/>
  <c r="A24" i="38"/>
  <c r="D22" i="20"/>
  <c r="F37" i="19"/>
  <c r="J37" i="19"/>
  <c r="H37" i="19"/>
  <c r="D37" i="19"/>
  <c r="E37" i="19"/>
  <c r="W37" i="19"/>
  <c r="L37" i="19"/>
  <c r="Y37" i="19"/>
  <c r="R37" i="19"/>
  <c r="U37" i="19"/>
  <c r="P37" i="19"/>
  <c r="X37" i="19"/>
  <c r="AQ37" i="19"/>
  <c r="AE37" i="19"/>
  <c r="AB37" i="19"/>
  <c r="S37" i="19"/>
  <c r="Q37" i="19"/>
  <c r="AA37" i="19"/>
  <c r="AI37" i="19"/>
  <c r="AL37" i="19"/>
  <c r="AG37" i="19"/>
  <c r="O37" i="19"/>
  <c r="AU37" i="19"/>
  <c r="K37" i="19"/>
  <c r="AD37" i="19"/>
  <c r="AN37" i="19"/>
  <c r="AT37" i="19"/>
  <c r="V37" i="19"/>
  <c r="AK37" i="19"/>
  <c r="Z37" i="19"/>
  <c r="AS37" i="19"/>
  <c r="AP37" i="19"/>
  <c r="AO37" i="19"/>
  <c r="AH37" i="19"/>
  <c r="T37" i="19"/>
  <c r="M37" i="19"/>
  <c r="AC37" i="19"/>
  <c r="AF37" i="19"/>
  <c r="AJ37" i="19"/>
  <c r="AM37" i="19"/>
  <c r="N37" i="19"/>
  <c r="AR37" i="19"/>
  <c r="AV40" i="19"/>
  <c r="AW40" i="19" s="1"/>
  <c r="A39" i="19"/>
  <c r="I37" i="19"/>
  <c r="C38" i="19"/>
  <c r="B38" i="19"/>
  <c r="F38" i="19" s="1"/>
  <c r="G33" i="37" l="1"/>
  <c r="F33" i="37"/>
  <c r="B33" i="37"/>
  <c r="E33" i="37" s="1"/>
  <c r="C33" i="37"/>
  <c r="H33" i="37"/>
  <c r="I33" i="37"/>
  <c r="AW35" i="37"/>
  <c r="AX35" i="37" s="1"/>
  <c r="A34" i="37"/>
  <c r="G25" i="56"/>
  <c r="A17" i="55"/>
  <c r="K16" i="55"/>
  <c r="AG16" i="55"/>
  <c r="T16" i="55"/>
  <c r="Q16" i="55"/>
  <c r="AK16" i="55"/>
  <c r="N16" i="55"/>
  <c r="AA16" i="55"/>
  <c r="X16" i="55"/>
  <c r="U16" i="55"/>
  <c r="AN16" i="55"/>
  <c r="O16" i="55"/>
  <c r="AO16" i="55"/>
  <c r="W16" i="55"/>
  <c r="AF16" i="55"/>
  <c r="AM16" i="55"/>
  <c r="AJ16" i="55"/>
  <c r="L16" i="55"/>
  <c r="V16" i="55"/>
  <c r="AE16" i="55"/>
  <c r="AL16" i="55"/>
  <c r="M16" i="55"/>
  <c r="AC16" i="55"/>
  <c r="AH16" i="55"/>
  <c r="AD16" i="55"/>
  <c r="Z16" i="55"/>
  <c r="J16" i="55"/>
  <c r="S16" i="55"/>
  <c r="Y16" i="55"/>
  <c r="AI16" i="55"/>
  <c r="R16" i="55"/>
  <c r="AB16" i="55"/>
  <c r="P16" i="55"/>
  <c r="Z32" i="37"/>
  <c r="AP32" i="37"/>
  <c r="AS32" i="37"/>
  <c r="AK32" i="37"/>
  <c r="L32" i="37"/>
  <c r="AC32" i="37"/>
  <c r="AU32" i="37"/>
  <c r="AI32" i="37"/>
  <c r="AH32" i="37"/>
  <c r="V32" i="37"/>
  <c r="AJ32" i="37"/>
  <c r="N32" i="37"/>
  <c r="Y32" i="37"/>
  <c r="S32" i="37"/>
  <c r="AE32" i="37"/>
  <c r="T32" i="37"/>
  <c r="X32" i="37"/>
  <c r="AR32" i="37"/>
  <c r="P32" i="37"/>
  <c r="AA32" i="37"/>
  <c r="K32" i="37"/>
  <c r="AF32" i="37"/>
  <c r="AT32" i="37"/>
  <c r="AV32" i="37"/>
  <c r="Q32" i="37"/>
  <c r="AD32" i="37"/>
  <c r="U32" i="37"/>
  <c r="AO32" i="37"/>
  <c r="AQ32" i="37"/>
  <c r="M32" i="37"/>
  <c r="J32" i="37"/>
  <c r="D69" i="32"/>
  <c r="Q69" i="32"/>
  <c r="P69" i="32"/>
  <c r="N69" i="32"/>
  <c r="AO69" i="32"/>
  <c r="AU69" i="32"/>
  <c r="AR69" i="32"/>
  <c r="AS69" i="32"/>
  <c r="AW69" i="32"/>
  <c r="AP69" i="32"/>
  <c r="AT69" i="32"/>
  <c r="AQ69" i="32"/>
  <c r="AV69" i="32"/>
  <c r="H70" i="32"/>
  <c r="B70" i="32"/>
  <c r="E70" i="32" s="1"/>
  <c r="C70" i="32"/>
  <c r="F70" i="32"/>
  <c r="I70" i="32"/>
  <c r="G70" i="32"/>
  <c r="AX72" i="32"/>
  <c r="AY72" i="32" s="1"/>
  <c r="A71" i="32"/>
  <c r="J3" i="33"/>
  <c r="K4" i="33"/>
  <c r="F29" i="36"/>
  <c r="E29" i="36"/>
  <c r="D23" i="20"/>
  <c r="D23" i="38"/>
  <c r="I23" i="20"/>
  <c r="E23" i="38"/>
  <c r="G29" i="36"/>
  <c r="P37" i="5"/>
  <c r="P40" i="5"/>
  <c r="P44" i="5"/>
  <c r="P43" i="5"/>
  <c r="P11" i="5"/>
  <c r="P39" i="5"/>
  <c r="Q10" i="5"/>
  <c r="P42" i="5"/>
  <c r="P38" i="5"/>
  <c r="P41" i="5"/>
  <c r="O58" i="5"/>
  <c r="P50" i="5"/>
  <c r="I29" i="36"/>
  <c r="J29" i="36"/>
  <c r="K26" i="20"/>
  <c r="L26" i="20" s="1"/>
  <c r="A25" i="20"/>
  <c r="K26" i="38"/>
  <c r="L26" i="38" s="1"/>
  <c r="A25" i="38"/>
  <c r="AV32" i="36"/>
  <c r="AW32" i="36" s="1"/>
  <c r="A31" i="36"/>
  <c r="B24" i="38"/>
  <c r="I24" i="38" s="1"/>
  <c r="H24" i="38"/>
  <c r="F24" i="38"/>
  <c r="G24" i="38"/>
  <c r="C24" i="38"/>
  <c r="B30" i="36"/>
  <c r="E30" i="36" s="1"/>
  <c r="C30" i="36"/>
  <c r="A51" i="56"/>
  <c r="O45" i="5"/>
  <c r="B19" i="11" s="1"/>
  <c r="H29" i="36"/>
  <c r="Z29" i="36"/>
  <c r="Q29" i="36"/>
  <c r="AG29" i="36"/>
  <c r="AA29" i="36"/>
  <c r="Y29" i="36"/>
  <c r="AH29" i="36"/>
  <c r="N29" i="36"/>
  <c r="AM29" i="36"/>
  <c r="R29" i="36"/>
  <c r="AS29" i="36"/>
  <c r="AK29" i="36"/>
  <c r="AD29" i="36"/>
  <c r="X29" i="36"/>
  <c r="AU29" i="36"/>
  <c r="AP29" i="36"/>
  <c r="AO29" i="36"/>
  <c r="M29" i="36"/>
  <c r="V29" i="36"/>
  <c r="P29" i="36"/>
  <c r="U29" i="36"/>
  <c r="W29" i="36"/>
  <c r="AR29" i="36"/>
  <c r="AJ29" i="36"/>
  <c r="AQ29" i="36"/>
  <c r="AN29" i="36"/>
  <c r="S29" i="36"/>
  <c r="AB29" i="36"/>
  <c r="L29" i="36"/>
  <c r="AI29" i="36"/>
  <c r="T29" i="36"/>
  <c r="K29" i="36"/>
  <c r="AL29" i="36"/>
  <c r="AF29" i="36"/>
  <c r="AT29" i="36"/>
  <c r="AC29" i="36"/>
  <c r="O29" i="36"/>
  <c r="AE29" i="36"/>
  <c r="F24" i="20"/>
  <c r="B24" i="20"/>
  <c r="I24" i="20" s="1"/>
  <c r="G24" i="20"/>
  <c r="H24" i="20"/>
  <c r="C24" i="20"/>
  <c r="E38" i="19"/>
  <c r="D38" i="19"/>
  <c r="I38" i="19"/>
  <c r="G38" i="19"/>
  <c r="J38" i="19"/>
  <c r="AS38" i="19"/>
  <c r="U38" i="19"/>
  <c r="N38" i="19"/>
  <c r="AA38" i="19"/>
  <c r="AD38" i="19"/>
  <c r="AI38" i="19"/>
  <c r="W38" i="19"/>
  <c r="AJ38" i="19"/>
  <c r="AT38" i="19"/>
  <c r="T38" i="19"/>
  <c r="AU38" i="19"/>
  <c r="S38" i="19"/>
  <c r="M38" i="19"/>
  <c r="Q38" i="19"/>
  <c r="AN38" i="19"/>
  <c r="AF38" i="19"/>
  <c r="AM38" i="19"/>
  <c r="AB38" i="19"/>
  <c r="R38" i="19"/>
  <c r="O38" i="19"/>
  <c r="AE38" i="19"/>
  <c r="AP38" i="19"/>
  <c r="L38" i="19"/>
  <c r="AK38" i="19"/>
  <c r="K38" i="19"/>
  <c r="X38" i="19"/>
  <c r="AH38" i="19"/>
  <c r="AC38" i="19"/>
  <c r="P38" i="19"/>
  <c r="AO38" i="19"/>
  <c r="V38" i="19"/>
  <c r="AG38" i="19"/>
  <c r="AL38" i="19"/>
  <c r="Y38" i="19"/>
  <c r="Z38" i="19"/>
  <c r="AQ38" i="19"/>
  <c r="AR38" i="19"/>
  <c r="B39" i="19"/>
  <c r="H39" i="19" s="1"/>
  <c r="C39" i="19"/>
  <c r="A40" i="19"/>
  <c r="AV41" i="19"/>
  <c r="AW41" i="19" s="1"/>
  <c r="H38" i="19"/>
  <c r="G26" i="56" l="1"/>
  <c r="T17" i="55"/>
  <c r="AO17" i="55"/>
  <c r="AB17" i="55"/>
  <c r="AM17" i="55"/>
  <c r="M17" i="55"/>
  <c r="N17" i="55"/>
  <c r="K17" i="55"/>
  <c r="AA17" i="55"/>
  <c r="AF17" i="55"/>
  <c r="AI17" i="55"/>
  <c r="AJ17" i="55"/>
  <c r="AH17" i="55"/>
  <c r="AD17" i="55"/>
  <c r="P17" i="55"/>
  <c r="AK17" i="55"/>
  <c r="AG17" i="55"/>
  <c r="A18" i="55"/>
  <c r="AE17" i="55"/>
  <c r="R17" i="55"/>
  <c r="Q17" i="55"/>
  <c r="W17" i="55"/>
  <c r="AL17" i="55"/>
  <c r="O17" i="55"/>
  <c r="J17" i="55"/>
  <c r="X17" i="55"/>
  <c r="S17" i="55"/>
  <c r="AN17" i="55"/>
  <c r="U17" i="55"/>
  <c r="L17" i="55"/>
  <c r="AC17" i="55"/>
  <c r="V17" i="55"/>
  <c r="Z17" i="55"/>
  <c r="Y17" i="55"/>
  <c r="B34" i="37"/>
  <c r="E34" i="37" s="1"/>
  <c r="C34" i="37"/>
  <c r="F34" i="37"/>
  <c r="I34" i="37"/>
  <c r="H34" i="37"/>
  <c r="G34" i="37"/>
  <c r="D33" i="37"/>
  <c r="Q33" i="37"/>
  <c r="AT33" i="37"/>
  <c r="AH33" i="37"/>
  <c r="AK33" i="37"/>
  <c r="AP33" i="37"/>
  <c r="AF33" i="37"/>
  <c r="AR33" i="37"/>
  <c r="AO33" i="37"/>
  <c r="T33" i="37"/>
  <c r="AU33" i="37"/>
  <c r="N33" i="37"/>
  <c r="AA33" i="37"/>
  <c r="AI33" i="37"/>
  <c r="Y33" i="37"/>
  <c r="AD33" i="37"/>
  <c r="X33" i="37"/>
  <c r="P33" i="37"/>
  <c r="L33" i="37"/>
  <c r="U33" i="37"/>
  <c r="AE33" i="37"/>
  <c r="AS33" i="37"/>
  <c r="AC33" i="37"/>
  <c r="AJ33" i="37"/>
  <c r="V33" i="37"/>
  <c r="S33" i="37"/>
  <c r="AQ33" i="37"/>
  <c r="K33" i="37"/>
  <c r="Z33" i="37"/>
  <c r="AV33" i="37"/>
  <c r="AW36" i="37"/>
  <c r="AX36" i="37" s="1"/>
  <c r="A35" i="37"/>
  <c r="D70" i="32"/>
  <c r="Q70" i="32"/>
  <c r="P70" i="32"/>
  <c r="N70" i="32"/>
  <c r="B71" i="32"/>
  <c r="E71" i="32" s="1"/>
  <c r="G71" i="32"/>
  <c r="C71" i="32"/>
  <c r="D71" i="32" s="1"/>
  <c r="F71" i="32"/>
  <c r="H71" i="32"/>
  <c r="I71" i="32"/>
  <c r="AU70" i="32"/>
  <c r="AO70" i="32"/>
  <c r="AP70" i="32"/>
  <c r="AW70" i="32"/>
  <c r="AR70" i="32"/>
  <c r="AV70" i="32"/>
  <c r="AT70" i="32"/>
  <c r="AS70" i="32"/>
  <c r="AQ70" i="32"/>
  <c r="AX73" i="32"/>
  <c r="AY73" i="32" s="1"/>
  <c r="A72" i="32"/>
  <c r="J4" i="33"/>
  <c r="I3" i="33"/>
  <c r="I30" i="36"/>
  <c r="D30" i="36"/>
  <c r="F30" i="36"/>
  <c r="J30" i="36"/>
  <c r="E24" i="38"/>
  <c r="D24" i="38"/>
  <c r="G25" i="11"/>
  <c r="H25" i="11"/>
  <c r="H26" i="11"/>
  <c r="B24" i="11"/>
  <c r="B25" i="11"/>
  <c r="B26" i="11"/>
  <c r="C29" i="11"/>
  <c r="D29" i="11"/>
  <c r="E29" i="11"/>
  <c r="D26" i="11"/>
  <c r="G24" i="11"/>
  <c r="H29" i="11"/>
  <c r="C26" i="11"/>
  <c r="G29" i="11"/>
  <c r="B29" i="11"/>
  <c r="F29" i="11"/>
  <c r="E26" i="11"/>
  <c r="H27" i="11"/>
  <c r="C25" i="11"/>
  <c r="E27" i="11"/>
  <c r="D25" i="11"/>
  <c r="G26" i="11"/>
  <c r="G27" i="11"/>
  <c r="F28" i="11"/>
  <c r="F25" i="11"/>
  <c r="E25" i="11"/>
  <c r="B28" i="11"/>
  <c r="F26" i="11"/>
  <c r="F27" i="11"/>
  <c r="G28" i="11"/>
  <c r="B27" i="11"/>
  <c r="H28" i="11"/>
  <c r="E28" i="11"/>
  <c r="F24" i="11"/>
  <c r="D28" i="11"/>
  <c r="C28" i="11"/>
  <c r="D27" i="11"/>
  <c r="D24" i="11"/>
  <c r="C24" i="11"/>
  <c r="C27" i="11"/>
  <c r="E24" i="11"/>
  <c r="H24" i="11"/>
  <c r="H30" i="11" s="1"/>
  <c r="C90" i="69" s="1"/>
  <c r="D24" i="20"/>
  <c r="A52" i="56"/>
  <c r="H30" i="36"/>
  <c r="G30" i="36"/>
  <c r="AV33" i="36"/>
  <c r="AW33" i="36" s="1"/>
  <c r="A32" i="36"/>
  <c r="K27" i="38"/>
  <c r="L27" i="38" s="1"/>
  <c r="A26" i="38"/>
  <c r="A26" i="20"/>
  <c r="K27" i="20"/>
  <c r="L27" i="20" s="1"/>
  <c r="Q37" i="5"/>
  <c r="R10" i="5"/>
  <c r="Q42" i="5"/>
  <c r="Q11" i="5"/>
  <c r="Q43" i="5"/>
  <c r="Q41" i="5"/>
  <c r="Q39" i="5"/>
  <c r="Q44" i="5"/>
  <c r="Q38" i="5"/>
  <c r="Q40" i="5"/>
  <c r="P45" i="5"/>
  <c r="E24" i="20"/>
  <c r="AH30" i="36"/>
  <c r="R30" i="36"/>
  <c r="AO30" i="36"/>
  <c r="M30" i="36"/>
  <c r="N30" i="36"/>
  <c r="AB30" i="36"/>
  <c r="O30" i="36"/>
  <c r="AG30" i="36"/>
  <c r="K30" i="36"/>
  <c r="AS30" i="36"/>
  <c r="AJ30" i="36"/>
  <c r="S30" i="36"/>
  <c r="W30" i="36"/>
  <c r="AD30" i="36"/>
  <c r="AT30" i="36"/>
  <c r="AI30" i="36"/>
  <c r="T30" i="36"/>
  <c r="P30" i="36"/>
  <c r="AK30" i="36"/>
  <c r="Z30" i="36"/>
  <c r="AE30" i="36"/>
  <c r="AP30" i="36"/>
  <c r="AC30" i="36"/>
  <c r="L30" i="36"/>
  <c r="Y30" i="36"/>
  <c r="V30" i="36"/>
  <c r="AF30" i="36"/>
  <c r="AU30" i="36"/>
  <c r="Q30" i="36"/>
  <c r="AA30" i="36"/>
  <c r="U30" i="36"/>
  <c r="AN30" i="36"/>
  <c r="AL30" i="36"/>
  <c r="AM30" i="36"/>
  <c r="X30" i="36"/>
  <c r="AR30" i="36"/>
  <c r="AQ30" i="36"/>
  <c r="E31" i="36"/>
  <c r="J31" i="36"/>
  <c r="B31" i="36"/>
  <c r="F31" i="36"/>
  <c r="D31" i="36"/>
  <c r="C31" i="36"/>
  <c r="H31" i="36"/>
  <c r="G31" i="36"/>
  <c r="I31" i="36"/>
  <c r="B25" i="38"/>
  <c r="D25" i="38" s="1"/>
  <c r="F25" i="38"/>
  <c r="C25" i="38"/>
  <c r="H25" i="38"/>
  <c r="G25" i="38"/>
  <c r="G25" i="20"/>
  <c r="F25" i="20"/>
  <c r="H25" i="20"/>
  <c r="C25" i="20"/>
  <c r="B25" i="20"/>
  <c r="E25" i="20" s="1"/>
  <c r="P58" i="5"/>
  <c r="Q50" i="5"/>
  <c r="E39" i="19"/>
  <c r="I39" i="19"/>
  <c r="F39" i="19"/>
  <c r="J39" i="19"/>
  <c r="D39" i="19"/>
  <c r="A41" i="19"/>
  <c r="AV42" i="19"/>
  <c r="AW42" i="19" s="1"/>
  <c r="B40" i="19"/>
  <c r="F40" i="19" s="1"/>
  <c r="C40" i="19"/>
  <c r="G39" i="19"/>
  <c r="M39" i="19"/>
  <c r="O39" i="19"/>
  <c r="AA39" i="19"/>
  <c r="K39" i="19"/>
  <c r="W39" i="19"/>
  <c r="AK39" i="19"/>
  <c r="AL39" i="19"/>
  <c r="R39" i="19"/>
  <c r="AE39" i="19"/>
  <c r="L39" i="19"/>
  <c r="AP39" i="19"/>
  <c r="AF39" i="19"/>
  <c r="AQ39" i="19"/>
  <c r="AM39" i="19"/>
  <c r="AS39" i="19"/>
  <c r="AO39" i="19"/>
  <c r="Y39" i="19"/>
  <c r="AI39" i="19"/>
  <c r="X39" i="19"/>
  <c r="T39" i="19"/>
  <c r="S39" i="19"/>
  <c r="AC39" i="19"/>
  <c r="Q39" i="19"/>
  <c r="V39" i="19"/>
  <c r="AU39" i="19"/>
  <c r="AN39" i="19"/>
  <c r="AG39" i="19"/>
  <c r="AB39" i="19"/>
  <c r="U39" i="19"/>
  <c r="P39" i="19"/>
  <c r="N39" i="19"/>
  <c r="AH39" i="19"/>
  <c r="AR39" i="19"/>
  <c r="AD39" i="19"/>
  <c r="AT39" i="19"/>
  <c r="AJ39" i="19"/>
  <c r="Z39" i="19"/>
  <c r="AW37" i="37" l="1"/>
  <c r="AX37" i="37" s="1"/>
  <c r="A36" i="37"/>
  <c r="E30" i="11"/>
  <c r="C91" i="69" s="1"/>
  <c r="C30" i="11"/>
  <c r="C87" i="69" s="1"/>
  <c r="I29" i="11"/>
  <c r="B24" i="13" s="1"/>
  <c r="H35" i="37"/>
  <c r="B35" i="37"/>
  <c r="E35" i="37" s="1"/>
  <c r="I35" i="37"/>
  <c r="F35" i="37"/>
  <c r="C35" i="37"/>
  <c r="D35" i="37" s="1"/>
  <c r="G35" i="37"/>
  <c r="D34" i="37"/>
  <c r="S34" i="37"/>
  <c r="Z34" i="37"/>
  <c r="AP34" i="37"/>
  <c r="AJ34" i="37"/>
  <c r="Q34" i="37"/>
  <c r="AS34" i="37"/>
  <c r="AV34" i="37"/>
  <c r="AE34" i="37"/>
  <c r="AO34" i="37"/>
  <c r="AA34" i="37"/>
  <c r="AT34" i="37"/>
  <c r="P34" i="37"/>
  <c r="AU34" i="37"/>
  <c r="AQ34" i="37"/>
  <c r="AD34" i="37"/>
  <c r="AH34" i="37"/>
  <c r="U34" i="37"/>
  <c r="L34" i="37"/>
  <c r="AK34" i="37"/>
  <c r="AR34" i="37"/>
  <c r="Y34" i="37"/>
  <c r="T34" i="37"/>
  <c r="AF34" i="37"/>
  <c r="X34" i="37"/>
  <c r="AC34" i="37"/>
  <c r="N34" i="37"/>
  <c r="K34" i="37"/>
  <c r="V34" i="37"/>
  <c r="AI34" i="37"/>
  <c r="A19" i="55"/>
  <c r="Q18" i="55"/>
  <c r="AM18" i="55"/>
  <c r="Z18" i="55"/>
  <c r="M18" i="55"/>
  <c r="AI18" i="55"/>
  <c r="AJ18" i="55"/>
  <c r="AD18" i="55"/>
  <c r="AH18" i="55"/>
  <c r="AA18" i="55"/>
  <c r="W18" i="55"/>
  <c r="S18" i="55"/>
  <c r="J18" i="55"/>
  <c r="AC18" i="55"/>
  <c r="AL18" i="55"/>
  <c r="V18" i="55"/>
  <c r="AF18" i="55"/>
  <c r="AO18" i="55"/>
  <c r="AB18" i="55"/>
  <c r="O18" i="55"/>
  <c r="AK18" i="55"/>
  <c r="T18" i="55"/>
  <c r="AE18" i="55"/>
  <c r="L18" i="55"/>
  <c r="AN18" i="55"/>
  <c r="N18" i="55"/>
  <c r="U18" i="55"/>
  <c r="X18" i="55"/>
  <c r="AG18" i="55"/>
  <c r="P18" i="55"/>
  <c r="Y18" i="55"/>
  <c r="R18" i="55"/>
  <c r="K18" i="55"/>
  <c r="G27" i="56"/>
  <c r="AM72" i="32"/>
  <c r="AN72" i="32"/>
  <c r="AG72" i="32"/>
  <c r="AL72" i="32"/>
  <c r="W72" i="32"/>
  <c r="AB72" i="32"/>
  <c r="R72" i="32"/>
  <c r="P71" i="32"/>
  <c r="N71" i="32"/>
  <c r="Q71" i="32"/>
  <c r="AX74" i="32"/>
  <c r="AY74" i="32" s="1"/>
  <c r="A73" i="32"/>
  <c r="E72" i="32"/>
  <c r="B72" i="32"/>
  <c r="G72" i="32"/>
  <c r="H72" i="32"/>
  <c r="D72" i="32"/>
  <c r="C72" i="32"/>
  <c r="F72" i="32"/>
  <c r="I72" i="32"/>
  <c r="AP71" i="32"/>
  <c r="AT71" i="32"/>
  <c r="AV71" i="32"/>
  <c r="AS71" i="32"/>
  <c r="AQ71" i="32"/>
  <c r="AO71" i="32"/>
  <c r="AR71" i="32"/>
  <c r="AU71" i="32"/>
  <c r="AW71" i="32"/>
  <c r="H3" i="33"/>
  <c r="I4" i="33"/>
  <c r="D25" i="20"/>
  <c r="I25" i="38"/>
  <c r="E25" i="38"/>
  <c r="Q58" i="5"/>
  <c r="R50" i="5"/>
  <c r="AF31" i="36"/>
  <c r="K31" i="36"/>
  <c r="AB31" i="36"/>
  <c r="AM31" i="36"/>
  <c r="O31" i="36"/>
  <c r="AL31" i="36"/>
  <c r="AO31" i="36"/>
  <c r="AU31" i="36"/>
  <c r="S31" i="36"/>
  <c r="R31" i="36"/>
  <c r="AI31" i="36"/>
  <c r="AT31" i="36"/>
  <c r="AN31" i="36"/>
  <c r="Y31" i="36"/>
  <c r="X31" i="36"/>
  <c r="P31" i="36"/>
  <c r="W31" i="36"/>
  <c r="AJ31" i="36"/>
  <c r="AH31" i="36"/>
  <c r="AP31" i="36"/>
  <c r="AA31" i="36"/>
  <c r="AS31" i="36"/>
  <c r="AR31" i="36"/>
  <c r="AG31" i="36"/>
  <c r="AK31" i="36"/>
  <c r="N31" i="36"/>
  <c r="T31" i="36"/>
  <c r="V31" i="36"/>
  <c r="Q31" i="36"/>
  <c r="U31" i="36"/>
  <c r="AE31" i="36"/>
  <c r="Z31" i="36"/>
  <c r="M31" i="36"/>
  <c r="L31" i="36"/>
  <c r="AD31" i="36"/>
  <c r="AC31" i="36"/>
  <c r="AQ31" i="36"/>
  <c r="I25" i="20"/>
  <c r="Q45" i="5"/>
  <c r="B26" i="20"/>
  <c r="D26" i="20" s="1"/>
  <c r="H26" i="20"/>
  <c r="F26" i="20"/>
  <c r="G26" i="20"/>
  <c r="C26" i="20"/>
  <c r="K28" i="38"/>
  <c r="L28" i="38" s="1"/>
  <c r="A27" i="38"/>
  <c r="A33" i="36"/>
  <c r="AV34" i="36"/>
  <c r="AW34" i="36" s="1"/>
  <c r="A53" i="56"/>
  <c r="H10" i="13"/>
  <c r="H14" i="13" s="1"/>
  <c r="C80" i="63"/>
  <c r="C90" i="14"/>
  <c r="D30" i="11"/>
  <c r="C88" i="69" s="1"/>
  <c r="F30" i="11"/>
  <c r="C92" i="69" s="1"/>
  <c r="I26" i="11"/>
  <c r="B21" i="13" s="1"/>
  <c r="I24" i="11"/>
  <c r="B19" i="13" s="1"/>
  <c r="B30" i="11"/>
  <c r="C93" i="69" s="1"/>
  <c r="R11" i="5"/>
  <c r="R41" i="5"/>
  <c r="R37" i="5"/>
  <c r="R42" i="5"/>
  <c r="R44" i="5"/>
  <c r="S10" i="5"/>
  <c r="R43" i="5"/>
  <c r="R38" i="5"/>
  <c r="R40" i="5"/>
  <c r="R39" i="5"/>
  <c r="A27" i="20"/>
  <c r="K28" i="20"/>
  <c r="L28" i="20" s="1"/>
  <c r="G26" i="38"/>
  <c r="B26" i="38"/>
  <c r="E26" i="38" s="1"/>
  <c r="F26" i="38"/>
  <c r="C26" i="38"/>
  <c r="H26" i="38"/>
  <c r="F32" i="36"/>
  <c r="I32" i="36"/>
  <c r="D32" i="36"/>
  <c r="H32" i="36"/>
  <c r="C32" i="36"/>
  <c r="B32" i="36"/>
  <c r="J32" i="36"/>
  <c r="E32" i="36"/>
  <c r="G32" i="36"/>
  <c r="E10" i="13"/>
  <c r="E14" i="13" s="1"/>
  <c r="C81" i="63"/>
  <c r="C91" i="14"/>
  <c r="C77" i="63"/>
  <c r="C10" i="13"/>
  <c r="C14" i="13" s="1"/>
  <c r="C87" i="14"/>
  <c r="I27" i="11"/>
  <c r="B22" i="13" s="1"/>
  <c r="I28" i="11"/>
  <c r="B23" i="13" s="1"/>
  <c r="G30" i="11"/>
  <c r="C89" i="69" s="1"/>
  <c r="I25" i="11"/>
  <c r="B20" i="13" s="1"/>
  <c r="E40" i="19"/>
  <c r="I40" i="19"/>
  <c r="J40" i="19"/>
  <c r="D40" i="19"/>
  <c r="H40" i="19"/>
  <c r="G40" i="19"/>
  <c r="Z40" i="19"/>
  <c r="R40" i="19"/>
  <c r="AD40" i="19"/>
  <c r="N40" i="19"/>
  <c r="AC40" i="19"/>
  <c r="S40" i="19"/>
  <c r="T40" i="19"/>
  <c r="AT40" i="19"/>
  <c r="X40" i="19"/>
  <c r="AS40" i="19"/>
  <c r="AM40" i="19"/>
  <c r="W40" i="19"/>
  <c r="AN40" i="19"/>
  <c r="AG40" i="19"/>
  <c r="O40" i="19"/>
  <c r="Q40" i="19"/>
  <c r="AO40" i="19"/>
  <c r="AJ40" i="19"/>
  <c r="K40" i="19"/>
  <c r="AI40" i="19"/>
  <c r="V40" i="19"/>
  <c r="L40" i="19"/>
  <c r="AB40" i="19"/>
  <c r="AH40" i="19"/>
  <c r="P40" i="19"/>
  <c r="AQ40" i="19"/>
  <c r="AA40" i="19"/>
  <c r="AK40" i="19"/>
  <c r="AP40" i="19"/>
  <c r="M40" i="19"/>
  <c r="AR40" i="19"/>
  <c r="AL40" i="19"/>
  <c r="Y40" i="19"/>
  <c r="AU40" i="19"/>
  <c r="U40" i="19"/>
  <c r="AF40" i="19"/>
  <c r="AE40" i="19"/>
  <c r="A42" i="19"/>
  <c r="AV43" i="19"/>
  <c r="AW43" i="19" s="1"/>
  <c r="I41" i="19"/>
  <c r="G41" i="19"/>
  <c r="D41" i="19"/>
  <c r="J41" i="19"/>
  <c r="H41" i="19"/>
  <c r="F41" i="19"/>
  <c r="C41" i="19"/>
  <c r="E41" i="19"/>
  <c r="B41" i="19"/>
  <c r="G28" i="56" l="1"/>
  <c r="F36" i="37"/>
  <c r="B36" i="37"/>
  <c r="E36" i="37" s="1"/>
  <c r="G36" i="37"/>
  <c r="C36" i="37"/>
  <c r="D36" i="37" s="1"/>
  <c r="H36" i="37"/>
  <c r="I36" i="37"/>
  <c r="W19" i="55"/>
  <c r="AO19" i="55"/>
  <c r="X19" i="55"/>
  <c r="AC19" i="55"/>
  <c r="AA19" i="55"/>
  <c r="AL19" i="55"/>
  <c r="Y19" i="55"/>
  <c r="L19" i="55"/>
  <c r="AH19" i="55"/>
  <c r="T19" i="55"/>
  <c r="AE19" i="55"/>
  <c r="AF19" i="55"/>
  <c r="AK19" i="55"/>
  <c r="K19" i="55"/>
  <c r="R19" i="55"/>
  <c r="AM19" i="55"/>
  <c r="M19" i="55"/>
  <c r="V19" i="55"/>
  <c r="AN19" i="55"/>
  <c r="AD19" i="55"/>
  <c r="A20" i="55"/>
  <c r="N19" i="55"/>
  <c r="AJ19" i="55"/>
  <c r="J19" i="55"/>
  <c r="U19" i="55"/>
  <c r="AG19" i="55"/>
  <c r="O19" i="55"/>
  <c r="P19" i="55"/>
  <c r="AB19" i="55"/>
  <c r="S19" i="55"/>
  <c r="Z19" i="55"/>
  <c r="AI19" i="55"/>
  <c r="Q19" i="55"/>
  <c r="AC35" i="37"/>
  <c r="Y35" i="37"/>
  <c r="T35" i="37"/>
  <c r="AO35" i="37"/>
  <c r="S35" i="37"/>
  <c r="K35" i="37"/>
  <c r="Z35" i="37"/>
  <c r="AI35" i="37"/>
  <c r="Q35" i="37"/>
  <c r="AA35" i="37"/>
  <c r="AQ35" i="37"/>
  <c r="AT35" i="37"/>
  <c r="N35" i="37"/>
  <c r="AE35" i="37"/>
  <c r="AF35" i="37"/>
  <c r="AK35" i="37"/>
  <c r="V35" i="37"/>
  <c r="AU35" i="37"/>
  <c r="AR35" i="37"/>
  <c r="P35" i="37"/>
  <c r="L35" i="37"/>
  <c r="X35" i="37"/>
  <c r="AS35" i="37"/>
  <c r="AV35" i="37"/>
  <c r="AH35" i="37"/>
  <c r="AD35" i="37"/>
  <c r="U35" i="37"/>
  <c r="AP35" i="37"/>
  <c r="AJ35" i="37"/>
  <c r="AW38" i="37"/>
  <c r="AX38" i="37" s="1"/>
  <c r="A37" i="37"/>
  <c r="AM73" i="32"/>
  <c r="AN73" i="32"/>
  <c r="AG73" i="32"/>
  <c r="AL73" i="32"/>
  <c r="W73" i="32"/>
  <c r="AB73" i="32"/>
  <c r="R73" i="32"/>
  <c r="P72" i="32"/>
  <c r="Q72" i="32"/>
  <c r="AD72" i="32"/>
  <c r="AK72" i="32"/>
  <c r="AW72" i="32"/>
  <c r="AS72" i="32"/>
  <c r="AC72" i="32"/>
  <c r="AV72" i="32"/>
  <c r="Z72" i="32"/>
  <c r="AR72" i="32"/>
  <c r="AT72" i="32"/>
  <c r="AP72" i="32"/>
  <c r="U72" i="32"/>
  <c r="V72" i="32"/>
  <c r="AJ72" i="32"/>
  <c r="AF72" i="32"/>
  <c r="Y72" i="32"/>
  <c r="S72" i="32"/>
  <c r="AI72" i="32"/>
  <c r="X72" i="32"/>
  <c r="T72" i="32"/>
  <c r="AO72" i="32"/>
  <c r="AA72" i="32"/>
  <c r="AH72" i="32"/>
  <c r="AE72" i="32"/>
  <c r="N72" i="32"/>
  <c r="AU72" i="32"/>
  <c r="AQ72" i="32"/>
  <c r="B73" i="32"/>
  <c r="E73" i="32"/>
  <c r="F73" i="32"/>
  <c r="H73" i="32"/>
  <c r="G73" i="32"/>
  <c r="D73" i="32"/>
  <c r="I73" i="32"/>
  <c r="C73" i="32"/>
  <c r="AX75" i="32"/>
  <c r="AY75" i="32" s="1"/>
  <c r="A74" i="32"/>
  <c r="I26" i="38"/>
  <c r="G3" i="33"/>
  <c r="H4" i="33"/>
  <c r="D26" i="38"/>
  <c r="E26" i="20"/>
  <c r="G10" i="13"/>
  <c r="G14" i="13" s="1"/>
  <c r="C89" i="14"/>
  <c r="C79" i="63"/>
  <c r="I27" i="20"/>
  <c r="G27" i="20"/>
  <c r="F27" i="20"/>
  <c r="D27" i="20"/>
  <c r="E27" i="20"/>
  <c r="B27" i="20"/>
  <c r="C27" i="20"/>
  <c r="H27" i="20"/>
  <c r="R45" i="5"/>
  <c r="C93" i="14"/>
  <c r="C83" i="63"/>
  <c r="B10" i="13"/>
  <c r="B14" i="13" s="1"/>
  <c r="I30" i="11"/>
  <c r="C88" i="14"/>
  <c r="C78" i="63"/>
  <c r="D10" i="13"/>
  <c r="D14" i="13" s="1"/>
  <c r="A54" i="56"/>
  <c r="B33" i="36"/>
  <c r="I33" i="36" s="1"/>
  <c r="C33" i="36"/>
  <c r="A28" i="38"/>
  <c r="K29" i="38"/>
  <c r="L29" i="38" s="1"/>
  <c r="S50" i="5"/>
  <c r="R58" i="5"/>
  <c r="O32" i="36"/>
  <c r="N32" i="36"/>
  <c r="AR32" i="36"/>
  <c r="AI32" i="36"/>
  <c r="Z32" i="36"/>
  <c r="AC32" i="36"/>
  <c r="AG32" i="36"/>
  <c r="AQ32" i="36"/>
  <c r="S32" i="36"/>
  <c r="AA32" i="36"/>
  <c r="AM32" i="36"/>
  <c r="X32" i="36"/>
  <c r="AT32" i="36"/>
  <c r="P32" i="36"/>
  <c r="AU32" i="36"/>
  <c r="AH32" i="36"/>
  <c r="AF32" i="36"/>
  <c r="AO32" i="36"/>
  <c r="K32" i="36"/>
  <c r="L32" i="36"/>
  <c r="AK32" i="36"/>
  <c r="W32" i="36"/>
  <c r="AN32" i="36"/>
  <c r="AE32" i="36"/>
  <c r="Q32" i="36"/>
  <c r="AS32" i="36"/>
  <c r="R32" i="36"/>
  <c r="AJ32" i="36"/>
  <c r="AL32" i="36"/>
  <c r="AB32" i="36"/>
  <c r="Y32" i="36"/>
  <c r="AD32" i="36"/>
  <c r="T32" i="36"/>
  <c r="AP32" i="36"/>
  <c r="M32" i="36"/>
  <c r="U32" i="36"/>
  <c r="V32" i="36"/>
  <c r="A28" i="20"/>
  <c r="K29" i="20"/>
  <c r="L29" i="20" s="1"/>
  <c r="S39" i="5"/>
  <c r="S11" i="5"/>
  <c r="S41" i="5"/>
  <c r="T10" i="5"/>
  <c r="S37" i="5"/>
  <c r="S42" i="5"/>
  <c r="S43" i="5"/>
  <c r="S44" i="5"/>
  <c r="S38" i="5"/>
  <c r="S40" i="5"/>
  <c r="C82" i="63"/>
  <c r="F10" i="13"/>
  <c r="F14" i="13" s="1"/>
  <c r="C92" i="14"/>
  <c r="AV35" i="36"/>
  <c r="AW35" i="36" s="1"/>
  <c r="A34" i="36"/>
  <c r="G27" i="38"/>
  <c r="E27" i="38"/>
  <c r="C27" i="38"/>
  <c r="H27" i="38"/>
  <c r="D27" i="38"/>
  <c r="B27" i="38"/>
  <c r="F27" i="38"/>
  <c r="I27" i="38"/>
  <c r="I26" i="20"/>
  <c r="AE41" i="19"/>
  <c r="AQ41" i="19"/>
  <c r="AP41" i="19"/>
  <c r="R41" i="19"/>
  <c r="P41" i="19"/>
  <c r="T41" i="19"/>
  <c r="O41" i="19"/>
  <c r="V41" i="19"/>
  <c r="Z41" i="19"/>
  <c r="AD41" i="19"/>
  <c r="S41" i="19"/>
  <c r="AH41" i="19"/>
  <c r="AF41" i="19"/>
  <c r="AR41" i="19"/>
  <c r="M41" i="19"/>
  <c r="AL41" i="19"/>
  <c r="Y41" i="19"/>
  <c r="AB41" i="19"/>
  <c r="AS41" i="19"/>
  <c r="AG41" i="19"/>
  <c r="Q41" i="19"/>
  <c r="AN41" i="19"/>
  <c r="X41" i="19"/>
  <c r="AO41" i="19"/>
  <c r="N41" i="19"/>
  <c r="AM41" i="19"/>
  <c r="AJ41" i="19"/>
  <c r="AI41" i="19"/>
  <c r="AA41" i="19"/>
  <c r="L41" i="19"/>
  <c r="AC41" i="19"/>
  <c r="AT41" i="19"/>
  <c r="AU41" i="19"/>
  <c r="U41" i="19"/>
  <c r="AK41" i="19"/>
  <c r="W41" i="19"/>
  <c r="K41" i="19"/>
  <c r="I42" i="19"/>
  <c r="C42" i="19"/>
  <c r="D42" i="19"/>
  <c r="E42" i="19"/>
  <c r="F42" i="19"/>
  <c r="H42" i="19"/>
  <c r="J42" i="19"/>
  <c r="B42" i="19"/>
  <c r="G42" i="19"/>
  <c r="AV44" i="19"/>
  <c r="AW44" i="19" s="1"/>
  <c r="A43" i="19"/>
  <c r="AW39" i="37" l="1"/>
  <c r="AX39" i="37" s="1"/>
  <c r="A38" i="37"/>
  <c r="B37" i="37"/>
  <c r="E37" i="37" s="1"/>
  <c r="F37" i="37"/>
  <c r="I37" i="37"/>
  <c r="H37" i="37"/>
  <c r="G37" i="37"/>
  <c r="C37" i="37"/>
  <c r="A21" i="55"/>
  <c r="K20" i="55"/>
  <c r="T20" i="55"/>
  <c r="AM20" i="55"/>
  <c r="AI20" i="55"/>
  <c r="V20" i="55"/>
  <c r="AE20" i="55"/>
  <c r="Z20" i="55"/>
  <c r="AJ20" i="55"/>
  <c r="AL20" i="55"/>
  <c r="Q20" i="55"/>
  <c r="W20" i="55"/>
  <c r="AF20" i="55"/>
  <c r="AN20" i="55"/>
  <c r="N20" i="55"/>
  <c r="O20" i="55"/>
  <c r="U20" i="55"/>
  <c r="AB20" i="55"/>
  <c r="X20" i="55"/>
  <c r="AC20" i="55"/>
  <c r="AG20" i="55"/>
  <c r="AA20" i="55"/>
  <c r="AO20" i="55"/>
  <c r="AD20" i="55"/>
  <c r="L20" i="55"/>
  <c r="J20" i="55"/>
  <c r="S20" i="55"/>
  <c r="Y20" i="55"/>
  <c r="AK20" i="55"/>
  <c r="AH20" i="55"/>
  <c r="R20" i="55"/>
  <c r="P20" i="55"/>
  <c r="M20" i="55"/>
  <c r="K36" i="37"/>
  <c r="AS36" i="37"/>
  <c r="AA36" i="37"/>
  <c r="AV36" i="37"/>
  <c r="V36" i="37"/>
  <c r="AQ36" i="37"/>
  <c r="T36" i="37"/>
  <c r="AH36" i="37"/>
  <c r="AP36" i="37"/>
  <c r="AU36" i="37"/>
  <c r="AR36" i="37"/>
  <c r="Z36" i="37"/>
  <c r="AO36" i="37"/>
  <c r="Q36" i="37"/>
  <c r="AF36" i="37"/>
  <c r="AK36" i="37"/>
  <c r="P36" i="37"/>
  <c r="AI36" i="37"/>
  <c r="X36" i="37"/>
  <c r="L36" i="37"/>
  <c r="AT36" i="37"/>
  <c r="AD36" i="37"/>
  <c r="U36" i="37"/>
  <c r="S36" i="37"/>
  <c r="N36" i="37"/>
  <c r="Y36" i="37"/>
  <c r="AC36" i="37"/>
  <c r="AJ36" i="37"/>
  <c r="AE36" i="37"/>
  <c r="AX76" i="32"/>
  <c r="AY76" i="32" s="1"/>
  <c r="A75" i="32"/>
  <c r="F74" i="32"/>
  <c r="H74" i="32"/>
  <c r="I74" i="32"/>
  <c r="G74" i="32"/>
  <c r="B74" i="32"/>
  <c r="E74" i="32" s="1"/>
  <c r="C74" i="32"/>
  <c r="Y73" i="32"/>
  <c r="AS73" i="32"/>
  <c r="AI73" i="32"/>
  <c r="AA73" i="32"/>
  <c r="AK73" i="32"/>
  <c r="AU73" i="32"/>
  <c r="AF73" i="32"/>
  <c r="Z73" i="32"/>
  <c r="AJ73" i="32"/>
  <c r="AT73" i="32"/>
  <c r="T73" i="32"/>
  <c r="S73" i="32"/>
  <c r="AC73" i="32"/>
  <c r="AE73" i="32"/>
  <c r="AW73" i="32"/>
  <c r="AO73" i="32"/>
  <c r="AQ73" i="32"/>
  <c r="P73" i="32"/>
  <c r="V73" i="32"/>
  <c r="AP73" i="32"/>
  <c r="X73" i="32"/>
  <c r="N73" i="32"/>
  <c r="AR73" i="32"/>
  <c r="AH73" i="32"/>
  <c r="AD73" i="32"/>
  <c r="AV73" i="32"/>
  <c r="Q73" i="32"/>
  <c r="U73" i="32"/>
  <c r="J33" i="36"/>
  <c r="F3" i="33"/>
  <c r="G4" i="33"/>
  <c r="F33" i="36"/>
  <c r="D33" i="36"/>
  <c r="G33" i="36"/>
  <c r="H33" i="36"/>
  <c r="E33" i="36"/>
  <c r="AV36" i="36"/>
  <c r="AW36" i="36" s="1"/>
  <c r="A35" i="36"/>
  <c r="K30" i="20"/>
  <c r="L30" i="20" s="1"/>
  <c r="A29" i="20"/>
  <c r="S58" i="5"/>
  <c r="T50" i="5"/>
  <c r="E28" i="38"/>
  <c r="B28" i="38"/>
  <c r="I28" i="38"/>
  <c r="C28" i="38"/>
  <c r="D28" i="38"/>
  <c r="G28" i="38"/>
  <c r="F28" i="38"/>
  <c r="H28" i="38"/>
  <c r="T44" i="5"/>
  <c r="T41" i="5"/>
  <c r="T39" i="5"/>
  <c r="T40" i="5"/>
  <c r="U10" i="5"/>
  <c r="T42" i="5"/>
  <c r="T43" i="5"/>
  <c r="T37" i="5"/>
  <c r="T11" i="5"/>
  <c r="T38" i="5"/>
  <c r="C34" i="36"/>
  <c r="B34" i="36"/>
  <c r="H34" i="36" s="1"/>
  <c r="S45" i="5"/>
  <c r="D28" i="20"/>
  <c r="F28" i="20"/>
  <c r="C28" i="20"/>
  <c r="I28" i="20"/>
  <c r="H28" i="20"/>
  <c r="B28" i="20"/>
  <c r="E28" i="20"/>
  <c r="G28" i="20"/>
  <c r="K30" i="38"/>
  <c r="L30" i="38" s="1"/>
  <c r="A29" i="38"/>
  <c r="L33" i="36"/>
  <c r="S33" i="36"/>
  <c r="O33" i="36"/>
  <c r="K33" i="36"/>
  <c r="V33" i="36"/>
  <c r="AQ33" i="36"/>
  <c r="AS33" i="36"/>
  <c r="X33" i="36"/>
  <c r="AB33" i="36"/>
  <c r="AI33" i="36"/>
  <c r="Z33" i="36"/>
  <c r="Y33" i="36"/>
  <c r="P33" i="36"/>
  <c r="AO33" i="36"/>
  <c r="AK33" i="36"/>
  <c r="T33" i="36"/>
  <c r="R33" i="36"/>
  <c r="AD33" i="36"/>
  <c r="AN33" i="36"/>
  <c r="AR33" i="36"/>
  <c r="AJ33" i="36"/>
  <c r="U33" i="36"/>
  <c r="AL33" i="36"/>
  <c r="AU33" i="36"/>
  <c r="AP33" i="36"/>
  <c r="M33" i="36"/>
  <c r="AF33" i="36"/>
  <c r="Q33" i="36"/>
  <c r="N33" i="36"/>
  <c r="AT33" i="36"/>
  <c r="AC33" i="36"/>
  <c r="W33" i="36"/>
  <c r="AM33" i="36"/>
  <c r="AE33" i="36"/>
  <c r="AG33" i="36"/>
  <c r="AA33" i="36"/>
  <c r="AH33" i="36"/>
  <c r="A55" i="56"/>
  <c r="AV45" i="19"/>
  <c r="AW45" i="19" s="1"/>
  <c r="A44" i="19"/>
  <c r="C43" i="19"/>
  <c r="B43" i="19"/>
  <c r="F43" i="19" s="1"/>
  <c r="Y42" i="19"/>
  <c r="Q42" i="19"/>
  <c r="U42" i="19"/>
  <c r="Z42" i="19"/>
  <c r="X42" i="19"/>
  <c r="AK42" i="19"/>
  <c r="AH42" i="19"/>
  <c r="K42" i="19"/>
  <c r="S42" i="19"/>
  <c r="M42" i="19"/>
  <c r="AC42" i="19"/>
  <c r="P42" i="19"/>
  <c r="AG42" i="19"/>
  <c r="L42" i="19"/>
  <c r="AR42" i="19"/>
  <c r="AL42" i="19"/>
  <c r="AD42" i="19"/>
  <c r="W42" i="19"/>
  <c r="AU42" i="19"/>
  <c r="N42" i="19"/>
  <c r="AA42" i="19"/>
  <c r="AM42" i="19"/>
  <c r="AB42" i="19"/>
  <c r="AT42" i="19"/>
  <c r="AN42" i="19"/>
  <c r="AP42" i="19"/>
  <c r="AO42" i="19"/>
  <c r="R42" i="19"/>
  <c r="AE42" i="19"/>
  <c r="AQ42" i="19"/>
  <c r="AJ42" i="19"/>
  <c r="AF42" i="19"/>
  <c r="O42" i="19"/>
  <c r="V42" i="19"/>
  <c r="AI42" i="19"/>
  <c r="AS42" i="19"/>
  <c r="T42" i="19"/>
  <c r="AF21" i="55" l="1"/>
  <c r="S21" i="55"/>
  <c r="AN21" i="55"/>
  <c r="K21" i="55"/>
  <c r="AJ21" i="55"/>
  <c r="V21" i="55"/>
  <c r="AI21" i="55"/>
  <c r="AE21" i="55"/>
  <c r="Q21" i="55"/>
  <c r="Z21" i="55"/>
  <c r="AH21" i="55"/>
  <c r="M21" i="55"/>
  <c r="AB21" i="55"/>
  <c r="W21" i="55"/>
  <c r="AM21" i="55"/>
  <c r="A22" i="55"/>
  <c r="AD21" i="55"/>
  <c r="AC21" i="55"/>
  <c r="P21" i="55"/>
  <c r="J21" i="55"/>
  <c r="Y21" i="55"/>
  <c r="L21" i="55"/>
  <c r="AL21" i="55"/>
  <c r="U21" i="55"/>
  <c r="R21" i="55"/>
  <c r="AG21" i="55"/>
  <c r="X21" i="55"/>
  <c r="AK21" i="55"/>
  <c r="T21" i="55"/>
  <c r="AO21" i="55"/>
  <c r="AA21" i="55"/>
  <c r="N21" i="55"/>
  <c r="O21" i="55"/>
  <c r="AP37" i="37"/>
  <c r="AH37" i="37"/>
  <c r="AD37" i="37"/>
  <c r="AT37" i="37"/>
  <c r="P37" i="37"/>
  <c r="Y37" i="37"/>
  <c r="AE37" i="37"/>
  <c r="AQ37" i="37"/>
  <c r="U37" i="37"/>
  <c r="AA37" i="37"/>
  <c r="AI37" i="37"/>
  <c r="Q37" i="37"/>
  <c r="AR37" i="37"/>
  <c r="AF37" i="37"/>
  <c r="AO37" i="37"/>
  <c r="AV37" i="37"/>
  <c r="X37" i="37"/>
  <c r="AK37" i="37"/>
  <c r="AJ37" i="37"/>
  <c r="S37" i="37"/>
  <c r="Z37" i="37"/>
  <c r="K37" i="37"/>
  <c r="AS37" i="37"/>
  <c r="N37" i="37"/>
  <c r="AU37" i="37"/>
  <c r="L37" i="37"/>
  <c r="V37" i="37"/>
  <c r="T37" i="37"/>
  <c r="AC37" i="37"/>
  <c r="G38" i="37"/>
  <c r="F38" i="37"/>
  <c r="H38" i="37"/>
  <c r="C38" i="37"/>
  <c r="D38" i="37" s="1"/>
  <c r="I38" i="37"/>
  <c r="B38" i="37"/>
  <c r="E38" i="37" s="1"/>
  <c r="D37" i="37"/>
  <c r="AW40" i="37"/>
  <c r="AX40" i="37" s="1"/>
  <c r="A39" i="37"/>
  <c r="D74" i="32"/>
  <c r="Q74" i="32"/>
  <c r="P74" i="32"/>
  <c r="N74" i="32"/>
  <c r="AU74" i="32"/>
  <c r="AS74" i="32"/>
  <c r="AQ74" i="32"/>
  <c r="AW74" i="32"/>
  <c r="AP74" i="32"/>
  <c r="AT74" i="32"/>
  <c r="AR74" i="32"/>
  <c r="AO74" i="32"/>
  <c r="AV74" i="32"/>
  <c r="H75" i="32"/>
  <c r="G75" i="32"/>
  <c r="F75" i="32"/>
  <c r="I75" i="32"/>
  <c r="B75" i="32"/>
  <c r="E75" i="32" s="1"/>
  <c r="C75" i="32"/>
  <c r="AX77" i="32"/>
  <c r="AY77" i="32" s="1"/>
  <c r="A76" i="32"/>
  <c r="E3" i="33"/>
  <c r="F4" i="33"/>
  <c r="I34" i="36"/>
  <c r="E34" i="36"/>
  <c r="A56" i="56"/>
  <c r="F29" i="38"/>
  <c r="G29" i="38"/>
  <c r="C29" i="38"/>
  <c r="H29" i="38"/>
  <c r="B29" i="38"/>
  <c r="D29" i="38" s="1"/>
  <c r="AI34" i="36"/>
  <c r="AL34" i="36"/>
  <c r="AK34" i="36"/>
  <c r="Z34" i="36"/>
  <c r="AH34" i="36"/>
  <c r="X34" i="36"/>
  <c r="P34" i="36"/>
  <c r="W34" i="36"/>
  <c r="AM34" i="36"/>
  <c r="M34" i="36"/>
  <c r="AO34" i="36"/>
  <c r="AF34" i="36"/>
  <c r="N34" i="36"/>
  <c r="AU34" i="36"/>
  <c r="AQ34" i="36"/>
  <c r="AA34" i="36"/>
  <c r="R34" i="36"/>
  <c r="AT34" i="36"/>
  <c r="AR34" i="36"/>
  <c r="AG34" i="36"/>
  <c r="AB34" i="36"/>
  <c r="Q34" i="36"/>
  <c r="AN34" i="36"/>
  <c r="L34" i="36"/>
  <c r="T34" i="36"/>
  <c r="AD34" i="36"/>
  <c r="K34" i="36"/>
  <c r="AP34" i="36"/>
  <c r="AS34" i="36"/>
  <c r="Y34" i="36"/>
  <c r="AC34" i="36"/>
  <c r="U34" i="36"/>
  <c r="O34" i="36"/>
  <c r="AJ34" i="36"/>
  <c r="S34" i="36"/>
  <c r="V34" i="36"/>
  <c r="AE34" i="36"/>
  <c r="U43" i="5"/>
  <c r="U11" i="5"/>
  <c r="U38" i="5"/>
  <c r="U37" i="5"/>
  <c r="U39" i="5"/>
  <c r="U40" i="5"/>
  <c r="U42" i="5"/>
  <c r="U41" i="5"/>
  <c r="U44" i="5"/>
  <c r="U50" i="5"/>
  <c r="U58" i="5" s="1"/>
  <c r="T58" i="5"/>
  <c r="H29" i="20"/>
  <c r="C29" i="20"/>
  <c r="F29" i="20"/>
  <c r="G29" i="20"/>
  <c r="B29" i="20"/>
  <c r="E29" i="20" s="1"/>
  <c r="C35" i="36"/>
  <c r="B35" i="36"/>
  <c r="J35" i="36" s="1"/>
  <c r="K31" i="38"/>
  <c r="L31" i="38" s="1"/>
  <c r="A30" i="38"/>
  <c r="J34" i="36"/>
  <c r="D34" i="36"/>
  <c r="G34" i="36"/>
  <c r="F34" i="36"/>
  <c r="T45" i="5"/>
  <c r="K31" i="20"/>
  <c r="L31" i="20" s="1"/>
  <c r="A30" i="20"/>
  <c r="AV37" i="36"/>
  <c r="AW37" i="36" s="1"/>
  <c r="A36" i="36"/>
  <c r="G43" i="19"/>
  <c r="I43" i="19"/>
  <c r="J43" i="19"/>
  <c r="D43" i="19"/>
  <c r="H43" i="19"/>
  <c r="E43" i="19"/>
  <c r="Q43" i="19"/>
  <c r="AR43" i="19"/>
  <c r="S43" i="19"/>
  <c r="AD43" i="19"/>
  <c r="P43" i="19"/>
  <c r="AU43" i="19"/>
  <c r="AI43" i="19"/>
  <c r="AK43" i="19"/>
  <c r="L43" i="19"/>
  <c r="U43" i="19"/>
  <c r="AM43" i="19"/>
  <c r="AN43" i="19"/>
  <c r="K43" i="19"/>
  <c r="X43" i="19"/>
  <c r="AB43" i="19"/>
  <c r="T43" i="19"/>
  <c r="O43" i="19"/>
  <c r="AF43" i="19"/>
  <c r="Z43" i="19"/>
  <c r="AH43" i="19"/>
  <c r="AG43" i="19"/>
  <c r="V43" i="19"/>
  <c r="AL43" i="19"/>
  <c r="AE43" i="19"/>
  <c r="AS43" i="19"/>
  <c r="N43" i="19"/>
  <c r="R43" i="19"/>
  <c r="AA43" i="19"/>
  <c r="M43" i="19"/>
  <c r="AJ43" i="19"/>
  <c r="W43" i="19"/>
  <c r="Y43" i="19"/>
  <c r="AQ43" i="19"/>
  <c r="AP43" i="19"/>
  <c r="AC43" i="19"/>
  <c r="AT43" i="19"/>
  <c r="AO43" i="19"/>
  <c r="C44" i="19"/>
  <c r="B44" i="19"/>
  <c r="F44" i="19" s="1"/>
  <c r="AV46" i="19"/>
  <c r="AW46" i="19" s="1"/>
  <c r="A45" i="19"/>
  <c r="AW41" i="37" l="1"/>
  <c r="AX41" i="37" s="1"/>
  <c r="A40" i="37"/>
  <c r="AN39" i="37"/>
  <c r="AL39" i="37"/>
  <c r="AB39" i="37"/>
  <c r="R39" i="37"/>
  <c r="E39" i="37"/>
  <c r="AM39" i="37"/>
  <c r="AG39" i="37"/>
  <c r="W39" i="37"/>
  <c r="O39" i="37"/>
  <c r="C39" i="37"/>
  <c r="H39" i="37"/>
  <c r="B39" i="37"/>
  <c r="G39" i="37"/>
  <c r="F39" i="37"/>
  <c r="D39" i="37"/>
  <c r="I39" i="37"/>
  <c r="AR38" i="37"/>
  <c r="AC38" i="37"/>
  <c r="AD38" i="37"/>
  <c r="AE38" i="37"/>
  <c r="AJ38" i="37"/>
  <c r="AP38" i="37"/>
  <c r="Y38" i="37"/>
  <c r="AK38" i="37"/>
  <c r="AV38" i="37"/>
  <c r="K38" i="37"/>
  <c r="AU38" i="37"/>
  <c r="V38" i="37"/>
  <c r="AS38" i="37"/>
  <c r="N38" i="37"/>
  <c r="AT38" i="37"/>
  <c r="AH38" i="37"/>
  <c r="S38" i="37"/>
  <c r="AA38" i="37"/>
  <c r="AQ38" i="37"/>
  <c r="U38" i="37"/>
  <c r="X38" i="37"/>
  <c r="L38" i="37"/>
  <c r="T38" i="37"/>
  <c r="AF38" i="37"/>
  <c r="Q38" i="37"/>
  <c r="Z38" i="37"/>
  <c r="AI38" i="37"/>
  <c r="AO38" i="37"/>
  <c r="P38" i="37"/>
  <c r="A23" i="55"/>
  <c r="AN22" i="55"/>
  <c r="AA22" i="55"/>
  <c r="N22" i="55"/>
  <c r="AG22" i="55"/>
  <c r="W22" i="55"/>
  <c r="AJ22" i="55"/>
  <c r="AI22" i="55"/>
  <c r="U22" i="55"/>
  <c r="AM22" i="55"/>
  <c r="M22" i="55"/>
  <c r="AD22" i="55"/>
  <c r="R22" i="55"/>
  <c r="AO22" i="55"/>
  <c r="O22" i="55"/>
  <c r="K22" i="55"/>
  <c r="L22" i="55"/>
  <c r="AC22" i="55"/>
  <c r="P22" i="55"/>
  <c r="AL22" i="55"/>
  <c r="Y22" i="55"/>
  <c r="AF22" i="55"/>
  <c r="X22" i="55"/>
  <c r="T22" i="55"/>
  <c r="AH22" i="55"/>
  <c r="Q22" i="55"/>
  <c r="Z22" i="55"/>
  <c r="J22" i="55"/>
  <c r="V22" i="55"/>
  <c r="AB22" i="55"/>
  <c r="AK22" i="55"/>
  <c r="AE22" i="55"/>
  <c r="S22" i="55"/>
  <c r="P75" i="32"/>
  <c r="N75" i="32"/>
  <c r="Q75" i="32"/>
  <c r="AP75" i="32"/>
  <c r="AR75" i="32"/>
  <c r="AS75" i="32"/>
  <c r="AQ75" i="32"/>
  <c r="AT75" i="32"/>
  <c r="AO75" i="32"/>
  <c r="AU75" i="32"/>
  <c r="AW75" i="32"/>
  <c r="AV75" i="32"/>
  <c r="G76" i="32"/>
  <c r="F76" i="32"/>
  <c r="C76" i="32"/>
  <c r="I76" i="32"/>
  <c r="H76" i="32"/>
  <c r="B76" i="32"/>
  <c r="E76" i="32" s="1"/>
  <c r="D75" i="32"/>
  <c r="AX78" i="32"/>
  <c r="AY78" i="32" s="1"/>
  <c r="A77" i="32"/>
  <c r="D3" i="33"/>
  <c r="E4" i="33"/>
  <c r="H35" i="36"/>
  <c r="D35" i="36"/>
  <c r="F35" i="36"/>
  <c r="I29" i="20"/>
  <c r="E35" i="36"/>
  <c r="G35" i="36"/>
  <c r="I35" i="36"/>
  <c r="D29" i="20"/>
  <c r="E29" i="38"/>
  <c r="I29" i="38"/>
  <c r="J36" i="36"/>
  <c r="E36" i="36"/>
  <c r="C36" i="36"/>
  <c r="B36" i="36"/>
  <c r="D36" i="36"/>
  <c r="G36" i="36"/>
  <c r="F36" i="36"/>
  <c r="I36" i="36"/>
  <c r="H36" i="36"/>
  <c r="G30" i="20"/>
  <c r="C30" i="20"/>
  <c r="B30" i="20"/>
  <c r="I30" i="20" s="1"/>
  <c r="H30" i="20"/>
  <c r="F30" i="20"/>
  <c r="F30" i="38"/>
  <c r="B30" i="38"/>
  <c r="I30" i="38" s="1"/>
  <c r="H30" i="38"/>
  <c r="C30" i="38"/>
  <c r="G30" i="38"/>
  <c r="AV38" i="36"/>
  <c r="AW38" i="36" s="1"/>
  <c r="A37" i="36"/>
  <c r="K32" i="20"/>
  <c r="L32" i="20" s="1"/>
  <c r="A31" i="20"/>
  <c r="K32" i="38"/>
  <c r="L32" i="38" s="1"/>
  <c r="A31" i="38"/>
  <c r="V35" i="36"/>
  <c r="AO35" i="36"/>
  <c r="AD35" i="36"/>
  <c r="Y35" i="36"/>
  <c r="AC35" i="36"/>
  <c r="AG35" i="36"/>
  <c r="AN35" i="36"/>
  <c r="AJ35" i="36"/>
  <c r="AI35" i="36"/>
  <c r="AL35" i="36"/>
  <c r="T35" i="36"/>
  <c r="AF35" i="36"/>
  <c r="S35" i="36"/>
  <c r="R35" i="36"/>
  <c r="Q35" i="36"/>
  <c r="AT35" i="36"/>
  <c r="N35" i="36"/>
  <c r="K35" i="36"/>
  <c r="X35" i="36"/>
  <c r="AQ35" i="36"/>
  <c r="Z35" i="36"/>
  <c r="AE35" i="36"/>
  <c r="AM35" i="36"/>
  <c r="AH35" i="36"/>
  <c r="U35" i="36"/>
  <c r="AA35" i="36"/>
  <c r="AS35" i="36"/>
  <c r="L35" i="36"/>
  <c r="AP35" i="36"/>
  <c r="AB35" i="36"/>
  <c r="AK35" i="36"/>
  <c r="M35" i="36"/>
  <c r="AU35" i="36"/>
  <c r="AR35" i="36"/>
  <c r="W35" i="36"/>
  <c r="O35" i="36"/>
  <c r="P35" i="36"/>
  <c r="U45" i="5"/>
  <c r="B20" i="5"/>
  <c r="B21" i="5" s="1"/>
  <c r="C11" i="5"/>
  <c r="C20" i="5"/>
  <c r="C21" i="5" s="1"/>
  <c r="A57" i="56"/>
  <c r="I44" i="19"/>
  <c r="E44" i="19"/>
  <c r="J44" i="19"/>
  <c r="G44" i="19"/>
  <c r="H44" i="19"/>
  <c r="B45" i="19"/>
  <c r="H45" i="19" s="1"/>
  <c r="C45" i="19"/>
  <c r="Z44" i="19"/>
  <c r="AG44" i="19"/>
  <c r="Y44" i="19"/>
  <c r="Q44" i="19"/>
  <c r="AH44" i="19"/>
  <c r="AC44" i="19"/>
  <c r="AM44" i="19"/>
  <c r="AS44" i="19"/>
  <c r="AL44" i="19"/>
  <c r="R44" i="19"/>
  <c r="AB44" i="19"/>
  <c r="O44" i="19"/>
  <c r="U44" i="19"/>
  <c r="M44" i="19"/>
  <c r="AI44" i="19"/>
  <c r="V44" i="19"/>
  <c r="AT44" i="19"/>
  <c r="AP44" i="19"/>
  <c r="AO44" i="19"/>
  <c r="L44" i="19"/>
  <c r="AE44" i="19"/>
  <c r="AK44" i="19"/>
  <c r="P44" i="19"/>
  <c r="AU44" i="19"/>
  <c r="K44" i="19"/>
  <c r="AN44" i="19"/>
  <c r="AF44" i="19"/>
  <c r="AD44" i="19"/>
  <c r="W44" i="19"/>
  <c r="S44" i="19"/>
  <c r="AR44" i="19"/>
  <c r="AJ44" i="19"/>
  <c r="AQ44" i="19"/>
  <c r="X44" i="19"/>
  <c r="T44" i="19"/>
  <c r="N44" i="19"/>
  <c r="AA44" i="19"/>
  <c r="AV47" i="19"/>
  <c r="AW47" i="19" s="1"/>
  <c r="A46" i="19"/>
  <c r="D44" i="19"/>
  <c r="Z23" i="55" l="1"/>
  <c r="M23" i="55"/>
  <c r="AI23" i="55"/>
  <c r="V23" i="55"/>
  <c r="AF23" i="55"/>
  <c r="AC23" i="55"/>
  <c r="AA23" i="55"/>
  <c r="Q23" i="55"/>
  <c r="N23" i="55"/>
  <c r="W23" i="55"/>
  <c r="O23" i="55"/>
  <c r="AM23" i="55"/>
  <c r="Y23" i="55"/>
  <c r="AH23" i="55"/>
  <c r="S23" i="55"/>
  <c r="AK23" i="55"/>
  <c r="X23" i="55"/>
  <c r="K23" i="55"/>
  <c r="AG23" i="55"/>
  <c r="AO23" i="55"/>
  <c r="T23" i="55"/>
  <c r="AN23" i="55"/>
  <c r="J23" i="55"/>
  <c r="AD23" i="55"/>
  <c r="U23" i="55"/>
  <c r="L23" i="55"/>
  <c r="P23" i="55"/>
  <c r="AB23" i="55"/>
  <c r="R23" i="55"/>
  <c r="A24" i="55"/>
  <c r="AE23" i="55"/>
  <c r="AJ23" i="55"/>
  <c r="AL23" i="55"/>
  <c r="U39" i="37"/>
  <c r="AJ39" i="37"/>
  <c r="S39" i="37"/>
  <c r="AA39" i="37"/>
  <c r="V39" i="37"/>
  <c r="AP39" i="37"/>
  <c r="T39" i="37"/>
  <c r="AI39" i="37"/>
  <c r="AE39" i="37"/>
  <c r="Y39" i="37"/>
  <c r="AF39" i="37"/>
  <c r="X39" i="37"/>
  <c r="K39" i="37"/>
  <c r="AT39" i="37"/>
  <c r="AK39" i="37"/>
  <c r="AD39" i="37"/>
  <c r="Q39" i="37"/>
  <c r="AS39" i="37"/>
  <c r="AR39" i="37"/>
  <c r="Z39" i="37"/>
  <c r="P39" i="37"/>
  <c r="AH39" i="37"/>
  <c r="AU39" i="37"/>
  <c r="N39" i="37"/>
  <c r="AC39" i="37"/>
  <c r="AO39" i="37"/>
  <c r="AV39" i="37"/>
  <c r="L39" i="37"/>
  <c r="AQ39" i="37"/>
  <c r="J39" i="37"/>
  <c r="M39" i="37"/>
  <c r="AN40" i="37"/>
  <c r="AG40" i="37"/>
  <c r="W40" i="37"/>
  <c r="O40" i="37"/>
  <c r="D40" i="37"/>
  <c r="G40" i="37"/>
  <c r="H40" i="37"/>
  <c r="B40" i="37"/>
  <c r="C40" i="37"/>
  <c r="F40" i="37"/>
  <c r="AM40" i="37"/>
  <c r="AL40" i="37"/>
  <c r="AB40" i="37"/>
  <c r="R40" i="37"/>
  <c r="I40" i="37"/>
  <c r="E40" i="37"/>
  <c r="AW42" i="37"/>
  <c r="AX42" i="37" s="1"/>
  <c r="A41" i="37"/>
  <c r="D76" i="32"/>
  <c r="Q76" i="32"/>
  <c r="P76" i="32"/>
  <c r="N76" i="32"/>
  <c r="AX79" i="32"/>
  <c r="AY79" i="32" s="1"/>
  <c r="A78" i="32"/>
  <c r="AO76" i="32"/>
  <c r="AT76" i="32"/>
  <c r="AW76" i="32"/>
  <c r="AS76" i="32"/>
  <c r="AV76" i="32"/>
  <c r="AP76" i="32"/>
  <c r="AQ76" i="32"/>
  <c r="AR76" i="32"/>
  <c r="AU76" i="32"/>
  <c r="I77" i="32"/>
  <c r="F77" i="32"/>
  <c r="G77" i="32"/>
  <c r="H77" i="32"/>
  <c r="B77" i="32"/>
  <c r="E77" i="32" s="1"/>
  <c r="C77" i="32"/>
  <c r="D4" i="33"/>
  <c r="C3" i="33"/>
  <c r="E30" i="20"/>
  <c r="D30" i="20"/>
  <c r="K33" i="38"/>
  <c r="L33" i="38" s="1"/>
  <c r="A32" i="38"/>
  <c r="K33" i="20"/>
  <c r="L33" i="20" s="1"/>
  <c r="A32" i="20"/>
  <c r="AV39" i="36"/>
  <c r="AW39" i="36" s="1"/>
  <c r="A38" i="36"/>
  <c r="D30" i="38"/>
  <c r="A58" i="56"/>
  <c r="G31" i="38"/>
  <c r="F31" i="38"/>
  <c r="B31" i="38"/>
  <c r="D31" i="38" s="1"/>
  <c r="C31" i="38"/>
  <c r="H31" i="38"/>
  <c r="H31" i="20"/>
  <c r="B31" i="20"/>
  <c r="E31" i="20" s="1"/>
  <c r="F31" i="20"/>
  <c r="G31" i="20"/>
  <c r="C31" i="20"/>
  <c r="C37" i="36"/>
  <c r="J37" i="36"/>
  <c r="I37" i="36"/>
  <c r="E37" i="36"/>
  <c r="F37" i="36"/>
  <c r="B37" i="36"/>
  <c r="G37" i="36"/>
  <c r="D37" i="36"/>
  <c r="H37" i="36"/>
  <c r="E30" i="38"/>
  <c r="AU36" i="36"/>
  <c r="O36" i="36"/>
  <c r="AR36" i="36"/>
  <c r="V36" i="36"/>
  <c r="X36" i="36"/>
  <c r="P36" i="36"/>
  <c r="AK36" i="36"/>
  <c r="Z36" i="36"/>
  <c r="AG36" i="36"/>
  <c r="AI36" i="36"/>
  <c r="AF36" i="36"/>
  <c r="U36" i="36"/>
  <c r="AT36" i="36"/>
  <c r="K36" i="36"/>
  <c r="T36" i="36"/>
  <c r="W36" i="36"/>
  <c r="AJ36" i="36"/>
  <c r="AD36" i="36"/>
  <c r="AL36" i="36"/>
  <c r="R36" i="36"/>
  <c r="AA36" i="36"/>
  <c r="AP36" i="36"/>
  <c r="AQ36" i="36"/>
  <c r="AM36" i="36"/>
  <c r="S36" i="36"/>
  <c r="AO36" i="36"/>
  <c r="AH36" i="36"/>
  <c r="L36" i="36"/>
  <c r="Y36" i="36"/>
  <c r="AN36" i="36"/>
  <c r="AE36" i="36"/>
  <c r="M36" i="36"/>
  <c r="AC36" i="36"/>
  <c r="Q36" i="36"/>
  <c r="AS36" i="36"/>
  <c r="AB36" i="36"/>
  <c r="N36" i="36"/>
  <c r="I45" i="19"/>
  <c r="D45" i="19"/>
  <c r="E45" i="19"/>
  <c r="G45" i="19"/>
  <c r="J45" i="19"/>
  <c r="F45" i="19"/>
  <c r="AV48" i="19"/>
  <c r="AW48" i="19" s="1"/>
  <c r="A47" i="19"/>
  <c r="H46" i="19"/>
  <c r="C46" i="19"/>
  <c r="E46" i="19"/>
  <c r="B46" i="19"/>
  <c r="F46" i="19"/>
  <c r="I46" i="19"/>
  <c r="D46" i="19"/>
  <c r="J46" i="19"/>
  <c r="G46" i="19"/>
  <c r="AB45" i="19"/>
  <c r="AU45" i="19"/>
  <c r="AG45" i="19"/>
  <c r="Z45" i="19"/>
  <c r="AE45" i="19"/>
  <c r="X45" i="19"/>
  <c r="AF45" i="19"/>
  <c r="AD45" i="19"/>
  <c r="AT45" i="19"/>
  <c r="W45" i="19"/>
  <c r="AJ45" i="19"/>
  <c r="S45" i="19"/>
  <c r="K45" i="19"/>
  <c r="AO45" i="19"/>
  <c r="T45" i="19"/>
  <c r="N45" i="19"/>
  <c r="AC45" i="19"/>
  <c r="AS45" i="19"/>
  <c r="O45" i="19"/>
  <c r="M45" i="19"/>
  <c r="AI45" i="19"/>
  <c r="AP45" i="19"/>
  <c r="AR45" i="19"/>
  <c r="AM45" i="19"/>
  <c r="AN45" i="19"/>
  <c r="Y45" i="19"/>
  <c r="P45" i="19"/>
  <c r="AH45" i="19"/>
  <c r="Q45" i="19"/>
  <c r="AL45" i="19"/>
  <c r="AA45" i="19"/>
  <c r="V45" i="19"/>
  <c r="L45" i="19"/>
  <c r="R45" i="19"/>
  <c r="U45" i="19"/>
  <c r="AQ45" i="19"/>
  <c r="AK45" i="19"/>
  <c r="G41" i="37" l="1"/>
  <c r="I41" i="37"/>
  <c r="H41" i="37"/>
  <c r="F41" i="37"/>
  <c r="B41" i="37"/>
  <c r="E41" i="37" s="1"/>
  <c r="C41" i="37"/>
  <c r="W24" i="55"/>
  <c r="J24" i="55"/>
  <c r="AF24" i="55"/>
  <c r="S24" i="55"/>
  <c r="AK24" i="55"/>
  <c r="N24" i="55"/>
  <c r="AC24" i="55"/>
  <c r="AN24" i="55"/>
  <c r="Y24" i="55"/>
  <c r="AI24" i="55"/>
  <c r="P24" i="55"/>
  <c r="M24" i="55"/>
  <c r="Z24" i="55"/>
  <c r="AG24" i="55"/>
  <c r="AB24" i="55"/>
  <c r="AM24" i="55"/>
  <c r="A25" i="55"/>
  <c r="AH24" i="55"/>
  <c r="U24" i="55"/>
  <c r="AD24" i="55"/>
  <c r="AA24" i="55"/>
  <c r="Q24" i="55"/>
  <c r="AE24" i="55"/>
  <c r="AJ24" i="55"/>
  <c r="K24" i="55"/>
  <c r="T24" i="55"/>
  <c r="L24" i="55"/>
  <c r="R24" i="55"/>
  <c r="AL24" i="55"/>
  <c r="AO24" i="55"/>
  <c r="V24" i="55"/>
  <c r="X24" i="55"/>
  <c r="O24" i="55"/>
  <c r="AW43" i="37"/>
  <c r="AX43" i="37" s="1"/>
  <c r="A42" i="37"/>
  <c r="AC40" i="37"/>
  <c r="AU40" i="37"/>
  <c r="S40" i="37"/>
  <c r="AS40" i="37"/>
  <c r="Z40" i="37"/>
  <c r="AK40" i="37"/>
  <c r="AJ40" i="37"/>
  <c r="AA40" i="37"/>
  <c r="U40" i="37"/>
  <c r="K40" i="37"/>
  <c r="AI40" i="37"/>
  <c r="T40" i="37"/>
  <c r="Y40" i="37"/>
  <c r="V40" i="37"/>
  <c r="AH40" i="37"/>
  <c r="AP40" i="37"/>
  <c r="N40" i="37"/>
  <c r="AV40" i="37"/>
  <c r="AD40" i="37"/>
  <c r="AE40" i="37"/>
  <c r="AT40" i="37"/>
  <c r="P40" i="37"/>
  <c r="AO40" i="37"/>
  <c r="AQ40" i="37"/>
  <c r="AR40" i="37"/>
  <c r="AF40" i="37"/>
  <c r="Q40" i="37"/>
  <c r="X40" i="37"/>
  <c r="L40" i="37"/>
  <c r="M40" i="37"/>
  <c r="J40" i="37"/>
  <c r="D77" i="32"/>
  <c r="P77" i="32"/>
  <c r="N77" i="32"/>
  <c r="Q77" i="32"/>
  <c r="H78" i="32"/>
  <c r="C78" i="32"/>
  <c r="G78" i="32"/>
  <c r="B78" i="32"/>
  <c r="E78" i="32" s="1"/>
  <c r="F78" i="32"/>
  <c r="I78" i="32"/>
  <c r="AU77" i="32"/>
  <c r="AS77" i="32"/>
  <c r="AR77" i="32"/>
  <c r="AQ77" i="32"/>
  <c r="AW77" i="32"/>
  <c r="AO77" i="32"/>
  <c r="AV77" i="32"/>
  <c r="AP77" i="32"/>
  <c r="AT77" i="32"/>
  <c r="AX80" i="32"/>
  <c r="AY80" i="32" s="1"/>
  <c r="A79" i="32"/>
  <c r="D31" i="20"/>
  <c r="C4" i="33"/>
  <c r="B3" i="33"/>
  <c r="B4" i="33" s="1"/>
  <c r="I31" i="38"/>
  <c r="I31" i="20"/>
  <c r="A59" i="56"/>
  <c r="B38" i="36"/>
  <c r="F38" i="36" s="1"/>
  <c r="C38" i="36"/>
  <c r="E32" i="20"/>
  <c r="C32" i="20"/>
  <c r="H32" i="20"/>
  <c r="F32" i="20"/>
  <c r="G32" i="20"/>
  <c r="D32" i="20"/>
  <c r="B32" i="20"/>
  <c r="I32" i="20"/>
  <c r="G32" i="38"/>
  <c r="H32" i="38"/>
  <c r="E32" i="38"/>
  <c r="B32" i="38"/>
  <c r="F32" i="38"/>
  <c r="C32" i="38"/>
  <c r="D32" i="38"/>
  <c r="I32" i="38"/>
  <c r="AP37" i="36"/>
  <c r="N37" i="36"/>
  <c r="O37" i="36"/>
  <c r="AA37" i="36"/>
  <c r="K37" i="36"/>
  <c r="AK37" i="36"/>
  <c r="U37" i="36"/>
  <c r="Y37" i="36"/>
  <c r="AU37" i="36"/>
  <c r="T37" i="36"/>
  <c r="AB37" i="36"/>
  <c r="L37" i="36"/>
  <c r="M37" i="36"/>
  <c r="P37" i="36"/>
  <c r="AC37" i="36"/>
  <c r="AT37" i="36"/>
  <c r="X37" i="36"/>
  <c r="AR37" i="36"/>
  <c r="AM37" i="36"/>
  <c r="AI37" i="36"/>
  <c r="AN37" i="36"/>
  <c r="AH37" i="36"/>
  <c r="AO37" i="36"/>
  <c r="W37" i="36"/>
  <c r="R37" i="36"/>
  <c r="S37" i="36"/>
  <c r="AQ37" i="36"/>
  <c r="V37" i="36"/>
  <c r="AD37" i="36"/>
  <c r="AS37" i="36"/>
  <c r="AJ37" i="36"/>
  <c r="AL37" i="36"/>
  <c r="Z37" i="36"/>
  <c r="AF37" i="36"/>
  <c r="Q37" i="36"/>
  <c r="AE37" i="36"/>
  <c r="AG37" i="36"/>
  <c r="E31" i="38"/>
  <c r="AV40" i="36"/>
  <c r="AW40" i="36" s="1"/>
  <c r="A39" i="36"/>
  <c r="A33" i="20"/>
  <c r="K34" i="20"/>
  <c r="L34" i="20" s="1"/>
  <c r="K34" i="38"/>
  <c r="L34" i="38" s="1"/>
  <c r="A33" i="38"/>
  <c r="AK46" i="19"/>
  <c r="AF46" i="19"/>
  <c r="AB46" i="19"/>
  <c r="AR46" i="19"/>
  <c r="AN46" i="19"/>
  <c r="AP46" i="19"/>
  <c r="AL46" i="19"/>
  <c r="AI46" i="19"/>
  <c r="AM46" i="19"/>
  <c r="X46" i="19"/>
  <c r="Y46" i="19"/>
  <c r="U46" i="19"/>
  <c r="AT46" i="19"/>
  <c r="R46" i="19"/>
  <c r="S46" i="19"/>
  <c r="Z46" i="19"/>
  <c r="AS46" i="19"/>
  <c r="AD46" i="19"/>
  <c r="L46" i="19"/>
  <c r="T46" i="19"/>
  <c r="Q46" i="19"/>
  <c r="AE46" i="19"/>
  <c r="AQ46" i="19"/>
  <c r="V46" i="19"/>
  <c r="K46" i="19"/>
  <c r="W46" i="19"/>
  <c r="AJ46" i="19"/>
  <c r="AH46" i="19"/>
  <c r="P46" i="19"/>
  <c r="AU46" i="19"/>
  <c r="O46" i="19"/>
  <c r="M46" i="19"/>
  <c r="AG46" i="19"/>
  <c r="AC46" i="19"/>
  <c r="AO46" i="19"/>
  <c r="N46" i="19"/>
  <c r="AA46" i="19"/>
  <c r="F47" i="19"/>
  <c r="I47" i="19"/>
  <c r="C47" i="19"/>
  <c r="D47" i="19"/>
  <c r="H47" i="19"/>
  <c r="B47" i="19"/>
  <c r="G47" i="19"/>
  <c r="E47" i="19"/>
  <c r="J47" i="19"/>
  <c r="AV49" i="19"/>
  <c r="AW49" i="19" s="1"/>
  <c r="A48" i="19"/>
  <c r="C42" i="37" l="1"/>
  <c r="G42" i="37"/>
  <c r="I42" i="37"/>
  <c r="B42" i="37"/>
  <c r="E42" i="37" s="1"/>
  <c r="H42" i="37"/>
  <c r="F42" i="37"/>
  <c r="A26" i="55"/>
  <c r="AD25" i="55"/>
  <c r="AC25" i="55"/>
  <c r="P25" i="55"/>
  <c r="AK25" i="55"/>
  <c r="AI25" i="55"/>
  <c r="L25" i="55"/>
  <c r="AM25" i="55"/>
  <c r="R25" i="55"/>
  <c r="AL25" i="55"/>
  <c r="M25" i="55"/>
  <c r="AA25" i="55"/>
  <c r="T25" i="55"/>
  <c r="AO25" i="55"/>
  <c r="K25" i="55"/>
  <c r="AH25" i="55"/>
  <c r="Y25" i="55"/>
  <c r="AF25" i="55"/>
  <c r="S25" i="55"/>
  <c r="AN25" i="55"/>
  <c r="U25" i="55"/>
  <c r="AJ25" i="55"/>
  <c r="AG25" i="55"/>
  <c r="W25" i="55"/>
  <c r="Z25" i="55"/>
  <c r="AE25" i="55"/>
  <c r="Q25" i="55"/>
  <c r="O25" i="55"/>
  <c r="X25" i="55"/>
  <c r="J25" i="55"/>
  <c r="AB25" i="55"/>
  <c r="N25" i="55"/>
  <c r="V25" i="55"/>
  <c r="AK41" i="37"/>
  <c r="AJ41" i="37"/>
  <c r="AV41" i="37"/>
  <c r="U41" i="37"/>
  <c r="T41" i="37"/>
  <c r="AD41" i="37"/>
  <c r="X41" i="37"/>
  <c r="AC41" i="37"/>
  <c r="AT41" i="37"/>
  <c r="N41" i="37"/>
  <c r="AF41" i="37"/>
  <c r="Y41" i="37"/>
  <c r="Z41" i="37"/>
  <c r="AR41" i="37"/>
  <c r="AQ41" i="37"/>
  <c r="AA41" i="37"/>
  <c r="L41" i="37"/>
  <c r="S41" i="37"/>
  <c r="AO41" i="37"/>
  <c r="AU41" i="37"/>
  <c r="AI41" i="37"/>
  <c r="Q41" i="37"/>
  <c r="AE41" i="37"/>
  <c r="P41" i="37"/>
  <c r="AS41" i="37"/>
  <c r="AP41" i="37"/>
  <c r="K41" i="37"/>
  <c r="AH41" i="37"/>
  <c r="V41" i="37"/>
  <c r="AW44" i="37"/>
  <c r="AX44" i="37" s="1"/>
  <c r="A43" i="37"/>
  <c r="D41" i="37"/>
  <c r="D78" i="32"/>
  <c r="Q78" i="32"/>
  <c r="P78" i="32"/>
  <c r="N78" i="32"/>
  <c r="D38" i="36"/>
  <c r="AX81" i="32"/>
  <c r="AY81" i="32" s="1"/>
  <c r="A80" i="32"/>
  <c r="F79" i="32"/>
  <c r="H79" i="32"/>
  <c r="G79" i="32"/>
  <c r="C79" i="32"/>
  <c r="B79" i="32"/>
  <c r="E79" i="32" s="1"/>
  <c r="I79" i="32"/>
  <c r="AQ78" i="32"/>
  <c r="AV78" i="32"/>
  <c r="AT78" i="32"/>
  <c r="AO78" i="32"/>
  <c r="AW78" i="32"/>
  <c r="AS78" i="32"/>
  <c r="AR78" i="32"/>
  <c r="AP78" i="32"/>
  <c r="AU78" i="32"/>
  <c r="H38" i="36"/>
  <c r="E38" i="36"/>
  <c r="J38" i="36"/>
  <c r="G38" i="36"/>
  <c r="K35" i="38"/>
  <c r="L35" i="38" s="1"/>
  <c r="A34" i="38"/>
  <c r="F33" i="20"/>
  <c r="C33" i="20"/>
  <c r="B33" i="20"/>
  <c r="G33" i="20"/>
  <c r="D33" i="20"/>
  <c r="I33" i="20"/>
  <c r="E33" i="20"/>
  <c r="H33" i="20"/>
  <c r="AV41" i="36"/>
  <c r="AW41" i="36" s="1"/>
  <c r="A40" i="36"/>
  <c r="B33" i="38"/>
  <c r="D33" i="38"/>
  <c r="H33" i="38"/>
  <c r="E33" i="38"/>
  <c r="G33" i="38"/>
  <c r="F33" i="38"/>
  <c r="C33" i="38"/>
  <c r="I33" i="38"/>
  <c r="K35" i="20"/>
  <c r="L35" i="20" s="1"/>
  <c r="A34" i="20"/>
  <c r="B39" i="36"/>
  <c r="F39" i="36" s="1"/>
  <c r="C39" i="36"/>
  <c r="I38" i="36"/>
  <c r="AL38" i="36"/>
  <c r="AN38" i="36"/>
  <c r="L38" i="36"/>
  <c r="AF38" i="36"/>
  <c r="W38" i="36"/>
  <c r="T38" i="36"/>
  <c r="R38" i="36"/>
  <c r="AR38" i="36"/>
  <c r="Y38" i="36"/>
  <c r="AP38" i="36"/>
  <c r="U38" i="36"/>
  <c r="AC38" i="36"/>
  <c r="AQ38" i="36"/>
  <c r="AS38" i="36"/>
  <c r="AI38" i="36"/>
  <c r="AT38" i="36"/>
  <c r="AJ38" i="36"/>
  <c r="AK38" i="36"/>
  <c r="AB38" i="36"/>
  <c r="M38" i="36"/>
  <c r="S38" i="36"/>
  <c r="AH38" i="36"/>
  <c r="P38" i="36"/>
  <c r="AG38" i="36"/>
  <c r="N38" i="36"/>
  <c r="Q38" i="36"/>
  <c r="K38" i="36"/>
  <c r="O38" i="36"/>
  <c r="AU38" i="36"/>
  <c r="AO38" i="36"/>
  <c r="AD38" i="36"/>
  <c r="X38" i="36"/>
  <c r="AM38" i="36"/>
  <c r="AE38" i="36"/>
  <c r="Z38" i="36"/>
  <c r="V38" i="36"/>
  <c r="AA38" i="36"/>
  <c r="A60" i="56"/>
  <c r="B48" i="19"/>
  <c r="H48" i="19" s="1"/>
  <c r="C48" i="19"/>
  <c r="AV50" i="19"/>
  <c r="AW50" i="19" s="1"/>
  <c r="A49" i="19"/>
  <c r="X47" i="19"/>
  <c r="L47" i="19"/>
  <c r="AR47" i="19"/>
  <c r="P47" i="19"/>
  <c r="Y47" i="19"/>
  <c r="AO47" i="19"/>
  <c r="AC47" i="19"/>
  <c r="U47" i="19"/>
  <c r="AK47" i="19"/>
  <c r="K47" i="19"/>
  <c r="V47" i="19"/>
  <c r="AN47" i="19"/>
  <c r="AU47" i="19"/>
  <c r="O47" i="19"/>
  <c r="AM47" i="19"/>
  <c r="AP47" i="19"/>
  <c r="AD47" i="19"/>
  <c r="AB47" i="19"/>
  <c r="Z47" i="19"/>
  <c r="AA47" i="19"/>
  <c r="AJ47" i="19"/>
  <c r="AG47" i="19"/>
  <c r="S47" i="19"/>
  <c r="AT47" i="19"/>
  <c r="T47" i="19"/>
  <c r="M47" i="19"/>
  <c r="W47" i="19"/>
  <c r="AH47" i="19"/>
  <c r="AQ47" i="19"/>
  <c r="AI47" i="19"/>
  <c r="AF47" i="19"/>
  <c r="N47" i="19"/>
  <c r="R47" i="19"/>
  <c r="Q47" i="19"/>
  <c r="AS47" i="19"/>
  <c r="AL47" i="19"/>
  <c r="AE47" i="19"/>
  <c r="AN43" i="37" l="1"/>
  <c r="AL43" i="37"/>
  <c r="AB43" i="37"/>
  <c r="R43" i="37"/>
  <c r="I43" i="37"/>
  <c r="D43" i="37"/>
  <c r="AM43" i="37"/>
  <c r="AG43" i="37"/>
  <c r="W43" i="37"/>
  <c r="O43" i="37"/>
  <c r="H43" i="37"/>
  <c r="F43" i="37"/>
  <c r="E43" i="37"/>
  <c r="C43" i="37"/>
  <c r="G43" i="37"/>
  <c r="B43" i="37"/>
  <c r="A27" i="55"/>
  <c r="Q26" i="55"/>
  <c r="AM26" i="55"/>
  <c r="Z26" i="55"/>
  <c r="M26" i="55"/>
  <c r="AJ26" i="55"/>
  <c r="R26" i="55"/>
  <c r="AE26" i="55"/>
  <c r="W26" i="55"/>
  <c r="AA26" i="55"/>
  <c r="U26" i="55"/>
  <c r="AH26" i="55"/>
  <c r="AD26" i="55"/>
  <c r="AC26" i="55"/>
  <c r="AL26" i="55"/>
  <c r="AG26" i="55"/>
  <c r="X26" i="55"/>
  <c r="V26" i="55"/>
  <c r="AO26" i="55"/>
  <c r="AB26" i="55"/>
  <c r="O26" i="55"/>
  <c r="AK26" i="55"/>
  <c r="T26" i="55"/>
  <c r="K26" i="55"/>
  <c r="L26" i="55"/>
  <c r="AF26" i="55"/>
  <c r="AN26" i="55"/>
  <c r="N26" i="55"/>
  <c r="S26" i="55"/>
  <c r="J26" i="55"/>
  <c r="P26" i="55"/>
  <c r="Y26" i="55"/>
  <c r="AI26" i="55"/>
  <c r="AW45" i="37"/>
  <c r="AX45" i="37" s="1"/>
  <c r="A44" i="37"/>
  <c r="D42" i="37"/>
  <c r="T42" i="37"/>
  <c r="AE42" i="37"/>
  <c r="AC42" i="37"/>
  <c r="Q42" i="37"/>
  <c r="AH42" i="37"/>
  <c r="S42" i="37"/>
  <c r="P42" i="37"/>
  <c r="AF42" i="37"/>
  <c r="U42" i="37"/>
  <c r="AK42" i="37"/>
  <c r="AR42" i="37"/>
  <c r="AI42" i="37"/>
  <c r="AU42" i="37"/>
  <c r="V42" i="37"/>
  <c r="X42" i="37"/>
  <c r="K42" i="37"/>
  <c r="AT42" i="37"/>
  <c r="Z42" i="37"/>
  <c r="AS42" i="37"/>
  <c r="N42" i="37"/>
  <c r="AP42" i="37"/>
  <c r="AJ42" i="37"/>
  <c r="Y42" i="37"/>
  <c r="AQ42" i="37"/>
  <c r="L42" i="37"/>
  <c r="AV42" i="37"/>
  <c r="AO42" i="37"/>
  <c r="AD42" i="37"/>
  <c r="AA42" i="37"/>
  <c r="AM80" i="32"/>
  <c r="AN80" i="32"/>
  <c r="AG80" i="32"/>
  <c r="AL80" i="32"/>
  <c r="W80" i="32"/>
  <c r="AB80" i="32"/>
  <c r="R80" i="32"/>
  <c r="D79" i="32"/>
  <c r="P79" i="32"/>
  <c r="N79" i="32"/>
  <c r="Q79" i="32"/>
  <c r="AX82" i="32"/>
  <c r="AY82" i="32" s="1"/>
  <c r="A81" i="32"/>
  <c r="AU79" i="32"/>
  <c r="AQ79" i="32"/>
  <c r="AP79" i="32"/>
  <c r="AS79" i="32"/>
  <c r="AR79" i="32"/>
  <c r="AO79" i="32"/>
  <c r="AV79" i="32"/>
  <c r="AT79" i="32"/>
  <c r="AW79" i="32"/>
  <c r="C80" i="32"/>
  <c r="B80" i="32"/>
  <c r="I80" i="32"/>
  <c r="H80" i="32"/>
  <c r="E80" i="32"/>
  <c r="D80" i="32"/>
  <c r="G80" i="32"/>
  <c r="F80" i="32"/>
  <c r="D39" i="36"/>
  <c r="G39" i="36"/>
  <c r="H39" i="36"/>
  <c r="J39" i="36"/>
  <c r="I39" i="36"/>
  <c r="A61" i="56"/>
  <c r="H34" i="20"/>
  <c r="F34" i="20"/>
  <c r="B34" i="20"/>
  <c r="I34" i="20" s="1"/>
  <c r="G34" i="20"/>
  <c r="C34" i="20"/>
  <c r="B40" i="36"/>
  <c r="D40" i="36" s="1"/>
  <c r="C40" i="36"/>
  <c r="G34" i="38"/>
  <c r="H34" i="38"/>
  <c r="B34" i="38"/>
  <c r="I34" i="38" s="1"/>
  <c r="C34" i="38"/>
  <c r="F34" i="38"/>
  <c r="E39" i="36"/>
  <c r="AD39" i="36"/>
  <c r="L39" i="36"/>
  <c r="AB39" i="36"/>
  <c r="U39" i="36"/>
  <c r="AR39" i="36"/>
  <c r="AT39" i="36"/>
  <c r="K39" i="36"/>
  <c r="W39" i="36"/>
  <c r="AJ39" i="36"/>
  <c r="S39" i="36"/>
  <c r="Z39" i="36"/>
  <c r="AA39" i="36"/>
  <c r="AF39" i="36"/>
  <c r="AP39" i="36"/>
  <c r="AK39" i="36"/>
  <c r="P39" i="36"/>
  <c r="AG39" i="36"/>
  <c r="N39" i="36"/>
  <c r="AN39" i="36"/>
  <c r="O39" i="36"/>
  <c r="AM39" i="36"/>
  <c r="AS39" i="36"/>
  <c r="AO39" i="36"/>
  <c r="X39" i="36"/>
  <c r="AE39" i="36"/>
  <c r="R39" i="36"/>
  <c r="AU39" i="36"/>
  <c r="V39" i="36"/>
  <c r="AC39" i="36"/>
  <c r="AI39" i="36"/>
  <c r="M39" i="36"/>
  <c r="AQ39" i="36"/>
  <c r="AL39" i="36"/>
  <c r="Y39" i="36"/>
  <c r="T39" i="36"/>
  <c r="Q39" i="36"/>
  <c r="AH39" i="36"/>
  <c r="K36" i="20"/>
  <c r="L36" i="20" s="1"/>
  <c r="A35" i="20"/>
  <c r="AV42" i="36"/>
  <c r="AW42" i="36" s="1"/>
  <c r="A41" i="36"/>
  <c r="K36" i="38"/>
  <c r="L36" i="38" s="1"/>
  <c r="A35" i="38"/>
  <c r="I48" i="19"/>
  <c r="J48" i="19"/>
  <c r="F48" i="19"/>
  <c r="E48" i="19"/>
  <c r="G48" i="19"/>
  <c r="D48" i="19"/>
  <c r="A50" i="19"/>
  <c r="AV51" i="19"/>
  <c r="AW51" i="19" s="1"/>
  <c r="C49" i="19"/>
  <c r="B49" i="19"/>
  <c r="D49" i="19" s="1"/>
  <c r="AR48" i="19"/>
  <c r="W48" i="19"/>
  <c r="AH48" i="19"/>
  <c r="U48" i="19"/>
  <c r="AM48" i="19"/>
  <c r="X48" i="19"/>
  <c r="AT48" i="19"/>
  <c r="AC48" i="19"/>
  <c r="AI48" i="19"/>
  <c r="AJ48" i="19"/>
  <c r="Z48" i="19"/>
  <c r="AP48" i="19"/>
  <c r="AF48" i="19"/>
  <c r="AS48" i="19"/>
  <c r="AD48" i="19"/>
  <c r="AB48" i="19"/>
  <c r="V48" i="19"/>
  <c r="AG48" i="19"/>
  <c r="AL48" i="19"/>
  <c r="L48" i="19"/>
  <c r="S48" i="19"/>
  <c r="AQ48" i="19"/>
  <c r="AE48" i="19"/>
  <c r="M48" i="19"/>
  <c r="AO48" i="19"/>
  <c r="N48" i="19"/>
  <c r="R48" i="19"/>
  <c r="AU48" i="19"/>
  <c r="O48" i="19"/>
  <c r="AN48" i="19"/>
  <c r="K48" i="19"/>
  <c r="P48" i="19"/>
  <c r="Q48" i="19"/>
  <c r="AA48" i="19"/>
  <c r="AK48" i="19"/>
  <c r="Y48" i="19"/>
  <c r="T48" i="19"/>
  <c r="AW46" i="37" l="1"/>
  <c r="AX46" i="37" s="1"/>
  <c r="A45" i="37"/>
  <c r="AV43" i="37"/>
  <c r="AP43" i="37"/>
  <c r="AR43" i="37"/>
  <c r="AE43" i="37"/>
  <c r="V43" i="37"/>
  <c r="S43" i="37"/>
  <c r="AJ43" i="37"/>
  <c r="N43" i="37"/>
  <c r="AU43" i="37"/>
  <c r="Z43" i="37"/>
  <c r="Q43" i="37"/>
  <c r="AD43" i="37"/>
  <c r="AS43" i="37"/>
  <c r="AK43" i="37"/>
  <c r="AC43" i="37"/>
  <c r="AI43" i="37"/>
  <c r="AF43" i="37"/>
  <c r="Y43" i="37"/>
  <c r="U43" i="37"/>
  <c r="T43" i="37"/>
  <c r="AH43" i="37"/>
  <c r="AA43" i="37"/>
  <c r="P43" i="37"/>
  <c r="AQ43" i="37"/>
  <c r="K43" i="37"/>
  <c r="AO43" i="37"/>
  <c r="X43" i="37"/>
  <c r="AT43" i="37"/>
  <c r="L43" i="37"/>
  <c r="J43" i="37"/>
  <c r="M43" i="37"/>
  <c r="AN44" i="37"/>
  <c r="AG44" i="37"/>
  <c r="W44" i="37"/>
  <c r="O44" i="37"/>
  <c r="B44" i="37"/>
  <c r="E44" i="37"/>
  <c r="I44" i="37"/>
  <c r="C44" i="37"/>
  <c r="D44" i="37"/>
  <c r="F44" i="37"/>
  <c r="AM44" i="37"/>
  <c r="AL44" i="37"/>
  <c r="AB44" i="37"/>
  <c r="R44" i="37"/>
  <c r="G44" i="37"/>
  <c r="H44" i="37"/>
  <c r="AL27" i="55"/>
  <c r="Y27" i="55"/>
  <c r="L27" i="55"/>
  <c r="AH27" i="55"/>
  <c r="T27" i="55"/>
  <c r="AN27" i="55"/>
  <c r="Q27" i="55"/>
  <c r="O27" i="55"/>
  <c r="AK27" i="55"/>
  <c r="K27" i="55"/>
  <c r="AG27" i="55"/>
  <c r="AA27" i="55"/>
  <c r="AB27" i="55"/>
  <c r="M27" i="55"/>
  <c r="V27" i="55"/>
  <c r="R27" i="55"/>
  <c r="AF27" i="55"/>
  <c r="A28" i="55"/>
  <c r="N27" i="55"/>
  <c r="AJ27" i="55"/>
  <c r="W27" i="55"/>
  <c r="J27" i="55"/>
  <c r="S27" i="55"/>
  <c r="P27" i="55"/>
  <c r="AD27" i="55"/>
  <c r="X27" i="55"/>
  <c r="U27" i="55"/>
  <c r="AM27" i="55"/>
  <c r="Z27" i="55"/>
  <c r="AI27" i="55"/>
  <c r="AO27" i="55"/>
  <c r="AC27" i="55"/>
  <c r="AE27" i="55"/>
  <c r="AM81" i="32"/>
  <c r="AN81" i="32"/>
  <c r="AG81" i="32"/>
  <c r="AL81" i="32"/>
  <c r="W81" i="32"/>
  <c r="AB81" i="32"/>
  <c r="R81" i="32"/>
  <c r="G40" i="36"/>
  <c r="AF80" i="32"/>
  <c r="S80" i="32"/>
  <c r="U80" i="32"/>
  <c r="V80" i="32"/>
  <c r="AK80" i="32"/>
  <c r="AD80" i="32"/>
  <c r="AE80" i="32"/>
  <c r="AS80" i="32"/>
  <c r="AO80" i="32"/>
  <c r="AW80" i="32"/>
  <c r="AP80" i="32"/>
  <c r="AU80" i="32"/>
  <c r="AT80" i="32"/>
  <c r="AC80" i="32"/>
  <c r="Z80" i="32"/>
  <c r="N80" i="32"/>
  <c r="T80" i="32"/>
  <c r="AA80" i="32"/>
  <c r="AH80" i="32"/>
  <c r="Y80" i="32"/>
  <c r="AR80" i="32"/>
  <c r="AI80" i="32"/>
  <c r="Q80" i="32"/>
  <c r="AJ80" i="32"/>
  <c r="AV80" i="32"/>
  <c r="P80" i="32"/>
  <c r="X80" i="32"/>
  <c r="AQ80" i="32"/>
  <c r="G81" i="32"/>
  <c r="C81" i="32"/>
  <c r="F81" i="32"/>
  <c r="D81" i="32"/>
  <c r="I81" i="32"/>
  <c r="B81" i="32"/>
  <c r="E81" i="32"/>
  <c r="H81" i="32"/>
  <c r="AX83" i="32"/>
  <c r="AY83" i="32" s="1"/>
  <c r="A82" i="32"/>
  <c r="D34" i="38"/>
  <c r="F40" i="36"/>
  <c r="E34" i="38"/>
  <c r="J40" i="36"/>
  <c r="E34" i="20"/>
  <c r="D34" i="20"/>
  <c r="B35" i="20"/>
  <c r="I35" i="20" s="1"/>
  <c r="C35" i="20"/>
  <c r="F35" i="20"/>
  <c r="G35" i="20"/>
  <c r="H35" i="20"/>
  <c r="AJ40" i="36"/>
  <c r="Y40" i="36"/>
  <c r="S40" i="36"/>
  <c r="AL40" i="36"/>
  <c r="V40" i="36"/>
  <c r="AT40" i="36"/>
  <c r="AG40" i="36"/>
  <c r="O40" i="36"/>
  <c r="AO40" i="36"/>
  <c r="Q40" i="36"/>
  <c r="M40" i="36"/>
  <c r="AP40" i="36"/>
  <c r="P40" i="36"/>
  <c r="AQ40" i="36"/>
  <c r="AC40" i="36"/>
  <c r="AN40" i="36"/>
  <c r="X40" i="36"/>
  <c r="AK40" i="36"/>
  <c r="T40" i="36"/>
  <c r="AF40" i="36"/>
  <c r="AI40" i="36"/>
  <c r="W40" i="36"/>
  <c r="L40" i="36"/>
  <c r="AU40" i="36"/>
  <c r="U40" i="36"/>
  <c r="K40" i="36"/>
  <c r="AS40" i="36"/>
  <c r="Z40" i="36"/>
  <c r="AH40" i="36"/>
  <c r="AB40" i="36"/>
  <c r="AR40" i="36"/>
  <c r="AE40" i="36"/>
  <c r="N40" i="36"/>
  <c r="AA40" i="36"/>
  <c r="AM40" i="36"/>
  <c r="AD40" i="36"/>
  <c r="R40" i="36"/>
  <c r="C35" i="38"/>
  <c r="B35" i="38"/>
  <c r="D35" i="38" s="1"/>
  <c r="F35" i="38"/>
  <c r="H35" i="38"/>
  <c r="G35" i="38"/>
  <c r="B41" i="36"/>
  <c r="I41" i="36" s="1"/>
  <c r="C41" i="36"/>
  <c r="K37" i="38"/>
  <c r="L37" i="38" s="1"/>
  <c r="A36" i="38"/>
  <c r="AV43" i="36"/>
  <c r="AW43" i="36" s="1"/>
  <c r="A42" i="36"/>
  <c r="K37" i="20"/>
  <c r="L37" i="20" s="1"/>
  <c r="A36" i="20"/>
  <c r="I40" i="36"/>
  <c r="H40" i="36"/>
  <c r="E40" i="36"/>
  <c r="A62" i="56"/>
  <c r="H49" i="19"/>
  <c r="I49" i="19"/>
  <c r="G49" i="19"/>
  <c r="J49" i="19"/>
  <c r="E49" i="19"/>
  <c r="F49" i="19"/>
  <c r="W49" i="19"/>
  <c r="AR49" i="19"/>
  <c r="T49" i="19"/>
  <c r="O49" i="19"/>
  <c r="AI49" i="19"/>
  <c r="AC49" i="19"/>
  <c r="AF49" i="19"/>
  <c r="AP49" i="19"/>
  <c r="AT49" i="19"/>
  <c r="AO49" i="19"/>
  <c r="AJ49" i="19"/>
  <c r="X49" i="19"/>
  <c r="Y49" i="19"/>
  <c r="AG49" i="19"/>
  <c r="AB49" i="19"/>
  <c r="AA49" i="19"/>
  <c r="V49" i="19"/>
  <c r="L49" i="19"/>
  <c r="S49" i="19"/>
  <c r="AK49" i="19"/>
  <c r="U49" i="19"/>
  <c r="AU49" i="19"/>
  <c r="M49" i="19"/>
  <c r="AQ49" i="19"/>
  <c r="K49" i="19"/>
  <c r="Z49" i="19"/>
  <c r="P49" i="19"/>
  <c r="AN49" i="19"/>
  <c r="AE49" i="19"/>
  <c r="R49" i="19"/>
  <c r="AS49" i="19"/>
  <c r="N49" i="19"/>
  <c r="AH49" i="19"/>
  <c r="AL49" i="19"/>
  <c r="Q49" i="19"/>
  <c r="AM49" i="19"/>
  <c r="AD49" i="19"/>
  <c r="AV52" i="19"/>
  <c r="AW52" i="19" s="1"/>
  <c r="A51" i="19"/>
  <c r="B50" i="19"/>
  <c r="F50" i="19" s="1"/>
  <c r="C50" i="19"/>
  <c r="C45" i="37" l="1"/>
  <c r="B45" i="37"/>
  <c r="E45" i="37" s="1"/>
  <c r="H45" i="37"/>
  <c r="I45" i="37"/>
  <c r="G45" i="37"/>
  <c r="F45" i="37"/>
  <c r="AI28" i="55"/>
  <c r="V28" i="55"/>
  <c r="AE28" i="55"/>
  <c r="Y28" i="55"/>
  <c r="W28" i="55"/>
  <c r="AF28" i="55"/>
  <c r="AL28" i="55"/>
  <c r="P28" i="55"/>
  <c r="L28" i="55"/>
  <c r="O28" i="55"/>
  <c r="AJ28" i="55"/>
  <c r="U28" i="55"/>
  <c r="Z28" i="55"/>
  <c r="R28" i="55"/>
  <c r="AC28" i="55"/>
  <c r="AA28" i="55"/>
  <c r="A29" i="55"/>
  <c r="K28" i="55"/>
  <c r="AG28" i="55"/>
  <c r="T28" i="55"/>
  <c r="AO28" i="55"/>
  <c r="J28" i="55"/>
  <c r="S28" i="55"/>
  <c r="AN28" i="55"/>
  <c r="Q28" i="55"/>
  <c r="AB28" i="55"/>
  <c r="M28" i="55"/>
  <c r="AH28" i="55"/>
  <c r="X28" i="55"/>
  <c r="AM28" i="55"/>
  <c r="AD28" i="55"/>
  <c r="N28" i="55"/>
  <c r="AK28" i="55"/>
  <c r="AS44" i="37"/>
  <c r="AP44" i="37"/>
  <c r="AE44" i="37"/>
  <c r="AD44" i="37"/>
  <c r="AO44" i="37"/>
  <c r="N44" i="37"/>
  <c r="AH44" i="37"/>
  <c r="AK44" i="37"/>
  <c r="AV44" i="37"/>
  <c r="S44" i="37"/>
  <c r="AA44" i="37"/>
  <c r="T44" i="37"/>
  <c r="U44" i="37"/>
  <c r="AR44" i="37"/>
  <c r="L44" i="37"/>
  <c r="AC44" i="37"/>
  <c r="P44" i="37"/>
  <c r="K44" i="37"/>
  <c r="AJ44" i="37"/>
  <c r="Q44" i="37"/>
  <c r="Z44" i="37"/>
  <c r="AF44" i="37"/>
  <c r="AQ44" i="37"/>
  <c r="Y44" i="37"/>
  <c r="AU44" i="37"/>
  <c r="AI44" i="37"/>
  <c r="V44" i="37"/>
  <c r="AT44" i="37"/>
  <c r="X44" i="37"/>
  <c r="M44" i="37"/>
  <c r="J44" i="37"/>
  <c r="AW47" i="37"/>
  <c r="AX47" i="37" s="1"/>
  <c r="A46" i="37"/>
  <c r="AX84" i="32"/>
  <c r="AY84" i="32" s="1"/>
  <c r="A83" i="32"/>
  <c r="G82" i="32"/>
  <c r="H82" i="32"/>
  <c r="C82" i="32"/>
  <c r="D82" i="32" s="1"/>
  <c r="I82" i="32"/>
  <c r="F82" i="32"/>
  <c r="B82" i="32"/>
  <c r="E82" i="32" s="1"/>
  <c r="AI81" i="32"/>
  <c r="AS81" i="32"/>
  <c r="AU81" i="32"/>
  <c r="T81" i="32"/>
  <c r="N81" i="32"/>
  <c r="AJ81" i="32"/>
  <c r="Q81" i="32"/>
  <c r="AV81" i="32"/>
  <c r="S81" i="32"/>
  <c r="AO81" i="32"/>
  <c r="AH81" i="32"/>
  <c r="AP81" i="32"/>
  <c r="AT81" i="32"/>
  <c r="AA81" i="32"/>
  <c r="AC81" i="32"/>
  <c r="AF81" i="32"/>
  <c r="AW81" i="32"/>
  <c r="U81" i="32"/>
  <c r="AQ81" i="32"/>
  <c r="AK81" i="32"/>
  <c r="AR81" i="32"/>
  <c r="V81" i="32"/>
  <c r="AE81" i="32"/>
  <c r="X81" i="32"/>
  <c r="AD81" i="32"/>
  <c r="P81" i="32"/>
  <c r="Z81" i="32"/>
  <c r="Y81" i="32"/>
  <c r="I35" i="38"/>
  <c r="F41" i="36"/>
  <c r="J41" i="36"/>
  <c r="E35" i="20"/>
  <c r="H41" i="36"/>
  <c r="D35" i="20"/>
  <c r="D41" i="36"/>
  <c r="G41" i="36"/>
  <c r="E35" i="38"/>
  <c r="A63" i="56"/>
  <c r="G36" i="20"/>
  <c r="H36" i="20"/>
  <c r="C36" i="20"/>
  <c r="F36" i="20"/>
  <c r="B36" i="20"/>
  <c r="I36" i="20" s="1"/>
  <c r="C42" i="36"/>
  <c r="B42" i="36"/>
  <c r="I42" i="36" s="1"/>
  <c r="F36" i="38"/>
  <c r="H36" i="38"/>
  <c r="G36" i="38"/>
  <c r="B36" i="38"/>
  <c r="E36" i="38" s="1"/>
  <c r="C36" i="38"/>
  <c r="K38" i="20"/>
  <c r="L38" i="20" s="1"/>
  <c r="A37" i="20"/>
  <c r="AV44" i="36"/>
  <c r="AW44" i="36" s="1"/>
  <c r="A43" i="36"/>
  <c r="K38" i="38"/>
  <c r="L38" i="38" s="1"/>
  <c r="A37" i="38"/>
  <c r="E41" i="36"/>
  <c r="AC41" i="36"/>
  <c r="Q41" i="36"/>
  <c r="V41" i="36"/>
  <c r="AP41" i="36"/>
  <c r="S41" i="36"/>
  <c r="AD41" i="36"/>
  <c r="AO41" i="36"/>
  <c r="AQ41" i="36"/>
  <c r="AE41" i="36"/>
  <c r="O41" i="36"/>
  <c r="R41" i="36"/>
  <c r="AB41" i="36"/>
  <c r="P41" i="36"/>
  <c r="AT41" i="36"/>
  <c r="AI41" i="36"/>
  <c r="AS41" i="36"/>
  <c r="AG41" i="36"/>
  <c r="AJ41" i="36"/>
  <c r="Z41" i="36"/>
  <c r="AL41" i="36"/>
  <c r="AN41" i="36"/>
  <c r="AK41" i="36"/>
  <c r="U41" i="36"/>
  <c r="M41" i="36"/>
  <c r="Y41" i="36"/>
  <c r="N41" i="36"/>
  <c r="L41" i="36"/>
  <c r="X41" i="36"/>
  <c r="K41" i="36"/>
  <c r="AF41" i="36"/>
  <c r="AH41" i="36"/>
  <c r="AM41" i="36"/>
  <c r="AU41" i="36"/>
  <c r="W41" i="36"/>
  <c r="AA41" i="36"/>
  <c r="AR41" i="36"/>
  <c r="T41" i="36"/>
  <c r="H50" i="19"/>
  <c r="G50" i="19"/>
  <c r="I50" i="19"/>
  <c r="D50" i="19"/>
  <c r="J50" i="19"/>
  <c r="C51" i="19"/>
  <c r="B51" i="19"/>
  <c r="E51" i="19" s="1"/>
  <c r="A52" i="19"/>
  <c r="AV53" i="19"/>
  <c r="AW53" i="19" s="1"/>
  <c r="E50" i="19"/>
  <c r="AC50" i="19"/>
  <c r="U50" i="19"/>
  <c r="AG50" i="19"/>
  <c r="AM50" i="19"/>
  <c r="AQ50" i="19"/>
  <c r="W50" i="19"/>
  <c r="AK50" i="19"/>
  <c r="AH50" i="19"/>
  <c r="R50" i="19"/>
  <c r="AL50" i="19"/>
  <c r="K50" i="19"/>
  <c r="AE50" i="19"/>
  <c r="L50" i="19"/>
  <c r="M50" i="19"/>
  <c r="O50" i="19"/>
  <c r="V50" i="19"/>
  <c r="X50" i="19"/>
  <c r="S50" i="19"/>
  <c r="N50" i="19"/>
  <c r="AB50" i="19"/>
  <c r="AN50" i="19"/>
  <c r="AP50" i="19"/>
  <c r="AA50" i="19"/>
  <c r="Y50" i="19"/>
  <c r="AR50" i="19"/>
  <c r="AD50" i="19"/>
  <c r="AF50" i="19"/>
  <c r="AT50" i="19"/>
  <c r="AU50" i="19"/>
  <c r="Z50" i="19"/>
  <c r="P50" i="19"/>
  <c r="T50" i="19"/>
  <c r="Q50" i="19"/>
  <c r="AJ50" i="19"/>
  <c r="AO50" i="19"/>
  <c r="AI50" i="19"/>
  <c r="AS50" i="19"/>
  <c r="H46" i="37" l="1"/>
  <c r="I46" i="37"/>
  <c r="C46" i="37"/>
  <c r="B46" i="37"/>
  <c r="E46" i="37" s="1"/>
  <c r="G46" i="37"/>
  <c r="F46" i="37"/>
  <c r="AW48" i="37"/>
  <c r="AX48" i="37" s="1"/>
  <c r="A47" i="37"/>
  <c r="A30" i="55"/>
  <c r="AD29" i="55"/>
  <c r="AC29" i="55"/>
  <c r="P29" i="55"/>
  <c r="X29" i="55"/>
  <c r="AM29" i="55"/>
  <c r="AK29" i="55"/>
  <c r="K29" i="55"/>
  <c r="N29" i="55"/>
  <c r="AB29" i="55"/>
  <c r="AL29" i="55"/>
  <c r="AI29" i="55"/>
  <c r="AE29" i="55"/>
  <c r="Q29" i="55"/>
  <c r="U29" i="55"/>
  <c r="AJ29" i="55"/>
  <c r="J29" i="55"/>
  <c r="AF29" i="55"/>
  <c r="S29" i="55"/>
  <c r="AN29" i="55"/>
  <c r="W29" i="55"/>
  <c r="AH29" i="55"/>
  <c r="M29" i="55"/>
  <c r="AA29" i="55"/>
  <c r="T29" i="55"/>
  <c r="AO29" i="55"/>
  <c r="Y29" i="55"/>
  <c r="L29" i="55"/>
  <c r="O29" i="55"/>
  <c r="R29" i="55"/>
  <c r="Z29" i="55"/>
  <c r="V29" i="55"/>
  <c r="AG29" i="55"/>
  <c r="D45" i="37"/>
  <c r="V45" i="37"/>
  <c r="K45" i="37"/>
  <c r="Y45" i="37"/>
  <c r="AI45" i="37"/>
  <c r="Q45" i="37"/>
  <c r="N45" i="37"/>
  <c r="AO45" i="37"/>
  <c r="AH45" i="37"/>
  <c r="AP45" i="37"/>
  <c r="AQ45" i="37"/>
  <c r="Z45" i="37"/>
  <c r="S45" i="37"/>
  <c r="AE45" i="37"/>
  <c r="X45" i="37"/>
  <c r="AC45" i="37"/>
  <c r="P45" i="37"/>
  <c r="U45" i="37"/>
  <c r="AS45" i="37"/>
  <c r="AF45" i="37"/>
  <c r="AV45" i="37"/>
  <c r="AT45" i="37"/>
  <c r="AA45" i="37"/>
  <c r="AR45" i="37"/>
  <c r="L45" i="37"/>
  <c r="AD45" i="37"/>
  <c r="T45" i="37"/>
  <c r="AU45" i="37"/>
  <c r="AJ45" i="37"/>
  <c r="AK45" i="37"/>
  <c r="Q82" i="32"/>
  <c r="P82" i="32"/>
  <c r="N82" i="32"/>
  <c r="I83" i="32"/>
  <c r="G83" i="32"/>
  <c r="B83" i="32"/>
  <c r="E83" i="32" s="1"/>
  <c r="H83" i="32"/>
  <c r="F83" i="32"/>
  <c r="C83" i="32"/>
  <c r="AS82" i="32"/>
  <c r="AO82" i="32"/>
  <c r="AV82" i="32"/>
  <c r="AQ82" i="32"/>
  <c r="AW82" i="32"/>
  <c r="AR82" i="32"/>
  <c r="AP82" i="32"/>
  <c r="AU82" i="32"/>
  <c r="AT82" i="32"/>
  <c r="AX85" i="32"/>
  <c r="AY85" i="32" s="1"/>
  <c r="A84" i="32"/>
  <c r="D36" i="38"/>
  <c r="D36" i="20"/>
  <c r="I36" i="38"/>
  <c r="G42" i="36"/>
  <c r="E42" i="36"/>
  <c r="H42" i="36"/>
  <c r="E36" i="20"/>
  <c r="F37" i="38"/>
  <c r="C37" i="38"/>
  <c r="G37" i="38"/>
  <c r="B37" i="38"/>
  <c r="E37" i="38" s="1"/>
  <c r="H37" i="38"/>
  <c r="B43" i="36"/>
  <c r="G43" i="36" s="1"/>
  <c r="C43" i="36"/>
  <c r="C37" i="20"/>
  <c r="H37" i="20"/>
  <c r="F37" i="20"/>
  <c r="G37" i="20"/>
  <c r="B37" i="20"/>
  <c r="E37" i="20" s="1"/>
  <c r="J42" i="36"/>
  <c r="F42" i="36"/>
  <c r="D42" i="36"/>
  <c r="A64" i="56"/>
  <c r="K39" i="38"/>
  <c r="L39" i="38" s="1"/>
  <c r="A38" i="38"/>
  <c r="AV45" i="36"/>
  <c r="AW45" i="36" s="1"/>
  <c r="A44" i="36"/>
  <c r="K39" i="20"/>
  <c r="L39" i="20" s="1"/>
  <c r="A38" i="20"/>
  <c r="R42" i="36"/>
  <c r="AU42" i="36"/>
  <c r="V42" i="36"/>
  <c r="AN42" i="36"/>
  <c r="N42" i="36"/>
  <c r="AM42" i="36"/>
  <c r="M42" i="36"/>
  <c r="AK42" i="36"/>
  <c r="AI42" i="36"/>
  <c r="K42" i="36"/>
  <c r="W42" i="36"/>
  <c r="AP42" i="36"/>
  <c r="AG42" i="36"/>
  <c r="AC42" i="36"/>
  <c r="L42" i="36"/>
  <c r="AR42" i="36"/>
  <c r="Z42" i="36"/>
  <c r="AJ42" i="36"/>
  <c r="AQ42" i="36"/>
  <c r="Q42" i="36"/>
  <c r="AT42" i="36"/>
  <c r="S42" i="36"/>
  <c r="P42" i="36"/>
  <c r="Y42" i="36"/>
  <c r="AD42" i="36"/>
  <c r="AH42" i="36"/>
  <c r="AS42" i="36"/>
  <c r="AL42" i="36"/>
  <c r="X42" i="36"/>
  <c r="AE42" i="36"/>
  <c r="AB42" i="36"/>
  <c r="T42" i="36"/>
  <c r="AO42" i="36"/>
  <c r="O42" i="36"/>
  <c r="AF42" i="36"/>
  <c r="U42" i="36"/>
  <c r="AA42" i="36"/>
  <c r="I51" i="19"/>
  <c r="H51" i="19"/>
  <c r="G51" i="19"/>
  <c r="D51" i="19"/>
  <c r="F51" i="19"/>
  <c r="J51" i="19"/>
  <c r="AV54" i="19"/>
  <c r="AW54" i="19" s="1"/>
  <c r="A53" i="19"/>
  <c r="AJ51" i="19"/>
  <c r="AO51" i="19"/>
  <c r="AI51" i="19"/>
  <c r="AM51" i="19"/>
  <c r="AC51" i="19"/>
  <c r="O51" i="19"/>
  <c r="Q51" i="19"/>
  <c r="N51" i="19"/>
  <c r="Z51" i="19"/>
  <c r="AP51" i="19"/>
  <c r="R51" i="19"/>
  <c r="M51" i="19"/>
  <c r="Y51" i="19"/>
  <c r="AS51" i="19"/>
  <c r="P51" i="19"/>
  <c r="X51" i="19"/>
  <c r="W51" i="19"/>
  <c r="AF51" i="19"/>
  <c r="AG51" i="19"/>
  <c r="AA51" i="19"/>
  <c r="AE51" i="19"/>
  <c r="L51" i="19"/>
  <c r="AT51" i="19"/>
  <c r="AQ51" i="19"/>
  <c r="AU51" i="19"/>
  <c r="U51" i="19"/>
  <c r="K51" i="19"/>
  <c r="AD51" i="19"/>
  <c r="S51" i="19"/>
  <c r="AH51" i="19"/>
  <c r="AB51" i="19"/>
  <c r="AR51" i="19"/>
  <c r="T51" i="19"/>
  <c r="AN51" i="19"/>
  <c r="V51" i="19"/>
  <c r="AK51" i="19"/>
  <c r="AL51" i="19"/>
  <c r="B52" i="19"/>
  <c r="F52" i="19" s="1"/>
  <c r="C52" i="19"/>
  <c r="AC30" i="55" l="1"/>
  <c r="P30" i="55"/>
  <c r="AL30" i="55"/>
  <c r="Y30" i="55"/>
  <c r="AD30" i="55"/>
  <c r="AH30" i="55"/>
  <c r="AJ30" i="55"/>
  <c r="R30" i="55"/>
  <c r="Q30" i="55"/>
  <c r="Z30" i="55"/>
  <c r="L30" i="55"/>
  <c r="K30" i="55"/>
  <c r="AB30" i="55"/>
  <c r="AK30" i="55"/>
  <c r="X30" i="55"/>
  <c r="T30" i="55"/>
  <c r="A31" i="55"/>
  <c r="AN30" i="55"/>
  <c r="N30" i="55"/>
  <c r="AE30" i="55"/>
  <c r="AG30" i="55"/>
  <c r="AM30" i="55"/>
  <c r="AI30" i="55"/>
  <c r="AO30" i="55"/>
  <c r="V30" i="55"/>
  <c r="AA30" i="55"/>
  <c r="U30" i="55"/>
  <c r="S30" i="55"/>
  <c r="J30" i="55"/>
  <c r="M30" i="55"/>
  <c r="W30" i="55"/>
  <c r="O30" i="55"/>
  <c r="AF30" i="55"/>
  <c r="F47" i="37"/>
  <c r="G47" i="37"/>
  <c r="H47" i="37"/>
  <c r="B47" i="37"/>
  <c r="E47" i="37" s="1"/>
  <c r="C47" i="37"/>
  <c r="D47" i="37" s="1"/>
  <c r="I47" i="37"/>
  <c r="AW49" i="37"/>
  <c r="AX49" i="37" s="1"/>
  <c r="A48" i="37"/>
  <c r="D46" i="37"/>
  <c r="AV46" i="37"/>
  <c r="Z46" i="37"/>
  <c r="AP46" i="37"/>
  <c r="N46" i="37"/>
  <c r="AI46" i="37"/>
  <c r="AQ46" i="37"/>
  <c r="L46" i="37"/>
  <c r="AT46" i="37"/>
  <c r="S46" i="37"/>
  <c r="P46" i="37"/>
  <c r="AO46" i="37"/>
  <c r="Q46" i="37"/>
  <c r="K46" i="37"/>
  <c r="AK46" i="37"/>
  <c r="AE46" i="37"/>
  <c r="AC46" i="37"/>
  <c r="V46" i="37"/>
  <c r="AF46" i="37"/>
  <c r="Y46" i="37"/>
  <c r="AR46" i="37"/>
  <c r="AJ46" i="37"/>
  <c r="AS46" i="37"/>
  <c r="U46" i="37"/>
  <c r="X46" i="37"/>
  <c r="AD46" i="37"/>
  <c r="AH46" i="37"/>
  <c r="AA46" i="37"/>
  <c r="T46" i="37"/>
  <c r="AU46" i="37"/>
  <c r="P83" i="32"/>
  <c r="N83" i="32"/>
  <c r="Q83" i="32"/>
  <c r="D83" i="32"/>
  <c r="H84" i="32"/>
  <c r="C84" i="32"/>
  <c r="B84" i="32"/>
  <c r="E84" i="32" s="1"/>
  <c r="G84" i="32"/>
  <c r="F84" i="32"/>
  <c r="I84" i="32"/>
  <c r="AV83" i="32"/>
  <c r="AR83" i="32"/>
  <c r="AT83" i="32"/>
  <c r="AW83" i="32"/>
  <c r="AP83" i="32"/>
  <c r="AU83" i="32"/>
  <c r="AS83" i="32"/>
  <c r="AO83" i="32"/>
  <c r="AQ83" i="32"/>
  <c r="AX86" i="32"/>
  <c r="AY86" i="32" s="1"/>
  <c r="A85" i="32"/>
  <c r="E43" i="36"/>
  <c r="D37" i="38"/>
  <c r="J43" i="36"/>
  <c r="I43" i="36"/>
  <c r="I37" i="20"/>
  <c r="D37" i="20"/>
  <c r="H43" i="36"/>
  <c r="F43" i="36"/>
  <c r="I37" i="38"/>
  <c r="K40" i="20"/>
  <c r="L40" i="20" s="1"/>
  <c r="A39" i="20"/>
  <c r="AV46" i="36"/>
  <c r="AW46" i="36" s="1"/>
  <c r="A45" i="36"/>
  <c r="K40" i="38"/>
  <c r="L40" i="38" s="1"/>
  <c r="A39" i="38"/>
  <c r="D43" i="36"/>
  <c r="O43" i="36"/>
  <c r="AB43" i="36"/>
  <c r="L43" i="36"/>
  <c r="Z43" i="36"/>
  <c r="V43" i="36"/>
  <c r="Y43" i="36"/>
  <c r="P43" i="36"/>
  <c r="AU43" i="36"/>
  <c r="T43" i="36"/>
  <c r="AH43" i="36"/>
  <c r="AQ43" i="36"/>
  <c r="AS43" i="36"/>
  <c r="AN43" i="36"/>
  <c r="AD43" i="36"/>
  <c r="Q43" i="36"/>
  <c r="U43" i="36"/>
  <c r="AI43" i="36"/>
  <c r="AO43" i="36"/>
  <c r="AM43" i="36"/>
  <c r="S43" i="36"/>
  <c r="AR43" i="36"/>
  <c r="N43" i="36"/>
  <c r="R43" i="36"/>
  <c r="AE43" i="36"/>
  <c r="W43" i="36"/>
  <c r="AK43" i="36"/>
  <c r="AF43" i="36"/>
  <c r="AG43" i="36"/>
  <c r="AC43" i="36"/>
  <c r="AP43" i="36"/>
  <c r="K43" i="36"/>
  <c r="AJ43" i="36"/>
  <c r="X43" i="36"/>
  <c r="AA43" i="36"/>
  <c r="AT43" i="36"/>
  <c r="AL43" i="36"/>
  <c r="M43" i="36"/>
  <c r="B38" i="20"/>
  <c r="E38" i="20" s="1"/>
  <c r="H38" i="20"/>
  <c r="F38" i="20"/>
  <c r="C38" i="20"/>
  <c r="G38" i="20"/>
  <c r="C44" i="36"/>
  <c r="H44" i="36"/>
  <c r="I44" i="36"/>
  <c r="G44" i="36"/>
  <c r="D44" i="36"/>
  <c r="E44" i="36"/>
  <c r="J44" i="36"/>
  <c r="F44" i="36"/>
  <c r="B44" i="36"/>
  <c r="H38" i="38"/>
  <c r="B38" i="38"/>
  <c r="I38" i="38" s="1"/>
  <c r="G38" i="38"/>
  <c r="F38" i="38"/>
  <c r="C38" i="38"/>
  <c r="A65" i="56"/>
  <c r="D52" i="19"/>
  <c r="E52" i="19"/>
  <c r="H52" i="19"/>
  <c r="G52" i="19"/>
  <c r="I52" i="19"/>
  <c r="J52" i="19"/>
  <c r="AQ52" i="19"/>
  <c r="T52" i="19"/>
  <c r="AH52" i="19"/>
  <c r="AL52" i="19"/>
  <c r="AR52" i="19"/>
  <c r="AM52" i="19"/>
  <c r="AF52" i="19"/>
  <c r="AI52" i="19"/>
  <c r="U52" i="19"/>
  <c r="AN52" i="19"/>
  <c r="AP52" i="19"/>
  <c r="P52" i="19"/>
  <c r="AK52" i="19"/>
  <c r="Q52" i="19"/>
  <c r="AD52" i="19"/>
  <c r="AU52" i="19"/>
  <c r="AA52" i="19"/>
  <c r="V52" i="19"/>
  <c r="L52" i="19"/>
  <c r="K52" i="19"/>
  <c r="N52" i="19"/>
  <c r="M52" i="19"/>
  <c r="AJ52" i="19"/>
  <c r="AB52" i="19"/>
  <c r="Z52" i="19"/>
  <c r="S52" i="19"/>
  <c r="AT52" i="19"/>
  <c r="AS52" i="19"/>
  <c r="W52" i="19"/>
  <c r="X52" i="19"/>
  <c r="AC52" i="19"/>
  <c r="R52" i="19"/>
  <c r="O52" i="19"/>
  <c r="AO52" i="19"/>
  <c r="AE52" i="19"/>
  <c r="Y52" i="19"/>
  <c r="AG52" i="19"/>
  <c r="C53" i="19"/>
  <c r="B53" i="19"/>
  <c r="J53" i="19" s="1"/>
  <c r="A54" i="19"/>
  <c r="AV55" i="19"/>
  <c r="AW55" i="19" s="1"/>
  <c r="B48" i="37" l="1"/>
  <c r="E48" i="37" s="1"/>
  <c r="G48" i="37"/>
  <c r="F48" i="37"/>
  <c r="H48" i="37"/>
  <c r="I48" i="37"/>
  <c r="C48" i="37"/>
  <c r="AQ47" i="37"/>
  <c r="AT47" i="37"/>
  <c r="AS47" i="37"/>
  <c r="V47" i="37"/>
  <c r="AJ47" i="37"/>
  <c r="AF47" i="37"/>
  <c r="L47" i="37"/>
  <c r="K47" i="37"/>
  <c r="AR47" i="37"/>
  <c r="AH47" i="37"/>
  <c r="Q47" i="37"/>
  <c r="N47" i="37"/>
  <c r="T47" i="37"/>
  <c r="AV47" i="37"/>
  <c r="AE47" i="37"/>
  <c r="U47" i="37"/>
  <c r="P47" i="37"/>
  <c r="Z47" i="37"/>
  <c r="AK47" i="37"/>
  <c r="AU47" i="37"/>
  <c r="AO47" i="37"/>
  <c r="S47" i="37"/>
  <c r="AD47" i="37"/>
  <c r="AI47" i="37"/>
  <c r="AA47" i="37"/>
  <c r="X47" i="37"/>
  <c r="Y47" i="37"/>
  <c r="AP47" i="37"/>
  <c r="AC47" i="37"/>
  <c r="G50" i="12"/>
  <c r="D48" i="68"/>
  <c r="G48" i="12"/>
  <c r="D48" i="12" s="1"/>
  <c r="AW50" i="37"/>
  <c r="AX50" i="37" s="1"/>
  <c r="A49" i="37"/>
  <c r="G47" i="12"/>
  <c r="A32" i="55"/>
  <c r="N31" i="55"/>
  <c r="AJ31" i="55"/>
  <c r="W31" i="55"/>
  <c r="J31" i="55"/>
  <c r="Q31" i="55"/>
  <c r="O31" i="55"/>
  <c r="T31" i="55"/>
  <c r="X31" i="55"/>
  <c r="AE31" i="55"/>
  <c r="U31" i="55"/>
  <c r="AO31" i="55"/>
  <c r="Z31" i="55"/>
  <c r="AI31" i="55"/>
  <c r="AD31" i="55"/>
  <c r="AM31" i="55"/>
  <c r="S31" i="55"/>
  <c r="AL31" i="55"/>
  <c r="Y31" i="55"/>
  <c r="L31" i="55"/>
  <c r="AH31" i="55"/>
  <c r="AA31" i="55"/>
  <c r="AN31" i="55"/>
  <c r="AG31" i="55"/>
  <c r="AK31" i="55"/>
  <c r="K31" i="55"/>
  <c r="AC31" i="55"/>
  <c r="P31" i="55"/>
  <c r="R31" i="55"/>
  <c r="M31" i="55"/>
  <c r="V31" i="55"/>
  <c r="AB31" i="55"/>
  <c r="AF31" i="55"/>
  <c r="G49" i="12"/>
  <c r="Q84" i="32"/>
  <c r="P84" i="32"/>
  <c r="N84" i="32"/>
  <c r="D84" i="32"/>
  <c r="AX87" i="32"/>
  <c r="AY87" i="32" s="1"/>
  <c r="A86" i="32"/>
  <c r="B85" i="32"/>
  <c r="E85" i="32" s="1"/>
  <c r="I85" i="32"/>
  <c r="H85" i="32"/>
  <c r="C85" i="32"/>
  <c r="G85" i="32"/>
  <c r="F85" i="32"/>
  <c r="AS84" i="32"/>
  <c r="AQ84" i="32"/>
  <c r="AR84" i="32"/>
  <c r="AP84" i="32"/>
  <c r="AU84" i="32"/>
  <c r="AT84" i="32"/>
  <c r="AW84" i="32"/>
  <c r="AV84" i="32"/>
  <c r="AO84" i="32"/>
  <c r="E38" i="38"/>
  <c r="D38" i="38"/>
  <c r="I38" i="20"/>
  <c r="A66" i="56"/>
  <c r="G29" i="56"/>
  <c r="AJ44" i="36"/>
  <c r="AA44" i="36"/>
  <c r="O44" i="36"/>
  <c r="K44" i="36"/>
  <c r="AS44" i="36"/>
  <c r="W44" i="36"/>
  <c r="R44" i="36"/>
  <c r="Q44" i="36"/>
  <c r="AL44" i="36"/>
  <c r="AM44" i="36"/>
  <c r="AR44" i="36"/>
  <c r="AD44" i="36"/>
  <c r="L44" i="36"/>
  <c r="AG44" i="36"/>
  <c r="AU44" i="36"/>
  <c r="AK44" i="36"/>
  <c r="AH44" i="36"/>
  <c r="P44" i="36"/>
  <c r="AE44" i="36"/>
  <c r="AB44" i="36"/>
  <c r="AO44" i="36"/>
  <c r="V44" i="36"/>
  <c r="Z44" i="36"/>
  <c r="AT44" i="36"/>
  <c r="AN44" i="36"/>
  <c r="X44" i="36"/>
  <c r="T44" i="36"/>
  <c r="AF44" i="36"/>
  <c r="S44" i="36"/>
  <c r="U44" i="36"/>
  <c r="AC44" i="36"/>
  <c r="N44" i="36"/>
  <c r="AQ44" i="36"/>
  <c r="Y44" i="36"/>
  <c r="AI44" i="36"/>
  <c r="M44" i="36"/>
  <c r="AP44" i="36"/>
  <c r="D38" i="20"/>
  <c r="H39" i="38"/>
  <c r="G39" i="38"/>
  <c r="B39" i="38"/>
  <c r="E39" i="38" s="1"/>
  <c r="C39" i="38"/>
  <c r="F39" i="38"/>
  <c r="D45" i="36"/>
  <c r="J45" i="36"/>
  <c r="F45" i="36"/>
  <c r="C45" i="36"/>
  <c r="G45" i="36"/>
  <c r="I45" i="36"/>
  <c r="B45" i="36"/>
  <c r="E45" i="36"/>
  <c r="H45" i="36"/>
  <c r="G39" i="20"/>
  <c r="F39" i="20"/>
  <c r="H39" i="20"/>
  <c r="C39" i="20"/>
  <c r="B39" i="20"/>
  <c r="D39" i="20" s="1"/>
  <c r="K41" i="38"/>
  <c r="L41" i="38" s="1"/>
  <c r="A40" i="38"/>
  <c r="AV47" i="36"/>
  <c r="AW47" i="36" s="1"/>
  <c r="A46" i="36"/>
  <c r="A40" i="20"/>
  <c r="K41" i="20"/>
  <c r="L41" i="20" s="1"/>
  <c r="F53" i="19"/>
  <c r="I53" i="19"/>
  <c r="E53" i="19"/>
  <c r="G53" i="19"/>
  <c r="H53" i="19"/>
  <c r="D53" i="19"/>
  <c r="AV56" i="19"/>
  <c r="AW56" i="19" s="1"/>
  <c r="A55" i="19"/>
  <c r="F54" i="19"/>
  <c r="I54" i="19"/>
  <c r="G54" i="19"/>
  <c r="C54" i="19"/>
  <c r="J54" i="19"/>
  <c r="H54" i="19"/>
  <c r="B54" i="19"/>
  <c r="E54" i="19"/>
  <c r="D54" i="19"/>
  <c r="Q53" i="19"/>
  <c r="W53" i="19"/>
  <c r="AO53" i="19"/>
  <c r="AR53" i="19"/>
  <c r="R53" i="19"/>
  <c r="S53" i="19"/>
  <c r="X53" i="19"/>
  <c r="V53" i="19"/>
  <c r="M53" i="19"/>
  <c r="Z53" i="19"/>
  <c r="AU53" i="19"/>
  <c r="O53" i="19"/>
  <c r="P53" i="19"/>
  <c r="U53" i="19"/>
  <c r="AJ53" i="19"/>
  <c r="AM53" i="19"/>
  <c r="K53" i="19"/>
  <c r="T53" i="19"/>
  <c r="N53" i="19"/>
  <c r="AL53" i="19"/>
  <c r="L53" i="19"/>
  <c r="AB53" i="19"/>
  <c r="AT53" i="19"/>
  <c r="AS53" i="19"/>
  <c r="AD53" i="19"/>
  <c r="AK53" i="19"/>
  <c r="AG53" i="19"/>
  <c r="AE53" i="19"/>
  <c r="AF53" i="19"/>
  <c r="AC53" i="19"/>
  <c r="AQ53" i="19"/>
  <c r="AH53" i="19"/>
  <c r="Y53" i="19"/>
  <c r="AP53" i="19"/>
  <c r="AN53" i="19"/>
  <c r="AA53" i="19"/>
  <c r="AI53" i="19"/>
  <c r="D50" i="68" l="1"/>
  <c r="D50" i="12"/>
  <c r="B70" i="12" s="1"/>
  <c r="G51" i="68"/>
  <c r="E51" i="68"/>
  <c r="D47" i="68"/>
  <c r="AW51" i="37"/>
  <c r="AX51" i="37" s="1"/>
  <c r="A50" i="37"/>
  <c r="J69" i="68"/>
  <c r="D69" i="68"/>
  <c r="G69" i="68"/>
  <c r="E69" i="68"/>
  <c r="F69" i="68"/>
  <c r="B69" i="68"/>
  <c r="C69" i="68"/>
  <c r="D48" i="37"/>
  <c r="V48" i="37"/>
  <c r="AV48" i="37"/>
  <c r="Z48" i="37"/>
  <c r="U48" i="37"/>
  <c r="L48" i="37"/>
  <c r="AR48" i="37"/>
  <c r="AF48" i="37"/>
  <c r="N48" i="37"/>
  <c r="P48" i="37"/>
  <c r="T48" i="37"/>
  <c r="Y48" i="37"/>
  <c r="AA48" i="37"/>
  <c r="AD48" i="37"/>
  <c r="AE48" i="37"/>
  <c r="AO48" i="37"/>
  <c r="AQ48" i="37"/>
  <c r="S48" i="37"/>
  <c r="Q48" i="37"/>
  <c r="X48" i="37"/>
  <c r="AU48" i="37"/>
  <c r="AJ48" i="37"/>
  <c r="AT48" i="37"/>
  <c r="AK48" i="37"/>
  <c r="AP48" i="37"/>
  <c r="AS48" i="37"/>
  <c r="AI48" i="37"/>
  <c r="AH48" i="37"/>
  <c r="K48" i="37"/>
  <c r="AC48" i="37"/>
  <c r="J70" i="68"/>
  <c r="D70" i="68"/>
  <c r="E70" i="68"/>
  <c r="C70" i="68"/>
  <c r="F70" i="68"/>
  <c r="B70" i="68"/>
  <c r="G70" i="68"/>
  <c r="W32" i="55"/>
  <c r="J32" i="55"/>
  <c r="AF32" i="55"/>
  <c r="S32" i="55"/>
  <c r="AD32" i="55"/>
  <c r="L32" i="55"/>
  <c r="AM32" i="55"/>
  <c r="R32" i="55"/>
  <c r="AL32" i="55"/>
  <c r="AI32" i="55"/>
  <c r="V32" i="55"/>
  <c r="AE32" i="55"/>
  <c r="N32" i="55"/>
  <c r="AC32" i="55"/>
  <c r="AA32" i="55"/>
  <c r="AO32" i="55"/>
  <c r="AN32" i="55"/>
  <c r="A33" i="55"/>
  <c r="AH32" i="55"/>
  <c r="U32" i="55"/>
  <c r="AJ32" i="55"/>
  <c r="Z32" i="55"/>
  <c r="X32" i="55"/>
  <c r="O32" i="55"/>
  <c r="Y32" i="55"/>
  <c r="K32" i="55"/>
  <c r="AG32" i="55"/>
  <c r="T32" i="55"/>
  <c r="M32" i="55"/>
  <c r="AB32" i="55"/>
  <c r="Q32" i="55"/>
  <c r="P32" i="55"/>
  <c r="AK32" i="55"/>
  <c r="E51" i="12"/>
  <c r="D47" i="12"/>
  <c r="G51" i="12"/>
  <c r="G49" i="37"/>
  <c r="B49" i="37"/>
  <c r="E49" i="37" s="1"/>
  <c r="H49" i="37"/>
  <c r="F49" i="37"/>
  <c r="I49" i="37"/>
  <c r="C49" i="37"/>
  <c r="D49" i="37" s="1"/>
  <c r="B69" i="12"/>
  <c r="E69" i="12"/>
  <c r="G69" i="12"/>
  <c r="C69" i="12"/>
  <c r="D69" i="12"/>
  <c r="F69" i="12"/>
  <c r="J69" i="12"/>
  <c r="Q85" i="32"/>
  <c r="P85" i="32"/>
  <c r="N85" i="32"/>
  <c r="D85" i="32"/>
  <c r="AP85" i="32"/>
  <c r="AS85" i="32"/>
  <c r="AU85" i="32"/>
  <c r="AR85" i="32"/>
  <c r="AO85" i="32"/>
  <c r="AW85" i="32"/>
  <c r="AT85" i="32"/>
  <c r="AV85" i="32"/>
  <c r="AQ85" i="32"/>
  <c r="I86" i="32"/>
  <c r="H86" i="32"/>
  <c r="B86" i="32"/>
  <c r="E86" i="32" s="1"/>
  <c r="C86" i="32"/>
  <c r="G86" i="32"/>
  <c r="F86" i="32"/>
  <c r="AX88" i="32"/>
  <c r="AY88" i="32" s="1"/>
  <c r="A87" i="32"/>
  <c r="I39" i="38"/>
  <c r="I39" i="20"/>
  <c r="G40" i="20"/>
  <c r="C40" i="20"/>
  <c r="E40" i="20"/>
  <c r="H40" i="20"/>
  <c r="I40" i="20"/>
  <c r="F40" i="20"/>
  <c r="D40" i="20"/>
  <c r="B40" i="20"/>
  <c r="AV48" i="36"/>
  <c r="AW48" i="36" s="1"/>
  <c r="A47" i="36"/>
  <c r="K42" i="38"/>
  <c r="L42" i="38" s="1"/>
  <c r="A41" i="38"/>
  <c r="A41" i="20"/>
  <c r="K42" i="20"/>
  <c r="L42" i="20" s="1"/>
  <c r="B46" i="36"/>
  <c r="G46" i="36" s="1"/>
  <c r="C46" i="36"/>
  <c r="E40" i="38"/>
  <c r="H40" i="38"/>
  <c r="G40" i="38"/>
  <c r="I40" i="38"/>
  <c r="F40" i="38"/>
  <c r="C40" i="38"/>
  <c r="D40" i="38"/>
  <c r="B40" i="38"/>
  <c r="E39" i="20"/>
  <c r="AS45" i="36"/>
  <c r="AD45" i="36"/>
  <c r="O45" i="36"/>
  <c r="AL45" i="36"/>
  <c r="V45" i="36"/>
  <c r="AJ45" i="36"/>
  <c r="S45" i="36"/>
  <c r="Y45" i="36"/>
  <c r="AP45" i="36"/>
  <c r="AQ45" i="36"/>
  <c r="AR45" i="36"/>
  <c r="Q45" i="36"/>
  <c r="T45" i="36"/>
  <c r="R45" i="36"/>
  <c r="L45" i="36"/>
  <c r="AM45" i="36"/>
  <c r="AF45" i="36"/>
  <c r="AH45" i="36"/>
  <c r="P45" i="36"/>
  <c r="Z45" i="36"/>
  <c r="X45" i="36"/>
  <c r="AK45" i="36"/>
  <c r="AA45" i="36"/>
  <c r="AI45" i="36"/>
  <c r="W45" i="36"/>
  <c r="K45" i="36"/>
  <c r="AB45" i="36"/>
  <c r="M45" i="36"/>
  <c r="AT45" i="36"/>
  <c r="AG45" i="36"/>
  <c r="AE45" i="36"/>
  <c r="AC45" i="36"/>
  <c r="U45" i="36"/>
  <c r="AN45" i="36"/>
  <c r="AO45" i="36"/>
  <c r="N45" i="36"/>
  <c r="AU45" i="36"/>
  <c r="D39" i="38"/>
  <c r="G30" i="56"/>
  <c r="G31" i="56" s="1"/>
  <c r="G32" i="56" s="1"/>
  <c r="G33" i="56" s="1"/>
  <c r="G34" i="56" s="1"/>
  <c r="G35" i="56" s="1"/>
  <c r="G36" i="56" s="1"/>
  <c r="G37" i="56" s="1"/>
  <c r="G38" i="56" s="1"/>
  <c r="G39" i="56" s="1"/>
  <c r="G40" i="56" s="1"/>
  <c r="A67" i="56"/>
  <c r="Z54" i="19"/>
  <c r="AK54" i="19"/>
  <c r="Q54" i="19"/>
  <c r="AN54" i="19"/>
  <c r="N54" i="19"/>
  <c r="X54" i="19"/>
  <c r="AM54" i="19"/>
  <c r="AI54" i="19"/>
  <c r="AC54" i="19"/>
  <c r="AG54" i="19"/>
  <c r="AR54" i="19"/>
  <c r="L54" i="19"/>
  <c r="AB54" i="19"/>
  <c r="AA54" i="19"/>
  <c r="M54" i="19"/>
  <c r="K54" i="19"/>
  <c r="AQ54" i="19"/>
  <c r="AS54" i="19"/>
  <c r="T54" i="19"/>
  <c r="P54" i="19"/>
  <c r="AD54" i="19"/>
  <c r="Y54" i="19"/>
  <c r="R54" i="19"/>
  <c r="S54" i="19"/>
  <c r="AU54" i="19"/>
  <c r="AJ54" i="19"/>
  <c r="AF54" i="19"/>
  <c r="AL54" i="19"/>
  <c r="U54" i="19"/>
  <c r="AH54" i="19"/>
  <c r="AT54" i="19"/>
  <c r="AO54" i="19"/>
  <c r="V54" i="19"/>
  <c r="AP54" i="19"/>
  <c r="AE54" i="19"/>
  <c r="O54" i="19"/>
  <c r="W54" i="19"/>
  <c r="H55" i="19"/>
  <c r="F55" i="19"/>
  <c r="G55" i="19"/>
  <c r="J55" i="19"/>
  <c r="D55" i="19"/>
  <c r="B55" i="19"/>
  <c r="I55" i="19"/>
  <c r="C55" i="19"/>
  <c r="E55" i="19"/>
  <c r="AV57" i="19"/>
  <c r="AW57" i="19" s="1"/>
  <c r="A56" i="19"/>
  <c r="G41" i="56" l="1"/>
  <c r="J70" i="12"/>
  <c r="F70" i="12"/>
  <c r="D70" i="12"/>
  <c r="C70" i="12"/>
  <c r="G70" i="12"/>
  <c r="E70" i="12"/>
  <c r="X49" i="37"/>
  <c r="AR49" i="37"/>
  <c r="AJ49" i="37"/>
  <c r="AE49" i="37"/>
  <c r="AH49" i="37"/>
  <c r="AI49" i="37"/>
  <c r="AK49" i="37"/>
  <c r="AV49" i="37"/>
  <c r="AT49" i="37"/>
  <c r="AQ49" i="37"/>
  <c r="S49" i="37"/>
  <c r="AA49" i="37"/>
  <c r="V49" i="37"/>
  <c r="Z49" i="37"/>
  <c r="AS49" i="37"/>
  <c r="AU49" i="37"/>
  <c r="AP49" i="37"/>
  <c r="L49" i="37"/>
  <c r="AF49" i="37"/>
  <c r="Q49" i="37"/>
  <c r="T49" i="37"/>
  <c r="U49" i="37"/>
  <c r="AC49" i="37"/>
  <c r="P49" i="37"/>
  <c r="AO49" i="37"/>
  <c r="K49" i="37"/>
  <c r="N49" i="37"/>
  <c r="Y49" i="37"/>
  <c r="AD49" i="37"/>
  <c r="G50" i="37"/>
  <c r="F50" i="37"/>
  <c r="I50" i="37"/>
  <c r="B50" i="37"/>
  <c r="E50" i="37" s="1"/>
  <c r="C50" i="37"/>
  <c r="D50" i="37" s="1"/>
  <c r="H50" i="37"/>
  <c r="F68" i="68"/>
  <c r="F71" i="68" s="1"/>
  <c r="B68" i="68"/>
  <c r="B71" i="68" s="1"/>
  <c r="G68" i="68"/>
  <c r="G71" i="68" s="1"/>
  <c r="D51" i="68"/>
  <c r="J68" i="68"/>
  <c r="J71" i="68" s="1"/>
  <c r="D68" i="68"/>
  <c r="D71" i="68" s="1"/>
  <c r="E68" i="68"/>
  <c r="E71" i="68" s="1"/>
  <c r="C68" i="68"/>
  <c r="C71" i="68" s="1"/>
  <c r="B68" i="12"/>
  <c r="B71" i="12" s="1"/>
  <c r="E68" i="12"/>
  <c r="G68" i="12"/>
  <c r="D51" i="12"/>
  <c r="C68" i="12"/>
  <c r="D68" i="12"/>
  <c r="F68" i="12"/>
  <c r="J68" i="12"/>
  <c r="T33" i="55"/>
  <c r="AO33" i="55"/>
  <c r="AI33" i="55"/>
  <c r="Z33" i="55"/>
  <c r="AK33" i="55"/>
  <c r="AF33" i="55"/>
  <c r="N33" i="55"/>
  <c r="W33" i="55"/>
  <c r="AE33" i="55"/>
  <c r="R33" i="55"/>
  <c r="Q33" i="55"/>
  <c r="AJ33" i="55"/>
  <c r="AH33" i="55"/>
  <c r="K33" i="55"/>
  <c r="AM33" i="55"/>
  <c r="X33" i="55"/>
  <c r="AL33" i="55"/>
  <c r="AD33" i="55"/>
  <c r="AC33" i="55"/>
  <c r="P33" i="55"/>
  <c r="M33" i="55"/>
  <c r="AG33" i="55"/>
  <c r="J33" i="55"/>
  <c r="Y33" i="55"/>
  <c r="O33" i="55"/>
  <c r="AB33" i="55"/>
  <c r="AA33" i="55"/>
  <c r="U33" i="55"/>
  <c r="S33" i="55"/>
  <c r="AN33" i="55"/>
  <c r="L33" i="55"/>
  <c r="V33" i="55"/>
  <c r="AW52" i="37"/>
  <c r="AX52" i="37" s="1"/>
  <c r="A51" i="37"/>
  <c r="AM87" i="32"/>
  <c r="AN87" i="32"/>
  <c r="AG87" i="32"/>
  <c r="AL87" i="32"/>
  <c r="W87" i="32"/>
  <c r="AB87" i="32"/>
  <c r="R87" i="32"/>
  <c r="D86" i="32"/>
  <c r="P86" i="32"/>
  <c r="N86" i="32"/>
  <c r="Q86" i="32"/>
  <c r="B87" i="32"/>
  <c r="F87" i="32"/>
  <c r="E87" i="32"/>
  <c r="C87" i="32"/>
  <c r="D87" i="32"/>
  <c r="G87" i="32"/>
  <c r="H87" i="32"/>
  <c r="I87" i="32"/>
  <c r="AX89" i="32"/>
  <c r="AY89" i="32" s="1"/>
  <c r="A88" i="32"/>
  <c r="AV86" i="32"/>
  <c r="AP86" i="32"/>
  <c r="AQ86" i="32"/>
  <c r="AW86" i="32"/>
  <c r="AT86" i="32"/>
  <c r="AO86" i="32"/>
  <c r="AU86" i="32"/>
  <c r="AR86" i="32"/>
  <c r="AS86" i="32"/>
  <c r="I46" i="36"/>
  <c r="J46" i="36"/>
  <c r="H46" i="36"/>
  <c r="F46" i="36"/>
  <c r="A68" i="56"/>
  <c r="D46" i="36"/>
  <c r="E46" i="36"/>
  <c r="K43" i="20"/>
  <c r="L43" i="20" s="1"/>
  <c r="A42" i="20"/>
  <c r="E41" i="38"/>
  <c r="C41" i="38"/>
  <c r="G41" i="38"/>
  <c r="I41" i="38"/>
  <c r="D41" i="38"/>
  <c r="H41" i="38"/>
  <c r="B41" i="38"/>
  <c r="F41" i="38"/>
  <c r="C47" i="36"/>
  <c r="B47" i="36"/>
  <c r="E47" i="36" s="1"/>
  <c r="Z46" i="36"/>
  <c r="AC46" i="36"/>
  <c r="AD46" i="36"/>
  <c r="AS46" i="36"/>
  <c r="Y46" i="36"/>
  <c r="AI46" i="36"/>
  <c r="AA46" i="36"/>
  <c r="X46" i="36"/>
  <c r="AM46" i="36"/>
  <c r="AR46" i="36"/>
  <c r="P46" i="36"/>
  <c r="AL46" i="36"/>
  <c r="AB46" i="36"/>
  <c r="AF46" i="36"/>
  <c r="S46" i="36"/>
  <c r="Q46" i="36"/>
  <c r="AU46" i="36"/>
  <c r="AJ46" i="36"/>
  <c r="AN46" i="36"/>
  <c r="U46" i="36"/>
  <c r="T46" i="36"/>
  <c r="L46" i="36"/>
  <c r="AK46" i="36"/>
  <c r="R46" i="36"/>
  <c r="AO46" i="36"/>
  <c r="V46" i="36"/>
  <c r="AH46" i="36"/>
  <c r="N46" i="36"/>
  <c r="AT46" i="36"/>
  <c r="AP46" i="36"/>
  <c r="M46" i="36"/>
  <c r="AQ46" i="36"/>
  <c r="W46" i="36"/>
  <c r="K46" i="36"/>
  <c r="AG46" i="36"/>
  <c r="O46" i="36"/>
  <c r="AE46" i="36"/>
  <c r="I41" i="20"/>
  <c r="G41" i="20"/>
  <c r="H41" i="20"/>
  <c r="D41" i="20"/>
  <c r="B41" i="20"/>
  <c r="F41" i="20"/>
  <c r="E41" i="20"/>
  <c r="C41" i="20"/>
  <c r="K43" i="38"/>
  <c r="L43" i="38" s="1"/>
  <c r="A42" i="38"/>
  <c r="AV49" i="36"/>
  <c r="AW49" i="36" s="1"/>
  <c r="A48" i="36"/>
  <c r="AV58" i="19"/>
  <c r="AW58" i="19" s="1"/>
  <c r="A57" i="19"/>
  <c r="AP55" i="19"/>
  <c r="AI55" i="19"/>
  <c r="AS55" i="19"/>
  <c r="AQ55" i="19"/>
  <c r="AM55" i="19"/>
  <c r="O55" i="19"/>
  <c r="W55" i="19"/>
  <c r="AJ55" i="19"/>
  <c r="Y55" i="19"/>
  <c r="AU55" i="19"/>
  <c r="AL55" i="19"/>
  <c r="AD55" i="19"/>
  <c r="AT55" i="19"/>
  <c r="P55" i="19"/>
  <c r="K55" i="19"/>
  <c r="N55" i="19"/>
  <c r="AK55" i="19"/>
  <c r="AO55" i="19"/>
  <c r="V55" i="19"/>
  <c r="X55" i="19"/>
  <c r="AG55" i="19"/>
  <c r="AA55" i="19"/>
  <c r="L55" i="19"/>
  <c r="AR55" i="19"/>
  <c r="T55" i="19"/>
  <c r="U55" i="19"/>
  <c r="AE55" i="19"/>
  <c r="AF55" i="19"/>
  <c r="AN55" i="19"/>
  <c r="Z55" i="19"/>
  <c r="AB55" i="19"/>
  <c r="AC55" i="19"/>
  <c r="M55" i="19"/>
  <c r="Q55" i="19"/>
  <c r="R55" i="19"/>
  <c r="AH55" i="19"/>
  <c r="S55" i="19"/>
  <c r="C56" i="19"/>
  <c r="B56" i="19"/>
  <c r="D56" i="19" s="1"/>
  <c r="G71" i="12" l="1"/>
  <c r="G42" i="56"/>
  <c r="C71" i="12"/>
  <c r="E71" i="12"/>
  <c r="D71" i="12"/>
  <c r="F71" i="12"/>
  <c r="J71" i="12"/>
  <c r="I51" i="37"/>
  <c r="C51" i="37"/>
  <c r="D51" i="37" s="1"/>
  <c r="G51" i="37"/>
  <c r="H51" i="37"/>
  <c r="B51" i="37"/>
  <c r="E51" i="37" s="1"/>
  <c r="F51" i="37"/>
  <c r="Q34" i="55"/>
  <c r="AM34" i="55"/>
  <c r="Z34" i="55"/>
  <c r="M34" i="55"/>
  <c r="R34" i="55"/>
  <c r="AG34" i="55"/>
  <c r="J34" i="55"/>
  <c r="AD34" i="55"/>
  <c r="AN34" i="55"/>
  <c r="AA34" i="55"/>
  <c r="N34" i="55"/>
  <c r="AJ34" i="55"/>
  <c r="AH34" i="55"/>
  <c r="K34" i="55"/>
  <c r="V34" i="55"/>
  <c r="X34" i="55"/>
  <c r="AB34" i="55"/>
  <c r="S34" i="55"/>
  <c r="AE34" i="55"/>
  <c r="W34" i="55"/>
  <c r="P34" i="55"/>
  <c r="Y34" i="55"/>
  <c r="AF34" i="55"/>
  <c r="AO34" i="55"/>
  <c r="O34" i="55"/>
  <c r="AK34" i="55"/>
  <c r="L34" i="55"/>
  <c r="U34" i="55"/>
  <c r="AC34" i="55"/>
  <c r="AL34" i="55"/>
  <c r="AI34" i="55"/>
  <c r="T34" i="55"/>
  <c r="AS50" i="37"/>
  <c r="P50" i="37"/>
  <c r="AJ50" i="37"/>
  <c r="X50" i="37"/>
  <c r="V50" i="37"/>
  <c r="AT50" i="37"/>
  <c r="U50" i="37"/>
  <c r="Y50" i="37"/>
  <c r="AK50" i="37"/>
  <c r="AR50" i="37"/>
  <c r="AA50" i="37"/>
  <c r="K50" i="37"/>
  <c r="Q50" i="37"/>
  <c r="AU50" i="37"/>
  <c r="AE50" i="37"/>
  <c r="AQ50" i="37"/>
  <c r="N50" i="37"/>
  <c r="Z50" i="37"/>
  <c r="AD50" i="37"/>
  <c r="AV50" i="37"/>
  <c r="AO50" i="37"/>
  <c r="AF50" i="37"/>
  <c r="AC50" i="37"/>
  <c r="AI50" i="37"/>
  <c r="T50" i="37"/>
  <c r="L50" i="37"/>
  <c r="AP50" i="37"/>
  <c r="AH50" i="37"/>
  <c r="S50" i="37"/>
  <c r="AW53" i="37"/>
  <c r="AX53" i="37" s="1"/>
  <c r="A52" i="37"/>
  <c r="AM88" i="32"/>
  <c r="AN88" i="32"/>
  <c r="AG88" i="32"/>
  <c r="AL88" i="32"/>
  <c r="W88" i="32"/>
  <c r="AB88" i="32"/>
  <c r="R88" i="32"/>
  <c r="E88" i="32"/>
  <c r="G88" i="32"/>
  <c r="H88" i="32"/>
  <c r="F88" i="32"/>
  <c r="I88" i="32"/>
  <c r="D88" i="32"/>
  <c r="C88" i="32"/>
  <c r="B88" i="32"/>
  <c r="AV87" i="32"/>
  <c r="AI87" i="32"/>
  <c r="AF87" i="32"/>
  <c r="AJ87" i="32"/>
  <c r="AD87" i="32"/>
  <c r="AK87" i="32"/>
  <c r="N87" i="32"/>
  <c r="S87" i="32"/>
  <c r="AU87" i="32"/>
  <c r="AR87" i="32"/>
  <c r="AH87" i="32"/>
  <c r="P87" i="32"/>
  <c r="AC87" i="32"/>
  <c r="AS87" i="32"/>
  <c r="AQ87" i="32"/>
  <c r="AO87" i="32"/>
  <c r="AW87" i="32"/>
  <c r="Y87" i="32"/>
  <c r="X87" i="32"/>
  <c r="U87" i="32"/>
  <c r="V87" i="32"/>
  <c r="AA87" i="32"/>
  <c r="T87" i="32"/>
  <c r="Z87" i="32"/>
  <c r="Q87" i="32"/>
  <c r="AE87" i="32"/>
  <c r="AT87" i="32"/>
  <c r="AP87" i="32"/>
  <c r="AX90" i="32"/>
  <c r="AY90" i="32" s="1"/>
  <c r="A89" i="32"/>
  <c r="F47" i="36"/>
  <c r="D47" i="36"/>
  <c r="H47" i="36"/>
  <c r="J47" i="36"/>
  <c r="I47" i="36"/>
  <c r="H42" i="38"/>
  <c r="B42" i="38"/>
  <c r="I42" i="38" s="1"/>
  <c r="C42" i="38"/>
  <c r="G42" i="38"/>
  <c r="F42" i="38"/>
  <c r="K44" i="20"/>
  <c r="L44" i="20" s="1"/>
  <c r="A43" i="20"/>
  <c r="AV50" i="36"/>
  <c r="AW50" i="36" s="1"/>
  <c r="A49" i="36"/>
  <c r="K44" i="38"/>
  <c r="L44" i="38" s="1"/>
  <c r="A43" i="38"/>
  <c r="G47" i="36"/>
  <c r="S47" i="36"/>
  <c r="AS47" i="36"/>
  <c r="AL47" i="36"/>
  <c r="Q47" i="36"/>
  <c r="AN47" i="36"/>
  <c r="X47" i="36"/>
  <c r="AD47" i="36"/>
  <c r="AF47" i="36"/>
  <c r="AK47" i="36"/>
  <c r="AB47" i="36"/>
  <c r="AR47" i="36"/>
  <c r="R47" i="36"/>
  <c r="K47" i="36"/>
  <c r="AG47" i="36"/>
  <c r="W47" i="36"/>
  <c r="AH47" i="36"/>
  <c r="P47" i="36"/>
  <c r="AJ47" i="36"/>
  <c r="V47" i="36"/>
  <c r="AC47" i="36"/>
  <c r="AT47" i="36"/>
  <c r="Y47" i="36"/>
  <c r="O47" i="36"/>
  <c r="Z47" i="36"/>
  <c r="AQ47" i="36"/>
  <c r="M47" i="36"/>
  <c r="N47" i="36"/>
  <c r="AA47" i="36"/>
  <c r="AM47" i="36"/>
  <c r="T47" i="36"/>
  <c r="AI47" i="36"/>
  <c r="AU47" i="36"/>
  <c r="AE47" i="36"/>
  <c r="AP47" i="36"/>
  <c r="U47" i="36"/>
  <c r="AO47" i="36"/>
  <c r="L47" i="36"/>
  <c r="F42" i="20"/>
  <c r="B42" i="20"/>
  <c r="D42" i="20" s="1"/>
  <c r="H42" i="20"/>
  <c r="C42" i="20"/>
  <c r="G42" i="20"/>
  <c r="A69" i="56"/>
  <c r="H48" i="36"/>
  <c r="J48" i="36"/>
  <c r="E48" i="36"/>
  <c r="D48" i="36"/>
  <c r="I48" i="36"/>
  <c r="F48" i="36"/>
  <c r="G48" i="36"/>
  <c r="C48" i="36"/>
  <c r="B48" i="36"/>
  <c r="G56" i="19"/>
  <c r="I56" i="19"/>
  <c r="J56" i="19"/>
  <c r="F56" i="19"/>
  <c r="E56" i="19"/>
  <c r="H56" i="19"/>
  <c r="C57" i="19"/>
  <c r="B57" i="19"/>
  <c r="G57" i="19" s="1"/>
  <c r="AQ56" i="19"/>
  <c r="AA56" i="19"/>
  <c r="AG56" i="19"/>
  <c r="L56" i="19"/>
  <c r="AC56" i="19"/>
  <c r="AS56" i="19"/>
  <c r="AT56" i="19"/>
  <c r="S56" i="19"/>
  <c r="AJ56" i="19"/>
  <c r="K56" i="19"/>
  <c r="Q56" i="19"/>
  <c r="AL56" i="19"/>
  <c r="U56" i="19"/>
  <c r="AP56" i="19"/>
  <c r="O56" i="19"/>
  <c r="N56" i="19"/>
  <c r="AI56" i="19"/>
  <c r="AN56" i="19"/>
  <c r="AO56" i="19"/>
  <c r="AH56" i="19"/>
  <c r="AD56" i="19"/>
  <c r="Z56" i="19"/>
  <c r="W56" i="19"/>
  <c r="AR56" i="19"/>
  <c r="AF56" i="19"/>
  <c r="AU56" i="19"/>
  <c r="Y56" i="19"/>
  <c r="T56" i="19"/>
  <c r="AM56" i="19"/>
  <c r="P56" i="19"/>
  <c r="AB56" i="19"/>
  <c r="AE56" i="19"/>
  <c r="M56" i="19"/>
  <c r="V56" i="19"/>
  <c r="X56" i="19"/>
  <c r="AK56" i="19"/>
  <c r="R56" i="19"/>
  <c r="AV59" i="19"/>
  <c r="AW59" i="19" s="1"/>
  <c r="A58" i="19"/>
  <c r="G43" i="56" l="1"/>
  <c r="AN52" i="37"/>
  <c r="AL52" i="37"/>
  <c r="AB52" i="37"/>
  <c r="R52" i="37"/>
  <c r="C52" i="37"/>
  <c r="B52" i="37"/>
  <c r="AM52" i="37"/>
  <c r="AG52" i="37"/>
  <c r="W52" i="37"/>
  <c r="O52" i="37"/>
  <c r="F52" i="37"/>
  <c r="E52" i="37"/>
  <c r="G52" i="37"/>
  <c r="D52" i="37"/>
  <c r="I52" i="37"/>
  <c r="H52" i="37"/>
  <c r="F51" i="56"/>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AU51" i="37"/>
  <c r="Y51" i="37"/>
  <c r="AK51" i="37"/>
  <c r="P51" i="37"/>
  <c r="AR51" i="37"/>
  <c r="AH51" i="37"/>
  <c r="S51" i="37"/>
  <c r="AF51" i="37"/>
  <c r="X51" i="37"/>
  <c r="AQ51" i="37"/>
  <c r="T51" i="37"/>
  <c r="AA51" i="37"/>
  <c r="V51" i="37"/>
  <c r="AS51" i="37"/>
  <c r="AO51" i="37"/>
  <c r="AC51" i="37"/>
  <c r="N51" i="37"/>
  <c r="AJ51" i="37"/>
  <c r="K51" i="37"/>
  <c r="AP51" i="37"/>
  <c r="AT51" i="37"/>
  <c r="AV51" i="37"/>
  <c r="AE51" i="37"/>
  <c r="AI51" i="37"/>
  <c r="L51" i="37"/>
  <c r="Z51" i="37"/>
  <c r="AD51" i="37"/>
  <c r="U51" i="37"/>
  <c r="Q51" i="37"/>
  <c r="AW54" i="37"/>
  <c r="AX54" i="37" s="1"/>
  <c r="A53" i="37"/>
  <c r="C44" i="56"/>
  <c r="H89" i="32"/>
  <c r="F89" i="32"/>
  <c r="I89" i="32"/>
  <c r="C89" i="32"/>
  <c r="B89" i="32"/>
  <c r="E89" i="32" s="1"/>
  <c r="G89" i="32"/>
  <c r="AX91" i="32"/>
  <c r="AY91" i="32" s="1"/>
  <c r="A90" i="32"/>
  <c r="AK88" i="32"/>
  <c r="AS88" i="32"/>
  <c r="T88" i="32"/>
  <c r="P88" i="32"/>
  <c r="AR88" i="32"/>
  <c r="AW88" i="32"/>
  <c r="V88" i="32"/>
  <c r="S88" i="32"/>
  <c r="U88" i="32"/>
  <c r="AA88" i="32"/>
  <c r="AI88" i="32"/>
  <c r="AV88" i="32"/>
  <c r="AD88" i="32"/>
  <c r="AU88" i="32"/>
  <c r="AQ88" i="32"/>
  <c r="AC88" i="32"/>
  <c r="Z88" i="32"/>
  <c r="Q88" i="32"/>
  <c r="X88" i="32"/>
  <c r="Y88" i="32"/>
  <c r="AJ88" i="32"/>
  <c r="AF88" i="32"/>
  <c r="AP88" i="32"/>
  <c r="AT88" i="32"/>
  <c r="AH88" i="32"/>
  <c r="AO88" i="32"/>
  <c r="AE88" i="32"/>
  <c r="N88" i="32"/>
  <c r="D42" i="38"/>
  <c r="E42" i="20"/>
  <c r="E42" i="38"/>
  <c r="I42" i="20"/>
  <c r="B43" i="38"/>
  <c r="I43" i="38" s="1"/>
  <c r="F43" i="38"/>
  <c r="G43" i="38"/>
  <c r="C43" i="38"/>
  <c r="H43" i="38"/>
  <c r="E49" i="36"/>
  <c r="I49" i="36"/>
  <c r="C49" i="36"/>
  <c r="F49" i="36"/>
  <c r="G49" i="36"/>
  <c r="H49" i="36"/>
  <c r="J49" i="36"/>
  <c r="D49" i="36"/>
  <c r="B49" i="36"/>
  <c r="C43" i="20"/>
  <c r="F43" i="20"/>
  <c r="G43" i="20"/>
  <c r="B43" i="20"/>
  <c r="E43" i="20" s="1"/>
  <c r="H43" i="20"/>
  <c r="R48" i="36"/>
  <c r="AC48" i="36"/>
  <c r="AQ48" i="36"/>
  <c r="AT48" i="36"/>
  <c r="AK48" i="36"/>
  <c r="AU48" i="36"/>
  <c r="AN48" i="36"/>
  <c r="N48" i="36"/>
  <c r="AG48" i="36"/>
  <c r="M48" i="36"/>
  <c r="AF48" i="36"/>
  <c r="AB48" i="36"/>
  <c r="P48" i="36"/>
  <c r="AE48" i="36"/>
  <c r="AM48" i="36"/>
  <c r="AJ48" i="36"/>
  <c r="AA48" i="36"/>
  <c r="U48" i="36"/>
  <c r="T48" i="36"/>
  <c r="L48" i="36"/>
  <c r="S48" i="36"/>
  <c r="AS48" i="36"/>
  <c r="O48" i="36"/>
  <c r="AD48" i="36"/>
  <c r="AL48" i="36"/>
  <c r="K48" i="36"/>
  <c r="X48" i="36"/>
  <c r="W48" i="36"/>
  <c r="AO48" i="36"/>
  <c r="AI48" i="36"/>
  <c r="AP48" i="36"/>
  <c r="AR48" i="36"/>
  <c r="Q48" i="36"/>
  <c r="AH48" i="36"/>
  <c r="Z48" i="36"/>
  <c r="Y48" i="36"/>
  <c r="V48" i="36"/>
  <c r="A70" i="56"/>
  <c r="K45" i="38"/>
  <c r="L45" i="38" s="1"/>
  <c r="A44" i="38"/>
  <c r="AV51" i="36"/>
  <c r="AW51" i="36" s="1"/>
  <c r="A50" i="36"/>
  <c r="K45" i="20"/>
  <c r="L45" i="20" s="1"/>
  <c r="A44" i="20"/>
  <c r="D57" i="19"/>
  <c r="E57" i="19"/>
  <c r="I57" i="19"/>
  <c r="J57" i="19"/>
  <c r="F57" i="19"/>
  <c r="H57" i="19"/>
  <c r="J58" i="19"/>
  <c r="G58" i="19"/>
  <c r="D58" i="19"/>
  <c r="E58" i="19"/>
  <c r="F58" i="19"/>
  <c r="H58" i="19"/>
  <c r="C58" i="19"/>
  <c r="B58" i="19"/>
  <c r="I58" i="19"/>
  <c r="A59" i="19"/>
  <c r="AV60" i="19"/>
  <c r="AW60" i="19" s="1"/>
  <c r="AI57" i="19"/>
  <c r="K57" i="19"/>
  <c r="AP57" i="19"/>
  <c r="W57" i="19"/>
  <c r="V57" i="19"/>
  <c r="AB57" i="19"/>
  <c r="AE57" i="19"/>
  <c r="AR57" i="19"/>
  <c r="AU57" i="19"/>
  <c r="Q57" i="19"/>
  <c r="AC57" i="19"/>
  <c r="AQ57" i="19"/>
  <c r="AT57" i="19"/>
  <c r="AF57" i="19"/>
  <c r="Y57" i="19"/>
  <c r="AO57" i="19"/>
  <c r="AG57" i="19"/>
  <c r="M57" i="19"/>
  <c r="AA57" i="19"/>
  <c r="AD57" i="19"/>
  <c r="O57" i="19"/>
  <c r="S57" i="19"/>
  <c r="AJ57" i="19"/>
  <c r="AL57" i="19"/>
  <c r="U57" i="19"/>
  <c r="AS57" i="19"/>
  <c r="P57" i="19"/>
  <c r="Z57" i="19"/>
  <c r="AK57" i="19"/>
  <c r="AH57" i="19"/>
  <c r="R57" i="19"/>
  <c r="X57" i="19"/>
  <c r="AM57" i="19"/>
  <c r="AN57" i="19"/>
  <c r="N57" i="19"/>
  <c r="L57" i="19"/>
  <c r="T57" i="19"/>
  <c r="G44" i="56" l="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AN53" i="37"/>
  <c r="AG53" i="37"/>
  <c r="W53" i="37"/>
  <c r="O53" i="37"/>
  <c r="E53" i="37"/>
  <c r="H53" i="37"/>
  <c r="D53" i="37"/>
  <c r="G53" i="37"/>
  <c r="I53" i="37"/>
  <c r="B53" i="37"/>
  <c r="F53" i="37"/>
  <c r="AM53" i="37"/>
  <c r="AL53" i="37"/>
  <c r="AB53" i="37"/>
  <c r="R53" i="37"/>
  <c r="C53" i="37"/>
  <c r="C43" i="56"/>
  <c r="M8" i="15"/>
  <c r="AW55" i="37"/>
  <c r="AX55" i="37" s="1"/>
  <c r="A54" i="37"/>
  <c r="AH52" i="37"/>
  <c r="U52" i="37"/>
  <c r="AF52" i="37"/>
  <c r="Y52" i="37"/>
  <c r="AO52" i="37"/>
  <c r="AT52" i="37"/>
  <c r="AC52" i="37"/>
  <c r="L52" i="37"/>
  <c r="N52" i="37"/>
  <c r="AJ52" i="37"/>
  <c r="AK52" i="37"/>
  <c r="S52" i="37"/>
  <c r="P52" i="37"/>
  <c r="K52" i="37"/>
  <c r="AI52" i="37"/>
  <c r="V52" i="37"/>
  <c r="AA52" i="37"/>
  <c r="AS52" i="37"/>
  <c r="AP52" i="37"/>
  <c r="Z52" i="37"/>
  <c r="AQ52" i="37"/>
  <c r="X52" i="37"/>
  <c r="AE52" i="37"/>
  <c r="AD52" i="37"/>
  <c r="Q52" i="37"/>
  <c r="AU52" i="37"/>
  <c r="T52" i="37"/>
  <c r="AR52" i="37"/>
  <c r="AV52" i="37"/>
  <c r="J52" i="37"/>
  <c r="M52" i="37"/>
  <c r="I43" i="20"/>
  <c r="AN89" i="32"/>
  <c r="Q89" i="32"/>
  <c r="P89" i="32"/>
  <c r="N89" i="32"/>
  <c r="B90" i="32"/>
  <c r="E90" i="32" s="1"/>
  <c r="F90" i="32"/>
  <c r="G90" i="32"/>
  <c r="C90" i="32"/>
  <c r="I90" i="32"/>
  <c r="H90" i="32"/>
  <c r="D89" i="32"/>
  <c r="AO89" i="32"/>
  <c r="AT89" i="32"/>
  <c r="AV89" i="32"/>
  <c r="AQ89" i="32"/>
  <c r="AS89" i="32"/>
  <c r="AR89" i="32"/>
  <c r="AU89" i="32"/>
  <c r="AW89" i="32"/>
  <c r="AP89" i="32"/>
  <c r="AX92" i="32"/>
  <c r="AY92" i="32" s="1"/>
  <c r="A91" i="32"/>
  <c r="D43" i="20"/>
  <c r="D43" i="38"/>
  <c r="E43" i="38"/>
  <c r="K46" i="20"/>
  <c r="L46" i="20" s="1"/>
  <c r="A45" i="20"/>
  <c r="AV52" i="36"/>
  <c r="AW52" i="36" s="1"/>
  <c r="A51" i="36"/>
  <c r="K46" i="38"/>
  <c r="L46" i="38" s="1"/>
  <c r="A45" i="38"/>
  <c r="G44" i="20"/>
  <c r="E44" i="20"/>
  <c r="D44" i="20"/>
  <c r="B44" i="20"/>
  <c r="H44" i="20"/>
  <c r="F44" i="20"/>
  <c r="I44" i="20"/>
  <c r="C44" i="20"/>
  <c r="B50" i="36"/>
  <c r="D50" i="36" s="1"/>
  <c r="C50" i="36"/>
  <c r="H44" i="38"/>
  <c r="F44" i="38"/>
  <c r="G44" i="38"/>
  <c r="E44" i="38"/>
  <c r="D44" i="38"/>
  <c r="C44" i="38"/>
  <c r="I44" i="38"/>
  <c r="B44" i="38"/>
  <c r="A71" i="56"/>
  <c r="U49" i="36"/>
  <c r="AN49" i="36"/>
  <c r="Z49" i="36"/>
  <c r="AK49" i="36"/>
  <c r="AS49" i="36"/>
  <c r="L49" i="36"/>
  <c r="AC49" i="36"/>
  <c r="O49" i="36"/>
  <c r="AM49" i="36"/>
  <c r="AU49" i="36"/>
  <c r="Q49" i="36"/>
  <c r="AI49" i="36"/>
  <c r="N49" i="36"/>
  <c r="AP49" i="36"/>
  <c r="AE49" i="36"/>
  <c r="AT49" i="36"/>
  <c r="AR49" i="36"/>
  <c r="AJ49" i="36"/>
  <c r="P49" i="36"/>
  <c r="W49" i="36"/>
  <c r="AQ49" i="36"/>
  <c r="AF49" i="36"/>
  <c r="X49" i="36"/>
  <c r="M49" i="36"/>
  <c r="R49" i="36"/>
  <c r="AB49" i="36"/>
  <c r="K49" i="36"/>
  <c r="AL49" i="36"/>
  <c r="AH49" i="36"/>
  <c r="AG49" i="36"/>
  <c r="AO49" i="36"/>
  <c r="AA49" i="36"/>
  <c r="S49" i="36"/>
  <c r="T49" i="36"/>
  <c r="Y49" i="36"/>
  <c r="V49" i="36"/>
  <c r="AD49" i="36"/>
  <c r="B59" i="19"/>
  <c r="E59" i="19"/>
  <c r="I59" i="19"/>
  <c r="D59" i="19"/>
  <c r="G59" i="19"/>
  <c r="H59" i="19"/>
  <c r="F59" i="19"/>
  <c r="J59" i="19"/>
  <c r="C59" i="19"/>
  <c r="A60" i="19"/>
  <c r="AV61" i="19"/>
  <c r="AW61" i="19" s="1"/>
  <c r="AT58" i="19"/>
  <c r="R58" i="19"/>
  <c r="N58" i="19"/>
  <c r="K58" i="19"/>
  <c r="AL58" i="19"/>
  <c r="AU58" i="19"/>
  <c r="AP58" i="19"/>
  <c r="AR58" i="19"/>
  <c r="AI58" i="19"/>
  <c r="V58" i="19"/>
  <c r="Z58" i="19"/>
  <c r="AQ58" i="19"/>
  <c r="AA58" i="19"/>
  <c r="AM58" i="19"/>
  <c r="S58" i="19"/>
  <c r="AK58" i="19"/>
  <c r="O58" i="19"/>
  <c r="Q58" i="19"/>
  <c r="W58" i="19"/>
  <c r="Y58" i="19"/>
  <c r="AO58" i="19"/>
  <c r="AB58" i="19"/>
  <c r="AN58" i="19"/>
  <c r="AF58" i="19"/>
  <c r="AS58" i="19"/>
  <c r="U58" i="19"/>
  <c r="T58" i="19"/>
  <c r="P58" i="19"/>
  <c r="AD58" i="19"/>
  <c r="AE58" i="19"/>
  <c r="M58" i="19"/>
  <c r="AH58" i="19"/>
  <c r="AJ58" i="19"/>
  <c r="AC58" i="19"/>
  <c r="L58" i="19"/>
  <c r="X58" i="19"/>
  <c r="AG58" i="19"/>
  <c r="G54" i="37" l="1"/>
  <c r="B54" i="37"/>
  <c r="E54" i="37" s="1"/>
  <c r="I54" i="37"/>
  <c r="C54" i="37"/>
  <c r="H54" i="37"/>
  <c r="F54" i="37"/>
  <c r="C42" i="56"/>
  <c r="P53" i="37"/>
  <c r="AA53" i="37"/>
  <c r="Q53" i="37"/>
  <c r="AS53" i="37"/>
  <c r="AH53" i="37"/>
  <c r="X53" i="37"/>
  <c r="N53" i="37"/>
  <c r="T53" i="37"/>
  <c r="AV53" i="37"/>
  <c r="K53" i="37"/>
  <c r="V53" i="37"/>
  <c r="AK53" i="37"/>
  <c r="AF53" i="37"/>
  <c r="AJ53" i="37"/>
  <c r="AP53" i="37"/>
  <c r="AU53" i="37"/>
  <c r="AC53" i="37"/>
  <c r="AR53" i="37"/>
  <c r="AQ53" i="37"/>
  <c r="U53" i="37"/>
  <c r="Y53" i="37"/>
  <c r="AD53" i="37"/>
  <c r="S53" i="37"/>
  <c r="AI53" i="37"/>
  <c r="AE53" i="37"/>
  <c r="AT53" i="37"/>
  <c r="AO53" i="37"/>
  <c r="Z53" i="37"/>
  <c r="L53" i="37"/>
  <c r="J53" i="37"/>
  <c r="M53" i="37"/>
  <c r="AW56" i="37"/>
  <c r="AX56" i="37" s="1"/>
  <c r="A55" i="37"/>
  <c r="J50" i="36"/>
  <c r="AN90" i="32"/>
  <c r="P90" i="32"/>
  <c r="N90" i="32"/>
  <c r="Q90" i="32"/>
  <c r="F91" i="32"/>
  <c r="I91" i="32"/>
  <c r="C91" i="32"/>
  <c r="B91" i="32"/>
  <c r="E91" i="32" s="1"/>
  <c r="H91" i="32"/>
  <c r="G91" i="32"/>
  <c r="D90" i="32"/>
  <c r="AO90" i="32"/>
  <c r="AW90" i="32"/>
  <c r="AU90" i="32"/>
  <c r="AQ90" i="32"/>
  <c r="AS90" i="32"/>
  <c r="AV90" i="32"/>
  <c r="AT90" i="32"/>
  <c r="AP90" i="32"/>
  <c r="AR90" i="32"/>
  <c r="AX93" i="32"/>
  <c r="AY93" i="32" s="1"/>
  <c r="A92" i="32"/>
  <c r="F50" i="36"/>
  <c r="I50" i="36"/>
  <c r="H50" i="36"/>
  <c r="G50" i="36"/>
  <c r="E50" i="36"/>
  <c r="R50" i="36"/>
  <c r="AF50" i="36"/>
  <c r="AQ50" i="36"/>
  <c r="AM50" i="36"/>
  <c r="X50" i="36"/>
  <c r="AO50" i="36"/>
  <c r="Y50" i="36"/>
  <c r="V50" i="36"/>
  <c r="Q50" i="36"/>
  <c r="P50" i="36"/>
  <c r="AK50" i="36"/>
  <c r="AG50" i="36"/>
  <c r="AD50" i="36"/>
  <c r="AT50" i="36"/>
  <c r="AU50" i="36"/>
  <c r="T50" i="36"/>
  <c r="Z50" i="36"/>
  <c r="AE50" i="36"/>
  <c r="AB50" i="36"/>
  <c r="AI50" i="36"/>
  <c r="W50" i="36"/>
  <c r="O50" i="36"/>
  <c r="S50" i="36"/>
  <c r="N50" i="36"/>
  <c r="AR50" i="36"/>
  <c r="AJ50" i="36"/>
  <c r="AS50" i="36"/>
  <c r="K50" i="36"/>
  <c r="AN50" i="36"/>
  <c r="U50" i="36"/>
  <c r="L50" i="36"/>
  <c r="AP50" i="36"/>
  <c r="AL50" i="36"/>
  <c r="M50" i="36"/>
  <c r="AC50" i="36"/>
  <c r="AA50" i="36"/>
  <c r="AH50" i="36"/>
  <c r="K47" i="38"/>
  <c r="L47" i="38" s="1"/>
  <c r="A46" i="38"/>
  <c r="AV53" i="36"/>
  <c r="AW53" i="36" s="1"/>
  <c r="A52" i="36"/>
  <c r="K47" i="20"/>
  <c r="L47" i="20" s="1"/>
  <c r="A46" i="20"/>
  <c r="A72" i="56"/>
  <c r="E45" i="38"/>
  <c r="H45" i="38"/>
  <c r="G45" i="38"/>
  <c r="D45" i="38"/>
  <c r="F45" i="38"/>
  <c r="C45" i="38"/>
  <c r="I45" i="38"/>
  <c r="B45" i="38"/>
  <c r="C51" i="36"/>
  <c r="B51" i="36"/>
  <c r="D51" i="36" s="1"/>
  <c r="G45" i="20"/>
  <c r="F45" i="20"/>
  <c r="H45" i="20"/>
  <c r="B45" i="20"/>
  <c r="E45" i="20"/>
  <c r="C45" i="20"/>
  <c r="D45" i="20"/>
  <c r="I45" i="20"/>
  <c r="A61" i="19"/>
  <c r="AV62" i="19"/>
  <c r="AW62" i="19" s="1"/>
  <c r="B60" i="19"/>
  <c r="D60" i="19" s="1"/>
  <c r="C60" i="19"/>
  <c r="T59" i="19"/>
  <c r="AN59" i="19"/>
  <c r="AG59" i="19"/>
  <c r="AL59" i="19"/>
  <c r="AE59" i="19"/>
  <c r="R59" i="19"/>
  <c r="AH59" i="19"/>
  <c r="P59" i="19"/>
  <c r="AB59" i="19"/>
  <c r="O59" i="19"/>
  <c r="S59" i="19"/>
  <c r="AP59" i="19"/>
  <c r="AM59" i="19"/>
  <c r="AT59" i="19"/>
  <c r="Y59" i="19"/>
  <c r="AR59" i="19"/>
  <c r="V59" i="19"/>
  <c r="N59" i="19"/>
  <c r="AK59" i="19"/>
  <c r="AU59" i="19"/>
  <c r="AI59" i="19"/>
  <c r="AD59" i="19"/>
  <c r="K59" i="19"/>
  <c r="Z59" i="19"/>
  <c r="AC59" i="19"/>
  <c r="AF59" i="19"/>
  <c r="W59" i="19"/>
  <c r="AS59" i="19"/>
  <c r="M59" i="19"/>
  <c r="AA59" i="19"/>
  <c r="AQ59" i="19"/>
  <c r="L59" i="19"/>
  <c r="AO59" i="19"/>
  <c r="AJ59" i="19"/>
  <c r="Q59" i="19"/>
  <c r="X59" i="19"/>
  <c r="U59" i="19"/>
  <c r="B55" i="37" l="1"/>
  <c r="E55" i="37" s="1"/>
  <c r="I55" i="37"/>
  <c r="F55" i="37"/>
  <c r="H55" i="37"/>
  <c r="G55" i="37"/>
  <c r="C55" i="37"/>
  <c r="D55" i="37" s="1"/>
  <c r="C41" i="56"/>
  <c r="J8" i="15" s="1"/>
  <c r="K8" i="15"/>
  <c r="D54" i="37"/>
  <c r="V54" i="37"/>
  <c r="S54" i="37"/>
  <c r="AJ54" i="37"/>
  <c r="Y54" i="37"/>
  <c r="AF54" i="37"/>
  <c r="AS54" i="37"/>
  <c r="AU54" i="37"/>
  <c r="AD54" i="37"/>
  <c r="AC54" i="37"/>
  <c r="AK54" i="37"/>
  <c r="AE54" i="37"/>
  <c r="L54" i="37"/>
  <c r="AR54" i="37"/>
  <c r="AP54" i="37"/>
  <c r="U54" i="37"/>
  <c r="AI54" i="37"/>
  <c r="AO54" i="37"/>
  <c r="AV54" i="37"/>
  <c r="K54" i="37"/>
  <c r="AH54" i="37"/>
  <c r="AT54" i="37"/>
  <c r="N54" i="37"/>
  <c r="Q54" i="37"/>
  <c r="X54" i="37"/>
  <c r="T54" i="37"/>
  <c r="P54" i="37"/>
  <c r="AA54" i="37"/>
  <c r="Z54" i="37"/>
  <c r="AQ54" i="37"/>
  <c r="AW57" i="37"/>
  <c r="AX57" i="37" s="1"/>
  <c r="A56" i="37"/>
  <c r="H27" i="59"/>
  <c r="I27" i="59" s="1"/>
  <c r="D91" i="32"/>
  <c r="AM92" i="32"/>
  <c r="AN92" i="32"/>
  <c r="AN91" i="32"/>
  <c r="AG92" i="32"/>
  <c r="AL92" i="32"/>
  <c r="W92" i="32"/>
  <c r="AB92" i="32"/>
  <c r="R92" i="32"/>
  <c r="Q91" i="32"/>
  <c r="P91" i="32"/>
  <c r="N91" i="32"/>
  <c r="AX94" i="32"/>
  <c r="AY94" i="32" s="1"/>
  <c r="A93" i="32"/>
  <c r="I92" i="32"/>
  <c r="F92" i="32"/>
  <c r="H92" i="32"/>
  <c r="B92" i="32"/>
  <c r="E92" i="32"/>
  <c r="D92" i="32"/>
  <c r="G92" i="32"/>
  <c r="C92" i="32"/>
  <c r="AO91" i="32"/>
  <c r="AP91" i="32"/>
  <c r="AU91" i="32"/>
  <c r="AV91" i="32"/>
  <c r="AS91" i="32"/>
  <c r="AT91" i="32"/>
  <c r="AR91" i="32"/>
  <c r="AW91" i="32"/>
  <c r="AQ91" i="32"/>
  <c r="I51" i="36"/>
  <c r="J51" i="36"/>
  <c r="F51" i="36"/>
  <c r="H51" i="36"/>
  <c r="G51" i="36"/>
  <c r="G46" i="20"/>
  <c r="C46" i="20"/>
  <c r="F46" i="20"/>
  <c r="B46" i="20"/>
  <c r="I46" i="20" s="1"/>
  <c r="H46" i="20"/>
  <c r="B52" i="36"/>
  <c r="H52" i="36" s="1"/>
  <c r="C52" i="36"/>
  <c r="B46" i="38"/>
  <c r="E46" i="38" s="1"/>
  <c r="H46" i="38"/>
  <c r="G46" i="38"/>
  <c r="F46" i="38"/>
  <c r="C46" i="38"/>
  <c r="E51" i="36"/>
  <c r="X51" i="36"/>
  <c r="W51" i="36"/>
  <c r="AR51" i="36"/>
  <c r="AK51" i="36"/>
  <c r="AJ51" i="36"/>
  <c r="V51" i="36"/>
  <c r="Z51" i="36"/>
  <c r="K51" i="36"/>
  <c r="AP51" i="36"/>
  <c r="U51" i="36"/>
  <c r="AT51" i="36"/>
  <c r="AA51" i="36"/>
  <c r="AF51" i="36"/>
  <c r="AG51" i="36"/>
  <c r="L51" i="36"/>
  <c r="AD51" i="36"/>
  <c r="N51" i="36"/>
  <c r="AB51" i="36"/>
  <c r="AM51" i="36"/>
  <c r="AH51" i="36"/>
  <c r="R51" i="36"/>
  <c r="AU51" i="36"/>
  <c r="Y51" i="36"/>
  <c r="AQ51" i="36"/>
  <c r="AC51" i="36"/>
  <c r="Q51" i="36"/>
  <c r="AL51" i="36"/>
  <c r="AS51" i="36"/>
  <c r="S51" i="36"/>
  <c r="T51" i="36"/>
  <c r="AI51" i="36"/>
  <c r="AO51" i="36"/>
  <c r="P51" i="36"/>
  <c r="AE51" i="36"/>
  <c r="M51" i="36"/>
  <c r="O51" i="36"/>
  <c r="AN51" i="36"/>
  <c r="A73" i="56"/>
  <c r="K48" i="20"/>
  <c r="L48" i="20" s="1"/>
  <c r="A47" i="20"/>
  <c r="AV54" i="36"/>
  <c r="AW54" i="36" s="1"/>
  <c r="A53" i="36"/>
  <c r="K48" i="38"/>
  <c r="L48" i="38" s="1"/>
  <c r="A47" i="38"/>
  <c r="E60" i="19"/>
  <c r="G60" i="19"/>
  <c r="H60" i="19"/>
  <c r="J60" i="19"/>
  <c r="I60" i="19"/>
  <c r="F60" i="19"/>
  <c r="O60" i="19"/>
  <c r="AB60" i="19"/>
  <c r="AI60" i="19"/>
  <c r="AE60" i="19"/>
  <c r="AJ60" i="19"/>
  <c r="M60" i="19"/>
  <c r="AK60" i="19"/>
  <c r="AO60" i="19"/>
  <c r="Y60" i="19"/>
  <c r="AT60" i="19"/>
  <c r="AL60" i="19"/>
  <c r="K60" i="19"/>
  <c r="AC60" i="19"/>
  <c r="Q60" i="19"/>
  <c r="AN60" i="19"/>
  <c r="AU60" i="19"/>
  <c r="AA60" i="19"/>
  <c r="AR60" i="19"/>
  <c r="AS60" i="19"/>
  <c r="S60" i="19"/>
  <c r="W60" i="19"/>
  <c r="Z60" i="19"/>
  <c r="T60" i="19"/>
  <c r="AF60" i="19"/>
  <c r="AH60" i="19"/>
  <c r="AM60" i="19"/>
  <c r="X60" i="19"/>
  <c r="AG60" i="19"/>
  <c r="AQ60" i="19"/>
  <c r="V60" i="19"/>
  <c r="P60" i="19"/>
  <c r="AP60" i="19"/>
  <c r="L60" i="19"/>
  <c r="R60" i="19"/>
  <c r="U60" i="19"/>
  <c r="AD60" i="19"/>
  <c r="N60" i="19"/>
  <c r="AV63" i="19"/>
  <c r="AW63" i="19" s="1"/>
  <c r="A62" i="19"/>
  <c r="C61" i="19"/>
  <c r="B61" i="19"/>
  <c r="H61" i="19" s="1"/>
  <c r="AW58" i="37" l="1"/>
  <c r="AX58" i="37" s="1"/>
  <c r="A57" i="37"/>
  <c r="H26" i="59"/>
  <c r="I26" i="59" s="1"/>
  <c r="C40" i="56"/>
  <c r="H25" i="59" s="1"/>
  <c r="I25" i="59" s="1"/>
  <c r="S55" i="37"/>
  <c r="AU55" i="37"/>
  <c r="V55" i="37"/>
  <c r="Y55" i="37"/>
  <c r="AF55" i="37"/>
  <c r="T55" i="37"/>
  <c r="AD55" i="37"/>
  <c r="AV55" i="37"/>
  <c r="AQ55" i="37"/>
  <c r="AP55" i="37"/>
  <c r="AI55" i="37"/>
  <c r="AR55" i="37"/>
  <c r="AH55" i="37"/>
  <c r="AJ55" i="37"/>
  <c r="AA55" i="37"/>
  <c r="AE55" i="37"/>
  <c r="AK55" i="37"/>
  <c r="U55" i="37"/>
  <c r="Q55" i="37"/>
  <c r="AS55" i="37"/>
  <c r="N55" i="37"/>
  <c r="AT55" i="37"/>
  <c r="AC55" i="37"/>
  <c r="Z55" i="37"/>
  <c r="K55" i="37"/>
  <c r="P55" i="37"/>
  <c r="X55" i="37"/>
  <c r="L55" i="37"/>
  <c r="AO55" i="37"/>
  <c r="I56" i="37"/>
  <c r="B56" i="37"/>
  <c r="E56" i="37" s="1"/>
  <c r="H56" i="37"/>
  <c r="G56" i="37"/>
  <c r="F56" i="37"/>
  <c r="C56" i="37"/>
  <c r="D56" i="37" s="1"/>
  <c r="AM93" i="32"/>
  <c r="AN93" i="32"/>
  <c r="AG93" i="32"/>
  <c r="AL93" i="32"/>
  <c r="W93" i="32"/>
  <c r="AB93" i="32"/>
  <c r="R93" i="32"/>
  <c r="Q92" i="32"/>
  <c r="S92" i="32"/>
  <c r="U92" i="32"/>
  <c r="Y92" i="32"/>
  <c r="AA92" i="32"/>
  <c r="AC92" i="32"/>
  <c r="AE92" i="32"/>
  <c r="AI92" i="32"/>
  <c r="AK92" i="32"/>
  <c r="N92" i="32"/>
  <c r="P92" i="32"/>
  <c r="T92" i="32"/>
  <c r="V92" i="32"/>
  <c r="X92" i="32"/>
  <c r="Z92" i="32"/>
  <c r="AD92" i="32"/>
  <c r="AF92" i="32"/>
  <c r="AH92" i="32"/>
  <c r="AJ92" i="32"/>
  <c r="AU92" i="32"/>
  <c r="AQ92" i="32"/>
  <c r="AR92" i="32"/>
  <c r="AT92" i="32"/>
  <c r="AO92" i="32"/>
  <c r="AP92" i="32"/>
  <c r="AW92" i="32"/>
  <c r="AV92" i="32"/>
  <c r="AS92" i="32"/>
  <c r="I93" i="32"/>
  <c r="F93" i="32"/>
  <c r="H93" i="32"/>
  <c r="E93" i="32"/>
  <c r="G93" i="32"/>
  <c r="D93" i="32"/>
  <c r="B93" i="32"/>
  <c r="C93" i="32"/>
  <c r="AX95" i="32"/>
  <c r="AY95" i="32" s="1"/>
  <c r="A94" i="32"/>
  <c r="D46" i="20"/>
  <c r="I52" i="36"/>
  <c r="F52" i="36"/>
  <c r="D52" i="36"/>
  <c r="I46" i="38"/>
  <c r="D46" i="38"/>
  <c r="J52" i="36"/>
  <c r="E52" i="36"/>
  <c r="E46" i="20"/>
  <c r="G47" i="38"/>
  <c r="C47" i="38"/>
  <c r="F47" i="38"/>
  <c r="B47" i="38"/>
  <c r="I47" i="38" s="1"/>
  <c r="H47" i="38"/>
  <c r="B53" i="36"/>
  <c r="E53" i="36" s="1"/>
  <c r="C53" i="36"/>
  <c r="H47" i="20"/>
  <c r="B47" i="20"/>
  <c r="I47" i="20" s="1"/>
  <c r="C47" i="20"/>
  <c r="G47" i="20"/>
  <c r="F47" i="20"/>
  <c r="A74" i="56"/>
  <c r="G52" i="36"/>
  <c r="W52" i="36"/>
  <c r="AH52" i="36"/>
  <c r="AM52" i="36"/>
  <c r="AJ52" i="36"/>
  <c r="X52" i="36"/>
  <c r="AQ52" i="36"/>
  <c r="Y52" i="36"/>
  <c r="AT52" i="36"/>
  <c r="AB52" i="36"/>
  <c r="U52" i="36"/>
  <c r="V52" i="36"/>
  <c r="Z52" i="36"/>
  <c r="T52" i="36"/>
  <c r="AA52" i="36"/>
  <c r="AP52" i="36"/>
  <c r="K52" i="36"/>
  <c r="P52" i="36"/>
  <c r="AG52" i="36"/>
  <c r="AN52" i="36"/>
  <c r="AF52" i="36"/>
  <c r="O52" i="36"/>
  <c r="AE52" i="36"/>
  <c r="AU52" i="36"/>
  <c r="AS52" i="36"/>
  <c r="Q52" i="36"/>
  <c r="AD52" i="36"/>
  <c r="AL52" i="36"/>
  <c r="AO52" i="36"/>
  <c r="R52" i="36"/>
  <c r="AK52" i="36"/>
  <c r="M52" i="36"/>
  <c r="L52" i="36"/>
  <c r="N52" i="36"/>
  <c r="AI52" i="36"/>
  <c r="AC52" i="36"/>
  <c r="AR52" i="36"/>
  <c r="S52" i="36"/>
  <c r="K49" i="38"/>
  <c r="L49" i="38" s="1"/>
  <c r="A48" i="38"/>
  <c r="AV55" i="36"/>
  <c r="AW55" i="36" s="1"/>
  <c r="A54" i="36"/>
  <c r="K49" i="20"/>
  <c r="L49" i="20" s="1"/>
  <c r="A48" i="20"/>
  <c r="D61" i="19"/>
  <c r="I61" i="19"/>
  <c r="G61" i="19"/>
  <c r="J61" i="19"/>
  <c r="E61" i="19"/>
  <c r="AP61" i="19"/>
  <c r="AH61" i="19"/>
  <c r="Y61" i="19"/>
  <c r="X61" i="19"/>
  <c r="AA61" i="19"/>
  <c r="N61" i="19"/>
  <c r="AD61" i="19"/>
  <c r="AQ61" i="19"/>
  <c r="S61" i="19"/>
  <c r="P61" i="19"/>
  <c r="W61" i="19"/>
  <c r="L61" i="19"/>
  <c r="O61" i="19"/>
  <c r="AT61" i="19"/>
  <c r="R61" i="19"/>
  <c r="Z61" i="19"/>
  <c r="AJ61" i="19"/>
  <c r="V61" i="19"/>
  <c r="AK61" i="19"/>
  <c r="AU61" i="19"/>
  <c r="AL61" i="19"/>
  <c r="Q61" i="19"/>
  <c r="K61" i="19"/>
  <c r="AO61" i="19"/>
  <c r="AF61" i="19"/>
  <c r="AB61" i="19"/>
  <c r="AG61" i="19"/>
  <c r="AE61" i="19"/>
  <c r="AI61" i="19"/>
  <c r="M61" i="19"/>
  <c r="T61" i="19"/>
  <c r="AR61" i="19"/>
  <c r="AN61" i="19"/>
  <c r="U61" i="19"/>
  <c r="AS61" i="19"/>
  <c r="AC61" i="19"/>
  <c r="AM61" i="19"/>
  <c r="C62" i="19"/>
  <c r="B62" i="19"/>
  <c r="D62" i="19" s="1"/>
  <c r="F61" i="19"/>
  <c r="AV64" i="19"/>
  <c r="AW64" i="19" s="1"/>
  <c r="A63" i="19"/>
  <c r="I57" i="37" l="1"/>
  <c r="G57" i="37"/>
  <c r="H57" i="37"/>
  <c r="B57" i="37"/>
  <c r="E57" i="37" s="1"/>
  <c r="F57" i="37"/>
  <c r="C57" i="37"/>
  <c r="D57" i="37" s="1"/>
  <c r="N56" i="37"/>
  <c r="AV56" i="37"/>
  <c r="S56" i="37"/>
  <c r="AS56" i="37"/>
  <c r="AP56" i="37"/>
  <c r="T56" i="37"/>
  <c r="AK56" i="37"/>
  <c r="AQ56" i="37"/>
  <c r="AJ56" i="37"/>
  <c r="K56" i="37"/>
  <c r="AH56" i="37"/>
  <c r="Y56" i="37"/>
  <c r="Z56" i="37"/>
  <c r="V56" i="37"/>
  <c r="U56" i="37"/>
  <c r="AC56" i="37"/>
  <c r="X56" i="37"/>
  <c r="AU56" i="37"/>
  <c r="AF56" i="37"/>
  <c r="AE56" i="37"/>
  <c r="Q56" i="37"/>
  <c r="AO56" i="37"/>
  <c r="AT56" i="37"/>
  <c r="AI56" i="37"/>
  <c r="L56" i="37"/>
  <c r="AD56" i="37"/>
  <c r="AR56" i="37"/>
  <c r="P56" i="37"/>
  <c r="AA56" i="37"/>
  <c r="H92" i="69"/>
  <c r="C39" i="56"/>
  <c r="I8" i="15"/>
  <c r="G92" i="69"/>
  <c r="B16" i="12"/>
  <c r="G92" i="14"/>
  <c r="H92" i="14"/>
  <c r="AW59" i="37"/>
  <c r="AX59" i="37" s="1"/>
  <c r="A58" i="37"/>
  <c r="AX96" i="32"/>
  <c r="AY96" i="32" s="1"/>
  <c r="A95" i="32"/>
  <c r="B94" i="32"/>
  <c r="E94" i="32" s="1"/>
  <c r="H94" i="32"/>
  <c r="C94" i="32"/>
  <c r="G94" i="32"/>
  <c r="F94" i="32"/>
  <c r="I94" i="32"/>
  <c r="X93" i="32"/>
  <c r="AJ93" i="32"/>
  <c r="AS93" i="32"/>
  <c r="AV93" i="32"/>
  <c r="AU93" i="32"/>
  <c r="V93" i="32"/>
  <c r="AI93" i="32"/>
  <c r="U93" i="32"/>
  <c r="AR93" i="32"/>
  <c r="AC93" i="32"/>
  <c r="S93" i="32"/>
  <c r="Q93" i="32"/>
  <c r="AF93" i="32"/>
  <c r="N93" i="32"/>
  <c r="AH93" i="32"/>
  <c r="AD93" i="32"/>
  <c r="Z93" i="32"/>
  <c r="T93" i="32"/>
  <c r="P93" i="32"/>
  <c r="AA93" i="32"/>
  <c r="AK93" i="32"/>
  <c r="AE93" i="32"/>
  <c r="AO93" i="32"/>
  <c r="AQ93" i="32"/>
  <c r="AW93" i="32"/>
  <c r="AP93" i="32"/>
  <c r="AT93" i="32"/>
  <c r="Y93" i="32"/>
  <c r="E47" i="20"/>
  <c r="E47" i="38"/>
  <c r="D53" i="36"/>
  <c r="D47" i="20"/>
  <c r="H53" i="36"/>
  <c r="B48" i="20"/>
  <c r="D48" i="20" s="1"/>
  <c r="H48" i="20"/>
  <c r="G48" i="20"/>
  <c r="C48" i="20"/>
  <c r="F48" i="20"/>
  <c r="B54" i="36"/>
  <c r="H54" i="36" s="1"/>
  <c r="C54" i="36"/>
  <c r="C48" i="38"/>
  <c r="B48" i="38"/>
  <c r="E48" i="38" s="1"/>
  <c r="G48" i="38"/>
  <c r="F48" i="38"/>
  <c r="H48" i="38"/>
  <c r="A75" i="56"/>
  <c r="G53" i="36"/>
  <c r="AH53" i="36"/>
  <c r="AI53" i="36"/>
  <c r="AF53" i="36"/>
  <c r="AC53" i="36"/>
  <c r="AG53" i="36"/>
  <c r="AR53" i="36"/>
  <c r="AO53" i="36"/>
  <c r="T53" i="36"/>
  <c r="AA53" i="36"/>
  <c r="AS53" i="36"/>
  <c r="Y53" i="36"/>
  <c r="N53" i="36"/>
  <c r="K53" i="36"/>
  <c r="AE53" i="36"/>
  <c r="Q53" i="36"/>
  <c r="AP53" i="36"/>
  <c r="AN53" i="36"/>
  <c r="L53" i="36"/>
  <c r="X53" i="36"/>
  <c r="O53" i="36"/>
  <c r="W53" i="36"/>
  <c r="V53" i="36"/>
  <c r="AT53" i="36"/>
  <c r="AL53" i="36"/>
  <c r="AK53" i="36"/>
  <c r="AB53" i="36"/>
  <c r="P53" i="36"/>
  <c r="AM53" i="36"/>
  <c r="R53" i="36"/>
  <c r="M53" i="36"/>
  <c r="AQ53" i="36"/>
  <c r="AD53" i="36"/>
  <c r="S53" i="36"/>
  <c r="AU53" i="36"/>
  <c r="Z53" i="36"/>
  <c r="U53" i="36"/>
  <c r="AJ53" i="36"/>
  <c r="K50" i="20"/>
  <c r="L50" i="20" s="1"/>
  <c r="A49" i="20"/>
  <c r="AV56" i="36"/>
  <c r="AW56" i="36" s="1"/>
  <c r="A55" i="36"/>
  <c r="K50" i="38"/>
  <c r="L50" i="38" s="1"/>
  <c r="A49" i="38"/>
  <c r="J53" i="36"/>
  <c r="F53" i="36"/>
  <c r="I53" i="36"/>
  <c r="D47" i="38"/>
  <c r="J62" i="19"/>
  <c r="G62" i="19"/>
  <c r="F62" i="19"/>
  <c r="E62" i="19"/>
  <c r="I62" i="19"/>
  <c r="AV65" i="19"/>
  <c r="AW65" i="19" s="1"/>
  <c r="A64" i="19"/>
  <c r="H62" i="19"/>
  <c r="AN62" i="19"/>
  <c r="P62" i="19"/>
  <c r="AA62" i="19"/>
  <c r="AM62" i="19"/>
  <c r="AR62" i="19"/>
  <c r="V62" i="19"/>
  <c r="AL62" i="19"/>
  <c r="S62" i="19"/>
  <c r="T62" i="19"/>
  <c r="X62" i="19"/>
  <c r="AQ62" i="19"/>
  <c r="AJ62" i="19"/>
  <c r="Q62" i="19"/>
  <c r="Y62" i="19"/>
  <c r="AU62" i="19"/>
  <c r="AG62" i="19"/>
  <c r="AP62" i="19"/>
  <c r="AE62" i="19"/>
  <c r="AT62" i="19"/>
  <c r="L62" i="19"/>
  <c r="AF62" i="19"/>
  <c r="R62" i="19"/>
  <c r="N62" i="19"/>
  <c r="AC62" i="19"/>
  <c r="AK62" i="19"/>
  <c r="Z62" i="19"/>
  <c r="AD62" i="19"/>
  <c r="AB62" i="19"/>
  <c r="AO62" i="19"/>
  <c r="U62" i="19"/>
  <c r="AS62" i="19"/>
  <c r="M62" i="19"/>
  <c r="W62" i="19"/>
  <c r="AH62" i="19"/>
  <c r="K62" i="19"/>
  <c r="O62" i="19"/>
  <c r="AI62" i="19"/>
  <c r="C63" i="19"/>
  <c r="B63" i="19"/>
  <c r="I63" i="19" s="1"/>
  <c r="H24" i="59" l="1"/>
  <c r="I24" i="59" s="1"/>
  <c r="H8" i="15"/>
  <c r="AW60" i="37"/>
  <c r="AX60" i="37" s="1"/>
  <c r="A59" i="37"/>
  <c r="M59" i="12"/>
  <c r="H26" i="12"/>
  <c r="H28" i="12"/>
  <c r="D26" i="12"/>
  <c r="I25" i="12"/>
  <c r="I28" i="12"/>
  <c r="B28" i="12"/>
  <c r="I26" i="12"/>
  <c r="B23" i="12"/>
  <c r="H22" i="12"/>
  <c r="E26" i="12"/>
  <c r="J28" i="12"/>
  <c r="H25" i="12"/>
  <c r="B26" i="12"/>
  <c r="G28" i="12"/>
  <c r="I27" i="12"/>
  <c r="J23" i="12"/>
  <c r="C23" i="12"/>
  <c r="C26" i="12"/>
  <c r="C22" i="12"/>
  <c r="J25" i="12"/>
  <c r="E25" i="12"/>
  <c r="F25" i="12"/>
  <c r="F22" i="12"/>
  <c r="C25" i="12"/>
  <c r="G22" i="12"/>
  <c r="C27" i="12"/>
  <c r="F27" i="12"/>
  <c r="B27" i="12"/>
  <c r="D24" i="12"/>
  <c r="E24" i="12"/>
  <c r="F24" i="12"/>
  <c r="J24" i="12"/>
  <c r="L59" i="12"/>
  <c r="H24" i="12"/>
  <c r="G23" i="12"/>
  <c r="C28" i="12"/>
  <c r="D28" i="12"/>
  <c r="H23" i="12"/>
  <c r="E28" i="12"/>
  <c r="I24" i="12"/>
  <c r="H27" i="12"/>
  <c r="J26" i="12"/>
  <c r="F26" i="12"/>
  <c r="I23" i="12"/>
  <c r="G26" i="12"/>
  <c r="F28" i="12"/>
  <c r="F23" i="12"/>
  <c r="I22" i="12"/>
  <c r="D23" i="12"/>
  <c r="J22" i="12"/>
  <c r="E23" i="12"/>
  <c r="G25" i="12"/>
  <c r="E22" i="12"/>
  <c r="B25" i="12"/>
  <c r="G27" i="12"/>
  <c r="B22" i="12"/>
  <c r="D25" i="12"/>
  <c r="D22" i="12"/>
  <c r="E27" i="12"/>
  <c r="D27" i="12"/>
  <c r="J27" i="12"/>
  <c r="C24" i="12"/>
  <c r="B24" i="12"/>
  <c r="G24" i="12"/>
  <c r="C38" i="56"/>
  <c r="H23" i="59" s="1"/>
  <c r="I23" i="59" s="1"/>
  <c r="B58" i="37"/>
  <c r="E58" i="37" s="1"/>
  <c r="G58" i="37"/>
  <c r="I58" i="37"/>
  <c r="C58" i="37"/>
  <c r="H58" i="37"/>
  <c r="F58" i="37"/>
  <c r="M59" i="68"/>
  <c r="H28" i="68"/>
  <c r="H27" i="68"/>
  <c r="I28" i="68"/>
  <c r="H26" i="68"/>
  <c r="J28" i="68"/>
  <c r="L59" i="68"/>
  <c r="D28" i="68"/>
  <c r="I26" i="68"/>
  <c r="G28" i="68"/>
  <c r="I27" i="68"/>
  <c r="I24" i="68"/>
  <c r="E25" i="68"/>
  <c r="J23" i="68"/>
  <c r="C23" i="68"/>
  <c r="B25" i="68"/>
  <c r="J25" i="68"/>
  <c r="G26" i="68"/>
  <c r="G25" i="68"/>
  <c r="C25" i="68"/>
  <c r="C27" i="68"/>
  <c r="B24" i="68"/>
  <c r="C22" i="68"/>
  <c r="B27" i="68"/>
  <c r="F24" i="68"/>
  <c r="B22" i="68"/>
  <c r="D22" i="68"/>
  <c r="E23" i="68"/>
  <c r="J26" i="68"/>
  <c r="F26" i="68"/>
  <c r="B23" i="68"/>
  <c r="G22" i="68"/>
  <c r="B26" i="68"/>
  <c r="I25" i="68"/>
  <c r="H23" i="68"/>
  <c r="E28" i="68"/>
  <c r="H22" i="68"/>
  <c r="B28" i="68"/>
  <c r="H25" i="68"/>
  <c r="H24" i="68"/>
  <c r="I22" i="68"/>
  <c r="C28" i="68"/>
  <c r="I23" i="68"/>
  <c r="F28" i="68"/>
  <c r="C24" i="68"/>
  <c r="D24" i="68"/>
  <c r="G23" i="68"/>
  <c r="J24" i="68"/>
  <c r="D27" i="68"/>
  <c r="D25" i="68"/>
  <c r="J27" i="68"/>
  <c r="G27" i="68"/>
  <c r="F25" i="68"/>
  <c r="F23" i="68"/>
  <c r="C26" i="68"/>
  <c r="D26" i="68"/>
  <c r="D23" i="68"/>
  <c r="J22" i="68"/>
  <c r="E26" i="68"/>
  <c r="F27" i="68"/>
  <c r="E24" i="68"/>
  <c r="F22" i="68"/>
  <c r="E27" i="68"/>
  <c r="G24" i="68"/>
  <c r="E22" i="68"/>
  <c r="AC57" i="37"/>
  <c r="V57" i="37"/>
  <c r="Q57" i="37"/>
  <c r="Z57" i="37"/>
  <c r="AS57" i="37"/>
  <c r="AP57" i="37"/>
  <c r="AR57" i="37"/>
  <c r="X57" i="37"/>
  <c r="K57" i="37"/>
  <c r="AK57" i="37"/>
  <c r="AU57" i="37"/>
  <c r="AT57" i="37"/>
  <c r="AE57" i="37"/>
  <c r="AV57" i="37"/>
  <c r="AQ57" i="37"/>
  <c r="S57" i="37"/>
  <c r="AF57" i="37"/>
  <c r="T57" i="37"/>
  <c r="AJ57" i="37"/>
  <c r="AH57" i="37"/>
  <c r="P57" i="37"/>
  <c r="L57" i="37"/>
  <c r="U57" i="37"/>
  <c r="N57" i="37"/>
  <c r="AA57" i="37"/>
  <c r="AO57" i="37"/>
  <c r="AI57" i="37"/>
  <c r="Y57" i="37"/>
  <c r="AD57" i="37"/>
  <c r="E48" i="20"/>
  <c r="D94" i="32"/>
  <c r="AN94" i="32"/>
  <c r="Q94" i="32"/>
  <c r="P94" i="32"/>
  <c r="N94" i="32"/>
  <c r="G95" i="32"/>
  <c r="I95" i="32"/>
  <c r="C95" i="32"/>
  <c r="D95" i="32" s="1"/>
  <c r="H95" i="32"/>
  <c r="B95" i="32"/>
  <c r="E95" i="32" s="1"/>
  <c r="F95" i="32"/>
  <c r="AQ94" i="32"/>
  <c r="AO94" i="32"/>
  <c r="AR94" i="32"/>
  <c r="AS94" i="32"/>
  <c r="AT94" i="32"/>
  <c r="AU94" i="32"/>
  <c r="AW94" i="32"/>
  <c r="AV94" i="32"/>
  <c r="AP94" i="32"/>
  <c r="AX97" i="32"/>
  <c r="AY97" i="32" s="1"/>
  <c r="A96" i="32"/>
  <c r="I48" i="38"/>
  <c r="E54" i="36"/>
  <c r="J54" i="36"/>
  <c r="D48" i="38"/>
  <c r="I54" i="36"/>
  <c r="D54" i="36"/>
  <c r="F54" i="36"/>
  <c r="I48" i="20"/>
  <c r="G54" i="36"/>
  <c r="AR54" i="36"/>
  <c r="W54" i="36"/>
  <c r="X54" i="36"/>
  <c r="AS54" i="36"/>
  <c r="AC54" i="36"/>
  <c r="AD54" i="36"/>
  <c r="AH54" i="36"/>
  <c r="AI54" i="36"/>
  <c r="AL54" i="36"/>
  <c r="Z54" i="36"/>
  <c r="T54" i="36"/>
  <c r="AT54" i="36"/>
  <c r="K54" i="36"/>
  <c r="AA54" i="36"/>
  <c r="AE54" i="36"/>
  <c r="AJ54" i="36"/>
  <c r="P54" i="36"/>
  <c r="AG54" i="36"/>
  <c r="V54" i="36"/>
  <c r="AB54" i="36"/>
  <c r="Q54" i="36"/>
  <c r="AU54" i="36"/>
  <c r="Y54" i="36"/>
  <c r="AO54" i="36"/>
  <c r="N54" i="36"/>
  <c r="AQ54" i="36"/>
  <c r="AK54" i="36"/>
  <c r="AM54" i="36"/>
  <c r="AP54" i="36"/>
  <c r="S54" i="36"/>
  <c r="R54" i="36"/>
  <c r="M54" i="36"/>
  <c r="AN54" i="36"/>
  <c r="AF54" i="36"/>
  <c r="O54" i="36"/>
  <c r="U54" i="36"/>
  <c r="L54" i="36"/>
  <c r="F49" i="38"/>
  <c r="B49" i="38"/>
  <c r="I49" i="38" s="1"/>
  <c r="H49" i="38"/>
  <c r="G49" i="38"/>
  <c r="C49" i="38"/>
  <c r="B55" i="36"/>
  <c r="E55" i="36" s="1"/>
  <c r="C55" i="36"/>
  <c r="B49" i="20"/>
  <c r="D49" i="20" s="1"/>
  <c r="G49" i="20"/>
  <c r="F49" i="20"/>
  <c r="H49" i="20"/>
  <c r="C49" i="20"/>
  <c r="K51" i="38"/>
  <c r="L51" i="38" s="1"/>
  <c r="A50" i="38"/>
  <c r="AV57" i="36"/>
  <c r="AW57" i="36" s="1"/>
  <c r="A56" i="36"/>
  <c r="K51" i="20"/>
  <c r="L51" i="20" s="1"/>
  <c r="A50" i="20"/>
  <c r="A76" i="56"/>
  <c r="D63" i="19"/>
  <c r="E63" i="19"/>
  <c r="H63" i="19"/>
  <c r="F63" i="19"/>
  <c r="G63" i="19"/>
  <c r="AG63" i="19"/>
  <c r="AR63" i="19"/>
  <c r="AC63" i="19"/>
  <c r="Z63" i="19"/>
  <c r="X63" i="19"/>
  <c r="N63" i="19"/>
  <c r="AI63" i="19"/>
  <c r="P63" i="19"/>
  <c r="W63" i="19"/>
  <c r="Q63" i="19"/>
  <c r="AA63" i="19"/>
  <c r="AQ63" i="19"/>
  <c r="AN63" i="19"/>
  <c r="AK63" i="19"/>
  <c r="AF63" i="19"/>
  <c r="AT63" i="19"/>
  <c r="K63" i="19"/>
  <c r="T63" i="19"/>
  <c r="AL63" i="19"/>
  <c r="AS63" i="19"/>
  <c r="V63" i="19"/>
  <c r="AB63" i="19"/>
  <c r="AH63" i="19"/>
  <c r="O63" i="19"/>
  <c r="M63" i="19"/>
  <c r="AU63" i="19"/>
  <c r="R63" i="19"/>
  <c r="L63" i="19"/>
  <c r="S63" i="19"/>
  <c r="AP63" i="19"/>
  <c r="U63" i="19"/>
  <c r="AO63" i="19"/>
  <c r="AE63" i="19"/>
  <c r="AD63" i="19"/>
  <c r="AM63" i="19"/>
  <c r="Y63" i="19"/>
  <c r="AJ63" i="19"/>
  <c r="C64" i="19"/>
  <c r="B64" i="19"/>
  <c r="E64" i="19" s="1"/>
  <c r="J63" i="19"/>
  <c r="AV66" i="19"/>
  <c r="AW66" i="19" s="1"/>
  <c r="A65" i="19"/>
  <c r="K24" i="12" l="1"/>
  <c r="L24" i="12" s="1"/>
  <c r="L58" i="12"/>
  <c r="H58" i="12" s="1"/>
  <c r="L56" i="12"/>
  <c r="H56" i="12" s="1"/>
  <c r="L57" i="12"/>
  <c r="H57" i="12" s="1"/>
  <c r="K26" i="12"/>
  <c r="L26" i="12" s="1"/>
  <c r="G59" i="37"/>
  <c r="C59" i="37"/>
  <c r="D59" i="37" s="1"/>
  <c r="H59" i="37"/>
  <c r="F59" i="37"/>
  <c r="I59" i="37"/>
  <c r="B59" i="37"/>
  <c r="E59" i="37" s="1"/>
  <c r="K26" i="68"/>
  <c r="L26" i="68" s="1"/>
  <c r="K23" i="68"/>
  <c r="L23" i="68" s="1"/>
  <c r="L58" i="68"/>
  <c r="H58" i="68" s="1"/>
  <c r="L56" i="68"/>
  <c r="H56" i="68" s="1"/>
  <c r="L57" i="68"/>
  <c r="H57" i="68" s="1"/>
  <c r="M57" i="68"/>
  <c r="I57" i="68" s="1"/>
  <c r="I69" i="68" s="1"/>
  <c r="M56" i="68"/>
  <c r="I56" i="68" s="1"/>
  <c r="I68" i="68" s="1"/>
  <c r="M58" i="68"/>
  <c r="I58" i="68" s="1"/>
  <c r="I70" i="68" s="1"/>
  <c r="AD58" i="37"/>
  <c r="S58" i="37"/>
  <c r="K58" i="37"/>
  <c r="AH58" i="37"/>
  <c r="AA58" i="37"/>
  <c r="AF58" i="37"/>
  <c r="Q58" i="37"/>
  <c r="AO58" i="37"/>
  <c r="P58" i="37"/>
  <c r="AR58" i="37"/>
  <c r="AJ58" i="37"/>
  <c r="AU58" i="37"/>
  <c r="Y58" i="37"/>
  <c r="AE58" i="37"/>
  <c r="L58" i="37"/>
  <c r="AI58" i="37"/>
  <c r="AT58" i="37"/>
  <c r="AQ58" i="37"/>
  <c r="AC58" i="37"/>
  <c r="AS58" i="37"/>
  <c r="X58" i="37"/>
  <c r="AP58" i="37"/>
  <c r="AV58" i="37"/>
  <c r="V58" i="37"/>
  <c r="Z58" i="37"/>
  <c r="T58" i="37"/>
  <c r="N58" i="37"/>
  <c r="U58" i="37"/>
  <c r="AK58" i="37"/>
  <c r="K28" i="68"/>
  <c r="L28" i="68" s="1"/>
  <c r="K22" i="68"/>
  <c r="L22" i="68" s="1"/>
  <c r="K27" i="68"/>
  <c r="L27" i="68" s="1"/>
  <c r="K24" i="68"/>
  <c r="L24" i="68" s="1"/>
  <c r="K25" i="68"/>
  <c r="L25" i="68" s="1"/>
  <c r="D58" i="37"/>
  <c r="C37" i="56"/>
  <c r="G8" i="15"/>
  <c r="K22" i="12"/>
  <c r="L22" i="12" s="1"/>
  <c r="K25" i="12"/>
  <c r="L25" i="12" s="1"/>
  <c r="K27" i="12"/>
  <c r="L27" i="12" s="1"/>
  <c r="K23" i="12"/>
  <c r="L23" i="12" s="1"/>
  <c r="K28" i="12"/>
  <c r="L28" i="12" s="1"/>
  <c r="M58" i="12"/>
  <c r="I58" i="12" s="1"/>
  <c r="I70" i="12" s="1"/>
  <c r="M57" i="12"/>
  <c r="I57" i="12" s="1"/>
  <c r="I69" i="12" s="1"/>
  <c r="M56" i="12"/>
  <c r="I56" i="12" s="1"/>
  <c r="I68" i="12" s="1"/>
  <c r="AW61" i="37"/>
  <c r="AX61" i="37" s="1"/>
  <c r="A60" i="37"/>
  <c r="AN95" i="32"/>
  <c r="P95" i="32"/>
  <c r="N95" i="32"/>
  <c r="Q95" i="32"/>
  <c r="H96" i="32"/>
  <c r="G96" i="32"/>
  <c r="B96" i="32"/>
  <c r="E96" i="32" s="1"/>
  <c r="C96" i="32"/>
  <c r="I96" i="32"/>
  <c r="F96" i="32"/>
  <c r="AX98" i="32"/>
  <c r="AY98" i="32" s="1"/>
  <c r="A97" i="32"/>
  <c r="AQ95" i="32"/>
  <c r="AV95" i="32"/>
  <c r="AP95" i="32"/>
  <c r="AU95" i="32"/>
  <c r="AS95" i="32"/>
  <c r="AT95" i="32"/>
  <c r="AO95" i="32"/>
  <c r="AR95" i="32"/>
  <c r="AW95" i="32"/>
  <c r="I49" i="20"/>
  <c r="J55" i="36"/>
  <c r="D55" i="36"/>
  <c r="F55" i="36"/>
  <c r="E49" i="20"/>
  <c r="D49" i="38"/>
  <c r="G55" i="36"/>
  <c r="I55" i="36"/>
  <c r="E49" i="38"/>
  <c r="A77" i="56"/>
  <c r="K52" i="20"/>
  <c r="L52" i="20" s="1"/>
  <c r="A51" i="20"/>
  <c r="A57" i="36"/>
  <c r="AV58" i="36"/>
  <c r="AW58" i="36" s="1"/>
  <c r="K52" i="38"/>
  <c r="L52" i="38" s="1"/>
  <c r="A51" i="38"/>
  <c r="H55" i="36"/>
  <c r="R55" i="36"/>
  <c r="L55" i="36"/>
  <c r="AL55" i="36"/>
  <c r="AA55" i="36"/>
  <c r="T55" i="36"/>
  <c r="AH55" i="36"/>
  <c r="AU55" i="36"/>
  <c r="M55" i="36"/>
  <c r="AK55" i="36"/>
  <c r="AB55" i="36"/>
  <c r="Z55" i="36"/>
  <c r="Y55" i="36"/>
  <c r="AJ55" i="36"/>
  <c r="AP55" i="36"/>
  <c r="X55" i="36"/>
  <c r="P55" i="36"/>
  <c r="AO55" i="36"/>
  <c r="AR55" i="36"/>
  <c r="O55" i="36"/>
  <c r="K55" i="36"/>
  <c r="V55" i="36"/>
  <c r="AS55" i="36"/>
  <c r="AQ55" i="36"/>
  <c r="AT55" i="36"/>
  <c r="N55" i="36"/>
  <c r="AD55" i="36"/>
  <c r="AM55" i="36"/>
  <c r="AE55" i="36"/>
  <c r="AG55" i="36"/>
  <c r="U55" i="36"/>
  <c r="AC55" i="36"/>
  <c r="Q55" i="36"/>
  <c r="AF55" i="36"/>
  <c r="S55" i="36"/>
  <c r="AN55" i="36"/>
  <c r="AI55" i="36"/>
  <c r="W55" i="36"/>
  <c r="C50" i="20"/>
  <c r="H50" i="20"/>
  <c r="B50" i="20"/>
  <c r="I50" i="20" s="1"/>
  <c r="F50" i="20"/>
  <c r="G50" i="20"/>
  <c r="C56" i="36"/>
  <c r="B56" i="36"/>
  <c r="H56" i="36" s="1"/>
  <c r="C50" i="38"/>
  <c r="F50" i="38"/>
  <c r="B50" i="38"/>
  <c r="D50" i="38" s="1"/>
  <c r="G50" i="38"/>
  <c r="H50" i="38"/>
  <c r="I64" i="19"/>
  <c r="D64" i="19"/>
  <c r="J64" i="19"/>
  <c r="F64" i="19"/>
  <c r="G64" i="19"/>
  <c r="H64" i="19"/>
  <c r="A66" i="19"/>
  <c r="AV67" i="19"/>
  <c r="AW67" i="19" s="1"/>
  <c r="N64" i="19"/>
  <c r="P64" i="19"/>
  <c r="S64" i="19"/>
  <c r="Y64" i="19"/>
  <c r="AD64" i="19"/>
  <c r="W64" i="19"/>
  <c r="Z64" i="19"/>
  <c r="AH64" i="19"/>
  <c r="AS64" i="19"/>
  <c r="K64" i="19"/>
  <c r="X64" i="19"/>
  <c r="AU64" i="19"/>
  <c r="AJ64" i="19"/>
  <c r="AQ64" i="19"/>
  <c r="L64" i="19"/>
  <c r="AN64" i="19"/>
  <c r="AF64" i="19"/>
  <c r="Q64" i="19"/>
  <c r="AG64" i="19"/>
  <c r="AT64" i="19"/>
  <c r="AR64" i="19"/>
  <c r="M64" i="19"/>
  <c r="AL64" i="19"/>
  <c r="AM64" i="19"/>
  <c r="R64" i="19"/>
  <c r="U64" i="19"/>
  <c r="AO64" i="19"/>
  <c r="O64" i="19"/>
  <c r="AE64" i="19"/>
  <c r="AC64" i="19"/>
  <c r="T64" i="19"/>
  <c r="V64" i="19"/>
  <c r="AB64" i="19"/>
  <c r="AI64" i="19"/>
  <c r="AA64" i="19"/>
  <c r="AK64" i="19"/>
  <c r="AP64" i="19"/>
  <c r="B65" i="19"/>
  <c r="D65" i="19" s="1"/>
  <c r="C65" i="19"/>
  <c r="I71" i="12" l="1"/>
  <c r="I71" i="68"/>
  <c r="AN60" i="37"/>
  <c r="AL60" i="37"/>
  <c r="AB60" i="37"/>
  <c r="R60" i="37"/>
  <c r="H60" i="37"/>
  <c r="B60" i="37"/>
  <c r="AM60" i="37"/>
  <c r="AG60" i="37"/>
  <c r="W60" i="37"/>
  <c r="O60" i="37"/>
  <c r="I60" i="37"/>
  <c r="C60" i="37"/>
  <c r="F60" i="37"/>
  <c r="E60" i="37"/>
  <c r="D60" i="37"/>
  <c r="G60" i="37"/>
  <c r="H22" i="59"/>
  <c r="I22" i="59" s="1"/>
  <c r="C36" i="56"/>
  <c r="H21" i="59" s="1"/>
  <c r="I21" i="59" s="1"/>
  <c r="F8" i="15"/>
  <c r="K57" i="68"/>
  <c r="H69" i="68"/>
  <c r="K69" i="68" s="1"/>
  <c r="H70" i="68"/>
  <c r="K70" i="68" s="1"/>
  <c r="K58" i="68"/>
  <c r="AA59" i="37"/>
  <c r="AD59" i="37"/>
  <c r="AR59" i="37"/>
  <c r="Y59" i="37"/>
  <c r="V59" i="37"/>
  <c r="N59" i="37"/>
  <c r="AJ59" i="37"/>
  <c r="P59" i="37"/>
  <c r="K59" i="37"/>
  <c r="AO59" i="37"/>
  <c r="AI59" i="37"/>
  <c r="Q59" i="37"/>
  <c r="T59" i="37"/>
  <c r="Z59" i="37"/>
  <c r="AV59" i="37"/>
  <c r="L59" i="37"/>
  <c r="U59" i="37"/>
  <c r="AS59" i="37"/>
  <c r="S59" i="37"/>
  <c r="X59" i="37"/>
  <c r="AQ59" i="37"/>
  <c r="AH59" i="37"/>
  <c r="AK59" i="37"/>
  <c r="AC59" i="37"/>
  <c r="AF59" i="37"/>
  <c r="AP59" i="37"/>
  <c r="AE59" i="37"/>
  <c r="AT59" i="37"/>
  <c r="AU59" i="37"/>
  <c r="H68" i="12"/>
  <c r="K56" i="12"/>
  <c r="AW62" i="37"/>
  <c r="AX62" i="37" s="1"/>
  <c r="A61" i="37"/>
  <c r="K56" i="68"/>
  <c r="H68" i="68"/>
  <c r="H69" i="12"/>
  <c r="K69" i="12" s="1"/>
  <c r="K57" i="12"/>
  <c r="H70" i="12"/>
  <c r="K70" i="12" s="1"/>
  <c r="K58" i="12"/>
  <c r="AN96" i="32"/>
  <c r="Q96" i="32"/>
  <c r="P96" i="32"/>
  <c r="N96" i="32"/>
  <c r="B97" i="32"/>
  <c r="E97" i="32" s="1"/>
  <c r="G97" i="32"/>
  <c r="F97" i="32"/>
  <c r="H97" i="32"/>
  <c r="C97" i="32"/>
  <c r="I97" i="32"/>
  <c r="D96" i="32"/>
  <c r="AP96" i="32"/>
  <c r="AV96" i="32"/>
  <c r="AW96" i="32"/>
  <c r="AS96" i="32"/>
  <c r="AT96" i="32"/>
  <c r="AU96" i="32"/>
  <c r="AQ96" i="32"/>
  <c r="AR96" i="32"/>
  <c r="AO96" i="32"/>
  <c r="AX99" i="32"/>
  <c r="AY99" i="32" s="1"/>
  <c r="A98" i="32"/>
  <c r="F56" i="36"/>
  <c r="I56" i="36"/>
  <c r="D50" i="20"/>
  <c r="E56" i="36"/>
  <c r="G56" i="36"/>
  <c r="J56" i="36"/>
  <c r="E50" i="20"/>
  <c r="E50" i="38"/>
  <c r="I50" i="38"/>
  <c r="D56" i="36"/>
  <c r="Q56" i="36"/>
  <c r="N56" i="36"/>
  <c r="V56" i="36"/>
  <c r="U56" i="36"/>
  <c r="AQ56" i="36"/>
  <c r="AP56" i="36"/>
  <c r="AT56" i="36"/>
  <c r="W56" i="36"/>
  <c r="AG56" i="36"/>
  <c r="AJ56" i="36"/>
  <c r="S56" i="36"/>
  <c r="M56" i="36"/>
  <c r="AF56" i="36"/>
  <c r="AR56" i="36"/>
  <c r="L56" i="36"/>
  <c r="AC56" i="36"/>
  <c r="AN56" i="36"/>
  <c r="Y56" i="36"/>
  <c r="X56" i="36"/>
  <c r="AD56" i="36"/>
  <c r="Z56" i="36"/>
  <c r="AE56" i="36"/>
  <c r="AO56" i="36"/>
  <c r="AU56" i="36"/>
  <c r="AH56" i="36"/>
  <c r="AB56" i="36"/>
  <c r="AI56" i="36"/>
  <c r="AM56" i="36"/>
  <c r="O56" i="36"/>
  <c r="AS56" i="36"/>
  <c r="T56" i="36"/>
  <c r="P56" i="36"/>
  <c r="AA56" i="36"/>
  <c r="AK56" i="36"/>
  <c r="AL56" i="36"/>
  <c r="K56" i="36"/>
  <c r="R56" i="36"/>
  <c r="K53" i="38"/>
  <c r="L53" i="38" s="1"/>
  <c r="A52" i="38"/>
  <c r="I57" i="36"/>
  <c r="D57" i="36"/>
  <c r="G57" i="36"/>
  <c r="C57" i="36"/>
  <c r="J57" i="36"/>
  <c r="E57" i="36"/>
  <c r="F57" i="36"/>
  <c r="H57" i="36"/>
  <c r="B57" i="36"/>
  <c r="K53" i="20"/>
  <c r="L53" i="20" s="1"/>
  <c r="A52" i="20"/>
  <c r="A78" i="56"/>
  <c r="C51" i="38"/>
  <c r="B51" i="38"/>
  <c r="D51" i="38" s="1"/>
  <c r="G51" i="38"/>
  <c r="F51" i="38"/>
  <c r="H51" i="38"/>
  <c r="AV59" i="36"/>
  <c r="AW59" i="36" s="1"/>
  <c r="A58" i="36"/>
  <c r="C51" i="20"/>
  <c r="G51" i="20"/>
  <c r="F51" i="20"/>
  <c r="B51" i="20"/>
  <c r="E51" i="20" s="1"/>
  <c r="H51" i="20"/>
  <c r="E65" i="19"/>
  <c r="G65" i="19"/>
  <c r="F65" i="19"/>
  <c r="I65" i="19"/>
  <c r="AU65" i="19"/>
  <c r="AC65" i="19"/>
  <c r="V65" i="19"/>
  <c r="AO65" i="19"/>
  <c r="K65" i="19"/>
  <c r="AN65" i="19"/>
  <c r="W65" i="19"/>
  <c r="AQ65" i="19"/>
  <c r="AJ65" i="19"/>
  <c r="AF65" i="19"/>
  <c r="AL65" i="19"/>
  <c r="Y65" i="19"/>
  <c r="AM65" i="19"/>
  <c r="AK65" i="19"/>
  <c r="R65" i="19"/>
  <c r="Z65" i="19"/>
  <c r="N65" i="19"/>
  <c r="S65" i="19"/>
  <c r="P65" i="19"/>
  <c r="O65" i="19"/>
  <c r="AP65" i="19"/>
  <c r="AI65" i="19"/>
  <c r="AH65" i="19"/>
  <c r="L65" i="19"/>
  <c r="AT65" i="19"/>
  <c r="AG65" i="19"/>
  <c r="AR65" i="19"/>
  <c r="M65" i="19"/>
  <c r="AA65" i="19"/>
  <c r="Q65" i="19"/>
  <c r="AS65" i="19"/>
  <c r="U65" i="19"/>
  <c r="AE65" i="19"/>
  <c r="X65" i="19"/>
  <c r="T65" i="19"/>
  <c r="AD65" i="19"/>
  <c r="AB65" i="19"/>
  <c r="H65" i="19"/>
  <c r="AV68" i="19"/>
  <c r="AW68" i="19" s="1"/>
  <c r="A67" i="19"/>
  <c r="J65" i="19"/>
  <c r="B66" i="19"/>
  <c r="G66" i="19" s="1"/>
  <c r="C66" i="19"/>
  <c r="F63" i="12" l="1"/>
  <c r="B63" i="12"/>
  <c r="D63" i="12"/>
  <c r="E63" i="12"/>
  <c r="G63" i="12"/>
  <c r="J63" i="12"/>
  <c r="C63" i="12"/>
  <c r="E62" i="12"/>
  <c r="G62" i="12"/>
  <c r="B62" i="12"/>
  <c r="D62" i="12"/>
  <c r="F62" i="12"/>
  <c r="J62" i="12"/>
  <c r="C62" i="12"/>
  <c r="K68" i="68"/>
  <c r="H71" i="68"/>
  <c r="K71" i="68" s="1"/>
  <c r="AW63" i="37"/>
  <c r="AX63" i="37" s="1"/>
  <c r="A62" i="37"/>
  <c r="H71" i="12"/>
  <c r="K71" i="12" s="1"/>
  <c r="K68" i="12"/>
  <c r="F62" i="68"/>
  <c r="G62" i="68"/>
  <c r="D62" i="68"/>
  <c r="C62" i="68"/>
  <c r="B62" i="68"/>
  <c r="J62" i="68"/>
  <c r="E62" i="68"/>
  <c r="L60" i="37"/>
  <c r="AT60" i="37"/>
  <c r="AU60" i="37"/>
  <c r="AA60" i="37"/>
  <c r="Q60" i="37"/>
  <c r="V60" i="37"/>
  <c r="AV60" i="37"/>
  <c r="AF60" i="37"/>
  <c r="AE60" i="37"/>
  <c r="Z60" i="37"/>
  <c r="Y60" i="37"/>
  <c r="U60" i="37"/>
  <c r="AO60" i="37"/>
  <c r="N60" i="37"/>
  <c r="AI60" i="37"/>
  <c r="P60" i="37"/>
  <c r="AD60" i="37"/>
  <c r="AS60" i="37"/>
  <c r="AH60" i="37"/>
  <c r="T60" i="37"/>
  <c r="AP60" i="37"/>
  <c r="K60" i="37"/>
  <c r="AC60" i="37"/>
  <c r="AQ60" i="37"/>
  <c r="X60" i="37"/>
  <c r="AJ60" i="37"/>
  <c r="AK60" i="37"/>
  <c r="AR60" i="37"/>
  <c r="S60" i="37"/>
  <c r="J60" i="37"/>
  <c r="M60" i="37"/>
  <c r="D61" i="68"/>
  <c r="G61" i="68"/>
  <c r="B61" i="68"/>
  <c r="J61" i="68"/>
  <c r="E61" i="68"/>
  <c r="F61" i="68"/>
  <c r="C61" i="68"/>
  <c r="AN61" i="37"/>
  <c r="AL61" i="37"/>
  <c r="W61" i="37"/>
  <c r="O61" i="37"/>
  <c r="E61" i="37"/>
  <c r="H61" i="37"/>
  <c r="F61" i="37"/>
  <c r="C61" i="37"/>
  <c r="D61" i="37"/>
  <c r="G61" i="37"/>
  <c r="AM61" i="37"/>
  <c r="AG61" i="37"/>
  <c r="AB61" i="37"/>
  <c r="R61" i="37"/>
  <c r="I61" i="37"/>
  <c r="B61" i="37"/>
  <c r="E61" i="12"/>
  <c r="G61" i="12"/>
  <c r="C61" i="12"/>
  <c r="F61" i="12"/>
  <c r="B61" i="12"/>
  <c r="D61" i="12"/>
  <c r="J61" i="12"/>
  <c r="D63" i="68"/>
  <c r="C63" i="68"/>
  <c r="B63" i="68"/>
  <c r="J63" i="68"/>
  <c r="E63" i="68"/>
  <c r="F63" i="68"/>
  <c r="G63" i="68"/>
  <c r="C35" i="56"/>
  <c r="E8" i="15"/>
  <c r="AN97" i="32"/>
  <c r="D97" i="32"/>
  <c r="P97" i="32"/>
  <c r="N97" i="32"/>
  <c r="Q97" i="32"/>
  <c r="AX100" i="32"/>
  <c r="AY100" i="32" s="1"/>
  <c r="A99" i="32"/>
  <c r="G98" i="32"/>
  <c r="C98" i="32"/>
  <c r="AG98" i="32" s="1"/>
  <c r="H98" i="32"/>
  <c r="B98" i="32"/>
  <c r="E98" i="32" s="1"/>
  <c r="I98" i="32"/>
  <c r="F98" i="32"/>
  <c r="AO97" i="32"/>
  <c r="AT97" i="32"/>
  <c r="AV97" i="32"/>
  <c r="AQ97" i="32"/>
  <c r="AU97" i="32"/>
  <c r="AR97" i="32"/>
  <c r="AP97" i="32"/>
  <c r="AW97" i="32"/>
  <c r="AS97" i="32"/>
  <c r="I51" i="38"/>
  <c r="D51" i="20"/>
  <c r="E51" i="38"/>
  <c r="H58" i="36"/>
  <c r="E58" i="36"/>
  <c r="G58" i="36"/>
  <c r="F58" i="36"/>
  <c r="J58" i="36"/>
  <c r="C58" i="36"/>
  <c r="D58" i="36"/>
  <c r="B58" i="36"/>
  <c r="I58" i="36"/>
  <c r="G52" i="20"/>
  <c r="F52" i="20"/>
  <c r="H52" i="20"/>
  <c r="B52" i="20"/>
  <c r="I52" i="20" s="1"/>
  <c r="C52" i="20"/>
  <c r="K57" i="36"/>
  <c r="U57" i="36"/>
  <c r="AN57" i="36"/>
  <c r="AM57" i="36"/>
  <c r="R57" i="36"/>
  <c r="O57" i="36"/>
  <c r="AH57" i="36"/>
  <c r="T57" i="36"/>
  <c r="AB57" i="36"/>
  <c r="M57" i="36"/>
  <c r="L57" i="36"/>
  <c r="Y57" i="36"/>
  <c r="AK57" i="36"/>
  <c r="AF57" i="36"/>
  <c r="AU57" i="36"/>
  <c r="N57" i="36"/>
  <c r="AL57" i="36"/>
  <c r="P57" i="36"/>
  <c r="V57" i="36"/>
  <c r="AJ57" i="36"/>
  <c r="AG57" i="36"/>
  <c r="AI57" i="36"/>
  <c r="X57" i="36"/>
  <c r="AT57" i="36"/>
  <c r="AC57" i="36"/>
  <c r="Q57" i="36"/>
  <c r="AD57" i="36"/>
  <c r="AO57" i="36"/>
  <c r="W57" i="36"/>
  <c r="AS57" i="36"/>
  <c r="AP57" i="36"/>
  <c r="S57" i="36"/>
  <c r="AE57" i="36"/>
  <c r="AR57" i="36"/>
  <c r="AQ57" i="36"/>
  <c r="AA57" i="36"/>
  <c r="Z57" i="36"/>
  <c r="K54" i="38"/>
  <c r="L54" i="38" s="1"/>
  <c r="A53" i="38"/>
  <c r="I51" i="20"/>
  <c r="AV60" i="36"/>
  <c r="AW60" i="36" s="1"/>
  <c r="A59" i="36"/>
  <c r="K54" i="20"/>
  <c r="L54" i="20" s="1"/>
  <c r="A53" i="20"/>
  <c r="G52" i="38"/>
  <c r="C52" i="38"/>
  <c r="B52" i="38"/>
  <c r="E52" i="38" s="1"/>
  <c r="F52" i="38"/>
  <c r="H52" i="38"/>
  <c r="D66" i="19"/>
  <c r="J66" i="19"/>
  <c r="AA66" i="19"/>
  <c r="AR66" i="19"/>
  <c r="O66" i="19"/>
  <c r="AC66" i="19"/>
  <c r="X66" i="19"/>
  <c r="AT66" i="19"/>
  <c r="W66" i="19"/>
  <c r="Q66" i="19"/>
  <c r="T66" i="19"/>
  <c r="AB66" i="19"/>
  <c r="Y66" i="19"/>
  <c r="N66" i="19"/>
  <c r="AN66" i="19"/>
  <c r="AJ66" i="19"/>
  <c r="K66" i="19"/>
  <c r="AS66" i="19"/>
  <c r="AK66" i="19"/>
  <c r="P66" i="19"/>
  <c r="AO66" i="19"/>
  <c r="AQ66" i="19"/>
  <c r="AE66" i="19"/>
  <c r="AL66" i="19"/>
  <c r="AF66" i="19"/>
  <c r="U66" i="19"/>
  <c r="AU66" i="19"/>
  <c r="M66" i="19"/>
  <c r="AH66" i="19"/>
  <c r="AI66" i="19"/>
  <c r="L66" i="19"/>
  <c r="AD66" i="19"/>
  <c r="AM66" i="19"/>
  <c r="Z66" i="19"/>
  <c r="AG66" i="19"/>
  <c r="V66" i="19"/>
  <c r="S66" i="19"/>
  <c r="R66" i="19"/>
  <c r="AP66" i="19"/>
  <c r="E67" i="19"/>
  <c r="D67" i="19"/>
  <c r="F67" i="19"/>
  <c r="I67" i="19"/>
  <c r="B67" i="19"/>
  <c r="G67" i="19"/>
  <c r="J67" i="19"/>
  <c r="C67" i="19"/>
  <c r="H67" i="19"/>
  <c r="F66" i="19"/>
  <c r="H66" i="19"/>
  <c r="I66" i="19"/>
  <c r="AV69" i="19"/>
  <c r="AW69" i="19" s="1"/>
  <c r="A68" i="19"/>
  <c r="E66" i="19"/>
  <c r="C45" i="56" l="1"/>
  <c r="W98" i="32"/>
  <c r="AB98" i="32"/>
  <c r="AC98" i="32" s="1"/>
  <c r="AD98" i="32" s="1"/>
  <c r="AE98" i="32" s="1"/>
  <c r="AF98" i="32" s="1"/>
  <c r="H20" i="59"/>
  <c r="I20" i="59" s="1"/>
  <c r="D8" i="15"/>
  <c r="C34" i="56"/>
  <c r="K61" i="12"/>
  <c r="H72" i="12"/>
  <c r="H35" i="12" s="1"/>
  <c r="J72" i="12"/>
  <c r="J35" i="12" s="1"/>
  <c r="G72" i="12"/>
  <c r="G35" i="12" s="1"/>
  <c r="C72" i="12"/>
  <c r="C35" i="12" s="1"/>
  <c r="B72" i="12"/>
  <c r="D72" i="12"/>
  <c r="D35" i="12" s="1"/>
  <c r="F72" i="12"/>
  <c r="F35" i="12" s="1"/>
  <c r="E72" i="12"/>
  <c r="E35" i="12" s="1"/>
  <c r="I72" i="12"/>
  <c r="I35" i="12" s="1"/>
  <c r="AW64" i="37"/>
  <c r="AX64" i="37" s="1"/>
  <c r="A63" i="37"/>
  <c r="H72" i="68"/>
  <c r="H35" i="68" s="1"/>
  <c r="H21" i="68" s="1"/>
  <c r="H29" i="68" s="1"/>
  <c r="H30" i="68" s="1"/>
  <c r="C72" i="68"/>
  <c r="C35" i="68" s="1"/>
  <c r="C21" i="68" s="1"/>
  <c r="C29" i="68" s="1"/>
  <c r="C30" i="68" s="1"/>
  <c r="J72" i="68"/>
  <c r="J35" i="68" s="1"/>
  <c r="J21" i="68" s="1"/>
  <c r="J29" i="68" s="1"/>
  <c r="J30" i="68" s="1"/>
  <c r="D72" i="68"/>
  <c r="D35" i="68" s="1"/>
  <c r="D21" i="68" s="1"/>
  <c r="D29" i="68" s="1"/>
  <c r="D30" i="68" s="1"/>
  <c r="B72" i="68"/>
  <c r="F72" i="68"/>
  <c r="F35" i="68" s="1"/>
  <c r="F21" i="68" s="1"/>
  <c r="F29" i="68" s="1"/>
  <c r="F30" i="68" s="1"/>
  <c r="G72" i="68"/>
  <c r="G35" i="68" s="1"/>
  <c r="G21" i="68" s="1"/>
  <c r="G29" i="68" s="1"/>
  <c r="G30" i="68" s="1"/>
  <c r="E72" i="68"/>
  <c r="E35" i="68" s="1"/>
  <c r="E21" i="68" s="1"/>
  <c r="E29" i="68" s="1"/>
  <c r="E30" i="68" s="1"/>
  <c r="I72" i="68"/>
  <c r="I35" i="68" s="1"/>
  <c r="I21" i="68" s="1"/>
  <c r="I29" i="68" s="1"/>
  <c r="I30" i="68" s="1"/>
  <c r="K62" i="12"/>
  <c r="K63" i="12"/>
  <c r="K63" i="68"/>
  <c r="AR61" i="37"/>
  <c r="U61" i="37"/>
  <c r="AK61" i="37"/>
  <c r="AE61" i="37"/>
  <c r="AV61" i="37"/>
  <c r="AP61" i="37"/>
  <c r="X61" i="37"/>
  <c r="AT61" i="37"/>
  <c r="L61" i="37"/>
  <c r="AC61" i="37"/>
  <c r="Y61" i="37"/>
  <c r="T61" i="37"/>
  <c r="V61" i="37"/>
  <c r="AJ61" i="37"/>
  <c r="P61" i="37"/>
  <c r="AA61" i="37"/>
  <c r="AF61" i="37"/>
  <c r="AQ61" i="37"/>
  <c r="AO61" i="37"/>
  <c r="S61" i="37"/>
  <c r="N61" i="37"/>
  <c r="Z61" i="37"/>
  <c r="AS61" i="37"/>
  <c r="AI61" i="37"/>
  <c r="AU61" i="37"/>
  <c r="AH61" i="37"/>
  <c r="K61" i="37"/>
  <c r="Q61" i="37"/>
  <c r="AD61" i="37"/>
  <c r="J61" i="37"/>
  <c r="M61" i="37"/>
  <c r="K61" i="68"/>
  <c r="K62" i="68"/>
  <c r="B62" i="37"/>
  <c r="E62" i="37" s="1"/>
  <c r="F62" i="37"/>
  <c r="I62" i="37"/>
  <c r="C62" i="37"/>
  <c r="G62" i="37"/>
  <c r="H62" i="37"/>
  <c r="AN98" i="32"/>
  <c r="D98" i="32"/>
  <c r="Q98" i="32"/>
  <c r="P98" i="32"/>
  <c r="N98" i="32"/>
  <c r="AT98" i="32"/>
  <c r="AR98" i="32"/>
  <c r="AU98" i="32"/>
  <c r="AS98" i="32"/>
  <c r="AO98" i="32"/>
  <c r="AV98" i="32"/>
  <c r="AQ98" i="32"/>
  <c r="AP98" i="32"/>
  <c r="AW98" i="32"/>
  <c r="B99" i="32"/>
  <c r="E99" i="32" s="1"/>
  <c r="H99" i="32"/>
  <c r="I99" i="32"/>
  <c r="C99" i="32"/>
  <c r="G99" i="32"/>
  <c r="F99" i="32"/>
  <c r="AX101" i="32"/>
  <c r="AY101" i="32" s="1"/>
  <c r="A100" i="32"/>
  <c r="D52" i="20"/>
  <c r="E52" i="20"/>
  <c r="D52" i="38"/>
  <c r="K55" i="20"/>
  <c r="L55" i="20" s="1"/>
  <c r="A54" i="20"/>
  <c r="AV61" i="36"/>
  <c r="AW61" i="36" s="1"/>
  <c r="A60" i="36"/>
  <c r="F53" i="38"/>
  <c r="C53" i="38"/>
  <c r="B53" i="38"/>
  <c r="D53" i="38"/>
  <c r="E53" i="38"/>
  <c r="H53" i="38"/>
  <c r="G53" i="38"/>
  <c r="I53" i="38"/>
  <c r="I52" i="38"/>
  <c r="D53" i="20"/>
  <c r="G53" i="20"/>
  <c r="F53" i="20"/>
  <c r="I53" i="20"/>
  <c r="H53" i="20"/>
  <c r="E53" i="20"/>
  <c r="C53" i="20"/>
  <c r="B53" i="20"/>
  <c r="B59" i="36"/>
  <c r="J59" i="36" s="1"/>
  <c r="C59" i="36"/>
  <c r="K55" i="38"/>
  <c r="L55" i="38" s="1"/>
  <c r="A54" i="38"/>
  <c r="Y58" i="36"/>
  <c r="L58" i="36"/>
  <c r="AM58" i="36"/>
  <c r="AD58" i="36"/>
  <c r="Q58" i="36"/>
  <c r="AU58" i="36"/>
  <c r="M58" i="36"/>
  <c r="AJ58" i="36"/>
  <c r="W58" i="36"/>
  <c r="Z58" i="36"/>
  <c r="AQ58" i="36"/>
  <c r="AA58" i="36"/>
  <c r="AG58" i="36"/>
  <c r="AE58" i="36"/>
  <c r="P58" i="36"/>
  <c r="AH58" i="36"/>
  <c r="AN58" i="36"/>
  <c r="K58" i="36"/>
  <c r="AI58" i="36"/>
  <c r="N58" i="36"/>
  <c r="V58" i="36"/>
  <c r="AL58" i="36"/>
  <c r="AB58" i="36"/>
  <c r="R58" i="36"/>
  <c r="T58" i="36"/>
  <c r="AP58" i="36"/>
  <c r="AS58" i="36"/>
  <c r="AK58" i="36"/>
  <c r="S58" i="36"/>
  <c r="AR58" i="36"/>
  <c r="U58" i="36"/>
  <c r="AT58" i="36"/>
  <c r="X58" i="36"/>
  <c r="AC58" i="36"/>
  <c r="O58" i="36"/>
  <c r="AF58" i="36"/>
  <c r="AO58" i="36"/>
  <c r="Y67" i="19"/>
  <c r="O67" i="19"/>
  <c r="P67" i="19"/>
  <c r="AG67" i="19"/>
  <c r="AJ67" i="19"/>
  <c r="AR67" i="19"/>
  <c r="AK67" i="19"/>
  <c r="S67" i="19"/>
  <c r="M67" i="19"/>
  <c r="AT67" i="19"/>
  <c r="R67" i="19"/>
  <c r="AA67" i="19"/>
  <c r="N67" i="19"/>
  <c r="AP67" i="19"/>
  <c r="U67" i="19"/>
  <c r="AO67" i="19"/>
  <c r="T67" i="19"/>
  <c r="X67" i="19"/>
  <c r="AE67" i="19"/>
  <c r="W67" i="19"/>
  <c r="AS67" i="19"/>
  <c r="AL67" i="19"/>
  <c r="AF67" i="19"/>
  <c r="Z67" i="19"/>
  <c r="V67" i="19"/>
  <c r="AQ67" i="19"/>
  <c r="K67" i="19"/>
  <c r="AU67" i="19"/>
  <c r="AM67" i="19"/>
  <c r="AH67" i="19"/>
  <c r="Q67" i="19"/>
  <c r="AN67" i="19"/>
  <c r="AC67" i="19"/>
  <c r="AD67" i="19"/>
  <c r="AI67" i="19"/>
  <c r="L67" i="19"/>
  <c r="AB67" i="19"/>
  <c r="J68" i="19"/>
  <c r="E68" i="19"/>
  <c r="F68" i="19"/>
  <c r="G68" i="19"/>
  <c r="H68" i="19"/>
  <c r="I68" i="19"/>
  <c r="C68" i="19"/>
  <c r="D68" i="19"/>
  <c r="B68" i="19"/>
  <c r="AV70" i="19"/>
  <c r="AW70" i="19" s="1"/>
  <c r="A69" i="19"/>
  <c r="N8" i="15" l="1"/>
  <c r="X98" i="32"/>
  <c r="Y98" i="32" s="1"/>
  <c r="Z98" i="32" s="1"/>
  <c r="AA98" i="32" s="1"/>
  <c r="K72" i="68"/>
  <c r="B35" i="68"/>
  <c r="B21" i="68" s="1"/>
  <c r="AW65" i="37"/>
  <c r="AX65" i="37" s="1"/>
  <c r="A64" i="37"/>
  <c r="E31" i="67"/>
  <c r="E56" i="69"/>
  <c r="E31" i="66"/>
  <c r="E31" i="17"/>
  <c r="E21" i="12"/>
  <c r="E29" i="12" s="1"/>
  <c r="E56" i="14"/>
  <c r="E31" i="41"/>
  <c r="E46" i="63"/>
  <c r="E36" i="66"/>
  <c r="E48" i="66" s="1"/>
  <c r="E22" i="69"/>
  <c r="E36" i="67"/>
  <c r="E48" i="67" s="1"/>
  <c r="E36" i="17"/>
  <c r="E48" i="17" s="1"/>
  <c r="D21" i="12"/>
  <c r="D29" i="12" s="1"/>
  <c r="E20" i="63"/>
  <c r="E36" i="41"/>
  <c r="E48" i="41" s="1"/>
  <c r="E22" i="14"/>
  <c r="E11" i="69"/>
  <c r="E32" i="66"/>
  <c r="E44" i="66" s="1"/>
  <c r="E32" i="67"/>
  <c r="E44" i="67" s="1"/>
  <c r="E32" i="17"/>
  <c r="E44" i="17" s="1"/>
  <c r="C21" i="12"/>
  <c r="C29" i="12" s="1"/>
  <c r="E11" i="63"/>
  <c r="E32" i="41"/>
  <c r="E44" i="41" s="1"/>
  <c r="E11" i="14"/>
  <c r="E45" i="69"/>
  <c r="E35" i="63"/>
  <c r="E39" i="66"/>
  <c r="E51" i="66" s="1"/>
  <c r="E45" i="14"/>
  <c r="J21" i="12"/>
  <c r="J29" i="12" s="1"/>
  <c r="E39" i="17"/>
  <c r="E51" i="17" s="1"/>
  <c r="D62" i="37"/>
  <c r="AF62" i="37"/>
  <c r="AU62" i="37"/>
  <c r="Z62" i="37"/>
  <c r="AE62" i="37"/>
  <c r="X62" i="37"/>
  <c r="AR62" i="37"/>
  <c r="AT62" i="37"/>
  <c r="AV62" i="37"/>
  <c r="N62" i="37"/>
  <c r="K62" i="37"/>
  <c r="P62" i="37"/>
  <c r="U62" i="37"/>
  <c r="AJ62" i="37"/>
  <c r="AK62" i="37"/>
  <c r="S62" i="37"/>
  <c r="AO62" i="37"/>
  <c r="AD62" i="37"/>
  <c r="AI62" i="37"/>
  <c r="AQ62" i="37"/>
  <c r="AA62" i="37"/>
  <c r="Q62" i="37"/>
  <c r="L62" i="37"/>
  <c r="AP62" i="37"/>
  <c r="AS62" i="37"/>
  <c r="V62" i="37"/>
  <c r="Y62" i="37"/>
  <c r="T62" i="37"/>
  <c r="AH62" i="37"/>
  <c r="AC62" i="37"/>
  <c r="AM63" i="37"/>
  <c r="AG63" i="37"/>
  <c r="W63" i="37"/>
  <c r="O63" i="37"/>
  <c r="C63" i="37"/>
  <c r="G63" i="37"/>
  <c r="D63" i="37"/>
  <c r="E63" i="37"/>
  <c r="AN63" i="37"/>
  <c r="AL63" i="37"/>
  <c r="AB63" i="37"/>
  <c r="R63" i="37"/>
  <c r="B63" i="37"/>
  <c r="H63" i="37"/>
  <c r="F63" i="37"/>
  <c r="I63" i="37"/>
  <c r="E38" i="66"/>
  <c r="E50" i="66" s="1"/>
  <c r="E50" i="14"/>
  <c r="E38" i="67"/>
  <c r="E50" i="67" s="1"/>
  <c r="E50" i="69"/>
  <c r="E38" i="17"/>
  <c r="E50" i="17" s="1"/>
  <c r="I21" i="12"/>
  <c r="I29" i="12" s="1"/>
  <c r="I30" i="12" s="1"/>
  <c r="E38" i="41"/>
  <c r="E50" i="41" s="1"/>
  <c r="E35" i="66"/>
  <c r="E47" i="66" s="1"/>
  <c r="F21" i="12"/>
  <c r="F29" i="12" s="1"/>
  <c r="E63" i="14"/>
  <c r="E35" i="67"/>
  <c r="E47" i="67" s="1"/>
  <c r="E63" i="69"/>
  <c r="E35" i="41"/>
  <c r="E47" i="41" s="1"/>
  <c r="E53" i="63"/>
  <c r="E35" i="17"/>
  <c r="E47" i="17" s="1"/>
  <c r="K72" i="12"/>
  <c r="B35" i="12"/>
  <c r="E33" i="67"/>
  <c r="E33" i="69"/>
  <c r="E33" i="17"/>
  <c r="E45" i="17" s="1"/>
  <c r="E33" i="66"/>
  <c r="E45" i="66" s="1"/>
  <c r="E33" i="14"/>
  <c r="E29" i="63"/>
  <c r="G21" i="12"/>
  <c r="G29" i="12" s="1"/>
  <c r="E37" i="67"/>
  <c r="E49" i="67" s="1"/>
  <c r="E37" i="41"/>
  <c r="E49" i="41" s="1"/>
  <c r="E37" i="66"/>
  <c r="E49" i="66" s="1"/>
  <c r="E37" i="17"/>
  <c r="E49" i="17" s="1"/>
  <c r="H21" i="12"/>
  <c r="H29" i="12" s="1"/>
  <c r="H30" i="12" s="1"/>
  <c r="H19" i="59"/>
  <c r="I19" i="59" s="1"/>
  <c r="C33" i="56"/>
  <c r="H18" i="59" s="1"/>
  <c r="I18" i="59" s="1"/>
  <c r="C24" i="13"/>
  <c r="C22" i="13"/>
  <c r="C21" i="13"/>
  <c r="C19" i="13"/>
  <c r="H82" i="63"/>
  <c r="C23" i="13"/>
  <c r="G82" i="63"/>
  <c r="C20" i="13"/>
  <c r="AM100" i="32"/>
  <c r="AN100" i="32"/>
  <c r="AN99" i="32"/>
  <c r="AG100" i="32"/>
  <c r="AL100" i="32"/>
  <c r="W100" i="32"/>
  <c r="AB100" i="32"/>
  <c r="R100" i="32"/>
  <c r="D99" i="32"/>
  <c r="P99" i="32"/>
  <c r="N99" i="32"/>
  <c r="Q99" i="32"/>
  <c r="G100" i="32"/>
  <c r="F100" i="32"/>
  <c r="H100" i="32"/>
  <c r="D100" i="32"/>
  <c r="I100" i="32"/>
  <c r="B100" i="32"/>
  <c r="E100" i="32"/>
  <c r="C100" i="32"/>
  <c r="AX102" i="32"/>
  <c r="AY102" i="32" s="1"/>
  <c r="A101" i="32"/>
  <c r="AT99" i="32"/>
  <c r="AQ99" i="32"/>
  <c r="AS99" i="32"/>
  <c r="AR99" i="32"/>
  <c r="AW99" i="32"/>
  <c r="AV99" i="32"/>
  <c r="AU99" i="32"/>
  <c r="AO99" i="32"/>
  <c r="AP99" i="32"/>
  <c r="F59" i="36"/>
  <c r="G59" i="36"/>
  <c r="H59" i="36"/>
  <c r="E59" i="36"/>
  <c r="D59" i="36"/>
  <c r="I59" i="36"/>
  <c r="H54" i="38"/>
  <c r="I54" i="38"/>
  <c r="D54" i="38"/>
  <c r="G54" i="38"/>
  <c r="C54" i="38"/>
  <c r="B54" i="38"/>
  <c r="E54" i="38"/>
  <c r="F54" i="38"/>
  <c r="K56" i="38"/>
  <c r="L56" i="38" s="1"/>
  <c r="A55" i="38"/>
  <c r="AB59" i="36"/>
  <c r="W59" i="36"/>
  <c r="V59" i="36"/>
  <c r="AR59" i="36"/>
  <c r="AD59" i="36"/>
  <c r="T59" i="36"/>
  <c r="R59" i="36"/>
  <c r="AN59" i="36"/>
  <c r="AJ59" i="36"/>
  <c r="AA59" i="36"/>
  <c r="AH59" i="36"/>
  <c r="AS59" i="36"/>
  <c r="Q59" i="36"/>
  <c r="N59" i="36"/>
  <c r="M59" i="36"/>
  <c r="AM59" i="36"/>
  <c r="L59" i="36"/>
  <c r="AF59" i="36"/>
  <c r="U59" i="36"/>
  <c r="AU59" i="36"/>
  <c r="S59" i="36"/>
  <c r="AC59" i="36"/>
  <c r="AO59" i="36"/>
  <c r="AP59" i="36"/>
  <c r="K59" i="36"/>
  <c r="Y59" i="36"/>
  <c r="P59" i="36"/>
  <c r="AG59" i="36"/>
  <c r="AI59" i="36"/>
  <c r="X59" i="36"/>
  <c r="O59" i="36"/>
  <c r="Z59" i="36"/>
  <c r="AE59" i="36"/>
  <c r="AK59" i="36"/>
  <c r="AT59" i="36"/>
  <c r="AL59" i="36"/>
  <c r="AQ59" i="36"/>
  <c r="B60" i="36"/>
  <c r="G60" i="36" s="1"/>
  <c r="C60" i="36"/>
  <c r="K56" i="20"/>
  <c r="L56" i="20" s="1"/>
  <c r="A55" i="20"/>
  <c r="AV62" i="36"/>
  <c r="AW62" i="36" s="1"/>
  <c r="A61" i="36"/>
  <c r="B54" i="20"/>
  <c r="I54" i="20"/>
  <c r="F54" i="20"/>
  <c r="C54" i="20"/>
  <c r="H54" i="20"/>
  <c r="E54" i="20"/>
  <c r="D54" i="20"/>
  <c r="G54" i="20"/>
  <c r="Z68" i="19"/>
  <c r="AJ68" i="19"/>
  <c r="AE68" i="19"/>
  <c r="AU68" i="19"/>
  <c r="Q68" i="19"/>
  <c r="X68" i="19"/>
  <c r="AC68" i="19"/>
  <c r="T68" i="19"/>
  <c r="M68" i="19"/>
  <c r="AL68" i="19"/>
  <c r="AP68" i="19"/>
  <c r="AS68" i="19"/>
  <c r="P68" i="19"/>
  <c r="AH68" i="19"/>
  <c r="AI68" i="19"/>
  <c r="V68" i="19"/>
  <c r="N68" i="19"/>
  <c r="AM68" i="19"/>
  <c r="AF68" i="19"/>
  <c r="AB68" i="19"/>
  <c r="R68" i="19"/>
  <c r="AG68" i="19"/>
  <c r="U68" i="19"/>
  <c r="AK68" i="19"/>
  <c r="AN68" i="19"/>
  <c r="W68" i="19"/>
  <c r="AR68" i="19"/>
  <c r="L68" i="19"/>
  <c r="AO68" i="19"/>
  <c r="O68" i="19"/>
  <c r="AQ68" i="19"/>
  <c r="S68" i="19"/>
  <c r="AT68" i="19"/>
  <c r="K68" i="19"/>
  <c r="AA68" i="19"/>
  <c r="AD68" i="19"/>
  <c r="Y68" i="19"/>
  <c r="AV71" i="19"/>
  <c r="AW71" i="19" s="1"/>
  <c r="A70" i="19"/>
  <c r="C69" i="19"/>
  <c r="B69" i="19"/>
  <c r="G69" i="19" s="1"/>
  <c r="C46" i="56" l="1"/>
  <c r="C32" i="56"/>
  <c r="C31" i="56" s="1"/>
  <c r="M104" i="66"/>
  <c r="N104" i="66" s="1"/>
  <c r="M103" i="66"/>
  <c r="N103" i="66" s="1"/>
  <c r="M107" i="66"/>
  <c r="N107" i="66" s="1"/>
  <c r="K49" i="66"/>
  <c r="M102" i="66"/>
  <c r="M105" i="66"/>
  <c r="N105" i="66" s="1"/>
  <c r="M106" i="66"/>
  <c r="N106" i="66" s="1"/>
  <c r="H106" i="66" s="1"/>
  <c r="M103" i="67"/>
  <c r="N103" i="67" s="1"/>
  <c r="H103" i="67" s="1"/>
  <c r="M102" i="67"/>
  <c r="N102" i="67" s="1"/>
  <c r="M105" i="67"/>
  <c r="N105" i="67" s="1"/>
  <c r="H105" i="67" s="1"/>
  <c r="K49" i="67"/>
  <c r="N49" i="67"/>
  <c r="M107" i="67"/>
  <c r="N107" i="67" s="1"/>
  <c r="H107" i="67" s="1"/>
  <c r="M106" i="67"/>
  <c r="N106" i="67" s="1"/>
  <c r="H106" i="67" s="1"/>
  <c r="M104" i="67"/>
  <c r="N104" i="67" s="1"/>
  <c r="H104" i="67" s="1"/>
  <c r="L29" i="63"/>
  <c r="L32" i="63" s="1"/>
  <c r="F79" i="63" s="1"/>
  <c r="K29" i="63"/>
  <c r="K32" i="63" s="1"/>
  <c r="E79" i="63" s="1"/>
  <c r="M77" i="66"/>
  <c r="K45" i="66"/>
  <c r="K33" i="69"/>
  <c r="K42" i="69" s="1"/>
  <c r="E89" i="69" s="1"/>
  <c r="L33" i="69"/>
  <c r="L42" i="69" s="1"/>
  <c r="F89" i="69" s="1"/>
  <c r="E34" i="66"/>
  <c r="E46" i="66" s="1"/>
  <c r="M85" i="66" s="1"/>
  <c r="N85" i="66" s="1"/>
  <c r="E68" i="69"/>
  <c r="E58" i="63"/>
  <c r="E34" i="67"/>
  <c r="E46" i="67" s="1"/>
  <c r="B21" i="12"/>
  <c r="E34" i="41"/>
  <c r="E39" i="41" s="1"/>
  <c r="E51" i="41" s="1"/>
  <c r="E68" i="14"/>
  <c r="E34" i="17"/>
  <c r="E46" i="17" s="1"/>
  <c r="M89" i="17"/>
  <c r="K47" i="17"/>
  <c r="K47" i="41"/>
  <c r="N47" i="41"/>
  <c r="M89" i="41"/>
  <c r="M89" i="67"/>
  <c r="N47" i="67"/>
  <c r="K47" i="67"/>
  <c r="D92" i="69"/>
  <c r="D82" i="63"/>
  <c r="F11" i="13"/>
  <c r="F15" i="13" s="1"/>
  <c r="D92" i="14"/>
  <c r="F30" i="12"/>
  <c r="N50" i="41"/>
  <c r="K50" i="41"/>
  <c r="M110" i="41"/>
  <c r="N110" i="41" s="1"/>
  <c r="H110" i="41" s="1"/>
  <c r="M110" i="17"/>
  <c r="K50" i="17"/>
  <c r="M110" i="67"/>
  <c r="N110" i="67" s="1"/>
  <c r="K50" i="67"/>
  <c r="N50" i="67"/>
  <c r="K50" i="66"/>
  <c r="M110" i="66"/>
  <c r="AO63" i="37"/>
  <c r="AD63" i="37"/>
  <c r="U63" i="37"/>
  <c r="L63" i="37"/>
  <c r="AV63" i="37"/>
  <c r="V63" i="37"/>
  <c r="AI63" i="37"/>
  <c r="AR63" i="37"/>
  <c r="Q63" i="37"/>
  <c r="AC63" i="37"/>
  <c r="AU63" i="37"/>
  <c r="K63" i="37"/>
  <c r="T63" i="37"/>
  <c r="S63" i="37"/>
  <c r="AA63" i="37"/>
  <c r="Z63" i="37"/>
  <c r="AS63" i="37"/>
  <c r="X63" i="37"/>
  <c r="AJ63" i="37"/>
  <c r="AH63" i="37"/>
  <c r="AP63" i="37"/>
  <c r="AF63" i="37"/>
  <c r="AQ63" i="37"/>
  <c r="N63" i="37"/>
  <c r="AE63" i="37"/>
  <c r="Y63" i="37"/>
  <c r="AT63" i="37"/>
  <c r="P63" i="37"/>
  <c r="AK63" i="37"/>
  <c r="M63" i="37"/>
  <c r="J63" i="37"/>
  <c r="D90" i="69"/>
  <c r="J30" i="12"/>
  <c r="D90" i="14"/>
  <c r="H11" i="13"/>
  <c r="H15" i="13" s="1"/>
  <c r="D80" i="63"/>
  <c r="K51" i="66"/>
  <c r="M115" i="66"/>
  <c r="K45" i="69"/>
  <c r="K51" i="69" s="1"/>
  <c r="E90" i="69" s="1"/>
  <c r="L45" i="69"/>
  <c r="L51" i="69" s="1"/>
  <c r="F90" i="69" s="1"/>
  <c r="M70" i="41"/>
  <c r="N44" i="41"/>
  <c r="K44" i="41"/>
  <c r="D87" i="69"/>
  <c r="D87" i="14"/>
  <c r="C11" i="13"/>
  <c r="C15" i="13" s="1"/>
  <c r="D77" i="63"/>
  <c r="C30" i="12"/>
  <c r="N44" i="67"/>
  <c r="K44" i="67"/>
  <c r="M70" i="67"/>
  <c r="K11" i="69"/>
  <c r="K19" i="69" s="1"/>
  <c r="E87" i="69" s="1"/>
  <c r="L11" i="69"/>
  <c r="L19" i="69" s="1"/>
  <c r="F87" i="69" s="1"/>
  <c r="M93" i="41"/>
  <c r="N48" i="41"/>
  <c r="K48" i="41"/>
  <c r="D88" i="69"/>
  <c r="D11" i="13"/>
  <c r="D15" i="13" s="1"/>
  <c r="D30" i="12"/>
  <c r="D78" i="63"/>
  <c r="D88" i="14"/>
  <c r="K48" i="67"/>
  <c r="N48" i="67"/>
  <c r="M93" i="67"/>
  <c r="K48" i="66"/>
  <c r="M93" i="66"/>
  <c r="E43" i="41"/>
  <c r="D91" i="69"/>
  <c r="E11" i="13"/>
  <c r="E15" i="13" s="1"/>
  <c r="D91" i="14"/>
  <c r="D81" i="63"/>
  <c r="E30" i="12"/>
  <c r="E43" i="66"/>
  <c r="E43" i="67"/>
  <c r="AW66" i="37"/>
  <c r="AX66" i="37" s="1"/>
  <c r="A65" i="37"/>
  <c r="M102" i="17"/>
  <c r="K49" i="17"/>
  <c r="M106" i="17"/>
  <c r="N106" i="17" s="1"/>
  <c r="M105" i="17"/>
  <c r="N105" i="17" s="1"/>
  <c r="M104" i="17"/>
  <c r="N104" i="17" s="1"/>
  <c r="M103" i="17"/>
  <c r="N103" i="17" s="1"/>
  <c r="M107" i="17"/>
  <c r="N107" i="17" s="1"/>
  <c r="N49" i="41"/>
  <c r="M107" i="41"/>
  <c r="N107" i="41" s="1"/>
  <c r="H107" i="41" s="1"/>
  <c r="M104" i="41"/>
  <c r="N104" i="41" s="1"/>
  <c r="H104" i="41" s="1"/>
  <c r="K49" i="41"/>
  <c r="M106" i="41"/>
  <c r="N106" i="41" s="1"/>
  <c r="H106" i="41" s="1"/>
  <c r="M103" i="41"/>
  <c r="N103" i="41" s="1"/>
  <c r="H103" i="41" s="1"/>
  <c r="M105" i="41"/>
  <c r="N105" i="41" s="1"/>
  <c r="H105" i="41" s="1"/>
  <c r="M102" i="41"/>
  <c r="N102" i="41" s="1"/>
  <c r="H102" i="41" s="1"/>
  <c r="D89" i="69"/>
  <c r="G11" i="13"/>
  <c r="G15" i="13" s="1"/>
  <c r="D89" i="14"/>
  <c r="G30" i="12"/>
  <c r="D79" i="63"/>
  <c r="K33" i="14"/>
  <c r="K42" i="14" s="1"/>
  <c r="E89" i="14" s="1"/>
  <c r="L33" i="14"/>
  <c r="L42" i="14" s="1"/>
  <c r="F89" i="14" s="1"/>
  <c r="M77" i="17"/>
  <c r="K45" i="17"/>
  <c r="L53" i="63"/>
  <c r="F82" i="63" s="1"/>
  <c r="K53" i="63"/>
  <c r="E82" i="63" s="1"/>
  <c r="K63" i="69"/>
  <c r="E92" i="69" s="1"/>
  <c r="L63" i="69"/>
  <c r="F92" i="69" s="1"/>
  <c r="L63" i="14"/>
  <c r="F92" i="14" s="1"/>
  <c r="K63" i="14"/>
  <c r="E92" i="14" s="1"/>
  <c r="K47" i="66"/>
  <c r="M89" i="66"/>
  <c r="L50" i="69"/>
  <c r="K50" i="69"/>
  <c r="K50" i="14"/>
  <c r="L50" i="14"/>
  <c r="K51" i="17"/>
  <c r="M115" i="17"/>
  <c r="K45" i="14"/>
  <c r="K51" i="14" s="1"/>
  <c r="E90" i="14" s="1"/>
  <c r="L45" i="14"/>
  <c r="L51" i="14" s="1"/>
  <c r="F90" i="14" s="1"/>
  <c r="K35" i="63"/>
  <c r="K41" i="63" s="1"/>
  <c r="E80" i="63" s="1"/>
  <c r="L35" i="63"/>
  <c r="L41" i="63" s="1"/>
  <c r="F80" i="63" s="1"/>
  <c r="L11" i="14"/>
  <c r="L19" i="14" s="1"/>
  <c r="F87" i="14" s="1"/>
  <c r="K11" i="14"/>
  <c r="K19" i="14" s="1"/>
  <c r="E87" i="14" s="1"/>
  <c r="L11" i="63"/>
  <c r="L17" i="63" s="1"/>
  <c r="F77" i="63" s="1"/>
  <c r="K11" i="63"/>
  <c r="K17" i="63" s="1"/>
  <c r="E77" i="63" s="1"/>
  <c r="K44" i="17"/>
  <c r="M70" i="17"/>
  <c r="K44" i="66"/>
  <c r="M70" i="66"/>
  <c r="L22" i="14"/>
  <c r="L30" i="14" s="1"/>
  <c r="F88" i="14" s="1"/>
  <c r="K22" i="14"/>
  <c r="K30" i="14" s="1"/>
  <c r="E88" i="14" s="1"/>
  <c r="K20" i="63"/>
  <c r="K26" i="63" s="1"/>
  <c r="E78" i="63" s="1"/>
  <c r="L20" i="63"/>
  <c r="L26" i="63" s="1"/>
  <c r="F78" i="63" s="1"/>
  <c r="K48" i="17"/>
  <c r="M93" i="17"/>
  <c r="L22" i="69"/>
  <c r="L30" i="69" s="1"/>
  <c r="F88" i="69" s="1"/>
  <c r="K22" i="69"/>
  <c r="K30" i="69" s="1"/>
  <c r="E88" i="69" s="1"/>
  <c r="L46" i="63"/>
  <c r="L49" i="63"/>
  <c r="E50" i="63"/>
  <c r="K48" i="63"/>
  <c r="L47" i="63"/>
  <c r="L48" i="63"/>
  <c r="K46" i="63"/>
  <c r="K47" i="63"/>
  <c r="K49" i="63"/>
  <c r="K56" i="14"/>
  <c r="L59" i="14"/>
  <c r="L58" i="14"/>
  <c r="K58" i="14"/>
  <c r="L56" i="14"/>
  <c r="K57" i="14"/>
  <c r="L57" i="14"/>
  <c r="K59" i="14"/>
  <c r="E60" i="14"/>
  <c r="E43" i="17"/>
  <c r="L59" i="69"/>
  <c r="K59" i="69"/>
  <c r="K58" i="69"/>
  <c r="E60" i="69"/>
  <c r="L56" i="69"/>
  <c r="L57" i="69"/>
  <c r="K57" i="69"/>
  <c r="L58" i="69"/>
  <c r="K56" i="69"/>
  <c r="AN64" i="37"/>
  <c r="AG64" i="37"/>
  <c r="W64" i="37"/>
  <c r="O64" i="37"/>
  <c r="E64" i="37"/>
  <c r="H64" i="37"/>
  <c r="D64" i="37"/>
  <c r="C64" i="37"/>
  <c r="AM64" i="37"/>
  <c r="AL64" i="37"/>
  <c r="AB64" i="37"/>
  <c r="R64" i="37"/>
  <c r="I64" i="37"/>
  <c r="G64" i="37"/>
  <c r="F64" i="37"/>
  <c r="B64" i="37"/>
  <c r="B29" i="68"/>
  <c r="K21" i="68"/>
  <c r="L21" i="68" s="1"/>
  <c r="AM101" i="32"/>
  <c r="AN101" i="32"/>
  <c r="AG101" i="32"/>
  <c r="AL101" i="32"/>
  <c r="W101" i="32"/>
  <c r="AB101" i="32"/>
  <c r="R101" i="32"/>
  <c r="F101" i="32"/>
  <c r="C101" i="32"/>
  <c r="B101" i="32"/>
  <c r="E101" i="32"/>
  <c r="G101" i="32"/>
  <c r="I101" i="32"/>
  <c r="D101" i="32"/>
  <c r="H101" i="32"/>
  <c r="AT100" i="32"/>
  <c r="AF100" i="32"/>
  <c r="AO100" i="32"/>
  <c r="N100" i="32"/>
  <c r="AH100" i="32"/>
  <c r="AE100" i="32"/>
  <c r="Y100" i="32"/>
  <c r="Z100" i="32"/>
  <c r="AK100" i="32"/>
  <c r="T100" i="32"/>
  <c r="AC100" i="32"/>
  <c r="AJ100" i="32"/>
  <c r="AU100" i="32"/>
  <c r="AR100" i="32"/>
  <c r="S100" i="32"/>
  <c r="AD100" i="32"/>
  <c r="Q100" i="32"/>
  <c r="AI100" i="32"/>
  <c r="AQ100" i="32"/>
  <c r="AW100" i="32"/>
  <c r="AA100" i="32"/>
  <c r="U100" i="32"/>
  <c r="AV100" i="32"/>
  <c r="P100" i="32"/>
  <c r="V100" i="32"/>
  <c r="AS100" i="32"/>
  <c r="X100" i="32"/>
  <c r="AP100" i="32"/>
  <c r="AX103" i="32"/>
  <c r="AY103" i="32" s="1"/>
  <c r="A102" i="32"/>
  <c r="D60" i="36"/>
  <c r="AN89" i="67"/>
  <c r="AN95" i="67"/>
  <c r="AN93" i="67"/>
  <c r="AN85" i="67"/>
  <c r="AN64" i="67"/>
  <c r="AN72" i="67"/>
  <c r="AN70" i="67"/>
  <c r="AN78" i="67"/>
  <c r="AN77" i="67"/>
  <c r="AN76" i="67"/>
  <c r="AO76" i="67" s="1"/>
  <c r="AN113" i="67"/>
  <c r="AN116" i="67"/>
  <c r="AN119" i="67"/>
  <c r="AN115" i="67"/>
  <c r="AN90" i="67"/>
  <c r="AN62" i="67"/>
  <c r="AN94" i="67"/>
  <c r="AN98" i="67"/>
  <c r="AN96" i="67"/>
  <c r="AN97" i="67"/>
  <c r="AN83" i="67"/>
  <c r="AN63" i="67"/>
  <c r="AN84" i="67"/>
  <c r="AN71" i="67"/>
  <c r="AN69" i="67"/>
  <c r="AN117" i="67"/>
  <c r="AN118" i="67"/>
  <c r="AN114" i="67"/>
  <c r="E60" i="36"/>
  <c r="H60" i="36"/>
  <c r="K57" i="20"/>
  <c r="L57" i="20" s="1"/>
  <c r="A56" i="20"/>
  <c r="AR60" i="36"/>
  <c r="M60" i="36"/>
  <c r="AA60" i="36"/>
  <c r="K60" i="36"/>
  <c r="Y60" i="36"/>
  <c r="P60" i="36"/>
  <c r="AI60" i="36"/>
  <c r="AC60" i="36"/>
  <c r="AO60" i="36"/>
  <c r="L60" i="36"/>
  <c r="AK60" i="36"/>
  <c r="Q60" i="36"/>
  <c r="AU60" i="36"/>
  <c r="O60" i="36"/>
  <c r="AM60" i="36"/>
  <c r="U60" i="36"/>
  <c r="AH60" i="36"/>
  <c r="X60" i="36"/>
  <c r="AF60" i="36"/>
  <c r="AN60" i="36"/>
  <c r="T60" i="36"/>
  <c r="AL60" i="36"/>
  <c r="AE60" i="36"/>
  <c r="AP60" i="36"/>
  <c r="S60" i="36"/>
  <c r="N60" i="36"/>
  <c r="AS60" i="36"/>
  <c r="V60" i="36"/>
  <c r="AD60" i="36"/>
  <c r="AJ60" i="36"/>
  <c r="AB60" i="36"/>
  <c r="AQ60" i="36"/>
  <c r="AG60" i="36"/>
  <c r="R60" i="36"/>
  <c r="AT60" i="36"/>
  <c r="Z60" i="36"/>
  <c r="W60" i="36"/>
  <c r="AV63" i="36"/>
  <c r="AW63" i="36" s="1"/>
  <c r="A62" i="36"/>
  <c r="B55" i="20"/>
  <c r="D55" i="20" s="1"/>
  <c r="F55" i="20"/>
  <c r="C55" i="20"/>
  <c r="H55" i="20"/>
  <c r="G55" i="20"/>
  <c r="J60" i="36"/>
  <c r="I60" i="36"/>
  <c r="F60" i="36"/>
  <c r="K57" i="38"/>
  <c r="L57" i="38" s="1"/>
  <c r="A56" i="38"/>
  <c r="C61" i="36"/>
  <c r="B61" i="36"/>
  <c r="F61" i="36" s="1"/>
  <c r="AL89" i="17"/>
  <c r="Q89" i="17"/>
  <c r="P89" i="41"/>
  <c r="Z89" i="17"/>
  <c r="Q110" i="17"/>
  <c r="AL110" i="17"/>
  <c r="Z110" i="17"/>
  <c r="P110" i="41"/>
  <c r="C55" i="38"/>
  <c r="F55" i="38"/>
  <c r="B55" i="38"/>
  <c r="D55" i="38" s="1"/>
  <c r="H55" i="38"/>
  <c r="G55" i="38"/>
  <c r="F69" i="19"/>
  <c r="I69" i="19"/>
  <c r="D69" i="19"/>
  <c r="J69" i="19"/>
  <c r="E69" i="19"/>
  <c r="H69" i="19"/>
  <c r="O69" i="19"/>
  <c r="AP69" i="19"/>
  <c r="T69" i="19"/>
  <c r="AN69" i="19"/>
  <c r="AB69" i="19"/>
  <c r="S69" i="19"/>
  <c r="AE69" i="19"/>
  <c r="AI69" i="19"/>
  <c r="M69" i="19"/>
  <c r="V69" i="19"/>
  <c r="Y69" i="19"/>
  <c r="W69" i="19"/>
  <c r="Q69" i="19"/>
  <c r="Z69" i="19"/>
  <c r="AH69" i="19"/>
  <c r="R69" i="19"/>
  <c r="AL69" i="19"/>
  <c r="AA69" i="19"/>
  <c r="AT69" i="19"/>
  <c r="AD69" i="19"/>
  <c r="AR69" i="19"/>
  <c r="AJ69" i="19"/>
  <c r="AO69" i="19"/>
  <c r="U69" i="19"/>
  <c r="AK69" i="19"/>
  <c r="AF69" i="19"/>
  <c r="AC69" i="19"/>
  <c r="AG69" i="19"/>
  <c r="X69" i="19"/>
  <c r="N69" i="19"/>
  <c r="AM69" i="19"/>
  <c r="K69" i="19"/>
  <c r="AU69" i="19"/>
  <c r="P69" i="19"/>
  <c r="AS69" i="19"/>
  <c r="AQ69" i="19"/>
  <c r="L69" i="19"/>
  <c r="B70" i="19"/>
  <c r="D70" i="19" s="1"/>
  <c r="C70" i="19"/>
  <c r="A71" i="19"/>
  <c r="AV72" i="19"/>
  <c r="AW72" i="19" s="1"/>
  <c r="H102" i="67" l="1"/>
  <c r="N108" i="67"/>
  <c r="AU48" i="67" s="1"/>
  <c r="H110" i="67"/>
  <c r="AU49" i="67"/>
  <c r="E39" i="67"/>
  <c r="E51" i="67" s="1"/>
  <c r="E52" i="67" s="1"/>
  <c r="O8" i="15"/>
  <c r="O24" i="15" s="1"/>
  <c r="H17" i="59"/>
  <c r="I17" i="59" s="1"/>
  <c r="E40" i="17"/>
  <c r="K60" i="14"/>
  <c r="E91" i="14" s="1"/>
  <c r="E40" i="66"/>
  <c r="K29" i="68"/>
  <c r="B30" i="68"/>
  <c r="P57" i="69"/>
  <c r="O57" i="69" s="1"/>
  <c r="P59" i="69"/>
  <c r="O59" i="69" s="1"/>
  <c r="P58" i="69"/>
  <c r="O58" i="69" s="1"/>
  <c r="P56" i="69"/>
  <c r="P57" i="14"/>
  <c r="O57" i="14" s="1"/>
  <c r="P59" i="14"/>
  <c r="O59" i="14" s="1"/>
  <c r="P56" i="14"/>
  <c r="P58" i="14"/>
  <c r="O58" i="14" s="1"/>
  <c r="L60" i="14"/>
  <c r="F91" i="14" s="1"/>
  <c r="M100" i="17"/>
  <c r="L48" i="17" s="1"/>
  <c r="M48" i="17" s="1"/>
  <c r="N93" i="17"/>
  <c r="N70" i="66"/>
  <c r="M74" i="66"/>
  <c r="L44" i="66" s="1"/>
  <c r="M44" i="66" s="1"/>
  <c r="N70" i="17"/>
  <c r="M74" i="17"/>
  <c r="L44" i="17" s="1"/>
  <c r="M44" i="17" s="1"/>
  <c r="G24" i="15"/>
  <c r="D24" i="15"/>
  <c r="F24" i="15"/>
  <c r="K24" i="15"/>
  <c r="N24" i="15"/>
  <c r="M24" i="15"/>
  <c r="E24" i="15"/>
  <c r="C24" i="15"/>
  <c r="I24" i="15"/>
  <c r="D12" i="62" s="1"/>
  <c r="J24" i="15"/>
  <c r="L24" i="15"/>
  <c r="H24" i="15"/>
  <c r="M120" i="17"/>
  <c r="L51" i="17" s="1"/>
  <c r="M51" i="17" s="1"/>
  <c r="N115" i="17"/>
  <c r="M91" i="66"/>
  <c r="L47" i="66" s="1"/>
  <c r="M47" i="66" s="1"/>
  <c r="N89" i="66"/>
  <c r="M23" i="15"/>
  <c r="C23" i="15"/>
  <c r="K23" i="15"/>
  <c r="N23" i="15"/>
  <c r="E23" i="15"/>
  <c r="D23" i="15"/>
  <c r="F23" i="15"/>
  <c r="J23" i="15"/>
  <c r="L23" i="15"/>
  <c r="H23" i="15"/>
  <c r="G23" i="15"/>
  <c r="I23" i="15"/>
  <c r="D6" i="62" s="1"/>
  <c r="H13" i="15"/>
  <c r="L13" i="15"/>
  <c r="E13" i="15"/>
  <c r="F13" i="15"/>
  <c r="K13" i="15"/>
  <c r="C13" i="15"/>
  <c r="I13" i="15"/>
  <c r="N13" i="15"/>
  <c r="D13" i="15"/>
  <c r="G13" i="15"/>
  <c r="M13" i="15"/>
  <c r="J13" i="15"/>
  <c r="H103" i="17"/>
  <c r="H105" i="17"/>
  <c r="AW67" i="37"/>
  <c r="AX67" i="37" s="1"/>
  <c r="A66" i="37"/>
  <c r="M64" i="67"/>
  <c r="N64" i="67" s="1"/>
  <c r="H64" i="67" s="1"/>
  <c r="M62" i="67"/>
  <c r="N62" i="67" s="1"/>
  <c r="H62" i="67" s="1"/>
  <c r="K43" i="67"/>
  <c r="M61" i="67"/>
  <c r="M63" i="67"/>
  <c r="N63" i="67" s="1"/>
  <c r="H63" i="67" s="1"/>
  <c r="N43" i="67"/>
  <c r="I15" i="15"/>
  <c r="L15" i="15"/>
  <c r="N15" i="15"/>
  <c r="H15" i="15"/>
  <c r="J15" i="15"/>
  <c r="G15" i="15"/>
  <c r="E15" i="15"/>
  <c r="K15" i="15"/>
  <c r="M15" i="15"/>
  <c r="C15" i="15"/>
  <c r="F15" i="15"/>
  <c r="D15" i="15"/>
  <c r="K43" i="41"/>
  <c r="M64" i="41"/>
  <c r="N64" i="41" s="1"/>
  <c r="H64" i="41" s="1"/>
  <c r="M62" i="41"/>
  <c r="N62" i="41" s="1"/>
  <c r="H62" i="41" s="1"/>
  <c r="N43" i="41"/>
  <c r="M61" i="41"/>
  <c r="M63" i="41"/>
  <c r="N63" i="41" s="1"/>
  <c r="H63" i="41" s="1"/>
  <c r="K12" i="15"/>
  <c r="I12" i="15"/>
  <c r="F12" i="15"/>
  <c r="J12" i="15"/>
  <c r="N12" i="15"/>
  <c r="H12" i="15"/>
  <c r="M12" i="15"/>
  <c r="D12" i="15"/>
  <c r="E12" i="15"/>
  <c r="C12" i="15"/>
  <c r="L12" i="15"/>
  <c r="G12" i="15"/>
  <c r="M74" i="67"/>
  <c r="N70" i="67"/>
  <c r="C11" i="15"/>
  <c r="L11" i="15"/>
  <c r="D11" i="15"/>
  <c r="I11" i="15"/>
  <c r="H11" i="15"/>
  <c r="M11" i="15"/>
  <c r="G11" i="15"/>
  <c r="F11" i="15"/>
  <c r="N11" i="15"/>
  <c r="J11" i="15"/>
  <c r="E11" i="15"/>
  <c r="K11" i="15"/>
  <c r="N70" i="41"/>
  <c r="M74" i="41"/>
  <c r="J16" i="15"/>
  <c r="N16" i="15"/>
  <c r="I16" i="15"/>
  <c r="F16" i="15"/>
  <c r="H16" i="15"/>
  <c r="M16" i="15"/>
  <c r="E16" i="15"/>
  <c r="L16" i="15"/>
  <c r="G16" i="15"/>
  <c r="D16" i="15"/>
  <c r="C16" i="15"/>
  <c r="K16" i="15"/>
  <c r="N89" i="67"/>
  <c r="M91" i="67"/>
  <c r="D8" i="50"/>
  <c r="M81" i="17"/>
  <c r="M84" i="17"/>
  <c r="N84" i="17" s="1"/>
  <c r="M82" i="17"/>
  <c r="N82" i="17" s="1"/>
  <c r="M86" i="17"/>
  <c r="N86" i="17" s="1"/>
  <c r="M83" i="17"/>
  <c r="N83" i="17" s="1"/>
  <c r="M85" i="17"/>
  <c r="N85" i="17" s="1"/>
  <c r="K46" i="17"/>
  <c r="E46" i="41"/>
  <c r="E52" i="41" s="1"/>
  <c r="E40" i="41"/>
  <c r="N46" i="67"/>
  <c r="M83" i="67"/>
  <c r="N83" i="67" s="1"/>
  <c r="H83" i="67" s="1"/>
  <c r="M82" i="67"/>
  <c r="N82" i="67" s="1"/>
  <c r="H82" i="67" s="1"/>
  <c r="M86" i="67"/>
  <c r="N86" i="67" s="1"/>
  <c r="M85" i="67"/>
  <c r="N85" i="67" s="1"/>
  <c r="H85" i="67" s="1"/>
  <c r="M81" i="67"/>
  <c r="M84" i="67"/>
  <c r="N84" i="67" s="1"/>
  <c r="H84" i="67" s="1"/>
  <c r="K46" i="67"/>
  <c r="K72" i="69"/>
  <c r="K68" i="69"/>
  <c r="K69" i="69"/>
  <c r="L71" i="69"/>
  <c r="L72" i="69"/>
  <c r="L68" i="69"/>
  <c r="K70" i="69"/>
  <c r="K71" i="69"/>
  <c r="E73" i="69"/>
  <c r="L69" i="69"/>
  <c r="L70" i="69"/>
  <c r="N102" i="66"/>
  <c r="R107" i="66" s="1"/>
  <c r="M108" i="66"/>
  <c r="L49" i="66" s="1"/>
  <c r="M49" i="66" s="1"/>
  <c r="H107" i="66"/>
  <c r="H104" i="66"/>
  <c r="H16" i="59"/>
  <c r="I16" i="59" s="1"/>
  <c r="C30" i="56"/>
  <c r="AO74" i="67"/>
  <c r="AI64" i="37"/>
  <c r="K64" i="37"/>
  <c r="AJ64" i="37"/>
  <c r="AF64" i="37"/>
  <c r="AH64" i="37"/>
  <c r="AR64" i="37"/>
  <c r="AU64" i="37"/>
  <c r="AC64" i="37"/>
  <c r="X64" i="37"/>
  <c r="AK64" i="37"/>
  <c r="AS64" i="37"/>
  <c r="S64" i="37"/>
  <c r="AD64" i="37"/>
  <c r="AO64" i="37"/>
  <c r="Z64" i="37"/>
  <c r="AA64" i="37"/>
  <c r="N64" i="37"/>
  <c r="T64" i="37"/>
  <c r="Y64" i="37"/>
  <c r="AQ64" i="37"/>
  <c r="Q64" i="37"/>
  <c r="U64" i="37"/>
  <c r="L64" i="37"/>
  <c r="AV64" i="37"/>
  <c r="V64" i="37"/>
  <c r="P64" i="37"/>
  <c r="AT64" i="37"/>
  <c r="AE64" i="37"/>
  <c r="AP64" i="37"/>
  <c r="J64" i="37"/>
  <c r="M64" i="37"/>
  <c r="K60" i="69"/>
  <c r="E91" i="69" s="1"/>
  <c r="L60" i="69"/>
  <c r="F91" i="69" s="1"/>
  <c r="M63" i="17"/>
  <c r="N63" i="17" s="1"/>
  <c r="M64" i="17"/>
  <c r="N64" i="17" s="1"/>
  <c r="K43" i="17"/>
  <c r="E52" i="17"/>
  <c r="M62" i="17"/>
  <c r="N62" i="17" s="1"/>
  <c r="M61" i="17"/>
  <c r="K50" i="63"/>
  <c r="E81" i="63" s="1"/>
  <c r="P48" i="63"/>
  <c r="O48" i="63" s="1"/>
  <c r="P46" i="63"/>
  <c r="P49" i="63"/>
  <c r="O49" i="63" s="1"/>
  <c r="P47" i="63"/>
  <c r="O47" i="63" s="1"/>
  <c r="L50" i="63"/>
  <c r="F81" i="63" s="1"/>
  <c r="M22" i="15"/>
  <c r="H22" i="15"/>
  <c r="L22" i="15"/>
  <c r="E22" i="15"/>
  <c r="D22" i="15"/>
  <c r="F22" i="15"/>
  <c r="N22" i="15"/>
  <c r="G22" i="15"/>
  <c r="K22" i="15"/>
  <c r="C22" i="15"/>
  <c r="I22" i="15"/>
  <c r="D9" i="62" s="1"/>
  <c r="J22" i="15"/>
  <c r="H21" i="15"/>
  <c r="K21" i="15"/>
  <c r="F21" i="15"/>
  <c r="E21" i="15"/>
  <c r="M21" i="15"/>
  <c r="J21" i="15"/>
  <c r="C21" i="15"/>
  <c r="I21" i="15"/>
  <c r="D5" i="62" s="1"/>
  <c r="N21" i="15"/>
  <c r="G21" i="15"/>
  <c r="D21" i="15"/>
  <c r="L21" i="15"/>
  <c r="L26" i="15"/>
  <c r="H26" i="15"/>
  <c r="D26" i="15"/>
  <c r="M26" i="15"/>
  <c r="K26" i="15"/>
  <c r="C26" i="15"/>
  <c r="J26" i="15"/>
  <c r="N26" i="15"/>
  <c r="E26" i="15"/>
  <c r="F26" i="15"/>
  <c r="G26" i="15"/>
  <c r="I26" i="15"/>
  <c r="D8" i="62" s="1"/>
  <c r="M79" i="17"/>
  <c r="L45" i="17" s="1"/>
  <c r="M45" i="17" s="1"/>
  <c r="N77" i="17"/>
  <c r="H107" i="17"/>
  <c r="H104" i="17"/>
  <c r="H106" i="17"/>
  <c r="N102" i="17"/>
  <c r="P106" i="17" s="1"/>
  <c r="M108" i="17"/>
  <c r="L49" i="17" s="1"/>
  <c r="M49" i="17" s="1"/>
  <c r="F65" i="37"/>
  <c r="I65" i="37"/>
  <c r="G65" i="37"/>
  <c r="C65" i="37"/>
  <c r="D65" i="37" s="1"/>
  <c r="H65" i="37"/>
  <c r="B65" i="37"/>
  <c r="E65" i="37" s="1"/>
  <c r="M115" i="67"/>
  <c r="M62" i="66"/>
  <c r="N62" i="66" s="1"/>
  <c r="M61" i="66"/>
  <c r="M63" i="66"/>
  <c r="N63" i="66" s="1"/>
  <c r="E52" i="66"/>
  <c r="K43" i="66"/>
  <c r="M64" i="66"/>
  <c r="N64" i="66" s="1"/>
  <c r="H64" i="66" s="1"/>
  <c r="N51" i="41"/>
  <c r="K51" i="41"/>
  <c r="M115" i="41"/>
  <c r="N93" i="66"/>
  <c r="M100" i="66"/>
  <c r="L48" i="66" s="1"/>
  <c r="M48" i="66" s="1"/>
  <c r="M100" i="67"/>
  <c r="N93" i="67"/>
  <c r="M100" i="41"/>
  <c r="N93" i="41"/>
  <c r="M120" i="66"/>
  <c r="L51" i="66" s="1"/>
  <c r="M51" i="66" s="1"/>
  <c r="N115" i="66"/>
  <c r="D14" i="15"/>
  <c r="H14" i="15"/>
  <c r="L14" i="15"/>
  <c r="F14" i="15"/>
  <c r="K14" i="15"/>
  <c r="J14" i="15"/>
  <c r="I14" i="15"/>
  <c r="E14" i="15"/>
  <c r="N14" i="15"/>
  <c r="C14" i="15"/>
  <c r="M14" i="15"/>
  <c r="G14" i="15"/>
  <c r="N110" i="66"/>
  <c r="L50" i="66"/>
  <c r="M50" i="66" s="1"/>
  <c r="L50" i="17"/>
  <c r="M50" i="17" s="1"/>
  <c r="N110" i="17"/>
  <c r="N89" i="41"/>
  <c r="M91" i="41"/>
  <c r="M91" i="17"/>
  <c r="L47" i="17" s="1"/>
  <c r="M47" i="17" s="1"/>
  <c r="N89" i="17"/>
  <c r="L72" i="14"/>
  <c r="L71" i="14"/>
  <c r="L68" i="14"/>
  <c r="K71" i="14"/>
  <c r="K68" i="14"/>
  <c r="E73" i="14"/>
  <c r="L69" i="14"/>
  <c r="K70" i="14"/>
  <c r="K72" i="14"/>
  <c r="K69" i="14"/>
  <c r="L70" i="14"/>
  <c r="K21" i="12"/>
  <c r="L21" i="12" s="1"/>
  <c r="B29" i="12"/>
  <c r="K61" i="63"/>
  <c r="K58" i="63"/>
  <c r="K59" i="63"/>
  <c r="E63" i="63"/>
  <c r="L58" i="63"/>
  <c r="L59" i="63"/>
  <c r="L62" i="63"/>
  <c r="L61" i="63"/>
  <c r="L60" i="63"/>
  <c r="K60" i="63"/>
  <c r="K62" i="63"/>
  <c r="M81" i="66"/>
  <c r="M82" i="66"/>
  <c r="N82" i="66" s="1"/>
  <c r="M84" i="66"/>
  <c r="N84" i="66" s="1"/>
  <c r="K46" i="66"/>
  <c r="M83" i="66"/>
  <c r="N83" i="66" s="1"/>
  <c r="M86" i="66"/>
  <c r="N86" i="66" s="1"/>
  <c r="H86" i="66" s="1"/>
  <c r="N77" i="66"/>
  <c r="M79" i="66"/>
  <c r="L45" i="66" s="1"/>
  <c r="M45" i="66" s="1"/>
  <c r="H105" i="66"/>
  <c r="H103" i="66"/>
  <c r="T110" i="67"/>
  <c r="W62" i="37" s="1"/>
  <c r="V110" i="67"/>
  <c r="AG62" i="37" s="1"/>
  <c r="X110" i="67"/>
  <c r="AM62" i="37" s="1"/>
  <c r="S110" i="67"/>
  <c r="R62" i="37" s="1"/>
  <c r="AC110" i="67"/>
  <c r="U110" i="67"/>
  <c r="AB62" i="37" s="1"/>
  <c r="W110" i="67"/>
  <c r="AL62" i="37" s="1"/>
  <c r="Y110" i="67"/>
  <c r="AN62" i="37" s="1"/>
  <c r="O62" i="37"/>
  <c r="I102" i="32"/>
  <c r="H102" i="32"/>
  <c r="B102" i="32"/>
  <c r="E102" i="32" s="1"/>
  <c r="F102" i="32"/>
  <c r="G102" i="32"/>
  <c r="C102" i="32"/>
  <c r="AX104" i="32"/>
  <c r="AY104" i="32" s="1"/>
  <c r="A103" i="32"/>
  <c r="AQ101" i="32"/>
  <c r="AV101" i="32"/>
  <c r="AH101" i="32"/>
  <c r="AE101" i="32"/>
  <c r="AF101" i="32"/>
  <c r="AD101" i="32"/>
  <c r="AA101" i="32"/>
  <c r="AT101" i="32"/>
  <c r="P101" i="32"/>
  <c r="S101" i="32"/>
  <c r="V101" i="32"/>
  <c r="AU101" i="32"/>
  <c r="Q101" i="32"/>
  <c r="U101" i="32"/>
  <c r="X101" i="32"/>
  <c r="AK101" i="32"/>
  <c r="AP101" i="32"/>
  <c r="AR101" i="32"/>
  <c r="T101" i="32"/>
  <c r="AW101" i="32"/>
  <c r="Z101" i="32"/>
  <c r="AJ101" i="32"/>
  <c r="AC101" i="32"/>
  <c r="AS101" i="32"/>
  <c r="AI101" i="32"/>
  <c r="AO101" i="32"/>
  <c r="Y101" i="32"/>
  <c r="N101" i="32"/>
  <c r="AN66" i="67"/>
  <c r="AN82" i="67"/>
  <c r="AN81" i="67"/>
  <c r="AN86" i="67"/>
  <c r="AN61" i="67"/>
  <c r="AN65" i="67"/>
  <c r="AO120" i="67"/>
  <c r="AO100" i="67"/>
  <c r="AO91" i="67"/>
  <c r="I55" i="20"/>
  <c r="E61" i="36"/>
  <c r="I61" i="36"/>
  <c r="E55" i="20"/>
  <c r="I55" i="38"/>
  <c r="G61" i="36"/>
  <c r="D61" i="36"/>
  <c r="H61" i="36"/>
  <c r="E55" i="38"/>
  <c r="V110" i="41"/>
  <c r="T110" i="41"/>
  <c r="X110" i="41"/>
  <c r="Q110" i="41"/>
  <c r="M62" i="37" s="1"/>
  <c r="S110" i="41"/>
  <c r="AA110" i="41"/>
  <c r="U110" i="41"/>
  <c r="W110" i="41"/>
  <c r="J62" i="37"/>
  <c r="Y110" i="41"/>
  <c r="AA110" i="17"/>
  <c r="AA89" i="17"/>
  <c r="K58" i="38"/>
  <c r="L58" i="38" s="1"/>
  <c r="A57" i="38"/>
  <c r="AV64" i="36"/>
  <c r="AW64" i="36" s="1"/>
  <c r="A63" i="36"/>
  <c r="K58" i="20"/>
  <c r="L58" i="20" s="1"/>
  <c r="A57" i="20"/>
  <c r="S89" i="41"/>
  <c r="T89" i="41"/>
  <c r="V89" i="41"/>
  <c r="U89" i="41"/>
  <c r="Y89" i="41"/>
  <c r="Q89" i="41"/>
  <c r="M41" i="37" s="1"/>
  <c r="AN89" i="41"/>
  <c r="AA89" i="41"/>
  <c r="X89" i="41"/>
  <c r="W89" i="41"/>
  <c r="J41" i="37"/>
  <c r="J61" i="36"/>
  <c r="AO61" i="36"/>
  <c r="L61" i="36"/>
  <c r="U61" i="36"/>
  <c r="AN61" i="36"/>
  <c r="AF61" i="36"/>
  <c r="AM61" i="36"/>
  <c r="M61" i="36"/>
  <c r="AS61" i="36"/>
  <c r="Y61" i="36"/>
  <c r="T61" i="36"/>
  <c r="AT61" i="36"/>
  <c r="N61" i="36"/>
  <c r="W61" i="36"/>
  <c r="AB61" i="36"/>
  <c r="AL61" i="36"/>
  <c r="Q61" i="36"/>
  <c r="AJ61" i="36"/>
  <c r="AD61" i="36"/>
  <c r="P61" i="36"/>
  <c r="AG61" i="36"/>
  <c r="S61" i="36"/>
  <c r="V61" i="36"/>
  <c r="O61" i="36"/>
  <c r="Z61" i="36"/>
  <c r="AC61" i="36"/>
  <c r="AI61" i="36"/>
  <c r="AP61" i="36"/>
  <c r="AH61" i="36"/>
  <c r="AQ61" i="36"/>
  <c r="AK61" i="36"/>
  <c r="AR61" i="36"/>
  <c r="AA61" i="36"/>
  <c r="AE61" i="36"/>
  <c r="AU61" i="36"/>
  <c r="K61" i="36"/>
  <c r="X61" i="36"/>
  <c r="R61" i="36"/>
  <c r="G56" i="38"/>
  <c r="B56" i="38"/>
  <c r="I56" i="38" s="1"/>
  <c r="H56" i="38"/>
  <c r="F56" i="38"/>
  <c r="C56" i="38"/>
  <c r="C62" i="36"/>
  <c r="B62" i="36"/>
  <c r="B56" i="20"/>
  <c r="D56" i="20" s="1"/>
  <c r="F56" i="20"/>
  <c r="H56" i="20"/>
  <c r="G56" i="20"/>
  <c r="C56" i="20"/>
  <c r="E70" i="19"/>
  <c r="H70" i="19"/>
  <c r="F70" i="19"/>
  <c r="G70" i="19"/>
  <c r="I70" i="19"/>
  <c r="J70" i="19"/>
  <c r="B71" i="19"/>
  <c r="J71" i="19" s="1"/>
  <c r="C71" i="19"/>
  <c r="AK70" i="19"/>
  <c r="AG70" i="19"/>
  <c r="L70" i="19"/>
  <c r="AI70" i="19"/>
  <c r="K70" i="19"/>
  <c r="M70" i="19"/>
  <c r="AE70" i="19"/>
  <c r="Z70" i="19"/>
  <c r="R70" i="19"/>
  <c r="N70" i="19"/>
  <c r="AN70" i="19"/>
  <c r="AA70" i="19"/>
  <c r="AM70" i="19"/>
  <c r="AJ70" i="19"/>
  <c r="AF70" i="19"/>
  <c r="AC70" i="19"/>
  <c r="AH70" i="19"/>
  <c r="AO70" i="19"/>
  <c r="AB70" i="19"/>
  <c r="W70" i="19"/>
  <c r="AT70" i="19"/>
  <c r="AP70" i="19"/>
  <c r="AR70" i="19"/>
  <c r="AQ70" i="19"/>
  <c r="P70" i="19"/>
  <c r="V70" i="19"/>
  <c r="AL70" i="19"/>
  <c r="Y70" i="19"/>
  <c r="Q70" i="19"/>
  <c r="AD70" i="19"/>
  <c r="S70" i="19"/>
  <c r="AS70" i="19"/>
  <c r="O70" i="19"/>
  <c r="T70" i="19"/>
  <c r="X70" i="19"/>
  <c r="U70" i="19"/>
  <c r="AU70" i="19"/>
  <c r="A72" i="19"/>
  <c r="AV73" i="19"/>
  <c r="AW73" i="19" s="1"/>
  <c r="K51" i="67" l="1"/>
  <c r="K52" i="67" s="1"/>
  <c r="M39" i="67" s="1"/>
  <c r="M41" i="67" s="1"/>
  <c r="N51" i="67"/>
  <c r="O22" i="15"/>
  <c r="R105" i="66"/>
  <c r="E40" i="67"/>
  <c r="O14" i="15"/>
  <c r="O21" i="15"/>
  <c r="O26" i="15"/>
  <c r="O15" i="15"/>
  <c r="O11" i="15"/>
  <c r="O16" i="15"/>
  <c r="O13" i="15"/>
  <c r="O12" i="15"/>
  <c r="O23" i="15"/>
  <c r="R115" i="66"/>
  <c r="R113" i="66"/>
  <c r="R117" i="66"/>
  <c r="R119" i="66"/>
  <c r="R118" i="66"/>
  <c r="R116" i="66"/>
  <c r="R114" i="66"/>
  <c r="R104" i="66"/>
  <c r="H84" i="17"/>
  <c r="K52" i="17"/>
  <c r="R103" i="66"/>
  <c r="H83" i="66"/>
  <c r="H84" i="66"/>
  <c r="N81" i="66"/>
  <c r="P60" i="63"/>
  <c r="O60" i="63" s="1"/>
  <c r="P59" i="63"/>
  <c r="O59" i="63" s="1"/>
  <c r="P58" i="63"/>
  <c r="P61" i="63"/>
  <c r="O61" i="63" s="1"/>
  <c r="P62" i="63"/>
  <c r="O62" i="63" s="1"/>
  <c r="K63" i="63"/>
  <c r="E83" i="63" s="1"/>
  <c r="D93" i="69"/>
  <c r="B11" i="13"/>
  <c r="B15" i="13" s="1"/>
  <c r="D93" i="14"/>
  <c r="K29" i="12"/>
  <c r="B30" i="12"/>
  <c r="D83" i="63"/>
  <c r="K73" i="14"/>
  <c r="E93" i="14" s="1"/>
  <c r="L73" i="14"/>
  <c r="F93" i="14" s="1"/>
  <c r="N91" i="41"/>
  <c r="H89" i="41"/>
  <c r="O17" i="22"/>
  <c r="H110" i="66"/>
  <c r="R110" i="66"/>
  <c r="N120" i="66"/>
  <c r="O18" i="22"/>
  <c r="H115" i="66"/>
  <c r="N100" i="41"/>
  <c r="H93" i="41"/>
  <c r="H98" i="41" s="1"/>
  <c r="H93" i="67"/>
  <c r="H98" i="67" s="1"/>
  <c r="N100" i="67"/>
  <c r="AU47" i="67" s="1"/>
  <c r="M120" i="41"/>
  <c r="N115" i="41"/>
  <c r="N61" i="66"/>
  <c r="R63" i="66" s="1"/>
  <c r="M67" i="66"/>
  <c r="L43" i="66" s="1"/>
  <c r="M43" i="66" s="1"/>
  <c r="M120" i="67"/>
  <c r="N115" i="67"/>
  <c r="AR65" i="37"/>
  <c r="Z65" i="37"/>
  <c r="AA65" i="37"/>
  <c r="AV65" i="37"/>
  <c r="T65" i="37"/>
  <c r="AF65" i="37"/>
  <c r="AH65" i="37"/>
  <c r="P65" i="37"/>
  <c r="AC65" i="37"/>
  <c r="N65" i="37"/>
  <c r="AO65" i="37"/>
  <c r="V65" i="37"/>
  <c r="X65" i="37"/>
  <c r="AK65" i="37"/>
  <c r="Y65" i="37"/>
  <c r="U65" i="37"/>
  <c r="AS65" i="37"/>
  <c r="AD65" i="37"/>
  <c r="L65" i="37"/>
  <c r="AE65" i="37"/>
  <c r="AQ65" i="37"/>
  <c r="Q65" i="37"/>
  <c r="AP65" i="37"/>
  <c r="AI65" i="37"/>
  <c r="AJ65" i="37"/>
  <c r="AU65" i="37"/>
  <c r="K65" i="37"/>
  <c r="S65" i="37"/>
  <c r="AT65" i="37"/>
  <c r="N108" i="17"/>
  <c r="H102" i="17"/>
  <c r="J16" i="22"/>
  <c r="P102" i="17"/>
  <c r="M67" i="17"/>
  <c r="L43" i="17" s="1"/>
  <c r="M43" i="17" s="1"/>
  <c r="N61" i="17"/>
  <c r="P64" i="17" s="1"/>
  <c r="H64" i="17"/>
  <c r="H15" i="59"/>
  <c r="I15" i="59" s="1"/>
  <c r="C29" i="56"/>
  <c r="C28" i="56" s="1"/>
  <c r="R107" i="67"/>
  <c r="V107" i="66"/>
  <c r="AG59" i="32" s="1"/>
  <c r="Y107" i="66"/>
  <c r="AN59" i="32" s="1"/>
  <c r="X107" i="66"/>
  <c r="AM59" i="32" s="1"/>
  <c r="S107" i="66"/>
  <c r="R59" i="32" s="1"/>
  <c r="AC107" i="66"/>
  <c r="U107" i="66"/>
  <c r="AB59" i="32" s="1"/>
  <c r="T107" i="66"/>
  <c r="W59" i="32" s="1"/>
  <c r="W107" i="66"/>
  <c r="AL59" i="32" s="1"/>
  <c r="P72" i="69"/>
  <c r="O72" i="69" s="1"/>
  <c r="P69" i="69"/>
  <c r="O69" i="69" s="1"/>
  <c r="P71" i="69"/>
  <c r="O71" i="69" s="1"/>
  <c r="P70" i="69"/>
  <c r="O70" i="69" s="1"/>
  <c r="P68" i="69"/>
  <c r="K46" i="41"/>
  <c r="K52" i="41" s="1"/>
  <c r="M39" i="41" s="1"/>
  <c r="M41" i="41" s="1"/>
  <c r="M85" i="41"/>
  <c r="N85" i="41" s="1"/>
  <c r="H85" i="41" s="1"/>
  <c r="M81" i="41"/>
  <c r="M86" i="41"/>
  <c r="N86" i="41" s="1"/>
  <c r="N46" i="41"/>
  <c r="M83" i="41"/>
  <c r="N83" i="41" s="1"/>
  <c r="H83" i="41" s="1"/>
  <c r="M82" i="41"/>
  <c r="N82" i="41" s="1"/>
  <c r="H82" i="41" s="1"/>
  <c r="M84" i="41"/>
  <c r="N84" i="41" s="1"/>
  <c r="H84" i="41" s="1"/>
  <c r="H85" i="17"/>
  <c r="D19" i="50"/>
  <c r="N19" i="50" s="1"/>
  <c r="D20" i="50"/>
  <c r="N20" i="50" s="1"/>
  <c r="N91" i="67"/>
  <c r="AU46" i="67" s="1"/>
  <c r="H89" i="67"/>
  <c r="H66" i="37"/>
  <c r="G66" i="37"/>
  <c r="F66" i="37"/>
  <c r="C66" i="37"/>
  <c r="D66" i="37" s="1"/>
  <c r="I66" i="37"/>
  <c r="B66" i="37"/>
  <c r="E66" i="37" s="1"/>
  <c r="P105" i="17"/>
  <c r="R90" i="66"/>
  <c r="N91" i="66"/>
  <c r="H89" i="66"/>
  <c r="R89" i="66"/>
  <c r="O14" i="22"/>
  <c r="P113" i="17"/>
  <c r="P115" i="17"/>
  <c r="P119" i="17"/>
  <c r="P116" i="17"/>
  <c r="J18" i="22"/>
  <c r="H115" i="17"/>
  <c r="N120" i="17"/>
  <c r="P114" i="17"/>
  <c r="P118" i="17"/>
  <c r="P117" i="17"/>
  <c r="P70" i="17"/>
  <c r="P73" i="17"/>
  <c r="P72" i="17"/>
  <c r="H70" i="17"/>
  <c r="N74" i="17"/>
  <c r="P69" i="17"/>
  <c r="P71" i="17"/>
  <c r="R69" i="66"/>
  <c r="R72" i="66"/>
  <c r="N74" i="66"/>
  <c r="H70" i="66"/>
  <c r="O11" i="22"/>
  <c r="R73" i="66"/>
  <c r="R70" i="66"/>
  <c r="R71" i="66"/>
  <c r="P60" i="69"/>
  <c r="H91" i="69" s="1"/>
  <c r="O56" i="69"/>
  <c r="O60" i="69" s="1"/>
  <c r="G91" i="69" s="1"/>
  <c r="O12" i="22"/>
  <c r="N79" i="66"/>
  <c r="R78" i="66"/>
  <c r="R76" i="66"/>
  <c r="R77" i="66"/>
  <c r="H77" i="66"/>
  <c r="H82" i="66"/>
  <c r="L63" i="63"/>
  <c r="F83" i="63" s="1"/>
  <c r="P68" i="14"/>
  <c r="P69" i="14"/>
  <c r="O69" i="14" s="1"/>
  <c r="P72" i="14"/>
  <c r="O72" i="14" s="1"/>
  <c r="P70" i="14"/>
  <c r="O70" i="14" s="1"/>
  <c r="P71" i="14"/>
  <c r="O71" i="14" s="1"/>
  <c r="H89" i="17"/>
  <c r="J14" i="22"/>
  <c r="P90" i="17"/>
  <c r="N91" i="17"/>
  <c r="H110" i="17"/>
  <c r="J17" i="22"/>
  <c r="O15" i="22"/>
  <c r="R96" i="66"/>
  <c r="N100" i="66"/>
  <c r="R93" i="66"/>
  <c r="R98" i="66"/>
  <c r="R99" i="66"/>
  <c r="R95" i="66"/>
  <c r="R97" i="66"/>
  <c r="R94" i="66"/>
  <c r="H93" i="66"/>
  <c r="K52" i="66"/>
  <c r="H63" i="66"/>
  <c r="H62" i="66"/>
  <c r="Q106" i="17"/>
  <c r="P106" i="41"/>
  <c r="Z106" i="17"/>
  <c r="AA106" i="17" s="1"/>
  <c r="AL106" i="17"/>
  <c r="P104" i="17"/>
  <c r="P107" i="17"/>
  <c r="P77" i="17"/>
  <c r="P76" i="17"/>
  <c r="P78" i="17"/>
  <c r="H77" i="17"/>
  <c r="J12" i="22"/>
  <c r="N79" i="17"/>
  <c r="P50" i="63"/>
  <c r="H81" i="63" s="1"/>
  <c r="O46" i="63"/>
  <c r="O50" i="63" s="1"/>
  <c r="G81" i="63" s="1"/>
  <c r="H62" i="17"/>
  <c r="H63" i="17"/>
  <c r="R106" i="66"/>
  <c r="R102" i="66"/>
  <c r="N108" i="66"/>
  <c r="O16" i="22"/>
  <c r="H102" i="66"/>
  <c r="L73" i="69"/>
  <c r="F93" i="69" s="1"/>
  <c r="K73" i="69"/>
  <c r="E93" i="69" s="1"/>
  <c r="N81" i="67"/>
  <c r="M87" i="67"/>
  <c r="H83" i="17"/>
  <c r="H82" i="17"/>
  <c r="M87" i="17"/>
  <c r="L46" i="17" s="1"/>
  <c r="M46" i="17" s="1"/>
  <c r="N81" i="17"/>
  <c r="P84" i="17" s="1"/>
  <c r="H70" i="41"/>
  <c r="N74" i="41"/>
  <c r="N74" i="67"/>
  <c r="AU43" i="67" s="1"/>
  <c r="H70" i="67"/>
  <c r="N61" i="41"/>
  <c r="M67" i="41"/>
  <c r="N61" i="67"/>
  <c r="M67" i="67"/>
  <c r="AW68" i="37"/>
  <c r="AX68" i="37" s="1"/>
  <c r="A67" i="37"/>
  <c r="P103" i="17"/>
  <c r="H93" i="17"/>
  <c r="P99" i="17"/>
  <c r="P93" i="17"/>
  <c r="J15" i="22"/>
  <c r="P95" i="17"/>
  <c r="P97" i="17"/>
  <c r="N100" i="17"/>
  <c r="P96" i="17"/>
  <c r="P98" i="17"/>
  <c r="P94" i="17"/>
  <c r="M25" i="15"/>
  <c r="H25" i="15"/>
  <c r="G25" i="15"/>
  <c r="F25" i="15"/>
  <c r="L25" i="15"/>
  <c r="C25" i="15"/>
  <c r="J25" i="15"/>
  <c r="N25" i="15"/>
  <c r="E25" i="15"/>
  <c r="I25" i="15"/>
  <c r="K25" i="15"/>
  <c r="O25" i="15"/>
  <c r="D25" i="15"/>
  <c r="P60" i="14"/>
  <c r="H91" i="14" s="1"/>
  <c r="O56" i="14"/>
  <c r="O60" i="14" s="1"/>
  <c r="G91" i="14" s="1"/>
  <c r="K30" i="68"/>
  <c r="L29" i="68"/>
  <c r="AE110" i="67"/>
  <c r="AG110" i="67"/>
  <c r="AI110" i="67"/>
  <c r="AD110" i="67"/>
  <c r="AF110" i="67"/>
  <c r="AH110" i="67"/>
  <c r="AJ110" i="67"/>
  <c r="AN102" i="32"/>
  <c r="Q102" i="32"/>
  <c r="P102" i="32"/>
  <c r="N102" i="32"/>
  <c r="AX105" i="32"/>
  <c r="AY105" i="32" s="1"/>
  <c r="A104" i="32"/>
  <c r="C103" i="32"/>
  <c r="I103" i="32"/>
  <c r="H103" i="32"/>
  <c r="F103" i="32"/>
  <c r="G103" i="32"/>
  <c r="B103" i="32"/>
  <c r="E103" i="32" s="1"/>
  <c r="D102" i="32"/>
  <c r="AP102" i="32"/>
  <c r="AQ102" i="32"/>
  <c r="AR102" i="32"/>
  <c r="AS102" i="32"/>
  <c r="AO102" i="32"/>
  <c r="AW102" i="32"/>
  <c r="AT102" i="32"/>
  <c r="AV102" i="32"/>
  <c r="AU102" i="32"/>
  <c r="D56" i="38"/>
  <c r="AO67" i="67"/>
  <c r="AO87" i="67"/>
  <c r="E56" i="38"/>
  <c r="E56" i="20"/>
  <c r="G62" i="36"/>
  <c r="AI62" i="36"/>
  <c r="M62" i="36"/>
  <c r="AK62" i="36"/>
  <c r="T62" i="36"/>
  <c r="N62" i="36"/>
  <c r="O62" i="36"/>
  <c r="X62" i="36"/>
  <c r="AG62" i="36"/>
  <c r="AM62" i="36"/>
  <c r="W62" i="36"/>
  <c r="K62" i="36"/>
  <c r="AP62" i="36"/>
  <c r="AE62" i="36"/>
  <c r="AT62" i="36"/>
  <c r="AL62" i="36"/>
  <c r="AH62" i="36"/>
  <c r="V62" i="36"/>
  <c r="S62" i="36"/>
  <c r="AN62" i="36"/>
  <c r="AA62" i="36"/>
  <c r="P62" i="36"/>
  <c r="AF62" i="36"/>
  <c r="Z62" i="36"/>
  <c r="U62" i="36"/>
  <c r="Q62" i="36"/>
  <c r="Y62" i="36"/>
  <c r="AD62" i="36"/>
  <c r="AO62" i="36"/>
  <c r="AS62" i="36"/>
  <c r="AC62" i="36"/>
  <c r="AB62" i="36"/>
  <c r="AR62" i="36"/>
  <c r="AU62" i="36"/>
  <c r="R62" i="36"/>
  <c r="AJ62" i="36"/>
  <c r="AQ62" i="36"/>
  <c r="L62" i="36"/>
  <c r="G57" i="20"/>
  <c r="H57" i="20"/>
  <c r="F57" i="20"/>
  <c r="B57" i="20"/>
  <c r="E57" i="20" s="1"/>
  <c r="C57" i="20"/>
  <c r="F57" i="38"/>
  <c r="C57" i="38"/>
  <c r="B57" i="38"/>
  <c r="I57" i="38" s="1"/>
  <c r="H57" i="38"/>
  <c r="G57" i="38"/>
  <c r="AB110" i="41"/>
  <c r="AE110" i="41"/>
  <c r="AH110" i="41"/>
  <c r="AG110" i="41"/>
  <c r="AD110" i="41"/>
  <c r="AI110" i="41"/>
  <c r="AF110" i="41"/>
  <c r="AJ110" i="41"/>
  <c r="E62" i="36"/>
  <c r="I62" i="36"/>
  <c r="F62" i="36"/>
  <c r="B63" i="36"/>
  <c r="F63" i="36" s="1"/>
  <c r="C63" i="36"/>
  <c r="I56" i="20"/>
  <c r="J62" i="36"/>
  <c r="D62" i="36"/>
  <c r="H62" i="36"/>
  <c r="AB89" i="41"/>
  <c r="AF89" i="41"/>
  <c r="AG89" i="41"/>
  <c r="AE89" i="41"/>
  <c r="AD89" i="41"/>
  <c r="AJ89" i="41"/>
  <c r="AI89" i="41"/>
  <c r="AH89" i="41"/>
  <c r="K59" i="20"/>
  <c r="L59" i="20" s="1"/>
  <c r="A58" i="20"/>
  <c r="AV65" i="36"/>
  <c r="AW65" i="36" s="1"/>
  <c r="A64" i="36"/>
  <c r="K59" i="38"/>
  <c r="L59" i="38" s="1"/>
  <c r="A58" i="38"/>
  <c r="I71" i="19"/>
  <c r="E71" i="19"/>
  <c r="H71" i="19"/>
  <c r="D71" i="19"/>
  <c r="F71" i="19"/>
  <c r="G71" i="19"/>
  <c r="P71" i="19"/>
  <c r="AA71" i="19"/>
  <c r="L71" i="19"/>
  <c r="AN71" i="19"/>
  <c r="Y71" i="19"/>
  <c r="AK71" i="19"/>
  <c r="AM71" i="19"/>
  <c r="Z71" i="19"/>
  <c r="AS71" i="19"/>
  <c r="AO71" i="19"/>
  <c r="AG71" i="19"/>
  <c r="AI71" i="19"/>
  <c r="AJ71" i="19"/>
  <c r="R71" i="19"/>
  <c r="AT71" i="19"/>
  <c r="AE71" i="19"/>
  <c r="AU71" i="19"/>
  <c r="K71" i="19"/>
  <c r="AL71" i="19"/>
  <c r="V71" i="19"/>
  <c r="AQ71" i="19"/>
  <c r="S71" i="19"/>
  <c r="AB71" i="19"/>
  <c r="N71" i="19"/>
  <c r="AR71" i="19"/>
  <c r="AH71" i="19"/>
  <c r="U71" i="19"/>
  <c r="W71" i="19"/>
  <c r="AF71" i="19"/>
  <c r="AD71" i="19"/>
  <c r="O71" i="19"/>
  <c r="M71" i="19"/>
  <c r="AP71" i="19"/>
  <c r="AC71" i="19"/>
  <c r="X71" i="19"/>
  <c r="T71" i="19"/>
  <c r="Q71" i="19"/>
  <c r="B72" i="19"/>
  <c r="D72" i="19" s="1"/>
  <c r="C72" i="19"/>
  <c r="AV74" i="19"/>
  <c r="AW74" i="19" s="1"/>
  <c r="A73" i="19"/>
  <c r="S102" i="66" l="1"/>
  <c r="T102" i="66" s="1"/>
  <c r="S78" i="66"/>
  <c r="T78" i="66" s="1"/>
  <c r="S97" i="66"/>
  <c r="T97" i="66" s="1"/>
  <c r="U97" i="66" s="1"/>
  <c r="X104" i="66"/>
  <c r="AM56" i="32" s="1"/>
  <c r="AC105" i="66"/>
  <c r="R84" i="67"/>
  <c r="S94" i="66"/>
  <c r="T94" i="66" s="1"/>
  <c r="T103" i="66"/>
  <c r="W55" i="32" s="1"/>
  <c r="R105" i="67"/>
  <c r="W105" i="66"/>
  <c r="AL57" i="32" s="1"/>
  <c r="V105" i="66"/>
  <c r="AG57" i="32" s="1"/>
  <c r="S105" i="66"/>
  <c r="R57" i="32" s="1"/>
  <c r="Y105" i="66"/>
  <c r="AN57" i="32" s="1"/>
  <c r="X105" i="66"/>
  <c r="AM57" i="32" s="1"/>
  <c r="T105" i="66"/>
  <c r="W57" i="32" s="1"/>
  <c r="U105" i="66"/>
  <c r="AB57" i="32" s="1"/>
  <c r="R62" i="66"/>
  <c r="P63" i="17"/>
  <c r="Z63" i="17" s="1"/>
  <c r="R103" i="67"/>
  <c r="V103" i="67" s="1"/>
  <c r="AG55" i="37" s="1"/>
  <c r="S103" i="66"/>
  <c r="R55" i="32" s="1"/>
  <c r="W104" i="66"/>
  <c r="AL56" i="32" s="1"/>
  <c r="Y103" i="66"/>
  <c r="AN55" i="32" s="1"/>
  <c r="V104" i="66"/>
  <c r="AG56" i="32" s="1"/>
  <c r="X103" i="66"/>
  <c r="AM55" i="32" s="1"/>
  <c r="X71" i="66"/>
  <c r="W71" i="66"/>
  <c r="V71" i="66"/>
  <c r="U71" i="66"/>
  <c r="T71" i="66"/>
  <c r="S71" i="66"/>
  <c r="Y71" i="66"/>
  <c r="AC104" i="66"/>
  <c r="AD104" i="66" s="1"/>
  <c r="U103" i="66"/>
  <c r="AB55" i="32" s="1"/>
  <c r="Y114" i="66"/>
  <c r="W114" i="66"/>
  <c r="X114" i="66"/>
  <c r="T114" i="66"/>
  <c r="S114" i="66"/>
  <c r="V114" i="66"/>
  <c r="U114" i="66"/>
  <c r="R114" i="67"/>
  <c r="O66" i="37" s="1"/>
  <c r="V69" i="66"/>
  <c r="U69" i="66"/>
  <c r="T69" i="66"/>
  <c r="S69" i="66"/>
  <c r="Y69" i="66"/>
  <c r="X69" i="66"/>
  <c r="W69" i="66"/>
  <c r="P62" i="17"/>
  <c r="P62" i="41" s="1"/>
  <c r="W70" i="66"/>
  <c r="V70" i="66"/>
  <c r="U70" i="66"/>
  <c r="T70" i="66"/>
  <c r="S70" i="66"/>
  <c r="Y70" i="66"/>
  <c r="X70" i="66"/>
  <c r="Y104" i="66"/>
  <c r="AN56" i="32" s="1"/>
  <c r="R104" i="67"/>
  <c r="W104" i="67" s="1"/>
  <c r="AL56" i="37" s="1"/>
  <c r="W103" i="66"/>
  <c r="AL55" i="32" s="1"/>
  <c r="AC103" i="66"/>
  <c r="AI103" i="66" s="1"/>
  <c r="U116" i="66"/>
  <c r="X116" i="66"/>
  <c r="S116" i="66"/>
  <c r="T116" i="66"/>
  <c r="W116" i="66"/>
  <c r="V116" i="66"/>
  <c r="R116" i="67"/>
  <c r="Y116" i="66"/>
  <c r="Y73" i="66"/>
  <c r="W73" i="66"/>
  <c r="V73" i="66"/>
  <c r="U73" i="66"/>
  <c r="T73" i="66"/>
  <c r="S73" i="66"/>
  <c r="X73" i="66"/>
  <c r="U104" i="66"/>
  <c r="AB56" i="32" s="1"/>
  <c r="Y118" i="66"/>
  <c r="V118" i="66"/>
  <c r="R118" i="67"/>
  <c r="U118" i="66"/>
  <c r="T118" i="66"/>
  <c r="S118" i="66"/>
  <c r="X118" i="66"/>
  <c r="W118" i="66"/>
  <c r="S104" i="66"/>
  <c r="R56" i="32" s="1"/>
  <c r="H14" i="59"/>
  <c r="I14" i="59" s="1"/>
  <c r="V119" i="66"/>
  <c r="U119" i="66"/>
  <c r="X119" i="66"/>
  <c r="Y119" i="66"/>
  <c r="S119" i="66"/>
  <c r="T119" i="66"/>
  <c r="W119" i="66"/>
  <c r="T104" i="66"/>
  <c r="W56" i="32" s="1"/>
  <c r="V103" i="66"/>
  <c r="AG55" i="32" s="1"/>
  <c r="Y117" i="66"/>
  <c r="U117" i="66"/>
  <c r="W117" i="66"/>
  <c r="X117" i="66"/>
  <c r="R117" i="67"/>
  <c r="T117" i="66"/>
  <c r="S117" i="66"/>
  <c r="V117" i="66"/>
  <c r="U113" i="66"/>
  <c r="S113" i="66"/>
  <c r="T113" i="66"/>
  <c r="W113" i="66"/>
  <c r="X113" i="66"/>
  <c r="Y113" i="66"/>
  <c r="V113" i="66"/>
  <c r="R113" i="67"/>
  <c r="S113" i="67" s="1"/>
  <c r="T113" i="67" s="1"/>
  <c r="U113" i="67" s="1"/>
  <c r="V113" i="67" s="1"/>
  <c r="W113" i="67" s="1"/>
  <c r="X113" i="67" s="1"/>
  <c r="Y113" i="67" s="1"/>
  <c r="Y72" i="66"/>
  <c r="X72" i="66"/>
  <c r="W72" i="66"/>
  <c r="V72" i="66"/>
  <c r="U72" i="66"/>
  <c r="T72" i="66"/>
  <c r="S72" i="66"/>
  <c r="Y115" i="66"/>
  <c r="V115" i="66"/>
  <c r="S115" i="66"/>
  <c r="X115" i="66"/>
  <c r="W115" i="66"/>
  <c r="U115" i="66"/>
  <c r="R115" i="67"/>
  <c r="T115" i="66"/>
  <c r="AH59" i="32"/>
  <c r="AI59" i="32" s="1"/>
  <c r="AJ59" i="32" s="1"/>
  <c r="AK59" i="32" s="1"/>
  <c r="AC59" i="32"/>
  <c r="AD59" i="32" s="1"/>
  <c r="AE59" i="32" s="1"/>
  <c r="AF59" i="32" s="1"/>
  <c r="C9" i="62"/>
  <c r="G9" i="62" s="1"/>
  <c r="C11" i="62"/>
  <c r="C8" i="62"/>
  <c r="G8" i="62" s="1"/>
  <c r="C12" i="62"/>
  <c r="G12" i="62" s="1"/>
  <c r="C6" i="62"/>
  <c r="G6" i="62" s="1"/>
  <c r="C5" i="62"/>
  <c r="G5" i="62" s="1"/>
  <c r="C10" i="62"/>
  <c r="S59" i="32"/>
  <c r="T59" i="32" s="1"/>
  <c r="U59" i="32" s="1"/>
  <c r="V59" i="32" s="1"/>
  <c r="U94" i="66"/>
  <c r="W46" i="32"/>
  <c r="U102" i="66"/>
  <c r="W54" i="32"/>
  <c r="U78" i="66"/>
  <c r="W30" i="32"/>
  <c r="X59" i="32"/>
  <c r="Y59" i="32" s="1"/>
  <c r="Z59" i="32" s="1"/>
  <c r="AA59" i="32" s="1"/>
  <c r="AD107" i="66"/>
  <c r="AF107" i="66"/>
  <c r="AH107" i="66"/>
  <c r="AE107" i="66"/>
  <c r="AI107" i="66"/>
  <c r="AG107" i="66"/>
  <c r="AD105" i="66"/>
  <c r="AF105" i="66"/>
  <c r="AH105" i="66"/>
  <c r="AE105" i="66"/>
  <c r="AI105" i="66"/>
  <c r="AG105" i="66"/>
  <c r="D4" i="62"/>
  <c r="Q94" i="17"/>
  <c r="AL94" i="17"/>
  <c r="Z94" i="17"/>
  <c r="AA94" i="17" s="1"/>
  <c r="P94" i="41"/>
  <c r="Z96" i="17"/>
  <c r="AA96" i="17" s="1"/>
  <c r="Q96" i="17"/>
  <c r="P96" i="41"/>
  <c r="AL96" i="17"/>
  <c r="AL97" i="17"/>
  <c r="Q97" i="17"/>
  <c r="Z97" i="17"/>
  <c r="AA97" i="17" s="1"/>
  <c r="P97" i="41"/>
  <c r="AL99" i="17"/>
  <c r="Q99" i="17"/>
  <c r="P99" i="41"/>
  <c r="Z99" i="17"/>
  <c r="AA99" i="17" s="1"/>
  <c r="Z103" i="17"/>
  <c r="AA103" i="17" s="1"/>
  <c r="AL103" i="17"/>
  <c r="P103" i="41"/>
  <c r="Q103" i="17"/>
  <c r="AW69" i="37"/>
  <c r="AX69" i="37" s="1"/>
  <c r="A68" i="37"/>
  <c r="H61" i="67"/>
  <c r="H67" i="67" s="1"/>
  <c r="N67" i="67"/>
  <c r="AU42" i="67" s="1"/>
  <c r="N67" i="41"/>
  <c r="H61" i="41"/>
  <c r="H67" i="41" s="1"/>
  <c r="H81" i="67"/>
  <c r="N87" i="67"/>
  <c r="AU45" i="67" s="1"/>
  <c r="R102" i="67"/>
  <c r="S102" i="67" s="1"/>
  <c r="T102" i="67" s="1"/>
  <c r="U102" i="67" s="1"/>
  <c r="V102" i="67" s="1"/>
  <c r="W102" i="67" s="1"/>
  <c r="X102" i="67" s="1"/>
  <c r="Y102" i="67" s="1"/>
  <c r="R54" i="32"/>
  <c r="Q76" i="17"/>
  <c r="Z76" i="17"/>
  <c r="AL76" i="17"/>
  <c r="AM76" i="17" s="1"/>
  <c r="P76" i="41"/>
  <c r="Q107" i="17"/>
  <c r="P107" i="41"/>
  <c r="AL107" i="17"/>
  <c r="Z107" i="17"/>
  <c r="AA107" i="17" s="1"/>
  <c r="AA106" i="41"/>
  <c r="X106" i="41"/>
  <c r="J58" i="37"/>
  <c r="T106" i="41"/>
  <c r="W106" i="41"/>
  <c r="Q106" i="41"/>
  <c r="M58" i="37" s="1"/>
  <c r="Y106" i="41"/>
  <c r="U106" i="41"/>
  <c r="S106" i="41"/>
  <c r="V106" i="41"/>
  <c r="W63" i="66"/>
  <c r="AL15" i="32" s="1"/>
  <c r="T63" i="66"/>
  <c r="W15" i="32" s="1"/>
  <c r="Y63" i="66"/>
  <c r="AN15" i="32" s="1"/>
  <c r="U63" i="66"/>
  <c r="AB15" i="32" s="1"/>
  <c r="R63" i="67"/>
  <c r="AC63" i="66"/>
  <c r="S63" i="66"/>
  <c r="R15" i="32" s="1"/>
  <c r="X63" i="66"/>
  <c r="AM15" i="32" s="1"/>
  <c r="V63" i="66"/>
  <c r="AG15" i="32" s="1"/>
  <c r="R97" i="67"/>
  <c r="S97" i="67" s="1"/>
  <c r="T97" i="67" s="1"/>
  <c r="U97" i="67" s="1"/>
  <c r="V97" i="67" s="1"/>
  <c r="W97" i="67" s="1"/>
  <c r="X97" i="67" s="1"/>
  <c r="Y97" i="67" s="1"/>
  <c r="AC97" i="66"/>
  <c r="R49" i="32"/>
  <c r="R99" i="67"/>
  <c r="X99" i="66"/>
  <c r="AM51" i="32" s="1"/>
  <c r="W99" i="66"/>
  <c r="AL51" i="32" s="1"/>
  <c r="S99" i="66"/>
  <c r="R51" i="32" s="1"/>
  <c r="Y99" i="66"/>
  <c r="AN51" i="32" s="1"/>
  <c r="T99" i="66"/>
  <c r="W51" i="32" s="1"/>
  <c r="AC99" i="66"/>
  <c r="V99" i="66"/>
  <c r="AG51" i="32" s="1"/>
  <c r="U99" i="66"/>
  <c r="AB51" i="32" s="1"/>
  <c r="AC93" i="66"/>
  <c r="V93" i="66"/>
  <c r="AG45" i="32" s="1"/>
  <c r="U93" i="66"/>
  <c r="AB45" i="32" s="1"/>
  <c r="T93" i="66"/>
  <c r="W45" i="32" s="1"/>
  <c r="R93" i="67"/>
  <c r="W93" i="66"/>
  <c r="AL45" i="32" s="1"/>
  <c r="X93" i="66"/>
  <c r="AM45" i="32" s="1"/>
  <c r="Y93" i="66"/>
  <c r="AN45" i="32" s="1"/>
  <c r="S93" i="66"/>
  <c r="R45" i="32" s="1"/>
  <c r="AC96" i="66"/>
  <c r="U96" i="66"/>
  <c r="AB48" i="32" s="1"/>
  <c r="T96" i="66"/>
  <c r="W48" i="32" s="1"/>
  <c r="W96" i="66"/>
  <c r="AL48" i="32" s="1"/>
  <c r="R96" i="67"/>
  <c r="V96" i="66"/>
  <c r="AG48" i="32" s="1"/>
  <c r="Y96" i="66"/>
  <c r="AN48" i="32" s="1"/>
  <c r="X96" i="66"/>
  <c r="AM48" i="32" s="1"/>
  <c r="S96" i="66"/>
  <c r="R48" i="32" s="1"/>
  <c r="P73" i="14"/>
  <c r="H93" i="14" s="1"/>
  <c r="O68" i="14"/>
  <c r="O73" i="14" s="1"/>
  <c r="G93" i="14" s="1"/>
  <c r="U76" i="66"/>
  <c r="AB28" i="32" s="1"/>
  <c r="X76" i="66"/>
  <c r="AM28" i="32" s="1"/>
  <c r="W76" i="66"/>
  <c r="AL28" i="32" s="1"/>
  <c r="T76" i="66"/>
  <c r="W28" i="32" s="1"/>
  <c r="R76" i="67"/>
  <c r="Y76" i="66"/>
  <c r="AN28" i="32" s="1"/>
  <c r="V76" i="66"/>
  <c r="AG28" i="32" s="1"/>
  <c r="AC76" i="66"/>
  <c r="S76" i="66"/>
  <c r="R28" i="32" s="1"/>
  <c r="R71" i="67"/>
  <c r="AC71" i="66"/>
  <c r="R73" i="67"/>
  <c r="AC73" i="66"/>
  <c r="AC72" i="66"/>
  <c r="R72" i="67"/>
  <c r="AL71" i="17"/>
  <c r="Z71" i="17"/>
  <c r="Q71" i="17"/>
  <c r="P71" i="41"/>
  <c r="AL73" i="17"/>
  <c r="Q73" i="17"/>
  <c r="P73" i="41"/>
  <c r="Z73" i="17"/>
  <c r="Q117" i="17"/>
  <c r="Z117" i="17"/>
  <c r="AA117" i="17" s="1"/>
  <c r="P117" i="41"/>
  <c r="AL117" i="17"/>
  <c r="Z114" i="17"/>
  <c r="AA114" i="17" s="1"/>
  <c r="AL114" i="17"/>
  <c r="Q114" i="17"/>
  <c r="P114" i="41"/>
  <c r="J66" i="37" s="1"/>
  <c r="Z116" i="17"/>
  <c r="AA116" i="17" s="1"/>
  <c r="Q116" i="17"/>
  <c r="AL116" i="17"/>
  <c r="P116" i="41"/>
  <c r="P115" i="41"/>
  <c r="Z115" i="17"/>
  <c r="AA115" i="17" s="1"/>
  <c r="AL115" i="17"/>
  <c r="Q115" i="17"/>
  <c r="R90" i="67"/>
  <c r="U90" i="66"/>
  <c r="AB42" i="32" s="1"/>
  <c r="V90" i="66"/>
  <c r="AG42" i="32" s="1"/>
  <c r="S90" i="66"/>
  <c r="R42" i="32" s="1"/>
  <c r="W90" i="66"/>
  <c r="AL42" i="32" s="1"/>
  <c r="Y90" i="66"/>
  <c r="AN42" i="32" s="1"/>
  <c r="X90" i="66"/>
  <c r="AM42" i="32" s="1"/>
  <c r="T90" i="66"/>
  <c r="W42" i="32" s="1"/>
  <c r="AC90" i="66"/>
  <c r="N22" i="50"/>
  <c r="N24" i="50" s="1"/>
  <c r="O68" i="69"/>
  <c r="O73" i="69" s="1"/>
  <c r="G93" i="69" s="1"/>
  <c r="P73" i="69"/>
  <c r="H93" i="69" s="1"/>
  <c r="AC107" i="67"/>
  <c r="S107" i="67"/>
  <c r="R59" i="37" s="1"/>
  <c r="T107" i="67"/>
  <c r="W59" i="37" s="1"/>
  <c r="U107" i="67"/>
  <c r="AB59" i="37" s="1"/>
  <c r="O59" i="37"/>
  <c r="V107" i="67"/>
  <c r="AG59" i="37" s="1"/>
  <c r="W107" i="67"/>
  <c r="AL59" i="37" s="1"/>
  <c r="X107" i="67"/>
  <c r="AM59" i="37" s="1"/>
  <c r="Y107" i="67"/>
  <c r="AN59" i="37" s="1"/>
  <c r="F16" i="17"/>
  <c r="H16" i="17"/>
  <c r="G16" i="17"/>
  <c r="D16" i="17"/>
  <c r="P65" i="17"/>
  <c r="N67" i="17"/>
  <c r="P61" i="17"/>
  <c r="P66" i="17"/>
  <c r="J10" i="22"/>
  <c r="H61" i="17"/>
  <c r="H67" i="17" s="1"/>
  <c r="AL102" i="17"/>
  <c r="P102" i="41"/>
  <c r="Q102" i="17"/>
  <c r="Z102" i="17"/>
  <c r="AA102" i="17" s="1"/>
  <c r="R64" i="66"/>
  <c r="N67" i="66"/>
  <c r="R61" i="66"/>
  <c r="R65" i="66"/>
  <c r="O10" i="22"/>
  <c r="R66" i="66"/>
  <c r="H61" i="66"/>
  <c r="H67" i="66" s="1"/>
  <c r="AC117" i="66"/>
  <c r="AC119" i="66"/>
  <c r="R119" i="67"/>
  <c r="AC114" i="66"/>
  <c r="M27" i="15"/>
  <c r="M28" i="15" s="1"/>
  <c r="O27" i="15"/>
  <c r="O28" i="15" s="1"/>
  <c r="D27" i="15"/>
  <c r="D28" i="15" s="1"/>
  <c r="J27" i="15"/>
  <c r="J28" i="15" s="1"/>
  <c r="N27" i="15"/>
  <c r="N28" i="15" s="1"/>
  <c r="E27" i="15"/>
  <c r="E28" i="15" s="1"/>
  <c r="F27" i="15"/>
  <c r="F28" i="15" s="1"/>
  <c r="K27" i="15"/>
  <c r="K28" i="15" s="1"/>
  <c r="C27" i="15"/>
  <c r="C28" i="15" s="1"/>
  <c r="I27" i="15"/>
  <c r="D7" i="62" s="1"/>
  <c r="L27" i="15"/>
  <c r="L28" i="15" s="1"/>
  <c r="H27" i="15"/>
  <c r="H28" i="15" s="1"/>
  <c r="G27" i="15"/>
  <c r="G28" i="15" s="1"/>
  <c r="K30" i="12"/>
  <c r="L29" i="12"/>
  <c r="Q98" i="17"/>
  <c r="AL98" i="17"/>
  <c r="P98" i="41"/>
  <c r="Z98" i="17"/>
  <c r="AA98" i="17" s="1"/>
  <c r="Z95" i="17"/>
  <c r="AA95" i="17" s="1"/>
  <c r="Q95" i="17"/>
  <c r="AL95" i="17"/>
  <c r="P95" i="41"/>
  <c r="Q93" i="17"/>
  <c r="Z93" i="17"/>
  <c r="AA93" i="17" s="1"/>
  <c r="P93" i="41"/>
  <c r="AL93" i="17"/>
  <c r="O93" i="17"/>
  <c r="O99" i="17"/>
  <c r="O95" i="17"/>
  <c r="O96" i="17"/>
  <c r="O98" i="17"/>
  <c r="O97" i="17"/>
  <c r="O94" i="17"/>
  <c r="I67" i="37"/>
  <c r="G67" i="37"/>
  <c r="H67" i="37"/>
  <c r="B67" i="37"/>
  <c r="E67" i="37" s="1"/>
  <c r="C67" i="37"/>
  <c r="D67" i="37" s="1"/>
  <c r="F67" i="37"/>
  <c r="H81" i="17"/>
  <c r="J13" i="22"/>
  <c r="P81" i="17"/>
  <c r="N87" i="17"/>
  <c r="P82" i="17"/>
  <c r="P83" i="17"/>
  <c r="T106" i="66"/>
  <c r="W58" i="32" s="1"/>
  <c r="V106" i="66"/>
  <c r="AG58" i="32" s="1"/>
  <c r="W106" i="66"/>
  <c r="AL58" i="32" s="1"/>
  <c r="U106" i="66"/>
  <c r="AB58" i="32" s="1"/>
  <c r="R106" i="67"/>
  <c r="X106" i="66"/>
  <c r="AM58" i="32" s="1"/>
  <c r="AC106" i="66"/>
  <c r="S106" i="66"/>
  <c r="R58" i="32" s="1"/>
  <c r="Y106" i="66"/>
  <c r="AN58" i="32" s="1"/>
  <c r="Q78" i="17"/>
  <c r="AL78" i="17"/>
  <c r="P78" i="41"/>
  <c r="Z78" i="17"/>
  <c r="Z77" i="17"/>
  <c r="P77" i="41"/>
  <c r="Q77" i="17"/>
  <c r="AL77" i="17"/>
  <c r="Q104" i="17"/>
  <c r="Z104" i="17"/>
  <c r="AA104" i="17" s="1"/>
  <c r="AL104" i="17"/>
  <c r="P104" i="41"/>
  <c r="R94" i="67"/>
  <c r="S94" i="67" s="1"/>
  <c r="T94" i="67" s="1"/>
  <c r="U94" i="67" s="1"/>
  <c r="V94" i="67" s="1"/>
  <c r="W94" i="67" s="1"/>
  <c r="X94" i="67" s="1"/>
  <c r="Y94" i="67" s="1"/>
  <c r="R46" i="32"/>
  <c r="AC94" i="66"/>
  <c r="R95" i="67"/>
  <c r="X95" i="66"/>
  <c r="AM47" i="32" s="1"/>
  <c r="W95" i="66"/>
  <c r="AL47" i="32" s="1"/>
  <c r="S95" i="66"/>
  <c r="R47" i="32" s="1"/>
  <c r="Y95" i="66"/>
  <c r="AN47" i="32" s="1"/>
  <c r="U95" i="66"/>
  <c r="AB47" i="32" s="1"/>
  <c r="AC95" i="66"/>
  <c r="V95" i="66"/>
  <c r="AG47" i="32" s="1"/>
  <c r="T95" i="66"/>
  <c r="W47" i="32" s="1"/>
  <c r="AC98" i="66"/>
  <c r="U98" i="66"/>
  <c r="AB50" i="32" s="1"/>
  <c r="T98" i="66"/>
  <c r="W50" i="32" s="1"/>
  <c r="W98" i="66"/>
  <c r="AL50" i="32" s="1"/>
  <c r="R98" i="67"/>
  <c r="V98" i="66"/>
  <c r="AG50" i="32" s="1"/>
  <c r="Y98" i="66"/>
  <c r="AN50" i="32" s="1"/>
  <c r="X98" i="66"/>
  <c r="AM50" i="32" s="1"/>
  <c r="S98" i="66"/>
  <c r="R50" i="32" s="1"/>
  <c r="P90" i="41"/>
  <c r="Q90" i="17"/>
  <c r="AL90" i="17"/>
  <c r="AM91" i="17" s="1"/>
  <c r="Z90" i="17"/>
  <c r="AA90" i="17" s="1"/>
  <c r="U77" i="66"/>
  <c r="AB29" i="32" s="1"/>
  <c r="V77" i="66"/>
  <c r="AG29" i="32" s="1"/>
  <c r="W77" i="66"/>
  <c r="AL29" i="32" s="1"/>
  <c r="T77" i="66"/>
  <c r="W29" i="32" s="1"/>
  <c r="R77" i="67"/>
  <c r="Y77" i="66"/>
  <c r="AN29" i="32" s="1"/>
  <c r="X77" i="66"/>
  <c r="AM29" i="32" s="1"/>
  <c r="AC77" i="66"/>
  <c r="S77" i="66"/>
  <c r="R29" i="32" s="1"/>
  <c r="AC78" i="66"/>
  <c r="R78" i="67"/>
  <c r="S78" i="67" s="1"/>
  <c r="T78" i="67" s="1"/>
  <c r="U78" i="67" s="1"/>
  <c r="V78" i="67" s="1"/>
  <c r="W78" i="67" s="1"/>
  <c r="X78" i="67" s="1"/>
  <c r="Y78" i="67" s="1"/>
  <c r="R30" i="32"/>
  <c r="R70" i="67"/>
  <c r="AC70" i="66"/>
  <c r="AC69" i="66"/>
  <c r="R69" i="67"/>
  <c r="Z69" i="17"/>
  <c r="P69" i="41"/>
  <c r="Q69" i="17"/>
  <c r="AL69" i="17"/>
  <c r="Z72" i="17"/>
  <c r="AL72" i="17"/>
  <c r="P72" i="41"/>
  <c r="Q72" i="17"/>
  <c r="Z70" i="17"/>
  <c r="P70" i="41"/>
  <c r="Q70" i="17"/>
  <c r="AL70" i="17"/>
  <c r="Q118" i="17"/>
  <c r="AL118" i="17"/>
  <c r="P118" i="41"/>
  <c r="Z118" i="17"/>
  <c r="AA118" i="17" s="1"/>
  <c r="Z119" i="17"/>
  <c r="AA119" i="17" s="1"/>
  <c r="Q119" i="17"/>
  <c r="P119" i="41"/>
  <c r="AL119" i="17"/>
  <c r="AL113" i="17"/>
  <c r="Z113" i="17"/>
  <c r="AA113" i="17" s="1"/>
  <c r="Q113" i="17"/>
  <c r="P113" i="41"/>
  <c r="AC89" i="66"/>
  <c r="V89" i="66"/>
  <c r="AG41" i="32" s="1"/>
  <c r="U89" i="66"/>
  <c r="AB41" i="32" s="1"/>
  <c r="T89" i="66"/>
  <c r="W41" i="32" s="1"/>
  <c r="R89" i="67"/>
  <c r="W89" i="66"/>
  <c r="AL41" i="32" s="1"/>
  <c r="X89" i="66"/>
  <c r="AM41" i="32" s="1"/>
  <c r="Y89" i="66"/>
  <c r="AN41" i="32" s="1"/>
  <c r="S89" i="66"/>
  <c r="R41" i="32" s="1"/>
  <c r="AL105" i="17"/>
  <c r="Q105" i="17"/>
  <c r="P105" i="41"/>
  <c r="Z105" i="17"/>
  <c r="AA105" i="17" s="1"/>
  <c r="AI66" i="37"/>
  <c r="S66" i="37"/>
  <c r="AS66" i="37"/>
  <c r="AD66" i="37"/>
  <c r="V66" i="37"/>
  <c r="P66" i="37"/>
  <c r="T66" i="37"/>
  <c r="N66" i="37"/>
  <c r="AF66" i="37"/>
  <c r="AU66" i="37"/>
  <c r="L66" i="37"/>
  <c r="AV66" i="37"/>
  <c r="AR66" i="37"/>
  <c r="AT66" i="37"/>
  <c r="Q66" i="37"/>
  <c r="AP66" i="37"/>
  <c r="K66" i="37"/>
  <c r="Y66" i="37"/>
  <c r="AA66" i="37"/>
  <c r="AC66" i="37"/>
  <c r="AH66" i="37"/>
  <c r="U66" i="37"/>
  <c r="AE66" i="37"/>
  <c r="X66" i="37"/>
  <c r="AQ66" i="37"/>
  <c r="AK66" i="37"/>
  <c r="Z66" i="37"/>
  <c r="AO66" i="37"/>
  <c r="AJ66" i="37"/>
  <c r="P86" i="17"/>
  <c r="P85" i="17"/>
  <c r="N81" i="41"/>
  <c r="M87" i="41"/>
  <c r="H13" i="59"/>
  <c r="I13" i="59" s="1"/>
  <c r="C27" i="56"/>
  <c r="AL64" i="17"/>
  <c r="P64" i="41"/>
  <c r="Z64" i="17"/>
  <c r="Q64" i="17"/>
  <c r="C16" i="17"/>
  <c r="I16" i="17"/>
  <c r="J16" i="17"/>
  <c r="E16" i="17"/>
  <c r="H115" i="67"/>
  <c r="N120" i="67"/>
  <c r="AU50" i="67" s="1"/>
  <c r="H115" i="41"/>
  <c r="N120" i="41"/>
  <c r="AC116" i="66"/>
  <c r="AC115" i="66"/>
  <c r="AC118" i="66"/>
  <c r="AC113" i="66"/>
  <c r="AC110" i="66"/>
  <c r="T110" i="66"/>
  <c r="W62" i="32" s="1"/>
  <c r="S110" i="66"/>
  <c r="R62" i="32" s="1"/>
  <c r="Y110" i="66"/>
  <c r="AN62" i="32" s="1"/>
  <c r="W110" i="66"/>
  <c r="AL62" i="32" s="1"/>
  <c r="X110" i="66"/>
  <c r="AM62" i="32" s="1"/>
  <c r="U110" i="66"/>
  <c r="AB62" i="32" s="1"/>
  <c r="V110" i="66"/>
  <c r="AG62" i="32" s="1"/>
  <c r="H17" i="15"/>
  <c r="H18" i="15" s="1"/>
  <c r="G17" i="15"/>
  <c r="G18" i="15" s="1"/>
  <c r="C17" i="15"/>
  <c r="C18" i="15" s="1"/>
  <c r="K17" i="15"/>
  <c r="K18" i="15" s="1"/>
  <c r="O17" i="15"/>
  <c r="O18" i="15" s="1"/>
  <c r="I17" i="15"/>
  <c r="I18" i="15" s="1"/>
  <c r="N17" i="15"/>
  <c r="N18" i="15" s="1"/>
  <c r="F17" i="15"/>
  <c r="F18" i="15" s="1"/>
  <c r="D17" i="15"/>
  <c r="D18" i="15" s="1"/>
  <c r="E17" i="15"/>
  <c r="E18" i="15" s="1"/>
  <c r="M17" i="15"/>
  <c r="M18" i="15" s="1"/>
  <c r="J17" i="15"/>
  <c r="J18" i="15" s="1"/>
  <c r="L17" i="15"/>
  <c r="L18" i="15" s="1"/>
  <c r="O58" i="63"/>
  <c r="O63" i="63" s="1"/>
  <c r="G83" i="63" s="1"/>
  <c r="P63" i="63"/>
  <c r="H83" i="63" s="1"/>
  <c r="H81" i="66"/>
  <c r="V105" i="67"/>
  <c r="AG57" i="37" s="1"/>
  <c r="W105" i="67"/>
  <c r="AL57" i="37" s="1"/>
  <c r="X105" i="67"/>
  <c r="AM57" i="37" s="1"/>
  <c r="Y105" i="67"/>
  <c r="AN57" i="37" s="1"/>
  <c r="AC105" i="67"/>
  <c r="S105" i="67"/>
  <c r="R57" i="37" s="1"/>
  <c r="T105" i="67"/>
  <c r="W57" i="37" s="1"/>
  <c r="U105" i="67"/>
  <c r="AB57" i="37" s="1"/>
  <c r="O57" i="37"/>
  <c r="I57" i="20"/>
  <c r="AM104" i="32"/>
  <c r="AN104" i="32"/>
  <c r="AN103" i="32"/>
  <c r="AG104" i="32"/>
  <c r="AL104" i="32"/>
  <c r="W104" i="32"/>
  <c r="AB104" i="32"/>
  <c r="R104" i="32"/>
  <c r="H63" i="36"/>
  <c r="P103" i="32"/>
  <c r="N103" i="32"/>
  <c r="Q103" i="32"/>
  <c r="D103" i="32"/>
  <c r="AQ103" i="32"/>
  <c r="AR103" i="32"/>
  <c r="AU103" i="32"/>
  <c r="AT103" i="32"/>
  <c r="AS103" i="32"/>
  <c r="AO103" i="32"/>
  <c r="AW103" i="32"/>
  <c r="AP103" i="32"/>
  <c r="AV103" i="32"/>
  <c r="C104" i="32"/>
  <c r="B104" i="32"/>
  <c r="F104" i="32"/>
  <c r="H104" i="32"/>
  <c r="I104" i="32"/>
  <c r="D104" i="32"/>
  <c r="E104" i="32"/>
  <c r="G104" i="32"/>
  <c r="AX106" i="32"/>
  <c r="AY106" i="32" s="1"/>
  <c r="A105" i="32"/>
  <c r="D57" i="38"/>
  <c r="J63" i="36"/>
  <c r="E57" i="38"/>
  <c r="G63" i="36"/>
  <c r="E63" i="36"/>
  <c r="G58" i="38"/>
  <c r="B58" i="38"/>
  <c r="D58" i="38" s="1"/>
  <c r="H58" i="38"/>
  <c r="F58" i="38"/>
  <c r="C58" i="38"/>
  <c r="A65" i="36"/>
  <c r="AV66" i="36"/>
  <c r="AW66" i="36" s="1"/>
  <c r="K60" i="20"/>
  <c r="L60" i="20" s="1"/>
  <c r="A59" i="20"/>
  <c r="I63" i="36"/>
  <c r="D63" i="36"/>
  <c r="D57" i="20"/>
  <c r="K60" i="38"/>
  <c r="L60" i="38" s="1"/>
  <c r="A59" i="38"/>
  <c r="B64" i="36"/>
  <c r="E64" i="36" s="1"/>
  <c r="C64" i="36"/>
  <c r="H58" i="20"/>
  <c r="B58" i="20"/>
  <c r="E58" i="20" s="1"/>
  <c r="F58" i="20"/>
  <c r="G58" i="20"/>
  <c r="C58" i="20"/>
  <c r="U63" i="36"/>
  <c r="O63" i="36"/>
  <c r="AS63" i="36"/>
  <c r="AF63" i="36"/>
  <c r="T63" i="36"/>
  <c r="AM63" i="36"/>
  <c r="AL63" i="36"/>
  <c r="N63" i="36"/>
  <c r="AR63" i="36"/>
  <c r="AP63" i="36"/>
  <c r="AT63" i="36"/>
  <c r="AN63" i="36"/>
  <c r="AH63" i="36"/>
  <c r="M63" i="36"/>
  <c r="V63" i="36"/>
  <c r="AO63" i="36"/>
  <c r="AB63" i="36"/>
  <c r="AK63" i="36"/>
  <c r="AU63" i="36"/>
  <c r="R63" i="36"/>
  <c r="L63" i="36"/>
  <c r="AC63" i="36"/>
  <c r="K63" i="36"/>
  <c r="AG63" i="36"/>
  <c r="P63" i="36"/>
  <c r="Z63" i="36"/>
  <c r="W63" i="36"/>
  <c r="Y63" i="36"/>
  <c r="AA63" i="36"/>
  <c r="AQ63" i="36"/>
  <c r="AD63" i="36"/>
  <c r="AE63" i="36"/>
  <c r="X63" i="36"/>
  <c r="AJ63" i="36"/>
  <c r="Q63" i="36"/>
  <c r="AI63" i="36"/>
  <c r="S63" i="36"/>
  <c r="J72" i="19"/>
  <c r="E72" i="19"/>
  <c r="H72" i="19"/>
  <c r="F72" i="19"/>
  <c r="G72" i="19"/>
  <c r="I72" i="19"/>
  <c r="C73" i="19"/>
  <c r="B73" i="19"/>
  <c r="G73" i="19" s="1"/>
  <c r="AV75" i="19"/>
  <c r="AW75" i="19" s="1"/>
  <c r="A74" i="19"/>
  <c r="L72" i="19"/>
  <c r="AE72" i="19"/>
  <c r="AJ72" i="19"/>
  <c r="AA72" i="19"/>
  <c r="AT72" i="19"/>
  <c r="AQ72" i="19"/>
  <c r="AD72" i="19"/>
  <c r="AL72" i="19"/>
  <c r="O72" i="19"/>
  <c r="AF72" i="19"/>
  <c r="AG72" i="19"/>
  <c r="S72" i="19"/>
  <c r="AH72" i="19"/>
  <c r="Q72" i="19"/>
  <c r="V72" i="19"/>
  <c r="AP72" i="19"/>
  <c r="AI72" i="19"/>
  <c r="K72" i="19"/>
  <c r="AC72" i="19"/>
  <c r="M72" i="19"/>
  <c r="AO72" i="19"/>
  <c r="AR72" i="19"/>
  <c r="AM72" i="19"/>
  <c r="AU72" i="19"/>
  <c r="U72" i="19"/>
  <c r="AB72" i="19"/>
  <c r="AS72" i="19"/>
  <c r="X72" i="19"/>
  <c r="P72" i="19"/>
  <c r="R72" i="19"/>
  <c r="W72" i="19"/>
  <c r="N72" i="19"/>
  <c r="Y72" i="19"/>
  <c r="Z72" i="19"/>
  <c r="AN72" i="19"/>
  <c r="T72" i="19"/>
  <c r="AK72" i="19"/>
  <c r="X55" i="32" l="1"/>
  <c r="Y55" i="32" s="1"/>
  <c r="Z55" i="32" s="1"/>
  <c r="AA55" i="32" s="1"/>
  <c r="S55" i="32"/>
  <c r="T55" i="32" s="1"/>
  <c r="U55" i="32" s="1"/>
  <c r="V55" i="32" s="1"/>
  <c r="R82" i="67"/>
  <c r="W62" i="66"/>
  <c r="AL14" i="32" s="1"/>
  <c r="W49" i="32"/>
  <c r="S49" i="32" s="1"/>
  <c r="T49" i="32" s="1"/>
  <c r="U49" i="32" s="1"/>
  <c r="V49" i="32" s="1"/>
  <c r="R86" i="67"/>
  <c r="R83" i="67"/>
  <c r="R85" i="67"/>
  <c r="S85" i="67" s="1"/>
  <c r="Y104" i="67"/>
  <c r="AN56" i="37" s="1"/>
  <c r="X62" i="66"/>
  <c r="AM14" i="32" s="1"/>
  <c r="U62" i="66"/>
  <c r="AB14" i="32" s="1"/>
  <c r="T62" i="66"/>
  <c r="W14" i="32" s="1"/>
  <c r="V62" i="66"/>
  <c r="AG14" i="32" s="1"/>
  <c r="S62" i="66"/>
  <c r="R14" i="32" s="1"/>
  <c r="Y62" i="66"/>
  <c r="AN14" i="32" s="1"/>
  <c r="AC62" i="66"/>
  <c r="AJ62" i="66" s="1"/>
  <c r="AN75" i="32" s="1"/>
  <c r="R62" i="67"/>
  <c r="V62" i="67" s="1"/>
  <c r="AG14" i="37" s="1"/>
  <c r="S57" i="32"/>
  <c r="T57" i="32" s="1"/>
  <c r="U57" i="32" s="1"/>
  <c r="V57" i="32" s="1"/>
  <c r="AH57" i="32"/>
  <c r="AI57" i="32" s="1"/>
  <c r="AJ57" i="32" s="1"/>
  <c r="AK57" i="32" s="1"/>
  <c r="X57" i="32"/>
  <c r="Y57" i="32" s="1"/>
  <c r="Z57" i="32" s="1"/>
  <c r="AA57" i="32" s="1"/>
  <c r="AC57" i="32"/>
  <c r="AD57" i="32" s="1"/>
  <c r="AE57" i="32" s="1"/>
  <c r="AF57" i="32" s="1"/>
  <c r="AI104" i="66"/>
  <c r="Y103" i="67"/>
  <c r="AN55" i="37" s="1"/>
  <c r="P63" i="41"/>
  <c r="Y63" i="41" s="1"/>
  <c r="AL63" i="17"/>
  <c r="Q63" i="17"/>
  <c r="Q62" i="17"/>
  <c r="Z62" i="17"/>
  <c r="AA62" i="17" s="1"/>
  <c r="AC56" i="32"/>
  <c r="AD56" i="32" s="1"/>
  <c r="AE56" i="32" s="1"/>
  <c r="AF56" i="32" s="1"/>
  <c r="AL62" i="17"/>
  <c r="O55" i="37"/>
  <c r="S103" i="67"/>
  <c r="R55" i="37" s="1"/>
  <c r="X103" i="67"/>
  <c r="AM55" i="37" s="1"/>
  <c r="AC103" i="67"/>
  <c r="AF103" i="67" s="1"/>
  <c r="AH55" i="32"/>
  <c r="AI55" i="32" s="1"/>
  <c r="AJ55" i="32" s="1"/>
  <c r="AK55" i="32" s="1"/>
  <c r="U103" i="67"/>
  <c r="AB55" i="37" s="1"/>
  <c r="W103" i="67"/>
  <c r="AL55" i="37" s="1"/>
  <c r="T103" i="67"/>
  <c r="W55" i="37" s="1"/>
  <c r="AC104" i="67"/>
  <c r="AE104" i="67" s="1"/>
  <c r="T104" i="67"/>
  <c r="W56" i="37" s="1"/>
  <c r="S104" i="67"/>
  <c r="R56" i="37" s="1"/>
  <c r="V104" i="67"/>
  <c r="AG56" i="37" s="1"/>
  <c r="U104" i="67"/>
  <c r="AB56" i="37" s="1"/>
  <c r="X104" i="67"/>
  <c r="AM56" i="37" s="1"/>
  <c r="O56" i="37"/>
  <c r="S56" i="32"/>
  <c r="T56" i="32" s="1"/>
  <c r="U56" i="32" s="1"/>
  <c r="V56" i="32" s="1"/>
  <c r="X56" i="32"/>
  <c r="Y56" i="32" s="1"/>
  <c r="Z56" i="32" s="1"/>
  <c r="AA56" i="32" s="1"/>
  <c r="AE103" i="66"/>
  <c r="AH56" i="32"/>
  <c r="AI56" i="32" s="1"/>
  <c r="AJ56" i="32" s="1"/>
  <c r="AK56" i="32" s="1"/>
  <c r="AH103" i="66"/>
  <c r="AF103" i="66"/>
  <c r="AD103" i="66"/>
  <c r="AG103" i="66"/>
  <c r="AG104" i="66"/>
  <c r="Y118" i="67"/>
  <c r="X118" i="67"/>
  <c r="U118" i="67"/>
  <c r="T118" i="67"/>
  <c r="W118" i="67"/>
  <c r="S118" i="67"/>
  <c r="V118" i="67"/>
  <c r="AE104" i="66"/>
  <c r="AC55" i="32"/>
  <c r="AD55" i="32" s="1"/>
  <c r="AE55" i="32" s="1"/>
  <c r="AF55" i="32" s="1"/>
  <c r="Y115" i="67"/>
  <c r="T115" i="67"/>
  <c r="V115" i="67"/>
  <c r="W115" i="67"/>
  <c r="S115" i="67"/>
  <c r="U115" i="67"/>
  <c r="X115" i="67"/>
  <c r="X117" i="67"/>
  <c r="Y117" i="67"/>
  <c r="S117" i="67"/>
  <c r="T117" i="67"/>
  <c r="U117" i="67"/>
  <c r="V117" i="67"/>
  <c r="W117" i="67"/>
  <c r="AF104" i="66"/>
  <c r="X116" i="67"/>
  <c r="W116" i="67"/>
  <c r="U116" i="67"/>
  <c r="T116" i="67"/>
  <c r="Y116" i="67"/>
  <c r="S116" i="67"/>
  <c r="V116" i="67"/>
  <c r="AM100" i="17"/>
  <c r="AH104" i="66"/>
  <c r="AM120" i="17"/>
  <c r="T114" i="67"/>
  <c r="Y114" i="67"/>
  <c r="U114" i="67"/>
  <c r="V114" i="67"/>
  <c r="S114" i="67"/>
  <c r="X114" i="67"/>
  <c r="W114" i="67"/>
  <c r="AH45" i="32"/>
  <c r="AI45" i="32" s="1"/>
  <c r="AJ45" i="32" s="1"/>
  <c r="AK45" i="32" s="1"/>
  <c r="S50" i="32"/>
  <c r="T50" i="32" s="1"/>
  <c r="U50" i="32" s="1"/>
  <c r="V50" i="32" s="1"/>
  <c r="AC58" i="32"/>
  <c r="AD58" i="32" s="1"/>
  <c r="AE58" i="32" s="1"/>
  <c r="AF58" i="32" s="1"/>
  <c r="X42" i="32"/>
  <c r="Y42" i="32" s="1"/>
  <c r="Z42" i="32" s="1"/>
  <c r="AA42" i="32" s="1"/>
  <c r="AH42" i="32"/>
  <c r="AI42" i="32" s="1"/>
  <c r="AJ42" i="32" s="1"/>
  <c r="AK42" i="32" s="1"/>
  <c r="S48" i="32"/>
  <c r="T48" i="32" s="1"/>
  <c r="U48" i="32" s="1"/>
  <c r="V48" i="32" s="1"/>
  <c r="AH41" i="32"/>
  <c r="AI41" i="32" s="1"/>
  <c r="AJ41" i="32" s="1"/>
  <c r="AK41" i="32" s="1"/>
  <c r="S46" i="32"/>
  <c r="T46" i="32" s="1"/>
  <c r="U46" i="32" s="1"/>
  <c r="V46" i="32" s="1"/>
  <c r="S30" i="32"/>
  <c r="T30" i="32" s="1"/>
  <c r="U30" i="32" s="1"/>
  <c r="V30" i="32" s="1"/>
  <c r="X28" i="32"/>
  <c r="Y28" i="32" s="1"/>
  <c r="Z28" i="32" s="1"/>
  <c r="AA28" i="32" s="1"/>
  <c r="X48" i="32"/>
  <c r="Y48" i="32" s="1"/>
  <c r="Z48" i="32" s="1"/>
  <c r="AA48" i="32" s="1"/>
  <c r="AC42" i="32"/>
  <c r="AD42" i="32" s="1"/>
  <c r="AE42" i="32" s="1"/>
  <c r="AF42" i="32" s="1"/>
  <c r="S58" i="32"/>
  <c r="T58" i="32" s="1"/>
  <c r="U58" i="32" s="1"/>
  <c r="V58" i="32" s="1"/>
  <c r="X45" i="32"/>
  <c r="Y45" i="32" s="1"/>
  <c r="Z45" i="32" s="1"/>
  <c r="AA45" i="32" s="1"/>
  <c r="AC51" i="32"/>
  <c r="AD51" i="32" s="1"/>
  <c r="AE51" i="32" s="1"/>
  <c r="AF51" i="32" s="1"/>
  <c r="C7" i="62"/>
  <c r="G7" i="62" s="1"/>
  <c r="C4" i="62"/>
  <c r="G4" i="62" s="1"/>
  <c r="S41" i="32"/>
  <c r="T41" i="32" s="1"/>
  <c r="U41" i="32" s="1"/>
  <c r="V41" i="32" s="1"/>
  <c r="AC41" i="32"/>
  <c r="AD41" i="32" s="1"/>
  <c r="AE41" i="32" s="1"/>
  <c r="AF41" i="32" s="1"/>
  <c r="S54" i="32"/>
  <c r="T54" i="32" s="1"/>
  <c r="U54" i="32" s="1"/>
  <c r="V54" i="32" s="1"/>
  <c r="AC62" i="32"/>
  <c r="AD62" i="32" s="1"/>
  <c r="AE62" i="32" s="1"/>
  <c r="AF62" i="32" s="1"/>
  <c r="AH62" i="32"/>
  <c r="AI62" i="32" s="1"/>
  <c r="AJ62" i="32" s="1"/>
  <c r="AK62" i="32" s="1"/>
  <c r="S62" i="32"/>
  <c r="T62" i="32" s="1"/>
  <c r="U62" i="32" s="1"/>
  <c r="V62" i="32" s="1"/>
  <c r="X41" i="32"/>
  <c r="Y41" i="32" s="1"/>
  <c r="Z41" i="32" s="1"/>
  <c r="AA41" i="32" s="1"/>
  <c r="X29" i="32"/>
  <c r="Y29" i="32" s="1"/>
  <c r="Z29" i="32" s="1"/>
  <c r="AA29" i="32" s="1"/>
  <c r="X50" i="32"/>
  <c r="Y50" i="32" s="1"/>
  <c r="Z50" i="32" s="1"/>
  <c r="AA50" i="32" s="1"/>
  <c r="S47" i="32"/>
  <c r="T47" i="32" s="1"/>
  <c r="U47" i="32" s="1"/>
  <c r="V47" i="32" s="1"/>
  <c r="AH58" i="32"/>
  <c r="AI58" i="32" s="1"/>
  <c r="AJ58" i="32" s="1"/>
  <c r="AK58" i="32" s="1"/>
  <c r="AH51" i="32"/>
  <c r="AI51" i="32" s="1"/>
  <c r="AJ51" i="32" s="1"/>
  <c r="AK51" i="32" s="1"/>
  <c r="S29" i="32"/>
  <c r="T29" i="32" s="1"/>
  <c r="U29" i="32" s="1"/>
  <c r="V29" i="32" s="1"/>
  <c r="AH29" i="32"/>
  <c r="AI29" i="32" s="1"/>
  <c r="AJ29" i="32" s="1"/>
  <c r="AK29" i="32" s="1"/>
  <c r="AC29" i="32"/>
  <c r="AD29" i="32" s="1"/>
  <c r="AE29" i="32" s="1"/>
  <c r="AF29" i="32" s="1"/>
  <c r="AH50" i="32"/>
  <c r="AI50" i="32" s="1"/>
  <c r="AJ50" i="32" s="1"/>
  <c r="AK50" i="32" s="1"/>
  <c r="AC50" i="32"/>
  <c r="AD50" i="32" s="1"/>
  <c r="AE50" i="32" s="1"/>
  <c r="AF50" i="32" s="1"/>
  <c r="X47" i="32"/>
  <c r="Y47" i="32" s="1"/>
  <c r="Z47" i="32" s="1"/>
  <c r="AA47" i="32" s="1"/>
  <c r="AH47" i="32"/>
  <c r="AI47" i="32" s="1"/>
  <c r="AJ47" i="32" s="1"/>
  <c r="AK47" i="32" s="1"/>
  <c r="X58" i="32"/>
  <c r="Y58" i="32" s="1"/>
  <c r="Z58" i="32" s="1"/>
  <c r="AA58" i="32" s="1"/>
  <c r="S28" i="32"/>
  <c r="T28" i="32" s="1"/>
  <c r="U28" i="32" s="1"/>
  <c r="V28" i="32" s="1"/>
  <c r="AH28" i="32"/>
  <c r="AI28" i="32" s="1"/>
  <c r="AJ28" i="32" s="1"/>
  <c r="AK28" i="32" s="1"/>
  <c r="AC28" i="32"/>
  <c r="AD28" i="32" s="1"/>
  <c r="AE28" i="32" s="1"/>
  <c r="AF28" i="32" s="1"/>
  <c r="AH48" i="32"/>
  <c r="AI48" i="32" s="1"/>
  <c r="AJ48" i="32" s="1"/>
  <c r="AK48" i="32" s="1"/>
  <c r="AC48" i="32"/>
  <c r="AD48" i="32" s="1"/>
  <c r="AE48" i="32" s="1"/>
  <c r="AF48" i="32" s="1"/>
  <c r="S45" i="32"/>
  <c r="T45" i="32" s="1"/>
  <c r="U45" i="32" s="1"/>
  <c r="V45" i="32" s="1"/>
  <c r="AC45" i="32"/>
  <c r="AD45" i="32" s="1"/>
  <c r="AE45" i="32" s="1"/>
  <c r="AF45" i="32" s="1"/>
  <c r="X51" i="32"/>
  <c r="Y51" i="32" s="1"/>
  <c r="Z51" i="32" s="1"/>
  <c r="AA51" i="32" s="1"/>
  <c r="S51" i="32"/>
  <c r="T51" i="32" s="1"/>
  <c r="U51" i="32" s="1"/>
  <c r="V51" i="32" s="1"/>
  <c r="AC15" i="32"/>
  <c r="AD15" i="32" s="1"/>
  <c r="AE15" i="32" s="1"/>
  <c r="AF15" i="32" s="1"/>
  <c r="S15" i="32"/>
  <c r="T15" i="32" s="1"/>
  <c r="U15" i="32" s="1"/>
  <c r="V15" i="32" s="1"/>
  <c r="AH15" i="32"/>
  <c r="AI15" i="32" s="1"/>
  <c r="AJ15" i="32" s="1"/>
  <c r="AK15" i="32" s="1"/>
  <c r="V78" i="66"/>
  <c r="AB30" i="32"/>
  <c r="X30" i="32" s="1"/>
  <c r="Y30" i="32" s="1"/>
  <c r="Z30" i="32" s="1"/>
  <c r="AA30" i="32" s="1"/>
  <c r="V97" i="66"/>
  <c r="AB49" i="32"/>
  <c r="V102" i="66"/>
  <c r="AB54" i="32"/>
  <c r="X54" i="32" s="1"/>
  <c r="Y54" i="32" s="1"/>
  <c r="Z54" i="32" s="1"/>
  <c r="AA54" i="32" s="1"/>
  <c r="V94" i="66"/>
  <c r="AB46" i="32"/>
  <c r="X46" i="32" s="1"/>
  <c r="Y46" i="32" s="1"/>
  <c r="Z46" i="32" s="1"/>
  <c r="AA46" i="32" s="1"/>
  <c r="X62" i="32"/>
  <c r="Y62" i="32" s="1"/>
  <c r="Z62" i="32" s="1"/>
  <c r="AA62" i="32" s="1"/>
  <c r="AC69" i="67"/>
  <c r="S69" i="67"/>
  <c r="T69" i="67" s="1"/>
  <c r="U69" i="67" s="1"/>
  <c r="V69" i="67" s="1"/>
  <c r="W69" i="67" s="1"/>
  <c r="X69" i="67" s="1"/>
  <c r="Y69" i="67" s="1"/>
  <c r="AN21" i="37" s="1"/>
  <c r="AC47" i="32"/>
  <c r="AD47" i="32" s="1"/>
  <c r="AE47" i="32" s="1"/>
  <c r="AF47" i="32" s="1"/>
  <c r="S42" i="32"/>
  <c r="T42" i="32" s="1"/>
  <c r="U42" i="32" s="1"/>
  <c r="V42" i="32" s="1"/>
  <c r="X15" i="32"/>
  <c r="Y15" i="32" s="1"/>
  <c r="Z15" i="32" s="1"/>
  <c r="AA15" i="32" s="1"/>
  <c r="AI110" i="66"/>
  <c r="AG110" i="66"/>
  <c r="AE110" i="66"/>
  <c r="AF110" i="66"/>
  <c r="AH110" i="66"/>
  <c r="AD110" i="66"/>
  <c r="AE118" i="66"/>
  <c r="AG118" i="66"/>
  <c r="AI118" i="66"/>
  <c r="AJ118" i="66" s="1"/>
  <c r="AF118" i="66"/>
  <c r="AD118" i="66"/>
  <c r="AH118" i="66"/>
  <c r="AD116" i="66"/>
  <c r="AF116" i="66"/>
  <c r="AH116" i="66"/>
  <c r="AG116" i="66"/>
  <c r="AE116" i="66"/>
  <c r="AI116" i="66"/>
  <c r="AJ116" i="66" s="1"/>
  <c r="AF69" i="66"/>
  <c r="AB82" i="32" s="1"/>
  <c r="AH69" i="66"/>
  <c r="AL82" i="32" s="1"/>
  <c r="AJ69" i="66"/>
  <c r="AN82" i="32" s="1"/>
  <c r="AE69" i="66"/>
  <c r="W82" i="32" s="1"/>
  <c r="AI69" i="66"/>
  <c r="AM82" i="32" s="1"/>
  <c r="AG69" i="66"/>
  <c r="AG82" i="32" s="1"/>
  <c r="AD69" i="66"/>
  <c r="R82" i="32" s="1"/>
  <c r="AE78" i="66"/>
  <c r="W91" i="32" s="1"/>
  <c r="AG78" i="66"/>
  <c r="AG91" i="32" s="1"/>
  <c r="AI78" i="66"/>
  <c r="AM91" i="32" s="1"/>
  <c r="AD78" i="66"/>
  <c r="R91" i="32" s="1"/>
  <c r="AF78" i="66"/>
  <c r="AB91" i="32" s="1"/>
  <c r="AH78" i="66"/>
  <c r="AL91" i="32" s="1"/>
  <c r="AE77" i="66"/>
  <c r="W90" i="32" s="1"/>
  <c r="AG77" i="66"/>
  <c r="AG90" i="32" s="1"/>
  <c r="AI77" i="66"/>
  <c r="AM90" i="32" s="1"/>
  <c r="AD77" i="66"/>
  <c r="R90" i="32" s="1"/>
  <c r="AF77" i="66"/>
  <c r="AB90" i="32" s="1"/>
  <c r="AH77" i="66"/>
  <c r="AL90" i="32" s="1"/>
  <c r="AD98" i="66"/>
  <c r="AF98" i="66"/>
  <c r="AH98" i="66"/>
  <c r="AE98" i="66"/>
  <c r="AI98" i="66"/>
  <c r="AG98" i="66"/>
  <c r="AE106" i="66"/>
  <c r="AG106" i="66"/>
  <c r="AI106" i="66"/>
  <c r="AD106" i="66"/>
  <c r="AH106" i="66"/>
  <c r="AF106" i="66"/>
  <c r="AE114" i="66"/>
  <c r="AG114" i="66"/>
  <c r="AI114" i="66"/>
  <c r="AJ114" i="66" s="1"/>
  <c r="AD114" i="66"/>
  <c r="AH114" i="66"/>
  <c r="AF114" i="66"/>
  <c r="AE119" i="66"/>
  <c r="AG119" i="66"/>
  <c r="AI119" i="66"/>
  <c r="AJ119" i="66" s="1"/>
  <c r="AD119" i="66"/>
  <c r="AH119" i="66"/>
  <c r="AF119" i="66"/>
  <c r="AE90" i="66"/>
  <c r="W103" i="32" s="1"/>
  <c r="AG90" i="66"/>
  <c r="AG103" i="32" s="1"/>
  <c r="AI90" i="66"/>
  <c r="AM103" i="32" s="1"/>
  <c r="AD90" i="66"/>
  <c r="R103" i="32" s="1"/>
  <c r="AH90" i="66"/>
  <c r="AL103" i="32" s="1"/>
  <c r="AF90" i="66"/>
  <c r="AB103" i="32" s="1"/>
  <c r="AD73" i="66"/>
  <c r="R86" i="32" s="1"/>
  <c r="AF73" i="66"/>
  <c r="AB86" i="32" s="1"/>
  <c r="AH73" i="66"/>
  <c r="AL86" i="32" s="1"/>
  <c r="AJ73" i="66"/>
  <c r="AN86" i="32" s="1"/>
  <c r="AG73" i="66"/>
  <c r="AG86" i="32" s="1"/>
  <c r="AE73" i="66"/>
  <c r="W86" i="32" s="1"/>
  <c r="AI73" i="66"/>
  <c r="AM86" i="32" s="1"/>
  <c r="AH93" i="66"/>
  <c r="AF93" i="66"/>
  <c r="AD93" i="66"/>
  <c r="AI93" i="66"/>
  <c r="AG93" i="66"/>
  <c r="AE93" i="66"/>
  <c r="AE63" i="66"/>
  <c r="W76" i="32" s="1"/>
  <c r="AG63" i="66"/>
  <c r="AG76" i="32" s="1"/>
  <c r="AI63" i="66"/>
  <c r="AM76" i="32" s="1"/>
  <c r="AF63" i="66"/>
  <c r="AB76" i="32" s="1"/>
  <c r="AJ63" i="66"/>
  <c r="AN76" i="32" s="1"/>
  <c r="AD63" i="66"/>
  <c r="R76" i="32" s="1"/>
  <c r="AH63" i="66"/>
  <c r="AL76" i="32" s="1"/>
  <c r="AI113" i="66"/>
  <c r="AJ113" i="66" s="1"/>
  <c r="AG113" i="66"/>
  <c r="AE113" i="66"/>
  <c r="AH113" i="66"/>
  <c r="AD113" i="66"/>
  <c r="AF113" i="66"/>
  <c r="AE115" i="66"/>
  <c r="AG115" i="66"/>
  <c r="AI115" i="66"/>
  <c r="AJ115" i="66" s="1"/>
  <c r="AF115" i="66"/>
  <c r="AD115" i="66"/>
  <c r="AH115" i="66"/>
  <c r="AH89" i="66"/>
  <c r="AL102" i="32" s="1"/>
  <c r="AF89" i="66"/>
  <c r="AB102" i="32" s="1"/>
  <c r="AD89" i="66"/>
  <c r="R102" i="32" s="1"/>
  <c r="AI89" i="66"/>
  <c r="AM102" i="32" s="1"/>
  <c r="AG89" i="66"/>
  <c r="AG102" i="32" s="1"/>
  <c r="AE89" i="66"/>
  <c r="W102" i="32" s="1"/>
  <c r="AE70" i="66"/>
  <c r="W83" i="32" s="1"/>
  <c r="AG70" i="66"/>
  <c r="AG83" i="32" s="1"/>
  <c r="AI70" i="66"/>
  <c r="AM83" i="32" s="1"/>
  <c r="AD70" i="66"/>
  <c r="R83" i="32" s="1"/>
  <c r="AF70" i="66"/>
  <c r="AB83" i="32" s="1"/>
  <c r="AH70" i="66"/>
  <c r="AL83" i="32" s="1"/>
  <c r="AJ70" i="66"/>
  <c r="AN83" i="32" s="1"/>
  <c r="AE95" i="66"/>
  <c r="AG95" i="66"/>
  <c r="AI95" i="66"/>
  <c r="AD95" i="66"/>
  <c r="AH95" i="66"/>
  <c r="AF95" i="66"/>
  <c r="AD94" i="66"/>
  <c r="AF94" i="66"/>
  <c r="AH94" i="66"/>
  <c r="AE94" i="66"/>
  <c r="AI94" i="66"/>
  <c r="AG94" i="66"/>
  <c r="AD117" i="66"/>
  <c r="AF117" i="66"/>
  <c r="AH117" i="66"/>
  <c r="AE117" i="66"/>
  <c r="AI117" i="66"/>
  <c r="AJ117" i="66" s="1"/>
  <c r="AG117" i="66"/>
  <c r="AE72" i="66"/>
  <c r="W85" i="32" s="1"/>
  <c r="AG72" i="66"/>
  <c r="AG85" i="32" s="1"/>
  <c r="AI72" i="66"/>
  <c r="AM85" i="32" s="1"/>
  <c r="AF72" i="66"/>
  <c r="AB85" i="32" s="1"/>
  <c r="AJ72" i="66"/>
  <c r="AN85" i="32" s="1"/>
  <c r="AD72" i="66"/>
  <c r="R85" i="32" s="1"/>
  <c r="AH72" i="66"/>
  <c r="AL85" i="32" s="1"/>
  <c r="AD71" i="66"/>
  <c r="R84" i="32" s="1"/>
  <c r="AF71" i="66"/>
  <c r="AB84" i="32" s="1"/>
  <c r="AH71" i="66"/>
  <c r="AL84" i="32" s="1"/>
  <c r="AJ71" i="66"/>
  <c r="AN84" i="32" s="1"/>
  <c r="AE71" i="66"/>
  <c r="W84" i="32" s="1"/>
  <c r="AI71" i="66"/>
  <c r="AM84" i="32" s="1"/>
  <c r="AG71" i="66"/>
  <c r="AG84" i="32" s="1"/>
  <c r="AF76" i="66"/>
  <c r="AB89" i="32" s="1"/>
  <c r="AH76" i="66"/>
  <c r="AL89" i="32" s="1"/>
  <c r="AD76" i="66"/>
  <c r="R89" i="32" s="1"/>
  <c r="AE76" i="66"/>
  <c r="W89" i="32" s="1"/>
  <c r="AG76" i="66"/>
  <c r="AG89" i="32" s="1"/>
  <c r="AI76" i="66"/>
  <c r="AM89" i="32" s="1"/>
  <c r="AD96" i="66"/>
  <c r="AF96" i="66"/>
  <c r="AH96" i="66"/>
  <c r="AE96" i="66"/>
  <c r="AI96" i="66"/>
  <c r="AG96" i="66"/>
  <c r="AE99" i="66"/>
  <c r="AG99" i="66"/>
  <c r="AI99" i="66"/>
  <c r="AD99" i="66"/>
  <c r="AH99" i="66"/>
  <c r="AF99" i="66"/>
  <c r="AE97" i="66"/>
  <c r="AG97" i="66"/>
  <c r="AI97" i="66"/>
  <c r="AD97" i="66"/>
  <c r="AH97" i="66"/>
  <c r="AF97" i="66"/>
  <c r="O67" i="37"/>
  <c r="AC113" i="67"/>
  <c r="O65" i="37"/>
  <c r="AC118" i="67"/>
  <c r="AC115" i="67"/>
  <c r="AC116" i="67"/>
  <c r="J16" i="37"/>
  <c r="T64" i="41"/>
  <c r="AN64" i="41"/>
  <c r="V64" i="41"/>
  <c r="Q64" i="41"/>
  <c r="M16" i="37" s="1"/>
  <c r="U64" i="41"/>
  <c r="W64" i="41"/>
  <c r="Y64" i="41"/>
  <c r="S64" i="41"/>
  <c r="AA64" i="41"/>
  <c r="X64" i="41"/>
  <c r="N87" i="41"/>
  <c r="H81" i="41"/>
  <c r="Z86" i="17"/>
  <c r="P86" i="41"/>
  <c r="AL86" i="17"/>
  <c r="Q86" i="17"/>
  <c r="AA118" i="41"/>
  <c r="Q118" i="41"/>
  <c r="S118" i="41" s="1"/>
  <c r="T118" i="41" s="1"/>
  <c r="U118" i="41" s="1"/>
  <c r="AN118" i="41"/>
  <c r="AN70" i="41"/>
  <c r="U70" i="41"/>
  <c r="J22" i="37"/>
  <c r="S70" i="41"/>
  <c r="V70" i="41"/>
  <c r="W70" i="41"/>
  <c r="AA70" i="41"/>
  <c r="Y70" i="41"/>
  <c r="T70" i="41"/>
  <c r="Q70" i="41"/>
  <c r="M22" i="37" s="1"/>
  <c r="X70" i="41"/>
  <c r="AN72" i="41"/>
  <c r="U72" i="41"/>
  <c r="V72" i="41"/>
  <c r="Y72" i="41"/>
  <c r="T72" i="41"/>
  <c r="S72" i="41"/>
  <c r="AA72" i="41"/>
  <c r="X72" i="41"/>
  <c r="J24" i="37"/>
  <c r="Q72" i="41"/>
  <c r="M24" i="37" s="1"/>
  <c r="W72" i="41"/>
  <c r="AA72" i="17"/>
  <c r="AM74" i="17"/>
  <c r="AN69" i="41"/>
  <c r="J21" i="37"/>
  <c r="X69" i="41"/>
  <c r="W69" i="41"/>
  <c r="Q69" i="41"/>
  <c r="M21" i="37" s="1"/>
  <c r="T69" i="41"/>
  <c r="S69" i="41"/>
  <c r="U69" i="41"/>
  <c r="AA69" i="41"/>
  <c r="V69" i="41"/>
  <c r="Y69" i="41"/>
  <c r="O21" i="37"/>
  <c r="W70" i="67"/>
  <c r="AL22" i="37" s="1"/>
  <c r="V70" i="67"/>
  <c r="AG22" i="37" s="1"/>
  <c r="Y70" i="67"/>
  <c r="AN22" i="37" s="1"/>
  <c r="X70" i="67"/>
  <c r="AM22" i="37" s="1"/>
  <c r="S70" i="67"/>
  <c r="R22" i="37" s="1"/>
  <c r="AC70" i="67"/>
  <c r="U70" i="67"/>
  <c r="AB22" i="37" s="1"/>
  <c r="T70" i="67"/>
  <c r="W22" i="37" s="1"/>
  <c r="O22" i="37"/>
  <c r="T90" i="41"/>
  <c r="W90" i="41"/>
  <c r="AA90" i="41"/>
  <c r="V90" i="41"/>
  <c r="Y90" i="41"/>
  <c r="Q90" i="41"/>
  <c r="M42" i="37" s="1"/>
  <c r="U90" i="41"/>
  <c r="J42" i="37"/>
  <c r="AN90" i="41"/>
  <c r="AO91" i="41" s="1"/>
  <c r="S90" i="41"/>
  <c r="X90" i="41"/>
  <c r="X98" i="67"/>
  <c r="AM50" i="37" s="1"/>
  <c r="Y98" i="67"/>
  <c r="AN50" i="37" s="1"/>
  <c r="V98" i="67"/>
  <c r="AG50" i="37" s="1"/>
  <c r="W98" i="67"/>
  <c r="AL50" i="37" s="1"/>
  <c r="T98" i="67"/>
  <c r="W50" i="37" s="1"/>
  <c r="U98" i="67"/>
  <c r="AB50" i="37" s="1"/>
  <c r="AC98" i="67"/>
  <c r="S98" i="67"/>
  <c r="R50" i="37" s="1"/>
  <c r="O50" i="37"/>
  <c r="S104" i="41"/>
  <c r="X104" i="41"/>
  <c r="J56" i="37"/>
  <c r="AA104" i="41"/>
  <c r="Y104" i="41"/>
  <c r="U104" i="41"/>
  <c r="T104" i="41"/>
  <c r="W104" i="41"/>
  <c r="V104" i="41"/>
  <c r="Q104" i="41"/>
  <c r="M56" i="37" s="1"/>
  <c r="AA77" i="17"/>
  <c r="AA78" i="17"/>
  <c r="AL82" i="17"/>
  <c r="Z82" i="17"/>
  <c r="Q82" i="17"/>
  <c r="P82" i="41"/>
  <c r="P81" i="41"/>
  <c r="AL81" i="17"/>
  <c r="Q81" i="17"/>
  <c r="Z81" i="17"/>
  <c r="K84" i="17"/>
  <c r="K86" i="17"/>
  <c r="K81" i="17"/>
  <c r="AA93" i="41"/>
  <c r="Y93" i="41"/>
  <c r="AN93" i="41"/>
  <c r="X93" i="41"/>
  <c r="T93" i="41"/>
  <c r="W93" i="41"/>
  <c r="Q93" i="41"/>
  <c r="M45" i="37" s="1"/>
  <c r="S93" i="41"/>
  <c r="J45" i="37"/>
  <c r="U93" i="41"/>
  <c r="V93" i="41"/>
  <c r="S95" i="41"/>
  <c r="T95" i="41"/>
  <c r="X95" i="41"/>
  <c r="U95" i="41"/>
  <c r="AA95" i="41"/>
  <c r="W95" i="41"/>
  <c r="Q95" i="41"/>
  <c r="M47" i="37" s="1"/>
  <c r="AN95" i="41"/>
  <c r="V95" i="41"/>
  <c r="Y95" i="41"/>
  <c r="J47" i="37"/>
  <c r="X98" i="41"/>
  <c r="Q98" i="41"/>
  <c r="M50" i="37" s="1"/>
  <c r="Y98" i="41"/>
  <c r="W98" i="41"/>
  <c r="AA98" i="41"/>
  <c r="AN98" i="41"/>
  <c r="V98" i="41"/>
  <c r="S98" i="41"/>
  <c r="J50" i="37"/>
  <c r="T98" i="41"/>
  <c r="U98" i="41"/>
  <c r="R66" i="32"/>
  <c r="W66" i="32"/>
  <c r="AC119" i="67"/>
  <c r="S119" i="67"/>
  <c r="T119" i="67" s="1"/>
  <c r="U119" i="67" s="1"/>
  <c r="V119" i="67" s="1"/>
  <c r="AC117" i="67"/>
  <c r="U66" i="66"/>
  <c r="AB18" i="32" s="1"/>
  <c r="X66" i="66"/>
  <c r="AM18" i="32" s="1"/>
  <c r="W66" i="66"/>
  <c r="AL18" i="32" s="1"/>
  <c r="AC66" i="66"/>
  <c r="R66" i="67"/>
  <c r="Y66" i="66"/>
  <c r="AN18" i="32" s="1"/>
  <c r="S66" i="66"/>
  <c r="R18" i="32" s="1"/>
  <c r="V66" i="66"/>
  <c r="AG18" i="32" s="1"/>
  <c r="T66" i="66"/>
  <c r="W18" i="32" s="1"/>
  <c r="W65" i="66"/>
  <c r="AL17" i="32" s="1"/>
  <c r="T65" i="66"/>
  <c r="W17" i="32" s="1"/>
  <c r="Y65" i="66"/>
  <c r="AN17" i="32" s="1"/>
  <c r="U65" i="66"/>
  <c r="AB17" i="32" s="1"/>
  <c r="R65" i="67"/>
  <c r="V65" i="66"/>
  <c r="AG17" i="32" s="1"/>
  <c r="S65" i="66"/>
  <c r="R17" i="32" s="1"/>
  <c r="X65" i="66"/>
  <c r="AM17" i="32" s="1"/>
  <c r="AC65" i="66"/>
  <c r="X102" i="41"/>
  <c r="T102" i="41"/>
  <c r="AA102" i="41"/>
  <c r="Y102" i="41"/>
  <c r="W102" i="41"/>
  <c r="Q102" i="41"/>
  <c r="M54" i="37" s="1"/>
  <c r="S102" i="41"/>
  <c r="U102" i="41"/>
  <c r="V102" i="41"/>
  <c r="J54" i="37"/>
  <c r="Z61" i="17"/>
  <c r="AL61" i="17"/>
  <c r="P67" i="17"/>
  <c r="P61" i="41"/>
  <c r="Q61" i="17"/>
  <c r="P65" i="41"/>
  <c r="AL65" i="17"/>
  <c r="Q65" i="17"/>
  <c r="Z65" i="17"/>
  <c r="AD107" i="67"/>
  <c r="AE107" i="67"/>
  <c r="AF107" i="67"/>
  <c r="AG107" i="67"/>
  <c r="AH107" i="67"/>
  <c r="AI107" i="67"/>
  <c r="AJ107" i="67"/>
  <c r="AC90" i="67"/>
  <c r="Y90" i="67"/>
  <c r="AN42" i="37" s="1"/>
  <c r="S90" i="67"/>
  <c r="R42" i="37" s="1"/>
  <c r="T90" i="67"/>
  <c r="W42" i="37" s="1"/>
  <c r="O42" i="37"/>
  <c r="U90" i="67"/>
  <c r="AB42" i="37" s="1"/>
  <c r="V90" i="67"/>
  <c r="AG42" i="37" s="1"/>
  <c r="W90" i="67"/>
  <c r="AL42" i="37" s="1"/>
  <c r="X90" i="67"/>
  <c r="AM42" i="37" s="1"/>
  <c r="AN115" i="41"/>
  <c r="Q115" i="41"/>
  <c r="S115" i="41" s="1"/>
  <c r="T115" i="41" s="1"/>
  <c r="U115" i="41" s="1"/>
  <c r="AA115" i="41"/>
  <c r="Q116" i="41"/>
  <c r="S116" i="41" s="1"/>
  <c r="T116" i="41" s="1"/>
  <c r="U116" i="41" s="1"/>
  <c r="AA116" i="41"/>
  <c r="AN116" i="41"/>
  <c r="J25" i="37"/>
  <c r="AA73" i="41"/>
  <c r="AN73" i="41"/>
  <c r="U73" i="41"/>
  <c r="W73" i="41"/>
  <c r="S73" i="41"/>
  <c r="V73" i="41"/>
  <c r="X73" i="41"/>
  <c r="Q73" i="41"/>
  <c r="M25" i="37" s="1"/>
  <c r="Y73" i="41"/>
  <c r="T73" i="41"/>
  <c r="AN71" i="41"/>
  <c r="T71" i="41"/>
  <c r="X71" i="41"/>
  <c r="W71" i="41"/>
  <c r="AA71" i="41"/>
  <c r="J23" i="37"/>
  <c r="S71" i="41"/>
  <c r="U71" i="41"/>
  <c r="V71" i="41"/>
  <c r="Q71" i="41"/>
  <c r="M23" i="37" s="1"/>
  <c r="Y71" i="41"/>
  <c r="AA71" i="17"/>
  <c r="W72" i="67"/>
  <c r="AL24" i="37" s="1"/>
  <c r="V72" i="67"/>
  <c r="AG24" i="37" s="1"/>
  <c r="Y72" i="67"/>
  <c r="AN24" i="37" s="1"/>
  <c r="X72" i="67"/>
  <c r="AM24" i="37" s="1"/>
  <c r="S72" i="67"/>
  <c r="R24" i="37" s="1"/>
  <c r="AC72" i="67"/>
  <c r="U72" i="67"/>
  <c r="AB24" i="37" s="1"/>
  <c r="T72" i="67"/>
  <c r="W24" i="37" s="1"/>
  <c r="O24" i="37"/>
  <c r="T73" i="67"/>
  <c r="W25" i="37" s="1"/>
  <c r="S73" i="67"/>
  <c r="R25" i="37" s="1"/>
  <c r="V73" i="67"/>
  <c r="AG25" i="37" s="1"/>
  <c r="U73" i="67"/>
  <c r="AB25" i="37" s="1"/>
  <c r="O25" i="37"/>
  <c r="X73" i="67"/>
  <c r="AM25" i="37" s="1"/>
  <c r="W73" i="67"/>
  <c r="AL25" i="37" s="1"/>
  <c r="AC73" i="67"/>
  <c r="Y73" i="67"/>
  <c r="AN25" i="37" s="1"/>
  <c r="V71" i="67"/>
  <c r="AG23" i="37" s="1"/>
  <c r="U71" i="67"/>
  <c r="AB23" i="37" s="1"/>
  <c r="T71" i="67"/>
  <c r="W23" i="37" s="1"/>
  <c r="S71" i="67"/>
  <c r="R23" i="37" s="1"/>
  <c r="O23" i="37"/>
  <c r="AC71" i="67"/>
  <c r="Y71" i="67"/>
  <c r="AN23" i="37" s="1"/>
  <c r="X71" i="67"/>
  <c r="AM23" i="37" s="1"/>
  <c r="W71" i="67"/>
  <c r="AL23" i="37" s="1"/>
  <c r="U99" i="67"/>
  <c r="AB51" i="37" s="1"/>
  <c r="V99" i="67"/>
  <c r="AG51" i="37" s="1"/>
  <c r="W99" i="67"/>
  <c r="AL51" i="37" s="1"/>
  <c r="X99" i="67"/>
  <c r="AM51" i="37" s="1"/>
  <c r="AC99" i="67"/>
  <c r="Y99" i="67"/>
  <c r="AN51" i="37" s="1"/>
  <c r="S99" i="67"/>
  <c r="R51" i="37" s="1"/>
  <c r="T99" i="67"/>
  <c r="W51" i="37" s="1"/>
  <c r="O51" i="37"/>
  <c r="R49" i="37"/>
  <c r="W49" i="37"/>
  <c r="AB49" i="37"/>
  <c r="AG49" i="37"/>
  <c r="AC97" i="67"/>
  <c r="AL49" i="37"/>
  <c r="AM49" i="37"/>
  <c r="AN49" i="37"/>
  <c r="O49" i="37"/>
  <c r="U63" i="67"/>
  <c r="AB15" i="37" s="1"/>
  <c r="V63" i="67"/>
  <c r="AG15" i="37" s="1"/>
  <c r="W63" i="67"/>
  <c r="AL15" i="37" s="1"/>
  <c r="X63" i="67"/>
  <c r="AM15" i="37" s="1"/>
  <c r="AC63" i="67"/>
  <c r="Y63" i="67"/>
  <c r="AN15" i="37" s="1"/>
  <c r="S63" i="67"/>
  <c r="R15" i="37" s="1"/>
  <c r="T63" i="67"/>
  <c r="W15" i="37" s="1"/>
  <c r="O15" i="37"/>
  <c r="J59" i="37"/>
  <c r="U107" i="41"/>
  <c r="W107" i="41"/>
  <c r="T107" i="41"/>
  <c r="Y107" i="41"/>
  <c r="X107" i="41"/>
  <c r="S107" i="41"/>
  <c r="Q107" i="41"/>
  <c r="M59" i="37" s="1"/>
  <c r="AA107" i="41"/>
  <c r="V107" i="41"/>
  <c r="AA63" i="17"/>
  <c r="K83" i="17"/>
  <c r="C68" i="37"/>
  <c r="B68" i="37"/>
  <c r="E68" i="37" s="1"/>
  <c r="G68" i="37"/>
  <c r="I68" i="37"/>
  <c r="H68" i="37"/>
  <c r="F68" i="37"/>
  <c r="W99" i="41"/>
  <c r="AA99" i="41"/>
  <c r="J51" i="37"/>
  <c r="V99" i="41"/>
  <c r="U99" i="41"/>
  <c r="T99" i="41"/>
  <c r="Y99" i="41"/>
  <c r="X99" i="41"/>
  <c r="Q99" i="41"/>
  <c r="M51" i="37" s="1"/>
  <c r="S99" i="41"/>
  <c r="AA97" i="41"/>
  <c r="T97" i="41"/>
  <c r="U97" i="41"/>
  <c r="X97" i="41"/>
  <c r="Q97" i="41"/>
  <c r="M49" i="37" s="1"/>
  <c r="Y97" i="41"/>
  <c r="W97" i="41"/>
  <c r="S97" i="41"/>
  <c r="J49" i="37"/>
  <c r="V97" i="41"/>
  <c r="AN97" i="41"/>
  <c r="W96" i="41"/>
  <c r="Y96" i="41"/>
  <c r="AN96" i="41"/>
  <c r="AA96" i="41"/>
  <c r="Q96" i="41"/>
  <c r="M48" i="37" s="1"/>
  <c r="J48" i="37"/>
  <c r="V96" i="41"/>
  <c r="U96" i="41"/>
  <c r="X96" i="41"/>
  <c r="T96" i="41"/>
  <c r="S96" i="41"/>
  <c r="Q94" i="41"/>
  <c r="M46" i="37" s="1"/>
  <c r="S94" i="41"/>
  <c r="X94" i="41"/>
  <c r="U94" i="41"/>
  <c r="T94" i="41"/>
  <c r="W94" i="41"/>
  <c r="Y94" i="41"/>
  <c r="AN94" i="41"/>
  <c r="AA94" i="41"/>
  <c r="V94" i="41"/>
  <c r="J46" i="37"/>
  <c r="AG105" i="67"/>
  <c r="AD105" i="67"/>
  <c r="AJ105" i="67"/>
  <c r="AE105" i="67"/>
  <c r="AF105" i="67"/>
  <c r="AI105" i="67"/>
  <c r="AH105" i="67"/>
  <c r="R65" i="32"/>
  <c r="W65" i="32"/>
  <c r="R70" i="32"/>
  <c r="W70" i="32"/>
  <c r="R67" i="32"/>
  <c r="W67" i="32"/>
  <c r="W68" i="32"/>
  <c r="R68" i="32"/>
  <c r="AA64" i="17"/>
  <c r="H12" i="59"/>
  <c r="I12" i="59" s="1"/>
  <c r="C26" i="56"/>
  <c r="Z85" i="17"/>
  <c r="AL85" i="17"/>
  <c r="P85" i="41"/>
  <c r="Q85" i="17"/>
  <c r="J57" i="37"/>
  <c r="V105" i="41"/>
  <c r="Q105" i="41"/>
  <c r="M57" i="37" s="1"/>
  <c r="T105" i="41"/>
  <c r="X105" i="41"/>
  <c r="Y105" i="41"/>
  <c r="U105" i="41"/>
  <c r="W105" i="41"/>
  <c r="S105" i="41"/>
  <c r="AA105" i="41"/>
  <c r="AC89" i="67"/>
  <c r="T89" i="67"/>
  <c r="W41" i="37" s="1"/>
  <c r="U89" i="67"/>
  <c r="AB41" i="37" s="1"/>
  <c r="V89" i="67"/>
  <c r="AG41" i="37" s="1"/>
  <c r="O41" i="37"/>
  <c r="W89" i="67"/>
  <c r="AL41" i="37" s="1"/>
  <c r="X89" i="67"/>
  <c r="AM41" i="37" s="1"/>
  <c r="Y89" i="67"/>
  <c r="AN41" i="37" s="1"/>
  <c r="S89" i="67"/>
  <c r="R41" i="37" s="1"/>
  <c r="J65" i="37"/>
  <c r="AN113" i="41"/>
  <c r="Q113" i="41"/>
  <c r="AA113" i="41"/>
  <c r="Q119" i="41"/>
  <c r="S119" i="41" s="1"/>
  <c r="T119" i="41" s="1"/>
  <c r="U119" i="41" s="1"/>
  <c r="AA119" i="41"/>
  <c r="AN119" i="41"/>
  <c r="AA70" i="17"/>
  <c r="AA69" i="17"/>
  <c r="W21" i="32"/>
  <c r="R21" i="32"/>
  <c r="R22" i="32"/>
  <c r="W22" i="32"/>
  <c r="AB30" i="37"/>
  <c r="W30" i="37"/>
  <c r="R30" i="37"/>
  <c r="AC78" i="67"/>
  <c r="O30" i="37"/>
  <c r="AN30" i="37"/>
  <c r="AM30" i="37"/>
  <c r="AL30" i="37"/>
  <c r="AG30" i="37"/>
  <c r="AC77" i="67"/>
  <c r="Y77" i="67"/>
  <c r="AN29" i="37" s="1"/>
  <c r="X77" i="67"/>
  <c r="AM29" i="37" s="1"/>
  <c r="W77" i="67"/>
  <c r="AL29" i="37" s="1"/>
  <c r="V77" i="67"/>
  <c r="AG29" i="37" s="1"/>
  <c r="U77" i="67"/>
  <c r="AB29" i="37" s="1"/>
  <c r="T77" i="67"/>
  <c r="W29" i="37" s="1"/>
  <c r="S77" i="67"/>
  <c r="R29" i="37" s="1"/>
  <c r="O29" i="37"/>
  <c r="AC95" i="67"/>
  <c r="Y95" i="67"/>
  <c r="AN47" i="37" s="1"/>
  <c r="S95" i="67"/>
  <c r="R47" i="37" s="1"/>
  <c r="T95" i="67"/>
  <c r="W47" i="37" s="1"/>
  <c r="O47" i="37"/>
  <c r="U95" i="67"/>
  <c r="AB47" i="37" s="1"/>
  <c r="V95" i="67"/>
  <c r="AG47" i="37" s="1"/>
  <c r="W95" i="67"/>
  <c r="AL47" i="37" s="1"/>
  <c r="X95" i="67"/>
  <c r="AM47" i="37" s="1"/>
  <c r="W46" i="37"/>
  <c r="AB46" i="37"/>
  <c r="AC94" i="67"/>
  <c r="R46" i="37"/>
  <c r="O46" i="37"/>
  <c r="AM46" i="37"/>
  <c r="AN46" i="37"/>
  <c r="AG46" i="37"/>
  <c r="AL46" i="37"/>
  <c r="T77" i="41"/>
  <c r="U77" i="41"/>
  <c r="X77" i="41"/>
  <c r="Q77" i="41"/>
  <c r="M29" i="37" s="1"/>
  <c r="Y77" i="41"/>
  <c r="W77" i="41"/>
  <c r="AA77" i="41"/>
  <c r="AN77" i="41"/>
  <c r="V77" i="41"/>
  <c r="S77" i="41"/>
  <c r="J29" i="37"/>
  <c r="Q78" i="41"/>
  <c r="AA78" i="41"/>
  <c r="AN78" i="41"/>
  <c r="J30" i="37"/>
  <c r="S106" i="67"/>
  <c r="R58" i="37" s="1"/>
  <c r="T106" i="67"/>
  <c r="W58" i="37" s="1"/>
  <c r="AC106" i="67"/>
  <c r="Y106" i="67"/>
  <c r="AN58" i="37" s="1"/>
  <c r="O58" i="37"/>
  <c r="W106" i="67"/>
  <c r="AL58" i="37" s="1"/>
  <c r="X106" i="67"/>
  <c r="AM58" i="37" s="1"/>
  <c r="U106" i="67"/>
  <c r="AB58" i="37" s="1"/>
  <c r="V106" i="67"/>
  <c r="AG58" i="37" s="1"/>
  <c r="Z83" i="17"/>
  <c r="Q83" i="17"/>
  <c r="P83" i="41"/>
  <c r="AL83" i="17"/>
  <c r="Z84" i="17"/>
  <c r="Q84" i="17"/>
  <c r="P84" i="41"/>
  <c r="AL84" i="17"/>
  <c r="Q67" i="37"/>
  <c r="AA67" i="37"/>
  <c r="X67" i="37"/>
  <c r="AV67" i="37"/>
  <c r="Y67" i="37"/>
  <c r="AP67" i="37"/>
  <c r="K67" i="37"/>
  <c r="V67" i="37"/>
  <c r="AT67" i="37"/>
  <c r="AO67" i="37"/>
  <c r="AE67" i="37"/>
  <c r="AJ67" i="37"/>
  <c r="AF67" i="37"/>
  <c r="AH67" i="37"/>
  <c r="AD67" i="37"/>
  <c r="AS67" i="37"/>
  <c r="U67" i="37"/>
  <c r="S67" i="37"/>
  <c r="Z67" i="37"/>
  <c r="AI67" i="37"/>
  <c r="AQ67" i="37"/>
  <c r="AR67" i="37"/>
  <c r="N67" i="37"/>
  <c r="L67" i="37"/>
  <c r="AC67" i="37"/>
  <c r="AK67" i="37"/>
  <c r="P67" i="37"/>
  <c r="AU67" i="37"/>
  <c r="T67" i="37"/>
  <c r="J67" i="37"/>
  <c r="D14" i="62"/>
  <c r="AC114" i="67"/>
  <c r="W71" i="32"/>
  <c r="R71" i="32"/>
  <c r="R69" i="32"/>
  <c r="W69" i="32"/>
  <c r="U61" i="66"/>
  <c r="AB13" i="32" s="1"/>
  <c r="T61" i="66"/>
  <c r="W13" i="32" s="1"/>
  <c r="W61" i="66"/>
  <c r="AL13" i="32" s="1"/>
  <c r="AC61" i="66"/>
  <c r="R61" i="67"/>
  <c r="Y61" i="66"/>
  <c r="AN13" i="32" s="1"/>
  <c r="S61" i="66"/>
  <c r="R13" i="32" s="1"/>
  <c r="X61" i="66"/>
  <c r="AM13" i="32" s="1"/>
  <c r="V61" i="66"/>
  <c r="AG13" i="32" s="1"/>
  <c r="U64" i="66"/>
  <c r="AB16" i="32" s="1"/>
  <c r="X64" i="66"/>
  <c r="AM16" i="32" s="1"/>
  <c r="W64" i="66"/>
  <c r="AL16" i="32" s="1"/>
  <c r="AC64" i="66"/>
  <c r="R64" i="67"/>
  <c r="Y64" i="66"/>
  <c r="AN16" i="32" s="1"/>
  <c r="S64" i="66"/>
  <c r="R16" i="32" s="1"/>
  <c r="V64" i="66"/>
  <c r="AG16" i="32" s="1"/>
  <c r="T64" i="66"/>
  <c r="W16" i="32" s="1"/>
  <c r="P66" i="41"/>
  <c r="Q66" i="17"/>
  <c r="AL66" i="17"/>
  <c r="Z66" i="17"/>
  <c r="K85" i="17"/>
  <c r="Q114" i="41"/>
  <c r="AA114" i="41"/>
  <c r="AN114" i="41"/>
  <c r="Q117" i="41"/>
  <c r="S117" i="41" s="1"/>
  <c r="T117" i="41" s="1"/>
  <c r="U117" i="41" s="1"/>
  <c r="AN117" i="41"/>
  <c r="AA117" i="41"/>
  <c r="AA73" i="17"/>
  <c r="R24" i="32"/>
  <c r="W24" i="32"/>
  <c r="W25" i="32"/>
  <c r="R25" i="32"/>
  <c r="W23" i="32"/>
  <c r="R23" i="32"/>
  <c r="AC76" i="67"/>
  <c r="T76" i="67"/>
  <c r="W28" i="37" s="1"/>
  <c r="U76" i="67"/>
  <c r="AB28" i="37" s="1"/>
  <c r="V76" i="67"/>
  <c r="AG28" i="37" s="1"/>
  <c r="O28" i="37"/>
  <c r="W76" i="67"/>
  <c r="AL28" i="37" s="1"/>
  <c r="X76" i="67"/>
  <c r="AM28" i="37" s="1"/>
  <c r="Y76" i="67"/>
  <c r="AN28" i="37" s="1"/>
  <c r="S76" i="67"/>
  <c r="R28" i="37" s="1"/>
  <c r="V96" i="67"/>
  <c r="AG48" i="37" s="1"/>
  <c r="W96" i="67"/>
  <c r="AL48" i="37" s="1"/>
  <c r="X96" i="67"/>
  <c r="AM48" i="37" s="1"/>
  <c r="Y96" i="67"/>
  <c r="AN48" i="37" s="1"/>
  <c r="AC96" i="67"/>
  <c r="S96" i="67"/>
  <c r="R48" i="37" s="1"/>
  <c r="T96" i="67"/>
  <c r="W48" i="37" s="1"/>
  <c r="U96" i="67"/>
  <c r="AB48" i="37" s="1"/>
  <c r="O48" i="37"/>
  <c r="U93" i="67"/>
  <c r="AB45" i="37" s="1"/>
  <c r="V93" i="67"/>
  <c r="AG45" i="37" s="1"/>
  <c r="AC93" i="67"/>
  <c r="T93" i="67"/>
  <c r="W45" i="37" s="1"/>
  <c r="O45" i="37"/>
  <c r="Y93" i="67"/>
  <c r="AN45" i="37" s="1"/>
  <c r="S93" i="67"/>
  <c r="R45" i="37" s="1"/>
  <c r="W93" i="67"/>
  <c r="AL45" i="37" s="1"/>
  <c r="X93" i="67"/>
  <c r="AM45" i="37" s="1"/>
  <c r="AI106" i="41"/>
  <c r="AG106" i="41"/>
  <c r="AH106" i="41"/>
  <c r="AB106" i="41"/>
  <c r="AE106" i="41"/>
  <c r="AJ106" i="41"/>
  <c r="AD106" i="41"/>
  <c r="AF106" i="41"/>
  <c r="X76" i="41"/>
  <c r="T76" i="41"/>
  <c r="S76" i="41"/>
  <c r="W76" i="41"/>
  <c r="Q76" i="41"/>
  <c r="M28" i="37" s="1"/>
  <c r="AN76" i="41"/>
  <c r="AO76" i="41" s="1"/>
  <c r="AA76" i="41"/>
  <c r="U76" i="41"/>
  <c r="J28" i="37"/>
  <c r="V76" i="41"/>
  <c r="Y76" i="41"/>
  <c r="AA76" i="17"/>
  <c r="AN62" i="41"/>
  <c r="W62" i="41"/>
  <c r="T62" i="41"/>
  <c r="S62" i="41"/>
  <c r="Q62" i="41"/>
  <c r="M14" i="37" s="1"/>
  <c r="V62" i="41"/>
  <c r="U62" i="41"/>
  <c r="Y62" i="41"/>
  <c r="J14" i="37"/>
  <c r="X62" i="41"/>
  <c r="AA62" i="41"/>
  <c r="AG54" i="37"/>
  <c r="AL54" i="37"/>
  <c r="AM54" i="37"/>
  <c r="AN54" i="37"/>
  <c r="AC102" i="67"/>
  <c r="AD102" i="67" s="1"/>
  <c r="AE102" i="67" s="1"/>
  <c r="R54" i="37"/>
  <c r="W54" i="37"/>
  <c r="AB54" i="37"/>
  <c r="O54" i="37"/>
  <c r="K82" i="17"/>
  <c r="AW70" i="37"/>
  <c r="AX70" i="37" s="1"/>
  <c r="A69" i="37"/>
  <c r="Q103" i="41"/>
  <c r="M55" i="37" s="1"/>
  <c r="T103" i="41"/>
  <c r="Y103" i="41"/>
  <c r="W103" i="41"/>
  <c r="V103" i="41"/>
  <c r="U103" i="41"/>
  <c r="S103" i="41"/>
  <c r="AA103" i="41"/>
  <c r="X103" i="41"/>
  <c r="J55" i="37"/>
  <c r="I28" i="15"/>
  <c r="E58" i="38"/>
  <c r="AM105" i="32"/>
  <c r="AN105" i="32"/>
  <c r="AG105" i="32"/>
  <c r="AL105" i="32"/>
  <c r="W105" i="32"/>
  <c r="AB105" i="32"/>
  <c r="R105" i="32"/>
  <c r="E105" i="32"/>
  <c r="D105" i="32"/>
  <c r="F105" i="32"/>
  <c r="B105" i="32"/>
  <c r="H105" i="32"/>
  <c r="I105" i="32"/>
  <c r="G105" i="32"/>
  <c r="C105" i="32"/>
  <c r="AX107" i="32"/>
  <c r="AY107" i="32" s="1"/>
  <c r="A106" i="32"/>
  <c r="U104" i="32"/>
  <c r="AV104" i="32"/>
  <c r="AR104" i="32"/>
  <c r="AJ104" i="32"/>
  <c r="AE104" i="32"/>
  <c r="AQ104" i="32"/>
  <c r="AD104" i="32"/>
  <c r="V104" i="32"/>
  <c r="AS104" i="32"/>
  <c r="X104" i="32"/>
  <c r="AW104" i="32"/>
  <c r="AO104" i="32"/>
  <c r="AH104" i="32"/>
  <c r="T104" i="32"/>
  <c r="Z104" i="32"/>
  <c r="AA104" i="32"/>
  <c r="AC104" i="32"/>
  <c r="AI104" i="32"/>
  <c r="S104" i="32"/>
  <c r="Q104" i="32"/>
  <c r="AF104" i="32"/>
  <c r="Y104" i="32"/>
  <c r="AK104" i="32"/>
  <c r="N104" i="32"/>
  <c r="AP104" i="32"/>
  <c r="P104" i="32"/>
  <c r="AT104" i="32"/>
  <c r="AU104" i="32"/>
  <c r="D58" i="20"/>
  <c r="G64" i="36"/>
  <c r="D64" i="36"/>
  <c r="I58" i="20"/>
  <c r="H64" i="36"/>
  <c r="J64" i="36"/>
  <c r="F64" i="36"/>
  <c r="B59" i="38"/>
  <c r="I59" i="38" s="1"/>
  <c r="H59" i="38"/>
  <c r="F59" i="38"/>
  <c r="C59" i="38"/>
  <c r="G59" i="38"/>
  <c r="F59" i="20"/>
  <c r="H59" i="20"/>
  <c r="C59" i="20"/>
  <c r="G59" i="20"/>
  <c r="B59" i="20"/>
  <c r="I59" i="20" s="1"/>
  <c r="A66" i="36"/>
  <c r="AV67" i="36"/>
  <c r="AW67" i="36" s="1"/>
  <c r="I58" i="38"/>
  <c r="I64" i="36"/>
  <c r="AN64" i="36"/>
  <c r="O64" i="36"/>
  <c r="AQ64" i="36"/>
  <c r="AM64" i="36"/>
  <c r="R64" i="36"/>
  <c r="K64" i="36"/>
  <c r="AU64" i="36"/>
  <c r="AC64" i="36"/>
  <c r="V64" i="36"/>
  <c r="L64" i="36"/>
  <c r="AL64" i="36"/>
  <c r="T64" i="36"/>
  <c r="U64" i="36"/>
  <c r="Y64" i="36"/>
  <c r="AR64" i="36"/>
  <c r="AG64" i="36"/>
  <c r="N64" i="36"/>
  <c r="AI64" i="36"/>
  <c r="AH64" i="36"/>
  <c r="AE64" i="36"/>
  <c r="Z64" i="36"/>
  <c r="AT64" i="36"/>
  <c r="AK64" i="36"/>
  <c r="W64" i="36"/>
  <c r="AO64" i="36"/>
  <c r="AS64" i="36"/>
  <c r="AP64" i="36"/>
  <c r="X64" i="36"/>
  <c r="AD64" i="36"/>
  <c r="AA64" i="36"/>
  <c r="AF64" i="36"/>
  <c r="M64" i="36"/>
  <c r="AJ64" i="36"/>
  <c r="AB64" i="36"/>
  <c r="S64" i="36"/>
  <c r="P64" i="36"/>
  <c r="Q64" i="36"/>
  <c r="K61" i="38"/>
  <c r="L61" i="38" s="1"/>
  <c r="A60" i="38"/>
  <c r="K61" i="20"/>
  <c r="L61" i="20" s="1"/>
  <c r="A60" i="20"/>
  <c r="B65" i="36"/>
  <c r="I65" i="36"/>
  <c r="E65" i="36"/>
  <c r="G65" i="36"/>
  <c r="C65" i="36"/>
  <c r="H65" i="36"/>
  <c r="J65" i="36"/>
  <c r="F65" i="36"/>
  <c r="D65" i="36"/>
  <c r="F73" i="19"/>
  <c r="H73" i="19"/>
  <c r="E73" i="19"/>
  <c r="J73" i="19"/>
  <c r="D73" i="19"/>
  <c r="I73" i="19"/>
  <c r="AV76" i="19"/>
  <c r="AW76" i="19" s="1"/>
  <c r="A75" i="19"/>
  <c r="AC73" i="19"/>
  <c r="AL73" i="19"/>
  <c r="AG73" i="19"/>
  <c r="M73" i="19"/>
  <c r="Q73" i="19"/>
  <c r="N73" i="19"/>
  <c r="AN73" i="19"/>
  <c r="K73" i="19"/>
  <c r="P73" i="19"/>
  <c r="AB73" i="19"/>
  <c r="AM73" i="19"/>
  <c r="AJ73" i="19"/>
  <c r="AF73" i="19"/>
  <c r="AP73" i="19"/>
  <c r="AQ73" i="19"/>
  <c r="W73" i="19"/>
  <c r="T73" i="19"/>
  <c r="AK73" i="19"/>
  <c r="O73" i="19"/>
  <c r="X73" i="19"/>
  <c r="AU73" i="19"/>
  <c r="AH73" i="19"/>
  <c r="AO73" i="19"/>
  <c r="AA73" i="19"/>
  <c r="AI73" i="19"/>
  <c r="AD73" i="19"/>
  <c r="Y73" i="19"/>
  <c r="AR73" i="19"/>
  <c r="AT73" i="19"/>
  <c r="S73" i="19"/>
  <c r="AE73" i="19"/>
  <c r="V73" i="19"/>
  <c r="R73" i="19"/>
  <c r="L73" i="19"/>
  <c r="Z73" i="19"/>
  <c r="U73" i="19"/>
  <c r="AS73" i="19"/>
  <c r="B74" i="19"/>
  <c r="F74" i="19" s="1"/>
  <c r="C74" i="19"/>
  <c r="X49" i="32" l="1"/>
  <c r="Y49" i="32" s="1"/>
  <c r="Z49" i="32" s="1"/>
  <c r="AA49" i="32" s="1"/>
  <c r="AH62" i="66"/>
  <c r="AL75" i="32" s="1"/>
  <c r="AF62" i="66"/>
  <c r="AB75" i="32" s="1"/>
  <c r="AD62" i="66"/>
  <c r="R75" i="32" s="1"/>
  <c r="AG62" i="66"/>
  <c r="AG75" i="32" s="1"/>
  <c r="AI62" i="66"/>
  <c r="AM75" i="32" s="1"/>
  <c r="AE62" i="66"/>
  <c r="W75" i="32" s="1"/>
  <c r="S14" i="32"/>
  <c r="T14" i="32" s="1"/>
  <c r="U14" i="32" s="1"/>
  <c r="V14" i="32" s="1"/>
  <c r="Y62" i="67"/>
  <c r="AN14" i="37" s="1"/>
  <c r="AC14" i="32"/>
  <c r="AD14" i="32" s="1"/>
  <c r="AE14" i="32" s="1"/>
  <c r="AF14" i="32" s="1"/>
  <c r="X14" i="32"/>
  <c r="Y14" i="32" s="1"/>
  <c r="Z14" i="32" s="1"/>
  <c r="AA14" i="32" s="1"/>
  <c r="S62" i="67"/>
  <c r="R14" i="37" s="1"/>
  <c r="T62" i="67"/>
  <c r="W14" i="37" s="1"/>
  <c r="AC62" i="67"/>
  <c r="AI62" i="67" s="1"/>
  <c r="W62" i="67"/>
  <c r="AL14" i="37" s="1"/>
  <c r="O14" i="37"/>
  <c r="X62" i="67"/>
  <c r="AM14" i="37" s="1"/>
  <c r="U62" i="67"/>
  <c r="AB14" i="37" s="1"/>
  <c r="AH14" i="32"/>
  <c r="AI14" i="32" s="1"/>
  <c r="AJ14" i="32" s="1"/>
  <c r="AK14" i="32" s="1"/>
  <c r="AD104" i="67"/>
  <c r="AA63" i="41"/>
  <c r="AI63" i="41" s="1"/>
  <c r="AN63" i="41"/>
  <c r="Q63" i="41"/>
  <c r="M15" i="37" s="1"/>
  <c r="S63" i="41"/>
  <c r="V63" i="41"/>
  <c r="W63" i="41"/>
  <c r="X63" i="41"/>
  <c r="T63" i="41"/>
  <c r="J15" i="37"/>
  <c r="U63" i="41"/>
  <c r="AJ104" i="67"/>
  <c r="AI104" i="67"/>
  <c r="AM21" i="37"/>
  <c r="AH104" i="67"/>
  <c r="AG104" i="67"/>
  <c r="AF104" i="67"/>
  <c r="W21" i="37"/>
  <c r="R21" i="37"/>
  <c r="AI103" i="67"/>
  <c r="AJ103" i="67"/>
  <c r="AE103" i="67"/>
  <c r="AH103" i="67"/>
  <c r="AD103" i="67"/>
  <c r="AG103" i="67"/>
  <c r="AB21" i="37"/>
  <c r="AL21" i="37"/>
  <c r="AG21" i="37"/>
  <c r="C14" i="62"/>
  <c r="G14" i="62" s="1"/>
  <c r="M67" i="37"/>
  <c r="AJ114" i="67"/>
  <c r="AI114" i="67"/>
  <c r="AH114" i="67"/>
  <c r="AF114" i="67"/>
  <c r="AE114" i="67"/>
  <c r="AD114" i="67"/>
  <c r="AG114" i="67"/>
  <c r="AD117" i="67"/>
  <c r="AI117" i="67"/>
  <c r="AH117" i="67"/>
  <c r="AG117" i="67"/>
  <c r="AF117" i="67"/>
  <c r="AE117" i="67"/>
  <c r="AJ117" i="67"/>
  <c r="AH116" i="67"/>
  <c r="AG116" i="67"/>
  <c r="AF116" i="67"/>
  <c r="AD116" i="67"/>
  <c r="AJ116" i="67"/>
  <c r="AI116" i="67"/>
  <c r="AE116" i="67"/>
  <c r="AH115" i="67"/>
  <c r="AF115" i="67"/>
  <c r="AJ115" i="67"/>
  <c r="AI115" i="67"/>
  <c r="AG115" i="67"/>
  <c r="AE115" i="67"/>
  <c r="AD115" i="67"/>
  <c r="AJ119" i="67"/>
  <c r="AI119" i="67"/>
  <c r="AG119" i="67"/>
  <c r="AF119" i="67"/>
  <c r="AE119" i="67"/>
  <c r="AD119" i="67"/>
  <c r="AH119" i="67"/>
  <c r="AH113" i="67"/>
  <c r="AE113" i="67"/>
  <c r="AD113" i="67"/>
  <c r="AJ113" i="67"/>
  <c r="AI113" i="67"/>
  <c r="AG113" i="67"/>
  <c r="AF113" i="67"/>
  <c r="AI118" i="67"/>
  <c r="AF118" i="67"/>
  <c r="AE118" i="67"/>
  <c r="AD118" i="67"/>
  <c r="AJ118" i="67"/>
  <c r="AH118" i="67"/>
  <c r="AG118" i="67"/>
  <c r="X16" i="32"/>
  <c r="Y16" i="32" s="1"/>
  <c r="Z16" i="32" s="1"/>
  <c r="AA16" i="32" s="1"/>
  <c r="AC103" i="32"/>
  <c r="AD103" i="32" s="1"/>
  <c r="AE103" i="32" s="1"/>
  <c r="AF103" i="32" s="1"/>
  <c r="X86" i="32"/>
  <c r="Y86" i="32" s="1"/>
  <c r="Z86" i="32" s="1"/>
  <c r="AA86" i="32" s="1"/>
  <c r="AH90" i="32"/>
  <c r="AI90" i="32" s="1"/>
  <c r="AJ90" i="32" s="1"/>
  <c r="AK90" i="32" s="1"/>
  <c r="AC76" i="32"/>
  <c r="AD76" i="32" s="1"/>
  <c r="AE76" i="32" s="1"/>
  <c r="AF76" i="32" s="1"/>
  <c r="AH91" i="32"/>
  <c r="AI91" i="32" s="1"/>
  <c r="AJ91" i="32" s="1"/>
  <c r="AK91" i="32" s="1"/>
  <c r="AH83" i="32"/>
  <c r="AI83" i="32" s="1"/>
  <c r="AJ83" i="32" s="1"/>
  <c r="AK83" i="32" s="1"/>
  <c r="AC85" i="32"/>
  <c r="AD85" i="32" s="1"/>
  <c r="AE85" i="32" s="1"/>
  <c r="AF85" i="32" s="1"/>
  <c r="X18" i="32"/>
  <c r="Y18" i="32" s="1"/>
  <c r="Z18" i="32" s="1"/>
  <c r="AA18" i="32" s="1"/>
  <c r="X102" i="32"/>
  <c r="Y102" i="32" s="1"/>
  <c r="Z102" i="32" s="1"/>
  <c r="AA102" i="32" s="1"/>
  <c r="AE63" i="67"/>
  <c r="AF63" i="67"/>
  <c r="AD63" i="67"/>
  <c r="AG63" i="67"/>
  <c r="AH63" i="67"/>
  <c r="AI63" i="67"/>
  <c r="AJ63" i="67"/>
  <c r="AH18" i="32"/>
  <c r="AI18" i="32" s="1"/>
  <c r="AJ18" i="32" s="1"/>
  <c r="AK18" i="32" s="1"/>
  <c r="S66" i="32"/>
  <c r="T66" i="32" s="1"/>
  <c r="U66" i="32" s="1"/>
  <c r="V66" i="32" s="1"/>
  <c r="S22" i="32"/>
  <c r="T22" i="32" s="1"/>
  <c r="U22" i="32" s="1"/>
  <c r="V22" i="32" s="1"/>
  <c r="S68" i="32"/>
  <c r="T68" i="32" s="1"/>
  <c r="U68" i="32" s="1"/>
  <c r="V68" i="32" s="1"/>
  <c r="AC18" i="32"/>
  <c r="AD18" i="32" s="1"/>
  <c r="AE18" i="32" s="1"/>
  <c r="AF18" i="32" s="1"/>
  <c r="S24" i="32"/>
  <c r="T24" i="32" s="1"/>
  <c r="U24" i="32" s="1"/>
  <c r="V24" i="32" s="1"/>
  <c r="AH16" i="32"/>
  <c r="AI16" i="32" s="1"/>
  <c r="AJ16" i="32" s="1"/>
  <c r="AK16" i="32" s="1"/>
  <c r="AC16" i="32"/>
  <c r="AD16" i="32" s="1"/>
  <c r="AE16" i="32" s="1"/>
  <c r="AF16" i="32" s="1"/>
  <c r="S71" i="32"/>
  <c r="T71" i="32" s="1"/>
  <c r="U71" i="32" s="1"/>
  <c r="V71" i="32" s="1"/>
  <c r="X89" i="32"/>
  <c r="Y89" i="32" s="1"/>
  <c r="Z89" i="32" s="1"/>
  <c r="AA89" i="32" s="1"/>
  <c r="AH89" i="32"/>
  <c r="AI89" i="32" s="1"/>
  <c r="AJ89" i="32" s="1"/>
  <c r="AK89" i="32" s="1"/>
  <c r="X84" i="32"/>
  <c r="Y84" i="32" s="1"/>
  <c r="Z84" i="32" s="1"/>
  <c r="AA84" i="32" s="1"/>
  <c r="S85" i="32"/>
  <c r="T85" i="32" s="1"/>
  <c r="U85" i="32" s="1"/>
  <c r="V85" i="32" s="1"/>
  <c r="S83" i="32"/>
  <c r="T83" i="32" s="1"/>
  <c r="U83" i="32" s="1"/>
  <c r="V83" i="32" s="1"/>
  <c r="AC102" i="32"/>
  <c r="AD102" i="32" s="1"/>
  <c r="AE102" i="32" s="1"/>
  <c r="AF102" i="32" s="1"/>
  <c r="AH76" i="32"/>
  <c r="AI76" i="32" s="1"/>
  <c r="AJ76" i="32" s="1"/>
  <c r="AK76" i="32" s="1"/>
  <c r="X76" i="32"/>
  <c r="Y76" i="32" s="1"/>
  <c r="Z76" i="32" s="1"/>
  <c r="AA76" i="32" s="1"/>
  <c r="AC86" i="32"/>
  <c r="AD86" i="32" s="1"/>
  <c r="AE86" i="32" s="1"/>
  <c r="AF86" i="32" s="1"/>
  <c r="S103" i="32"/>
  <c r="T103" i="32" s="1"/>
  <c r="U103" i="32" s="1"/>
  <c r="V103" i="32" s="1"/>
  <c r="S90" i="32"/>
  <c r="T90" i="32" s="1"/>
  <c r="U90" i="32" s="1"/>
  <c r="V90" i="32" s="1"/>
  <c r="S91" i="32"/>
  <c r="T91" i="32" s="1"/>
  <c r="U91" i="32" s="1"/>
  <c r="V91" i="32" s="1"/>
  <c r="S82" i="32"/>
  <c r="T82" i="32" s="1"/>
  <c r="U82" i="32" s="1"/>
  <c r="V82" i="32" s="1"/>
  <c r="AC91" i="32"/>
  <c r="AD91" i="32" s="1"/>
  <c r="AE91" i="32" s="1"/>
  <c r="AF91" i="32" s="1"/>
  <c r="X82" i="32"/>
  <c r="Y82" i="32" s="1"/>
  <c r="Z82" i="32" s="1"/>
  <c r="AA82" i="32" s="1"/>
  <c r="X103" i="32"/>
  <c r="Y103" i="32" s="1"/>
  <c r="Z103" i="32" s="1"/>
  <c r="AA103" i="32" s="1"/>
  <c r="AF96" i="67"/>
  <c r="AH96" i="67"/>
  <c r="AJ96" i="67"/>
  <c r="AE96" i="67"/>
  <c r="AG96" i="67"/>
  <c r="AI96" i="67"/>
  <c r="S23" i="32"/>
  <c r="T23" i="32" s="1"/>
  <c r="U23" i="32" s="1"/>
  <c r="V23" i="32" s="1"/>
  <c r="S25" i="32"/>
  <c r="T25" i="32" s="1"/>
  <c r="U25" i="32" s="1"/>
  <c r="V25" i="32" s="1"/>
  <c r="S69" i="32"/>
  <c r="T69" i="32" s="1"/>
  <c r="U69" i="32" s="1"/>
  <c r="V69" i="32" s="1"/>
  <c r="AF94" i="67"/>
  <c r="AH94" i="67"/>
  <c r="AJ94" i="67"/>
  <c r="AD94" i="67"/>
  <c r="AE94" i="67"/>
  <c r="AG94" i="67"/>
  <c r="AI94" i="67"/>
  <c r="S21" i="32"/>
  <c r="T21" i="32" s="1"/>
  <c r="U21" i="32" s="1"/>
  <c r="V21" i="32" s="1"/>
  <c r="S67" i="32"/>
  <c r="T67" i="32" s="1"/>
  <c r="U67" i="32" s="1"/>
  <c r="V67" i="32" s="1"/>
  <c r="S70" i="32"/>
  <c r="T70" i="32" s="1"/>
  <c r="U70" i="32" s="1"/>
  <c r="V70" i="32" s="1"/>
  <c r="S65" i="32"/>
  <c r="T65" i="32" s="1"/>
  <c r="U65" i="32" s="1"/>
  <c r="V65" i="32" s="1"/>
  <c r="AF97" i="67"/>
  <c r="AH97" i="67"/>
  <c r="AJ97" i="67"/>
  <c r="AE97" i="67"/>
  <c r="AG97" i="67"/>
  <c r="AI97" i="67"/>
  <c r="AD97" i="67"/>
  <c r="S17" i="32"/>
  <c r="T17" i="32" s="1"/>
  <c r="U17" i="32" s="1"/>
  <c r="V17" i="32" s="1"/>
  <c r="AH17" i="32"/>
  <c r="AI17" i="32" s="1"/>
  <c r="AJ17" i="32" s="1"/>
  <c r="AK17" i="32" s="1"/>
  <c r="S89" i="32"/>
  <c r="T89" i="32" s="1"/>
  <c r="U89" i="32" s="1"/>
  <c r="V89" i="32" s="1"/>
  <c r="AC89" i="32"/>
  <c r="AD89" i="32" s="1"/>
  <c r="AE89" i="32" s="1"/>
  <c r="AF89" i="32" s="1"/>
  <c r="AC84" i="32"/>
  <c r="AD84" i="32" s="1"/>
  <c r="AE84" i="32" s="1"/>
  <c r="AF84" i="32" s="1"/>
  <c r="AH85" i="32"/>
  <c r="AI85" i="32" s="1"/>
  <c r="AJ85" i="32" s="1"/>
  <c r="AK85" i="32" s="1"/>
  <c r="X85" i="32"/>
  <c r="Y85" i="32" s="1"/>
  <c r="Z85" i="32" s="1"/>
  <c r="AA85" i="32" s="1"/>
  <c r="AC83" i="32"/>
  <c r="AD83" i="32" s="1"/>
  <c r="AE83" i="32" s="1"/>
  <c r="AF83" i="32" s="1"/>
  <c r="X83" i="32"/>
  <c r="Y83" i="32" s="1"/>
  <c r="Z83" i="32" s="1"/>
  <c r="AA83" i="32" s="1"/>
  <c r="S102" i="32"/>
  <c r="T102" i="32" s="1"/>
  <c r="U102" i="32" s="1"/>
  <c r="V102" i="32" s="1"/>
  <c r="AH102" i="32"/>
  <c r="AI102" i="32" s="1"/>
  <c r="AJ102" i="32" s="1"/>
  <c r="AK102" i="32" s="1"/>
  <c r="S76" i="32"/>
  <c r="T76" i="32" s="1"/>
  <c r="U76" i="32" s="1"/>
  <c r="V76" i="32" s="1"/>
  <c r="AH86" i="32"/>
  <c r="AI86" i="32" s="1"/>
  <c r="AJ86" i="32" s="1"/>
  <c r="AK86" i="32" s="1"/>
  <c r="S86" i="32"/>
  <c r="T86" i="32" s="1"/>
  <c r="U86" i="32" s="1"/>
  <c r="V86" i="32" s="1"/>
  <c r="AH103" i="32"/>
  <c r="AI103" i="32" s="1"/>
  <c r="AJ103" i="32" s="1"/>
  <c r="AK103" i="32" s="1"/>
  <c r="AC90" i="32"/>
  <c r="AD90" i="32" s="1"/>
  <c r="AE90" i="32" s="1"/>
  <c r="AF90" i="32" s="1"/>
  <c r="X90" i="32"/>
  <c r="Y90" i="32" s="1"/>
  <c r="Z90" i="32" s="1"/>
  <c r="AA90" i="32" s="1"/>
  <c r="X91" i="32"/>
  <c r="Y91" i="32" s="1"/>
  <c r="Z91" i="32" s="1"/>
  <c r="AA91" i="32" s="1"/>
  <c r="AH82" i="32"/>
  <c r="AI82" i="32" s="1"/>
  <c r="AJ82" i="32" s="1"/>
  <c r="AK82" i="32" s="1"/>
  <c r="W94" i="66"/>
  <c r="AG46" i="32"/>
  <c r="AC46" i="32" s="1"/>
  <c r="AD46" i="32" s="1"/>
  <c r="AE46" i="32" s="1"/>
  <c r="AF46" i="32" s="1"/>
  <c r="W102" i="66"/>
  <c r="AG54" i="32"/>
  <c r="AC54" i="32" s="1"/>
  <c r="AD54" i="32" s="1"/>
  <c r="AE54" i="32" s="1"/>
  <c r="AF54" i="32" s="1"/>
  <c r="W97" i="66"/>
  <c r="AG49" i="32"/>
  <c r="AC49" i="32" s="1"/>
  <c r="AD49" i="32" s="1"/>
  <c r="AE49" i="32" s="1"/>
  <c r="AF49" i="32" s="1"/>
  <c r="W78" i="66"/>
  <c r="AG30" i="32"/>
  <c r="AC30" i="32" s="1"/>
  <c r="AD30" i="32" s="1"/>
  <c r="AE30" i="32" s="1"/>
  <c r="AF30" i="32" s="1"/>
  <c r="AF93" i="67"/>
  <c r="AH93" i="67"/>
  <c r="AJ93" i="67"/>
  <c r="AE93" i="67"/>
  <c r="AG93" i="67"/>
  <c r="AI93" i="67"/>
  <c r="S16" i="32"/>
  <c r="T16" i="32" s="1"/>
  <c r="U16" i="32" s="1"/>
  <c r="V16" i="32" s="1"/>
  <c r="AF95" i="67"/>
  <c r="AH95" i="67"/>
  <c r="AJ95" i="67"/>
  <c r="AE95" i="67"/>
  <c r="AG95" i="67"/>
  <c r="AI95" i="67"/>
  <c r="AF99" i="67"/>
  <c r="AH99" i="67"/>
  <c r="AJ99" i="67"/>
  <c r="AE99" i="67"/>
  <c r="AG99" i="67"/>
  <c r="AI99" i="67"/>
  <c r="AC17" i="32"/>
  <c r="AD17" i="32" s="1"/>
  <c r="AE17" i="32" s="1"/>
  <c r="AF17" i="32" s="1"/>
  <c r="X17" i="32"/>
  <c r="Y17" i="32" s="1"/>
  <c r="Z17" i="32" s="1"/>
  <c r="AA17" i="32" s="1"/>
  <c r="S18" i="32"/>
  <c r="T18" i="32" s="1"/>
  <c r="U18" i="32" s="1"/>
  <c r="V18" i="32" s="1"/>
  <c r="AF98" i="67"/>
  <c r="AH98" i="67"/>
  <c r="AJ98" i="67"/>
  <c r="AE98" i="67"/>
  <c r="AG98" i="67"/>
  <c r="AI98" i="67"/>
  <c r="AH84" i="32"/>
  <c r="AI84" i="32" s="1"/>
  <c r="AJ84" i="32" s="1"/>
  <c r="AK84" i="32" s="1"/>
  <c r="S84" i="32"/>
  <c r="T84" i="32" s="1"/>
  <c r="U84" i="32" s="1"/>
  <c r="V84" i="32" s="1"/>
  <c r="AC82" i="32"/>
  <c r="AD82" i="32" s="1"/>
  <c r="AE82" i="32" s="1"/>
  <c r="AF82" i="32" s="1"/>
  <c r="AE69" i="67"/>
  <c r="AG69" i="67"/>
  <c r="AI69" i="67"/>
  <c r="AD69" i="67"/>
  <c r="AF69" i="67"/>
  <c r="AH69" i="67"/>
  <c r="AJ69" i="67"/>
  <c r="AH13" i="32"/>
  <c r="AI13" i="32" s="1"/>
  <c r="AJ13" i="32" s="1"/>
  <c r="AK13" i="32" s="1"/>
  <c r="AC13" i="32"/>
  <c r="AD13" i="32" s="1"/>
  <c r="AE13" i="32" s="1"/>
  <c r="AF13" i="32" s="1"/>
  <c r="X13" i="32"/>
  <c r="Y13" i="32" s="1"/>
  <c r="Z13" i="32" s="1"/>
  <c r="AA13" i="32" s="1"/>
  <c r="S13" i="32"/>
  <c r="T13" i="32" s="1"/>
  <c r="U13" i="32" s="1"/>
  <c r="V13" i="32" s="1"/>
  <c r="AD64" i="66"/>
  <c r="R77" i="32" s="1"/>
  <c r="AF64" i="66"/>
  <c r="AB77" i="32" s="1"/>
  <c r="AH64" i="66"/>
  <c r="AL77" i="32" s="1"/>
  <c r="AJ64" i="66"/>
  <c r="AN77" i="32" s="1"/>
  <c r="AG64" i="66"/>
  <c r="AG77" i="32" s="1"/>
  <c r="AE64" i="66"/>
  <c r="W77" i="32" s="1"/>
  <c r="AI64" i="66"/>
  <c r="AM77" i="32" s="1"/>
  <c r="AE65" i="66"/>
  <c r="W78" i="32" s="1"/>
  <c r="AG65" i="66"/>
  <c r="AG78" i="32" s="1"/>
  <c r="AI65" i="66"/>
  <c r="AM78" i="32" s="1"/>
  <c r="AD65" i="66"/>
  <c r="R78" i="32" s="1"/>
  <c r="AH65" i="66"/>
  <c r="AL78" i="32" s="1"/>
  <c r="AF65" i="66"/>
  <c r="AB78" i="32" s="1"/>
  <c r="AJ65" i="66"/>
  <c r="AN78" i="32" s="1"/>
  <c r="AD66" i="66"/>
  <c r="R79" i="32" s="1"/>
  <c r="AF66" i="66"/>
  <c r="AB79" i="32" s="1"/>
  <c r="AH66" i="66"/>
  <c r="AL79" i="32" s="1"/>
  <c r="AJ66" i="66"/>
  <c r="AN79" i="32" s="1"/>
  <c r="AE66" i="66"/>
  <c r="W79" i="32" s="1"/>
  <c r="AI66" i="66"/>
  <c r="AM79" i="32" s="1"/>
  <c r="AG66" i="66"/>
  <c r="AG79" i="32" s="1"/>
  <c r="AF61" i="66"/>
  <c r="AB74" i="32" s="1"/>
  <c r="AH61" i="66"/>
  <c r="AL74" i="32" s="1"/>
  <c r="AJ61" i="66"/>
  <c r="AN74" i="32" s="1"/>
  <c r="AG61" i="66"/>
  <c r="AG74" i="32" s="1"/>
  <c r="AE61" i="66"/>
  <c r="W74" i="32" s="1"/>
  <c r="AI61" i="66"/>
  <c r="AM74" i="32" s="1"/>
  <c r="R67" i="37"/>
  <c r="R68" i="37"/>
  <c r="D68" i="37"/>
  <c r="AB68" i="37"/>
  <c r="AE103" i="41"/>
  <c r="AI103" i="41"/>
  <c r="AH103" i="41"/>
  <c r="AD103" i="41"/>
  <c r="AJ103" i="41"/>
  <c r="AG103" i="41"/>
  <c r="AF103" i="41"/>
  <c r="AB103" i="41"/>
  <c r="I69" i="37"/>
  <c r="B69" i="37"/>
  <c r="E69" i="37" s="1"/>
  <c r="H69" i="37"/>
  <c r="G69" i="37"/>
  <c r="F69" i="37"/>
  <c r="C69" i="37"/>
  <c r="D69" i="37" s="1"/>
  <c r="AI62" i="41"/>
  <c r="AD62" i="41"/>
  <c r="AB62" i="41"/>
  <c r="AG62" i="41"/>
  <c r="AE62" i="41"/>
  <c r="AJ62" i="41"/>
  <c r="AH62" i="41"/>
  <c r="AF62" i="41"/>
  <c r="AD93" i="67"/>
  <c r="AH76" i="67"/>
  <c r="AI76" i="67"/>
  <c r="AJ76" i="67"/>
  <c r="AD76" i="67"/>
  <c r="AE76" i="67"/>
  <c r="AF76" i="67"/>
  <c r="AG76" i="67"/>
  <c r="AB23" i="32"/>
  <c r="AB25" i="32"/>
  <c r="S114" i="41"/>
  <c r="T114" i="41" s="1"/>
  <c r="U114" i="41" s="1"/>
  <c r="V114" i="41" s="1"/>
  <c r="M66" i="37"/>
  <c r="Y66" i="41"/>
  <c r="J18" i="37"/>
  <c r="Q66" i="41"/>
  <c r="M18" i="37" s="1"/>
  <c r="U66" i="41"/>
  <c r="V66" i="41"/>
  <c r="W66" i="41"/>
  <c r="T66" i="41"/>
  <c r="S66" i="41"/>
  <c r="X66" i="41"/>
  <c r="AN66" i="41"/>
  <c r="AA66" i="41"/>
  <c r="T64" i="67"/>
  <c r="W16" i="37" s="1"/>
  <c r="S64" i="67"/>
  <c r="R16" i="37" s="1"/>
  <c r="V64" i="67"/>
  <c r="AG16" i="37" s="1"/>
  <c r="U64" i="67"/>
  <c r="AB16" i="37" s="1"/>
  <c r="O16" i="37"/>
  <c r="X64" i="67"/>
  <c r="AM16" i="37" s="1"/>
  <c r="W64" i="67"/>
  <c r="AL16" i="37" s="1"/>
  <c r="AC64" i="67"/>
  <c r="Y64" i="67"/>
  <c r="AN16" i="37" s="1"/>
  <c r="X61" i="67"/>
  <c r="AM13" i="37" s="1"/>
  <c r="W61" i="67"/>
  <c r="AL13" i="37" s="1"/>
  <c r="S61" i="67"/>
  <c r="R13" i="37" s="1"/>
  <c r="Y61" i="67"/>
  <c r="AN13" i="37" s="1"/>
  <c r="T61" i="67"/>
  <c r="W13" i="37" s="1"/>
  <c r="AC61" i="67"/>
  <c r="V61" i="67"/>
  <c r="AG13" i="37" s="1"/>
  <c r="U61" i="67"/>
  <c r="AB13" i="37" s="1"/>
  <c r="O13" i="37"/>
  <c r="AD61" i="66"/>
  <c r="R74" i="32" s="1"/>
  <c r="AB69" i="32"/>
  <c r="R66" i="37"/>
  <c r="AN84" i="41"/>
  <c r="V84" i="41"/>
  <c r="Q84" i="41"/>
  <c r="M36" i="37" s="1"/>
  <c r="W84" i="41"/>
  <c r="T84" i="41"/>
  <c r="J36" i="37"/>
  <c r="Y84" i="41"/>
  <c r="S84" i="41"/>
  <c r="AA84" i="41"/>
  <c r="X84" i="41"/>
  <c r="U84" i="41"/>
  <c r="S84" i="67"/>
  <c r="R36" i="37" s="1"/>
  <c r="W84" i="67"/>
  <c r="AL36" i="37" s="1"/>
  <c r="T84" i="67"/>
  <c r="W36" i="37" s="1"/>
  <c r="X84" i="67"/>
  <c r="AM36" i="37" s="1"/>
  <c r="AC84" i="67"/>
  <c r="U84" i="67"/>
  <c r="AB36" i="37" s="1"/>
  <c r="Y84" i="67"/>
  <c r="AN36" i="37" s="1"/>
  <c r="V84" i="67"/>
  <c r="AG36" i="37" s="1"/>
  <c r="O36" i="37"/>
  <c r="AA83" i="41"/>
  <c r="Q83" i="41"/>
  <c r="M35" i="37" s="1"/>
  <c r="W83" i="41"/>
  <c r="AN83" i="41"/>
  <c r="X83" i="41"/>
  <c r="J35" i="37"/>
  <c r="Y83" i="41"/>
  <c r="T83" i="41"/>
  <c r="U83" i="41"/>
  <c r="S83" i="41"/>
  <c r="V83" i="41"/>
  <c r="T83" i="67"/>
  <c r="W35" i="37" s="1"/>
  <c r="X83" i="67"/>
  <c r="AM35" i="37" s="1"/>
  <c r="U83" i="67"/>
  <c r="AB35" i="37" s="1"/>
  <c r="Y83" i="67"/>
  <c r="AN35" i="37" s="1"/>
  <c r="AC83" i="67"/>
  <c r="V83" i="67"/>
  <c r="AG35" i="37" s="1"/>
  <c r="S83" i="67"/>
  <c r="R35" i="37" s="1"/>
  <c r="W83" i="67"/>
  <c r="AL35" i="37" s="1"/>
  <c r="O35" i="37"/>
  <c r="AE78" i="41"/>
  <c r="AD78" i="41"/>
  <c r="AG78" i="41"/>
  <c r="AH78" i="41"/>
  <c r="AI78" i="41"/>
  <c r="AJ78" i="41"/>
  <c r="AB78" i="41"/>
  <c r="AF78" i="41"/>
  <c r="AB77" i="41"/>
  <c r="AF77" i="41"/>
  <c r="AE77" i="41"/>
  <c r="AD77" i="41"/>
  <c r="AG77" i="41"/>
  <c r="AI77" i="41"/>
  <c r="AH77" i="41"/>
  <c r="AJ77" i="41"/>
  <c r="AB21" i="32"/>
  <c r="X21" i="32" s="1"/>
  <c r="Y21" i="32" s="1"/>
  <c r="Z21" i="32" s="1"/>
  <c r="AA21" i="32" s="1"/>
  <c r="AF119" i="41"/>
  <c r="AH119" i="41"/>
  <c r="AE119" i="41"/>
  <c r="AJ119" i="41"/>
  <c r="AD119" i="41"/>
  <c r="AI119" i="41"/>
  <c r="AB119" i="41"/>
  <c r="AG119" i="41"/>
  <c r="AG113" i="41"/>
  <c r="AB113" i="41"/>
  <c r="AF113" i="41"/>
  <c r="AJ113" i="41"/>
  <c r="AI113" i="41"/>
  <c r="AD113" i="41"/>
  <c r="AH113" i="41"/>
  <c r="AE113" i="41"/>
  <c r="AO120" i="41"/>
  <c r="AD89" i="67"/>
  <c r="AE89" i="67"/>
  <c r="AF89" i="67"/>
  <c r="AG89" i="67"/>
  <c r="AH89" i="67"/>
  <c r="AI89" i="67"/>
  <c r="AJ89" i="67"/>
  <c r="X85" i="41"/>
  <c r="Q85" i="41"/>
  <c r="M37" i="37" s="1"/>
  <c r="J37" i="37"/>
  <c r="V85" i="41"/>
  <c r="AA85" i="41"/>
  <c r="T85" i="41"/>
  <c r="Y85" i="41"/>
  <c r="S85" i="41"/>
  <c r="U85" i="41"/>
  <c r="AN85" i="41"/>
  <c r="W85" i="41"/>
  <c r="AC85" i="67"/>
  <c r="AG37" i="37"/>
  <c r="R37" i="37"/>
  <c r="AL37" i="37"/>
  <c r="O37" i="37"/>
  <c r="W37" i="37"/>
  <c r="AM37" i="37"/>
  <c r="AB37" i="37"/>
  <c r="AN37" i="37"/>
  <c r="AB67" i="32"/>
  <c r="AB70" i="32"/>
  <c r="AB65" i="32"/>
  <c r="AB99" i="41"/>
  <c r="AI99" i="41"/>
  <c r="AE99" i="41"/>
  <c r="AJ99" i="41"/>
  <c r="AG99" i="41"/>
  <c r="AF99" i="41"/>
  <c r="AH99" i="41"/>
  <c r="AD99" i="41"/>
  <c r="U68" i="37"/>
  <c r="AP68" i="37"/>
  <c r="T68" i="37"/>
  <c r="S68" i="37"/>
  <c r="AH68" i="37"/>
  <c r="AD68" i="37"/>
  <c r="AS68" i="37"/>
  <c r="AU68" i="37"/>
  <c r="AT68" i="37"/>
  <c r="AO68" i="37"/>
  <c r="Q68" i="37"/>
  <c r="P68" i="37"/>
  <c r="N68" i="37"/>
  <c r="AK68" i="37"/>
  <c r="AI68" i="37"/>
  <c r="AA68" i="37"/>
  <c r="K68" i="37"/>
  <c r="Y68" i="37"/>
  <c r="AR68" i="37"/>
  <c r="L68" i="37"/>
  <c r="AC68" i="37"/>
  <c r="AV68" i="37"/>
  <c r="AQ68" i="37"/>
  <c r="AJ68" i="37"/>
  <c r="V68" i="37"/>
  <c r="X68" i="37"/>
  <c r="AE68" i="37"/>
  <c r="Z68" i="37"/>
  <c r="AF68" i="37"/>
  <c r="J68" i="37"/>
  <c r="M68" i="37"/>
  <c r="W68" i="37"/>
  <c r="AG107" i="41"/>
  <c r="AJ107" i="41"/>
  <c r="AI107" i="41"/>
  <c r="AF107" i="41"/>
  <c r="AH107" i="41"/>
  <c r="AB107" i="41"/>
  <c r="AD107" i="41"/>
  <c r="AE107" i="41"/>
  <c r="AD73" i="67"/>
  <c r="AE73" i="67"/>
  <c r="AF73" i="67"/>
  <c r="AG73" i="67"/>
  <c r="AH73" i="67"/>
  <c r="AI73" i="67"/>
  <c r="AJ73" i="67"/>
  <c r="AF116" i="41"/>
  <c r="AJ116" i="41"/>
  <c r="AE116" i="41"/>
  <c r="AI116" i="41"/>
  <c r="AD116" i="41"/>
  <c r="AH116" i="41"/>
  <c r="AB116" i="41"/>
  <c r="AG116" i="41"/>
  <c r="AH115" i="41"/>
  <c r="AD115" i="41"/>
  <c r="AB115" i="41"/>
  <c r="AG115" i="41"/>
  <c r="AJ115" i="41"/>
  <c r="AF115" i="41"/>
  <c r="AI115" i="41"/>
  <c r="AE115" i="41"/>
  <c r="S65" i="41"/>
  <c r="V65" i="41"/>
  <c r="J17" i="37"/>
  <c r="AN65" i="41"/>
  <c r="T65" i="41"/>
  <c r="Y65" i="41"/>
  <c r="X65" i="41"/>
  <c r="Q65" i="41"/>
  <c r="M17" i="37" s="1"/>
  <c r="AA65" i="41"/>
  <c r="W65" i="41"/>
  <c r="U65" i="41"/>
  <c r="Q67" i="17"/>
  <c r="Z67" i="17"/>
  <c r="AA67" i="17" s="1"/>
  <c r="AL67" i="17"/>
  <c r="AA61" i="17"/>
  <c r="AF102" i="41"/>
  <c r="AE102" i="41"/>
  <c r="AI102" i="41"/>
  <c r="AJ102" i="41"/>
  <c r="AD102" i="41"/>
  <c r="AH102" i="41"/>
  <c r="AB102" i="41"/>
  <c r="AG102" i="41"/>
  <c r="AC65" i="67"/>
  <c r="Y65" i="67"/>
  <c r="AN17" i="37" s="1"/>
  <c r="S65" i="67"/>
  <c r="R17" i="37" s="1"/>
  <c r="T65" i="67"/>
  <c r="W17" i="37" s="1"/>
  <c r="O17" i="37"/>
  <c r="U65" i="67"/>
  <c r="AB17" i="37" s="1"/>
  <c r="V65" i="67"/>
  <c r="AG17" i="37" s="1"/>
  <c r="W65" i="67"/>
  <c r="AL17" i="37" s="1"/>
  <c r="X65" i="67"/>
  <c r="AM17" i="37" s="1"/>
  <c r="AC66" i="67"/>
  <c r="S66" i="67"/>
  <c r="R18" i="37" s="1"/>
  <c r="T66" i="67"/>
  <c r="W18" i="37" s="1"/>
  <c r="U66" i="67"/>
  <c r="AB18" i="37" s="1"/>
  <c r="O18" i="37"/>
  <c r="V66" i="67"/>
  <c r="AG18" i="37" s="1"/>
  <c r="W66" i="67"/>
  <c r="AL18" i="37" s="1"/>
  <c r="X66" i="67"/>
  <c r="AM18" i="37" s="1"/>
  <c r="Y66" i="67"/>
  <c r="AN18" i="37" s="1"/>
  <c r="AB66" i="32"/>
  <c r="AE98" i="41"/>
  <c r="AF98" i="41"/>
  <c r="AB98" i="41"/>
  <c r="AD98" i="41"/>
  <c r="AI98" i="41"/>
  <c r="AG98" i="41"/>
  <c r="AH98" i="41"/>
  <c r="AJ98" i="41"/>
  <c r="AO100" i="41"/>
  <c r="AE93" i="41"/>
  <c r="AJ93" i="41"/>
  <c r="AG93" i="41"/>
  <c r="AF93" i="41"/>
  <c r="AI93" i="41"/>
  <c r="AD93" i="41"/>
  <c r="AH93" i="41"/>
  <c r="AB93" i="41"/>
  <c r="AA81" i="17"/>
  <c r="AM87" i="17"/>
  <c r="AA82" i="17"/>
  <c r="AH90" i="41"/>
  <c r="AE90" i="41"/>
  <c r="AD90" i="41"/>
  <c r="AF90" i="41"/>
  <c r="AJ90" i="41"/>
  <c r="AB90" i="41"/>
  <c r="AG90" i="41"/>
  <c r="AI90" i="41"/>
  <c r="AJ69" i="41"/>
  <c r="AF69" i="41"/>
  <c r="AB69" i="41"/>
  <c r="AD69" i="41"/>
  <c r="AE69" i="41"/>
  <c r="AH69" i="41"/>
  <c r="AG69" i="41"/>
  <c r="AI69" i="41"/>
  <c r="AO74" i="41"/>
  <c r="AE72" i="41"/>
  <c r="AD72" i="41"/>
  <c r="AJ72" i="41"/>
  <c r="AI72" i="41"/>
  <c r="AH72" i="41"/>
  <c r="AF72" i="41"/>
  <c r="AG72" i="41"/>
  <c r="AB72" i="41"/>
  <c r="AH118" i="41"/>
  <c r="AD118" i="41"/>
  <c r="AB118" i="41"/>
  <c r="AG118" i="41"/>
  <c r="AJ118" i="41"/>
  <c r="AF118" i="41"/>
  <c r="AI118" i="41"/>
  <c r="AE118" i="41"/>
  <c r="AN86" i="41"/>
  <c r="W86" i="41"/>
  <c r="U86" i="41"/>
  <c r="T86" i="41"/>
  <c r="V86" i="41"/>
  <c r="S86" i="41"/>
  <c r="AA86" i="41"/>
  <c r="X86" i="41"/>
  <c r="J38" i="37"/>
  <c r="Q86" i="41"/>
  <c r="M38" i="37" s="1"/>
  <c r="Y86" i="41"/>
  <c r="AI64" i="41"/>
  <c r="AD64" i="41"/>
  <c r="AF64" i="41"/>
  <c r="AE64" i="41"/>
  <c r="AH64" i="41"/>
  <c r="AG64" i="41"/>
  <c r="AJ64" i="41"/>
  <c r="AB64" i="41"/>
  <c r="W67" i="37"/>
  <c r="AW71" i="37"/>
  <c r="AX71" i="37" s="1"/>
  <c r="A70" i="37"/>
  <c r="AG76" i="41"/>
  <c r="AF76" i="41"/>
  <c r="AH76" i="41"/>
  <c r="AD76" i="41"/>
  <c r="AI76" i="41"/>
  <c r="AB76" i="41"/>
  <c r="AE76" i="41"/>
  <c r="AJ76" i="41"/>
  <c r="AD96" i="67"/>
  <c r="AB24" i="32"/>
  <c r="AH117" i="41"/>
  <c r="AB117" i="41"/>
  <c r="AG117" i="41"/>
  <c r="AD117" i="41"/>
  <c r="AF117" i="41"/>
  <c r="AJ117" i="41"/>
  <c r="AE117" i="41"/>
  <c r="AI117" i="41"/>
  <c r="AF114" i="41"/>
  <c r="AJ114" i="41"/>
  <c r="AE114" i="41"/>
  <c r="AI114" i="41"/>
  <c r="AH114" i="41"/>
  <c r="AB114" i="41"/>
  <c r="AG114" i="41"/>
  <c r="AD114" i="41"/>
  <c r="AA66" i="17"/>
  <c r="AB71" i="32"/>
  <c r="AA84" i="17"/>
  <c r="AA83" i="17"/>
  <c r="AD106" i="67"/>
  <c r="AE106" i="67"/>
  <c r="AF106" i="67"/>
  <c r="AG106" i="67"/>
  <c r="AH106" i="67"/>
  <c r="AI106" i="67"/>
  <c r="AJ106" i="67"/>
  <c r="M30" i="37"/>
  <c r="S78" i="41"/>
  <c r="T78" i="41" s="1"/>
  <c r="U78" i="41" s="1"/>
  <c r="V78" i="41" s="1"/>
  <c r="AD95" i="67"/>
  <c r="AF77" i="67"/>
  <c r="AG77" i="67"/>
  <c r="AH77" i="67"/>
  <c r="AI77" i="67"/>
  <c r="AJ77" i="67"/>
  <c r="AD77" i="67"/>
  <c r="AE77" i="67"/>
  <c r="AJ78" i="67"/>
  <c r="AD78" i="67"/>
  <c r="AE78" i="67"/>
  <c r="AF78" i="67"/>
  <c r="AG78" i="67"/>
  <c r="AH78" i="67"/>
  <c r="AI78" i="67"/>
  <c r="AB22" i="32"/>
  <c r="S113" i="41"/>
  <c r="T113" i="41" s="1"/>
  <c r="U113" i="41" s="1"/>
  <c r="V113" i="41" s="1"/>
  <c r="M65" i="37"/>
  <c r="AH105" i="41"/>
  <c r="AF105" i="41"/>
  <c r="AI105" i="41"/>
  <c r="AJ105" i="41"/>
  <c r="AB105" i="41"/>
  <c r="AD105" i="41"/>
  <c r="AE105" i="41"/>
  <c r="AG105" i="41"/>
  <c r="AA85" i="17"/>
  <c r="H11" i="59"/>
  <c r="I11" i="59" s="1"/>
  <c r="C25" i="56"/>
  <c r="AB68" i="32"/>
  <c r="AE94" i="41"/>
  <c r="AJ94" i="41"/>
  <c r="AG94" i="41"/>
  <c r="AF94" i="41"/>
  <c r="AH94" i="41"/>
  <c r="AD94" i="41"/>
  <c r="AI94" i="41"/>
  <c r="AB94" i="41"/>
  <c r="AE96" i="41"/>
  <c r="AD96" i="41"/>
  <c r="AG96" i="41"/>
  <c r="AH96" i="41"/>
  <c r="AI96" i="41"/>
  <c r="AJ96" i="41"/>
  <c r="AB96" i="41"/>
  <c r="AF96" i="41"/>
  <c r="AI97" i="41"/>
  <c r="AF97" i="41"/>
  <c r="AB97" i="41"/>
  <c r="AJ97" i="41"/>
  <c r="AE97" i="41"/>
  <c r="AH97" i="41"/>
  <c r="AG97" i="41"/>
  <c r="AD97" i="41"/>
  <c r="O68" i="37"/>
  <c r="AD99" i="67"/>
  <c r="AD71" i="67"/>
  <c r="AE71" i="67"/>
  <c r="AF71" i="67"/>
  <c r="AG71" i="67"/>
  <c r="AH71" i="67"/>
  <c r="AI71" i="67"/>
  <c r="AJ71" i="67"/>
  <c r="AD72" i="67"/>
  <c r="AE72" i="67"/>
  <c r="AF72" i="67"/>
  <c r="AG72" i="67"/>
  <c r="AH72" i="67"/>
  <c r="AI72" i="67"/>
  <c r="AJ72" i="67"/>
  <c r="AG71" i="41"/>
  <c r="AE71" i="41"/>
  <c r="AF71" i="41"/>
  <c r="AH71" i="41"/>
  <c r="AD71" i="41"/>
  <c r="AJ71" i="41"/>
  <c r="AB71" i="41"/>
  <c r="AI71" i="41"/>
  <c r="AI73" i="41"/>
  <c r="AF73" i="41"/>
  <c r="AB73" i="41"/>
  <c r="AD73" i="41"/>
  <c r="AH73" i="41"/>
  <c r="AE73" i="41"/>
  <c r="AG73" i="41"/>
  <c r="AJ73" i="41"/>
  <c r="AE90" i="67"/>
  <c r="AF90" i="67"/>
  <c r="AG90" i="67"/>
  <c r="AH90" i="67"/>
  <c r="AI90" i="67"/>
  <c r="AJ90" i="67"/>
  <c r="AD90" i="67"/>
  <c r="AA65" i="17"/>
  <c r="S61" i="41"/>
  <c r="AN61" i="41"/>
  <c r="Q61" i="41"/>
  <c r="M13" i="37" s="1"/>
  <c r="U61" i="41"/>
  <c r="W61" i="41"/>
  <c r="AA61" i="41"/>
  <c r="Y61" i="41"/>
  <c r="T61" i="41"/>
  <c r="V61" i="41"/>
  <c r="J13" i="37"/>
  <c r="X61" i="41"/>
  <c r="AM67" i="17"/>
  <c r="AH95" i="41"/>
  <c r="AD95" i="41"/>
  <c r="AG95" i="41"/>
  <c r="AF95" i="41"/>
  <c r="AE95" i="41"/>
  <c r="AJ95" i="41"/>
  <c r="AB95" i="41"/>
  <c r="AI95" i="41"/>
  <c r="AA81" i="41"/>
  <c r="Y81" i="41"/>
  <c r="Q81" i="41"/>
  <c r="M33" i="37" s="1"/>
  <c r="V81" i="41"/>
  <c r="AN81" i="41"/>
  <c r="T81" i="41"/>
  <c r="S81" i="41"/>
  <c r="W81" i="41"/>
  <c r="J33" i="37"/>
  <c r="X81" i="41"/>
  <c r="U81" i="41"/>
  <c r="S82" i="41"/>
  <c r="U82" i="41"/>
  <c r="Y82" i="41"/>
  <c r="AN82" i="41"/>
  <c r="W82" i="41"/>
  <c r="T82" i="41"/>
  <c r="X82" i="41"/>
  <c r="V82" i="41"/>
  <c r="Q82" i="41"/>
  <c r="M34" i="37" s="1"/>
  <c r="AA82" i="41"/>
  <c r="J34" i="37"/>
  <c r="S82" i="67"/>
  <c r="R34" i="37" s="1"/>
  <c r="W82" i="67"/>
  <c r="AL34" i="37" s="1"/>
  <c r="T82" i="67"/>
  <c r="W34" i="37" s="1"/>
  <c r="X82" i="67"/>
  <c r="AM34" i="37" s="1"/>
  <c r="AC82" i="67"/>
  <c r="U82" i="67"/>
  <c r="AB34" i="37" s="1"/>
  <c r="Y82" i="67"/>
  <c r="AN34" i="37" s="1"/>
  <c r="V82" i="67"/>
  <c r="AG34" i="37" s="1"/>
  <c r="O34" i="37"/>
  <c r="AG104" i="41"/>
  <c r="AD104" i="41"/>
  <c r="AB104" i="41"/>
  <c r="AI104" i="41"/>
  <c r="AE104" i="41"/>
  <c r="AJ104" i="41"/>
  <c r="AH104" i="41"/>
  <c r="AF104" i="41"/>
  <c r="AD98" i="67"/>
  <c r="AD70" i="67"/>
  <c r="AE70" i="67"/>
  <c r="AF70" i="67"/>
  <c r="AG70" i="67"/>
  <c r="AH70" i="67"/>
  <c r="AI70" i="67"/>
  <c r="AJ70" i="67"/>
  <c r="AD70" i="41"/>
  <c r="AI70" i="41"/>
  <c r="AE70" i="41"/>
  <c r="AB70" i="41"/>
  <c r="AG70" i="41"/>
  <c r="AJ70" i="41"/>
  <c r="AH70" i="41"/>
  <c r="AF70" i="41"/>
  <c r="AC86" i="67"/>
  <c r="U86" i="67"/>
  <c r="AB38" i="37" s="1"/>
  <c r="Y86" i="67"/>
  <c r="AN38" i="37" s="1"/>
  <c r="V86" i="67"/>
  <c r="AG38" i="37" s="1"/>
  <c r="O38" i="37"/>
  <c r="S86" i="67"/>
  <c r="R38" i="37" s="1"/>
  <c r="W86" i="67"/>
  <c r="AL38" i="37" s="1"/>
  <c r="T86" i="67"/>
  <c r="W38" i="37" s="1"/>
  <c r="X86" i="67"/>
  <c r="AM38" i="37" s="1"/>
  <c r="AA86" i="17"/>
  <c r="R65" i="37"/>
  <c r="W119" i="67"/>
  <c r="AG68" i="37"/>
  <c r="H106" i="32"/>
  <c r="F106" i="32"/>
  <c r="B106" i="32"/>
  <c r="E106" i="32" s="1"/>
  <c r="I106" i="32"/>
  <c r="G106" i="32"/>
  <c r="C106" i="32"/>
  <c r="AG106" i="32" s="1"/>
  <c r="AH105" i="32"/>
  <c r="AI105" i="32"/>
  <c r="Y105" i="32"/>
  <c r="AR105" i="32"/>
  <c r="AS105" i="32"/>
  <c r="AT105" i="32"/>
  <c r="X105" i="32"/>
  <c r="U105" i="32"/>
  <c r="N105" i="32"/>
  <c r="AD105" i="32"/>
  <c r="Z105" i="32"/>
  <c r="AK105" i="32"/>
  <c r="AW105" i="32"/>
  <c r="AA105" i="32"/>
  <c r="AP105" i="32"/>
  <c r="AE105" i="32"/>
  <c r="AJ105" i="32"/>
  <c r="T105" i="32"/>
  <c r="S105" i="32"/>
  <c r="AO105" i="32"/>
  <c r="V105" i="32"/>
  <c r="AF105" i="32"/>
  <c r="AV105" i="32"/>
  <c r="P105" i="32"/>
  <c r="AQ105" i="32"/>
  <c r="AU105" i="32"/>
  <c r="AC105" i="32"/>
  <c r="Q105" i="32"/>
  <c r="AX108" i="32"/>
  <c r="AY108" i="32" s="1"/>
  <c r="A107" i="32"/>
  <c r="D59" i="38"/>
  <c r="D59" i="20"/>
  <c r="H60" i="20"/>
  <c r="F60" i="20"/>
  <c r="C60" i="20"/>
  <c r="B60" i="20"/>
  <c r="D60" i="20" s="1"/>
  <c r="G60" i="20"/>
  <c r="V117" i="41"/>
  <c r="AV68" i="36"/>
  <c r="AW68" i="36" s="1"/>
  <c r="A67" i="36"/>
  <c r="V115" i="41"/>
  <c r="V116" i="41"/>
  <c r="K62" i="38"/>
  <c r="L62" i="38" s="1"/>
  <c r="A61" i="38"/>
  <c r="AJ65" i="36"/>
  <c r="AD65" i="36"/>
  <c r="L65" i="36"/>
  <c r="AG65" i="36"/>
  <c r="AC65" i="36"/>
  <c r="AQ65" i="36"/>
  <c r="N65" i="36"/>
  <c r="T65" i="36"/>
  <c r="O65" i="36"/>
  <c r="AO65" i="36"/>
  <c r="AF65" i="36"/>
  <c r="Q65" i="36"/>
  <c r="K65" i="36"/>
  <c r="M65" i="36"/>
  <c r="AS65" i="36"/>
  <c r="AP65" i="36"/>
  <c r="AR65" i="36"/>
  <c r="AM65" i="36"/>
  <c r="AT65" i="36"/>
  <c r="AN65" i="36"/>
  <c r="Z65" i="36"/>
  <c r="AI65" i="36"/>
  <c r="AL65" i="36"/>
  <c r="R65" i="36"/>
  <c r="P65" i="36"/>
  <c r="AU65" i="36"/>
  <c r="Y65" i="36"/>
  <c r="AB65" i="36"/>
  <c r="X65" i="36"/>
  <c r="S65" i="36"/>
  <c r="AA65" i="36"/>
  <c r="V65" i="36"/>
  <c r="AK65" i="36"/>
  <c r="W65" i="36"/>
  <c r="AH65" i="36"/>
  <c r="AE65" i="36"/>
  <c r="U65" i="36"/>
  <c r="K62" i="20"/>
  <c r="L62" i="20" s="1"/>
  <c r="A61" i="20"/>
  <c r="V118" i="41"/>
  <c r="G60" i="38"/>
  <c r="F60" i="38"/>
  <c r="H60" i="38"/>
  <c r="C60" i="38"/>
  <c r="B60" i="38"/>
  <c r="D60" i="38" s="1"/>
  <c r="V119" i="41"/>
  <c r="I66" i="36"/>
  <c r="J66" i="36"/>
  <c r="H66" i="36"/>
  <c r="F66" i="36"/>
  <c r="G66" i="36"/>
  <c r="C66" i="36"/>
  <c r="B66" i="36"/>
  <c r="E66" i="36"/>
  <c r="D66" i="36"/>
  <c r="E59" i="20"/>
  <c r="E59" i="38"/>
  <c r="J74" i="19"/>
  <c r="I74" i="19"/>
  <c r="E74" i="19"/>
  <c r="G74" i="19"/>
  <c r="H74" i="19"/>
  <c r="U74" i="19"/>
  <c r="S74" i="19"/>
  <c r="AE74" i="19"/>
  <c r="X74" i="19"/>
  <c r="Y74" i="19"/>
  <c r="V74" i="19"/>
  <c r="AU74" i="19"/>
  <c r="AI74" i="19"/>
  <c r="AF74" i="19"/>
  <c r="AO74" i="19"/>
  <c r="L74" i="19"/>
  <c r="AH74" i="19"/>
  <c r="O74" i="19"/>
  <c r="AK74" i="19"/>
  <c r="M74" i="19"/>
  <c r="P74" i="19"/>
  <c r="R74" i="19"/>
  <c r="AT74" i="19"/>
  <c r="K74" i="19"/>
  <c r="AG74" i="19"/>
  <c r="T74" i="19"/>
  <c r="AL74" i="19"/>
  <c r="AN74" i="19"/>
  <c r="W74" i="19"/>
  <c r="N74" i="19"/>
  <c r="AD74" i="19"/>
  <c r="AA74" i="19"/>
  <c r="AS74" i="19"/>
  <c r="AJ74" i="19"/>
  <c r="AB74" i="19"/>
  <c r="AQ74" i="19"/>
  <c r="AM74" i="19"/>
  <c r="AC74" i="19"/>
  <c r="AR74" i="19"/>
  <c r="Z74" i="19"/>
  <c r="Q74" i="19"/>
  <c r="AP74" i="19"/>
  <c r="F75" i="19"/>
  <c r="B75" i="19"/>
  <c r="I75" i="19"/>
  <c r="G75" i="19"/>
  <c r="H75" i="19"/>
  <c r="D75" i="19"/>
  <c r="J75" i="19"/>
  <c r="C75" i="19"/>
  <c r="E75" i="19"/>
  <c r="D74" i="19"/>
  <c r="A76" i="19"/>
  <c r="AV77" i="19"/>
  <c r="AW77" i="19" s="1"/>
  <c r="AH75" i="32" l="1"/>
  <c r="AI75" i="32" s="1"/>
  <c r="AJ75" i="32" s="1"/>
  <c r="AK75" i="32" s="1"/>
  <c r="S75" i="32"/>
  <c r="T75" i="32" s="1"/>
  <c r="U75" i="32" s="1"/>
  <c r="V75" i="32" s="1"/>
  <c r="X75" i="32"/>
  <c r="Y75" i="32" s="1"/>
  <c r="Z75" i="32" s="1"/>
  <c r="AA75" i="32" s="1"/>
  <c r="AC75" i="32"/>
  <c r="AD75" i="32" s="1"/>
  <c r="AE75" i="32" s="1"/>
  <c r="AF75" i="32" s="1"/>
  <c r="AJ63" i="41"/>
  <c r="AE63" i="41"/>
  <c r="AH63" i="41"/>
  <c r="AG63" i="41"/>
  <c r="AF63" i="41"/>
  <c r="AD63" i="41"/>
  <c r="AB63" i="41"/>
  <c r="AE62" i="67"/>
  <c r="AH62" i="67"/>
  <c r="AD62" i="67"/>
  <c r="AJ62" i="67"/>
  <c r="AG62" i="67"/>
  <c r="AF62" i="67"/>
  <c r="AO67" i="41"/>
  <c r="AC78" i="32"/>
  <c r="AD78" i="32" s="1"/>
  <c r="AE78" i="32" s="1"/>
  <c r="AF78" i="32" s="1"/>
  <c r="X74" i="32"/>
  <c r="Y74" i="32" s="1"/>
  <c r="Z74" i="32" s="1"/>
  <c r="AA74" i="32" s="1"/>
  <c r="X77" i="32"/>
  <c r="Y77" i="32" s="1"/>
  <c r="Z77" i="32" s="1"/>
  <c r="AA77" i="32" s="1"/>
  <c r="AE66" i="67"/>
  <c r="AD66" i="67"/>
  <c r="AF66" i="67"/>
  <c r="AG66" i="67"/>
  <c r="AH66" i="67"/>
  <c r="AI66" i="67"/>
  <c r="AJ66" i="67"/>
  <c r="AE61" i="67"/>
  <c r="AF61" i="67"/>
  <c r="AG61" i="67"/>
  <c r="AH61" i="67"/>
  <c r="AI61" i="67"/>
  <c r="AJ61" i="67"/>
  <c r="AE65" i="67"/>
  <c r="AF65" i="67"/>
  <c r="AD65" i="67"/>
  <c r="AG65" i="67"/>
  <c r="AH65" i="67"/>
  <c r="AI65" i="67"/>
  <c r="AJ65" i="67"/>
  <c r="AE64" i="67"/>
  <c r="AD64" i="67"/>
  <c r="AF64" i="67"/>
  <c r="AG64" i="67"/>
  <c r="AH64" i="67"/>
  <c r="AI64" i="67"/>
  <c r="AJ64" i="67"/>
  <c r="S74" i="32"/>
  <c r="T74" i="32" s="1"/>
  <c r="U74" i="32" s="1"/>
  <c r="V74" i="32" s="1"/>
  <c r="X79" i="32"/>
  <c r="Y79" i="32" s="1"/>
  <c r="Z79" i="32" s="1"/>
  <c r="AA79" i="32" s="1"/>
  <c r="S78" i="32"/>
  <c r="T78" i="32" s="1"/>
  <c r="U78" i="32" s="1"/>
  <c r="V78" i="32" s="1"/>
  <c r="AH78" i="32"/>
  <c r="AI78" i="32" s="1"/>
  <c r="AJ78" i="32" s="1"/>
  <c r="AK78" i="32" s="1"/>
  <c r="X65" i="32"/>
  <c r="Y65" i="32" s="1"/>
  <c r="Z65" i="32" s="1"/>
  <c r="AA65" i="32" s="1"/>
  <c r="AC74" i="32"/>
  <c r="AD74" i="32" s="1"/>
  <c r="AE74" i="32" s="1"/>
  <c r="AF74" i="32" s="1"/>
  <c r="AC79" i="32"/>
  <c r="AD79" i="32" s="1"/>
  <c r="AE79" i="32" s="1"/>
  <c r="AF79" i="32" s="1"/>
  <c r="X78" i="32"/>
  <c r="Y78" i="32" s="1"/>
  <c r="Z78" i="32" s="1"/>
  <c r="AA78" i="32" s="1"/>
  <c r="AC77" i="32"/>
  <c r="AD77" i="32" s="1"/>
  <c r="AE77" i="32" s="1"/>
  <c r="AF77" i="32" s="1"/>
  <c r="X23" i="32"/>
  <c r="Y23" i="32" s="1"/>
  <c r="Z23" i="32" s="1"/>
  <c r="AA23" i="32" s="1"/>
  <c r="X94" i="66"/>
  <c r="AL46" i="32"/>
  <c r="AH46" i="32" s="1"/>
  <c r="AI46" i="32" s="1"/>
  <c r="AJ46" i="32" s="1"/>
  <c r="AK46" i="32" s="1"/>
  <c r="X66" i="32"/>
  <c r="Y66" i="32" s="1"/>
  <c r="Z66" i="32" s="1"/>
  <c r="AA66" i="32" s="1"/>
  <c r="X70" i="32"/>
  <c r="Y70" i="32" s="1"/>
  <c r="Z70" i="32" s="1"/>
  <c r="AA70" i="32" s="1"/>
  <c r="AH74" i="32"/>
  <c r="AI74" i="32" s="1"/>
  <c r="AJ74" i="32" s="1"/>
  <c r="AK74" i="32" s="1"/>
  <c r="AH79" i="32"/>
  <c r="AI79" i="32" s="1"/>
  <c r="AJ79" i="32" s="1"/>
  <c r="AK79" i="32" s="1"/>
  <c r="S79" i="32"/>
  <c r="T79" i="32" s="1"/>
  <c r="U79" i="32" s="1"/>
  <c r="V79" i="32" s="1"/>
  <c r="AH77" i="32"/>
  <c r="AI77" i="32" s="1"/>
  <c r="AJ77" i="32" s="1"/>
  <c r="AK77" i="32" s="1"/>
  <c r="S77" i="32"/>
  <c r="T77" i="32" s="1"/>
  <c r="U77" i="32" s="1"/>
  <c r="V77" i="32" s="1"/>
  <c r="X67" i="32"/>
  <c r="Y67" i="32" s="1"/>
  <c r="Z67" i="32" s="1"/>
  <c r="AA67" i="32" s="1"/>
  <c r="X69" i="32"/>
  <c r="Y69" i="32" s="1"/>
  <c r="Z69" i="32" s="1"/>
  <c r="AA69" i="32" s="1"/>
  <c r="X25" i="32"/>
  <c r="Y25" i="32" s="1"/>
  <c r="Z25" i="32" s="1"/>
  <c r="AA25" i="32" s="1"/>
  <c r="X78" i="66"/>
  <c r="AL30" i="32"/>
  <c r="AH30" i="32" s="1"/>
  <c r="AI30" i="32" s="1"/>
  <c r="AJ30" i="32" s="1"/>
  <c r="AK30" i="32" s="1"/>
  <c r="X97" i="66"/>
  <c r="AL49" i="32"/>
  <c r="AH49" i="32" s="1"/>
  <c r="AI49" i="32" s="1"/>
  <c r="AJ49" i="32" s="1"/>
  <c r="AK49" i="32" s="1"/>
  <c r="X102" i="66"/>
  <c r="AL54" i="32"/>
  <c r="AH54" i="32" s="1"/>
  <c r="AI54" i="32" s="1"/>
  <c r="AJ54" i="32" s="1"/>
  <c r="AK54" i="32" s="1"/>
  <c r="X68" i="32"/>
  <c r="Y68" i="32" s="1"/>
  <c r="Z68" i="32" s="1"/>
  <c r="AA68" i="32" s="1"/>
  <c r="X22" i="32"/>
  <c r="Y22" i="32" s="1"/>
  <c r="Z22" i="32" s="1"/>
  <c r="AA22" i="32" s="1"/>
  <c r="X71" i="32"/>
  <c r="Y71" i="32" s="1"/>
  <c r="Z71" i="32" s="1"/>
  <c r="AA71" i="32" s="1"/>
  <c r="X24" i="32"/>
  <c r="Y24" i="32" s="1"/>
  <c r="Z24" i="32" s="1"/>
  <c r="AA24" i="32" s="1"/>
  <c r="W106" i="32"/>
  <c r="AB106" i="32"/>
  <c r="AC106" i="32" s="1"/>
  <c r="AD106" i="32" s="1"/>
  <c r="AE106" i="32" s="1"/>
  <c r="AF106" i="32" s="1"/>
  <c r="AG69" i="37"/>
  <c r="W69" i="37"/>
  <c r="O69" i="37"/>
  <c r="AE86" i="67"/>
  <c r="AI86" i="67"/>
  <c r="AF86" i="67"/>
  <c r="AJ86" i="67"/>
  <c r="AG86" i="67"/>
  <c r="AD86" i="67"/>
  <c r="AH86" i="67"/>
  <c r="AE82" i="67"/>
  <c r="AI82" i="67"/>
  <c r="AF82" i="67"/>
  <c r="AJ82" i="67"/>
  <c r="AG82" i="67"/>
  <c r="AD82" i="67"/>
  <c r="AH82" i="67"/>
  <c r="AG82" i="41"/>
  <c r="AD82" i="41"/>
  <c r="AH82" i="41"/>
  <c r="AB82" i="41"/>
  <c r="AF82" i="41"/>
  <c r="AE82" i="41"/>
  <c r="AJ82" i="41"/>
  <c r="AI82" i="41"/>
  <c r="AO87" i="41"/>
  <c r="AI81" i="41"/>
  <c r="AJ81" i="41"/>
  <c r="AB81" i="41"/>
  <c r="AH81" i="41"/>
  <c r="AE81" i="41"/>
  <c r="AG81" i="41"/>
  <c r="AF81" i="41"/>
  <c r="AD81" i="41"/>
  <c r="AI61" i="41"/>
  <c r="AG61" i="41"/>
  <c r="AF61" i="41"/>
  <c r="AH61" i="41"/>
  <c r="AB61" i="41"/>
  <c r="AJ61" i="41"/>
  <c r="AE61" i="41"/>
  <c r="AD61" i="41"/>
  <c r="AG22" i="32"/>
  <c r="AC22" i="32" s="1"/>
  <c r="AD22" i="32" s="1"/>
  <c r="AE22" i="32" s="1"/>
  <c r="AF22" i="32" s="1"/>
  <c r="AG71" i="32"/>
  <c r="AC71" i="32" s="1"/>
  <c r="AD71" i="32" s="1"/>
  <c r="AE71" i="32" s="1"/>
  <c r="AF71" i="32" s="1"/>
  <c r="AG24" i="32"/>
  <c r="AC24" i="32" s="1"/>
  <c r="AD24" i="32" s="1"/>
  <c r="AE24" i="32" s="1"/>
  <c r="AF24" i="32" s="1"/>
  <c r="AW72" i="37"/>
  <c r="AX72" i="37" s="1"/>
  <c r="A71" i="37"/>
  <c r="AI86" i="41"/>
  <c r="AD86" i="41"/>
  <c r="AG86" i="41"/>
  <c r="AB86" i="41"/>
  <c r="AH86" i="41"/>
  <c r="AE86" i="41"/>
  <c r="AF86" i="41"/>
  <c r="AJ86" i="41"/>
  <c r="AG66" i="32"/>
  <c r="AC66" i="32" s="1"/>
  <c r="AD66" i="32" s="1"/>
  <c r="AE66" i="32" s="1"/>
  <c r="AF66" i="32" s="1"/>
  <c r="AG65" i="41"/>
  <c r="AE65" i="41"/>
  <c r="AF65" i="41"/>
  <c r="AI65" i="41"/>
  <c r="AJ65" i="41"/>
  <c r="AH65" i="41"/>
  <c r="AB65" i="41"/>
  <c r="AD65" i="41"/>
  <c r="AG67" i="32"/>
  <c r="AC67" i="32" s="1"/>
  <c r="AD67" i="32" s="1"/>
  <c r="AE67" i="32" s="1"/>
  <c r="AF67" i="32" s="1"/>
  <c r="AD85" i="67"/>
  <c r="AG21" i="32"/>
  <c r="AC21" i="32" s="1"/>
  <c r="AD21" i="32" s="1"/>
  <c r="AE21" i="32" s="1"/>
  <c r="AF21" i="32" s="1"/>
  <c r="AJ83" i="41"/>
  <c r="AI83" i="41"/>
  <c r="AD83" i="41"/>
  <c r="AE83" i="41"/>
  <c r="AH83" i="41"/>
  <c r="AF83" i="41"/>
  <c r="AB83" i="41"/>
  <c r="AG83" i="41"/>
  <c r="AG84" i="41"/>
  <c r="AH84" i="41"/>
  <c r="AF84" i="41"/>
  <c r="AE84" i="41"/>
  <c r="AD84" i="41"/>
  <c r="AB84" i="41"/>
  <c r="AJ84" i="41"/>
  <c r="AI84" i="41"/>
  <c r="W66" i="37"/>
  <c r="AD61" i="67"/>
  <c r="R69" i="37"/>
  <c r="W65" i="37"/>
  <c r="AG68" i="32"/>
  <c r="AC68" i="32" s="1"/>
  <c r="AD68" i="32" s="1"/>
  <c r="AE68" i="32" s="1"/>
  <c r="AF68" i="32" s="1"/>
  <c r="H10" i="59"/>
  <c r="I10" i="59" s="1"/>
  <c r="C24" i="56"/>
  <c r="C70" i="37"/>
  <c r="R70" i="37" s="1"/>
  <c r="B70" i="37"/>
  <c r="E70" i="37" s="1"/>
  <c r="F70" i="37"/>
  <c r="H70" i="37"/>
  <c r="G70" i="37"/>
  <c r="I70" i="37"/>
  <c r="AB67" i="37"/>
  <c r="AG65" i="32"/>
  <c r="AC65" i="32" s="1"/>
  <c r="AD65" i="32" s="1"/>
  <c r="AE65" i="32" s="1"/>
  <c r="AF65" i="32" s="1"/>
  <c r="AG70" i="32"/>
  <c r="AC70" i="32" s="1"/>
  <c r="AD70" i="32" s="1"/>
  <c r="AE70" i="32" s="1"/>
  <c r="AF70" i="32" s="1"/>
  <c r="AJ85" i="41"/>
  <c r="AB85" i="41"/>
  <c r="AD85" i="41"/>
  <c r="AI85" i="41"/>
  <c r="AE85" i="41"/>
  <c r="AG85" i="41"/>
  <c r="AF85" i="41"/>
  <c r="AH85" i="41"/>
  <c r="AG83" i="67"/>
  <c r="AD83" i="67"/>
  <c r="AH83" i="67"/>
  <c r="AE83" i="67"/>
  <c r="AI83" i="67"/>
  <c r="AF83" i="67"/>
  <c r="AJ83" i="67"/>
  <c r="AG84" i="67"/>
  <c r="AD84" i="67"/>
  <c r="AH84" i="67"/>
  <c r="AE84" i="67"/>
  <c r="AI84" i="67"/>
  <c r="AF84" i="67"/>
  <c r="AJ84" i="67"/>
  <c r="AG69" i="32"/>
  <c r="AC69" i="32" s="1"/>
  <c r="AD69" i="32" s="1"/>
  <c r="AE69" i="32" s="1"/>
  <c r="AF69" i="32" s="1"/>
  <c r="AD66" i="41"/>
  <c r="AF66" i="41"/>
  <c r="AE66" i="41"/>
  <c r="AG66" i="41"/>
  <c r="AJ66" i="41"/>
  <c r="AI66" i="41"/>
  <c r="AB66" i="41"/>
  <c r="AH66" i="41"/>
  <c r="AG25" i="32"/>
  <c r="AC25" i="32" s="1"/>
  <c r="AD25" i="32" s="1"/>
  <c r="AE25" i="32" s="1"/>
  <c r="AF25" i="32" s="1"/>
  <c r="AG23" i="32"/>
  <c r="AC23" i="32" s="1"/>
  <c r="AD23" i="32" s="1"/>
  <c r="AE23" i="32" s="1"/>
  <c r="AF23" i="32" s="1"/>
  <c r="AF69" i="37"/>
  <c r="AV69" i="37"/>
  <c r="Z69" i="37"/>
  <c r="Q69" i="37"/>
  <c r="X69" i="37"/>
  <c r="AI69" i="37"/>
  <c r="AT69" i="37"/>
  <c r="AQ69" i="37"/>
  <c r="AP69" i="37"/>
  <c r="S69" i="37"/>
  <c r="AK69" i="37"/>
  <c r="N69" i="37"/>
  <c r="AU69" i="37"/>
  <c r="K69" i="37"/>
  <c r="T69" i="37"/>
  <c r="Y69" i="37"/>
  <c r="AE69" i="37"/>
  <c r="AO69" i="37"/>
  <c r="AH69" i="37"/>
  <c r="P69" i="37"/>
  <c r="AR69" i="37"/>
  <c r="U69" i="37"/>
  <c r="AS69" i="37"/>
  <c r="V69" i="37"/>
  <c r="AJ69" i="37"/>
  <c r="AD69" i="37"/>
  <c r="AA69" i="37"/>
  <c r="L69" i="37"/>
  <c r="AC69" i="37"/>
  <c r="J69" i="37"/>
  <c r="M69" i="37"/>
  <c r="AB69" i="37"/>
  <c r="AL68" i="37"/>
  <c r="X119" i="67"/>
  <c r="AL69" i="37"/>
  <c r="AN106" i="32"/>
  <c r="AM106" i="32"/>
  <c r="AL106" i="32"/>
  <c r="AH106" i="32" s="1"/>
  <c r="AI106" i="32" s="1"/>
  <c r="AJ106" i="32" s="1"/>
  <c r="AK106" i="32" s="1"/>
  <c r="R106" i="32"/>
  <c r="I60" i="20"/>
  <c r="AX109" i="32"/>
  <c r="AY109" i="32" s="1"/>
  <c r="A108" i="32"/>
  <c r="D106" i="32"/>
  <c r="N106" i="32"/>
  <c r="Q106" i="32"/>
  <c r="AW106" i="32"/>
  <c r="AR106" i="32"/>
  <c r="AT106" i="32"/>
  <c r="AS106" i="32"/>
  <c r="AU106" i="32"/>
  <c r="P106" i="32"/>
  <c r="AV106" i="32"/>
  <c r="AP106" i="32"/>
  <c r="AO106" i="32"/>
  <c r="AQ106" i="32"/>
  <c r="C107" i="32"/>
  <c r="AG107" i="32" s="1"/>
  <c r="G107" i="32"/>
  <c r="H107" i="32"/>
  <c r="I107" i="32"/>
  <c r="F107" i="32"/>
  <c r="B107" i="32"/>
  <c r="E107" i="32" s="1"/>
  <c r="I60" i="38"/>
  <c r="W113" i="41"/>
  <c r="E60" i="38"/>
  <c r="W118" i="41"/>
  <c r="D61" i="20"/>
  <c r="C61" i="20"/>
  <c r="B61" i="20"/>
  <c r="F61" i="20"/>
  <c r="H61" i="20"/>
  <c r="I61" i="20"/>
  <c r="G61" i="20"/>
  <c r="E61" i="20"/>
  <c r="W78" i="41"/>
  <c r="K63" i="38"/>
  <c r="L63" i="38" s="1"/>
  <c r="A62" i="38"/>
  <c r="W116" i="41"/>
  <c r="W114" i="41"/>
  <c r="W115" i="41"/>
  <c r="B67" i="36"/>
  <c r="E67" i="36" s="1"/>
  <c r="C67" i="36"/>
  <c r="E60" i="20"/>
  <c r="AA66" i="36"/>
  <c r="K66" i="36"/>
  <c r="W66" i="36"/>
  <c r="AP66" i="36"/>
  <c r="AN66" i="36"/>
  <c r="P66" i="36"/>
  <c r="AJ66" i="36"/>
  <c r="Y66" i="36"/>
  <c r="AD66" i="36"/>
  <c r="AH66" i="36"/>
  <c r="AI66" i="36"/>
  <c r="U66" i="36"/>
  <c r="AF66" i="36"/>
  <c r="AK66" i="36"/>
  <c r="AS66" i="36"/>
  <c r="R66" i="36"/>
  <c r="L66" i="36"/>
  <c r="Q66" i="36"/>
  <c r="AM66" i="36"/>
  <c r="T66" i="36"/>
  <c r="AR66" i="36"/>
  <c r="Z66" i="36"/>
  <c r="AE66" i="36"/>
  <c r="AU66" i="36"/>
  <c r="AL66" i="36"/>
  <c r="AO66" i="36"/>
  <c r="X66" i="36"/>
  <c r="M66" i="36"/>
  <c r="AT66" i="36"/>
  <c r="V66" i="36"/>
  <c r="AC66" i="36"/>
  <c r="O66" i="36"/>
  <c r="AQ66" i="36"/>
  <c r="N66" i="36"/>
  <c r="AB66" i="36"/>
  <c r="S66" i="36"/>
  <c r="AG66" i="36"/>
  <c r="W119" i="41"/>
  <c r="K63" i="20"/>
  <c r="L63" i="20" s="1"/>
  <c r="A62" i="20"/>
  <c r="B61" i="38"/>
  <c r="H61" i="38"/>
  <c r="G61" i="38"/>
  <c r="C61" i="38"/>
  <c r="I61" i="38"/>
  <c r="E61" i="38"/>
  <c r="F61" i="38"/>
  <c r="D61" i="38"/>
  <c r="AV69" i="36"/>
  <c r="AW69" i="36" s="1"/>
  <c r="A68" i="36"/>
  <c r="W117" i="41"/>
  <c r="B76" i="19"/>
  <c r="D76" i="19"/>
  <c r="G76" i="19"/>
  <c r="F76" i="19"/>
  <c r="H76" i="19"/>
  <c r="C76" i="19"/>
  <c r="E76" i="19"/>
  <c r="J76" i="19"/>
  <c r="I76" i="19"/>
  <c r="AC75" i="19"/>
  <c r="T75" i="19"/>
  <c r="Q75" i="19"/>
  <c r="AQ75" i="19"/>
  <c r="AR75" i="19"/>
  <c r="S75" i="19"/>
  <c r="L75" i="19"/>
  <c r="AI75" i="19"/>
  <c r="N75" i="19"/>
  <c r="Z75" i="19"/>
  <c r="AA75" i="19"/>
  <c r="AP75" i="19"/>
  <c r="P75" i="19"/>
  <c r="AL75" i="19"/>
  <c r="X75" i="19"/>
  <c r="AH75" i="19"/>
  <c r="Y75" i="19"/>
  <c r="O75" i="19"/>
  <c r="AB75" i="19"/>
  <c r="W75" i="19"/>
  <c r="AD75" i="19"/>
  <c r="AM75" i="19"/>
  <c r="AS75" i="19"/>
  <c r="V75" i="19"/>
  <c r="R75" i="19"/>
  <c r="AG75" i="19"/>
  <c r="AE75" i="19"/>
  <c r="AN75" i="19"/>
  <c r="AJ75" i="19"/>
  <c r="AT75" i="19"/>
  <c r="U75" i="19"/>
  <c r="AU75" i="19"/>
  <c r="M75" i="19"/>
  <c r="AF75" i="19"/>
  <c r="AK75" i="19"/>
  <c r="K75" i="19"/>
  <c r="AO75" i="19"/>
  <c r="A77" i="19"/>
  <c r="AV78" i="19"/>
  <c r="AW78" i="19" s="1"/>
  <c r="O70" i="37" l="1"/>
  <c r="Y102" i="66"/>
  <c r="AN54" i="32" s="1"/>
  <c r="AM54" i="32"/>
  <c r="Y97" i="66"/>
  <c r="AN49" i="32" s="1"/>
  <c r="AM49" i="32"/>
  <c r="Y78" i="66"/>
  <c r="AN30" i="32" s="1"/>
  <c r="AM30" i="32"/>
  <c r="Y94" i="66"/>
  <c r="AN46" i="32" s="1"/>
  <c r="AM46" i="32"/>
  <c r="X106" i="32"/>
  <c r="Y106" i="32" s="1"/>
  <c r="Z106" i="32" s="1"/>
  <c r="AA106" i="32" s="1"/>
  <c r="S106" i="32"/>
  <c r="T106" i="32" s="1"/>
  <c r="U106" i="32" s="1"/>
  <c r="V106" i="32" s="1"/>
  <c r="W107" i="32"/>
  <c r="AB107" i="32"/>
  <c r="AC107" i="32" s="1"/>
  <c r="AD107" i="32" s="1"/>
  <c r="AE107" i="32" s="1"/>
  <c r="AF107" i="32" s="1"/>
  <c r="AL70" i="37"/>
  <c r="W70" i="37"/>
  <c r="AB70" i="37"/>
  <c r="C23" i="56"/>
  <c r="H9" i="59"/>
  <c r="I9" i="59" s="1"/>
  <c r="F71" i="37"/>
  <c r="C71" i="37"/>
  <c r="O71" i="37" s="1"/>
  <c r="B71" i="37"/>
  <c r="E71" i="37" s="1"/>
  <c r="H71" i="37"/>
  <c r="G71" i="37"/>
  <c r="I71" i="37"/>
  <c r="AG67" i="37"/>
  <c r="D70" i="37"/>
  <c r="AR70" i="37"/>
  <c r="AS70" i="37"/>
  <c r="Q70" i="37"/>
  <c r="P70" i="37"/>
  <c r="S70" i="37"/>
  <c r="AK70" i="37"/>
  <c r="AI70" i="37"/>
  <c r="Z70" i="37"/>
  <c r="AU70" i="37"/>
  <c r="K70" i="37"/>
  <c r="V70" i="37"/>
  <c r="AJ70" i="37"/>
  <c r="N70" i="37"/>
  <c r="AC70" i="37"/>
  <c r="AO70" i="37"/>
  <c r="AH70" i="37"/>
  <c r="AQ70" i="37"/>
  <c r="AA70" i="37"/>
  <c r="AD70" i="37"/>
  <c r="AP70" i="37"/>
  <c r="AE70" i="37"/>
  <c r="U70" i="37"/>
  <c r="AT70" i="37"/>
  <c r="Y70" i="37"/>
  <c r="AV70" i="37"/>
  <c r="X70" i="37"/>
  <c r="T70" i="37"/>
  <c r="AF70" i="37"/>
  <c r="L70" i="37"/>
  <c r="J70" i="37"/>
  <c r="M70" i="37"/>
  <c r="AG70" i="37"/>
  <c r="AB65" i="37"/>
  <c r="AB66" i="37"/>
  <c r="AW73" i="37"/>
  <c r="AX73" i="37" s="1"/>
  <c r="A72" i="37"/>
  <c r="D107" i="32"/>
  <c r="AN69" i="37"/>
  <c r="AM69" i="37"/>
  <c r="Y119" i="67"/>
  <c r="AN70" i="37"/>
  <c r="AM70" i="37"/>
  <c r="AN68" i="37"/>
  <c r="AM68" i="37"/>
  <c r="AN107" i="32"/>
  <c r="AM107" i="32"/>
  <c r="AL107" i="32"/>
  <c r="AH107" i="32" s="1"/>
  <c r="AI107" i="32" s="1"/>
  <c r="AJ107" i="32" s="1"/>
  <c r="AK107" i="32" s="1"/>
  <c r="R107" i="32"/>
  <c r="I108" i="32"/>
  <c r="F108" i="32"/>
  <c r="C108" i="32"/>
  <c r="AG108" i="32" s="1"/>
  <c r="G108" i="32"/>
  <c r="B108" i="32"/>
  <c r="E108" i="32" s="1"/>
  <c r="H108" i="32"/>
  <c r="AT107" i="32"/>
  <c r="AU107" i="32"/>
  <c r="AS107" i="32"/>
  <c r="AO107" i="32"/>
  <c r="Q107" i="32"/>
  <c r="N107" i="32"/>
  <c r="AP107" i="32"/>
  <c r="AV107" i="32"/>
  <c r="AW107" i="32"/>
  <c r="AR107" i="32"/>
  <c r="P107" i="32"/>
  <c r="AQ107" i="32"/>
  <c r="AX110" i="32"/>
  <c r="AY110" i="32" s="1"/>
  <c r="A109" i="32"/>
  <c r="J67" i="36"/>
  <c r="D67" i="36"/>
  <c r="G67" i="36"/>
  <c r="X117" i="41"/>
  <c r="AV70" i="36"/>
  <c r="AW70" i="36" s="1"/>
  <c r="A69" i="36"/>
  <c r="AO67" i="36"/>
  <c r="M67" i="36"/>
  <c r="K67" i="36"/>
  <c r="AI67" i="36"/>
  <c r="AM67" i="36"/>
  <c r="W67" i="36"/>
  <c r="AB67" i="36"/>
  <c r="AD67" i="36"/>
  <c r="AS67" i="36"/>
  <c r="AJ67" i="36"/>
  <c r="AN67" i="36"/>
  <c r="X67" i="36"/>
  <c r="V67" i="36"/>
  <c r="AU67" i="36"/>
  <c r="S67" i="36"/>
  <c r="T67" i="36"/>
  <c r="AK67" i="36"/>
  <c r="AG67" i="36"/>
  <c r="Z67" i="36"/>
  <c r="AL67" i="36"/>
  <c r="AC67" i="36"/>
  <c r="L67" i="36"/>
  <c r="AR67" i="36"/>
  <c r="Q67" i="36"/>
  <c r="U67" i="36"/>
  <c r="R67" i="36"/>
  <c r="AH67" i="36"/>
  <c r="AT67" i="36"/>
  <c r="AA67" i="36"/>
  <c r="P67" i="36"/>
  <c r="AP67" i="36"/>
  <c r="AE67" i="36"/>
  <c r="AF67" i="36"/>
  <c r="N67" i="36"/>
  <c r="O67" i="36"/>
  <c r="Y67" i="36"/>
  <c r="AQ67" i="36"/>
  <c r="X115" i="41"/>
  <c r="X114" i="41"/>
  <c r="X116" i="41"/>
  <c r="K64" i="38"/>
  <c r="L64" i="38" s="1"/>
  <c r="A63" i="38"/>
  <c r="X78" i="41"/>
  <c r="D68" i="36"/>
  <c r="G68" i="36"/>
  <c r="I68" i="36"/>
  <c r="B68" i="36"/>
  <c r="H68" i="36"/>
  <c r="C68" i="36"/>
  <c r="E68" i="36"/>
  <c r="J68" i="36"/>
  <c r="F68" i="36"/>
  <c r="K64" i="20"/>
  <c r="L64" i="20" s="1"/>
  <c r="A63" i="20"/>
  <c r="X119" i="41"/>
  <c r="H67" i="36"/>
  <c r="I67" i="36"/>
  <c r="F67" i="36"/>
  <c r="B62" i="38"/>
  <c r="I62" i="38"/>
  <c r="G62" i="38"/>
  <c r="D62" i="38"/>
  <c r="F62" i="38"/>
  <c r="E62" i="38"/>
  <c r="C62" i="38"/>
  <c r="H62" i="38"/>
  <c r="X118" i="41"/>
  <c r="X113" i="41"/>
  <c r="I62" i="20"/>
  <c r="B62" i="20"/>
  <c r="H62" i="20"/>
  <c r="E62" i="20"/>
  <c r="F62" i="20"/>
  <c r="D62" i="20"/>
  <c r="G62" i="20"/>
  <c r="C62" i="20"/>
  <c r="B77" i="19"/>
  <c r="I77" i="19" s="1"/>
  <c r="C77" i="19"/>
  <c r="A78" i="19"/>
  <c r="AV79" i="19"/>
  <c r="AW79" i="19" s="1"/>
  <c r="AF76" i="19"/>
  <c r="P76" i="19"/>
  <c r="U76" i="19"/>
  <c r="Y76" i="19"/>
  <c r="AM76" i="19"/>
  <c r="AN76" i="19"/>
  <c r="M76" i="19"/>
  <c r="AI76" i="19"/>
  <c r="AJ76" i="19"/>
  <c r="X76" i="19"/>
  <c r="R76" i="19"/>
  <c r="AQ76" i="19"/>
  <c r="AO76" i="19"/>
  <c r="AH76" i="19"/>
  <c r="AG76" i="19"/>
  <c r="AP76" i="19"/>
  <c r="AS76" i="19"/>
  <c r="S76" i="19"/>
  <c r="AL76" i="19"/>
  <c r="K76" i="19"/>
  <c r="L76" i="19"/>
  <c r="AA76" i="19"/>
  <c r="AU76" i="19"/>
  <c r="AC76" i="19"/>
  <c r="AT76" i="19"/>
  <c r="O76" i="19"/>
  <c r="Q76" i="19"/>
  <c r="V76" i="19"/>
  <c r="AR76" i="19"/>
  <c r="AE76" i="19"/>
  <c r="AK76" i="19"/>
  <c r="N76" i="19"/>
  <c r="AB76" i="19"/>
  <c r="Z76" i="19"/>
  <c r="AD76" i="19"/>
  <c r="T76" i="19"/>
  <c r="W76" i="19"/>
  <c r="S107" i="32" l="1"/>
  <c r="T107" i="32" s="1"/>
  <c r="U107" i="32" s="1"/>
  <c r="V107" i="32" s="1"/>
  <c r="W108" i="32"/>
  <c r="AB108" i="32"/>
  <c r="AC108" i="32" s="1"/>
  <c r="AD108" i="32" s="1"/>
  <c r="AE108" i="32" s="1"/>
  <c r="AF108" i="32" s="1"/>
  <c r="X107" i="32"/>
  <c r="Y107" i="32" s="1"/>
  <c r="Z107" i="32" s="1"/>
  <c r="AA107" i="32" s="1"/>
  <c r="AN71" i="37"/>
  <c r="AM71" i="37"/>
  <c r="W71" i="37"/>
  <c r="AG71" i="37"/>
  <c r="AL22" i="32"/>
  <c r="AH22" i="32" s="1"/>
  <c r="AI22" i="32" s="1"/>
  <c r="AJ22" i="32" s="1"/>
  <c r="AK22" i="32" s="1"/>
  <c r="AL71" i="32"/>
  <c r="AH71" i="32" s="1"/>
  <c r="AI71" i="32" s="1"/>
  <c r="AJ71" i="32" s="1"/>
  <c r="AK71" i="32" s="1"/>
  <c r="AL24" i="32"/>
  <c r="AH24" i="32" s="1"/>
  <c r="AI24" i="32" s="1"/>
  <c r="AJ24" i="32" s="1"/>
  <c r="AK24" i="32" s="1"/>
  <c r="AM72" i="37"/>
  <c r="AG72" i="37"/>
  <c r="W72" i="37"/>
  <c r="O72" i="37"/>
  <c r="AN72" i="37"/>
  <c r="AL72" i="37"/>
  <c r="AB72" i="37"/>
  <c r="R72" i="37"/>
  <c r="E72" i="37"/>
  <c r="F72" i="37"/>
  <c r="D72" i="37"/>
  <c r="G72" i="37"/>
  <c r="C72" i="37"/>
  <c r="I72" i="37"/>
  <c r="H72" i="37"/>
  <c r="B72" i="37"/>
  <c r="AL67" i="32"/>
  <c r="AH67" i="32" s="1"/>
  <c r="AI67" i="32" s="1"/>
  <c r="AJ67" i="32" s="1"/>
  <c r="AK67" i="32" s="1"/>
  <c r="AL21" i="32"/>
  <c r="AH21" i="32" s="1"/>
  <c r="AI21" i="32" s="1"/>
  <c r="AJ21" i="32" s="1"/>
  <c r="AK21" i="32" s="1"/>
  <c r="AL67" i="37"/>
  <c r="U71" i="37"/>
  <c r="V71" i="37"/>
  <c r="X71" i="37"/>
  <c r="AK71" i="37"/>
  <c r="S71" i="37"/>
  <c r="K71" i="37"/>
  <c r="AQ71" i="37"/>
  <c r="AS71" i="37"/>
  <c r="L71" i="37"/>
  <c r="T71" i="37"/>
  <c r="AJ71" i="37"/>
  <c r="AV71" i="37"/>
  <c r="AO71" i="37"/>
  <c r="Q71" i="37"/>
  <c r="N71" i="37"/>
  <c r="AT71" i="37"/>
  <c r="AR71" i="37"/>
  <c r="AC71" i="37"/>
  <c r="AH71" i="37"/>
  <c r="AA71" i="37"/>
  <c r="Y71" i="37"/>
  <c r="P71" i="37"/>
  <c r="AU71" i="37"/>
  <c r="AD71" i="37"/>
  <c r="AP71" i="37"/>
  <c r="AE71" i="37"/>
  <c r="AF71" i="37"/>
  <c r="AI71" i="37"/>
  <c r="Z71" i="37"/>
  <c r="J71" i="37"/>
  <c r="M71" i="37"/>
  <c r="AL71" i="37"/>
  <c r="AL68" i="32"/>
  <c r="AH68" i="32" s="1"/>
  <c r="AI68" i="32" s="1"/>
  <c r="AJ68" i="32" s="1"/>
  <c r="AK68" i="32" s="1"/>
  <c r="H8" i="59"/>
  <c r="I8" i="59" s="1"/>
  <c r="C22" i="56"/>
  <c r="AW74" i="37"/>
  <c r="AX74" i="37" s="1"/>
  <c r="A73" i="37"/>
  <c r="AG66" i="37"/>
  <c r="AG65" i="37"/>
  <c r="AL69" i="32"/>
  <c r="AH69" i="32" s="1"/>
  <c r="AI69" i="32" s="1"/>
  <c r="AJ69" i="32" s="1"/>
  <c r="AK69" i="32" s="1"/>
  <c r="AB71" i="37"/>
  <c r="R71" i="37"/>
  <c r="D71" i="37"/>
  <c r="AL66" i="32"/>
  <c r="AH66" i="32" s="1"/>
  <c r="AI66" i="32" s="1"/>
  <c r="AJ66" i="32" s="1"/>
  <c r="AK66" i="32" s="1"/>
  <c r="AL65" i="32"/>
  <c r="AH65" i="32" s="1"/>
  <c r="AI65" i="32" s="1"/>
  <c r="AJ65" i="32" s="1"/>
  <c r="AK65" i="32" s="1"/>
  <c r="AL70" i="32"/>
  <c r="AH70" i="32" s="1"/>
  <c r="AI70" i="32" s="1"/>
  <c r="AJ70" i="32" s="1"/>
  <c r="AK70" i="32" s="1"/>
  <c r="AL25" i="32"/>
  <c r="AH25" i="32" s="1"/>
  <c r="AI25" i="32" s="1"/>
  <c r="AJ25" i="32" s="1"/>
  <c r="AK25" i="32" s="1"/>
  <c r="AL23" i="32"/>
  <c r="AH23" i="32" s="1"/>
  <c r="AI23" i="32" s="1"/>
  <c r="AJ23" i="32" s="1"/>
  <c r="AK23" i="32" s="1"/>
  <c r="D108" i="32"/>
  <c r="AN108" i="32"/>
  <c r="AM108" i="32"/>
  <c r="AL108" i="32"/>
  <c r="AH108" i="32" s="1"/>
  <c r="AI108" i="32" s="1"/>
  <c r="AJ108" i="32" s="1"/>
  <c r="AK108" i="32" s="1"/>
  <c r="R108" i="32"/>
  <c r="G109" i="32"/>
  <c r="I109" i="32"/>
  <c r="H109" i="32"/>
  <c r="F109" i="32"/>
  <c r="C109" i="32"/>
  <c r="AG109" i="32" s="1"/>
  <c r="B109" i="32"/>
  <c r="E109" i="32" s="1"/>
  <c r="AX111" i="32"/>
  <c r="AY111" i="32" s="1"/>
  <c r="A110" i="32"/>
  <c r="AW108" i="32"/>
  <c r="Q108" i="32"/>
  <c r="N108" i="32"/>
  <c r="AP108" i="32"/>
  <c r="AR108" i="32"/>
  <c r="AO108" i="32"/>
  <c r="AV108" i="32"/>
  <c r="AT108" i="32"/>
  <c r="AS108" i="32"/>
  <c r="AU108" i="32"/>
  <c r="P108" i="32"/>
  <c r="AQ108" i="32"/>
  <c r="Y118" i="41"/>
  <c r="Y113" i="41"/>
  <c r="Y119" i="41"/>
  <c r="K65" i="20"/>
  <c r="L65" i="20" s="1"/>
  <c r="A64" i="20"/>
  <c r="AC68" i="36"/>
  <c r="L68" i="36"/>
  <c r="AU68" i="36"/>
  <c r="AJ68" i="36"/>
  <c r="AB68" i="36"/>
  <c r="AK68" i="36"/>
  <c r="S68" i="36"/>
  <c r="O68" i="36"/>
  <c r="K68" i="36"/>
  <c r="AO68" i="36"/>
  <c r="AD68" i="36"/>
  <c r="Q68" i="36"/>
  <c r="Y68" i="36"/>
  <c r="AL68" i="36"/>
  <c r="R68" i="36"/>
  <c r="U68" i="36"/>
  <c r="V68" i="36"/>
  <c r="T68" i="36"/>
  <c r="AM68" i="36"/>
  <c r="AG68" i="36"/>
  <c r="AQ68" i="36"/>
  <c r="Z68" i="36"/>
  <c r="AH68" i="36"/>
  <c r="AP68" i="36"/>
  <c r="W68" i="36"/>
  <c r="AT68" i="36"/>
  <c r="X68" i="36"/>
  <c r="AS68" i="36"/>
  <c r="P68" i="36"/>
  <c r="M68" i="36"/>
  <c r="AE68" i="36"/>
  <c r="N68" i="36"/>
  <c r="AR68" i="36"/>
  <c r="AI68" i="36"/>
  <c r="AA68" i="36"/>
  <c r="AN68" i="36"/>
  <c r="AF68" i="36"/>
  <c r="Y78" i="41"/>
  <c r="K65" i="38"/>
  <c r="L65" i="38" s="1"/>
  <c r="A64" i="38"/>
  <c r="Y116" i="41"/>
  <c r="Y114" i="41"/>
  <c r="E69" i="36"/>
  <c r="I69" i="36"/>
  <c r="C69" i="36"/>
  <c r="F69" i="36"/>
  <c r="J69" i="36"/>
  <c r="H69" i="36"/>
  <c r="B69" i="36"/>
  <c r="G69" i="36"/>
  <c r="D69" i="36"/>
  <c r="Y117" i="41"/>
  <c r="C63" i="20"/>
  <c r="G63" i="20"/>
  <c r="F63" i="20"/>
  <c r="H63" i="20"/>
  <c r="B63" i="20"/>
  <c r="I63" i="20" s="1"/>
  <c r="B63" i="38"/>
  <c r="I63" i="38" s="1"/>
  <c r="G63" i="38"/>
  <c r="H63" i="38"/>
  <c r="F63" i="38"/>
  <c r="C63" i="38"/>
  <c r="Y115" i="41"/>
  <c r="AV71" i="36"/>
  <c r="AW71" i="36" s="1"/>
  <c r="A70" i="36"/>
  <c r="E77" i="19"/>
  <c r="G77" i="19"/>
  <c r="J77" i="19"/>
  <c r="H77" i="19"/>
  <c r="F77" i="19"/>
  <c r="D77" i="19"/>
  <c r="I78" i="19"/>
  <c r="F78" i="19"/>
  <c r="H78" i="19"/>
  <c r="B78" i="19"/>
  <c r="G78" i="19"/>
  <c r="E78" i="19"/>
  <c r="C78" i="19"/>
  <c r="J78" i="19"/>
  <c r="D78" i="19"/>
  <c r="AV80" i="19"/>
  <c r="AW80" i="19" s="1"/>
  <c r="A79" i="19"/>
  <c r="AL77" i="19"/>
  <c r="AN77" i="19"/>
  <c r="AJ77" i="19"/>
  <c r="T77" i="19"/>
  <c r="W77" i="19"/>
  <c r="AO77" i="19"/>
  <c r="AR77" i="19"/>
  <c r="AM77" i="19"/>
  <c r="P77" i="19"/>
  <c r="AQ77" i="19"/>
  <c r="AT77" i="19"/>
  <c r="S77" i="19"/>
  <c r="Q77" i="19"/>
  <c r="Z77" i="19"/>
  <c r="AD77" i="19"/>
  <c r="AK77" i="19"/>
  <c r="AG77" i="19"/>
  <c r="AH77" i="19"/>
  <c r="AC77" i="19"/>
  <c r="L77" i="19"/>
  <c r="AA77" i="19"/>
  <c r="R77" i="19"/>
  <c r="M77" i="19"/>
  <c r="V77" i="19"/>
  <c r="AU77" i="19"/>
  <c r="K77" i="19"/>
  <c r="O77" i="19"/>
  <c r="U77" i="19"/>
  <c r="Y77" i="19"/>
  <c r="N77" i="19"/>
  <c r="AI77" i="19"/>
  <c r="AE77" i="19"/>
  <c r="AP77" i="19"/>
  <c r="AB77" i="19"/>
  <c r="AS77" i="19"/>
  <c r="AF77" i="19"/>
  <c r="X77" i="19"/>
  <c r="S108" i="32" l="1"/>
  <c r="T108" i="32" s="1"/>
  <c r="U108" i="32" s="1"/>
  <c r="V108" i="32" s="1"/>
  <c r="W109" i="32"/>
  <c r="AB109" i="32"/>
  <c r="AC109" i="32" s="1"/>
  <c r="AD109" i="32" s="1"/>
  <c r="AE109" i="32" s="1"/>
  <c r="AF109" i="32" s="1"/>
  <c r="X108" i="32"/>
  <c r="Y108" i="32" s="1"/>
  <c r="Z108" i="32" s="1"/>
  <c r="AA108" i="32" s="1"/>
  <c r="AN23" i="32"/>
  <c r="AM23" i="32"/>
  <c r="AN25" i="32"/>
  <c r="AM25" i="32"/>
  <c r="AN70" i="32"/>
  <c r="AM70" i="32"/>
  <c r="AN65" i="32"/>
  <c r="AM65" i="32"/>
  <c r="AN66" i="32"/>
  <c r="AM66" i="32"/>
  <c r="AL65" i="37"/>
  <c r="AL66" i="37"/>
  <c r="AW75" i="37"/>
  <c r="AX75" i="37" s="1"/>
  <c r="A74" i="37"/>
  <c r="C21" i="56"/>
  <c r="H6" i="59" s="1"/>
  <c r="H7" i="59"/>
  <c r="AN69" i="32"/>
  <c r="AM69" i="32"/>
  <c r="AM73" i="37"/>
  <c r="AG73" i="37"/>
  <c r="W73" i="37"/>
  <c r="O73" i="37"/>
  <c r="B73" i="37"/>
  <c r="C73" i="37"/>
  <c r="AN73" i="37"/>
  <c r="AL73" i="37"/>
  <c r="AB73" i="37"/>
  <c r="R73" i="37"/>
  <c r="D73" i="37"/>
  <c r="G73" i="37"/>
  <c r="E73" i="37"/>
  <c r="H73" i="37"/>
  <c r="I73" i="37"/>
  <c r="F73" i="37"/>
  <c r="AN68" i="32"/>
  <c r="AM68" i="32"/>
  <c r="AM67" i="37"/>
  <c r="AN67" i="37"/>
  <c r="AN21" i="32"/>
  <c r="AM21" i="32"/>
  <c r="AN67" i="32"/>
  <c r="AM67" i="32"/>
  <c r="K72" i="37"/>
  <c r="AC72" i="37"/>
  <c r="U72" i="37"/>
  <c r="AD72" i="37"/>
  <c r="AJ72" i="37"/>
  <c r="Z72" i="37"/>
  <c r="AF72" i="37"/>
  <c r="AI72" i="37"/>
  <c r="AR72" i="37"/>
  <c r="P72" i="37"/>
  <c r="S72" i="37"/>
  <c r="V72" i="37"/>
  <c r="X72" i="37"/>
  <c r="Q72" i="37"/>
  <c r="AV72" i="37"/>
  <c r="AK72" i="37"/>
  <c r="AQ72" i="37"/>
  <c r="AT72" i="37"/>
  <c r="L72" i="37"/>
  <c r="AA72" i="37"/>
  <c r="AP72" i="37"/>
  <c r="AU72" i="37"/>
  <c r="Y72" i="37"/>
  <c r="AE72" i="37"/>
  <c r="AH72" i="37"/>
  <c r="AS72" i="37"/>
  <c r="N72" i="37"/>
  <c r="AO72" i="37"/>
  <c r="T72" i="37"/>
  <c r="M72" i="37"/>
  <c r="J72" i="37"/>
  <c r="AN24" i="32"/>
  <c r="AM24" i="32"/>
  <c r="AN71" i="32"/>
  <c r="AM71" i="32"/>
  <c r="AN22" i="32"/>
  <c r="AM22" i="32"/>
  <c r="D109" i="32"/>
  <c r="AN109" i="32"/>
  <c r="AM109" i="32"/>
  <c r="AL109" i="32"/>
  <c r="AH109" i="32" s="1"/>
  <c r="AI109" i="32" s="1"/>
  <c r="AJ109" i="32" s="1"/>
  <c r="AK109" i="32" s="1"/>
  <c r="R109" i="32"/>
  <c r="AX112" i="32"/>
  <c r="AY112" i="32" s="1"/>
  <c r="A111" i="32"/>
  <c r="I110" i="32"/>
  <c r="H110" i="32"/>
  <c r="F110" i="32"/>
  <c r="G110" i="32"/>
  <c r="C110" i="32"/>
  <c r="AG110" i="32" s="1"/>
  <c r="B110" i="32"/>
  <c r="E110" i="32" s="1"/>
  <c r="AW109" i="32"/>
  <c r="N109" i="32"/>
  <c r="AS109" i="32"/>
  <c r="Q109" i="32"/>
  <c r="AQ109" i="32"/>
  <c r="AV109" i="32"/>
  <c r="P109" i="32"/>
  <c r="AR109" i="32"/>
  <c r="AT109" i="32"/>
  <c r="AP109" i="32"/>
  <c r="AU109" i="32"/>
  <c r="AO109" i="32"/>
  <c r="D63" i="38"/>
  <c r="E63" i="38"/>
  <c r="E63" i="20"/>
  <c r="D63" i="20"/>
  <c r="C70" i="36"/>
  <c r="B70" i="36"/>
  <c r="H70" i="36" s="1"/>
  <c r="B64" i="38"/>
  <c r="I64" i="38"/>
  <c r="H64" i="38"/>
  <c r="C64" i="38"/>
  <c r="G64" i="38"/>
  <c r="D64" i="38"/>
  <c r="E64" i="38"/>
  <c r="F64" i="38"/>
  <c r="C64" i="20"/>
  <c r="E64" i="20"/>
  <c r="B64" i="20"/>
  <c r="I64" i="20"/>
  <c r="F64" i="20"/>
  <c r="H64" i="20"/>
  <c r="D64" i="20"/>
  <c r="G64" i="20"/>
  <c r="AV72" i="36"/>
  <c r="AW72" i="36" s="1"/>
  <c r="A71" i="36"/>
  <c r="AK69" i="36"/>
  <c r="L69" i="36"/>
  <c r="AI69" i="36"/>
  <c r="AG69" i="36"/>
  <c r="AU69" i="36"/>
  <c r="W69" i="36"/>
  <c r="T69" i="36"/>
  <c r="AD69" i="36"/>
  <c r="Z69" i="36"/>
  <c r="N69" i="36"/>
  <c r="AJ69" i="36"/>
  <c r="AP69" i="36"/>
  <c r="AM69" i="36"/>
  <c r="Y69" i="36"/>
  <c r="Q69" i="36"/>
  <c r="AT69" i="36"/>
  <c r="AH69" i="36"/>
  <c r="O69" i="36"/>
  <c r="X69" i="36"/>
  <c r="S69" i="36"/>
  <c r="AC69" i="36"/>
  <c r="AB69" i="36"/>
  <c r="AF69" i="36"/>
  <c r="M69" i="36"/>
  <c r="AR69" i="36"/>
  <c r="V69" i="36"/>
  <c r="AN69" i="36"/>
  <c r="U69" i="36"/>
  <c r="AL69" i="36"/>
  <c r="P69" i="36"/>
  <c r="R69" i="36"/>
  <c r="AA69" i="36"/>
  <c r="AS69" i="36"/>
  <c r="AO69" i="36"/>
  <c r="AE69" i="36"/>
  <c r="AQ69" i="36"/>
  <c r="K69" i="36"/>
  <c r="K66" i="38"/>
  <c r="L66" i="38" s="1"/>
  <c r="A65" i="38"/>
  <c r="K66" i="20"/>
  <c r="L66" i="20" s="1"/>
  <c r="A65" i="20"/>
  <c r="G79" i="19"/>
  <c r="B79" i="19"/>
  <c r="J79" i="19"/>
  <c r="C79" i="19"/>
  <c r="I79" i="19"/>
  <c r="D79" i="19"/>
  <c r="H79" i="19"/>
  <c r="F79" i="19"/>
  <c r="E79" i="19"/>
  <c r="AE78" i="19"/>
  <c r="AS78" i="19"/>
  <c r="AM78" i="19"/>
  <c r="AI78" i="19"/>
  <c r="O78" i="19"/>
  <c r="AT78" i="19"/>
  <c r="AH78" i="19"/>
  <c r="AN78" i="19"/>
  <c r="R78" i="19"/>
  <c r="AO78" i="19"/>
  <c r="AB78" i="19"/>
  <c r="X78" i="19"/>
  <c r="AC78" i="19"/>
  <c r="T78" i="19"/>
  <c r="L78" i="19"/>
  <c r="Q78" i="19"/>
  <c r="AL78" i="19"/>
  <c r="AD78" i="19"/>
  <c r="N78" i="19"/>
  <c r="K78" i="19"/>
  <c r="V78" i="19"/>
  <c r="W78" i="19"/>
  <c r="AU78" i="19"/>
  <c r="AA78" i="19"/>
  <c r="AR78" i="19"/>
  <c r="Y78" i="19"/>
  <c r="P78" i="19"/>
  <c r="AJ78" i="19"/>
  <c r="U78" i="19"/>
  <c r="M78" i="19"/>
  <c r="Z78" i="19"/>
  <c r="S78" i="19"/>
  <c r="AQ78" i="19"/>
  <c r="AP78" i="19"/>
  <c r="AK78" i="19"/>
  <c r="AG78" i="19"/>
  <c r="AF78" i="19"/>
  <c r="AV81" i="19"/>
  <c r="AW81" i="19" s="1"/>
  <c r="A80" i="19"/>
  <c r="S109" i="32" l="1"/>
  <c r="T109" i="32" s="1"/>
  <c r="U109" i="32" s="1"/>
  <c r="V109" i="32" s="1"/>
  <c r="X109" i="32"/>
  <c r="Y109" i="32" s="1"/>
  <c r="Z109" i="32" s="1"/>
  <c r="AA109" i="32" s="1"/>
  <c r="W110" i="32"/>
  <c r="AB110" i="32"/>
  <c r="AC110" i="32" s="1"/>
  <c r="AD110" i="32" s="1"/>
  <c r="AE110" i="32" s="1"/>
  <c r="AF110" i="32" s="1"/>
  <c r="V73" i="37"/>
  <c r="Y73" i="37"/>
  <c r="N73" i="37"/>
  <c r="AK73" i="37"/>
  <c r="AJ73" i="37"/>
  <c r="AA73" i="37"/>
  <c r="AR73" i="37"/>
  <c r="AO73" i="37"/>
  <c r="U73" i="37"/>
  <c r="AI73" i="37"/>
  <c r="AS73" i="37"/>
  <c r="AU73" i="37"/>
  <c r="AD73" i="37"/>
  <c r="AV73" i="37"/>
  <c r="L73" i="37"/>
  <c r="K73" i="37"/>
  <c r="S73" i="37"/>
  <c r="Z73" i="37"/>
  <c r="AH73" i="37"/>
  <c r="AT73" i="37"/>
  <c r="Q73" i="37"/>
  <c r="AQ73" i="37"/>
  <c r="AE73" i="37"/>
  <c r="X73" i="37"/>
  <c r="AP73" i="37"/>
  <c r="T73" i="37"/>
  <c r="P73" i="37"/>
  <c r="AC73" i="37"/>
  <c r="AF73" i="37"/>
  <c r="M73" i="37"/>
  <c r="J73" i="37"/>
  <c r="H74" i="37"/>
  <c r="C74" i="37"/>
  <c r="D74" i="37" s="1"/>
  <c r="I74" i="37"/>
  <c r="B74" i="37"/>
  <c r="E74" i="37" s="1"/>
  <c r="F74" i="37"/>
  <c r="G74" i="37"/>
  <c r="AW76" i="37"/>
  <c r="AX76" i="37" s="1"/>
  <c r="A75" i="37"/>
  <c r="AM66" i="37"/>
  <c r="AN66" i="37"/>
  <c r="AM65" i="37"/>
  <c r="AN65" i="37"/>
  <c r="AN110" i="32"/>
  <c r="AM110" i="32"/>
  <c r="AL110" i="32"/>
  <c r="AH110" i="32" s="1"/>
  <c r="AI110" i="32" s="1"/>
  <c r="AJ110" i="32" s="1"/>
  <c r="AK110" i="32" s="1"/>
  <c r="R110" i="32"/>
  <c r="D110" i="32"/>
  <c r="G111" i="32"/>
  <c r="I111" i="32"/>
  <c r="H111" i="32"/>
  <c r="C111" i="32"/>
  <c r="AG111" i="32" s="1"/>
  <c r="B111" i="32"/>
  <c r="E111" i="32" s="1"/>
  <c r="F111" i="32"/>
  <c r="AV110" i="32"/>
  <c r="AQ110" i="32"/>
  <c r="AW110" i="32"/>
  <c r="AO110" i="32"/>
  <c r="AT110" i="32"/>
  <c r="AP110" i="32"/>
  <c r="N110" i="32"/>
  <c r="Q110" i="32"/>
  <c r="AS110" i="32"/>
  <c r="AR110" i="32"/>
  <c r="AU110" i="32"/>
  <c r="P110" i="32"/>
  <c r="AX113" i="32"/>
  <c r="AY113" i="32" s="1"/>
  <c r="A112" i="32"/>
  <c r="E70" i="36"/>
  <c r="J70" i="36"/>
  <c r="D70" i="36"/>
  <c r="G70" i="36"/>
  <c r="F70" i="36"/>
  <c r="I70" i="36"/>
  <c r="D65" i="20"/>
  <c r="H65" i="20"/>
  <c r="I65" i="20"/>
  <c r="C65" i="20"/>
  <c r="B65" i="20"/>
  <c r="F65" i="20"/>
  <c r="G65" i="20"/>
  <c r="E65" i="20"/>
  <c r="I65" i="38"/>
  <c r="D65" i="38"/>
  <c r="H65" i="38"/>
  <c r="E65" i="38"/>
  <c r="G65" i="38"/>
  <c r="F65" i="38"/>
  <c r="B65" i="38"/>
  <c r="C65" i="38"/>
  <c r="AV73" i="36"/>
  <c r="AW73" i="36" s="1"/>
  <c r="A72" i="36"/>
  <c r="AK70" i="36"/>
  <c r="AE70" i="36"/>
  <c r="L70" i="36"/>
  <c r="O70" i="36"/>
  <c r="AU70" i="36"/>
  <c r="AM70" i="36"/>
  <c r="AN70" i="36"/>
  <c r="Y70" i="36"/>
  <c r="AF70" i="36"/>
  <c r="P70" i="36"/>
  <c r="AG70" i="36"/>
  <c r="AT70" i="36"/>
  <c r="AD70" i="36"/>
  <c r="W70" i="36"/>
  <c r="AL70" i="36"/>
  <c r="AA70" i="36"/>
  <c r="AB70" i="36"/>
  <c r="AJ70" i="36"/>
  <c r="N70" i="36"/>
  <c r="AP70" i="36"/>
  <c r="AC70" i="36"/>
  <c r="T70" i="36"/>
  <c r="S70" i="36"/>
  <c r="AH70" i="36"/>
  <c r="K70" i="36"/>
  <c r="M70" i="36"/>
  <c r="AI70" i="36"/>
  <c r="Q70" i="36"/>
  <c r="R70" i="36"/>
  <c r="X70" i="36"/>
  <c r="U70" i="36"/>
  <c r="AQ70" i="36"/>
  <c r="AR70" i="36"/>
  <c r="AS70" i="36"/>
  <c r="V70" i="36"/>
  <c r="Z70" i="36"/>
  <c r="AO70" i="36"/>
  <c r="K67" i="20"/>
  <c r="L67" i="20" s="1"/>
  <c r="A66" i="20"/>
  <c r="K67" i="38"/>
  <c r="L67" i="38" s="1"/>
  <c r="A66" i="38"/>
  <c r="B71" i="36"/>
  <c r="J71" i="36" s="1"/>
  <c r="C71" i="36"/>
  <c r="A81" i="19"/>
  <c r="AV82" i="19"/>
  <c r="AW82" i="19" s="1"/>
  <c r="AR79" i="19"/>
  <c r="AG79" i="19"/>
  <c r="AA79" i="19"/>
  <c r="N79" i="19"/>
  <c r="AP79" i="19"/>
  <c r="T79" i="19"/>
  <c r="M79" i="19"/>
  <c r="AO79" i="19"/>
  <c r="AE79" i="19"/>
  <c r="W79" i="19"/>
  <c r="AQ79" i="19"/>
  <c r="Y79" i="19"/>
  <c r="AB79" i="19"/>
  <c r="AM79" i="19"/>
  <c r="Z79" i="19"/>
  <c r="AD79" i="19"/>
  <c r="AU79" i="19"/>
  <c r="AL79" i="19"/>
  <c r="P79" i="19"/>
  <c r="U79" i="19"/>
  <c r="AC79" i="19"/>
  <c r="S79" i="19"/>
  <c r="AF79" i="19"/>
  <c r="X79" i="19"/>
  <c r="AK79" i="19"/>
  <c r="AN79" i="19"/>
  <c r="AH79" i="19"/>
  <c r="AJ79" i="19"/>
  <c r="K79" i="19"/>
  <c r="AT79" i="19"/>
  <c r="O79" i="19"/>
  <c r="AI79" i="19"/>
  <c r="R79" i="19"/>
  <c r="AS79" i="19"/>
  <c r="Q79" i="19"/>
  <c r="L79" i="19"/>
  <c r="V79" i="19"/>
  <c r="C80" i="19"/>
  <c r="B80" i="19"/>
  <c r="D80" i="19" s="1"/>
  <c r="S110" i="32" l="1"/>
  <c r="T110" i="32" s="1"/>
  <c r="U110" i="32" s="1"/>
  <c r="V110" i="32" s="1"/>
  <c r="W111" i="32"/>
  <c r="AB111" i="32"/>
  <c r="AC111" i="32" s="1"/>
  <c r="AD111" i="32" s="1"/>
  <c r="AE111" i="32" s="1"/>
  <c r="AF111" i="32" s="1"/>
  <c r="X110" i="32"/>
  <c r="Y110" i="32" s="1"/>
  <c r="Z110" i="32" s="1"/>
  <c r="AA110" i="32" s="1"/>
  <c r="W74" i="37"/>
  <c r="AG74" i="37"/>
  <c r="AB74" i="37"/>
  <c r="O74" i="37"/>
  <c r="AL74" i="37"/>
  <c r="AM74" i="37"/>
  <c r="AN74" i="37"/>
  <c r="R74" i="37"/>
  <c r="F75" i="37"/>
  <c r="G75" i="37"/>
  <c r="C75" i="37"/>
  <c r="AL75" i="37" s="1"/>
  <c r="B75" i="37"/>
  <c r="E75" i="37" s="1"/>
  <c r="H75" i="37"/>
  <c r="I75" i="37"/>
  <c r="AW77" i="37"/>
  <c r="AX77" i="37" s="1"/>
  <c r="A76" i="37"/>
  <c r="AH74" i="37"/>
  <c r="S74" i="37"/>
  <c r="N74" i="37"/>
  <c r="T74" i="37"/>
  <c r="AJ74" i="37"/>
  <c r="AU74" i="37"/>
  <c r="AR74" i="37"/>
  <c r="AC74" i="37"/>
  <c r="AK74" i="37"/>
  <c r="AT74" i="37"/>
  <c r="AD74" i="37"/>
  <c r="U74" i="37"/>
  <c r="Q74" i="37"/>
  <c r="AV74" i="37"/>
  <c r="AA74" i="37"/>
  <c r="P74" i="37"/>
  <c r="AS74" i="37"/>
  <c r="Y74" i="37"/>
  <c r="L74" i="37"/>
  <c r="AO74" i="37"/>
  <c r="AP74" i="37"/>
  <c r="AF74" i="37"/>
  <c r="V74" i="37"/>
  <c r="K74" i="37"/>
  <c r="AE74" i="37"/>
  <c r="AI74" i="37"/>
  <c r="Z74" i="37"/>
  <c r="X74" i="37"/>
  <c r="AQ74" i="37"/>
  <c r="J74" i="37"/>
  <c r="M74" i="37"/>
  <c r="AN111" i="32"/>
  <c r="AM111" i="32"/>
  <c r="AL111" i="32"/>
  <c r="AH111" i="32" s="1"/>
  <c r="AI111" i="32" s="1"/>
  <c r="AJ111" i="32" s="1"/>
  <c r="AK111" i="32" s="1"/>
  <c r="R111" i="32"/>
  <c r="AX114" i="32"/>
  <c r="AY114" i="32" s="1"/>
  <c r="A113" i="32"/>
  <c r="D111" i="32"/>
  <c r="Q111" i="32"/>
  <c r="AU111" i="32"/>
  <c r="AP111" i="32"/>
  <c r="AS111" i="32"/>
  <c r="AW111" i="32"/>
  <c r="AQ111" i="32"/>
  <c r="AT111" i="32"/>
  <c r="N111" i="32"/>
  <c r="AV111" i="32"/>
  <c r="P111" i="32"/>
  <c r="AR111" i="32"/>
  <c r="AO111" i="32"/>
  <c r="B112" i="32"/>
  <c r="E112" i="32" s="1"/>
  <c r="G112" i="32"/>
  <c r="I112" i="32"/>
  <c r="F112" i="32"/>
  <c r="H112" i="32"/>
  <c r="C112" i="32"/>
  <c r="AB112" i="32" s="1"/>
  <c r="H71" i="36"/>
  <c r="E71" i="36"/>
  <c r="G71" i="36"/>
  <c r="D71" i="36"/>
  <c r="F71" i="36"/>
  <c r="I71" i="36"/>
  <c r="N71" i="36"/>
  <c r="AN71" i="36"/>
  <c r="L71" i="36"/>
  <c r="S71" i="36"/>
  <c r="R71" i="36"/>
  <c r="AB71" i="36"/>
  <c r="AQ71" i="36"/>
  <c r="AU71" i="36"/>
  <c r="V71" i="36"/>
  <c r="T71" i="36"/>
  <c r="X71" i="36"/>
  <c r="AS71" i="36"/>
  <c r="AK71" i="36"/>
  <c r="AL71" i="36"/>
  <c r="W71" i="36"/>
  <c r="AH71" i="36"/>
  <c r="AI71" i="36"/>
  <c r="Q71" i="36"/>
  <c r="AE71" i="36"/>
  <c r="O71" i="36"/>
  <c r="AT71" i="36"/>
  <c r="K71" i="36"/>
  <c r="AO71" i="36"/>
  <c r="AA71" i="36"/>
  <c r="U71" i="36"/>
  <c r="AM71" i="36"/>
  <c r="AG71" i="36"/>
  <c r="AP71" i="36"/>
  <c r="AD71" i="36"/>
  <c r="AR71" i="36"/>
  <c r="AC71" i="36"/>
  <c r="P71" i="36"/>
  <c r="AF71" i="36"/>
  <c r="M71" i="36"/>
  <c r="Y71" i="36"/>
  <c r="Z71" i="36"/>
  <c r="AJ71" i="36"/>
  <c r="K68" i="38"/>
  <c r="L68" i="38" s="1"/>
  <c r="A67" i="38"/>
  <c r="K68" i="20"/>
  <c r="L68" i="20" s="1"/>
  <c r="A67" i="20"/>
  <c r="B72" i="36"/>
  <c r="G72" i="36" s="1"/>
  <c r="C72" i="36"/>
  <c r="F66" i="38"/>
  <c r="C66" i="38"/>
  <c r="G66" i="38"/>
  <c r="H66" i="38"/>
  <c r="B66" i="38"/>
  <c r="E66" i="38" s="1"/>
  <c r="G66" i="20"/>
  <c r="C66" i="20"/>
  <c r="B66" i="20"/>
  <c r="D66" i="20" s="1"/>
  <c r="H66" i="20"/>
  <c r="F66" i="20"/>
  <c r="AV74" i="36"/>
  <c r="AW74" i="36" s="1"/>
  <c r="A73" i="36"/>
  <c r="H80" i="19"/>
  <c r="F80" i="19"/>
  <c r="J80" i="19"/>
  <c r="I80" i="19"/>
  <c r="E80" i="19"/>
  <c r="G80" i="19"/>
  <c r="AH80" i="19"/>
  <c r="AP80" i="19"/>
  <c r="AA80" i="19"/>
  <c r="Q80" i="19"/>
  <c r="O80" i="19"/>
  <c r="T80" i="19"/>
  <c r="AC80" i="19"/>
  <c r="V80" i="19"/>
  <c r="AU80" i="19"/>
  <c r="AN80" i="19"/>
  <c r="K80" i="19"/>
  <c r="AI80" i="19"/>
  <c r="AE80" i="19"/>
  <c r="AO80" i="19"/>
  <c r="Y80" i="19"/>
  <c r="L80" i="19"/>
  <c r="Z80" i="19"/>
  <c r="AJ80" i="19"/>
  <c r="U80" i="19"/>
  <c r="AL80" i="19"/>
  <c r="AK80" i="19"/>
  <c r="AR80" i="19"/>
  <c r="P80" i="19"/>
  <c r="AQ80" i="19"/>
  <c r="X80" i="19"/>
  <c r="S80" i="19"/>
  <c r="AF80" i="19"/>
  <c r="AB80" i="19"/>
  <c r="N80" i="19"/>
  <c r="AM80" i="19"/>
  <c r="R80" i="19"/>
  <c r="AT80" i="19"/>
  <c r="AG80" i="19"/>
  <c r="AS80" i="19"/>
  <c r="M80" i="19"/>
  <c r="AD80" i="19"/>
  <c r="W80" i="19"/>
  <c r="A82" i="19"/>
  <c r="AV83" i="19"/>
  <c r="AW83" i="19" s="1"/>
  <c r="C81" i="19"/>
  <c r="B81" i="19"/>
  <c r="E81" i="19" s="1"/>
  <c r="AN75" i="37" l="1"/>
  <c r="S111" i="32"/>
  <c r="T111" i="32" s="1"/>
  <c r="U111" i="32" s="1"/>
  <c r="V111" i="32" s="1"/>
  <c r="X111" i="32"/>
  <c r="Y111" i="32" s="1"/>
  <c r="Z111" i="32" s="1"/>
  <c r="AA111" i="32" s="1"/>
  <c r="AG112" i="32"/>
  <c r="W112" i="32"/>
  <c r="X112" i="32" s="1"/>
  <c r="Y112" i="32" s="1"/>
  <c r="Z112" i="32" s="1"/>
  <c r="AA112" i="32" s="1"/>
  <c r="O75" i="37"/>
  <c r="AG75" i="37"/>
  <c r="R75" i="37"/>
  <c r="D75" i="37"/>
  <c r="W75" i="37"/>
  <c r="AB75" i="37"/>
  <c r="AM75" i="37"/>
  <c r="AW78" i="37"/>
  <c r="AX78" i="37" s="1"/>
  <c r="A77" i="37"/>
  <c r="H76" i="37"/>
  <c r="F76" i="37"/>
  <c r="C76" i="37"/>
  <c r="AM76" i="37" s="1"/>
  <c r="I76" i="37"/>
  <c r="B76" i="37"/>
  <c r="E76" i="37" s="1"/>
  <c r="G76" i="37"/>
  <c r="AJ75" i="37"/>
  <c r="AU75" i="37"/>
  <c r="K75" i="37"/>
  <c r="L75" i="37"/>
  <c r="T75" i="37"/>
  <c r="Z75" i="37"/>
  <c r="U75" i="37"/>
  <c r="Y75" i="37"/>
  <c r="AV75" i="37"/>
  <c r="AS75" i="37"/>
  <c r="AO75" i="37"/>
  <c r="AC75" i="37"/>
  <c r="P75" i="37"/>
  <c r="AR75" i="37"/>
  <c r="AT75" i="37"/>
  <c r="AE75" i="37"/>
  <c r="AI75" i="37"/>
  <c r="Q75" i="37"/>
  <c r="AA75" i="37"/>
  <c r="X75" i="37"/>
  <c r="AP75" i="37"/>
  <c r="AH75" i="37"/>
  <c r="N75" i="37"/>
  <c r="AD75" i="37"/>
  <c r="V75" i="37"/>
  <c r="S75" i="37"/>
  <c r="AF75" i="37"/>
  <c r="AK75" i="37"/>
  <c r="AQ75" i="37"/>
  <c r="J75" i="37"/>
  <c r="M75" i="37"/>
  <c r="AM113" i="32"/>
  <c r="AN113" i="32"/>
  <c r="AN112" i="32"/>
  <c r="AM112" i="32"/>
  <c r="AG113" i="32"/>
  <c r="AL113" i="32"/>
  <c r="AL112" i="32"/>
  <c r="W113" i="32"/>
  <c r="AB113" i="32"/>
  <c r="R113" i="32"/>
  <c r="R112" i="32"/>
  <c r="AV112" i="32"/>
  <c r="AU112" i="32"/>
  <c r="AS112" i="32"/>
  <c r="AO112" i="32"/>
  <c r="AT112" i="32"/>
  <c r="AW112" i="32"/>
  <c r="AP112" i="32"/>
  <c r="AR112" i="32"/>
  <c r="P112" i="32"/>
  <c r="Q112" i="32"/>
  <c r="N112" i="32"/>
  <c r="AQ112" i="32"/>
  <c r="B113" i="32"/>
  <c r="G113" i="32"/>
  <c r="C113" i="32"/>
  <c r="E113" i="32"/>
  <c r="I113" i="32"/>
  <c r="F113" i="32"/>
  <c r="H113" i="32"/>
  <c r="D113" i="32"/>
  <c r="D112" i="32"/>
  <c r="AX115" i="32"/>
  <c r="AY115" i="32" s="1"/>
  <c r="A114" i="32"/>
  <c r="F72" i="36"/>
  <c r="I72" i="36"/>
  <c r="D72" i="36"/>
  <c r="I66" i="38"/>
  <c r="D66" i="38"/>
  <c r="H72" i="36"/>
  <c r="E72" i="36"/>
  <c r="AV75" i="36"/>
  <c r="AW75" i="36" s="1"/>
  <c r="A74" i="36"/>
  <c r="E66" i="20"/>
  <c r="C67" i="20"/>
  <c r="G67" i="20"/>
  <c r="F67" i="20"/>
  <c r="H67" i="20"/>
  <c r="B67" i="20"/>
  <c r="D67" i="20" s="1"/>
  <c r="H67" i="38"/>
  <c r="C67" i="38"/>
  <c r="B67" i="38"/>
  <c r="I67" i="38" s="1"/>
  <c r="F67" i="38"/>
  <c r="G67" i="38"/>
  <c r="C73" i="36"/>
  <c r="B73" i="36"/>
  <c r="J73" i="36" s="1"/>
  <c r="I66" i="20"/>
  <c r="J72" i="36"/>
  <c r="Y72" i="36"/>
  <c r="AG72" i="36"/>
  <c r="U72" i="36"/>
  <c r="L72" i="36"/>
  <c r="R72" i="36"/>
  <c r="AC72" i="36"/>
  <c r="S72" i="36"/>
  <c r="AA72" i="36"/>
  <c r="AT72" i="36"/>
  <c r="M72" i="36"/>
  <c r="AH72" i="36"/>
  <c r="AP72" i="36"/>
  <c r="K72" i="36"/>
  <c r="Q72" i="36"/>
  <c r="AN72" i="36"/>
  <c r="V72" i="36"/>
  <c r="X72" i="36"/>
  <c r="AS72" i="36"/>
  <c r="Z72" i="36"/>
  <c r="AQ72" i="36"/>
  <c r="AB72" i="36"/>
  <c r="AK72" i="36"/>
  <c r="T72" i="36"/>
  <c r="AF72" i="36"/>
  <c r="AI72" i="36"/>
  <c r="AD72" i="36"/>
  <c r="AE72" i="36"/>
  <c r="AM72" i="36"/>
  <c r="AR72" i="36"/>
  <c r="P72" i="36"/>
  <c r="O72" i="36"/>
  <c r="AO72" i="36"/>
  <c r="N72" i="36"/>
  <c r="W72" i="36"/>
  <c r="AU72" i="36"/>
  <c r="AL72" i="36"/>
  <c r="AJ72" i="36"/>
  <c r="K69" i="20"/>
  <c r="L69" i="20" s="1"/>
  <c r="A68" i="20"/>
  <c r="K69" i="38"/>
  <c r="L69" i="38" s="1"/>
  <c r="A68" i="38"/>
  <c r="D81" i="19"/>
  <c r="G81" i="19"/>
  <c r="I81" i="19"/>
  <c r="F81" i="19"/>
  <c r="H81" i="19"/>
  <c r="T81" i="19"/>
  <c r="AK81" i="19"/>
  <c r="Y81" i="19"/>
  <c r="AS81" i="19"/>
  <c r="L81" i="19"/>
  <c r="AH81" i="19"/>
  <c r="AQ81" i="19"/>
  <c r="AU81" i="19"/>
  <c r="AR81" i="19"/>
  <c r="Z81" i="19"/>
  <c r="AE81" i="19"/>
  <c r="AT81" i="19"/>
  <c r="AL81" i="19"/>
  <c r="P81" i="19"/>
  <c r="AI81" i="19"/>
  <c r="AD81" i="19"/>
  <c r="U81" i="19"/>
  <c r="Q81" i="19"/>
  <c r="K81" i="19"/>
  <c r="S81" i="19"/>
  <c r="AB81" i="19"/>
  <c r="AO81" i="19"/>
  <c r="V81" i="19"/>
  <c r="W81" i="19"/>
  <c r="AG81" i="19"/>
  <c r="R81" i="19"/>
  <c r="X81" i="19"/>
  <c r="AF81" i="19"/>
  <c r="M81" i="19"/>
  <c r="AM81" i="19"/>
  <c r="AC81" i="19"/>
  <c r="O81" i="19"/>
  <c r="N81" i="19"/>
  <c r="AP81" i="19"/>
  <c r="AA81" i="19"/>
  <c r="AJ81" i="19"/>
  <c r="AN81" i="19"/>
  <c r="A83" i="19"/>
  <c r="AV84" i="19"/>
  <c r="AW84" i="19" s="1"/>
  <c r="J81" i="19"/>
  <c r="B82" i="19"/>
  <c r="G82" i="19" s="1"/>
  <c r="C82" i="19"/>
  <c r="AN76" i="37" l="1"/>
  <c r="S112" i="32"/>
  <c r="T112" i="32" s="1"/>
  <c r="U112" i="32" s="1"/>
  <c r="V112" i="32" s="1"/>
  <c r="AH112" i="32"/>
  <c r="AI112" i="32" s="1"/>
  <c r="AJ112" i="32" s="1"/>
  <c r="AK112" i="32" s="1"/>
  <c r="AC112" i="32"/>
  <c r="AD112" i="32" s="1"/>
  <c r="AE112" i="32" s="1"/>
  <c r="AF112" i="32" s="1"/>
  <c r="O76" i="37"/>
  <c r="D76" i="37"/>
  <c r="W76" i="37"/>
  <c r="AL76" i="37"/>
  <c r="R76" i="37"/>
  <c r="AB76" i="37"/>
  <c r="AG76" i="37"/>
  <c r="I77" i="37"/>
  <c r="B77" i="37"/>
  <c r="E77" i="37" s="1"/>
  <c r="F77" i="37"/>
  <c r="H77" i="37"/>
  <c r="G77" i="37"/>
  <c r="C77" i="37"/>
  <c r="AG77" i="37" s="1"/>
  <c r="Z76" i="37"/>
  <c r="K76" i="37"/>
  <c r="AA76" i="37"/>
  <c r="AC76" i="37"/>
  <c r="AE76" i="37"/>
  <c r="U76" i="37"/>
  <c r="S76" i="37"/>
  <c r="Y76" i="37"/>
  <c r="P76" i="37"/>
  <c r="AD76" i="37"/>
  <c r="L76" i="37"/>
  <c r="AR76" i="37"/>
  <c r="X76" i="37"/>
  <c r="N76" i="37"/>
  <c r="AO76" i="37"/>
  <c r="AF76" i="37"/>
  <c r="AU76" i="37"/>
  <c r="AQ76" i="37"/>
  <c r="T76" i="37"/>
  <c r="AK76" i="37"/>
  <c r="AS76" i="37"/>
  <c r="V76" i="37"/>
  <c r="AI76" i="37"/>
  <c r="AT76" i="37"/>
  <c r="AV76" i="37"/>
  <c r="AH76" i="37"/>
  <c r="AJ76" i="37"/>
  <c r="AP76" i="37"/>
  <c r="Q76" i="37"/>
  <c r="J76" i="37"/>
  <c r="M76" i="37"/>
  <c r="AW79" i="37"/>
  <c r="AX79" i="37" s="1"/>
  <c r="A78" i="37"/>
  <c r="AM114" i="32"/>
  <c r="AN114" i="32"/>
  <c r="AG114" i="32"/>
  <c r="AL114" i="32"/>
  <c r="W114" i="32"/>
  <c r="AB114" i="32"/>
  <c r="R114" i="32"/>
  <c r="F114" i="32"/>
  <c r="B114" i="32"/>
  <c r="H114" i="32"/>
  <c r="C114" i="32"/>
  <c r="E114" i="32"/>
  <c r="G114" i="32"/>
  <c r="I114" i="32"/>
  <c r="D114" i="32"/>
  <c r="Y113" i="32"/>
  <c r="AI113" i="32"/>
  <c r="V113" i="32"/>
  <c r="N113" i="32"/>
  <c r="AO113" i="32"/>
  <c r="AD113" i="32"/>
  <c r="U113" i="32"/>
  <c r="AF113" i="32"/>
  <c r="AP113" i="32"/>
  <c r="S113" i="32"/>
  <c r="Z113" i="32"/>
  <c r="AJ113" i="32"/>
  <c r="AE113" i="32"/>
  <c r="AW113" i="32"/>
  <c r="AA113" i="32"/>
  <c r="X113" i="32"/>
  <c r="AH113" i="32"/>
  <c r="AK113" i="32"/>
  <c r="Q113" i="32"/>
  <c r="AU113" i="32"/>
  <c r="P113" i="32"/>
  <c r="AR113" i="32"/>
  <c r="AT113" i="32"/>
  <c r="AC113" i="32"/>
  <c r="T113" i="32"/>
  <c r="AV113" i="32"/>
  <c r="AS113" i="32"/>
  <c r="AQ113" i="32"/>
  <c r="AX116" i="32"/>
  <c r="AY116" i="32" s="1"/>
  <c r="A115" i="32"/>
  <c r="H73" i="36"/>
  <c r="D67" i="38"/>
  <c r="I67" i="20"/>
  <c r="I73" i="36"/>
  <c r="G73" i="36"/>
  <c r="E67" i="20"/>
  <c r="F68" i="20"/>
  <c r="B68" i="20"/>
  <c r="I68" i="20" s="1"/>
  <c r="H68" i="20"/>
  <c r="C68" i="20"/>
  <c r="G68" i="20"/>
  <c r="K70" i="38"/>
  <c r="L70" i="38" s="1"/>
  <c r="A69" i="38"/>
  <c r="K70" i="20"/>
  <c r="L70" i="20" s="1"/>
  <c r="A69" i="20"/>
  <c r="F73" i="36"/>
  <c r="D73" i="36"/>
  <c r="E73" i="36"/>
  <c r="E67" i="38"/>
  <c r="C74" i="36"/>
  <c r="B74" i="36"/>
  <c r="G74" i="36" s="1"/>
  <c r="G68" i="38"/>
  <c r="C68" i="38"/>
  <c r="H68" i="38"/>
  <c r="B68" i="38"/>
  <c r="D68" i="38" s="1"/>
  <c r="F68" i="38"/>
  <c r="W73" i="36"/>
  <c r="AF73" i="36"/>
  <c r="U73" i="36"/>
  <c r="AS73" i="36"/>
  <c r="AP73" i="36"/>
  <c r="L73" i="36"/>
  <c r="V73" i="36"/>
  <c r="X73" i="36"/>
  <c r="K73" i="36"/>
  <c r="AQ73" i="36"/>
  <c r="R73" i="36"/>
  <c r="AT73" i="36"/>
  <c r="AH73" i="36"/>
  <c r="AO73" i="36"/>
  <c r="AI73" i="36"/>
  <c r="AM73" i="36"/>
  <c r="O73" i="36"/>
  <c r="Z73" i="36"/>
  <c r="T73" i="36"/>
  <c r="AJ73" i="36"/>
  <c r="S73" i="36"/>
  <c r="N73" i="36"/>
  <c r="AN73" i="36"/>
  <c r="AK73" i="36"/>
  <c r="Q73" i="36"/>
  <c r="AR73" i="36"/>
  <c r="P73" i="36"/>
  <c r="AD73" i="36"/>
  <c r="AG73" i="36"/>
  <c r="AB73" i="36"/>
  <c r="M73" i="36"/>
  <c r="AA73" i="36"/>
  <c r="AC73" i="36"/>
  <c r="Y73" i="36"/>
  <c r="AE73" i="36"/>
  <c r="AL73" i="36"/>
  <c r="AU73" i="36"/>
  <c r="AV76" i="36"/>
  <c r="AW76" i="36" s="1"/>
  <c r="A75" i="36"/>
  <c r="I82" i="19"/>
  <c r="D82" i="19"/>
  <c r="E82" i="19"/>
  <c r="H82" i="19"/>
  <c r="AR82" i="19"/>
  <c r="L82" i="19"/>
  <c r="P82" i="19"/>
  <c r="AG82" i="19"/>
  <c r="AU82" i="19"/>
  <c r="AP82" i="19"/>
  <c r="AA82" i="19"/>
  <c r="AE82" i="19"/>
  <c r="AQ82" i="19"/>
  <c r="R82" i="19"/>
  <c r="AL82" i="19"/>
  <c r="AD82" i="19"/>
  <c r="AN82" i="19"/>
  <c r="AM82" i="19"/>
  <c r="AB82" i="19"/>
  <c r="Y82" i="19"/>
  <c r="AK82" i="19"/>
  <c r="X82" i="19"/>
  <c r="AS82" i="19"/>
  <c r="M82" i="19"/>
  <c r="AF82" i="19"/>
  <c r="AJ82" i="19"/>
  <c r="N82" i="19"/>
  <c r="Q82" i="19"/>
  <c r="AH82" i="19"/>
  <c r="U82" i="19"/>
  <c r="AO82" i="19"/>
  <c r="AI82" i="19"/>
  <c r="S82" i="19"/>
  <c r="AC82" i="19"/>
  <c r="O82" i="19"/>
  <c r="V82" i="19"/>
  <c r="W82" i="19"/>
  <c r="AT82" i="19"/>
  <c r="Z82" i="19"/>
  <c r="K82" i="19"/>
  <c r="T82" i="19"/>
  <c r="C83" i="19"/>
  <c r="B83" i="19"/>
  <c r="F83" i="19" s="1"/>
  <c r="F82" i="19"/>
  <c r="A84" i="19"/>
  <c r="AV85" i="19"/>
  <c r="AW85" i="19" s="1"/>
  <c r="J82" i="19"/>
  <c r="AB77" i="37" l="1"/>
  <c r="AL77" i="37"/>
  <c r="R77" i="37"/>
  <c r="AW80" i="37"/>
  <c r="AX80" i="37" s="1"/>
  <c r="A79" i="37"/>
  <c r="AH77" i="37"/>
  <c r="AV77" i="37"/>
  <c r="AK77" i="37"/>
  <c r="AP77" i="37"/>
  <c r="AE77" i="37"/>
  <c r="AT77" i="37"/>
  <c r="Y77" i="37"/>
  <c r="K77" i="37"/>
  <c r="AU77" i="37"/>
  <c r="AF77" i="37"/>
  <c r="X77" i="37"/>
  <c r="AD77" i="37"/>
  <c r="AR77" i="37"/>
  <c r="AI77" i="37"/>
  <c r="AO77" i="37"/>
  <c r="Q77" i="37"/>
  <c r="AJ77" i="37"/>
  <c r="L77" i="37"/>
  <c r="V77" i="37"/>
  <c r="S77" i="37"/>
  <c r="N77" i="37"/>
  <c r="AC77" i="37"/>
  <c r="Z77" i="37"/>
  <c r="U77" i="37"/>
  <c r="AQ77" i="37"/>
  <c r="P77" i="37"/>
  <c r="T77" i="37"/>
  <c r="AS77" i="37"/>
  <c r="AA77" i="37"/>
  <c r="J77" i="37"/>
  <c r="M77" i="37"/>
  <c r="H78" i="37"/>
  <c r="F78" i="37"/>
  <c r="C78" i="37"/>
  <c r="AL78" i="37" s="1"/>
  <c r="I78" i="37"/>
  <c r="B78" i="37"/>
  <c r="E78" i="37" s="1"/>
  <c r="G78" i="37"/>
  <c r="O77" i="37"/>
  <c r="W77" i="37"/>
  <c r="D77" i="37"/>
  <c r="AN77" i="37"/>
  <c r="AM77" i="37"/>
  <c r="AX117" i="32"/>
  <c r="AY117" i="32" s="1"/>
  <c r="A116" i="32"/>
  <c r="AJ114" i="32"/>
  <c r="AU114" i="32"/>
  <c r="X114" i="32"/>
  <c r="AO114" i="32"/>
  <c r="AC114" i="32"/>
  <c r="Y114" i="32"/>
  <c r="AW114" i="32"/>
  <c r="V114" i="32"/>
  <c r="AK114" i="32"/>
  <c r="AD114" i="32"/>
  <c r="AH114" i="32"/>
  <c r="AF114" i="32"/>
  <c r="N114" i="32"/>
  <c r="Z114" i="32"/>
  <c r="AV114" i="32"/>
  <c r="AA114" i="32"/>
  <c r="AE114" i="32"/>
  <c r="AS114" i="32"/>
  <c r="AR114" i="32"/>
  <c r="P114" i="32"/>
  <c r="AT114" i="32"/>
  <c r="T114" i="32"/>
  <c r="U114" i="32"/>
  <c r="Q114" i="32"/>
  <c r="AP114" i="32"/>
  <c r="AQ114" i="32"/>
  <c r="AI114" i="32"/>
  <c r="S114" i="32"/>
  <c r="F115" i="32"/>
  <c r="I115" i="32"/>
  <c r="G115" i="32"/>
  <c r="C115" i="32"/>
  <c r="AG115" i="32" s="1"/>
  <c r="B115" i="32"/>
  <c r="E115" i="32" s="1"/>
  <c r="H115" i="32"/>
  <c r="E68" i="20"/>
  <c r="H74" i="36"/>
  <c r="D74" i="36"/>
  <c r="I74" i="36"/>
  <c r="E68" i="38"/>
  <c r="I68" i="38"/>
  <c r="D68" i="20"/>
  <c r="B75" i="36"/>
  <c r="G75" i="36" s="1"/>
  <c r="C75" i="36"/>
  <c r="E74" i="36"/>
  <c r="F74" i="36"/>
  <c r="J74" i="36"/>
  <c r="K71" i="20"/>
  <c r="L71" i="20" s="1"/>
  <c r="A70" i="20"/>
  <c r="K71" i="38"/>
  <c r="L71" i="38" s="1"/>
  <c r="A70" i="38"/>
  <c r="AV77" i="36"/>
  <c r="AW77" i="36" s="1"/>
  <c r="A76" i="36"/>
  <c r="L74" i="36"/>
  <c r="AR74" i="36"/>
  <c r="AB74" i="36"/>
  <c r="AC74" i="36"/>
  <c r="N74" i="36"/>
  <c r="P74" i="36"/>
  <c r="AH74" i="36"/>
  <c r="Z74" i="36"/>
  <c r="AE74" i="36"/>
  <c r="Y74" i="36"/>
  <c r="AO74" i="36"/>
  <c r="AA74" i="36"/>
  <c r="AL74" i="36"/>
  <c r="S74" i="36"/>
  <c r="X74" i="36"/>
  <c r="AG74" i="36"/>
  <c r="Q74" i="36"/>
  <c r="AI74" i="36"/>
  <c r="AQ74" i="36"/>
  <c r="R74" i="36"/>
  <c r="W74" i="36"/>
  <c r="AU74" i="36"/>
  <c r="AK74" i="36"/>
  <c r="K74" i="36"/>
  <c r="M74" i="36"/>
  <c r="V74" i="36"/>
  <c r="U74" i="36"/>
  <c r="AD74" i="36"/>
  <c r="AM74" i="36"/>
  <c r="AJ74" i="36"/>
  <c r="AS74" i="36"/>
  <c r="O74" i="36"/>
  <c r="T74" i="36"/>
  <c r="AP74" i="36"/>
  <c r="AF74" i="36"/>
  <c r="AT74" i="36"/>
  <c r="AN74" i="36"/>
  <c r="G69" i="20"/>
  <c r="F69" i="20"/>
  <c r="B69" i="20"/>
  <c r="D69" i="20" s="1"/>
  <c r="C69" i="20"/>
  <c r="H69" i="20"/>
  <c r="F69" i="38"/>
  <c r="B69" i="38"/>
  <c r="I69" i="38" s="1"/>
  <c r="G69" i="38"/>
  <c r="H69" i="38"/>
  <c r="C69" i="38"/>
  <c r="J83" i="19"/>
  <c r="H83" i="19"/>
  <c r="G83" i="19"/>
  <c r="D83" i="19"/>
  <c r="E83" i="19"/>
  <c r="I83" i="19"/>
  <c r="AQ83" i="19"/>
  <c r="AA83" i="19"/>
  <c r="AS83" i="19"/>
  <c r="AD83" i="19"/>
  <c r="M83" i="19"/>
  <c r="P83" i="19"/>
  <c r="Z83" i="19"/>
  <c r="W83" i="19"/>
  <c r="S83" i="19"/>
  <c r="L83" i="19"/>
  <c r="AI83" i="19"/>
  <c r="R83" i="19"/>
  <c r="X83" i="19"/>
  <c r="O83" i="19"/>
  <c r="AP83" i="19"/>
  <c r="AO83" i="19"/>
  <c r="Q83" i="19"/>
  <c r="AE83" i="19"/>
  <c r="AU83" i="19"/>
  <c r="V83" i="19"/>
  <c r="K83" i="19"/>
  <c r="AG83" i="19"/>
  <c r="AN83" i="19"/>
  <c r="N83" i="19"/>
  <c r="T83" i="19"/>
  <c r="Y83" i="19"/>
  <c r="AT83" i="19"/>
  <c r="AB83" i="19"/>
  <c r="U83" i="19"/>
  <c r="AJ83" i="19"/>
  <c r="AH83" i="19"/>
  <c r="AL83" i="19"/>
  <c r="AF83" i="19"/>
  <c r="AC83" i="19"/>
  <c r="AM83" i="19"/>
  <c r="AK83" i="19"/>
  <c r="AR83" i="19"/>
  <c r="B84" i="19"/>
  <c r="F84" i="19" s="1"/>
  <c r="C84" i="19"/>
  <c r="AV86" i="19"/>
  <c r="AW86" i="19" s="1"/>
  <c r="A85" i="19"/>
  <c r="AN78" i="37" l="1"/>
  <c r="W115" i="32"/>
  <c r="AB115" i="32"/>
  <c r="AC115" i="32" s="1"/>
  <c r="AD115" i="32" s="1"/>
  <c r="AE115" i="32" s="1"/>
  <c r="AF115" i="32" s="1"/>
  <c r="O78" i="37"/>
  <c r="AG78" i="37"/>
  <c r="R78" i="37"/>
  <c r="D78" i="37"/>
  <c r="W78" i="37"/>
  <c r="AB78" i="37"/>
  <c r="AM78" i="37"/>
  <c r="AC78" i="37"/>
  <c r="AE78" i="37"/>
  <c r="AF78" i="37"/>
  <c r="AH78" i="37"/>
  <c r="U78" i="37"/>
  <c r="L78" i="37"/>
  <c r="AI78" i="37"/>
  <c r="AK78" i="37"/>
  <c r="T78" i="37"/>
  <c r="AT78" i="37"/>
  <c r="Q78" i="37"/>
  <c r="N78" i="37"/>
  <c r="AV78" i="37"/>
  <c r="AR78" i="37"/>
  <c r="AQ78" i="37"/>
  <c r="K78" i="37"/>
  <c r="Y78" i="37"/>
  <c r="AJ78" i="37"/>
  <c r="AP78" i="37"/>
  <c r="X78" i="37"/>
  <c r="AS78" i="37"/>
  <c r="AO78" i="37"/>
  <c r="P78" i="37"/>
  <c r="AD78" i="37"/>
  <c r="AA78" i="37"/>
  <c r="S78" i="37"/>
  <c r="V78" i="37"/>
  <c r="Z78" i="37"/>
  <c r="AU78" i="37"/>
  <c r="J78" i="37"/>
  <c r="M78" i="37"/>
  <c r="C79" i="37"/>
  <c r="AL79" i="37" s="1"/>
  <c r="I79" i="37"/>
  <c r="F79" i="37"/>
  <c r="G79" i="37"/>
  <c r="H79" i="37"/>
  <c r="B79" i="37"/>
  <c r="E79" i="37" s="1"/>
  <c r="AW81" i="37"/>
  <c r="AX81" i="37" s="1"/>
  <c r="A80" i="37"/>
  <c r="AN115" i="32"/>
  <c r="AM115" i="32"/>
  <c r="AL115" i="32"/>
  <c r="AH115" i="32" s="1"/>
  <c r="AI115" i="32" s="1"/>
  <c r="AJ115" i="32" s="1"/>
  <c r="AK115" i="32" s="1"/>
  <c r="R115" i="32"/>
  <c r="I116" i="32"/>
  <c r="C116" i="32"/>
  <c r="AG116" i="32" s="1"/>
  <c r="B116" i="32"/>
  <c r="E116" i="32" s="1"/>
  <c r="H116" i="32"/>
  <c r="G116" i="32"/>
  <c r="F116" i="32"/>
  <c r="D115" i="32"/>
  <c r="Q115" i="32"/>
  <c r="AU115" i="32"/>
  <c r="AS115" i="32"/>
  <c r="AO115" i="32"/>
  <c r="N115" i="32"/>
  <c r="AV115" i="32"/>
  <c r="AP115" i="32"/>
  <c r="P115" i="32"/>
  <c r="AT115" i="32"/>
  <c r="AW115" i="32"/>
  <c r="AR115" i="32"/>
  <c r="AQ115" i="32"/>
  <c r="AX118" i="32"/>
  <c r="AY118" i="32" s="1"/>
  <c r="A117" i="32"/>
  <c r="I75" i="36"/>
  <c r="D69" i="38"/>
  <c r="E69" i="38"/>
  <c r="E69" i="20"/>
  <c r="D75" i="36"/>
  <c r="I69" i="20"/>
  <c r="F75" i="36"/>
  <c r="AV78" i="36"/>
  <c r="AW78" i="36" s="1"/>
  <c r="A77" i="36"/>
  <c r="K72" i="38"/>
  <c r="L72" i="38" s="1"/>
  <c r="A71" i="38"/>
  <c r="K72" i="20"/>
  <c r="L72" i="20" s="1"/>
  <c r="A71" i="20"/>
  <c r="O75" i="36"/>
  <c r="AM75" i="36"/>
  <c r="AI75" i="36"/>
  <c r="AC75" i="36"/>
  <c r="AK75" i="36"/>
  <c r="T75" i="36"/>
  <c r="R75" i="36"/>
  <c r="Y75" i="36"/>
  <c r="U75" i="36"/>
  <c r="L75" i="36"/>
  <c r="M75" i="36"/>
  <c r="S75" i="36"/>
  <c r="W75" i="36"/>
  <c r="Z75" i="36"/>
  <c r="Q75" i="36"/>
  <c r="V75" i="36"/>
  <c r="AN75" i="36"/>
  <c r="AO75" i="36"/>
  <c r="AP75" i="36"/>
  <c r="AH75" i="36"/>
  <c r="P75" i="36"/>
  <c r="AJ75" i="36"/>
  <c r="AE75" i="36"/>
  <c r="N75" i="36"/>
  <c r="AQ75" i="36"/>
  <c r="K75" i="36"/>
  <c r="AF75" i="36"/>
  <c r="AU75" i="36"/>
  <c r="AT75" i="36"/>
  <c r="AG75" i="36"/>
  <c r="AB75" i="36"/>
  <c r="AL75" i="36"/>
  <c r="AA75" i="36"/>
  <c r="AR75" i="36"/>
  <c r="AS75" i="36"/>
  <c r="X75" i="36"/>
  <c r="AD75" i="36"/>
  <c r="C76" i="36"/>
  <c r="B76" i="36"/>
  <c r="D76" i="36" s="1"/>
  <c r="B70" i="38"/>
  <c r="E70" i="38" s="1"/>
  <c r="C70" i="38"/>
  <c r="H70" i="38"/>
  <c r="G70" i="38"/>
  <c r="F70" i="38"/>
  <c r="C70" i="20"/>
  <c r="F70" i="20"/>
  <c r="H70" i="20"/>
  <c r="B70" i="20"/>
  <c r="I70" i="20" s="1"/>
  <c r="G70" i="20"/>
  <c r="E75" i="36"/>
  <c r="H75" i="36"/>
  <c r="J75" i="36"/>
  <c r="H84" i="19"/>
  <c r="J84" i="19"/>
  <c r="G84" i="19"/>
  <c r="E84" i="19"/>
  <c r="D84" i="19"/>
  <c r="A86" i="19"/>
  <c r="AV87" i="19"/>
  <c r="AW87" i="19" s="1"/>
  <c r="C85" i="19"/>
  <c r="B85" i="19"/>
  <c r="D85" i="19" s="1"/>
  <c r="I84" i="19"/>
  <c r="W84" i="19"/>
  <c r="AF84" i="19"/>
  <c r="AA84" i="19"/>
  <c r="N84" i="19"/>
  <c r="V84" i="19"/>
  <c r="M84" i="19"/>
  <c r="AO84" i="19"/>
  <c r="Q84" i="19"/>
  <c r="K84" i="19"/>
  <c r="X84" i="19"/>
  <c r="AR84" i="19"/>
  <c r="AL84" i="19"/>
  <c r="AH84" i="19"/>
  <c r="AN84" i="19"/>
  <c r="Y84" i="19"/>
  <c r="AP84" i="19"/>
  <c r="AI84" i="19"/>
  <c r="AE84" i="19"/>
  <c r="P84" i="19"/>
  <c r="AC84" i="19"/>
  <c r="AG84" i="19"/>
  <c r="R84" i="19"/>
  <c r="U84" i="19"/>
  <c r="S84" i="19"/>
  <c r="AT84" i="19"/>
  <c r="AK84" i="19"/>
  <c r="L84" i="19"/>
  <c r="T84" i="19"/>
  <c r="O84" i="19"/>
  <c r="AS84" i="19"/>
  <c r="AB84" i="19"/>
  <c r="AJ84" i="19"/>
  <c r="AM84" i="19"/>
  <c r="AD84" i="19"/>
  <c r="Z84" i="19"/>
  <c r="AU84" i="19"/>
  <c r="AQ84" i="19"/>
  <c r="S115" i="32" l="1"/>
  <c r="T115" i="32" s="1"/>
  <c r="U115" i="32" s="1"/>
  <c r="V115" i="32" s="1"/>
  <c r="AM79" i="37"/>
  <c r="W116" i="32"/>
  <c r="AB116" i="32"/>
  <c r="AC116" i="32" s="1"/>
  <c r="AD116" i="32" s="1"/>
  <c r="AE116" i="32" s="1"/>
  <c r="AF116" i="32" s="1"/>
  <c r="X115" i="32"/>
  <c r="Y115" i="32" s="1"/>
  <c r="Z115" i="32" s="1"/>
  <c r="AA115" i="32" s="1"/>
  <c r="W79" i="37"/>
  <c r="D79" i="37"/>
  <c r="O79" i="37"/>
  <c r="AB79" i="37"/>
  <c r="AG79" i="37"/>
  <c r="AN80" i="37"/>
  <c r="AL80" i="37"/>
  <c r="AB80" i="37"/>
  <c r="R80" i="37"/>
  <c r="G80" i="37"/>
  <c r="D80" i="37"/>
  <c r="C80" i="37"/>
  <c r="H80" i="37"/>
  <c r="AM80" i="37"/>
  <c r="AG80" i="37"/>
  <c r="W80" i="37"/>
  <c r="O80" i="37"/>
  <c r="F80" i="37"/>
  <c r="I80" i="37"/>
  <c r="B80" i="37"/>
  <c r="E80" i="37"/>
  <c r="R79" i="37"/>
  <c r="AN79" i="37"/>
  <c r="AW82" i="37"/>
  <c r="AX82" i="37" s="1"/>
  <c r="A81" i="37"/>
  <c r="L79" i="37"/>
  <c r="AT79" i="37"/>
  <c r="AH79" i="37"/>
  <c r="AE79" i="37"/>
  <c r="K79" i="37"/>
  <c r="AQ79" i="37"/>
  <c r="AC79" i="37"/>
  <c r="AS79" i="37"/>
  <c r="AA79" i="37"/>
  <c r="AR79" i="37"/>
  <c r="AU79" i="37"/>
  <c r="Y79" i="37"/>
  <c r="AI79" i="37"/>
  <c r="AV79" i="37"/>
  <c r="AK79" i="37"/>
  <c r="V79" i="37"/>
  <c r="T79" i="37"/>
  <c r="AP79" i="37"/>
  <c r="AD79" i="37"/>
  <c r="S79" i="37"/>
  <c r="AO79" i="37"/>
  <c r="Q79" i="37"/>
  <c r="U79" i="37"/>
  <c r="AJ79" i="37"/>
  <c r="AF79" i="37"/>
  <c r="N79" i="37"/>
  <c r="Z79" i="37"/>
  <c r="P79" i="37"/>
  <c r="X79" i="37"/>
  <c r="J79" i="37"/>
  <c r="M79" i="37"/>
  <c r="AN116" i="32"/>
  <c r="AM116" i="32"/>
  <c r="AL116" i="32"/>
  <c r="AH116" i="32" s="1"/>
  <c r="AI116" i="32" s="1"/>
  <c r="AJ116" i="32" s="1"/>
  <c r="AK116" i="32" s="1"/>
  <c r="R116" i="32"/>
  <c r="C117" i="32"/>
  <c r="AG117" i="32" s="1"/>
  <c r="G117" i="32"/>
  <c r="I117" i="32"/>
  <c r="B117" i="32"/>
  <c r="E117" i="32" s="1"/>
  <c r="F117" i="32"/>
  <c r="H117" i="32"/>
  <c r="D116" i="32"/>
  <c r="AP116" i="32"/>
  <c r="AW116" i="32"/>
  <c r="AR116" i="32"/>
  <c r="P116" i="32"/>
  <c r="AS116" i="32"/>
  <c r="AU116" i="32"/>
  <c r="Q116" i="32"/>
  <c r="N116" i="32"/>
  <c r="AT116" i="32"/>
  <c r="AO116" i="32"/>
  <c r="AV116" i="32"/>
  <c r="AQ116" i="32"/>
  <c r="AX119" i="32"/>
  <c r="AY119" i="32" s="1"/>
  <c r="A118" i="32"/>
  <c r="D70" i="20"/>
  <c r="I70" i="38"/>
  <c r="I76" i="36"/>
  <c r="E76" i="36"/>
  <c r="J76" i="36"/>
  <c r="E70" i="20"/>
  <c r="D70" i="38"/>
  <c r="H76" i="36"/>
  <c r="F76" i="36"/>
  <c r="G76" i="36"/>
  <c r="G71" i="20"/>
  <c r="F71" i="20"/>
  <c r="B71" i="20"/>
  <c r="I71" i="20" s="1"/>
  <c r="H71" i="20"/>
  <c r="C71" i="20"/>
  <c r="B71" i="38"/>
  <c r="E71" i="38" s="1"/>
  <c r="F71" i="38"/>
  <c r="G71" i="38"/>
  <c r="C71" i="38"/>
  <c r="H71" i="38"/>
  <c r="J77" i="36"/>
  <c r="I77" i="36"/>
  <c r="H77" i="36"/>
  <c r="C77" i="36"/>
  <c r="F77" i="36"/>
  <c r="E77" i="36"/>
  <c r="G77" i="36"/>
  <c r="B77" i="36"/>
  <c r="D77" i="36"/>
  <c r="AL76" i="36"/>
  <c r="AO76" i="36"/>
  <c r="AQ76" i="36"/>
  <c r="L76" i="36"/>
  <c r="U76" i="36"/>
  <c r="AP76" i="36"/>
  <c r="AE76" i="36"/>
  <c r="AB76" i="36"/>
  <c r="K76" i="36"/>
  <c r="AF76" i="36"/>
  <c r="Y76" i="36"/>
  <c r="AK76" i="36"/>
  <c r="AI76" i="36"/>
  <c r="AR76" i="36"/>
  <c r="R76" i="36"/>
  <c r="AC76" i="36"/>
  <c r="AD76" i="36"/>
  <c r="V76" i="36"/>
  <c r="Z76" i="36"/>
  <c r="N76" i="36"/>
  <c r="AG76" i="36"/>
  <c r="X76" i="36"/>
  <c r="AA76" i="36"/>
  <c r="M76" i="36"/>
  <c r="P76" i="36"/>
  <c r="AU76" i="36"/>
  <c r="Q76" i="36"/>
  <c r="AS76" i="36"/>
  <c r="W76" i="36"/>
  <c r="AJ76" i="36"/>
  <c r="AT76" i="36"/>
  <c r="AH76" i="36"/>
  <c r="O76" i="36"/>
  <c r="AN76" i="36"/>
  <c r="T76" i="36"/>
  <c r="AM76" i="36"/>
  <c r="S76" i="36"/>
  <c r="K73" i="20"/>
  <c r="L73" i="20" s="1"/>
  <c r="A72" i="20"/>
  <c r="K73" i="38"/>
  <c r="L73" i="38" s="1"/>
  <c r="A72" i="38"/>
  <c r="A78" i="36"/>
  <c r="AV79" i="36"/>
  <c r="AW79" i="36" s="1"/>
  <c r="G85" i="19"/>
  <c r="F85" i="19"/>
  <c r="E85" i="19"/>
  <c r="H85" i="19"/>
  <c r="J85" i="19"/>
  <c r="I85" i="19"/>
  <c r="U85" i="19"/>
  <c r="AA85" i="19"/>
  <c r="X85" i="19"/>
  <c r="AE85" i="19"/>
  <c r="P85" i="19"/>
  <c r="L85" i="19"/>
  <c r="S85" i="19"/>
  <c r="AN85" i="19"/>
  <c r="AI85" i="19"/>
  <c r="AG85" i="19"/>
  <c r="Z85" i="19"/>
  <c r="AO85" i="19"/>
  <c r="AQ85" i="19"/>
  <c r="AU85" i="19"/>
  <c r="AP85" i="19"/>
  <c r="O85" i="19"/>
  <c r="T85" i="19"/>
  <c r="AC85" i="19"/>
  <c r="N85" i="19"/>
  <c r="V85" i="19"/>
  <c r="AD85" i="19"/>
  <c r="AS85" i="19"/>
  <c r="AT85" i="19"/>
  <c r="AK85" i="19"/>
  <c r="AM85" i="19"/>
  <c r="AR85" i="19"/>
  <c r="Y85" i="19"/>
  <c r="AF85" i="19"/>
  <c r="K85" i="19"/>
  <c r="R85" i="19"/>
  <c r="M85" i="19"/>
  <c r="W85" i="19"/>
  <c r="Q85" i="19"/>
  <c r="AL85" i="19"/>
  <c r="AJ85" i="19"/>
  <c r="AB85" i="19"/>
  <c r="AH85" i="19"/>
  <c r="AV88" i="19"/>
  <c r="AW88" i="19" s="1"/>
  <c r="A87" i="19"/>
  <c r="B86" i="19"/>
  <c r="I86" i="19" s="1"/>
  <c r="C86" i="19"/>
  <c r="S116" i="32" l="1"/>
  <c r="T116" i="32" s="1"/>
  <c r="U116" i="32" s="1"/>
  <c r="V116" i="32" s="1"/>
  <c r="X116" i="32"/>
  <c r="Y116" i="32" s="1"/>
  <c r="Z116" i="32" s="1"/>
  <c r="AA116" i="32" s="1"/>
  <c r="W117" i="32"/>
  <c r="AB117" i="32"/>
  <c r="AC117" i="32" s="1"/>
  <c r="AD117" i="32" s="1"/>
  <c r="AE117" i="32" s="1"/>
  <c r="AF117" i="32" s="1"/>
  <c r="D117" i="32"/>
  <c r="AW83" i="37"/>
  <c r="AX83" i="37" s="1"/>
  <c r="A82" i="37"/>
  <c r="AN81" i="37"/>
  <c r="AG81" i="37"/>
  <c r="W81" i="37"/>
  <c r="O81" i="37"/>
  <c r="E81" i="37"/>
  <c r="G81" i="37"/>
  <c r="B81" i="37"/>
  <c r="C81" i="37"/>
  <c r="D81" i="37"/>
  <c r="I81" i="37"/>
  <c r="F81" i="37"/>
  <c r="H81" i="37"/>
  <c r="AM81" i="37"/>
  <c r="AL81" i="37"/>
  <c r="AB81" i="37"/>
  <c r="R81" i="37"/>
  <c r="AS80" i="37"/>
  <c r="AE80" i="37"/>
  <c r="Z80" i="37"/>
  <c r="AU80" i="37"/>
  <c r="AC80" i="37"/>
  <c r="AV80" i="37"/>
  <c r="X80" i="37"/>
  <c r="AO80" i="37"/>
  <c r="P80" i="37"/>
  <c r="AD80" i="37"/>
  <c r="L80" i="37"/>
  <c r="AI80" i="37"/>
  <c r="AR80" i="37"/>
  <c r="AA80" i="37"/>
  <c r="Y80" i="37"/>
  <c r="T80" i="37"/>
  <c r="S80" i="37"/>
  <c r="AK80" i="37"/>
  <c r="AF80" i="37"/>
  <c r="Q80" i="37"/>
  <c r="V80" i="37"/>
  <c r="K80" i="37"/>
  <c r="U80" i="37"/>
  <c r="AQ80" i="37"/>
  <c r="AJ80" i="37"/>
  <c r="AP80" i="37"/>
  <c r="AH80" i="37"/>
  <c r="AT80" i="37"/>
  <c r="N80" i="37"/>
  <c r="M80" i="37"/>
  <c r="J80" i="37"/>
  <c r="AN117" i="32"/>
  <c r="AM117" i="32"/>
  <c r="AL117" i="32"/>
  <c r="AH117" i="32" s="1"/>
  <c r="AI117" i="32" s="1"/>
  <c r="AJ117" i="32" s="1"/>
  <c r="AK117" i="32" s="1"/>
  <c r="R117" i="32"/>
  <c r="AX120" i="32"/>
  <c r="AY120" i="32" s="1"/>
  <c r="A119" i="32"/>
  <c r="C118" i="32"/>
  <c r="AG118" i="32" s="1"/>
  <c r="B118" i="32"/>
  <c r="E118" i="32" s="1"/>
  <c r="I118" i="32"/>
  <c r="F118" i="32"/>
  <c r="H118" i="32"/>
  <c r="G118" i="32"/>
  <c r="AT117" i="32"/>
  <c r="AO117" i="32"/>
  <c r="Q117" i="32"/>
  <c r="AR117" i="32"/>
  <c r="P117" i="32"/>
  <c r="AP117" i="32"/>
  <c r="AS117" i="32"/>
  <c r="AW117" i="32"/>
  <c r="N117" i="32"/>
  <c r="AU117" i="32"/>
  <c r="AQ117" i="32"/>
  <c r="AV117" i="32"/>
  <c r="D71" i="38"/>
  <c r="D71" i="20"/>
  <c r="AV80" i="36"/>
  <c r="AW80" i="36" s="1"/>
  <c r="A79" i="36"/>
  <c r="G72" i="20"/>
  <c r="F72" i="20"/>
  <c r="H72" i="20"/>
  <c r="C72" i="20"/>
  <c r="B72" i="20"/>
  <c r="I72" i="20" s="1"/>
  <c r="Q77" i="36"/>
  <c r="AO77" i="36"/>
  <c r="AQ77" i="36"/>
  <c r="AM77" i="36"/>
  <c r="AT77" i="36"/>
  <c r="AH77" i="36"/>
  <c r="V77" i="36"/>
  <c r="M77" i="36"/>
  <c r="X77" i="36"/>
  <c r="AF77" i="36"/>
  <c r="T77" i="36"/>
  <c r="N77" i="36"/>
  <c r="AN77" i="36"/>
  <c r="AP77" i="36"/>
  <c r="U77" i="36"/>
  <c r="AA77" i="36"/>
  <c r="AL77" i="36"/>
  <c r="AC77" i="36"/>
  <c r="S77" i="36"/>
  <c r="AI77" i="36"/>
  <c r="W77" i="36"/>
  <c r="AE77" i="36"/>
  <c r="AG77" i="36"/>
  <c r="AR77" i="36"/>
  <c r="Y77" i="36"/>
  <c r="AK77" i="36"/>
  <c r="Z77" i="36"/>
  <c r="R77" i="36"/>
  <c r="AS77" i="36"/>
  <c r="O77" i="36"/>
  <c r="AB77" i="36"/>
  <c r="L77" i="36"/>
  <c r="AJ77" i="36"/>
  <c r="K77" i="36"/>
  <c r="AU77" i="36"/>
  <c r="P77" i="36"/>
  <c r="AD77" i="36"/>
  <c r="J78" i="36"/>
  <c r="G78" i="36"/>
  <c r="F78" i="36"/>
  <c r="I78" i="36"/>
  <c r="H78" i="36"/>
  <c r="D78" i="36"/>
  <c r="C78" i="36"/>
  <c r="B78" i="36"/>
  <c r="E78" i="36"/>
  <c r="K74" i="38"/>
  <c r="L74" i="38" s="1"/>
  <c r="A73" i="38"/>
  <c r="A73" i="20"/>
  <c r="K74" i="20"/>
  <c r="L74" i="20" s="1"/>
  <c r="I71" i="38"/>
  <c r="E71" i="20"/>
  <c r="B72" i="38"/>
  <c r="D72" i="38" s="1"/>
  <c r="G72" i="38"/>
  <c r="H72" i="38"/>
  <c r="C72" i="38"/>
  <c r="F72" i="38"/>
  <c r="D86" i="19"/>
  <c r="G86" i="19"/>
  <c r="H86" i="19"/>
  <c r="F86" i="19"/>
  <c r="J86" i="19"/>
  <c r="B87" i="19"/>
  <c r="C87" i="19"/>
  <c r="D87" i="19"/>
  <c r="J87" i="19"/>
  <c r="E87" i="19"/>
  <c r="H87" i="19"/>
  <c r="G87" i="19"/>
  <c r="F87" i="19"/>
  <c r="I87" i="19"/>
  <c r="A88" i="19"/>
  <c r="AV89" i="19"/>
  <c r="AW89" i="19" s="1"/>
  <c r="AB86" i="19"/>
  <c r="W86" i="19"/>
  <c r="O86" i="19"/>
  <c r="AT86" i="19"/>
  <c r="X86" i="19"/>
  <c r="AA86" i="19"/>
  <c r="AN86" i="19"/>
  <c r="K86" i="19"/>
  <c r="V86" i="19"/>
  <c r="AP86" i="19"/>
  <c r="U86" i="19"/>
  <c r="AJ86" i="19"/>
  <c r="AE86" i="19"/>
  <c r="P86" i="19"/>
  <c r="AL86" i="19"/>
  <c r="AC86" i="19"/>
  <c r="M86" i="19"/>
  <c r="L86" i="19"/>
  <c r="N86" i="19"/>
  <c r="AG86" i="19"/>
  <c r="AI86" i="19"/>
  <c r="AM86" i="19"/>
  <c r="AQ86" i="19"/>
  <c r="AS86" i="19"/>
  <c r="Q86" i="19"/>
  <c r="AK86" i="19"/>
  <c r="T86" i="19"/>
  <c r="Y86" i="19"/>
  <c r="AH86" i="19"/>
  <c r="AR86" i="19"/>
  <c r="AO86" i="19"/>
  <c r="AF86" i="19"/>
  <c r="Z86" i="19"/>
  <c r="R86" i="19"/>
  <c r="AD86" i="19"/>
  <c r="S86" i="19"/>
  <c r="AU86" i="19"/>
  <c r="E86" i="19"/>
  <c r="X117" i="32" l="1"/>
  <c r="Y117" i="32" s="1"/>
  <c r="Z117" i="32" s="1"/>
  <c r="AA117" i="32" s="1"/>
  <c r="S117" i="32"/>
  <c r="T117" i="32" s="1"/>
  <c r="U117" i="32" s="1"/>
  <c r="V117" i="32" s="1"/>
  <c r="W118" i="32"/>
  <c r="AB118" i="32"/>
  <c r="AC118" i="32" s="1"/>
  <c r="AD118" i="32" s="1"/>
  <c r="AE118" i="32" s="1"/>
  <c r="AF118" i="32" s="1"/>
  <c r="V81" i="37"/>
  <c r="P81" i="37"/>
  <c r="AK81" i="37"/>
  <c r="Q81" i="37"/>
  <c r="AA81" i="37"/>
  <c r="AH81" i="37"/>
  <c r="AP81" i="37"/>
  <c r="X81" i="37"/>
  <c r="K81" i="37"/>
  <c r="AD81" i="37"/>
  <c r="AE81" i="37"/>
  <c r="S81" i="37"/>
  <c r="N81" i="37"/>
  <c r="Z81" i="37"/>
  <c r="AF81" i="37"/>
  <c r="AR81" i="37"/>
  <c r="AC81" i="37"/>
  <c r="AQ81" i="37"/>
  <c r="AO81" i="37"/>
  <c r="AI81" i="37"/>
  <c r="AV81" i="37"/>
  <c r="AJ81" i="37"/>
  <c r="AT81" i="37"/>
  <c r="Y81" i="37"/>
  <c r="L81" i="37"/>
  <c r="T81" i="37"/>
  <c r="U81" i="37"/>
  <c r="AU81" i="37"/>
  <c r="AS81" i="37"/>
  <c r="M81" i="37"/>
  <c r="J81" i="37"/>
  <c r="AW84" i="37"/>
  <c r="AX84" i="37" s="1"/>
  <c r="A83" i="37"/>
  <c r="G82" i="37"/>
  <c r="F82" i="37"/>
  <c r="C82" i="37"/>
  <c r="O82" i="37" s="1"/>
  <c r="B82" i="37"/>
  <c r="E82" i="37" s="1"/>
  <c r="H82" i="37"/>
  <c r="I82" i="37"/>
  <c r="AN118" i="32"/>
  <c r="AM118" i="32"/>
  <c r="AL118" i="32"/>
  <c r="AH118" i="32" s="1"/>
  <c r="AI118" i="32" s="1"/>
  <c r="AJ118" i="32" s="1"/>
  <c r="AK118" i="32" s="1"/>
  <c r="R118" i="32"/>
  <c r="B119" i="32"/>
  <c r="E119" i="32" s="1"/>
  <c r="H119" i="32"/>
  <c r="C119" i="32"/>
  <c r="AG119" i="32" s="1"/>
  <c r="F119" i="32"/>
  <c r="G119" i="32"/>
  <c r="I119" i="32"/>
  <c r="D118" i="32"/>
  <c r="Q118" i="32"/>
  <c r="AW118" i="32"/>
  <c r="AU118" i="32"/>
  <c r="P118" i="32"/>
  <c r="N118" i="32"/>
  <c r="AV118" i="32"/>
  <c r="AO118" i="32"/>
  <c r="AQ118" i="32"/>
  <c r="AS118" i="32"/>
  <c r="AT118" i="32"/>
  <c r="AR118" i="32"/>
  <c r="AP118" i="32"/>
  <c r="AX121" i="32"/>
  <c r="AY121" i="32" s="1"/>
  <c r="A120" i="32"/>
  <c r="E72" i="38"/>
  <c r="I72" i="38"/>
  <c r="E72" i="20"/>
  <c r="E73" i="20"/>
  <c r="C73" i="20"/>
  <c r="D73" i="20"/>
  <c r="H73" i="20"/>
  <c r="I73" i="20"/>
  <c r="G73" i="20"/>
  <c r="F73" i="20"/>
  <c r="B73" i="20"/>
  <c r="K75" i="38"/>
  <c r="L75" i="38" s="1"/>
  <c r="A74" i="38"/>
  <c r="P78" i="36"/>
  <c r="L78" i="36"/>
  <c r="AF78" i="36"/>
  <c r="AQ78" i="36"/>
  <c r="AD78" i="36"/>
  <c r="AN78" i="36"/>
  <c r="AS78" i="36"/>
  <c r="O78" i="36"/>
  <c r="AH78" i="36"/>
  <c r="AM78" i="36"/>
  <c r="AC78" i="36"/>
  <c r="AR78" i="36"/>
  <c r="AA78" i="36"/>
  <c r="S78" i="36"/>
  <c r="V78" i="36"/>
  <c r="T78" i="36"/>
  <c r="AO78" i="36"/>
  <c r="K78" i="36"/>
  <c r="N78" i="36"/>
  <c r="AU78" i="36"/>
  <c r="Q78" i="36"/>
  <c r="AJ78" i="36"/>
  <c r="M78" i="36"/>
  <c r="R78" i="36"/>
  <c r="AT78" i="36"/>
  <c r="AL78" i="36"/>
  <c r="AP78" i="36"/>
  <c r="Y78" i="36"/>
  <c r="AI78" i="36"/>
  <c r="X78" i="36"/>
  <c r="W78" i="36"/>
  <c r="U78" i="36"/>
  <c r="AE78" i="36"/>
  <c r="AK78" i="36"/>
  <c r="AB78" i="36"/>
  <c r="Z78" i="36"/>
  <c r="AG78" i="36"/>
  <c r="D72" i="20"/>
  <c r="B79" i="36"/>
  <c r="E79" i="36" s="1"/>
  <c r="C79" i="36"/>
  <c r="A74" i="20"/>
  <c r="K75" i="20"/>
  <c r="L75" i="20" s="1"/>
  <c r="B73" i="38"/>
  <c r="G73" i="38"/>
  <c r="D73" i="38"/>
  <c r="F73" i="38"/>
  <c r="E73" i="38"/>
  <c r="I73" i="38"/>
  <c r="C73" i="38"/>
  <c r="H73" i="38"/>
  <c r="AV81" i="36"/>
  <c r="AW81" i="36" s="1"/>
  <c r="A80" i="36"/>
  <c r="AV90" i="19"/>
  <c r="AW90" i="19" s="1"/>
  <c r="A89" i="19"/>
  <c r="D88" i="19"/>
  <c r="G88" i="19"/>
  <c r="J88" i="19"/>
  <c r="H88" i="19"/>
  <c r="C88" i="19"/>
  <c r="B88" i="19"/>
  <c r="I88" i="19"/>
  <c r="F88" i="19"/>
  <c r="E88" i="19"/>
  <c r="S87" i="19"/>
  <c r="W87" i="19"/>
  <c r="AH87" i="19"/>
  <c r="M87" i="19"/>
  <c r="AJ87" i="19"/>
  <c r="K87" i="19"/>
  <c r="T87" i="19"/>
  <c r="X87" i="19"/>
  <c r="AU87" i="19"/>
  <c r="AG87" i="19"/>
  <c r="AC87" i="19"/>
  <c r="L87" i="19"/>
  <c r="R87" i="19"/>
  <c r="AK87" i="19"/>
  <c r="Y87" i="19"/>
  <c r="AO87" i="19"/>
  <c r="Z87" i="19"/>
  <c r="AL87" i="19"/>
  <c r="V87" i="19"/>
  <c r="AB87" i="19"/>
  <c r="P87" i="19"/>
  <c r="AI87" i="19"/>
  <c r="AN87" i="19"/>
  <c r="AF87" i="19"/>
  <c r="Q87" i="19"/>
  <c r="AS87" i="19"/>
  <c r="N87" i="19"/>
  <c r="AT87" i="19"/>
  <c r="U87" i="19"/>
  <c r="AM87" i="19"/>
  <c r="AQ87" i="19"/>
  <c r="O87" i="19"/>
  <c r="AE87" i="19"/>
  <c r="AR87" i="19"/>
  <c r="AP87" i="19"/>
  <c r="AD87" i="19"/>
  <c r="AA87" i="19"/>
  <c r="S118" i="32" l="1"/>
  <c r="T118" i="32" s="1"/>
  <c r="U118" i="32" s="1"/>
  <c r="V118" i="32" s="1"/>
  <c r="W119" i="32"/>
  <c r="AB119" i="32"/>
  <c r="AC119" i="32" s="1"/>
  <c r="AD119" i="32" s="1"/>
  <c r="AE119" i="32" s="1"/>
  <c r="AF119" i="32" s="1"/>
  <c r="X118" i="32"/>
  <c r="Y118" i="32" s="1"/>
  <c r="Z118" i="32" s="1"/>
  <c r="AA118" i="32" s="1"/>
  <c r="D82" i="37"/>
  <c r="AN82" i="37"/>
  <c r="AM82" i="37"/>
  <c r="AB82" i="37"/>
  <c r="AL82" i="37"/>
  <c r="AG82" i="37"/>
  <c r="W82" i="37"/>
  <c r="R82" i="37"/>
  <c r="L82" i="37"/>
  <c r="S82" i="37"/>
  <c r="AR82" i="37"/>
  <c r="V82" i="37"/>
  <c r="AT82" i="37"/>
  <c r="K82" i="37"/>
  <c r="AK82" i="37"/>
  <c r="AE82" i="37"/>
  <c r="P82" i="37"/>
  <c r="T82" i="37"/>
  <c r="N82" i="37"/>
  <c r="U82" i="37"/>
  <c r="X82" i="37"/>
  <c r="AV82" i="37"/>
  <c r="AD82" i="37"/>
  <c r="AC82" i="37"/>
  <c r="AH82" i="37"/>
  <c r="AO82" i="37"/>
  <c r="AI82" i="37"/>
  <c r="AA82" i="37"/>
  <c r="AU82" i="37"/>
  <c r="AP82" i="37"/>
  <c r="Q82" i="37"/>
  <c r="Z82" i="37"/>
  <c r="Y82" i="37"/>
  <c r="AJ82" i="37"/>
  <c r="AF82" i="37"/>
  <c r="AS82" i="37"/>
  <c r="AQ82" i="37"/>
  <c r="J82" i="37"/>
  <c r="M82" i="37"/>
  <c r="AW85" i="37"/>
  <c r="AX85" i="37" s="1"/>
  <c r="A84" i="37"/>
  <c r="I83" i="37"/>
  <c r="C83" i="37"/>
  <c r="AL83" i="37" s="1"/>
  <c r="G83" i="37"/>
  <c r="H83" i="37"/>
  <c r="B83" i="37"/>
  <c r="E83" i="37" s="1"/>
  <c r="F83" i="37"/>
  <c r="AN119" i="32"/>
  <c r="AM119" i="32"/>
  <c r="AL119" i="32"/>
  <c r="AH119" i="32" s="1"/>
  <c r="AI119" i="32" s="1"/>
  <c r="AJ119" i="32" s="1"/>
  <c r="AK119" i="32" s="1"/>
  <c r="R119" i="32"/>
  <c r="G120" i="32"/>
  <c r="F120" i="32"/>
  <c r="B120" i="32"/>
  <c r="E120" i="32" s="1"/>
  <c r="H120" i="32"/>
  <c r="C120" i="32"/>
  <c r="AG120" i="32" s="1"/>
  <c r="I120" i="32"/>
  <c r="AX122" i="32"/>
  <c r="AY122" i="32" s="1"/>
  <c r="A121" i="32"/>
  <c r="D119" i="32"/>
  <c r="AQ119" i="32"/>
  <c r="AW119" i="32"/>
  <c r="AR119" i="32"/>
  <c r="AT119" i="32"/>
  <c r="AU119" i="32"/>
  <c r="AS119" i="32"/>
  <c r="N119" i="32"/>
  <c r="Q119" i="32"/>
  <c r="P119" i="32"/>
  <c r="AO119" i="32"/>
  <c r="AP119" i="32"/>
  <c r="AV119" i="32"/>
  <c r="F79" i="36"/>
  <c r="D79" i="36"/>
  <c r="I79" i="36"/>
  <c r="G79" i="36"/>
  <c r="B80" i="36"/>
  <c r="J80" i="36" s="1"/>
  <c r="C80" i="36"/>
  <c r="AV82" i="36"/>
  <c r="AW82" i="36" s="1"/>
  <c r="A81" i="36"/>
  <c r="H74" i="20"/>
  <c r="F74" i="20"/>
  <c r="I74" i="20"/>
  <c r="C74" i="20"/>
  <c r="E74" i="20"/>
  <c r="D74" i="20"/>
  <c r="B74" i="20"/>
  <c r="G74" i="20"/>
  <c r="H79" i="36"/>
  <c r="J79" i="36"/>
  <c r="I74" i="38"/>
  <c r="F74" i="38"/>
  <c r="E74" i="38"/>
  <c r="G74" i="38"/>
  <c r="D74" i="38"/>
  <c r="C74" i="38"/>
  <c r="B74" i="38"/>
  <c r="H74" i="38"/>
  <c r="K76" i="20"/>
  <c r="L76" i="20" s="1"/>
  <c r="A75" i="20"/>
  <c r="Q79" i="36"/>
  <c r="AK79" i="36"/>
  <c r="Y79" i="36"/>
  <c r="V79" i="36"/>
  <c r="W79" i="36"/>
  <c r="AU79" i="36"/>
  <c r="AJ79" i="36"/>
  <c r="K79" i="36"/>
  <c r="AB79" i="36"/>
  <c r="AL79" i="36"/>
  <c r="AQ79" i="36"/>
  <c r="M79" i="36"/>
  <c r="AT79" i="36"/>
  <c r="AO79" i="36"/>
  <c r="U79" i="36"/>
  <c r="L79" i="36"/>
  <c r="AM79" i="36"/>
  <c r="T79" i="36"/>
  <c r="AC79" i="36"/>
  <c r="R79" i="36"/>
  <c r="AH79" i="36"/>
  <c r="AI79" i="36"/>
  <c r="O79" i="36"/>
  <c r="AP79" i="36"/>
  <c r="AD79" i="36"/>
  <c r="X79" i="36"/>
  <c r="AS79" i="36"/>
  <c r="AG79" i="36"/>
  <c r="Z79" i="36"/>
  <c r="AN79" i="36"/>
  <c r="S79" i="36"/>
  <c r="AA79" i="36"/>
  <c r="AR79" i="36"/>
  <c r="AE79" i="36"/>
  <c r="P79" i="36"/>
  <c r="AF79" i="36"/>
  <c r="N79" i="36"/>
  <c r="K76" i="38"/>
  <c r="L76" i="38" s="1"/>
  <c r="A75" i="38"/>
  <c r="S88" i="19"/>
  <c r="T88" i="19"/>
  <c r="O88" i="19"/>
  <c r="AK88" i="19"/>
  <c r="L88" i="19"/>
  <c r="AO88" i="19"/>
  <c r="M88" i="19"/>
  <c r="AI88" i="19"/>
  <c r="AB88" i="19"/>
  <c r="AE88" i="19"/>
  <c r="AP88" i="19"/>
  <c r="Y88" i="19"/>
  <c r="AG88" i="19"/>
  <c r="AL88" i="19"/>
  <c r="P88" i="19"/>
  <c r="AJ88" i="19"/>
  <c r="AF88" i="19"/>
  <c r="AA88" i="19"/>
  <c r="AN88" i="19"/>
  <c r="X88" i="19"/>
  <c r="AQ88" i="19"/>
  <c r="AD88" i="19"/>
  <c r="AU88" i="19"/>
  <c r="N88" i="19"/>
  <c r="U88" i="19"/>
  <c r="AM88" i="19"/>
  <c r="Q88" i="19"/>
  <c r="V88" i="19"/>
  <c r="AT88" i="19"/>
  <c r="AR88" i="19"/>
  <c r="AC88" i="19"/>
  <c r="R88" i="19"/>
  <c r="K88" i="19"/>
  <c r="AS88" i="19"/>
  <c r="W88" i="19"/>
  <c r="Z88" i="19"/>
  <c r="AH88" i="19"/>
  <c r="C89" i="19"/>
  <c r="B89" i="19"/>
  <c r="I89" i="19" s="1"/>
  <c r="A90" i="19"/>
  <c r="AV91" i="19"/>
  <c r="AW91" i="19" s="1"/>
  <c r="S119" i="32" l="1"/>
  <c r="T119" i="32" s="1"/>
  <c r="U119" i="32" s="1"/>
  <c r="V119" i="32" s="1"/>
  <c r="X119" i="32"/>
  <c r="Y119" i="32" s="1"/>
  <c r="Z119" i="32" s="1"/>
  <c r="AA119" i="32" s="1"/>
  <c r="W120" i="32"/>
  <c r="AB120" i="32"/>
  <c r="AC120" i="32" s="1"/>
  <c r="AD120" i="32" s="1"/>
  <c r="AE120" i="32" s="1"/>
  <c r="AF120" i="32" s="1"/>
  <c r="AG83" i="37"/>
  <c r="AM83" i="37"/>
  <c r="AN83" i="37"/>
  <c r="D83" i="37"/>
  <c r="AH83" i="37"/>
  <c r="T83" i="37"/>
  <c r="AF83" i="37"/>
  <c r="AV83" i="37"/>
  <c r="AP83" i="37"/>
  <c r="N83" i="37"/>
  <c r="U83" i="37"/>
  <c r="S83" i="37"/>
  <c r="AJ83" i="37"/>
  <c r="AK83" i="37"/>
  <c r="AA83" i="37"/>
  <c r="AO83" i="37"/>
  <c r="Z83" i="37"/>
  <c r="X83" i="37"/>
  <c r="AR83" i="37"/>
  <c r="AS83" i="37"/>
  <c r="Q83" i="37"/>
  <c r="P83" i="37"/>
  <c r="L83" i="37"/>
  <c r="AU83" i="37"/>
  <c r="V83" i="37"/>
  <c r="K83" i="37"/>
  <c r="AC83" i="37"/>
  <c r="AD83" i="37"/>
  <c r="AT83" i="37"/>
  <c r="AI83" i="37"/>
  <c r="AE83" i="37"/>
  <c r="AQ83" i="37"/>
  <c r="Y83" i="37"/>
  <c r="J83" i="37"/>
  <c r="M83" i="37"/>
  <c r="AB83" i="37"/>
  <c r="W83" i="37"/>
  <c r="R83" i="37"/>
  <c r="O83" i="37"/>
  <c r="AW86" i="37"/>
  <c r="AX86" i="37" s="1"/>
  <c r="A85" i="37"/>
  <c r="F84" i="37"/>
  <c r="I84" i="37"/>
  <c r="C84" i="37"/>
  <c r="O84" i="37" s="1"/>
  <c r="B84" i="37"/>
  <c r="E84" i="37" s="1"/>
  <c r="H84" i="37"/>
  <c r="G84" i="37"/>
  <c r="AM121" i="32"/>
  <c r="AN121" i="32"/>
  <c r="AN120" i="32"/>
  <c r="AM120" i="32"/>
  <c r="AG121" i="32"/>
  <c r="AL121" i="32"/>
  <c r="AL120" i="32"/>
  <c r="AH120" i="32" s="1"/>
  <c r="AI120" i="32" s="1"/>
  <c r="AJ120" i="32" s="1"/>
  <c r="AK120" i="32" s="1"/>
  <c r="W121" i="32"/>
  <c r="AB121" i="32"/>
  <c r="R121" i="32"/>
  <c r="R120" i="32"/>
  <c r="C121" i="32"/>
  <c r="G121" i="32"/>
  <c r="I121" i="32"/>
  <c r="H121" i="32"/>
  <c r="D121" i="32"/>
  <c r="E121" i="32"/>
  <c r="B121" i="32"/>
  <c r="F121" i="32"/>
  <c r="AX123" i="32"/>
  <c r="AY123" i="32" s="1"/>
  <c r="A122" i="32"/>
  <c r="D120" i="32"/>
  <c r="AV120" i="32"/>
  <c r="Q120" i="32"/>
  <c r="AS120" i="32"/>
  <c r="AT120" i="32"/>
  <c r="AO120" i="32"/>
  <c r="AQ120" i="32"/>
  <c r="AW120" i="32"/>
  <c r="AP120" i="32"/>
  <c r="N120" i="32"/>
  <c r="P120" i="32"/>
  <c r="AU120" i="32"/>
  <c r="AR120" i="32"/>
  <c r="G80" i="36"/>
  <c r="E80" i="36"/>
  <c r="I80" i="36"/>
  <c r="G75" i="38"/>
  <c r="H75" i="38"/>
  <c r="C75" i="38"/>
  <c r="F75" i="38"/>
  <c r="B75" i="38"/>
  <c r="D75" i="38" s="1"/>
  <c r="K77" i="20"/>
  <c r="L77" i="20" s="1"/>
  <c r="A76" i="20"/>
  <c r="AV83" i="36"/>
  <c r="AW83" i="36" s="1"/>
  <c r="A82" i="36"/>
  <c r="D80" i="36"/>
  <c r="F80" i="36"/>
  <c r="H80" i="36"/>
  <c r="K77" i="38"/>
  <c r="L77" i="38" s="1"/>
  <c r="A76" i="38"/>
  <c r="B75" i="20"/>
  <c r="D75" i="20" s="1"/>
  <c r="F75" i="20"/>
  <c r="H75" i="20"/>
  <c r="G75" i="20"/>
  <c r="C75" i="20"/>
  <c r="B81" i="36"/>
  <c r="H81" i="36" s="1"/>
  <c r="C81" i="36"/>
  <c r="Y80" i="36"/>
  <c r="W80" i="36"/>
  <c r="AN80" i="36"/>
  <c r="AA80" i="36"/>
  <c r="AK80" i="36"/>
  <c r="AD80" i="36"/>
  <c r="AQ80" i="36"/>
  <c r="T80" i="36"/>
  <c r="V80" i="36"/>
  <c r="AE80" i="36"/>
  <c r="AT80" i="36"/>
  <c r="AI80" i="36"/>
  <c r="M80" i="36"/>
  <c r="AH80" i="36"/>
  <c r="AC80" i="36"/>
  <c r="AF80" i="36"/>
  <c r="N80" i="36"/>
  <c r="AR80" i="36"/>
  <c r="AS80" i="36"/>
  <c r="K80" i="36"/>
  <c r="AB80" i="36"/>
  <c r="L80" i="36"/>
  <c r="AU80" i="36"/>
  <c r="X80" i="36"/>
  <c r="AO80" i="36"/>
  <c r="U80" i="36"/>
  <c r="AJ80" i="36"/>
  <c r="R80" i="36"/>
  <c r="AM80" i="36"/>
  <c r="S80" i="36"/>
  <c r="AP80" i="36"/>
  <c r="Z80" i="36"/>
  <c r="Q80" i="36"/>
  <c r="O80" i="36"/>
  <c r="AG80" i="36"/>
  <c r="AL80" i="36"/>
  <c r="P80" i="36"/>
  <c r="J89" i="19"/>
  <c r="F89" i="19"/>
  <c r="H89" i="19"/>
  <c r="A91" i="19"/>
  <c r="AV92" i="19"/>
  <c r="AW92" i="19" s="1"/>
  <c r="B90" i="19"/>
  <c r="I90" i="19" s="1"/>
  <c r="C90" i="19"/>
  <c r="E89" i="19"/>
  <c r="D89" i="19"/>
  <c r="G89" i="19"/>
  <c r="AG89" i="19"/>
  <c r="AJ89" i="19"/>
  <c r="AR89" i="19"/>
  <c r="AE89" i="19"/>
  <c r="AK89" i="19"/>
  <c r="Y89" i="19"/>
  <c r="AA89" i="19"/>
  <c r="AQ89" i="19"/>
  <c r="M89" i="19"/>
  <c r="N89" i="19"/>
  <c r="AO89" i="19"/>
  <c r="AF89" i="19"/>
  <c r="P89" i="19"/>
  <c r="R89" i="19"/>
  <c r="K89" i="19"/>
  <c r="AB89" i="19"/>
  <c r="AP89" i="19"/>
  <c r="W89" i="19"/>
  <c r="AT89" i="19"/>
  <c r="Q89" i="19"/>
  <c r="AH89" i="19"/>
  <c r="O89" i="19"/>
  <c r="AC89" i="19"/>
  <c r="AS89" i="19"/>
  <c r="AD89" i="19"/>
  <c r="AL89" i="19"/>
  <c r="L89" i="19"/>
  <c r="AI89" i="19"/>
  <c r="Z89" i="19"/>
  <c r="V89" i="19"/>
  <c r="AU89" i="19"/>
  <c r="AM89" i="19"/>
  <c r="X89" i="19"/>
  <c r="AN89" i="19"/>
  <c r="S89" i="19"/>
  <c r="U89" i="19"/>
  <c r="T89" i="19"/>
  <c r="S120" i="32" l="1"/>
  <c r="T120" i="32" s="1"/>
  <c r="U120" i="32" s="1"/>
  <c r="V120" i="32" s="1"/>
  <c r="D84" i="37"/>
  <c r="X120" i="32"/>
  <c r="Y120" i="32" s="1"/>
  <c r="Z120" i="32" s="1"/>
  <c r="AA120" i="32" s="1"/>
  <c r="R84" i="37"/>
  <c r="AB84" i="37"/>
  <c r="W84" i="37"/>
  <c r="AG84" i="37"/>
  <c r="AL84" i="37"/>
  <c r="AM84" i="37"/>
  <c r="AN84" i="37"/>
  <c r="B85" i="37"/>
  <c r="E85" i="37" s="1"/>
  <c r="H85" i="37"/>
  <c r="I85" i="37"/>
  <c r="C85" i="37"/>
  <c r="O85" i="37" s="1"/>
  <c r="G85" i="37"/>
  <c r="F85" i="37"/>
  <c r="T84" i="37"/>
  <c r="AH84" i="37"/>
  <c r="P84" i="37"/>
  <c r="Q84" i="37"/>
  <c r="AI84" i="37"/>
  <c r="AT84" i="37"/>
  <c r="AS84" i="37"/>
  <c r="K84" i="37"/>
  <c r="AR84" i="37"/>
  <c r="AO84" i="37"/>
  <c r="AE84" i="37"/>
  <c r="S84" i="37"/>
  <c r="AU84" i="37"/>
  <c r="AK84" i="37"/>
  <c r="L84" i="37"/>
  <c r="Z84" i="37"/>
  <c r="Y84" i="37"/>
  <c r="AV84" i="37"/>
  <c r="N84" i="37"/>
  <c r="V84" i="37"/>
  <c r="AJ84" i="37"/>
  <c r="AC84" i="37"/>
  <c r="AP84" i="37"/>
  <c r="AQ84" i="37"/>
  <c r="AF84" i="37"/>
  <c r="U84" i="37"/>
  <c r="X84" i="37"/>
  <c r="AA84" i="37"/>
  <c r="AD84" i="37"/>
  <c r="J84" i="37"/>
  <c r="M84" i="37"/>
  <c r="AW87" i="37"/>
  <c r="AX87" i="37" s="1"/>
  <c r="A86" i="37"/>
  <c r="AM122" i="32"/>
  <c r="AN122" i="32"/>
  <c r="AG122" i="32"/>
  <c r="AL122" i="32"/>
  <c r="W122" i="32"/>
  <c r="AB122" i="32"/>
  <c r="R122" i="32"/>
  <c r="E75" i="20"/>
  <c r="C122" i="32"/>
  <c r="G122" i="32"/>
  <c r="D122" i="32"/>
  <c r="I122" i="32"/>
  <c r="E122" i="32"/>
  <c r="F122" i="32"/>
  <c r="H122" i="32"/>
  <c r="B122" i="32"/>
  <c r="AX124" i="32"/>
  <c r="AY124" i="32" s="1"/>
  <c r="A123" i="32"/>
  <c r="T121" i="32"/>
  <c r="U121" i="32"/>
  <c r="AF121" i="32"/>
  <c r="AK121" i="32"/>
  <c r="AI121" i="32"/>
  <c r="P121" i="32"/>
  <c r="AP121" i="32"/>
  <c r="AU121" i="32"/>
  <c r="AS121" i="32"/>
  <c r="V121" i="32"/>
  <c r="AO121" i="32"/>
  <c r="Q121" i="32"/>
  <c r="AE121" i="32"/>
  <c r="AQ121" i="32"/>
  <c r="AH121" i="32"/>
  <c r="AJ121" i="32"/>
  <c r="N121" i="32"/>
  <c r="AT121" i="32"/>
  <c r="Z121" i="32"/>
  <c r="AD121" i="32"/>
  <c r="Y121" i="32"/>
  <c r="S121" i="32"/>
  <c r="X121" i="32"/>
  <c r="AR121" i="32"/>
  <c r="AV121" i="32"/>
  <c r="AW121" i="32"/>
  <c r="AC121" i="32"/>
  <c r="AA121" i="32"/>
  <c r="I75" i="20"/>
  <c r="E81" i="36"/>
  <c r="G81" i="36"/>
  <c r="J81" i="36"/>
  <c r="F81" i="36"/>
  <c r="D81" i="36"/>
  <c r="I81" i="36"/>
  <c r="B76" i="38"/>
  <c r="D76" i="38" s="1"/>
  <c r="H76" i="38"/>
  <c r="F76" i="38"/>
  <c r="G76" i="38"/>
  <c r="C76" i="38"/>
  <c r="AV84" i="36"/>
  <c r="AW84" i="36" s="1"/>
  <c r="A83" i="36"/>
  <c r="A77" i="20"/>
  <c r="K78" i="20"/>
  <c r="L78" i="20" s="1"/>
  <c r="E75" i="38"/>
  <c r="AF81" i="36"/>
  <c r="N81" i="36"/>
  <c r="T81" i="36"/>
  <c r="AN81" i="36"/>
  <c r="AD81" i="36"/>
  <c r="U81" i="36"/>
  <c r="Z81" i="36"/>
  <c r="P81" i="36"/>
  <c r="AU81" i="36"/>
  <c r="AQ81" i="36"/>
  <c r="M81" i="36"/>
  <c r="X81" i="36"/>
  <c r="AJ81" i="36"/>
  <c r="L81" i="36"/>
  <c r="V81" i="36"/>
  <c r="AO81" i="36"/>
  <c r="AC81" i="36"/>
  <c r="AP81" i="36"/>
  <c r="AL81" i="36"/>
  <c r="AG81" i="36"/>
  <c r="AH81" i="36"/>
  <c r="AB81" i="36"/>
  <c r="S81" i="36"/>
  <c r="AA81" i="36"/>
  <c r="AM81" i="36"/>
  <c r="AR81" i="36"/>
  <c r="AK81" i="36"/>
  <c r="AI81" i="36"/>
  <c r="O81" i="36"/>
  <c r="AE81" i="36"/>
  <c r="K81" i="36"/>
  <c r="Y81" i="36"/>
  <c r="R81" i="36"/>
  <c r="AT81" i="36"/>
  <c r="W81" i="36"/>
  <c r="AS81" i="36"/>
  <c r="Q81" i="36"/>
  <c r="K78" i="38"/>
  <c r="L78" i="38" s="1"/>
  <c r="A77" i="38"/>
  <c r="B82" i="36"/>
  <c r="D82" i="36" s="1"/>
  <c r="C82" i="36"/>
  <c r="B76" i="20"/>
  <c r="E76" i="20" s="1"/>
  <c r="F76" i="20"/>
  <c r="G76" i="20"/>
  <c r="H76" i="20"/>
  <c r="C76" i="20"/>
  <c r="I75" i="38"/>
  <c r="J90" i="19"/>
  <c r="F90" i="19"/>
  <c r="G90" i="19"/>
  <c r="E90" i="19"/>
  <c r="H90" i="19"/>
  <c r="D90" i="19"/>
  <c r="P90" i="19"/>
  <c r="W90" i="19"/>
  <c r="AH90" i="19"/>
  <c r="AL90" i="19"/>
  <c r="O90" i="19"/>
  <c r="AP90" i="19"/>
  <c r="Y90" i="19"/>
  <c r="R90" i="19"/>
  <c r="AS90" i="19"/>
  <c r="AF90" i="19"/>
  <c r="AG90" i="19"/>
  <c r="T90" i="19"/>
  <c r="AM90" i="19"/>
  <c r="AJ90" i="19"/>
  <c r="M90" i="19"/>
  <c r="Z90" i="19"/>
  <c r="AI90" i="19"/>
  <c r="AO90" i="19"/>
  <c r="AU90" i="19"/>
  <c r="S90" i="19"/>
  <c r="AD90" i="19"/>
  <c r="AR90" i="19"/>
  <c r="AN90" i="19"/>
  <c r="AB90" i="19"/>
  <c r="V90" i="19"/>
  <c r="L90" i="19"/>
  <c r="AA90" i="19"/>
  <c r="AC90" i="19"/>
  <c r="Q90" i="19"/>
  <c r="K90" i="19"/>
  <c r="AE90" i="19"/>
  <c r="AK90" i="19"/>
  <c r="N90" i="19"/>
  <c r="AT90" i="19"/>
  <c r="U90" i="19"/>
  <c r="AQ90" i="19"/>
  <c r="X90" i="19"/>
  <c r="AV93" i="19"/>
  <c r="AW93" i="19" s="1"/>
  <c r="A92" i="19"/>
  <c r="C91" i="19"/>
  <c r="B91" i="19"/>
  <c r="G91" i="19" s="1"/>
  <c r="AM85" i="37" l="1"/>
  <c r="R85" i="37"/>
  <c r="AN85" i="37"/>
  <c r="F86" i="37"/>
  <c r="B86" i="37"/>
  <c r="E86" i="37" s="1"/>
  <c r="H86" i="37"/>
  <c r="C86" i="37"/>
  <c r="O86" i="37" s="1"/>
  <c r="I86" i="37"/>
  <c r="G86" i="37"/>
  <c r="AD85" i="37"/>
  <c r="N85" i="37"/>
  <c r="AI85" i="37"/>
  <c r="AP85" i="37"/>
  <c r="AR85" i="37"/>
  <c r="AQ85" i="37"/>
  <c r="V85" i="37"/>
  <c r="U85" i="37"/>
  <c r="X85" i="37"/>
  <c r="AU85" i="37"/>
  <c r="AK85" i="37"/>
  <c r="AH85" i="37"/>
  <c r="S85" i="37"/>
  <c r="AJ85" i="37"/>
  <c r="AE85" i="37"/>
  <c r="AA85" i="37"/>
  <c r="AV85" i="37"/>
  <c r="T85" i="37"/>
  <c r="AS85" i="37"/>
  <c r="AT85" i="37"/>
  <c r="Y85" i="37"/>
  <c r="P85" i="37"/>
  <c r="AC85" i="37"/>
  <c r="L85" i="37"/>
  <c r="Q85" i="37"/>
  <c r="AF85" i="37"/>
  <c r="Z85" i="37"/>
  <c r="K85" i="37"/>
  <c r="AO85" i="37"/>
  <c r="J85" i="37"/>
  <c r="M85" i="37"/>
  <c r="AW88" i="37"/>
  <c r="AX88" i="37" s="1"/>
  <c r="A87" i="37"/>
  <c r="W85" i="37"/>
  <c r="AB85" i="37"/>
  <c r="AG85" i="37"/>
  <c r="AL85" i="37"/>
  <c r="D85" i="37"/>
  <c r="G123" i="32"/>
  <c r="H123" i="32"/>
  <c r="F123" i="32"/>
  <c r="B123" i="32"/>
  <c r="E123" i="32" s="1"/>
  <c r="C123" i="32"/>
  <c r="AG123" i="32" s="1"/>
  <c r="I123" i="32"/>
  <c r="AX125" i="32"/>
  <c r="A124" i="32"/>
  <c r="AU122" i="32"/>
  <c r="AT122" i="32"/>
  <c r="AF122" i="32"/>
  <c r="AP122" i="32"/>
  <c r="AC122" i="32"/>
  <c r="AK122" i="32"/>
  <c r="Y122" i="32"/>
  <c r="AI122" i="32"/>
  <c r="AA122" i="32"/>
  <c r="AD122" i="32"/>
  <c r="U122" i="32"/>
  <c r="Z122" i="32"/>
  <c r="N122" i="32"/>
  <c r="Q122" i="32"/>
  <c r="AE122" i="32"/>
  <c r="AH122" i="32"/>
  <c r="T122" i="32"/>
  <c r="AO122" i="32"/>
  <c r="V122" i="32"/>
  <c r="AJ122" i="32"/>
  <c r="AR122" i="32"/>
  <c r="X122" i="32"/>
  <c r="AS122" i="32"/>
  <c r="AW122" i="32"/>
  <c r="S122" i="32"/>
  <c r="AQ122" i="32"/>
  <c r="AV122" i="32"/>
  <c r="P122" i="32"/>
  <c r="I76" i="20"/>
  <c r="D76" i="20"/>
  <c r="I76" i="38"/>
  <c r="I82" i="36"/>
  <c r="H82" i="36"/>
  <c r="E76" i="38"/>
  <c r="E82" i="36"/>
  <c r="AP82" i="36"/>
  <c r="AM82" i="36"/>
  <c r="L82" i="36"/>
  <c r="AC82" i="36"/>
  <c r="AR82" i="36"/>
  <c r="V82" i="36"/>
  <c r="AB82" i="36"/>
  <c r="Z82" i="36"/>
  <c r="Y82" i="36"/>
  <c r="AE82" i="36"/>
  <c r="U82" i="36"/>
  <c r="AO82" i="36"/>
  <c r="AA82" i="36"/>
  <c r="AG82" i="36"/>
  <c r="O82" i="36"/>
  <c r="W82" i="36"/>
  <c r="M82" i="36"/>
  <c r="K82" i="36"/>
  <c r="AN82" i="36"/>
  <c r="AS82" i="36"/>
  <c r="AJ82" i="36"/>
  <c r="P82" i="36"/>
  <c r="AF82" i="36"/>
  <c r="N82" i="36"/>
  <c r="AK82" i="36"/>
  <c r="AU82" i="36"/>
  <c r="T82" i="36"/>
  <c r="AD82" i="36"/>
  <c r="AI82" i="36"/>
  <c r="Q82" i="36"/>
  <c r="S82" i="36"/>
  <c r="AQ82" i="36"/>
  <c r="AH82" i="36"/>
  <c r="AL82" i="36"/>
  <c r="R82" i="36"/>
  <c r="AT82" i="36"/>
  <c r="X82" i="36"/>
  <c r="K79" i="38"/>
  <c r="L79" i="38" s="1"/>
  <c r="A78" i="38"/>
  <c r="F77" i="20"/>
  <c r="G77" i="20"/>
  <c r="B77" i="20"/>
  <c r="D77" i="20" s="1"/>
  <c r="H77" i="20"/>
  <c r="C77" i="20"/>
  <c r="AV85" i="36"/>
  <c r="AW85" i="36" s="1"/>
  <c r="A84" i="36"/>
  <c r="F82" i="36"/>
  <c r="J82" i="36"/>
  <c r="G82" i="36"/>
  <c r="G77" i="38"/>
  <c r="B77" i="38"/>
  <c r="I77" i="38" s="1"/>
  <c r="F77" i="38"/>
  <c r="H77" i="38"/>
  <c r="C77" i="38"/>
  <c r="A78" i="20"/>
  <c r="K79" i="20"/>
  <c r="L79" i="20" s="1"/>
  <c r="B83" i="36"/>
  <c r="I83" i="36" s="1"/>
  <c r="C83" i="36"/>
  <c r="H91" i="19"/>
  <c r="E91" i="19"/>
  <c r="D91" i="19"/>
  <c r="J91" i="19"/>
  <c r="I91" i="19"/>
  <c r="K91" i="19"/>
  <c r="Z91" i="19"/>
  <c r="AT91" i="19"/>
  <c r="AP91" i="19"/>
  <c r="AA91" i="19"/>
  <c r="AF91" i="19"/>
  <c r="AQ91" i="19"/>
  <c r="AI91" i="19"/>
  <c r="AC91" i="19"/>
  <c r="U91" i="19"/>
  <c r="AU91" i="19"/>
  <c r="AH91" i="19"/>
  <c r="S91" i="19"/>
  <c r="AL91" i="19"/>
  <c r="AM91" i="19"/>
  <c r="L91" i="19"/>
  <c r="W91" i="19"/>
  <c r="V91" i="19"/>
  <c r="X91" i="19"/>
  <c r="N91" i="19"/>
  <c r="Q91" i="19"/>
  <c r="AD91" i="19"/>
  <c r="AB91" i="19"/>
  <c r="T91" i="19"/>
  <c r="P91" i="19"/>
  <c r="AK91" i="19"/>
  <c r="R91" i="19"/>
  <c r="AR91" i="19"/>
  <c r="AJ91" i="19"/>
  <c r="AE91" i="19"/>
  <c r="M91" i="19"/>
  <c r="AS91" i="19"/>
  <c r="AG91" i="19"/>
  <c r="O91" i="19"/>
  <c r="AN91" i="19"/>
  <c r="Y91" i="19"/>
  <c r="AO91" i="19"/>
  <c r="B92" i="19"/>
  <c r="J92" i="19" s="1"/>
  <c r="C92" i="19"/>
  <c r="F91" i="19"/>
  <c r="AV94" i="19"/>
  <c r="AW94" i="19" s="1"/>
  <c r="A93" i="19"/>
  <c r="W123" i="32" l="1"/>
  <c r="AB123" i="32"/>
  <c r="AC123" i="32" s="1"/>
  <c r="AD123" i="32" s="1"/>
  <c r="AE123" i="32" s="1"/>
  <c r="AF123" i="32" s="1"/>
  <c r="AN86" i="37"/>
  <c r="W86" i="37"/>
  <c r="R86" i="37"/>
  <c r="AN87" i="37"/>
  <c r="AL87" i="37"/>
  <c r="AB87" i="37"/>
  <c r="R87" i="37"/>
  <c r="O87" i="37"/>
  <c r="AM87" i="37"/>
  <c r="AG87" i="37"/>
  <c r="W87" i="37"/>
  <c r="C87" i="37"/>
  <c r="H87" i="37"/>
  <c r="G87" i="37"/>
  <c r="E87" i="37"/>
  <c r="B87" i="37"/>
  <c r="F87" i="37"/>
  <c r="D87" i="37"/>
  <c r="I87" i="37"/>
  <c r="AT86" i="37"/>
  <c r="AV86" i="37"/>
  <c r="X86" i="37"/>
  <c r="N86" i="37"/>
  <c r="K86" i="37"/>
  <c r="AH86" i="37"/>
  <c r="AI86" i="37"/>
  <c r="V86" i="37"/>
  <c r="AJ86" i="37"/>
  <c r="L86" i="37"/>
  <c r="AO86" i="37"/>
  <c r="AF86" i="37"/>
  <c r="AK86" i="37"/>
  <c r="S86" i="37"/>
  <c r="AS86" i="37"/>
  <c r="AR86" i="37"/>
  <c r="AE86" i="37"/>
  <c r="AQ86" i="37"/>
  <c r="AC86" i="37"/>
  <c r="P86" i="37"/>
  <c r="AP86" i="37"/>
  <c r="Y86" i="37"/>
  <c r="AU86" i="37"/>
  <c r="Z86" i="37"/>
  <c r="AA86" i="37"/>
  <c r="AD86" i="37"/>
  <c r="T86" i="37"/>
  <c r="Q86" i="37"/>
  <c r="U86" i="37"/>
  <c r="J86" i="37"/>
  <c r="M86" i="37"/>
  <c r="AW89" i="37"/>
  <c r="AX89" i="37" s="1"/>
  <c r="A88" i="37"/>
  <c r="AB86" i="37"/>
  <c r="AG86" i="37"/>
  <c r="AL86" i="37"/>
  <c r="AM86" i="37"/>
  <c r="D86" i="37"/>
  <c r="AM124" i="32"/>
  <c r="AN124" i="32"/>
  <c r="AN123" i="32"/>
  <c r="AM123" i="32"/>
  <c r="AG124" i="32"/>
  <c r="AL124" i="32"/>
  <c r="AL123" i="32"/>
  <c r="AH123" i="32" s="1"/>
  <c r="AI123" i="32" s="1"/>
  <c r="AJ123" i="32" s="1"/>
  <c r="AK123" i="32" s="1"/>
  <c r="W124" i="32"/>
  <c r="AB124" i="32"/>
  <c r="R124" i="32"/>
  <c r="R123" i="32"/>
  <c r="H124" i="32"/>
  <c r="F124" i="32"/>
  <c r="B124" i="32"/>
  <c r="E124" i="32"/>
  <c r="I124" i="32"/>
  <c r="C124" i="32"/>
  <c r="D124" i="32"/>
  <c r="G124" i="32"/>
  <c r="AY125" i="32"/>
  <c r="AX126" i="32" s="1"/>
  <c r="AE125" i="32"/>
  <c r="AK125" i="32"/>
  <c r="Q125" i="32"/>
  <c r="AP125" i="32"/>
  <c r="V125" i="32"/>
  <c r="T125" i="32"/>
  <c r="AD125" i="32"/>
  <c r="AH125" i="32"/>
  <c r="Y125" i="32"/>
  <c r="AT125" i="32"/>
  <c r="AS125" i="32"/>
  <c r="AC125" i="32"/>
  <c r="AQ125" i="32"/>
  <c r="AR125" i="32"/>
  <c r="AO125" i="32"/>
  <c r="N125" i="32"/>
  <c r="S125" i="32"/>
  <c r="AI125" i="32"/>
  <c r="AA125" i="32"/>
  <c r="X125" i="32"/>
  <c r="AJ125" i="32"/>
  <c r="AU125" i="32"/>
  <c r="U125" i="32"/>
  <c r="AV125" i="32"/>
  <c r="AW125" i="32"/>
  <c r="AF125" i="32"/>
  <c r="Z125" i="32"/>
  <c r="P125" i="32"/>
  <c r="D123" i="32"/>
  <c r="P123" i="32"/>
  <c r="AS123" i="32"/>
  <c r="AO123" i="32"/>
  <c r="AT123" i="32"/>
  <c r="AW123" i="32"/>
  <c r="N123" i="32"/>
  <c r="AU123" i="32"/>
  <c r="AQ123" i="32"/>
  <c r="AP123" i="32"/>
  <c r="AR123" i="32"/>
  <c r="AV123" i="32"/>
  <c r="Q123" i="32"/>
  <c r="I77" i="20"/>
  <c r="E77" i="20"/>
  <c r="G83" i="36"/>
  <c r="E77" i="38"/>
  <c r="E83" i="36"/>
  <c r="D83" i="36"/>
  <c r="J83" i="36"/>
  <c r="F83" i="36"/>
  <c r="D77" i="38"/>
  <c r="K80" i="20"/>
  <c r="L80" i="20" s="1"/>
  <c r="A79" i="20"/>
  <c r="B84" i="36"/>
  <c r="G84" i="36" s="1"/>
  <c r="C84" i="36"/>
  <c r="H83" i="36"/>
  <c r="T83" i="36"/>
  <c r="AP83" i="36"/>
  <c r="AI83" i="36"/>
  <c r="R83" i="36"/>
  <c r="AG83" i="36"/>
  <c r="AR83" i="36"/>
  <c r="AH83" i="36"/>
  <c r="AC83" i="36"/>
  <c r="X83" i="36"/>
  <c r="Q83" i="36"/>
  <c r="AE83" i="36"/>
  <c r="L83" i="36"/>
  <c r="K83" i="36"/>
  <c r="Y83" i="36"/>
  <c r="V83" i="36"/>
  <c r="AQ83" i="36"/>
  <c r="AB83" i="36"/>
  <c r="W83" i="36"/>
  <c r="AK83" i="36"/>
  <c r="S83" i="36"/>
  <c r="M83" i="36"/>
  <c r="AS83" i="36"/>
  <c r="AN83" i="36"/>
  <c r="AJ83" i="36"/>
  <c r="N83" i="36"/>
  <c r="AA83" i="36"/>
  <c r="AM83" i="36"/>
  <c r="AF83" i="36"/>
  <c r="U83" i="36"/>
  <c r="AD83" i="36"/>
  <c r="AT83" i="36"/>
  <c r="O83" i="36"/>
  <c r="P83" i="36"/>
  <c r="AU83" i="36"/>
  <c r="Z83" i="36"/>
  <c r="AO83" i="36"/>
  <c r="AL83" i="36"/>
  <c r="H78" i="20"/>
  <c r="B78" i="20"/>
  <c r="D78" i="20" s="1"/>
  <c r="F78" i="20"/>
  <c r="G78" i="20"/>
  <c r="C78" i="20"/>
  <c r="A85" i="36"/>
  <c r="AV86" i="36"/>
  <c r="AW86" i="36" s="1"/>
  <c r="B78" i="38"/>
  <c r="D78" i="38" s="1"/>
  <c r="H78" i="38"/>
  <c r="F78" i="38"/>
  <c r="G78" i="38"/>
  <c r="C78" i="38"/>
  <c r="K80" i="38"/>
  <c r="L80" i="38" s="1"/>
  <c r="A79" i="38"/>
  <c r="F92" i="19"/>
  <c r="D92" i="19"/>
  <c r="I92" i="19"/>
  <c r="G92" i="19"/>
  <c r="H92" i="19"/>
  <c r="E92" i="19"/>
  <c r="C93" i="19"/>
  <c r="B93" i="19"/>
  <c r="E93" i="19" s="1"/>
  <c r="X92" i="19"/>
  <c r="S92" i="19"/>
  <c r="AB92" i="19"/>
  <c r="AE92" i="19"/>
  <c r="AU92" i="19"/>
  <c r="Q92" i="19"/>
  <c r="AM92" i="19"/>
  <c r="AO92" i="19"/>
  <c r="Z92" i="19"/>
  <c r="AI92" i="19"/>
  <c r="AH92" i="19"/>
  <c r="AA92" i="19"/>
  <c r="AQ92" i="19"/>
  <c r="AF92" i="19"/>
  <c r="K92" i="19"/>
  <c r="AT92" i="19"/>
  <c r="M92" i="19"/>
  <c r="R92" i="19"/>
  <c r="W92" i="19"/>
  <c r="AG92" i="19"/>
  <c r="AJ92" i="19"/>
  <c r="L92" i="19"/>
  <c r="AC92" i="19"/>
  <c r="AR92" i="19"/>
  <c r="P92" i="19"/>
  <c r="AN92" i="19"/>
  <c r="T92" i="19"/>
  <c r="V92" i="19"/>
  <c r="AP92" i="19"/>
  <c r="AK92" i="19"/>
  <c r="Y92" i="19"/>
  <c r="AD92" i="19"/>
  <c r="O92" i="19"/>
  <c r="N92" i="19"/>
  <c r="AL92" i="19"/>
  <c r="U92" i="19"/>
  <c r="AS92" i="19"/>
  <c r="AV95" i="19"/>
  <c r="AW95" i="19" s="1"/>
  <c r="A94" i="19"/>
  <c r="S123" i="32" l="1"/>
  <c r="T123" i="32" s="1"/>
  <c r="U123" i="32" s="1"/>
  <c r="V123" i="32" s="1"/>
  <c r="X123" i="32"/>
  <c r="Y123" i="32" s="1"/>
  <c r="Z123" i="32" s="1"/>
  <c r="AA123" i="32" s="1"/>
  <c r="AW90" i="37"/>
  <c r="AX90" i="37" s="1"/>
  <c r="A89" i="37"/>
  <c r="AM88" i="37"/>
  <c r="AG88" i="37"/>
  <c r="W88" i="37"/>
  <c r="O88" i="37"/>
  <c r="F88" i="37"/>
  <c r="AN88" i="37"/>
  <c r="AL88" i="37"/>
  <c r="AB88" i="37"/>
  <c r="R88" i="37"/>
  <c r="I88" i="37"/>
  <c r="D88" i="37"/>
  <c r="G88" i="37"/>
  <c r="H88" i="37"/>
  <c r="B88" i="37"/>
  <c r="E88" i="37"/>
  <c r="C88" i="37"/>
  <c r="AH87" i="37"/>
  <c r="AU87" i="37"/>
  <c r="T87" i="37"/>
  <c r="X87" i="37"/>
  <c r="Q87" i="37"/>
  <c r="N87" i="37"/>
  <c r="AA87" i="37"/>
  <c r="AI87" i="37"/>
  <c r="P87" i="37"/>
  <c r="AJ87" i="37"/>
  <c r="AC87" i="37"/>
  <c r="AD87" i="37"/>
  <c r="AE87" i="37"/>
  <c r="K87" i="37"/>
  <c r="V87" i="37"/>
  <c r="AS87" i="37"/>
  <c r="S87" i="37"/>
  <c r="Y87" i="37"/>
  <c r="AP87" i="37"/>
  <c r="Z87" i="37"/>
  <c r="U87" i="37"/>
  <c r="L87" i="37"/>
  <c r="AR87" i="37"/>
  <c r="AV87" i="37"/>
  <c r="AF87" i="37"/>
  <c r="AQ87" i="37"/>
  <c r="AK87" i="37"/>
  <c r="AT87" i="37"/>
  <c r="AO87" i="37"/>
  <c r="J87" i="37"/>
  <c r="M87" i="37"/>
  <c r="AD124" i="32"/>
  <c r="S124" i="32"/>
  <c r="AI124" i="32"/>
  <c r="AV124" i="32"/>
  <c r="T124" i="32"/>
  <c r="AK124" i="32"/>
  <c r="AC124" i="32"/>
  <c r="U124" i="32"/>
  <c r="P124" i="32"/>
  <c r="AJ124" i="32"/>
  <c r="N124" i="32"/>
  <c r="AA124" i="32"/>
  <c r="X124" i="32"/>
  <c r="AF124" i="32"/>
  <c r="AQ124" i="32"/>
  <c r="Y124" i="32"/>
  <c r="AW124" i="32"/>
  <c r="AU124" i="32"/>
  <c r="Q124" i="32"/>
  <c r="V124" i="32"/>
  <c r="Z124" i="32"/>
  <c r="AR124" i="32"/>
  <c r="AP124" i="32"/>
  <c r="AT124" i="32"/>
  <c r="AH124" i="32"/>
  <c r="AS124" i="32"/>
  <c r="AE124" i="32"/>
  <c r="AO124" i="32"/>
  <c r="I126" i="32"/>
  <c r="B126" i="32"/>
  <c r="E126" i="32" s="1"/>
  <c r="H126" i="32"/>
  <c r="G126" i="32"/>
  <c r="AY126" i="32"/>
  <c r="F126" i="32"/>
  <c r="D84" i="36"/>
  <c r="E78" i="38"/>
  <c r="H84" i="36"/>
  <c r="E84" i="36"/>
  <c r="I78" i="38"/>
  <c r="E78" i="20"/>
  <c r="K81" i="38"/>
  <c r="L81" i="38" s="1"/>
  <c r="A80" i="38"/>
  <c r="B85" i="36"/>
  <c r="D85" i="36"/>
  <c r="I85" i="36"/>
  <c r="G85" i="36"/>
  <c r="E85" i="36"/>
  <c r="H85" i="36"/>
  <c r="F85" i="36"/>
  <c r="C85" i="36"/>
  <c r="J85" i="36"/>
  <c r="AE84" i="36"/>
  <c r="AG84" i="36"/>
  <c r="AT84" i="36"/>
  <c r="AL84" i="36"/>
  <c r="N84" i="36"/>
  <c r="AU84" i="36"/>
  <c r="AJ84" i="36"/>
  <c r="AP84" i="36"/>
  <c r="AI84" i="36"/>
  <c r="AA84" i="36"/>
  <c r="K84" i="36"/>
  <c r="L84" i="36"/>
  <c r="M84" i="36"/>
  <c r="Q84" i="36"/>
  <c r="AH84" i="36"/>
  <c r="AR84" i="36"/>
  <c r="AC84" i="36"/>
  <c r="S84" i="36"/>
  <c r="P84" i="36"/>
  <c r="W84" i="36"/>
  <c r="AK84" i="36"/>
  <c r="AM84" i="36"/>
  <c r="AN84" i="36"/>
  <c r="R84" i="36"/>
  <c r="AF84" i="36"/>
  <c r="U84" i="36"/>
  <c r="T84" i="36"/>
  <c r="AD84" i="36"/>
  <c r="Y84" i="36"/>
  <c r="Z84" i="36"/>
  <c r="AO84" i="36"/>
  <c r="V84" i="36"/>
  <c r="AQ84" i="36"/>
  <c r="O84" i="36"/>
  <c r="AS84" i="36"/>
  <c r="AB84" i="36"/>
  <c r="X84" i="36"/>
  <c r="K81" i="20"/>
  <c r="L81" i="20" s="1"/>
  <c r="A80" i="20"/>
  <c r="B79" i="38"/>
  <c r="I79" i="38" s="1"/>
  <c r="F79" i="38"/>
  <c r="H79" i="38"/>
  <c r="G79" i="38"/>
  <c r="C79" i="38"/>
  <c r="AV87" i="36"/>
  <c r="AW87" i="36" s="1"/>
  <c r="A86" i="36"/>
  <c r="I78" i="20"/>
  <c r="J84" i="36"/>
  <c r="F84" i="36"/>
  <c r="I84" i="36"/>
  <c r="B79" i="20"/>
  <c r="E79" i="20" s="1"/>
  <c r="H79" i="20"/>
  <c r="F79" i="20"/>
  <c r="G79" i="20"/>
  <c r="C79" i="20"/>
  <c r="F93" i="19"/>
  <c r="I93" i="19"/>
  <c r="G93" i="19"/>
  <c r="H93" i="19"/>
  <c r="J93" i="19"/>
  <c r="D93" i="19"/>
  <c r="AA93" i="19"/>
  <c r="R93" i="19"/>
  <c r="T93" i="19"/>
  <c r="AH93" i="19"/>
  <c r="AK93" i="19"/>
  <c r="AT93" i="19"/>
  <c r="P93" i="19"/>
  <c r="Z93" i="19"/>
  <c r="AS93" i="19"/>
  <c r="AR93" i="19"/>
  <c r="W93" i="19"/>
  <c r="AI93" i="19"/>
  <c r="AN93" i="19"/>
  <c r="AF93" i="19"/>
  <c r="U93" i="19"/>
  <c r="AC93" i="19"/>
  <c r="AE93" i="19"/>
  <c r="O93" i="19"/>
  <c r="AQ93" i="19"/>
  <c r="AU93" i="19"/>
  <c r="AG93" i="19"/>
  <c r="AB93" i="19"/>
  <c r="L93" i="19"/>
  <c r="AP93" i="19"/>
  <c r="M93" i="19"/>
  <c r="K93" i="19"/>
  <c r="Y93" i="19"/>
  <c r="AO93" i="19"/>
  <c r="AL93" i="19"/>
  <c r="AJ93" i="19"/>
  <c r="S93" i="19"/>
  <c r="AM93" i="19"/>
  <c r="X93" i="19"/>
  <c r="N93" i="19"/>
  <c r="Q93" i="19"/>
  <c r="AD93" i="19"/>
  <c r="V93" i="19"/>
  <c r="B94" i="19"/>
  <c r="J94" i="19" s="1"/>
  <c r="C94" i="19"/>
  <c r="AV96" i="19"/>
  <c r="AW96" i="19" s="1"/>
  <c r="A95" i="19"/>
  <c r="AI88" i="37" l="1"/>
  <c r="AU88" i="37"/>
  <c r="Q88" i="37"/>
  <c r="AS88" i="37"/>
  <c r="AC88" i="37"/>
  <c r="AF88" i="37"/>
  <c r="Y88" i="37"/>
  <c r="S88" i="37"/>
  <c r="AH88" i="37"/>
  <c r="AJ88" i="37"/>
  <c r="AP88" i="37"/>
  <c r="N88" i="37"/>
  <c r="AR88" i="37"/>
  <c r="AK88" i="37"/>
  <c r="AD88" i="37"/>
  <c r="AO88" i="37"/>
  <c r="AA88" i="37"/>
  <c r="T88" i="37"/>
  <c r="AV88" i="37"/>
  <c r="V88" i="37"/>
  <c r="P88" i="37"/>
  <c r="AQ88" i="37"/>
  <c r="U88" i="37"/>
  <c r="AT88" i="37"/>
  <c r="K88" i="37"/>
  <c r="L88" i="37"/>
  <c r="AE88" i="37"/>
  <c r="X88" i="37"/>
  <c r="Z88" i="37"/>
  <c r="J88" i="37"/>
  <c r="M88" i="37"/>
  <c r="B89" i="37"/>
  <c r="E89" i="37" s="1"/>
  <c r="G89" i="37"/>
  <c r="I89" i="37"/>
  <c r="H89" i="37"/>
  <c r="C89" i="37"/>
  <c r="W89" i="37" s="1"/>
  <c r="F89" i="37"/>
  <c r="AW91" i="37"/>
  <c r="AX91" i="37" s="1"/>
  <c r="A90" i="37"/>
  <c r="D79" i="20"/>
  <c r="AX127" i="32"/>
  <c r="C126" i="32"/>
  <c r="I79" i="20"/>
  <c r="D79" i="38"/>
  <c r="A81" i="20"/>
  <c r="K82" i="20"/>
  <c r="L82" i="20" s="1"/>
  <c r="U85" i="36"/>
  <c r="AJ85" i="36"/>
  <c r="AU85" i="36"/>
  <c r="AH85" i="36"/>
  <c r="W85" i="36"/>
  <c r="AA85" i="36"/>
  <c r="AI85" i="36"/>
  <c r="AM85" i="36"/>
  <c r="R85" i="36"/>
  <c r="AT85" i="36"/>
  <c r="X85" i="36"/>
  <c r="AL85" i="36"/>
  <c r="AP85" i="36"/>
  <c r="AN85" i="36"/>
  <c r="AF85" i="36"/>
  <c r="O85" i="36"/>
  <c r="M85" i="36"/>
  <c r="S85" i="36"/>
  <c r="K85" i="36"/>
  <c r="P85" i="36"/>
  <c r="T85" i="36"/>
  <c r="V85" i="36"/>
  <c r="AK85" i="36"/>
  <c r="AG85" i="36"/>
  <c r="AD85" i="36"/>
  <c r="AS85" i="36"/>
  <c r="AE85" i="36"/>
  <c r="L85" i="36"/>
  <c r="AR85" i="36"/>
  <c r="AB85" i="36"/>
  <c r="Q85" i="36"/>
  <c r="AC85" i="36"/>
  <c r="N85" i="36"/>
  <c r="Z85" i="36"/>
  <c r="AO85" i="36"/>
  <c r="Y85" i="36"/>
  <c r="AQ85" i="36"/>
  <c r="K82" i="38"/>
  <c r="L82" i="38" s="1"/>
  <c r="A81" i="38"/>
  <c r="AV88" i="36"/>
  <c r="AW88" i="36" s="1"/>
  <c r="A87" i="36"/>
  <c r="E79" i="38"/>
  <c r="B80" i="20"/>
  <c r="I80" i="20" s="1"/>
  <c r="G80" i="20"/>
  <c r="C80" i="20"/>
  <c r="H80" i="20"/>
  <c r="F80" i="20"/>
  <c r="H80" i="38"/>
  <c r="B80" i="38"/>
  <c r="E80" i="38" s="1"/>
  <c r="G80" i="38"/>
  <c r="F80" i="38"/>
  <c r="C80" i="38"/>
  <c r="J86" i="36"/>
  <c r="C86" i="36"/>
  <c r="G86" i="36"/>
  <c r="I86" i="36"/>
  <c r="D86" i="36"/>
  <c r="H86" i="36"/>
  <c r="F86" i="36"/>
  <c r="B86" i="36"/>
  <c r="E86" i="36"/>
  <c r="H94" i="19"/>
  <c r="G94" i="19"/>
  <c r="D94" i="19"/>
  <c r="E94" i="19"/>
  <c r="A96" i="19"/>
  <c r="AV97" i="19"/>
  <c r="AW97" i="19" s="1"/>
  <c r="F94" i="19"/>
  <c r="W94" i="19"/>
  <c r="AK94" i="19"/>
  <c r="AL94" i="19"/>
  <c r="V94" i="19"/>
  <c r="AH94" i="19"/>
  <c r="AD94" i="19"/>
  <c r="R94" i="19"/>
  <c r="AT94" i="19"/>
  <c r="AJ94" i="19"/>
  <c r="AC94" i="19"/>
  <c r="P94" i="19"/>
  <c r="N94" i="19"/>
  <c r="AA94" i="19"/>
  <c r="Q94" i="19"/>
  <c r="AB94" i="19"/>
  <c r="AG94" i="19"/>
  <c r="AF94" i="19"/>
  <c r="AU94" i="19"/>
  <c r="AQ94" i="19"/>
  <c r="K94" i="19"/>
  <c r="U94" i="19"/>
  <c r="X94" i="19"/>
  <c r="Z94" i="19"/>
  <c r="AN94" i="19"/>
  <c r="AI94" i="19"/>
  <c r="M94" i="19"/>
  <c r="O94" i="19"/>
  <c r="AM94" i="19"/>
  <c r="T94" i="19"/>
  <c r="AR94" i="19"/>
  <c r="Y94" i="19"/>
  <c r="AE94" i="19"/>
  <c r="AP94" i="19"/>
  <c r="L94" i="19"/>
  <c r="S94" i="19"/>
  <c r="AS94" i="19"/>
  <c r="AO94" i="19"/>
  <c r="J95" i="19"/>
  <c r="G95" i="19"/>
  <c r="B95" i="19"/>
  <c r="F95" i="19"/>
  <c r="C95" i="19"/>
  <c r="E95" i="19"/>
  <c r="I95" i="19"/>
  <c r="H95" i="19"/>
  <c r="D95" i="19"/>
  <c r="I94" i="19"/>
  <c r="AG126" i="32" l="1"/>
  <c r="W126" i="32"/>
  <c r="AB126" i="32"/>
  <c r="D89" i="37"/>
  <c r="AM89" i="37"/>
  <c r="R89" i="37"/>
  <c r="AN89" i="37"/>
  <c r="C90" i="37"/>
  <c r="O90" i="37" s="1"/>
  <c r="B90" i="37"/>
  <c r="E90" i="37" s="1"/>
  <c r="G90" i="37"/>
  <c r="F90" i="37"/>
  <c r="H90" i="37"/>
  <c r="I90" i="37"/>
  <c r="K89" i="37"/>
  <c r="AA89" i="37"/>
  <c r="AC89" i="37"/>
  <c r="AF89" i="37"/>
  <c r="AT89" i="37"/>
  <c r="AO89" i="37"/>
  <c r="AR89" i="37"/>
  <c r="U89" i="37"/>
  <c r="Y89" i="37"/>
  <c r="AP89" i="37"/>
  <c r="AK89" i="37"/>
  <c r="P89" i="37"/>
  <c r="AS89" i="37"/>
  <c r="AJ89" i="37"/>
  <c r="AQ89" i="37"/>
  <c r="AV89" i="37"/>
  <c r="AI89" i="37"/>
  <c r="L89" i="37"/>
  <c r="V89" i="37"/>
  <c r="Q89" i="37"/>
  <c r="AD89" i="37"/>
  <c r="X89" i="37"/>
  <c r="AH89" i="37"/>
  <c r="T89" i="37"/>
  <c r="AE89" i="37"/>
  <c r="Z89" i="37"/>
  <c r="S89" i="37"/>
  <c r="AU89" i="37"/>
  <c r="N89" i="37"/>
  <c r="J89" i="37"/>
  <c r="M89" i="37"/>
  <c r="AW92" i="37"/>
  <c r="AX92" i="37" s="1"/>
  <c r="A91" i="37"/>
  <c r="AB89" i="37"/>
  <c r="AG89" i="37"/>
  <c r="AL89" i="37"/>
  <c r="O89" i="37"/>
  <c r="AM126" i="32"/>
  <c r="AN126" i="32"/>
  <c r="AL126" i="32"/>
  <c r="R126" i="32"/>
  <c r="AR126" i="32"/>
  <c r="AW126" i="32"/>
  <c r="AU126" i="32"/>
  <c r="AP126" i="32"/>
  <c r="AS126" i="32"/>
  <c r="AT126" i="32"/>
  <c r="Q126" i="32"/>
  <c r="AO126" i="32"/>
  <c r="AV126" i="32"/>
  <c r="N126" i="32"/>
  <c r="P126" i="32"/>
  <c r="D126" i="32"/>
  <c r="AQ126" i="32"/>
  <c r="F127" i="32"/>
  <c r="G127" i="32"/>
  <c r="H127" i="32"/>
  <c r="AY127" i="32"/>
  <c r="B127" i="32"/>
  <c r="E127" i="32" s="1"/>
  <c r="I127" i="32"/>
  <c r="I80" i="38"/>
  <c r="D80" i="38"/>
  <c r="E80" i="20"/>
  <c r="W86" i="36"/>
  <c r="L86" i="36"/>
  <c r="U86" i="36"/>
  <c r="AT86" i="36"/>
  <c r="AC86" i="36"/>
  <c r="AE86" i="36"/>
  <c r="AU86" i="36"/>
  <c r="X86" i="36"/>
  <c r="AS86" i="36"/>
  <c r="AH86" i="36"/>
  <c r="AP86" i="36"/>
  <c r="AG86" i="36"/>
  <c r="AL86" i="36"/>
  <c r="AK86" i="36"/>
  <c r="R86" i="36"/>
  <c r="AQ86" i="36"/>
  <c r="AO86" i="36"/>
  <c r="AM86" i="36"/>
  <c r="AR86" i="36"/>
  <c r="Y86" i="36"/>
  <c r="N86" i="36"/>
  <c r="M86" i="36"/>
  <c r="AJ86" i="36"/>
  <c r="AD86" i="36"/>
  <c r="P86" i="36"/>
  <c r="S86" i="36"/>
  <c r="AI86" i="36"/>
  <c r="K86" i="36"/>
  <c r="T86" i="36"/>
  <c r="V86" i="36"/>
  <c r="Z86" i="36"/>
  <c r="AA86" i="36"/>
  <c r="AN86" i="36"/>
  <c r="AB86" i="36"/>
  <c r="O86" i="36"/>
  <c r="Q86" i="36"/>
  <c r="AF86" i="36"/>
  <c r="B81" i="38"/>
  <c r="C81" i="38"/>
  <c r="G81" i="38"/>
  <c r="I81" i="38"/>
  <c r="H81" i="38"/>
  <c r="E81" i="38"/>
  <c r="D81" i="38"/>
  <c r="F81" i="38"/>
  <c r="B81" i="20"/>
  <c r="E81" i="20"/>
  <c r="H81" i="20"/>
  <c r="G81" i="20"/>
  <c r="I81" i="20"/>
  <c r="F81" i="20"/>
  <c r="C81" i="20"/>
  <c r="D81" i="20"/>
  <c r="D80" i="20"/>
  <c r="AV89" i="36"/>
  <c r="AW89" i="36" s="1"/>
  <c r="A88" i="36"/>
  <c r="K83" i="38"/>
  <c r="L83" i="38" s="1"/>
  <c r="A82" i="38"/>
  <c r="A82" i="20"/>
  <c r="K83" i="20"/>
  <c r="L83" i="20" s="1"/>
  <c r="B87" i="36"/>
  <c r="D87" i="36" s="1"/>
  <c r="C87" i="36"/>
  <c r="W95" i="19"/>
  <c r="AS95" i="19"/>
  <c r="AN95" i="19"/>
  <c r="U95" i="19"/>
  <c r="M95" i="19"/>
  <c r="AP95" i="19"/>
  <c r="AJ95" i="19"/>
  <c r="AT95" i="19"/>
  <c r="N95" i="19"/>
  <c r="S95" i="19"/>
  <c r="O95" i="19"/>
  <c r="AH95" i="19"/>
  <c r="AM95" i="19"/>
  <c r="T95" i="19"/>
  <c r="AK95" i="19"/>
  <c r="P95" i="19"/>
  <c r="AC95" i="19"/>
  <c r="AF95" i="19"/>
  <c r="K95" i="19"/>
  <c r="AU95" i="19"/>
  <c r="Q95" i="19"/>
  <c r="L95" i="19"/>
  <c r="V95" i="19"/>
  <c r="Y95" i="19"/>
  <c r="AA95" i="19"/>
  <c r="R95" i="19"/>
  <c r="AO95" i="19"/>
  <c r="AQ95" i="19"/>
  <c r="AL95" i="19"/>
  <c r="X95" i="19"/>
  <c r="AD95" i="19"/>
  <c r="AI95" i="19"/>
  <c r="AE95" i="19"/>
  <c r="AB95" i="19"/>
  <c r="Z95" i="19"/>
  <c r="AG95" i="19"/>
  <c r="AR95" i="19"/>
  <c r="A97" i="19"/>
  <c r="AV98" i="19"/>
  <c r="AW98" i="19" s="1"/>
  <c r="J96" i="19"/>
  <c r="H96" i="19"/>
  <c r="C96" i="19"/>
  <c r="E96" i="19"/>
  <c r="D96" i="19"/>
  <c r="I96" i="19"/>
  <c r="F96" i="19"/>
  <c r="G96" i="19"/>
  <c r="B96" i="19"/>
  <c r="AC126" i="32" l="1"/>
  <c r="AD126" i="32" s="1"/>
  <c r="AE126" i="32" s="1"/>
  <c r="AF126" i="32" s="1"/>
  <c r="D90" i="37"/>
  <c r="X126" i="32"/>
  <c r="Y126" i="32" s="1"/>
  <c r="Z126" i="32" s="1"/>
  <c r="AA126" i="32" s="1"/>
  <c r="S126" i="32"/>
  <c r="T126" i="32" s="1"/>
  <c r="U126" i="32" s="1"/>
  <c r="V126" i="32" s="1"/>
  <c r="AH126" i="32"/>
  <c r="AI126" i="32" s="1"/>
  <c r="AJ126" i="32" s="1"/>
  <c r="AK126" i="32" s="1"/>
  <c r="AM90" i="37"/>
  <c r="R90" i="37"/>
  <c r="W90" i="37"/>
  <c r="AN90" i="37"/>
  <c r="AL90" i="37"/>
  <c r="AG90" i="37"/>
  <c r="AB90" i="37"/>
  <c r="B91" i="37"/>
  <c r="E91" i="37" s="1"/>
  <c r="C91" i="37"/>
  <c r="D91" i="37" s="1"/>
  <c r="F91" i="37"/>
  <c r="I91" i="37"/>
  <c r="G91" i="37"/>
  <c r="H91" i="37"/>
  <c r="AW93" i="37"/>
  <c r="AX93" i="37" s="1"/>
  <c r="A92" i="37"/>
  <c r="AC90" i="37"/>
  <c r="AE90" i="37"/>
  <c r="L90" i="37"/>
  <c r="N90" i="37"/>
  <c r="AJ90" i="37"/>
  <c r="S90" i="37"/>
  <c r="Q90" i="37"/>
  <c r="AI90" i="37"/>
  <c r="K90" i="37"/>
  <c r="AH90" i="37"/>
  <c r="AU90" i="37"/>
  <c r="AP90" i="37"/>
  <c r="X90" i="37"/>
  <c r="U90" i="37"/>
  <c r="AD90" i="37"/>
  <c r="AS90" i="37"/>
  <c r="AT90" i="37"/>
  <c r="AV90" i="37"/>
  <c r="Y90" i="37"/>
  <c r="AF90" i="37"/>
  <c r="AR90" i="37"/>
  <c r="P90" i="37"/>
  <c r="T90" i="37"/>
  <c r="Z90" i="37"/>
  <c r="AK90" i="37"/>
  <c r="AQ90" i="37"/>
  <c r="V90" i="37"/>
  <c r="AA90" i="37"/>
  <c r="AO90" i="37"/>
  <c r="J90" i="37"/>
  <c r="M90" i="37"/>
  <c r="AX128" i="32"/>
  <c r="C127" i="32"/>
  <c r="G87" i="36"/>
  <c r="H87" i="36"/>
  <c r="J87" i="36"/>
  <c r="D82" i="20"/>
  <c r="C82" i="20"/>
  <c r="H82" i="20"/>
  <c r="G82" i="20"/>
  <c r="E82" i="20"/>
  <c r="I82" i="20"/>
  <c r="B82" i="20"/>
  <c r="F82" i="20"/>
  <c r="K84" i="38"/>
  <c r="L84" i="38" s="1"/>
  <c r="A83" i="38"/>
  <c r="AV90" i="36"/>
  <c r="AW90" i="36" s="1"/>
  <c r="A89" i="36"/>
  <c r="I87" i="36"/>
  <c r="F87" i="36"/>
  <c r="K84" i="20"/>
  <c r="L84" i="20" s="1"/>
  <c r="A83" i="20"/>
  <c r="I82" i="38"/>
  <c r="G82" i="38"/>
  <c r="E82" i="38"/>
  <c r="F82" i="38"/>
  <c r="C82" i="38"/>
  <c r="H82" i="38"/>
  <c r="B82" i="38"/>
  <c r="D82" i="38"/>
  <c r="C88" i="36"/>
  <c r="B88" i="36"/>
  <c r="E88" i="36" s="1"/>
  <c r="E87" i="36"/>
  <c r="AB87" i="36"/>
  <c r="Q87" i="36"/>
  <c r="O87" i="36"/>
  <c r="AU87" i="36"/>
  <c r="AQ87" i="36"/>
  <c r="AJ87" i="36"/>
  <c r="M87" i="36"/>
  <c r="K87" i="36"/>
  <c r="Z87" i="36"/>
  <c r="AT87" i="36"/>
  <c r="AH87" i="36"/>
  <c r="P87" i="36"/>
  <c r="AG87" i="36"/>
  <c r="AS87" i="36"/>
  <c r="V87" i="36"/>
  <c r="AK87" i="36"/>
  <c r="AD87" i="36"/>
  <c r="W87" i="36"/>
  <c r="AI87" i="36"/>
  <c r="AP87" i="36"/>
  <c r="AE87" i="36"/>
  <c r="T87" i="36"/>
  <c r="AA87" i="36"/>
  <c r="N87" i="36"/>
  <c r="AF87" i="36"/>
  <c r="X87" i="36"/>
  <c r="AC87" i="36"/>
  <c r="L87" i="36"/>
  <c r="AO87" i="36"/>
  <c r="AL87" i="36"/>
  <c r="U87" i="36"/>
  <c r="AN87" i="36"/>
  <c r="AM87" i="36"/>
  <c r="AR87" i="36"/>
  <c r="S87" i="36"/>
  <c r="R87" i="36"/>
  <c r="Y87" i="36"/>
  <c r="A98" i="19"/>
  <c r="AV99" i="19"/>
  <c r="AW99" i="19" s="1"/>
  <c r="AR96" i="19"/>
  <c r="S96" i="19"/>
  <c r="U96" i="19"/>
  <c r="Z96" i="19"/>
  <c r="P96" i="19"/>
  <c r="L96" i="19"/>
  <c r="AF96" i="19"/>
  <c r="AN96" i="19"/>
  <c r="AG96" i="19"/>
  <c r="AP96" i="19"/>
  <c r="AU96" i="19"/>
  <c r="M96" i="19"/>
  <c r="X96" i="19"/>
  <c r="N96" i="19"/>
  <c r="AE96" i="19"/>
  <c r="AQ96" i="19"/>
  <c r="W96" i="19"/>
  <c r="AB96" i="19"/>
  <c r="AC96" i="19"/>
  <c r="Y96" i="19"/>
  <c r="AJ96" i="19"/>
  <c r="K96" i="19"/>
  <c r="AS96" i="19"/>
  <c r="AK96" i="19"/>
  <c r="AI96" i="19"/>
  <c r="Q96" i="19"/>
  <c r="R96" i="19"/>
  <c r="AM96" i="19"/>
  <c r="AH96" i="19"/>
  <c r="T96" i="19"/>
  <c r="AT96" i="19"/>
  <c r="AO96" i="19"/>
  <c r="V96" i="19"/>
  <c r="AA96" i="19"/>
  <c r="AL96" i="19"/>
  <c r="O96" i="19"/>
  <c r="AD96" i="19"/>
  <c r="C97" i="19"/>
  <c r="B97" i="19"/>
  <c r="I97" i="19" s="1"/>
  <c r="AG127" i="32" l="1"/>
  <c r="W127" i="32"/>
  <c r="AB127" i="32"/>
  <c r="AN91" i="37"/>
  <c r="AM91" i="37"/>
  <c r="AB91" i="37"/>
  <c r="AL91" i="37"/>
  <c r="AG91" i="37"/>
  <c r="W91" i="37"/>
  <c r="R91" i="37"/>
  <c r="O91" i="37"/>
  <c r="AW94" i="37"/>
  <c r="AX94" i="37" s="1"/>
  <c r="A93" i="37"/>
  <c r="L91" i="37"/>
  <c r="X91" i="37"/>
  <c r="AE91" i="37"/>
  <c r="AR91" i="37"/>
  <c r="AO91" i="37"/>
  <c r="AC91" i="37"/>
  <c r="AH91" i="37"/>
  <c r="S91" i="37"/>
  <c r="AJ91" i="37"/>
  <c r="Q91" i="37"/>
  <c r="V91" i="37"/>
  <c r="AV91" i="37"/>
  <c r="P91" i="37"/>
  <c r="U91" i="37"/>
  <c r="AQ91" i="37"/>
  <c r="AA91" i="37"/>
  <c r="Z91" i="37"/>
  <c r="AT91" i="37"/>
  <c r="K91" i="37"/>
  <c r="AU91" i="37"/>
  <c r="AF91" i="37"/>
  <c r="N91" i="37"/>
  <c r="AS91" i="37"/>
  <c r="AD91" i="37"/>
  <c r="AK91" i="37"/>
  <c r="T91" i="37"/>
  <c r="Y91" i="37"/>
  <c r="AP91" i="37"/>
  <c r="AI91" i="37"/>
  <c r="J91" i="37"/>
  <c r="M91" i="37"/>
  <c r="AM92" i="37"/>
  <c r="AG92" i="37"/>
  <c r="W92" i="37"/>
  <c r="O92" i="37"/>
  <c r="B92" i="37"/>
  <c r="D92" i="37"/>
  <c r="AN92" i="37"/>
  <c r="AL92" i="37"/>
  <c r="AB92" i="37"/>
  <c r="R92" i="37"/>
  <c r="G92" i="37"/>
  <c r="F92" i="37"/>
  <c r="E92" i="37"/>
  <c r="C92" i="37"/>
  <c r="I92" i="37"/>
  <c r="H92" i="37"/>
  <c r="AM127" i="32"/>
  <c r="AN127" i="32"/>
  <c r="AL127" i="32"/>
  <c r="R127" i="32"/>
  <c r="P127" i="32"/>
  <c r="AQ127" i="32"/>
  <c r="D127" i="32"/>
  <c r="Q127" i="32"/>
  <c r="AS127" i="32"/>
  <c r="AU127" i="32"/>
  <c r="AV127" i="32"/>
  <c r="N127" i="32"/>
  <c r="AR127" i="32"/>
  <c r="AW127" i="32"/>
  <c r="AP127" i="32"/>
  <c r="AT127" i="32"/>
  <c r="AO127" i="32"/>
  <c r="F128" i="32"/>
  <c r="G128" i="32"/>
  <c r="I128" i="32"/>
  <c r="AY128" i="32"/>
  <c r="H128" i="32"/>
  <c r="B128" i="32"/>
  <c r="E128" i="32" s="1"/>
  <c r="G88" i="36"/>
  <c r="H88" i="36"/>
  <c r="F88" i="36"/>
  <c r="X88" i="36"/>
  <c r="AF88" i="36"/>
  <c r="AA88" i="36"/>
  <c r="AU88" i="36"/>
  <c r="Z88" i="36"/>
  <c r="V88" i="36"/>
  <c r="S88" i="36"/>
  <c r="AB88" i="36"/>
  <c r="AN88" i="36"/>
  <c r="L88" i="36"/>
  <c r="AK88" i="36"/>
  <c r="U88" i="36"/>
  <c r="AD88" i="36"/>
  <c r="AJ88" i="36"/>
  <c r="W88" i="36"/>
  <c r="AT88" i="36"/>
  <c r="AH88" i="36"/>
  <c r="AR88" i="36"/>
  <c r="AO88" i="36"/>
  <c r="M88" i="36"/>
  <c r="AP88" i="36"/>
  <c r="N88" i="36"/>
  <c r="AC88" i="36"/>
  <c r="P88" i="36"/>
  <c r="K88" i="36"/>
  <c r="AS88" i="36"/>
  <c r="R88" i="36"/>
  <c r="AI88" i="36"/>
  <c r="AQ88" i="36"/>
  <c r="AM88" i="36"/>
  <c r="AG88" i="36"/>
  <c r="AE88" i="36"/>
  <c r="Q88" i="36"/>
  <c r="AL88" i="36"/>
  <c r="T88" i="36"/>
  <c r="Y88" i="36"/>
  <c r="O88" i="36"/>
  <c r="C83" i="20"/>
  <c r="F83" i="20"/>
  <c r="B83" i="20"/>
  <c r="I83" i="20" s="1"/>
  <c r="G83" i="20"/>
  <c r="H83" i="20"/>
  <c r="B83" i="38"/>
  <c r="E83" i="38" s="1"/>
  <c r="G83" i="38"/>
  <c r="C83" i="38"/>
  <c r="H83" i="38"/>
  <c r="F83" i="38"/>
  <c r="I88" i="36"/>
  <c r="J88" i="36"/>
  <c r="D88" i="36"/>
  <c r="K85" i="20"/>
  <c r="L85" i="20" s="1"/>
  <c r="A84" i="20"/>
  <c r="AV91" i="36"/>
  <c r="AW91" i="36" s="1"/>
  <c r="A90" i="36"/>
  <c r="K85" i="38"/>
  <c r="L85" i="38" s="1"/>
  <c r="A84" i="38"/>
  <c r="C89" i="36"/>
  <c r="B89" i="36"/>
  <c r="I89" i="36" s="1"/>
  <c r="D97" i="19"/>
  <c r="J97" i="19"/>
  <c r="H97" i="19"/>
  <c r="F97" i="19"/>
  <c r="AD97" i="19"/>
  <c r="N97" i="19"/>
  <c r="AM97" i="19"/>
  <c r="AH97" i="19"/>
  <c r="AP97" i="19"/>
  <c r="V97" i="19"/>
  <c r="L97" i="19"/>
  <c r="U97" i="19"/>
  <c r="R97" i="19"/>
  <c r="AU97" i="19"/>
  <c r="AO97" i="19"/>
  <c r="S97" i="19"/>
  <c r="T97" i="19"/>
  <c r="W97" i="19"/>
  <c r="O97" i="19"/>
  <c r="X97" i="19"/>
  <c r="AB97" i="19"/>
  <c r="AQ97" i="19"/>
  <c r="AC97" i="19"/>
  <c r="AF97" i="19"/>
  <c r="M97" i="19"/>
  <c r="AT97" i="19"/>
  <c r="AE97" i="19"/>
  <c r="AL97" i="19"/>
  <c r="AA97" i="19"/>
  <c r="AK97" i="19"/>
  <c r="AI97" i="19"/>
  <c r="AR97" i="19"/>
  <c r="Y97" i="19"/>
  <c r="AN97" i="19"/>
  <c r="K97" i="19"/>
  <c r="AG97" i="19"/>
  <c r="Z97" i="19"/>
  <c r="Q97" i="19"/>
  <c r="AJ97" i="19"/>
  <c r="P97" i="19"/>
  <c r="AS97" i="19"/>
  <c r="G97" i="19"/>
  <c r="E97" i="19"/>
  <c r="A99" i="19"/>
  <c r="AV100" i="19"/>
  <c r="AW100" i="19" s="1"/>
  <c r="C98" i="19"/>
  <c r="B98" i="19"/>
  <c r="G98" i="19" s="1"/>
  <c r="S127" i="32" l="1"/>
  <c r="T127" i="32" s="1"/>
  <c r="U127" i="32" s="1"/>
  <c r="V127" i="32" s="1"/>
  <c r="AC127" i="32"/>
  <c r="AD127" i="32" s="1"/>
  <c r="AE127" i="32" s="1"/>
  <c r="AF127" i="32" s="1"/>
  <c r="X127" i="32"/>
  <c r="Y127" i="32" s="1"/>
  <c r="Z127" i="32" s="1"/>
  <c r="AA127" i="32" s="1"/>
  <c r="AH127" i="32"/>
  <c r="AI127" i="32" s="1"/>
  <c r="AJ127" i="32" s="1"/>
  <c r="AK127" i="32" s="1"/>
  <c r="AN93" i="37"/>
  <c r="AL93" i="37"/>
  <c r="AB93" i="37"/>
  <c r="R93" i="37"/>
  <c r="O93" i="37"/>
  <c r="F93" i="37"/>
  <c r="C93" i="37"/>
  <c r="AM93" i="37"/>
  <c r="AG93" i="37"/>
  <c r="W93" i="37"/>
  <c r="H93" i="37"/>
  <c r="B93" i="37"/>
  <c r="E93" i="37"/>
  <c r="G93" i="37"/>
  <c r="I93" i="37"/>
  <c r="D93" i="37"/>
  <c r="AK92" i="37"/>
  <c r="AP92" i="37"/>
  <c r="V92" i="37"/>
  <c r="AQ92" i="37"/>
  <c r="T92" i="37"/>
  <c r="U92" i="37"/>
  <c r="AO92" i="37"/>
  <c r="L92" i="37"/>
  <c r="Q92" i="37"/>
  <c r="P92" i="37"/>
  <c r="AU92" i="37"/>
  <c r="AC92" i="37"/>
  <c r="AS92" i="37"/>
  <c r="X92" i="37"/>
  <c r="AV92" i="37"/>
  <c r="AD92" i="37"/>
  <c r="AI92" i="37"/>
  <c r="AF92" i="37"/>
  <c r="N92" i="37"/>
  <c r="AA92" i="37"/>
  <c r="AH92" i="37"/>
  <c r="K92" i="37"/>
  <c r="AE92" i="37"/>
  <c r="AJ92" i="37"/>
  <c r="S92" i="37"/>
  <c r="Y92" i="37"/>
  <c r="AR92" i="37"/>
  <c r="Z92" i="37"/>
  <c r="AT92" i="37"/>
  <c r="J92" i="37"/>
  <c r="M92" i="37"/>
  <c r="AW95" i="37"/>
  <c r="AX95" i="37" s="1"/>
  <c r="A94" i="37"/>
  <c r="AX129" i="32"/>
  <c r="C128" i="32"/>
  <c r="E89" i="36"/>
  <c r="D89" i="36"/>
  <c r="D83" i="38"/>
  <c r="J89" i="36"/>
  <c r="F89" i="36"/>
  <c r="G89" i="36"/>
  <c r="I83" i="38"/>
  <c r="E83" i="20"/>
  <c r="H89" i="36"/>
  <c r="AB89" i="36"/>
  <c r="K89" i="36"/>
  <c r="AU89" i="36"/>
  <c r="AF89" i="36"/>
  <c r="Q89" i="36"/>
  <c r="AA89" i="36"/>
  <c r="AL89" i="36"/>
  <c r="AI89" i="36"/>
  <c r="R89" i="36"/>
  <c r="AN89" i="36"/>
  <c r="L89" i="36"/>
  <c r="O89" i="36"/>
  <c r="M89" i="36"/>
  <c r="N89" i="36"/>
  <c r="AC89" i="36"/>
  <c r="AE89" i="36"/>
  <c r="S89" i="36"/>
  <c r="AQ89" i="36"/>
  <c r="AD89" i="36"/>
  <c r="T89" i="36"/>
  <c r="Y89" i="36"/>
  <c r="Z89" i="36"/>
  <c r="AO89" i="36"/>
  <c r="W89" i="36"/>
  <c r="U89" i="36"/>
  <c r="AS89" i="36"/>
  <c r="AT89" i="36"/>
  <c r="AK89" i="36"/>
  <c r="AG89" i="36"/>
  <c r="V89" i="36"/>
  <c r="AJ89" i="36"/>
  <c r="AP89" i="36"/>
  <c r="P89" i="36"/>
  <c r="AM89" i="36"/>
  <c r="X89" i="36"/>
  <c r="AH89" i="36"/>
  <c r="AR89" i="36"/>
  <c r="C84" i="38"/>
  <c r="H84" i="38"/>
  <c r="F84" i="38"/>
  <c r="G84" i="38"/>
  <c r="B84" i="38"/>
  <c r="E84" i="38" s="1"/>
  <c r="B90" i="36"/>
  <c r="E90" i="36" s="1"/>
  <c r="C90" i="36"/>
  <c r="F84" i="20"/>
  <c r="H84" i="20"/>
  <c r="G84" i="20"/>
  <c r="B84" i="20"/>
  <c r="I84" i="20" s="1"/>
  <c r="C84" i="20"/>
  <c r="D83" i="20"/>
  <c r="K86" i="38"/>
  <c r="L86" i="38" s="1"/>
  <c r="A85" i="38"/>
  <c r="AV92" i="36"/>
  <c r="AW92" i="36" s="1"/>
  <c r="A91" i="36"/>
  <c r="K86" i="20"/>
  <c r="L86" i="20" s="1"/>
  <c r="A85" i="20"/>
  <c r="F98" i="19"/>
  <c r="D98" i="19"/>
  <c r="E98" i="19"/>
  <c r="AV101" i="19"/>
  <c r="AW101" i="19" s="1"/>
  <c r="A100" i="19"/>
  <c r="R98" i="19"/>
  <c r="AM98" i="19"/>
  <c r="AF98" i="19"/>
  <c r="Z98" i="19"/>
  <c r="L98" i="19"/>
  <c r="AI98" i="19"/>
  <c r="V98" i="19"/>
  <c r="AC98" i="19"/>
  <c r="AS98" i="19"/>
  <c r="AE98" i="19"/>
  <c r="Q98" i="19"/>
  <c r="AG98" i="19"/>
  <c r="AU98" i="19"/>
  <c r="AD98" i="19"/>
  <c r="AJ98" i="19"/>
  <c r="W98" i="19"/>
  <c r="AA98" i="19"/>
  <c r="AP98" i="19"/>
  <c r="AR98" i="19"/>
  <c r="P98" i="19"/>
  <c r="T98" i="19"/>
  <c r="X98" i="19"/>
  <c r="AN98" i="19"/>
  <c r="AT98" i="19"/>
  <c r="AQ98" i="19"/>
  <c r="M98" i="19"/>
  <c r="N98" i="19"/>
  <c r="S98" i="19"/>
  <c r="Y98" i="19"/>
  <c r="AO98" i="19"/>
  <c r="O98" i="19"/>
  <c r="K98" i="19"/>
  <c r="AL98" i="19"/>
  <c r="AK98" i="19"/>
  <c r="AH98" i="19"/>
  <c r="U98" i="19"/>
  <c r="AB98" i="19"/>
  <c r="H98" i="19"/>
  <c r="B99" i="19"/>
  <c r="I99" i="19" s="1"/>
  <c r="C99" i="19"/>
  <c r="J98" i="19"/>
  <c r="I98" i="19"/>
  <c r="AG128" i="32" l="1"/>
  <c r="W128" i="32"/>
  <c r="AB128" i="32"/>
  <c r="AW96" i="37"/>
  <c r="AX96" i="37" s="1"/>
  <c r="A95" i="37"/>
  <c r="H94" i="37"/>
  <c r="F94" i="37"/>
  <c r="C94" i="37"/>
  <c r="I94" i="37"/>
  <c r="B94" i="37"/>
  <c r="E94" i="37" s="1"/>
  <c r="G94" i="37"/>
  <c r="T93" i="37"/>
  <c r="AH93" i="37"/>
  <c r="P93" i="37"/>
  <c r="Z93" i="37"/>
  <c r="AQ93" i="37"/>
  <c r="K93" i="37"/>
  <c r="S93" i="37"/>
  <c r="AV93" i="37"/>
  <c r="AE93" i="37"/>
  <c r="AU93" i="37"/>
  <c r="U93" i="37"/>
  <c r="N93" i="37"/>
  <c r="AO93" i="37"/>
  <c r="Y93" i="37"/>
  <c r="AA93" i="37"/>
  <c r="AD93" i="37"/>
  <c r="AT93" i="37"/>
  <c r="AR93" i="37"/>
  <c r="V93" i="37"/>
  <c r="AP93" i="37"/>
  <c r="AJ93" i="37"/>
  <c r="AK93" i="37"/>
  <c r="AS93" i="37"/>
  <c r="L93" i="37"/>
  <c r="X93" i="37"/>
  <c r="AF93" i="37"/>
  <c r="AC93" i="37"/>
  <c r="AI93" i="37"/>
  <c r="Q93" i="37"/>
  <c r="M93" i="37"/>
  <c r="J93" i="37"/>
  <c r="AM128" i="32"/>
  <c r="AN128" i="32"/>
  <c r="AL128" i="32"/>
  <c r="R128" i="32"/>
  <c r="AV128" i="32"/>
  <c r="AP128" i="32"/>
  <c r="AR128" i="32"/>
  <c r="AW128" i="32"/>
  <c r="P128" i="32"/>
  <c r="N128" i="32"/>
  <c r="Q128" i="32"/>
  <c r="AQ128" i="32"/>
  <c r="AU128" i="32"/>
  <c r="AO128" i="32"/>
  <c r="AT128" i="32"/>
  <c r="AS128" i="32"/>
  <c r="D128" i="32"/>
  <c r="AY129" i="32"/>
  <c r="H129" i="32"/>
  <c r="B129" i="32"/>
  <c r="E129" i="32" s="1"/>
  <c r="F129" i="32"/>
  <c r="G129" i="32"/>
  <c r="I129" i="32"/>
  <c r="I90" i="36"/>
  <c r="D84" i="20"/>
  <c r="J90" i="36"/>
  <c r="G90" i="36"/>
  <c r="E84" i="20"/>
  <c r="F90" i="36"/>
  <c r="H90" i="36"/>
  <c r="D84" i="38"/>
  <c r="F85" i="20"/>
  <c r="H85" i="20"/>
  <c r="G85" i="20"/>
  <c r="C85" i="20"/>
  <c r="B85" i="20"/>
  <c r="D85" i="20" s="1"/>
  <c r="B91" i="36"/>
  <c r="H91" i="36" s="1"/>
  <c r="C91" i="36"/>
  <c r="F85" i="38"/>
  <c r="G85" i="38"/>
  <c r="H85" i="38"/>
  <c r="B85" i="38"/>
  <c r="D85" i="38" s="1"/>
  <c r="C85" i="38"/>
  <c r="D90" i="36"/>
  <c r="O90" i="36"/>
  <c r="AA90" i="36"/>
  <c r="AJ90" i="36"/>
  <c r="AB90" i="36"/>
  <c r="AM90" i="36"/>
  <c r="K90" i="36"/>
  <c r="AO90" i="36"/>
  <c r="AC90" i="36"/>
  <c r="Y90" i="36"/>
  <c r="AE90" i="36"/>
  <c r="Q90" i="36"/>
  <c r="L90" i="36"/>
  <c r="AG90" i="36"/>
  <c r="AP90" i="36"/>
  <c r="AT90" i="36"/>
  <c r="N90" i="36"/>
  <c r="AS90" i="36"/>
  <c r="Z90" i="36"/>
  <c r="R90" i="36"/>
  <c r="AK90" i="36"/>
  <c r="P90" i="36"/>
  <c r="S90" i="36"/>
  <c r="AD90" i="36"/>
  <c r="AF90" i="36"/>
  <c r="AL90" i="36"/>
  <c r="V90" i="36"/>
  <c r="X90" i="36"/>
  <c r="M90" i="36"/>
  <c r="AR90" i="36"/>
  <c r="W90" i="36"/>
  <c r="AH90" i="36"/>
  <c r="T90" i="36"/>
  <c r="AN90" i="36"/>
  <c r="U90" i="36"/>
  <c r="AI90" i="36"/>
  <c r="AU90" i="36"/>
  <c r="AQ90" i="36"/>
  <c r="I84" i="38"/>
  <c r="K87" i="20"/>
  <c r="L87" i="20" s="1"/>
  <c r="A86" i="20"/>
  <c r="AV93" i="36"/>
  <c r="AW93" i="36" s="1"/>
  <c r="A92" i="36"/>
  <c r="K87" i="38"/>
  <c r="L87" i="38" s="1"/>
  <c r="A86" i="38"/>
  <c r="F99" i="19"/>
  <c r="D99" i="19"/>
  <c r="E99" i="19"/>
  <c r="G99" i="19"/>
  <c r="H99" i="19"/>
  <c r="B100" i="19"/>
  <c r="H100" i="19" s="1"/>
  <c r="C100" i="19"/>
  <c r="AH99" i="19"/>
  <c r="R99" i="19"/>
  <c r="V99" i="19"/>
  <c r="AA99" i="19"/>
  <c r="AG99" i="19"/>
  <c r="AJ99" i="19"/>
  <c r="P99" i="19"/>
  <c r="L99" i="19"/>
  <c r="AT99" i="19"/>
  <c r="Z99" i="19"/>
  <c r="X99" i="19"/>
  <c r="W99" i="19"/>
  <c r="U99" i="19"/>
  <c r="AS99" i="19"/>
  <c r="Y99" i="19"/>
  <c r="M99" i="19"/>
  <c r="AB99" i="19"/>
  <c r="AE99" i="19"/>
  <c r="AI99" i="19"/>
  <c r="AR99" i="19"/>
  <c r="AF99" i="19"/>
  <c r="AL99" i="19"/>
  <c r="AP99" i="19"/>
  <c r="AQ99" i="19"/>
  <c r="AN99" i="19"/>
  <c r="O99" i="19"/>
  <c r="AC99" i="19"/>
  <c r="AO99" i="19"/>
  <c r="N99" i="19"/>
  <c r="AK99" i="19"/>
  <c r="AD99" i="19"/>
  <c r="T99" i="19"/>
  <c r="K99" i="19"/>
  <c r="Q99" i="19"/>
  <c r="AU99" i="19"/>
  <c r="AM99" i="19"/>
  <c r="S99" i="19"/>
  <c r="J99" i="19"/>
  <c r="A101" i="19"/>
  <c r="AV102" i="19"/>
  <c r="AW102" i="19" s="1"/>
  <c r="S128" i="32" l="1"/>
  <c r="T128" i="32" s="1"/>
  <c r="U128" i="32" s="1"/>
  <c r="V128" i="32" s="1"/>
  <c r="AC128" i="32"/>
  <c r="AD128" i="32" s="1"/>
  <c r="AE128" i="32" s="1"/>
  <c r="AF128" i="32" s="1"/>
  <c r="X128" i="32"/>
  <c r="Y128" i="32" s="1"/>
  <c r="Z128" i="32" s="1"/>
  <c r="AA128" i="32" s="1"/>
  <c r="AH128" i="32"/>
  <c r="AI128" i="32" s="1"/>
  <c r="AJ128" i="32" s="1"/>
  <c r="AK128" i="32" s="1"/>
  <c r="B95" i="37"/>
  <c r="E95" i="37" s="1"/>
  <c r="H95" i="37"/>
  <c r="I95" i="37"/>
  <c r="F95" i="37"/>
  <c r="G95" i="37"/>
  <c r="C95" i="37"/>
  <c r="O95" i="37" s="1"/>
  <c r="D94" i="37"/>
  <c r="Y94" i="37"/>
  <c r="AU94" i="37"/>
  <c r="T94" i="37"/>
  <c r="N94" i="37"/>
  <c r="AT94" i="37"/>
  <c r="L94" i="37"/>
  <c r="AS94" i="37"/>
  <c r="K94" i="37"/>
  <c r="AC94" i="37"/>
  <c r="AK94" i="37"/>
  <c r="AV94" i="37"/>
  <c r="AI94" i="37"/>
  <c r="AE94" i="37"/>
  <c r="AO94" i="37"/>
  <c r="U94" i="37"/>
  <c r="AQ94" i="37"/>
  <c r="V94" i="37"/>
  <c r="S94" i="37"/>
  <c r="AH94" i="37"/>
  <c r="P94" i="37"/>
  <c r="AD94" i="37"/>
  <c r="Z94" i="37"/>
  <c r="AA94" i="37"/>
  <c r="Q94" i="37"/>
  <c r="X94" i="37"/>
  <c r="AF94" i="37"/>
  <c r="AR94" i="37"/>
  <c r="AP94" i="37"/>
  <c r="AJ94" i="37"/>
  <c r="J94" i="37"/>
  <c r="M94" i="37"/>
  <c r="AW97" i="37"/>
  <c r="AX97" i="37" s="1"/>
  <c r="A96" i="37"/>
  <c r="AX130" i="32"/>
  <c r="C129" i="32"/>
  <c r="F91" i="36"/>
  <c r="I85" i="38"/>
  <c r="D91" i="36"/>
  <c r="E91" i="36"/>
  <c r="E85" i="20"/>
  <c r="G86" i="38"/>
  <c r="B86" i="38"/>
  <c r="D86" i="38" s="1"/>
  <c r="H86" i="38"/>
  <c r="C86" i="38"/>
  <c r="F86" i="38"/>
  <c r="C92" i="36"/>
  <c r="J92" i="36"/>
  <c r="D92" i="36"/>
  <c r="E92" i="36"/>
  <c r="F92" i="36"/>
  <c r="G92" i="36"/>
  <c r="I92" i="36"/>
  <c r="H92" i="36"/>
  <c r="B92" i="36"/>
  <c r="AQ91" i="36"/>
  <c r="AA91" i="36"/>
  <c r="W91" i="36"/>
  <c r="V91" i="36"/>
  <c r="AN91" i="36"/>
  <c r="T91" i="36"/>
  <c r="AO91" i="36"/>
  <c r="AH91" i="36"/>
  <c r="N91" i="36"/>
  <c r="R91" i="36"/>
  <c r="AM91" i="36"/>
  <c r="AU91" i="36"/>
  <c r="AF91" i="36"/>
  <c r="AT91" i="36"/>
  <c r="AR91" i="36"/>
  <c r="AI91" i="36"/>
  <c r="Q91" i="36"/>
  <c r="AE91" i="36"/>
  <c r="AG91" i="36"/>
  <c r="Z91" i="36"/>
  <c r="S91" i="36"/>
  <c r="AK91" i="36"/>
  <c r="AD91" i="36"/>
  <c r="AB91" i="36"/>
  <c r="M91" i="36"/>
  <c r="AC91" i="36"/>
  <c r="Y91" i="36"/>
  <c r="P91" i="36"/>
  <c r="AJ91" i="36"/>
  <c r="K91" i="36"/>
  <c r="U91" i="36"/>
  <c r="X91" i="36"/>
  <c r="AL91" i="36"/>
  <c r="AS91" i="36"/>
  <c r="L91" i="36"/>
  <c r="AP91" i="36"/>
  <c r="O91" i="36"/>
  <c r="K88" i="38"/>
  <c r="L88" i="38" s="1"/>
  <c r="A87" i="38"/>
  <c r="AV94" i="36"/>
  <c r="AW94" i="36" s="1"/>
  <c r="A93" i="36"/>
  <c r="K88" i="20"/>
  <c r="L88" i="20" s="1"/>
  <c r="A87" i="20"/>
  <c r="E85" i="38"/>
  <c r="I91" i="36"/>
  <c r="G91" i="36"/>
  <c r="J91" i="36"/>
  <c r="I85" i="20"/>
  <c r="H86" i="20"/>
  <c r="C86" i="20"/>
  <c r="B86" i="20"/>
  <c r="I86" i="20" s="1"/>
  <c r="G86" i="20"/>
  <c r="F86" i="20"/>
  <c r="E100" i="19"/>
  <c r="F100" i="19"/>
  <c r="I100" i="19"/>
  <c r="G100" i="19"/>
  <c r="D100" i="19"/>
  <c r="AV103" i="19"/>
  <c r="AW103" i="19" s="1"/>
  <c r="A102" i="19"/>
  <c r="B101" i="19"/>
  <c r="D101" i="19" s="1"/>
  <c r="C101" i="19"/>
  <c r="J100" i="19"/>
  <c r="AF100" i="19"/>
  <c r="T100" i="19"/>
  <c r="L100" i="19"/>
  <c r="S100" i="19"/>
  <c r="AI100" i="19"/>
  <c r="AR100" i="19"/>
  <c r="AQ100" i="19"/>
  <c r="U100" i="19"/>
  <c r="AL100" i="19"/>
  <c r="X100" i="19"/>
  <c r="Z100" i="19"/>
  <c r="O100" i="19"/>
  <c r="W100" i="19"/>
  <c r="AD100" i="19"/>
  <c r="Y100" i="19"/>
  <c r="V100" i="19"/>
  <c r="N100" i="19"/>
  <c r="P100" i="19"/>
  <c r="AP100" i="19"/>
  <c r="M100" i="19"/>
  <c r="AG100" i="19"/>
  <c r="AT100" i="19"/>
  <c r="AE100" i="19"/>
  <c r="AO100" i="19"/>
  <c r="AB100" i="19"/>
  <c r="AS100" i="19"/>
  <c r="AN100" i="19"/>
  <c r="AA100" i="19"/>
  <c r="AK100" i="19"/>
  <c r="AM100" i="19"/>
  <c r="AU100" i="19"/>
  <c r="K100" i="19"/>
  <c r="R100" i="19"/>
  <c r="AC100" i="19"/>
  <c r="Q100" i="19"/>
  <c r="AJ100" i="19"/>
  <c r="AH100" i="19"/>
  <c r="AG129" i="32" l="1"/>
  <c r="W129" i="32"/>
  <c r="AB129" i="32"/>
  <c r="AN95" i="37"/>
  <c r="AB95" i="37"/>
  <c r="AG95" i="37"/>
  <c r="AL95" i="37"/>
  <c r="W95" i="37"/>
  <c r="R95" i="37"/>
  <c r="AW98" i="37"/>
  <c r="AX98" i="37" s="1"/>
  <c r="A97" i="37"/>
  <c r="AM95" i="37"/>
  <c r="I96" i="37"/>
  <c r="B96" i="37"/>
  <c r="E96" i="37" s="1"/>
  <c r="C96" i="37"/>
  <c r="O96" i="37" s="1"/>
  <c r="G96" i="37"/>
  <c r="H96" i="37"/>
  <c r="F96" i="37"/>
  <c r="D95" i="37"/>
  <c r="Z95" i="37"/>
  <c r="AS95" i="37"/>
  <c r="P95" i="37"/>
  <c r="AV95" i="37"/>
  <c r="V95" i="37"/>
  <c r="L95" i="37"/>
  <c r="N95" i="37"/>
  <c r="K95" i="37"/>
  <c r="AP95" i="37"/>
  <c r="AK95" i="37"/>
  <c r="X95" i="37"/>
  <c r="AU95" i="37"/>
  <c r="AA95" i="37"/>
  <c r="AJ95" i="37"/>
  <c r="T95" i="37"/>
  <c r="S95" i="37"/>
  <c r="AF95" i="37"/>
  <c r="U95" i="37"/>
  <c r="AO95" i="37"/>
  <c r="Y95" i="37"/>
  <c r="AT95" i="37"/>
  <c r="AD95" i="37"/>
  <c r="AI95" i="37"/>
  <c r="AQ95" i="37"/>
  <c r="AC95" i="37"/>
  <c r="Q95" i="37"/>
  <c r="AE95" i="37"/>
  <c r="AH95" i="37"/>
  <c r="AR95" i="37"/>
  <c r="J95" i="37"/>
  <c r="M95" i="37"/>
  <c r="AM129" i="32"/>
  <c r="AN129" i="32"/>
  <c r="AL129" i="32"/>
  <c r="R129" i="32"/>
  <c r="F130" i="32"/>
  <c r="G130" i="32"/>
  <c r="B130" i="32"/>
  <c r="E130" i="32" s="1"/>
  <c r="AY130" i="32"/>
  <c r="I130" i="32"/>
  <c r="H130" i="32"/>
  <c r="AV129" i="32"/>
  <c r="Q129" i="32"/>
  <c r="AS129" i="32"/>
  <c r="AP129" i="32"/>
  <c r="N129" i="32"/>
  <c r="AO129" i="32"/>
  <c r="AU129" i="32"/>
  <c r="AR129" i="32"/>
  <c r="P129" i="32"/>
  <c r="AW129" i="32"/>
  <c r="D129" i="32"/>
  <c r="AQ129" i="32"/>
  <c r="AT129" i="32"/>
  <c r="E86" i="38"/>
  <c r="D86" i="20"/>
  <c r="E86" i="20"/>
  <c r="I86" i="38"/>
  <c r="A88" i="20"/>
  <c r="K89" i="20"/>
  <c r="L89" i="20" s="1"/>
  <c r="AV95" i="36"/>
  <c r="AW95" i="36" s="1"/>
  <c r="A94" i="36"/>
  <c r="K89" i="38"/>
  <c r="L89" i="38" s="1"/>
  <c r="A88" i="38"/>
  <c r="R92" i="36"/>
  <c r="L92" i="36"/>
  <c r="P92" i="36"/>
  <c r="AS92" i="36"/>
  <c r="AM92" i="36"/>
  <c r="AO92" i="36"/>
  <c r="O92" i="36"/>
  <c r="AH92" i="36"/>
  <c r="K92" i="36"/>
  <c r="U92" i="36"/>
  <c r="AG92" i="36"/>
  <c r="AL92" i="36"/>
  <c r="AK92" i="36"/>
  <c r="N92" i="36"/>
  <c r="V92" i="36"/>
  <c r="Q92" i="36"/>
  <c r="AP92" i="36"/>
  <c r="X92" i="36"/>
  <c r="AN92" i="36"/>
  <c r="AJ92" i="36"/>
  <c r="AT92" i="36"/>
  <c r="AI92" i="36"/>
  <c r="S92" i="36"/>
  <c r="Z92" i="36"/>
  <c r="AA92" i="36"/>
  <c r="AC92" i="36"/>
  <c r="AF92" i="36"/>
  <c r="AR92" i="36"/>
  <c r="Y92" i="36"/>
  <c r="AD92" i="36"/>
  <c r="AE92" i="36"/>
  <c r="T92" i="36"/>
  <c r="AB92" i="36"/>
  <c r="AU92" i="36"/>
  <c r="M92" i="36"/>
  <c r="W92" i="36"/>
  <c r="AQ92" i="36"/>
  <c r="G87" i="20"/>
  <c r="C87" i="20"/>
  <c r="B87" i="20"/>
  <c r="E87" i="20" s="1"/>
  <c r="F87" i="20"/>
  <c r="H87" i="20"/>
  <c r="J93" i="36"/>
  <c r="C93" i="36"/>
  <c r="G93" i="36"/>
  <c r="I93" i="36"/>
  <c r="H93" i="36"/>
  <c r="D93" i="36"/>
  <c r="E93" i="36"/>
  <c r="B93" i="36"/>
  <c r="F93" i="36"/>
  <c r="C87" i="38"/>
  <c r="G87" i="38"/>
  <c r="B87" i="38"/>
  <c r="I87" i="38" s="1"/>
  <c r="H87" i="38"/>
  <c r="F87" i="38"/>
  <c r="E101" i="19"/>
  <c r="I101" i="19"/>
  <c r="G101" i="19"/>
  <c r="F101" i="19"/>
  <c r="J101" i="19"/>
  <c r="H101" i="19"/>
  <c r="AD101" i="19"/>
  <c r="AT101" i="19"/>
  <c r="W101" i="19"/>
  <c r="Z101" i="19"/>
  <c r="AU101" i="19"/>
  <c r="AR101" i="19"/>
  <c r="AB101" i="19"/>
  <c r="P101" i="19"/>
  <c r="AN101" i="19"/>
  <c r="AE101" i="19"/>
  <c r="AO101" i="19"/>
  <c r="AG101" i="19"/>
  <c r="X101" i="19"/>
  <c r="AL101" i="19"/>
  <c r="L101" i="19"/>
  <c r="K101" i="19"/>
  <c r="AK101" i="19"/>
  <c r="AP101" i="19"/>
  <c r="AQ101" i="19"/>
  <c r="AJ101" i="19"/>
  <c r="AS101" i="19"/>
  <c r="Q101" i="19"/>
  <c r="Y101" i="19"/>
  <c r="U101" i="19"/>
  <c r="O101" i="19"/>
  <c r="V101" i="19"/>
  <c r="AF101" i="19"/>
  <c r="AC101" i="19"/>
  <c r="R101" i="19"/>
  <c r="S101" i="19"/>
  <c r="T101" i="19"/>
  <c r="AA101" i="19"/>
  <c r="AI101" i="19"/>
  <c r="N101" i="19"/>
  <c r="AM101" i="19"/>
  <c r="AH101" i="19"/>
  <c r="M101" i="19"/>
  <c r="E102" i="19"/>
  <c r="B102" i="19"/>
  <c r="J102" i="19"/>
  <c r="C102" i="19"/>
  <c r="F102" i="19"/>
  <c r="G102" i="19"/>
  <c r="H102" i="19"/>
  <c r="I102" i="19"/>
  <c r="D102" i="19"/>
  <c r="AV104" i="19"/>
  <c r="AW104" i="19" s="1"/>
  <c r="A103" i="19"/>
  <c r="D96" i="37" l="1"/>
  <c r="AC129" i="32"/>
  <c r="AD129" i="32" s="1"/>
  <c r="AE129" i="32" s="1"/>
  <c r="AF129" i="32" s="1"/>
  <c r="X129" i="32"/>
  <c r="Y129" i="32" s="1"/>
  <c r="Z129" i="32" s="1"/>
  <c r="AA129" i="32" s="1"/>
  <c r="S129" i="32"/>
  <c r="T129" i="32" s="1"/>
  <c r="U129" i="32" s="1"/>
  <c r="V129" i="32" s="1"/>
  <c r="AH129" i="32"/>
  <c r="AI129" i="32" s="1"/>
  <c r="AJ129" i="32" s="1"/>
  <c r="AK129" i="32" s="1"/>
  <c r="AG96" i="37"/>
  <c r="AN96" i="37"/>
  <c r="W96" i="37"/>
  <c r="AB96" i="37"/>
  <c r="AM96" i="37"/>
  <c r="AL96" i="37"/>
  <c r="R96" i="37"/>
  <c r="AS96" i="37"/>
  <c r="AC96" i="37"/>
  <c r="AV96" i="37"/>
  <c r="AU96" i="37"/>
  <c r="AI96" i="37"/>
  <c r="S96" i="37"/>
  <c r="AJ96" i="37"/>
  <c r="AK96" i="37"/>
  <c r="V96" i="37"/>
  <c r="AD96" i="37"/>
  <c r="X96" i="37"/>
  <c r="AR96" i="37"/>
  <c r="Z96" i="37"/>
  <c r="AP96" i="37"/>
  <c r="N96" i="37"/>
  <c r="P96" i="37"/>
  <c r="Q96" i="37"/>
  <c r="U96" i="37"/>
  <c r="AE96" i="37"/>
  <c r="AH96" i="37"/>
  <c r="K96" i="37"/>
  <c r="AF96" i="37"/>
  <c r="Y96" i="37"/>
  <c r="T96" i="37"/>
  <c r="L96" i="37"/>
  <c r="AT96" i="37"/>
  <c r="AQ96" i="37"/>
  <c r="AA96" i="37"/>
  <c r="AO96" i="37"/>
  <c r="J96" i="37"/>
  <c r="M96" i="37"/>
  <c r="F97" i="37"/>
  <c r="H97" i="37"/>
  <c r="B97" i="37"/>
  <c r="E97" i="37" s="1"/>
  <c r="I97" i="37"/>
  <c r="C97" i="37"/>
  <c r="AN97" i="37" s="1"/>
  <c r="G97" i="37"/>
  <c r="AW99" i="37"/>
  <c r="AX99" i="37" s="1"/>
  <c r="A98" i="37"/>
  <c r="AX131" i="32"/>
  <c r="C130" i="32"/>
  <c r="I87" i="20"/>
  <c r="D87" i="38"/>
  <c r="D87" i="20"/>
  <c r="O93" i="36"/>
  <c r="L93" i="36"/>
  <c r="AP93" i="36"/>
  <c r="AI93" i="36"/>
  <c r="M93" i="36"/>
  <c r="AA93" i="36"/>
  <c r="AU93" i="36"/>
  <c r="W93" i="36"/>
  <c r="AT93" i="36"/>
  <c r="U93" i="36"/>
  <c r="K93" i="36"/>
  <c r="T93" i="36"/>
  <c r="N93" i="36"/>
  <c r="AS93" i="36"/>
  <c r="AM93" i="36"/>
  <c r="AH93" i="36"/>
  <c r="AD93" i="36"/>
  <c r="AQ93" i="36"/>
  <c r="R93" i="36"/>
  <c r="V93" i="36"/>
  <c r="AR93" i="36"/>
  <c r="S93" i="36"/>
  <c r="P93" i="36"/>
  <c r="Q93" i="36"/>
  <c r="AK93" i="36"/>
  <c r="X93" i="36"/>
  <c r="AC93" i="36"/>
  <c r="AG93" i="36"/>
  <c r="AN93" i="36"/>
  <c r="AO93" i="36"/>
  <c r="AF93" i="36"/>
  <c r="AB93" i="36"/>
  <c r="Z93" i="36"/>
  <c r="Y93" i="36"/>
  <c r="AJ93" i="36"/>
  <c r="AL93" i="36"/>
  <c r="AE93" i="36"/>
  <c r="E88" i="38"/>
  <c r="D88" i="38"/>
  <c r="G88" i="38"/>
  <c r="F88" i="38"/>
  <c r="H88" i="38"/>
  <c r="C88" i="38"/>
  <c r="B88" i="38"/>
  <c r="I88" i="38"/>
  <c r="B94" i="36"/>
  <c r="J94" i="36" s="1"/>
  <c r="C94" i="36"/>
  <c r="K90" i="20"/>
  <c r="L90" i="20" s="1"/>
  <c r="A89" i="20"/>
  <c r="E87" i="38"/>
  <c r="K90" i="38"/>
  <c r="L90" i="38" s="1"/>
  <c r="A89" i="38"/>
  <c r="AV96" i="36"/>
  <c r="AW96" i="36" s="1"/>
  <c r="A95" i="36"/>
  <c r="E88" i="20"/>
  <c r="C88" i="20"/>
  <c r="F88" i="20"/>
  <c r="D88" i="20"/>
  <c r="G88" i="20"/>
  <c r="H88" i="20"/>
  <c r="B88" i="20"/>
  <c r="I88" i="20"/>
  <c r="AV105" i="19"/>
  <c r="AW105" i="19" s="1"/>
  <c r="A104" i="19"/>
  <c r="P102" i="19"/>
  <c r="N102" i="19"/>
  <c r="V102" i="19"/>
  <c r="X102" i="19"/>
  <c r="AJ102" i="19"/>
  <c r="AP102" i="19"/>
  <c r="AT102" i="19"/>
  <c r="AN102" i="19"/>
  <c r="AB102" i="19"/>
  <c r="AA102" i="19"/>
  <c r="AO102" i="19"/>
  <c r="L102" i="19"/>
  <c r="AK102" i="19"/>
  <c r="AU102" i="19"/>
  <c r="AH102" i="19"/>
  <c r="R102" i="19"/>
  <c r="AQ102" i="19"/>
  <c r="AR102" i="19"/>
  <c r="AM102" i="19"/>
  <c r="O102" i="19"/>
  <c r="K102" i="19"/>
  <c r="T102" i="19"/>
  <c r="AS102" i="19"/>
  <c r="AD102" i="19"/>
  <c r="Z102" i="19"/>
  <c r="AE102" i="19"/>
  <c r="M102" i="19"/>
  <c r="U102" i="19"/>
  <c r="AI102" i="19"/>
  <c r="AG102" i="19"/>
  <c r="AL102" i="19"/>
  <c r="AC102" i="19"/>
  <c r="Y102" i="19"/>
  <c r="AF102" i="19"/>
  <c r="S102" i="19"/>
  <c r="Q102" i="19"/>
  <c r="W102" i="19"/>
  <c r="C103" i="19"/>
  <c r="J103" i="19"/>
  <c r="F103" i="19"/>
  <c r="H103" i="19"/>
  <c r="G103" i="19"/>
  <c r="D103" i="19"/>
  <c r="E103" i="19"/>
  <c r="I103" i="19"/>
  <c r="B103" i="19"/>
  <c r="AG130" i="32" l="1"/>
  <c r="W130" i="32"/>
  <c r="AB130" i="32"/>
  <c r="O97" i="37"/>
  <c r="AM97" i="37"/>
  <c r="AB97" i="37"/>
  <c r="AL97" i="37"/>
  <c r="R97" i="37"/>
  <c r="AG97" i="37"/>
  <c r="W97" i="37"/>
  <c r="AW100" i="37"/>
  <c r="AX100" i="37" s="1"/>
  <c r="A99" i="37"/>
  <c r="D97" i="37"/>
  <c r="Y97" i="37"/>
  <c r="L97" i="37"/>
  <c r="AE97" i="37"/>
  <c r="AF97" i="37"/>
  <c r="AO97" i="37"/>
  <c r="AH97" i="37"/>
  <c r="AK97" i="37"/>
  <c r="AD97" i="37"/>
  <c r="AI97" i="37"/>
  <c r="AC97" i="37"/>
  <c r="AP97" i="37"/>
  <c r="P97" i="37"/>
  <c r="Z97" i="37"/>
  <c r="N97" i="37"/>
  <c r="AQ97" i="37"/>
  <c r="V97" i="37"/>
  <c r="AT97" i="37"/>
  <c r="AJ97" i="37"/>
  <c r="AV97" i="37"/>
  <c r="X97" i="37"/>
  <c r="S97" i="37"/>
  <c r="Q97" i="37"/>
  <c r="T97" i="37"/>
  <c r="AR97" i="37"/>
  <c r="U97" i="37"/>
  <c r="AS97" i="37"/>
  <c r="AA97" i="37"/>
  <c r="AU97" i="37"/>
  <c r="K97" i="37"/>
  <c r="J97" i="37"/>
  <c r="M97" i="37"/>
  <c r="H98" i="37"/>
  <c r="G98" i="37"/>
  <c r="C98" i="37"/>
  <c r="O98" i="37" s="1"/>
  <c r="B98" i="37"/>
  <c r="E98" i="37" s="1"/>
  <c r="I98" i="37"/>
  <c r="F98" i="37"/>
  <c r="AM130" i="32"/>
  <c r="AN130" i="32"/>
  <c r="AL130" i="32"/>
  <c r="R130" i="32"/>
  <c r="AU130" i="32"/>
  <c r="AV130" i="32"/>
  <c r="AR130" i="32"/>
  <c r="AQ130" i="32"/>
  <c r="AS130" i="32"/>
  <c r="AP130" i="32"/>
  <c r="Q130" i="32"/>
  <c r="AO130" i="32"/>
  <c r="AW130" i="32"/>
  <c r="N130" i="32"/>
  <c r="D130" i="32"/>
  <c r="P130" i="32"/>
  <c r="AT130" i="32"/>
  <c r="G131" i="32"/>
  <c r="AY131" i="32"/>
  <c r="H131" i="32"/>
  <c r="I131" i="32"/>
  <c r="F131" i="32"/>
  <c r="B131" i="32"/>
  <c r="E131" i="32" s="1"/>
  <c r="D94" i="36"/>
  <c r="G94" i="36"/>
  <c r="F94" i="36"/>
  <c r="I94" i="36"/>
  <c r="E94" i="36"/>
  <c r="H94" i="36"/>
  <c r="C95" i="36"/>
  <c r="B95" i="36"/>
  <c r="E95" i="36" s="1"/>
  <c r="G89" i="38"/>
  <c r="F89" i="38"/>
  <c r="C89" i="38"/>
  <c r="D89" i="38"/>
  <c r="E89" i="38"/>
  <c r="H89" i="38"/>
  <c r="I89" i="38"/>
  <c r="B89" i="38"/>
  <c r="K91" i="20"/>
  <c r="L91" i="20" s="1"/>
  <c r="A90" i="20"/>
  <c r="AV97" i="36"/>
  <c r="AW97" i="36" s="1"/>
  <c r="A96" i="36"/>
  <c r="K91" i="38"/>
  <c r="L91" i="38" s="1"/>
  <c r="A90" i="38"/>
  <c r="E89" i="20"/>
  <c r="I89" i="20"/>
  <c r="B89" i="20"/>
  <c r="D89" i="20"/>
  <c r="C89" i="20"/>
  <c r="H89" i="20"/>
  <c r="G89" i="20"/>
  <c r="F89" i="20"/>
  <c r="T94" i="36"/>
  <c r="AH94" i="36"/>
  <c r="AJ94" i="36"/>
  <c r="AC94" i="36"/>
  <c r="P94" i="36"/>
  <c r="Q94" i="36"/>
  <c r="V94" i="36"/>
  <c r="AL94" i="36"/>
  <c r="AD94" i="36"/>
  <c r="O94" i="36"/>
  <c r="AI94" i="36"/>
  <c r="AM94" i="36"/>
  <c r="AE94" i="36"/>
  <c r="Z94" i="36"/>
  <c r="AR94" i="36"/>
  <c r="AP94" i="36"/>
  <c r="K94" i="36"/>
  <c r="AT94" i="36"/>
  <c r="M94" i="36"/>
  <c r="N94" i="36"/>
  <c r="AK94" i="36"/>
  <c r="S94" i="36"/>
  <c r="W94" i="36"/>
  <c r="AA94" i="36"/>
  <c r="AQ94" i="36"/>
  <c r="X94" i="36"/>
  <c r="AO94" i="36"/>
  <c r="AG94" i="36"/>
  <c r="AU94" i="36"/>
  <c r="AB94" i="36"/>
  <c r="L94" i="36"/>
  <c r="Y94" i="36"/>
  <c r="AN94" i="36"/>
  <c r="U94" i="36"/>
  <c r="AF94" i="36"/>
  <c r="AS94" i="36"/>
  <c r="R94" i="36"/>
  <c r="AO103" i="19"/>
  <c r="AC103" i="19"/>
  <c r="Y103" i="19"/>
  <c r="AF103" i="19"/>
  <c r="U103" i="19"/>
  <c r="V103" i="19"/>
  <c r="AR103" i="19"/>
  <c r="AQ103" i="19"/>
  <c r="AN103" i="19"/>
  <c r="W103" i="19"/>
  <c r="AI103" i="19"/>
  <c r="O103" i="19"/>
  <c r="AL103" i="19"/>
  <c r="R103" i="19"/>
  <c r="AM103" i="19"/>
  <c r="AU103" i="19"/>
  <c r="S103" i="19"/>
  <c r="K103" i="19"/>
  <c r="AG103" i="19"/>
  <c r="L103" i="19"/>
  <c r="AS103" i="19"/>
  <c r="AD103" i="19"/>
  <c r="AJ103" i="19"/>
  <c r="AH103" i="19"/>
  <c r="M103" i="19"/>
  <c r="Q103" i="19"/>
  <c r="AT103" i="19"/>
  <c r="AB103" i="19"/>
  <c r="P103" i="19"/>
  <c r="AK103" i="19"/>
  <c r="AA103" i="19"/>
  <c r="X103" i="19"/>
  <c r="AP103" i="19"/>
  <c r="AE103" i="19"/>
  <c r="N103" i="19"/>
  <c r="T103" i="19"/>
  <c r="Z103" i="19"/>
  <c r="C104" i="19"/>
  <c r="B104" i="19"/>
  <c r="D104" i="19" s="1"/>
  <c r="AV106" i="19"/>
  <c r="AW106" i="19" s="1"/>
  <c r="A105" i="19"/>
  <c r="S130" i="32" l="1"/>
  <c r="T130" i="32" s="1"/>
  <c r="U130" i="32" s="1"/>
  <c r="V130" i="32" s="1"/>
  <c r="AC130" i="32"/>
  <c r="AD130" i="32" s="1"/>
  <c r="AE130" i="32" s="1"/>
  <c r="AF130" i="32" s="1"/>
  <c r="X130" i="32"/>
  <c r="Y130" i="32" s="1"/>
  <c r="Z130" i="32" s="1"/>
  <c r="AA130" i="32" s="1"/>
  <c r="AH130" i="32"/>
  <c r="AI130" i="32" s="1"/>
  <c r="AJ130" i="32" s="1"/>
  <c r="AK130" i="32" s="1"/>
  <c r="D98" i="37"/>
  <c r="AG98" i="37"/>
  <c r="AN98" i="37"/>
  <c r="W98" i="37"/>
  <c r="AB98" i="37"/>
  <c r="AM98" i="37"/>
  <c r="AL98" i="37"/>
  <c r="R98" i="37"/>
  <c r="F99" i="37"/>
  <c r="B99" i="37"/>
  <c r="E99" i="37" s="1"/>
  <c r="I99" i="37"/>
  <c r="G99" i="37"/>
  <c r="C99" i="37"/>
  <c r="AG99" i="37" s="1"/>
  <c r="H99" i="37"/>
  <c r="AU98" i="37"/>
  <c r="AQ98" i="37"/>
  <c r="P98" i="37"/>
  <c r="AD98" i="37"/>
  <c r="T98" i="37"/>
  <c r="L98" i="37"/>
  <c r="U98" i="37"/>
  <c r="AJ98" i="37"/>
  <c r="AS98" i="37"/>
  <c r="AA98" i="37"/>
  <c r="S98" i="37"/>
  <c r="AC98" i="37"/>
  <c r="Q98" i="37"/>
  <c r="AK98" i="37"/>
  <c r="V98" i="37"/>
  <c r="Z98" i="37"/>
  <c r="AO98" i="37"/>
  <c r="X98" i="37"/>
  <c r="AF98" i="37"/>
  <c r="N98" i="37"/>
  <c r="Y98" i="37"/>
  <c r="AI98" i="37"/>
  <c r="AE98" i="37"/>
  <c r="AH98" i="37"/>
  <c r="AP98" i="37"/>
  <c r="K98" i="37"/>
  <c r="AT98" i="37"/>
  <c r="AV98" i="37"/>
  <c r="AR98" i="37"/>
  <c r="J98" i="37"/>
  <c r="M98" i="37"/>
  <c r="AW101" i="37"/>
  <c r="AX101" i="37" s="1"/>
  <c r="A100" i="37"/>
  <c r="AX132" i="32"/>
  <c r="C131" i="32"/>
  <c r="H95" i="36"/>
  <c r="D95" i="36"/>
  <c r="G95" i="36"/>
  <c r="I95" i="36"/>
  <c r="J95" i="36"/>
  <c r="B90" i="38"/>
  <c r="D90" i="38" s="1"/>
  <c r="G90" i="38"/>
  <c r="H90" i="38"/>
  <c r="F90" i="38"/>
  <c r="C90" i="38"/>
  <c r="C96" i="36"/>
  <c r="B96" i="36"/>
  <c r="D96" i="36" s="1"/>
  <c r="H90" i="20"/>
  <c r="G90" i="20"/>
  <c r="F90" i="20"/>
  <c r="C90" i="20"/>
  <c r="B90" i="20"/>
  <c r="I90" i="20" s="1"/>
  <c r="F95" i="36"/>
  <c r="AD95" i="36"/>
  <c r="AQ95" i="36"/>
  <c r="AF95" i="36"/>
  <c r="Y95" i="36"/>
  <c r="AO95" i="36"/>
  <c r="AR95" i="36"/>
  <c r="U95" i="36"/>
  <c r="M95" i="36"/>
  <c r="AS95" i="36"/>
  <c r="S95" i="36"/>
  <c r="N95" i="36"/>
  <c r="AG95" i="36"/>
  <c r="AC95" i="36"/>
  <c r="AI95" i="36"/>
  <c r="AE95" i="36"/>
  <c r="AJ95" i="36"/>
  <c r="R95" i="36"/>
  <c r="P95" i="36"/>
  <c r="X95" i="36"/>
  <c r="W95" i="36"/>
  <c r="AU95" i="36"/>
  <c r="AA95" i="36"/>
  <c r="AM95" i="36"/>
  <c r="K95" i="36"/>
  <c r="Z95" i="36"/>
  <c r="AH95" i="36"/>
  <c r="AN95" i="36"/>
  <c r="AB95" i="36"/>
  <c r="AP95" i="36"/>
  <c r="AT95" i="36"/>
  <c r="V95" i="36"/>
  <c r="Q95" i="36"/>
  <c r="AL95" i="36"/>
  <c r="AK95" i="36"/>
  <c r="T95" i="36"/>
  <c r="L95" i="36"/>
  <c r="O95" i="36"/>
  <c r="K92" i="38"/>
  <c r="L92" i="38" s="1"/>
  <c r="A91" i="38"/>
  <c r="AV98" i="36"/>
  <c r="AW98" i="36" s="1"/>
  <c r="A97" i="36"/>
  <c r="K92" i="20"/>
  <c r="L92" i="20" s="1"/>
  <c r="A91" i="20"/>
  <c r="F104" i="19"/>
  <c r="I104" i="19"/>
  <c r="E104" i="19"/>
  <c r="B105" i="19"/>
  <c r="F105" i="19" s="1"/>
  <c r="C105" i="19"/>
  <c r="J104" i="19"/>
  <c r="A106" i="19"/>
  <c r="AV107" i="19"/>
  <c r="AW107" i="19" s="1"/>
  <c r="G104" i="19"/>
  <c r="H104" i="19"/>
  <c r="AD104" i="19"/>
  <c r="AT104" i="19"/>
  <c r="N104" i="19"/>
  <c r="Q104" i="19"/>
  <c r="W104" i="19"/>
  <c r="AJ104" i="19"/>
  <c r="AM104" i="19"/>
  <c r="S104" i="19"/>
  <c r="O104" i="19"/>
  <c r="L104" i="19"/>
  <c r="R104" i="19"/>
  <c r="V104" i="19"/>
  <c r="T104" i="19"/>
  <c r="P104" i="19"/>
  <c r="K104" i="19"/>
  <c r="AA104" i="19"/>
  <c r="AB104" i="19"/>
  <c r="Z104" i="19"/>
  <c r="U104" i="19"/>
  <c r="M104" i="19"/>
  <c r="AH104" i="19"/>
  <c r="AQ104" i="19"/>
  <c r="AI104" i="19"/>
  <c r="AC104" i="19"/>
  <c r="AF104" i="19"/>
  <c r="AR104" i="19"/>
  <c r="AN104" i="19"/>
  <c r="AP104" i="19"/>
  <c r="X104" i="19"/>
  <c r="AS104" i="19"/>
  <c r="AG104" i="19"/>
  <c r="AO104" i="19"/>
  <c r="Y104" i="19"/>
  <c r="AL104" i="19"/>
  <c r="AK104" i="19"/>
  <c r="AE104" i="19"/>
  <c r="AU104" i="19"/>
  <c r="O99" i="37" l="1"/>
  <c r="AG131" i="32"/>
  <c r="W131" i="32"/>
  <c r="AB131" i="32"/>
  <c r="AL99" i="37"/>
  <c r="R99" i="37"/>
  <c r="W99" i="37"/>
  <c r="AM99" i="37"/>
  <c r="AB99" i="37"/>
  <c r="AN99" i="37"/>
  <c r="AW102" i="37"/>
  <c r="AX102" i="37" s="1"/>
  <c r="A101" i="37"/>
  <c r="AM100" i="37"/>
  <c r="AG100" i="37"/>
  <c r="W100" i="37"/>
  <c r="O100" i="37"/>
  <c r="AN100" i="37"/>
  <c r="AL100" i="37"/>
  <c r="AB100" i="37"/>
  <c r="R100" i="37"/>
  <c r="G100" i="37"/>
  <c r="C100" i="37"/>
  <c r="F100" i="37"/>
  <c r="H100" i="37"/>
  <c r="B100" i="37"/>
  <c r="I100" i="37"/>
  <c r="D100" i="37"/>
  <c r="E100" i="37"/>
  <c r="D99" i="37"/>
  <c r="AO99" i="37"/>
  <c r="AR99" i="37"/>
  <c r="AE99" i="37"/>
  <c r="AK99" i="37"/>
  <c r="AV99" i="37"/>
  <c r="AS99" i="37"/>
  <c r="AF99" i="37"/>
  <c r="AA99" i="37"/>
  <c r="S99" i="37"/>
  <c r="U99" i="37"/>
  <c r="X99" i="37"/>
  <c r="N99" i="37"/>
  <c r="AQ99" i="37"/>
  <c r="AT99" i="37"/>
  <c r="AD99" i="37"/>
  <c r="T99" i="37"/>
  <c r="V99" i="37"/>
  <c r="AC99" i="37"/>
  <c r="AJ99" i="37"/>
  <c r="AU99" i="37"/>
  <c r="P99" i="37"/>
  <c r="Y99" i="37"/>
  <c r="Q99" i="37"/>
  <c r="AH99" i="37"/>
  <c r="K99" i="37"/>
  <c r="AP99" i="37"/>
  <c r="Z99" i="37"/>
  <c r="L99" i="37"/>
  <c r="AI99" i="37"/>
  <c r="J99" i="37"/>
  <c r="M99" i="37"/>
  <c r="AM131" i="32"/>
  <c r="AN131" i="32"/>
  <c r="AL131" i="32"/>
  <c r="R131" i="32"/>
  <c r="AO131" i="32"/>
  <c r="AS131" i="32"/>
  <c r="N131" i="32"/>
  <c r="AW131" i="32"/>
  <c r="AU131" i="32"/>
  <c r="AT131" i="32"/>
  <c r="AP131" i="32"/>
  <c r="Q131" i="32"/>
  <c r="D131" i="32"/>
  <c r="AV131" i="32"/>
  <c r="P131" i="32"/>
  <c r="AR131" i="32"/>
  <c r="AQ131" i="32"/>
  <c r="G132" i="32"/>
  <c r="B132" i="32"/>
  <c r="E132" i="32" s="1"/>
  <c r="I132" i="32"/>
  <c r="F132" i="32"/>
  <c r="AY132" i="32"/>
  <c r="H132" i="32"/>
  <c r="I96" i="36"/>
  <c r="E90" i="20"/>
  <c r="E96" i="36"/>
  <c r="G96" i="36"/>
  <c r="D90" i="20"/>
  <c r="J96" i="36"/>
  <c r="F96" i="36"/>
  <c r="H96" i="36"/>
  <c r="I90" i="38"/>
  <c r="AV99" i="36"/>
  <c r="AW99" i="36" s="1"/>
  <c r="A98" i="36"/>
  <c r="C91" i="20"/>
  <c r="B91" i="20"/>
  <c r="E91" i="20" s="1"/>
  <c r="G91" i="20"/>
  <c r="H91" i="20"/>
  <c r="F91" i="20"/>
  <c r="C97" i="36"/>
  <c r="H97" i="36"/>
  <c r="F97" i="36"/>
  <c r="D97" i="36"/>
  <c r="E97" i="36"/>
  <c r="J97" i="36"/>
  <c r="B97" i="36"/>
  <c r="G97" i="36"/>
  <c r="I97" i="36"/>
  <c r="H91" i="38"/>
  <c r="F91" i="38"/>
  <c r="G91" i="38"/>
  <c r="C91" i="38"/>
  <c r="B91" i="38"/>
  <c r="E91" i="38" s="1"/>
  <c r="AH96" i="36"/>
  <c r="T96" i="36"/>
  <c r="M96" i="36"/>
  <c r="AO96" i="36"/>
  <c r="AU96" i="36"/>
  <c r="AR96" i="36"/>
  <c r="AM96" i="36"/>
  <c r="Q96" i="36"/>
  <c r="AT96" i="36"/>
  <c r="W96" i="36"/>
  <c r="S96" i="36"/>
  <c r="AI96" i="36"/>
  <c r="L96" i="36"/>
  <c r="X96" i="36"/>
  <c r="AG96" i="36"/>
  <c r="AP96" i="36"/>
  <c r="V96" i="36"/>
  <c r="AB96" i="36"/>
  <c r="O96" i="36"/>
  <c r="AD96" i="36"/>
  <c r="K96" i="36"/>
  <c r="AF96" i="36"/>
  <c r="AC96" i="36"/>
  <c r="U96" i="36"/>
  <c r="N96" i="36"/>
  <c r="Z96" i="36"/>
  <c r="AE96" i="36"/>
  <c r="AK96" i="36"/>
  <c r="AA96" i="36"/>
  <c r="AS96" i="36"/>
  <c r="AJ96" i="36"/>
  <c r="AN96" i="36"/>
  <c r="Y96" i="36"/>
  <c r="P96" i="36"/>
  <c r="AL96" i="36"/>
  <c r="R96" i="36"/>
  <c r="AQ96" i="36"/>
  <c r="E90" i="38"/>
  <c r="K93" i="20"/>
  <c r="L93" i="20" s="1"/>
  <c r="A92" i="20"/>
  <c r="K93" i="38"/>
  <c r="L93" i="38" s="1"/>
  <c r="A92" i="38"/>
  <c r="D105" i="19"/>
  <c r="H105" i="19"/>
  <c r="E105" i="19"/>
  <c r="I105" i="19"/>
  <c r="J105" i="19"/>
  <c r="A107" i="19"/>
  <c r="AV108" i="19"/>
  <c r="AW108" i="19" s="1"/>
  <c r="C106" i="19"/>
  <c r="B106" i="19"/>
  <c r="E106" i="19" s="1"/>
  <c r="G105" i="19"/>
  <c r="AT105" i="19"/>
  <c r="P105" i="19"/>
  <c r="AP105" i="19"/>
  <c r="AL105" i="19"/>
  <c r="AM105" i="19"/>
  <c r="M105" i="19"/>
  <c r="AH105" i="19"/>
  <c r="V105" i="19"/>
  <c r="S105" i="19"/>
  <c r="O105" i="19"/>
  <c r="AU105" i="19"/>
  <c r="R105" i="19"/>
  <c r="T105" i="19"/>
  <c r="L105" i="19"/>
  <c r="AF105" i="19"/>
  <c r="AB105" i="19"/>
  <c r="N105" i="19"/>
  <c r="Z105" i="19"/>
  <c r="Q105" i="19"/>
  <c r="AS105" i="19"/>
  <c r="AC105" i="19"/>
  <c r="AI105" i="19"/>
  <c r="K105" i="19"/>
  <c r="AN105" i="19"/>
  <c r="AK105" i="19"/>
  <c r="AR105" i="19"/>
  <c r="AO105" i="19"/>
  <c r="U105" i="19"/>
  <c r="AQ105" i="19"/>
  <c r="W105" i="19"/>
  <c r="X105" i="19"/>
  <c r="Y105" i="19"/>
  <c r="AJ105" i="19"/>
  <c r="AG105" i="19"/>
  <c r="AE105" i="19"/>
  <c r="AA105" i="19"/>
  <c r="AD105" i="19"/>
  <c r="AC131" i="32" l="1"/>
  <c r="AD131" i="32" s="1"/>
  <c r="AE131" i="32" s="1"/>
  <c r="AF131" i="32" s="1"/>
  <c r="S131" i="32"/>
  <c r="T131" i="32" s="1"/>
  <c r="U131" i="32" s="1"/>
  <c r="V131" i="32" s="1"/>
  <c r="X131" i="32"/>
  <c r="Y131" i="32" s="1"/>
  <c r="Z131" i="32" s="1"/>
  <c r="AA131" i="32" s="1"/>
  <c r="AH131" i="32"/>
  <c r="AI131" i="32" s="1"/>
  <c r="AJ131" i="32" s="1"/>
  <c r="AK131" i="32" s="1"/>
  <c r="AV100" i="37"/>
  <c r="Q100" i="37"/>
  <c r="AS100" i="37"/>
  <c r="Z100" i="37"/>
  <c r="AA100" i="37"/>
  <c r="AJ100" i="37"/>
  <c r="T100" i="37"/>
  <c r="AF100" i="37"/>
  <c r="AI100" i="37"/>
  <c r="AU100" i="37"/>
  <c r="U100" i="37"/>
  <c r="Y100" i="37"/>
  <c r="AE100" i="37"/>
  <c r="AO100" i="37"/>
  <c r="S100" i="37"/>
  <c r="K100" i="37"/>
  <c r="L100" i="37"/>
  <c r="AH100" i="37"/>
  <c r="AT100" i="37"/>
  <c r="AP100" i="37"/>
  <c r="AK100" i="37"/>
  <c r="N100" i="37"/>
  <c r="AQ100" i="37"/>
  <c r="P100" i="37"/>
  <c r="AD100" i="37"/>
  <c r="V100" i="37"/>
  <c r="X100" i="37"/>
  <c r="AC100" i="37"/>
  <c r="AR100" i="37"/>
  <c r="J100" i="37"/>
  <c r="M100" i="37"/>
  <c r="AN101" i="37"/>
  <c r="AL101" i="37"/>
  <c r="W101" i="37"/>
  <c r="O101" i="37"/>
  <c r="H101" i="37"/>
  <c r="E101" i="37"/>
  <c r="G101" i="37"/>
  <c r="I101" i="37"/>
  <c r="B101" i="37"/>
  <c r="AM101" i="37"/>
  <c r="AG101" i="37"/>
  <c r="AB101" i="37"/>
  <c r="R101" i="37"/>
  <c r="C101" i="37"/>
  <c r="F101" i="37"/>
  <c r="D101" i="37"/>
  <c r="AW103" i="37"/>
  <c r="AX103" i="37" s="1"/>
  <c r="A102" i="37"/>
  <c r="AX133" i="32"/>
  <c r="C132" i="32"/>
  <c r="D91" i="20"/>
  <c r="D91" i="38"/>
  <c r="I91" i="20"/>
  <c r="F92" i="38"/>
  <c r="H92" i="38"/>
  <c r="B92" i="38"/>
  <c r="D92" i="38" s="1"/>
  <c r="C92" i="38"/>
  <c r="G92" i="38"/>
  <c r="F92" i="20"/>
  <c r="C92" i="20"/>
  <c r="B92" i="20"/>
  <c r="E92" i="20" s="1"/>
  <c r="G92" i="20"/>
  <c r="H92" i="20"/>
  <c r="I91" i="38"/>
  <c r="AB97" i="36"/>
  <c r="AP97" i="36"/>
  <c r="AA97" i="36"/>
  <c r="V97" i="36"/>
  <c r="W97" i="36"/>
  <c r="AF97" i="36"/>
  <c r="M97" i="36"/>
  <c r="AT97" i="36"/>
  <c r="AR97" i="36"/>
  <c r="P97" i="36"/>
  <c r="N97" i="36"/>
  <c r="AO97" i="36"/>
  <c r="K97" i="36"/>
  <c r="AE97" i="36"/>
  <c r="X97" i="36"/>
  <c r="AI97" i="36"/>
  <c r="AU97" i="36"/>
  <c r="AQ97" i="36"/>
  <c r="AC97" i="36"/>
  <c r="Y97" i="36"/>
  <c r="Z97" i="36"/>
  <c r="Q97" i="36"/>
  <c r="T97" i="36"/>
  <c r="AM97" i="36"/>
  <c r="O97" i="36"/>
  <c r="R97" i="36"/>
  <c r="L97" i="36"/>
  <c r="U97" i="36"/>
  <c r="AN97" i="36"/>
  <c r="S97" i="36"/>
  <c r="AS97" i="36"/>
  <c r="AG97" i="36"/>
  <c r="AK97" i="36"/>
  <c r="AH97" i="36"/>
  <c r="AJ97" i="36"/>
  <c r="AD97" i="36"/>
  <c r="AL97" i="36"/>
  <c r="J98" i="36"/>
  <c r="H98" i="36"/>
  <c r="G98" i="36"/>
  <c r="D98" i="36"/>
  <c r="I98" i="36"/>
  <c r="C98" i="36"/>
  <c r="F98" i="36"/>
  <c r="B98" i="36"/>
  <c r="E98" i="36"/>
  <c r="K94" i="38"/>
  <c r="L94" i="38" s="1"/>
  <c r="A93" i="38"/>
  <c r="K94" i="20"/>
  <c r="L94" i="20" s="1"/>
  <c r="A93" i="20"/>
  <c r="AV100" i="36"/>
  <c r="AW100" i="36" s="1"/>
  <c r="A99" i="36"/>
  <c r="J106" i="19"/>
  <c r="F106" i="19"/>
  <c r="D106" i="19"/>
  <c r="H106" i="19"/>
  <c r="G106" i="19"/>
  <c r="I106" i="19"/>
  <c r="AE106" i="19"/>
  <c r="Q106" i="19"/>
  <c r="Y106" i="19"/>
  <c r="R106" i="19"/>
  <c r="U106" i="19"/>
  <c r="N106" i="19"/>
  <c r="AA106" i="19"/>
  <c r="AO106" i="19"/>
  <c r="AT106" i="19"/>
  <c r="Z106" i="19"/>
  <c r="X106" i="19"/>
  <c r="V106" i="19"/>
  <c r="P106" i="19"/>
  <c r="AJ106" i="19"/>
  <c r="S106" i="19"/>
  <c r="W106" i="19"/>
  <c r="AK106" i="19"/>
  <c r="AI106" i="19"/>
  <c r="L106" i="19"/>
  <c r="AQ106" i="19"/>
  <c r="AL106" i="19"/>
  <c r="AH106" i="19"/>
  <c r="AB106" i="19"/>
  <c r="AM106" i="19"/>
  <c r="AR106" i="19"/>
  <c r="AD106" i="19"/>
  <c r="AC106" i="19"/>
  <c r="O106" i="19"/>
  <c r="AG106" i="19"/>
  <c r="M106" i="19"/>
  <c r="AS106" i="19"/>
  <c r="AP106" i="19"/>
  <c r="AU106" i="19"/>
  <c r="T106" i="19"/>
  <c r="AF106" i="19"/>
  <c r="K106" i="19"/>
  <c r="AN106" i="19"/>
  <c r="AV109" i="19"/>
  <c r="AW109" i="19" s="1"/>
  <c r="A108" i="19"/>
  <c r="E107" i="19"/>
  <c r="J107" i="19"/>
  <c r="G107" i="19"/>
  <c r="C107" i="19"/>
  <c r="B107" i="19"/>
  <c r="D107" i="19"/>
  <c r="H107" i="19"/>
  <c r="I107" i="19"/>
  <c r="F107" i="19"/>
  <c r="AG132" i="32" l="1"/>
  <c r="W132" i="32"/>
  <c r="AB132" i="32"/>
  <c r="AW104" i="37"/>
  <c r="AX104" i="37" s="1"/>
  <c r="A103" i="37"/>
  <c r="H102" i="37"/>
  <c r="I102" i="37"/>
  <c r="F102" i="37"/>
  <c r="G102" i="37"/>
  <c r="B102" i="37"/>
  <c r="E102" i="37" s="1"/>
  <c r="C102" i="37"/>
  <c r="O102" i="37" s="1"/>
  <c r="AC101" i="37"/>
  <c r="AV101" i="37"/>
  <c r="S101" i="37"/>
  <c r="AT101" i="37"/>
  <c r="AH101" i="37"/>
  <c r="Y101" i="37"/>
  <c r="K101" i="37"/>
  <c r="AR101" i="37"/>
  <c r="AA101" i="37"/>
  <c r="AD101" i="37"/>
  <c r="X101" i="37"/>
  <c r="Z101" i="37"/>
  <c r="L101" i="37"/>
  <c r="AS101" i="37"/>
  <c r="N101" i="37"/>
  <c r="AI101" i="37"/>
  <c r="AO101" i="37"/>
  <c r="V101" i="37"/>
  <c r="AF101" i="37"/>
  <c r="AQ101" i="37"/>
  <c r="AJ101" i="37"/>
  <c r="AE101" i="37"/>
  <c r="U101" i="37"/>
  <c r="Q101" i="37"/>
  <c r="T101" i="37"/>
  <c r="AU101" i="37"/>
  <c r="P101" i="37"/>
  <c r="AK101" i="37"/>
  <c r="AP101" i="37"/>
  <c r="M101" i="37"/>
  <c r="J101" i="37"/>
  <c r="AM132" i="32"/>
  <c r="AN132" i="32"/>
  <c r="AL132" i="32"/>
  <c r="R132" i="32"/>
  <c r="AP132" i="32"/>
  <c r="AQ132" i="32"/>
  <c r="P132" i="32"/>
  <c r="AS132" i="32"/>
  <c r="AV132" i="32"/>
  <c r="N132" i="32"/>
  <c r="AR132" i="32"/>
  <c r="D132" i="32"/>
  <c r="AO132" i="32"/>
  <c r="AU132" i="32"/>
  <c r="Q132" i="32"/>
  <c r="AW132" i="32"/>
  <c r="AT132" i="32"/>
  <c r="AI133" i="32"/>
  <c r="K133" i="32"/>
  <c r="AV133" i="32"/>
  <c r="O133" i="32"/>
  <c r="AW133" i="32"/>
  <c r="AH133" i="32"/>
  <c r="Y133" i="32"/>
  <c r="W133" i="32"/>
  <c r="AY133" i="32"/>
  <c r="AX134" i="32" s="1"/>
  <c r="Z133" i="32"/>
  <c r="Q133" i="32"/>
  <c r="AU133" i="32"/>
  <c r="AO133" i="32"/>
  <c r="AE133" i="32"/>
  <c r="AS133" i="32"/>
  <c r="AF133" i="32"/>
  <c r="AQ133" i="32"/>
  <c r="V133" i="32"/>
  <c r="N133" i="32"/>
  <c r="AK133" i="32"/>
  <c r="L133" i="32"/>
  <c r="AR133" i="32"/>
  <c r="S133" i="32"/>
  <c r="X133" i="32"/>
  <c r="AM133" i="32"/>
  <c r="R133" i="32"/>
  <c r="AG133" i="32"/>
  <c r="AN133" i="32"/>
  <c r="AP133" i="32"/>
  <c r="AD133" i="32"/>
  <c r="T133" i="32"/>
  <c r="AA133" i="32"/>
  <c r="U133" i="32"/>
  <c r="AT133" i="32"/>
  <c r="AC133" i="32"/>
  <c r="P133" i="32"/>
  <c r="AJ133" i="32"/>
  <c r="AL133" i="32"/>
  <c r="AB133" i="32"/>
  <c r="M133" i="32"/>
  <c r="D92" i="20"/>
  <c r="I92" i="20"/>
  <c r="E92" i="38"/>
  <c r="C99" i="36"/>
  <c r="B99" i="36"/>
  <c r="E99" i="36" s="1"/>
  <c r="H93" i="20"/>
  <c r="D93" i="20"/>
  <c r="C93" i="20"/>
  <c r="I93" i="20"/>
  <c r="G93" i="20"/>
  <c r="F93" i="20"/>
  <c r="B93" i="20"/>
  <c r="E93" i="20"/>
  <c r="I93" i="38"/>
  <c r="C93" i="38"/>
  <c r="E93" i="38"/>
  <c r="B93" i="38"/>
  <c r="G93" i="38"/>
  <c r="D93" i="38"/>
  <c r="H93" i="38"/>
  <c r="F93" i="38"/>
  <c r="I92" i="38"/>
  <c r="AV101" i="36"/>
  <c r="AW101" i="36" s="1"/>
  <c r="A100" i="36"/>
  <c r="K95" i="20"/>
  <c r="L95" i="20" s="1"/>
  <c r="A94" i="20"/>
  <c r="K95" i="38"/>
  <c r="L95" i="38" s="1"/>
  <c r="A94" i="38"/>
  <c r="U98" i="36"/>
  <c r="AJ98" i="36"/>
  <c r="AI98" i="36"/>
  <c r="Z98" i="36"/>
  <c r="AS98" i="36"/>
  <c r="K98" i="36"/>
  <c r="L98" i="36"/>
  <c r="AN98" i="36"/>
  <c r="AQ98" i="36"/>
  <c r="W98" i="36"/>
  <c r="X98" i="36"/>
  <c r="AT98" i="36"/>
  <c r="AU98" i="36"/>
  <c r="AO98" i="36"/>
  <c r="AB98" i="36"/>
  <c r="AC98" i="36"/>
  <c r="P98" i="36"/>
  <c r="AF98" i="36"/>
  <c r="T98" i="36"/>
  <c r="N98" i="36"/>
  <c r="AR98" i="36"/>
  <c r="Q98" i="36"/>
  <c r="AM98" i="36"/>
  <c r="AH98" i="36"/>
  <c r="AE98" i="36"/>
  <c r="V98" i="36"/>
  <c r="AA98" i="36"/>
  <c r="AP98" i="36"/>
  <c r="Y98" i="36"/>
  <c r="AK98" i="36"/>
  <c r="O98" i="36"/>
  <c r="S98" i="36"/>
  <c r="R98" i="36"/>
  <c r="AD98" i="36"/>
  <c r="AL98" i="36"/>
  <c r="AG98" i="36"/>
  <c r="M98" i="36"/>
  <c r="I108" i="19"/>
  <c r="J108" i="19"/>
  <c r="E108" i="19"/>
  <c r="H108" i="19"/>
  <c r="D108" i="19"/>
  <c r="B108" i="19"/>
  <c r="C108" i="19"/>
  <c r="G108" i="19"/>
  <c r="F108" i="19"/>
  <c r="AL107" i="19"/>
  <c r="K107" i="19"/>
  <c r="T107" i="19"/>
  <c r="AA107" i="19"/>
  <c r="AT107" i="19"/>
  <c r="S107" i="19"/>
  <c r="AC107" i="19"/>
  <c r="AH107" i="19"/>
  <c r="AJ107" i="19"/>
  <c r="AR107" i="19"/>
  <c r="AQ107" i="19"/>
  <c r="W107" i="19"/>
  <c r="R107" i="19"/>
  <c r="AP107" i="19"/>
  <c r="L107" i="19"/>
  <c r="Z107" i="19"/>
  <c r="AM107" i="19"/>
  <c r="Y107" i="19"/>
  <c r="P107" i="19"/>
  <c r="AI107" i="19"/>
  <c r="AO107" i="19"/>
  <c r="AU107" i="19"/>
  <c r="Q107" i="19"/>
  <c r="AD107" i="19"/>
  <c r="AF107" i="19"/>
  <c r="AN107" i="19"/>
  <c r="V107" i="19"/>
  <c r="AE107" i="19"/>
  <c r="U107" i="19"/>
  <c r="X107" i="19"/>
  <c r="AK107" i="19"/>
  <c r="M107" i="19"/>
  <c r="N107" i="19"/>
  <c r="O107" i="19"/>
  <c r="AB107" i="19"/>
  <c r="AS107" i="19"/>
  <c r="AG107" i="19"/>
  <c r="AV110" i="19"/>
  <c r="AW110" i="19" s="1"/>
  <c r="A109" i="19"/>
  <c r="AC132" i="32" l="1"/>
  <c r="AD132" i="32" s="1"/>
  <c r="AE132" i="32" s="1"/>
  <c r="AF132" i="32" s="1"/>
  <c r="S132" i="32"/>
  <c r="T132" i="32" s="1"/>
  <c r="U132" i="32" s="1"/>
  <c r="V132" i="32" s="1"/>
  <c r="X132" i="32"/>
  <c r="Y132" i="32" s="1"/>
  <c r="Z132" i="32" s="1"/>
  <c r="AA132" i="32" s="1"/>
  <c r="AH132" i="32"/>
  <c r="AI132" i="32" s="1"/>
  <c r="AJ132" i="32" s="1"/>
  <c r="AK132" i="32" s="1"/>
  <c r="AB102" i="37"/>
  <c r="W102" i="37"/>
  <c r="AG102" i="37"/>
  <c r="AL102" i="37"/>
  <c r="AM102" i="37"/>
  <c r="AN102" i="37"/>
  <c r="R102" i="37"/>
  <c r="D102" i="37"/>
  <c r="AT102" i="37"/>
  <c r="AR102" i="37"/>
  <c r="AS102" i="37"/>
  <c r="Y102" i="37"/>
  <c r="AD102" i="37"/>
  <c r="AJ102" i="37"/>
  <c r="X102" i="37"/>
  <c r="U102" i="37"/>
  <c r="AQ102" i="37"/>
  <c r="Z102" i="37"/>
  <c r="Q102" i="37"/>
  <c r="V102" i="37"/>
  <c r="AU102" i="37"/>
  <c r="AO102" i="37"/>
  <c r="AK102" i="37"/>
  <c r="P102" i="37"/>
  <c r="AP102" i="37"/>
  <c r="T102" i="37"/>
  <c r="AE102" i="37"/>
  <c r="AH102" i="37"/>
  <c r="N102" i="37"/>
  <c r="S102" i="37"/>
  <c r="L102" i="37"/>
  <c r="AA102" i="37"/>
  <c r="K102" i="37"/>
  <c r="AC102" i="37"/>
  <c r="AF102" i="37"/>
  <c r="AV102" i="37"/>
  <c r="AI102" i="37"/>
  <c r="J102" i="37"/>
  <c r="M102" i="37"/>
  <c r="H103" i="37"/>
  <c r="G103" i="37"/>
  <c r="C103" i="37"/>
  <c r="O103" i="37" s="1"/>
  <c r="B103" i="37"/>
  <c r="E103" i="37" s="1"/>
  <c r="F103" i="37"/>
  <c r="I103" i="37"/>
  <c r="AW105" i="37"/>
  <c r="AX105" i="37" s="1"/>
  <c r="A104" i="37"/>
  <c r="AY134" i="32"/>
  <c r="AF134" i="32"/>
  <c r="V134" i="32"/>
  <c r="AK134" i="32"/>
  <c r="AC134" i="32"/>
  <c r="AV134" i="32"/>
  <c r="K134" i="32"/>
  <c r="AJ134" i="32"/>
  <c r="AP134" i="32"/>
  <c r="AT134" i="32"/>
  <c r="S134" i="32"/>
  <c r="X134" i="32"/>
  <c r="AU134" i="32"/>
  <c r="N134" i="32"/>
  <c r="AA134" i="32"/>
  <c r="AD134" i="32"/>
  <c r="AN134" i="32"/>
  <c r="AG134" i="32"/>
  <c r="AL134" i="32"/>
  <c r="R134" i="32"/>
  <c r="Q134" i="32"/>
  <c r="P134" i="32"/>
  <c r="AR134" i="32"/>
  <c r="O134" i="32"/>
  <c r="AS134" i="32"/>
  <c r="Z134" i="32"/>
  <c r="AI134" i="32"/>
  <c r="Y134" i="32"/>
  <c r="AQ134" i="32"/>
  <c r="L134" i="32"/>
  <c r="U134" i="32"/>
  <c r="T134" i="32"/>
  <c r="AO134" i="32"/>
  <c r="AE134" i="32"/>
  <c r="AW134" i="32"/>
  <c r="AH134" i="32"/>
  <c r="AM134" i="32"/>
  <c r="W134" i="32"/>
  <c r="M134" i="32"/>
  <c r="AB134" i="32"/>
  <c r="J99" i="36"/>
  <c r="D99" i="36"/>
  <c r="I99" i="36"/>
  <c r="F99" i="36"/>
  <c r="H99" i="36"/>
  <c r="K96" i="38"/>
  <c r="L96" i="38" s="1"/>
  <c r="A95" i="38"/>
  <c r="K96" i="20"/>
  <c r="L96" i="20" s="1"/>
  <c r="A95" i="20"/>
  <c r="AV102" i="36"/>
  <c r="AW102" i="36" s="1"/>
  <c r="A101" i="36"/>
  <c r="G99" i="36"/>
  <c r="AC99" i="36"/>
  <c r="AA99" i="36"/>
  <c r="U99" i="36"/>
  <c r="P99" i="36"/>
  <c r="AS99" i="36"/>
  <c r="AF99" i="36"/>
  <c r="AL99" i="36"/>
  <c r="R99" i="36"/>
  <c r="W99" i="36"/>
  <c r="AI99" i="36"/>
  <c r="AD99" i="36"/>
  <c r="AE99" i="36"/>
  <c r="AO99" i="36"/>
  <c r="N99" i="36"/>
  <c r="X99" i="36"/>
  <c r="AR99" i="36"/>
  <c r="AU99" i="36"/>
  <c r="K99" i="36"/>
  <c r="Y99" i="36"/>
  <c r="AT99" i="36"/>
  <c r="M99" i="36"/>
  <c r="AM99" i="36"/>
  <c r="AQ99" i="36"/>
  <c r="AB99" i="36"/>
  <c r="Q99" i="36"/>
  <c r="L99" i="36"/>
  <c r="T99" i="36"/>
  <c r="AN99" i="36"/>
  <c r="AP99" i="36"/>
  <c r="AJ99" i="36"/>
  <c r="V99" i="36"/>
  <c r="AK99" i="36"/>
  <c r="S99" i="36"/>
  <c r="AH99" i="36"/>
  <c r="O99" i="36"/>
  <c r="Z99" i="36"/>
  <c r="AG99" i="36"/>
  <c r="F94" i="38"/>
  <c r="H94" i="38"/>
  <c r="I94" i="38"/>
  <c r="C94" i="38"/>
  <c r="E94" i="38"/>
  <c r="B94" i="38"/>
  <c r="G94" i="38"/>
  <c r="D94" i="38"/>
  <c r="D94" i="20"/>
  <c r="H94" i="20"/>
  <c r="G94" i="20"/>
  <c r="C94" i="20"/>
  <c r="B94" i="20"/>
  <c r="F94" i="20"/>
  <c r="I94" i="20"/>
  <c r="E94" i="20"/>
  <c r="C100" i="36"/>
  <c r="B100" i="36"/>
  <c r="G100" i="36" s="1"/>
  <c r="O108" i="19"/>
  <c r="U108" i="19"/>
  <c r="AQ108" i="19"/>
  <c r="S108" i="19"/>
  <c r="AI108" i="19"/>
  <c r="AK108" i="19"/>
  <c r="P108" i="19"/>
  <c r="V108" i="19"/>
  <c r="AA108" i="19"/>
  <c r="AN108" i="19"/>
  <c r="M108" i="19"/>
  <c r="Q108" i="19"/>
  <c r="AD108" i="19"/>
  <c r="T108" i="19"/>
  <c r="L108" i="19"/>
  <c r="Y108" i="19"/>
  <c r="AS108" i="19"/>
  <c r="W108" i="19"/>
  <c r="X108" i="19"/>
  <c r="AB108" i="19"/>
  <c r="AJ108" i="19"/>
  <c r="AF108" i="19"/>
  <c r="AT108" i="19"/>
  <c r="AC108" i="19"/>
  <c r="N108" i="19"/>
  <c r="AG108" i="19"/>
  <c r="R108" i="19"/>
  <c r="AO108" i="19"/>
  <c r="AP108" i="19"/>
  <c r="AL108" i="19"/>
  <c r="AM108" i="19"/>
  <c r="AE108" i="19"/>
  <c r="K108" i="19"/>
  <c r="AH108" i="19"/>
  <c r="AR108" i="19"/>
  <c r="Z108" i="19"/>
  <c r="AU108" i="19"/>
  <c r="A110" i="19"/>
  <c r="AV111" i="19"/>
  <c r="AW111" i="19" s="1"/>
  <c r="C109" i="19"/>
  <c r="B109" i="19"/>
  <c r="I109" i="19" s="1"/>
  <c r="D103" i="37" l="1"/>
  <c r="AG103" i="37"/>
  <c r="AM103" i="37"/>
  <c r="AL103" i="37"/>
  <c r="AN103" i="37"/>
  <c r="R103" i="37"/>
  <c r="W103" i="37"/>
  <c r="AB103" i="37"/>
  <c r="AW106" i="37"/>
  <c r="AX106" i="37" s="1"/>
  <c r="A105" i="37"/>
  <c r="AN104" i="37"/>
  <c r="AL104" i="37"/>
  <c r="AB104" i="37"/>
  <c r="R104" i="37"/>
  <c r="C104" i="37"/>
  <c r="G104" i="37"/>
  <c r="AM104" i="37"/>
  <c r="AG104" i="37"/>
  <c r="W104" i="37"/>
  <c r="O104" i="37"/>
  <c r="F104" i="37"/>
  <c r="H104" i="37"/>
  <c r="D104" i="37"/>
  <c r="E104" i="37"/>
  <c r="B104" i="37"/>
  <c r="I104" i="37"/>
  <c r="AO103" i="37"/>
  <c r="V103" i="37"/>
  <c r="Q103" i="37"/>
  <c r="AR103" i="37"/>
  <c r="AA103" i="37"/>
  <c r="AV103" i="37"/>
  <c r="N103" i="37"/>
  <c r="X103" i="37"/>
  <c r="AI103" i="37"/>
  <c r="S103" i="37"/>
  <c r="U103" i="37"/>
  <c r="AE103" i="37"/>
  <c r="Z103" i="37"/>
  <c r="AD103" i="37"/>
  <c r="Y103" i="37"/>
  <c r="AT103" i="37"/>
  <c r="AK103" i="37"/>
  <c r="AQ103" i="37"/>
  <c r="AF103" i="37"/>
  <c r="AS103" i="37"/>
  <c r="AC103" i="37"/>
  <c r="AP103" i="37"/>
  <c r="L103" i="37"/>
  <c r="T103" i="37"/>
  <c r="P103" i="37"/>
  <c r="AU103" i="37"/>
  <c r="AJ103" i="37"/>
  <c r="AH103" i="37"/>
  <c r="K103" i="37"/>
  <c r="J103" i="37"/>
  <c r="M103" i="37"/>
  <c r="I100" i="36"/>
  <c r="H100" i="36"/>
  <c r="D100" i="36"/>
  <c r="E100" i="36"/>
  <c r="J100" i="36"/>
  <c r="F100" i="36"/>
  <c r="AU100" i="36"/>
  <c r="M100" i="36"/>
  <c r="L100" i="36"/>
  <c r="AM100" i="36"/>
  <c r="AS100" i="36"/>
  <c r="AL100" i="36"/>
  <c r="AJ100" i="36"/>
  <c r="AB100" i="36"/>
  <c r="U100" i="36"/>
  <c r="O100" i="36"/>
  <c r="X100" i="36"/>
  <c r="AD100" i="36"/>
  <c r="AR100" i="36"/>
  <c r="AQ100" i="36"/>
  <c r="AK100" i="36"/>
  <c r="T100" i="36"/>
  <c r="Z100" i="36"/>
  <c r="V100" i="36"/>
  <c r="AE100" i="36"/>
  <c r="Y100" i="36"/>
  <c r="AH100" i="36"/>
  <c r="P100" i="36"/>
  <c r="W100" i="36"/>
  <c r="AN100" i="36"/>
  <c r="AA100" i="36"/>
  <c r="AG100" i="36"/>
  <c r="AO100" i="36"/>
  <c r="AT100" i="36"/>
  <c r="R100" i="36"/>
  <c r="AC100" i="36"/>
  <c r="AP100" i="36"/>
  <c r="Q100" i="36"/>
  <c r="AF100" i="36"/>
  <c r="N100" i="36"/>
  <c r="S100" i="36"/>
  <c r="K100" i="36"/>
  <c r="AI100" i="36"/>
  <c r="C101" i="36"/>
  <c r="B101" i="36"/>
  <c r="D101" i="36" s="1"/>
  <c r="C95" i="20"/>
  <c r="F95" i="20"/>
  <c r="B95" i="20"/>
  <c r="D95" i="20" s="1"/>
  <c r="G95" i="20"/>
  <c r="H95" i="20"/>
  <c r="H95" i="38"/>
  <c r="B95" i="38"/>
  <c r="D95" i="38" s="1"/>
  <c r="G95" i="38"/>
  <c r="C95" i="38"/>
  <c r="F95" i="38"/>
  <c r="AV103" i="36"/>
  <c r="AW103" i="36" s="1"/>
  <c r="A102" i="36"/>
  <c r="K97" i="20"/>
  <c r="L97" i="20" s="1"/>
  <c r="A96" i="20"/>
  <c r="K97" i="38"/>
  <c r="L97" i="38" s="1"/>
  <c r="A96" i="38"/>
  <c r="D109" i="19"/>
  <c r="E109" i="19"/>
  <c r="H109" i="19"/>
  <c r="J109" i="19"/>
  <c r="G109" i="19"/>
  <c r="AP109" i="19"/>
  <c r="AH109" i="19"/>
  <c r="K109" i="19"/>
  <c r="AL109" i="19"/>
  <c r="S109" i="19"/>
  <c r="U109" i="19"/>
  <c r="AG109" i="19"/>
  <c r="AR109" i="19"/>
  <c r="Q109" i="19"/>
  <c r="Y109" i="19"/>
  <c r="R109" i="19"/>
  <c r="AU109" i="19"/>
  <c r="AF109" i="19"/>
  <c r="AA109" i="19"/>
  <c r="AQ109" i="19"/>
  <c r="AK109" i="19"/>
  <c r="AN109" i="19"/>
  <c r="AJ109" i="19"/>
  <c r="AI109" i="19"/>
  <c r="T109" i="19"/>
  <c r="AM109" i="19"/>
  <c r="P109" i="19"/>
  <c r="AO109" i="19"/>
  <c r="AD109" i="19"/>
  <c r="AS109" i="19"/>
  <c r="X109" i="19"/>
  <c r="W109" i="19"/>
  <c r="N109" i="19"/>
  <c r="AB109" i="19"/>
  <c r="AE109" i="19"/>
  <c r="AT109" i="19"/>
  <c r="Z109" i="19"/>
  <c r="M109" i="19"/>
  <c r="AC109" i="19"/>
  <c r="L109" i="19"/>
  <c r="V109" i="19"/>
  <c r="O109" i="19"/>
  <c r="B110" i="19"/>
  <c r="D110" i="19" s="1"/>
  <c r="C110" i="19"/>
  <c r="F109" i="19"/>
  <c r="AV112" i="19"/>
  <c r="AW112" i="19" s="1"/>
  <c r="A111" i="19"/>
  <c r="AN105" i="37" l="1"/>
  <c r="AL105" i="37"/>
  <c r="W105" i="37"/>
  <c r="O105" i="37"/>
  <c r="G105" i="37"/>
  <c r="I105" i="37"/>
  <c r="F105" i="37"/>
  <c r="B105" i="37"/>
  <c r="C105" i="37"/>
  <c r="H105" i="37"/>
  <c r="D105" i="37"/>
  <c r="AM105" i="37"/>
  <c r="AG105" i="37"/>
  <c r="AB105" i="37"/>
  <c r="R105" i="37"/>
  <c r="E105" i="37"/>
  <c r="K104" i="37"/>
  <c r="U104" i="37"/>
  <c r="N104" i="37"/>
  <c r="P104" i="37"/>
  <c r="AC104" i="37"/>
  <c r="AI104" i="37"/>
  <c r="AV104" i="37"/>
  <c r="AT104" i="37"/>
  <c r="AO104" i="37"/>
  <c r="X104" i="37"/>
  <c r="AK104" i="37"/>
  <c r="AU104" i="37"/>
  <c r="AH104" i="37"/>
  <c r="Z104" i="37"/>
  <c r="Q104" i="37"/>
  <c r="AP104" i="37"/>
  <c r="S104" i="37"/>
  <c r="V104" i="37"/>
  <c r="L104" i="37"/>
  <c r="T104" i="37"/>
  <c r="Y104" i="37"/>
  <c r="AD104" i="37"/>
  <c r="AE104" i="37"/>
  <c r="AS104" i="37"/>
  <c r="AJ104" i="37"/>
  <c r="AR104" i="37"/>
  <c r="AA104" i="37"/>
  <c r="AQ104" i="37"/>
  <c r="AF104" i="37"/>
  <c r="J104" i="37"/>
  <c r="M104" i="37"/>
  <c r="AW107" i="37"/>
  <c r="AX107" i="37" s="1"/>
  <c r="A106" i="37"/>
  <c r="E95" i="38"/>
  <c r="G101" i="36"/>
  <c r="I95" i="20"/>
  <c r="F101" i="36"/>
  <c r="E101" i="36"/>
  <c r="I95" i="38"/>
  <c r="E95" i="20"/>
  <c r="H101" i="36"/>
  <c r="I101" i="36"/>
  <c r="J101" i="36"/>
  <c r="K98" i="38"/>
  <c r="L98" i="38" s="1"/>
  <c r="A97" i="38"/>
  <c r="K98" i="20"/>
  <c r="L98" i="20" s="1"/>
  <c r="A97" i="20"/>
  <c r="AV104" i="36"/>
  <c r="AW104" i="36" s="1"/>
  <c r="A103" i="36"/>
  <c r="AI101" i="36"/>
  <c r="V101" i="36"/>
  <c r="AT101" i="36"/>
  <c r="Q101" i="36"/>
  <c r="AF101" i="36"/>
  <c r="AR101" i="36"/>
  <c r="P101" i="36"/>
  <c r="AL101" i="36"/>
  <c r="AJ101" i="36"/>
  <c r="AK101" i="36"/>
  <c r="X101" i="36"/>
  <c r="K101" i="36"/>
  <c r="AA101" i="36"/>
  <c r="Z101" i="36"/>
  <c r="AG101" i="36"/>
  <c r="AB101" i="36"/>
  <c r="T101" i="36"/>
  <c r="AU101" i="36"/>
  <c r="Y101" i="36"/>
  <c r="AM101" i="36"/>
  <c r="AN101" i="36"/>
  <c r="AP101" i="36"/>
  <c r="AD101" i="36"/>
  <c r="R101" i="36"/>
  <c r="AC101" i="36"/>
  <c r="AO101" i="36"/>
  <c r="AH101" i="36"/>
  <c r="U101" i="36"/>
  <c r="AQ101" i="36"/>
  <c r="AS101" i="36"/>
  <c r="L101" i="36"/>
  <c r="M101" i="36"/>
  <c r="O101" i="36"/>
  <c r="AE101" i="36"/>
  <c r="N101" i="36"/>
  <c r="S101" i="36"/>
  <c r="W101" i="36"/>
  <c r="H96" i="38"/>
  <c r="F96" i="38"/>
  <c r="B96" i="38"/>
  <c r="E96" i="38" s="1"/>
  <c r="C96" i="38"/>
  <c r="G96" i="38"/>
  <c r="B96" i="20"/>
  <c r="D96" i="20" s="1"/>
  <c r="C96" i="20"/>
  <c r="H96" i="20"/>
  <c r="G96" i="20"/>
  <c r="F96" i="20"/>
  <c r="B102" i="36"/>
  <c r="I102" i="36" s="1"/>
  <c r="C102" i="36"/>
  <c r="J110" i="19"/>
  <c r="G110" i="19"/>
  <c r="H110" i="19"/>
  <c r="A112" i="19"/>
  <c r="AV113" i="19"/>
  <c r="AW113" i="19" s="1"/>
  <c r="E110" i="19"/>
  <c r="F110" i="19"/>
  <c r="AP110" i="19"/>
  <c r="Y110" i="19"/>
  <c r="AA110" i="19"/>
  <c r="R110" i="19"/>
  <c r="S110" i="19"/>
  <c r="AB110" i="19"/>
  <c r="AJ110" i="19"/>
  <c r="K110" i="19"/>
  <c r="X110" i="19"/>
  <c r="AO110" i="19"/>
  <c r="U110" i="19"/>
  <c r="AQ110" i="19"/>
  <c r="AC110" i="19"/>
  <c r="N110" i="19"/>
  <c r="AR110" i="19"/>
  <c r="P110" i="19"/>
  <c r="AD110" i="19"/>
  <c r="AN110" i="19"/>
  <c r="AH110" i="19"/>
  <c r="AK110" i="19"/>
  <c r="O110" i="19"/>
  <c r="Q110" i="19"/>
  <c r="W110" i="19"/>
  <c r="AS110" i="19"/>
  <c r="AU110" i="19"/>
  <c r="V110" i="19"/>
  <c r="AM110" i="19"/>
  <c r="T110" i="19"/>
  <c r="AT110" i="19"/>
  <c r="AE110" i="19"/>
  <c r="Z110" i="19"/>
  <c r="AL110" i="19"/>
  <c r="AF110" i="19"/>
  <c r="AG110" i="19"/>
  <c r="M110" i="19"/>
  <c r="AI110" i="19"/>
  <c r="L110" i="19"/>
  <c r="I110" i="19"/>
  <c r="C111" i="19"/>
  <c r="B111" i="19"/>
  <c r="I111" i="19" s="1"/>
  <c r="AW108" i="37" l="1"/>
  <c r="AX108" i="37" s="1"/>
  <c r="A107" i="37"/>
  <c r="B106" i="37"/>
  <c r="E106" i="37" s="1"/>
  <c r="H106" i="37"/>
  <c r="C106" i="37"/>
  <c r="O106" i="37" s="1"/>
  <c r="F106" i="37"/>
  <c r="G106" i="37"/>
  <c r="I106" i="37"/>
  <c r="AS105" i="37"/>
  <c r="AO105" i="37"/>
  <c r="AV105" i="37"/>
  <c r="V105" i="37"/>
  <c r="Y105" i="37"/>
  <c r="Q105" i="37"/>
  <c r="Z105" i="37"/>
  <c r="L105" i="37"/>
  <c r="U105" i="37"/>
  <c r="AC105" i="37"/>
  <c r="X105" i="37"/>
  <c r="AT105" i="37"/>
  <c r="AH105" i="37"/>
  <c r="AK105" i="37"/>
  <c r="AR105" i="37"/>
  <c r="S105" i="37"/>
  <c r="P105" i="37"/>
  <c r="AI105" i="37"/>
  <c r="AP105" i="37"/>
  <c r="AE105" i="37"/>
  <c r="AQ105" i="37"/>
  <c r="AF105" i="37"/>
  <c r="AU105" i="37"/>
  <c r="AJ105" i="37"/>
  <c r="AD105" i="37"/>
  <c r="K105" i="37"/>
  <c r="AA105" i="37"/>
  <c r="T105" i="37"/>
  <c r="N105" i="37"/>
  <c r="M105" i="37"/>
  <c r="J105" i="37"/>
  <c r="E102" i="36"/>
  <c r="G102" i="36"/>
  <c r="J102" i="36"/>
  <c r="H102" i="36"/>
  <c r="D102" i="36"/>
  <c r="I96" i="20"/>
  <c r="E96" i="20"/>
  <c r="D96" i="38"/>
  <c r="F102" i="36"/>
  <c r="Y102" i="36"/>
  <c r="K102" i="36"/>
  <c r="V102" i="36"/>
  <c r="T102" i="36"/>
  <c r="AS102" i="36"/>
  <c r="R102" i="36"/>
  <c r="AD102" i="36"/>
  <c r="AN102" i="36"/>
  <c r="AM102" i="36"/>
  <c r="O102" i="36"/>
  <c r="AU102" i="36"/>
  <c r="AH102" i="36"/>
  <c r="AP102" i="36"/>
  <c r="AO102" i="36"/>
  <c r="Q102" i="36"/>
  <c r="N102" i="36"/>
  <c r="W102" i="36"/>
  <c r="AQ102" i="36"/>
  <c r="AI102" i="36"/>
  <c r="M102" i="36"/>
  <c r="AG102" i="36"/>
  <c r="AR102" i="36"/>
  <c r="P102" i="36"/>
  <c r="AE102" i="36"/>
  <c r="AF102" i="36"/>
  <c r="U102" i="36"/>
  <c r="S102" i="36"/>
  <c r="Z102" i="36"/>
  <c r="AL102" i="36"/>
  <c r="AK102" i="36"/>
  <c r="X102" i="36"/>
  <c r="AJ102" i="36"/>
  <c r="L102" i="36"/>
  <c r="AC102" i="36"/>
  <c r="AA102" i="36"/>
  <c r="AB102" i="36"/>
  <c r="AT102" i="36"/>
  <c r="C103" i="36"/>
  <c r="B103" i="36"/>
  <c r="I103" i="36" s="1"/>
  <c r="G97" i="20"/>
  <c r="F97" i="20"/>
  <c r="B97" i="20"/>
  <c r="D97" i="20" s="1"/>
  <c r="C97" i="20"/>
  <c r="H97" i="20"/>
  <c r="F97" i="38"/>
  <c r="C97" i="38"/>
  <c r="G97" i="38"/>
  <c r="B97" i="38"/>
  <c r="I97" i="38" s="1"/>
  <c r="H97" i="38"/>
  <c r="I96" i="38"/>
  <c r="AV105" i="36"/>
  <c r="AW105" i="36" s="1"/>
  <c r="A104" i="36"/>
  <c r="K99" i="20"/>
  <c r="L99" i="20" s="1"/>
  <c r="A98" i="20"/>
  <c r="K99" i="38"/>
  <c r="L99" i="38" s="1"/>
  <c r="A98" i="38"/>
  <c r="G111" i="19"/>
  <c r="AP111" i="19"/>
  <c r="K111" i="19"/>
  <c r="S111" i="19"/>
  <c r="AT111" i="19"/>
  <c r="R111" i="19"/>
  <c r="AQ111" i="19"/>
  <c r="AU111" i="19"/>
  <c r="AH111" i="19"/>
  <c r="Y111" i="19"/>
  <c r="AF111" i="19"/>
  <c r="AC111" i="19"/>
  <c r="T111" i="19"/>
  <c r="AE111" i="19"/>
  <c r="AK111" i="19"/>
  <c r="AN111" i="19"/>
  <c r="AM111" i="19"/>
  <c r="M111" i="19"/>
  <c r="AJ111" i="19"/>
  <c r="AI111" i="19"/>
  <c r="W111" i="19"/>
  <c r="P111" i="19"/>
  <c r="AD111" i="19"/>
  <c r="V111" i="19"/>
  <c r="Q111" i="19"/>
  <c r="O111" i="19"/>
  <c r="AL111" i="19"/>
  <c r="U111" i="19"/>
  <c r="AS111" i="19"/>
  <c r="Z111" i="19"/>
  <c r="X111" i="19"/>
  <c r="AA111" i="19"/>
  <c r="L111" i="19"/>
  <c r="AR111" i="19"/>
  <c r="AG111" i="19"/>
  <c r="AB111" i="19"/>
  <c r="AO111" i="19"/>
  <c r="N111" i="19"/>
  <c r="F111" i="19"/>
  <c r="J111" i="19"/>
  <c r="D111" i="19"/>
  <c r="H111" i="19"/>
  <c r="A113" i="19"/>
  <c r="AV114" i="19"/>
  <c r="AW114" i="19" s="1"/>
  <c r="E111" i="19"/>
  <c r="B112" i="19"/>
  <c r="F112" i="19" s="1"/>
  <c r="C112" i="19"/>
  <c r="K112" i="19" s="1"/>
  <c r="D106" i="37" l="1"/>
  <c r="AG106" i="37"/>
  <c r="AM106" i="37"/>
  <c r="AL106" i="37"/>
  <c r="AN106" i="37"/>
  <c r="R106" i="37"/>
  <c r="W106" i="37"/>
  <c r="AB106" i="37"/>
  <c r="B107" i="37"/>
  <c r="E107" i="37" s="1"/>
  <c r="C107" i="37"/>
  <c r="O107" i="37" s="1"/>
  <c r="F107" i="37"/>
  <c r="H107" i="37"/>
  <c r="G107" i="37"/>
  <c r="I107" i="37"/>
  <c r="U106" i="37"/>
  <c r="AD106" i="37"/>
  <c r="AK106" i="37"/>
  <c r="AF106" i="37"/>
  <c r="AO106" i="37"/>
  <c r="T106" i="37"/>
  <c r="AE106" i="37"/>
  <c r="AI106" i="37"/>
  <c r="X106" i="37"/>
  <c r="AS106" i="37"/>
  <c r="L106" i="37"/>
  <c r="AJ106" i="37"/>
  <c r="AA106" i="37"/>
  <c r="P106" i="37"/>
  <c r="K106" i="37"/>
  <c r="S106" i="37"/>
  <c r="AR106" i="37"/>
  <c r="AV106" i="37"/>
  <c r="N106" i="37"/>
  <c r="Q106" i="37"/>
  <c r="AP106" i="37"/>
  <c r="AC106" i="37"/>
  <c r="AT106" i="37"/>
  <c r="AQ106" i="37"/>
  <c r="Z106" i="37"/>
  <c r="AH106" i="37"/>
  <c r="V106" i="37"/>
  <c r="Y106" i="37"/>
  <c r="AU106" i="37"/>
  <c r="J106" i="37"/>
  <c r="M106" i="37"/>
  <c r="AW109" i="37"/>
  <c r="AX109" i="37" s="1"/>
  <c r="A108" i="37"/>
  <c r="J103" i="36"/>
  <c r="F103" i="36"/>
  <c r="E97" i="38"/>
  <c r="G103" i="36"/>
  <c r="I97" i="20"/>
  <c r="H103" i="36"/>
  <c r="D103" i="36"/>
  <c r="E103" i="36"/>
  <c r="D97" i="38"/>
  <c r="E97" i="20"/>
  <c r="K100" i="38"/>
  <c r="L100" i="38" s="1"/>
  <c r="A99" i="38"/>
  <c r="K100" i="20"/>
  <c r="L100" i="20" s="1"/>
  <c r="A99" i="20"/>
  <c r="AV106" i="36"/>
  <c r="AW106" i="36" s="1"/>
  <c r="A105" i="36"/>
  <c r="Y103" i="36"/>
  <c r="AA103" i="36"/>
  <c r="AI103" i="36"/>
  <c r="AF103" i="36"/>
  <c r="Q103" i="36"/>
  <c r="AD103" i="36"/>
  <c r="AC103" i="36"/>
  <c r="AB103" i="36"/>
  <c r="AN103" i="36"/>
  <c r="AP103" i="36"/>
  <c r="AT103" i="36"/>
  <c r="AU103" i="36"/>
  <c r="AG103" i="36"/>
  <c r="S103" i="36"/>
  <c r="L103" i="36"/>
  <c r="T103" i="36"/>
  <c r="U103" i="36"/>
  <c r="AJ103" i="36"/>
  <c r="AM103" i="36"/>
  <c r="AE103" i="36"/>
  <c r="AR103" i="36"/>
  <c r="Z103" i="36"/>
  <c r="M103" i="36"/>
  <c r="AS103" i="36"/>
  <c r="R103" i="36"/>
  <c r="AH103" i="36"/>
  <c r="AL103" i="36"/>
  <c r="AK103" i="36"/>
  <c r="AO103" i="36"/>
  <c r="N103" i="36"/>
  <c r="K103" i="36"/>
  <c r="O103" i="36"/>
  <c r="P103" i="36"/>
  <c r="V103" i="36"/>
  <c r="W103" i="36"/>
  <c r="AQ103" i="36"/>
  <c r="X103" i="36"/>
  <c r="B98" i="38"/>
  <c r="D98" i="38" s="1"/>
  <c r="H98" i="38"/>
  <c r="F98" i="38"/>
  <c r="G98" i="38"/>
  <c r="C98" i="38"/>
  <c r="C98" i="20"/>
  <c r="F98" i="20"/>
  <c r="B98" i="20"/>
  <c r="I98" i="20" s="1"/>
  <c r="H98" i="20"/>
  <c r="G98" i="20"/>
  <c r="C104" i="36"/>
  <c r="B104" i="36"/>
  <c r="E104" i="36" s="1"/>
  <c r="G112" i="19"/>
  <c r="I112" i="19"/>
  <c r="C113" i="19"/>
  <c r="B113" i="19"/>
  <c r="I113" i="19" s="1"/>
  <c r="H112" i="19"/>
  <c r="E112" i="19"/>
  <c r="M112" i="19" s="1"/>
  <c r="AG112" i="19"/>
  <c r="U112" i="19"/>
  <c r="AB112" i="19"/>
  <c r="AC112" i="19"/>
  <c r="AE112" i="19"/>
  <c r="AL112" i="19"/>
  <c r="P112" i="19"/>
  <c r="AM112" i="19"/>
  <c r="V112" i="19"/>
  <c r="Y112" i="19"/>
  <c r="AI112" i="19"/>
  <c r="AR112" i="19"/>
  <c r="S112" i="19"/>
  <c r="AU112" i="19"/>
  <c r="AD112" i="19"/>
  <c r="Q112" i="19"/>
  <c r="N112" i="19"/>
  <c r="R112" i="19"/>
  <c r="AO112" i="19"/>
  <c r="AT112" i="19"/>
  <c r="AP112" i="19"/>
  <c r="AK112" i="19"/>
  <c r="AQ112" i="19"/>
  <c r="X112" i="19"/>
  <c r="O112" i="19"/>
  <c r="AA112" i="19"/>
  <c r="AS112" i="19"/>
  <c r="AJ112" i="19"/>
  <c r="AF112" i="19"/>
  <c r="Z112" i="19"/>
  <c r="AN112" i="19"/>
  <c r="AH112" i="19"/>
  <c r="T112" i="19"/>
  <c r="W112" i="19"/>
  <c r="AV115" i="19"/>
  <c r="AW115" i="19" s="1"/>
  <c r="A114" i="19"/>
  <c r="D112" i="19"/>
  <c r="L112" i="19" s="1"/>
  <c r="J112" i="19"/>
  <c r="AG107" i="37" l="1"/>
  <c r="AM107" i="37"/>
  <c r="AB107" i="37"/>
  <c r="W107" i="37"/>
  <c r="R107" i="37"/>
  <c r="AN107" i="37"/>
  <c r="AL107" i="37"/>
  <c r="AW110" i="37"/>
  <c r="AX110" i="37" s="1"/>
  <c r="A109" i="37"/>
  <c r="D107" i="37"/>
  <c r="AD107" i="37"/>
  <c r="AO107" i="37"/>
  <c r="T107" i="37"/>
  <c r="AI107" i="37"/>
  <c r="AA107" i="37"/>
  <c r="Y107" i="37"/>
  <c r="U107" i="37"/>
  <c r="AF107" i="37"/>
  <c r="AK107" i="37"/>
  <c r="AE107" i="37"/>
  <c r="AS107" i="37"/>
  <c r="L107" i="37"/>
  <c r="Q107" i="37"/>
  <c r="S107" i="37"/>
  <c r="AU107" i="37"/>
  <c r="AV107" i="37"/>
  <c r="AJ107" i="37"/>
  <c r="AH107" i="37"/>
  <c r="N107" i="37"/>
  <c r="AP107" i="37"/>
  <c r="X107" i="37"/>
  <c r="Z107" i="37"/>
  <c r="P107" i="37"/>
  <c r="V107" i="37"/>
  <c r="AQ107" i="37"/>
  <c r="AT107" i="37"/>
  <c r="K107" i="37"/>
  <c r="AR107" i="37"/>
  <c r="AC107" i="37"/>
  <c r="J107" i="37"/>
  <c r="M107" i="37"/>
  <c r="I108" i="37"/>
  <c r="F108" i="37"/>
  <c r="B108" i="37"/>
  <c r="E108" i="37" s="1"/>
  <c r="C108" i="37"/>
  <c r="O108" i="37" s="1"/>
  <c r="G108" i="37"/>
  <c r="H108" i="37"/>
  <c r="F104" i="36"/>
  <c r="D98" i="20"/>
  <c r="I98" i="38"/>
  <c r="I104" i="36"/>
  <c r="E98" i="38"/>
  <c r="H104" i="36"/>
  <c r="AO104" i="36"/>
  <c r="AH104" i="36"/>
  <c r="N104" i="36"/>
  <c r="Y104" i="36"/>
  <c r="X104" i="36"/>
  <c r="W104" i="36"/>
  <c r="S104" i="36"/>
  <c r="AE104" i="36"/>
  <c r="O104" i="36"/>
  <c r="V104" i="36"/>
  <c r="AJ104" i="36"/>
  <c r="Z104" i="36"/>
  <c r="P104" i="36"/>
  <c r="AA104" i="36"/>
  <c r="AU104" i="36"/>
  <c r="AK104" i="36"/>
  <c r="AF104" i="36"/>
  <c r="M104" i="36"/>
  <c r="L104" i="36"/>
  <c r="U104" i="36"/>
  <c r="Q104" i="36"/>
  <c r="AI104" i="36"/>
  <c r="AP104" i="36"/>
  <c r="K104" i="36"/>
  <c r="AB104" i="36"/>
  <c r="AC104" i="36"/>
  <c r="AQ104" i="36"/>
  <c r="R104" i="36"/>
  <c r="AG104" i="36"/>
  <c r="T104" i="36"/>
  <c r="AS104" i="36"/>
  <c r="AR104" i="36"/>
  <c r="AD104" i="36"/>
  <c r="AN104" i="36"/>
  <c r="AL104" i="36"/>
  <c r="AT104" i="36"/>
  <c r="AM104" i="36"/>
  <c r="AV107" i="36"/>
  <c r="AW107" i="36" s="1"/>
  <c r="A106" i="36"/>
  <c r="K101" i="20"/>
  <c r="L101" i="20" s="1"/>
  <c r="A100" i="20"/>
  <c r="K101" i="38"/>
  <c r="L101" i="38" s="1"/>
  <c r="A100" i="38"/>
  <c r="J104" i="36"/>
  <c r="D104" i="36"/>
  <c r="G104" i="36"/>
  <c r="E98" i="20"/>
  <c r="H105" i="36"/>
  <c r="G105" i="36"/>
  <c r="E105" i="36"/>
  <c r="C105" i="36"/>
  <c r="J105" i="36"/>
  <c r="I105" i="36"/>
  <c r="F105" i="36"/>
  <c r="B105" i="36"/>
  <c r="D105" i="36"/>
  <c r="B99" i="20"/>
  <c r="I99" i="20" s="1"/>
  <c r="C99" i="20"/>
  <c r="H99" i="20"/>
  <c r="F99" i="20"/>
  <c r="G99" i="20"/>
  <c r="G99" i="38"/>
  <c r="B99" i="38"/>
  <c r="E99" i="38" s="1"/>
  <c r="C99" i="38"/>
  <c r="H99" i="38"/>
  <c r="F99" i="38"/>
  <c r="J113" i="19"/>
  <c r="H113" i="19"/>
  <c r="E113" i="19"/>
  <c r="F113" i="19"/>
  <c r="G113" i="19"/>
  <c r="D113" i="19"/>
  <c r="B114" i="19"/>
  <c r="H114" i="19" s="1"/>
  <c r="C114" i="19"/>
  <c r="N113" i="19"/>
  <c r="AD113" i="19"/>
  <c r="AK113" i="19"/>
  <c r="V113" i="19"/>
  <c r="X113" i="19"/>
  <c r="M113" i="19"/>
  <c r="L113" i="19"/>
  <c r="P113" i="19"/>
  <c r="R113" i="19"/>
  <c r="AS113" i="19"/>
  <c r="AU113" i="19"/>
  <c r="S113" i="19"/>
  <c r="AR113" i="19"/>
  <c r="AF113" i="19"/>
  <c r="AC113" i="19"/>
  <c r="AN113" i="19"/>
  <c r="AO113" i="19"/>
  <c r="K113" i="19"/>
  <c r="AH113" i="19"/>
  <c r="AM113" i="19"/>
  <c r="T113" i="19"/>
  <c r="Y113" i="19"/>
  <c r="AG113" i="19"/>
  <c r="AP113" i="19"/>
  <c r="Z113" i="19"/>
  <c r="U113" i="19"/>
  <c r="O113" i="19"/>
  <c r="AT113" i="19"/>
  <c r="AQ113" i="19"/>
  <c r="Q113" i="19"/>
  <c r="AB113" i="19"/>
  <c r="W113" i="19"/>
  <c r="AL113" i="19"/>
  <c r="AI113" i="19"/>
  <c r="AE113" i="19"/>
  <c r="AJ113" i="19"/>
  <c r="AA113" i="19"/>
  <c r="A115" i="19"/>
  <c r="AV116" i="19"/>
  <c r="AW116" i="19" s="1"/>
  <c r="AM108" i="37" l="1"/>
  <c r="AG108" i="37"/>
  <c r="AL108" i="37"/>
  <c r="AN108" i="37"/>
  <c r="AB108" i="37"/>
  <c r="W108" i="37"/>
  <c r="R108" i="37"/>
  <c r="D108" i="37"/>
  <c r="P108" i="37"/>
  <c r="AQ108" i="37"/>
  <c r="Y108" i="37"/>
  <c r="AJ108" i="37"/>
  <c r="T108" i="37"/>
  <c r="S108" i="37"/>
  <c r="AF108" i="37"/>
  <c r="AK108" i="37"/>
  <c r="AP108" i="37"/>
  <c r="X108" i="37"/>
  <c r="AR108" i="37"/>
  <c r="AI108" i="37"/>
  <c r="AU108" i="37"/>
  <c r="K108" i="37"/>
  <c r="Z108" i="37"/>
  <c r="AS108" i="37"/>
  <c r="AO108" i="37"/>
  <c r="U108" i="37"/>
  <c r="V108" i="37"/>
  <c r="L108" i="37"/>
  <c r="AT108" i="37"/>
  <c r="AV108" i="37"/>
  <c r="AA108" i="37"/>
  <c r="N108" i="37"/>
  <c r="AC108" i="37"/>
  <c r="AH108" i="37"/>
  <c r="AE108" i="37"/>
  <c r="Q108" i="37"/>
  <c r="AD108" i="37"/>
  <c r="J108" i="37"/>
  <c r="M108" i="37"/>
  <c r="H109" i="37"/>
  <c r="F109" i="37"/>
  <c r="C109" i="37"/>
  <c r="AL109" i="37" s="1"/>
  <c r="B109" i="37"/>
  <c r="E109" i="37" s="1"/>
  <c r="G109" i="37"/>
  <c r="I109" i="37"/>
  <c r="AW111" i="37"/>
  <c r="AX111" i="37" s="1"/>
  <c r="A110" i="37"/>
  <c r="I99" i="38"/>
  <c r="E99" i="20"/>
  <c r="D99" i="38"/>
  <c r="D99" i="20"/>
  <c r="W105" i="36"/>
  <c r="AK105" i="36"/>
  <c r="M105" i="36"/>
  <c r="AB105" i="36"/>
  <c r="AM105" i="36"/>
  <c r="AS105" i="36"/>
  <c r="AT105" i="36"/>
  <c r="AI105" i="36"/>
  <c r="AF105" i="36"/>
  <c r="AO105" i="36"/>
  <c r="AR105" i="36"/>
  <c r="S105" i="36"/>
  <c r="AD105" i="36"/>
  <c r="AA105" i="36"/>
  <c r="AQ105" i="36"/>
  <c r="L105" i="36"/>
  <c r="AJ105" i="36"/>
  <c r="AN105" i="36"/>
  <c r="X105" i="36"/>
  <c r="Q105" i="36"/>
  <c r="Z105" i="36"/>
  <c r="AG105" i="36"/>
  <c r="AE105" i="36"/>
  <c r="AU105" i="36"/>
  <c r="K105" i="36"/>
  <c r="P105" i="36"/>
  <c r="AH105" i="36"/>
  <c r="Y105" i="36"/>
  <c r="T105" i="36"/>
  <c r="AL105" i="36"/>
  <c r="R105" i="36"/>
  <c r="N105" i="36"/>
  <c r="U105" i="36"/>
  <c r="O105" i="36"/>
  <c r="AC105" i="36"/>
  <c r="V105" i="36"/>
  <c r="AP105" i="36"/>
  <c r="B100" i="38"/>
  <c r="D100" i="38" s="1"/>
  <c r="C100" i="38"/>
  <c r="F100" i="38"/>
  <c r="G100" i="38"/>
  <c r="H100" i="38"/>
  <c r="F100" i="20"/>
  <c r="H100" i="20"/>
  <c r="C100" i="20"/>
  <c r="B100" i="20"/>
  <c r="E100" i="20" s="1"/>
  <c r="G100" i="20"/>
  <c r="B106" i="36"/>
  <c r="H106" i="36"/>
  <c r="J106" i="36"/>
  <c r="C106" i="36"/>
  <c r="G106" i="36"/>
  <c r="F106" i="36"/>
  <c r="I106" i="36"/>
  <c r="D106" i="36"/>
  <c r="E106" i="36"/>
  <c r="K102" i="38"/>
  <c r="L102" i="38" s="1"/>
  <c r="A101" i="38"/>
  <c r="K102" i="20"/>
  <c r="L102" i="20" s="1"/>
  <c r="A101" i="20"/>
  <c r="AV108" i="36"/>
  <c r="AW108" i="36" s="1"/>
  <c r="A107" i="36"/>
  <c r="I114" i="19"/>
  <c r="F114" i="19"/>
  <c r="J114" i="19"/>
  <c r="E114" i="19"/>
  <c r="G114" i="19"/>
  <c r="J115" i="19"/>
  <c r="H115" i="19"/>
  <c r="D115" i="19"/>
  <c r="C115" i="19"/>
  <c r="E115" i="19"/>
  <c r="G115" i="19"/>
  <c r="B115" i="19"/>
  <c r="I115" i="19"/>
  <c r="F115" i="19"/>
  <c r="AV117" i="19"/>
  <c r="AW117" i="19" s="1"/>
  <c r="A116" i="19"/>
  <c r="D114" i="19"/>
  <c r="AM114" i="19"/>
  <c r="R114" i="19"/>
  <c r="AB114" i="19"/>
  <c r="V114" i="19"/>
  <c r="Z114" i="19"/>
  <c r="AO114" i="19"/>
  <c r="W114" i="19"/>
  <c r="O114" i="19"/>
  <c r="Y114" i="19"/>
  <c r="K114" i="19"/>
  <c r="M114" i="19"/>
  <c r="AA114" i="19"/>
  <c r="AK114" i="19"/>
  <c r="AL114" i="19"/>
  <c r="AH114" i="19"/>
  <c r="L114" i="19"/>
  <c r="AJ114" i="19"/>
  <c r="P114" i="19"/>
  <c r="Q114" i="19"/>
  <c r="AP114" i="19"/>
  <c r="AC114" i="19"/>
  <c r="U114" i="19"/>
  <c r="AT114" i="19"/>
  <c r="AD114" i="19"/>
  <c r="AF114" i="19"/>
  <c r="S114" i="19"/>
  <c r="T114" i="19"/>
  <c r="AQ114" i="19"/>
  <c r="AS114" i="19"/>
  <c r="AI114" i="19"/>
  <c r="AR114" i="19"/>
  <c r="N114" i="19"/>
  <c r="AU114" i="19"/>
  <c r="X114" i="19"/>
  <c r="AE114" i="19"/>
  <c r="AG114" i="19"/>
  <c r="AN114" i="19"/>
  <c r="O109" i="37" l="1"/>
  <c r="AN109" i="37"/>
  <c r="AM109" i="37"/>
  <c r="R109" i="37"/>
  <c r="B110" i="37"/>
  <c r="E110" i="37" s="1"/>
  <c r="H110" i="37"/>
  <c r="C110" i="37"/>
  <c r="O110" i="37" s="1"/>
  <c r="I110" i="37"/>
  <c r="F110" i="37"/>
  <c r="G110" i="37"/>
  <c r="W109" i="37"/>
  <c r="AB109" i="37"/>
  <c r="AG109" i="37"/>
  <c r="AW112" i="37"/>
  <c r="AX112" i="37" s="1"/>
  <c r="A111" i="37"/>
  <c r="D109" i="37"/>
  <c r="Y109" i="37"/>
  <c r="V109" i="37"/>
  <c r="AK109" i="37"/>
  <c r="AV109" i="37"/>
  <c r="AT109" i="37"/>
  <c r="AS109" i="37"/>
  <c r="AA109" i="37"/>
  <c r="AO109" i="37"/>
  <c r="Q109" i="37"/>
  <c r="L109" i="37"/>
  <c r="AJ109" i="37"/>
  <c r="AH109" i="37"/>
  <c r="AI109" i="37"/>
  <c r="T109" i="37"/>
  <c r="AR109" i="37"/>
  <c r="N109" i="37"/>
  <c r="AQ109" i="37"/>
  <c r="AF109" i="37"/>
  <c r="S109" i="37"/>
  <c r="P109" i="37"/>
  <c r="AC109" i="37"/>
  <c r="X109" i="37"/>
  <c r="AD109" i="37"/>
  <c r="K109" i="37"/>
  <c r="AE109" i="37"/>
  <c r="AP109" i="37"/>
  <c r="Z109" i="37"/>
  <c r="AU109" i="37"/>
  <c r="U109" i="37"/>
  <c r="J109" i="37"/>
  <c r="M109" i="37"/>
  <c r="I100" i="20"/>
  <c r="E100" i="38"/>
  <c r="D100" i="20"/>
  <c r="I100" i="38"/>
  <c r="A102" i="20"/>
  <c r="K103" i="20"/>
  <c r="L103" i="20" s="1"/>
  <c r="K103" i="38"/>
  <c r="L103" i="38" s="1"/>
  <c r="A102" i="38"/>
  <c r="C107" i="36"/>
  <c r="B107" i="36"/>
  <c r="G107" i="36" s="1"/>
  <c r="C101" i="20"/>
  <c r="H101" i="20"/>
  <c r="F101" i="20"/>
  <c r="B101" i="20"/>
  <c r="E101" i="20"/>
  <c r="D101" i="20"/>
  <c r="G101" i="20"/>
  <c r="I101" i="20"/>
  <c r="B101" i="38"/>
  <c r="C101" i="38"/>
  <c r="G101" i="38"/>
  <c r="E101" i="38"/>
  <c r="F101" i="38"/>
  <c r="H101" i="38"/>
  <c r="I101" i="38"/>
  <c r="D101" i="38"/>
  <c r="AL106" i="36"/>
  <c r="AQ106" i="36"/>
  <c r="AM106" i="36"/>
  <c r="R106" i="36"/>
  <c r="AI106" i="36"/>
  <c r="AB106" i="36"/>
  <c r="AF106" i="36"/>
  <c r="AR106" i="36"/>
  <c r="AN106" i="36"/>
  <c r="AS106" i="36"/>
  <c r="AH106" i="36"/>
  <c r="S106" i="36"/>
  <c r="AO106" i="36"/>
  <c r="L106" i="36"/>
  <c r="X106" i="36"/>
  <c r="AD106" i="36"/>
  <c r="AU106" i="36"/>
  <c r="T106" i="36"/>
  <c r="AG106" i="36"/>
  <c r="M106" i="36"/>
  <c r="AT106" i="36"/>
  <c r="U106" i="36"/>
  <c r="V106" i="36"/>
  <c r="AJ106" i="36"/>
  <c r="AK106" i="36"/>
  <c r="AE106" i="36"/>
  <c r="O106" i="36"/>
  <c r="Z106" i="36"/>
  <c r="N106" i="36"/>
  <c r="Y106" i="36"/>
  <c r="AA106" i="36"/>
  <c r="W106" i="36"/>
  <c r="P106" i="36"/>
  <c r="AP106" i="36"/>
  <c r="Q106" i="36"/>
  <c r="K106" i="36"/>
  <c r="AC106" i="36"/>
  <c r="AV109" i="36"/>
  <c r="AW109" i="36" s="1"/>
  <c r="A108" i="36"/>
  <c r="A117" i="19"/>
  <c r="AV118" i="19"/>
  <c r="AW118" i="19" s="1"/>
  <c r="Z115" i="19"/>
  <c r="AU115" i="19"/>
  <c r="Q115" i="19"/>
  <c r="X115" i="19"/>
  <c r="O115" i="19"/>
  <c r="N115" i="19"/>
  <c r="AA115" i="19"/>
  <c r="T115" i="19"/>
  <c r="AI115" i="19"/>
  <c r="V115" i="19"/>
  <c r="AB115" i="19"/>
  <c r="AJ115" i="19"/>
  <c r="AN115" i="19"/>
  <c r="AQ115" i="19"/>
  <c r="AG115" i="19"/>
  <c r="P115" i="19"/>
  <c r="S115" i="19"/>
  <c r="M115" i="19"/>
  <c r="AF115" i="19"/>
  <c r="AO115" i="19"/>
  <c r="L115" i="19"/>
  <c r="AH115" i="19"/>
  <c r="R115" i="19"/>
  <c r="AS115" i="19"/>
  <c r="AP115" i="19"/>
  <c r="AE115" i="19"/>
  <c r="AM115" i="19"/>
  <c r="U115" i="19"/>
  <c r="AD115" i="19"/>
  <c r="AC115" i="19"/>
  <c r="K115" i="19"/>
  <c r="AR115" i="19"/>
  <c r="AK115" i="19"/>
  <c r="Y115" i="19"/>
  <c r="AL115" i="19"/>
  <c r="W115" i="19"/>
  <c r="AT115" i="19"/>
  <c r="J116" i="19"/>
  <c r="I116" i="19"/>
  <c r="H116" i="19"/>
  <c r="E116" i="19"/>
  <c r="G116" i="19"/>
  <c r="F116" i="19"/>
  <c r="C116" i="19"/>
  <c r="D116" i="19"/>
  <c r="B116" i="19"/>
  <c r="D110" i="37" l="1"/>
  <c r="AN110" i="37"/>
  <c r="W110" i="37"/>
  <c r="R110" i="37"/>
  <c r="AB110" i="37"/>
  <c r="I111" i="37"/>
  <c r="G111" i="37"/>
  <c r="C111" i="37"/>
  <c r="R111" i="37" s="1"/>
  <c r="H111" i="37"/>
  <c r="F111" i="37"/>
  <c r="B111" i="37"/>
  <c r="E111" i="37" s="1"/>
  <c r="AG110" i="37"/>
  <c r="AL110" i="37"/>
  <c r="AM110" i="37"/>
  <c r="AW113" i="37"/>
  <c r="AX113" i="37" s="1"/>
  <c r="A112" i="37"/>
  <c r="T110" i="37"/>
  <c r="S110" i="37"/>
  <c r="AT110" i="37"/>
  <c r="AE110" i="37"/>
  <c r="V110" i="37"/>
  <c r="P110" i="37"/>
  <c r="AS110" i="37"/>
  <c r="K110" i="37"/>
  <c r="N110" i="37"/>
  <c r="AK110" i="37"/>
  <c r="L110" i="37"/>
  <c r="AF110" i="37"/>
  <c r="AV110" i="37"/>
  <c r="AA110" i="37"/>
  <c r="AH110" i="37"/>
  <c r="AR110" i="37"/>
  <c r="AC110" i="37"/>
  <c r="Q110" i="37"/>
  <c r="Y110" i="37"/>
  <c r="AU110" i="37"/>
  <c r="Z110" i="37"/>
  <c r="AQ110" i="37"/>
  <c r="U110" i="37"/>
  <c r="X110" i="37"/>
  <c r="AP110" i="37"/>
  <c r="AI110" i="37"/>
  <c r="AD110" i="37"/>
  <c r="AJ110" i="37"/>
  <c r="AO110" i="37"/>
  <c r="J110" i="37"/>
  <c r="M110" i="37"/>
  <c r="H107" i="36"/>
  <c r="D107" i="36"/>
  <c r="E107" i="36"/>
  <c r="J107" i="36"/>
  <c r="I107" i="36"/>
  <c r="A109" i="36"/>
  <c r="AV110" i="36"/>
  <c r="AW110" i="36" s="1"/>
  <c r="F107" i="36"/>
  <c r="W107" i="36"/>
  <c r="N107" i="36"/>
  <c r="AR107" i="36"/>
  <c r="Y107" i="36"/>
  <c r="R107" i="36"/>
  <c r="AI107" i="36"/>
  <c r="O107" i="36"/>
  <c r="V107" i="36"/>
  <c r="S107" i="36"/>
  <c r="AK107" i="36"/>
  <c r="AN107" i="36"/>
  <c r="Q107" i="36"/>
  <c r="AC107" i="36"/>
  <c r="AU107" i="36"/>
  <c r="AO107" i="36"/>
  <c r="AL107" i="36"/>
  <c r="AD107" i="36"/>
  <c r="AT107" i="36"/>
  <c r="Z107" i="36"/>
  <c r="AB107" i="36"/>
  <c r="X107" i="36"/>
  <c r="L107" i="36"/>
  <c r="AF107" i="36"/>
  <c r="AG107" i="36"/>
  <c r="AS107" i="36"/>
  <c r="AJ107" i="36"/>
  <c r="U107" i="36"/>
  <c r="T107" i="36"/>
  <c r="AP107" i="36"/>
  <c r="M107" i="36"/>
  <c r="AQ107" i="36"/>
  <c r="K107" i="36"/>
  <c r="AM107" i="36"/>
  <c r="AE107" i="36"/>
  <c r="AA107" i="36"/>
  <c r="AH107" i="36"/>
  <c r="P107" i="36"/>
  <c r="H102" i="38"/>
  <c r="C102" i="38"/>
  <c r="E102" i="38"/>
  <c r="B102" i="38"/>
  <c r="I102" i="38"/>
  <c r="F102" i="38"/>
  <c r="D102" i="38"/>
  <c r="G102" i="38"/>
  <c r="K104" i="20"/>
  <c r="L104" i="20" s="1"/>
  <c r="A103" i="20"/>
  <c r="B108" i="36"/>
  <c r="G108" i="36" s="1"/>
  <c r="C108" i="36"/>
  <c r="K104" i="38"/>
  <c r="L104" i="38" s="1"/>
  <c r="A103" i="38"/>
  <c r="C102" i="20"/>
  <c r="E102" i="20"/>
  <c r="B102" i="20"/>
  <c r="H102" i="20"/>
  <c r="D102" i="20"/>
  <c r="I102" i="20"/>
  <c r="G102" i="20"/>
  <c r="F102" i="20"/>
  <c r="AG116" i="19"/>
  <c r="AO116" i="19"/>
  <c r="R116" i="19"/>
  <c r="S116" i="19"/>
  <c r="AS116" i="19"/>
  <c r="AN116" i="19"/>
  <c r="AB116" i="19"/>
  <c r="T116" i="19"/>
  <c r="AQ116" i="19"/>
  <c r="AI116" i="19"/>
  <c r="Z116" i="19"/>
  <c r="X116" i="19"/>
  <c r="O116" i="19"/>
  <c r="AC116" i="19"/>
  <c r="P116" i="19"/>
  <c r="AR116" i="19"/>
  <c r="M116" i="19"/>
  <c r="U116" i="19"/>
  <c r="AF116" i="19"/>
  <c r="AT116" i="19"/>
  <c r="L116" i="19"/>
  <c r="W116" i="19"/>
  <c r="AL116" i="19"/>
  <c r="Q116" i="19"/>
  <c r="AA116" i="19"/>
  <c r="V116" i="19"/>
  <c r="AM116" i="19"/>
  <c r="AE116" i="19"/>
  <c r="AK116" i="19"/>
  <c r="AJ116" i="19"/>
  <c r="K116" i="19"/>
  <c r="AD116" i="19"/>
  <c r="AH116" i="19"/>
  <c r="N116" i="19"/>
  <c r="AP116" i="19"/>
  <c r="Y116" i="19"/>
  <c r="AU116" i="19"/>
  <c r="AV119" i="19"/>
  <c r="AW119" i="19" s="1"/>
  <c r="A118" i="19"/>
  <c r="B117" i="19"/>
  <c r="H117" i="19" s="1"/>
  <c r="C117" i="19"/>
  <c r="O111" i="37" l="1"/>
  <c r="AB111" i="37"/>
  <c r="AG111" i="37"/>
  <c r="W111" i="37"/>
  <c r="AN111" i="37"/>
  <c r="AM111" i="37"/>
  <c r="AL111" i="37"/>
  <c r="AW114" i="37"/>
  <c r="AX114" i="37" s="1"/>
  <c r="A113" i="37"/>
  <c r="B112" i="37"/>
  <c r="E112" i="37" s="1"/>
  <c r="I112" i="37"/>
  <c r="F112" i="37"/>
  <c r="H112" i="37"/>
  <c r="C112" i="37"/>
  <c r="AN112" i="37" s="1"/>
  <c r="G112" i="37"/>
  <c r="D111" i="37"/>
  <c r="AI111" i="37"/>
  <c r="P111" i="37"/>
  <c r="AT111" i="37"/>
  <c r="AQ111" i="37"/>
  <c r="AP111" i="37"/>
  <c r="AF111" i="37"/>
  <c r="Y111" i="37"/>
  <c r="AC111" i="37"/>
  <c r="V111" i="37"/>
  <c r="S111" i="37"/>
  <c r="AR111" i="37"/>
  <c r="L111" i="37"/>
  <c r="AS111" i="37"/>
  <c r="T111" i="37"/>
  <c r="AH111" i="37"/>
  <c r="AA111" i="37"/>
  <c r="AE111" i="37"/>
  <c r="AU111" i="37"/>
  <c r="K111" i="37"/>
  <c r="AD111" i="37"/>
  <c r="X111" i="37"/>
  <c r="AV111" i="37"/>
  <c r="Z111" i="37"/>
  <c r="U111" i="37"/>
  <c r="AK111" i="37"/>
  <c r="N111" i="37"/>
  <c r="AJ111" i="37"/>
  <c r="AO111" i="37"/>
  <c r="Q111" i="37"/>
  <c r="J111" i="37"/>
  <c r="M111" i="37"/>
  <c r="D108" i="36"/>
  <c r="F108" i="36"/>
  <c r="J108" i="36"/>
  <c r="E108" i="36"/>
  <c r="H103" i="38"/>
  <c r="B103" i="38"/>
  <c r="D103" i="38" s="1"/>
  <c r="F103" i="38"/>
  <c r="G103" i="38"/>
  <c r="C103" i="38"/>
  <c r="K105" i="38"/>
  <c r="L105" i="38" s="1"/>
  <c r="A104" i="38"/>
  <c r="H108" i="36"/>
  <c r="I108" i="36"/>
  <c r="B103" i="20"/>
  <c r="I103" i="20" s="1"/>
  <c r="G103" i="20"/>
  <c r="C103" i="20"/>
  <c r="H103" i="20"/>
  <c r="F103" i="20"/>
  <c r="A110" i="36"/>
  <c r="AV111" i="36"/>
  <c r="AW111" i="36" s="1"/>
  <c r="AO108" i="36"/>
  <c r="AE108" i="36"/>
  <c r="AJ108" i="36"/>
  <c r="AU108" i="36"/>
  <c r="AK108" i="36"/>
  <c r="R108" i="36"/>
  <c r="X108" i="36"/>
  <c r="W108" i="36"/>
  <c r="O108" i="36"/>
  <c r="M108" i="36"/>
  <c r="AF108" i="36"/>
  <c r="AL108" i="36"/>
  <c r="AQ108" i="36"/>
  <c r="V108" i="36"/>
  <c r="N108" i="36"/>
  <c r="P108" i="36"/>
  <c r="AP108" i="36"/>
  <c r="Q108" i="36"/>
  <c r="AS108" i="36"/>
  <c r="K108" i="36"/>
  <c r="U108" i="36"/>
  <c r="Z108" i="36"/>
  <c r="AB108" i="36"/>
  <c r="T108" i="36"/>
  <c r="AH108" i="36"/>
  <c r="AI108" i="36"/>
  <c r="AN108" i="36"/>
  <c r="AM108" i="36"/>
  <c r="S108" i="36"/>
  <c r="Y108" i="36"/>
  <c r="AR108" i="36"/>
  <c r="L108" i="36"/>
  <c r="AC108" i="36"/>
  <c r="AT108" i="36"/>
  <c r="AG108" i="36"/>
  <c r="AD108" i="36"/>
  <c r="AA108" i="36"/>
  <c r="K105" i="20"/>
  <c r="L105" i="20" s="1"/>
  <c r="A104" i="20"/>
  <c r="E109" i="36"/>
  <c r="H109" i="36"/>
  <c r="D109" i="36"/>
  <c r="J109" i="36"/>
  <c r="B109" i="36"/>
  <c r="F109" i="36"/>
  <c r="I109" i="36"/>
  <c r="C109" i="36"/>
  <c r="G109" i="36"/>
  <c r="G117" i="19"/>
  <c r="I117" i="19"/>
  <c r="D117" i="19"/>
  <c r="F117" i="19"/>
  <c r="AI117" i="19"/>
  <c r="AJ117" i="19"/>
  <c r="AK117" i="19"/>
  <c r="W117" i="19"/>
  <c r="V117" i="19"/>
  <c r="AT117" i="19"/>
  <c r="AA117" i="19"/>
  <c r="AB117" i="19"/>
  <c r="AR117" i="19"/>
  <c r="AP117" i="19"/>
  <c r="AH117" i="19"/>
  <c r="AQ117" i="19"/>
  <c r="R117" i="19"/>
  <c r="P117" i="19"/>
  <c r="AL117" i="19"/>
  <c r="AC117" i="19"/>
  <c r="L117" i="19"/>
  <c r="AU117" i="19"/>
  <c r="O117" i="19"/>
  <c r="AS117" i="19"/>
  <c r="AN117" i="19"/>
  <c r="AF117" i="19"/>
  <c r="U117" i="19"/>
  <c r="AE117" i="19"/>
  <c r="AG117" i="19"/>
  <c r="K117" i="19"/>
  <c r="T117" i="19"/>
  <c r="AD117" i="19"/>
  <c r="AO117" i="19"/>
  <c r="N117" i="19"/>
  <c r="Y117" i="19"/>
  <c r="AM117" i="19"/>
  <c r="Z117" i="19"/>
  <c r="Q117" i="19"/>
  <c r="S117" i="19"/>
  <c r="X117" i="19"/>
  <c r="M117" i="19"/>
  <c r="E117" i="19"/>
  <c r="J117" i="19"/>
  <c r="AV120" i="19"/>
  <c r="AW120" i="19" s="1"/>
  <c r="A119" i="19"/>
  <c r="B118" i="19"/>
  <c r="H118" i="19" s="1"/>
  <c r="C118" i="19"/>
  <c r="O112" i="37" l="1"/>
  <c r="E103" i="38"/>
  <c r="W112" i="37"/>
  <c r="R112" i="37"/>
  <c r="AB112" i="37"/>
  <c r="AG112" i="37"/>
  <c r="AL112" i="37"/>
  <c r="AM112" i="37"/>
  <c r="AM113" i="37"/>
  <c r="AG113" i="37"/>
  <c r="W113" i="37"/>
  <c r="O113" i="37"/>
  <c r="AN113" i="37"/>
  <c r="AL113" i="37"/>
  <c r="AB113" i="37"/>
  <c r="R113" i="37"/>
  <c r="B113" i="37"/>
  <c r="G113" i="37"/>
  <c r="H113" i="37"/>
  <c r="E113" i="37"/>
  <c r="F113" i="37"/>
  <c r="D113" i="37"/>
  <c r="C113" i="37"/>
  <c r="I113" i="37"/>
  <c r="D112" i="37"/>
  <c r="AD112" i="37"/>
  <c r="V112" i="37"/>
  <c r="P112" i="37"/>
  <c r="U112" i="37"/>
  <c r="S112" i="37"/>
  <c r="Y112" i="37"/>
  <c r="L112" i="37"/>
  <c r="AI112" i="37"/>
  <c r="AT112" i="37"/>
  <c r="AJ112" i="37"/>
  <c r="AV112" i="37"/>
  <c r="AE112" i="37"/>
  <c r="AU112" i="37"/>
  <c r="K112" i="37"/>
  <c r="AQ112" i="37"/>
  <c r="Q112" i="37"/>
  <c r="AH112" i="37"/>
  <c r="AC112" i="37"/>
  <c r="AK112" i="37"/>
  <c r="AO112" i="37"/>
  <c r="AS112" i="37"/>
  <c r="AA112" i="37"/>
  <c r="AP112" i="37"/>
  <c r="AF112" i="37"/>
  <c r="T112" i="37"/>
  <c r="N112" i="37"/>
  <c r="X112" i="37"/>
  <c r="AR112" i="37"/>
  <c r="Z112" i="37"/>
  <c r="J112" i="37"/>
  <c r="M112" i="37"/>
  <c r="AW115" i="37"/>
  <c r="AX115" i="37" s="1"/>
  <c r="A114" i="37"/>
  <c r="E103" i="20"/>
  <c r="D103" i="20"/>
  <c r="I103" i="38"/>
  <c r="G104" i="20"/>
  <c r="H104" i="20"/>
  <c r="F104" i="20"/>
  <c r="B104" i="20"/>
  <c r="I104" i="20" s="1"/>
  <c r="C104" i="20"/>
  <c r="J110" i="36"/>
  <c r="G110" i="36"/>
  <c r="H110" i="36"/>
  <c r="C110" i="36"/>
  <c r="F110" i="36"/>
  <c r="E110" i="36"/>
  <c r="I110" i="36"/>
  <c r="D110" i="36"/>
  <c r="B110" i="36"/>
  <c r="C104" i="38"/>
  <c r="H104" i="38"/>
  <c r="F104" i="38"/>
  <c r="B104" i="38"/>
  <c r="E104" i="38" s="1"/>
  <c r="G104" i="38"/>
  <c r="O109" i="36"/>
  <c r="AK109" i="36"/>
  <c r="N109" i="36"/>
  <c r="Q109" i="36"/>
  <c r="W109" i="36"/>
  <c r="R109" i="36"/>
  <c r="AS109" i="36"/>
  <c r="S109" i="36"/>
  <c r="T109" i="36"/>
  <c r="AQ109" i="36"/>
  <c r="AA109" i="36"/>
  <c r="AL109" i="36"/>
  <c r="V109" i="36"/>
  <c r="AE109" i="36"/>
  <c r="AI109" i="36"/>
  <c r="K109" i="36"/>
  <c r="AN109" i="36"/>
  <c r="L109" i="36"/>
  <c r="AC109" i="36"/>
  <c r="AO109" i="36"/>
  <c r="AT109" i="36"/>
  <c r="AH109" i="36"/>
  <c r="AP109" i="36"/>
  <c r="P109" i="36"/>
  <c r="U109" i="36"/>
  <c r="Z109" i="36"/>
  <c r="AJ109" i="36"/>
  <c r="M109" i="36"/>
  <c r="AB109" i="36"/>
  <c r="AF109" i="36"/>
  <c r="AU109" i="36"/>
  <c r="AR109" i="36"/>
  <c r="X109" i="36"/>
  <c r="Y109" i="36"/>
  <c r="AG109" i="36"/>
  <c r="AM109" i="36"/>
  <c r="AD109" i="36"/>
  <c r="K106" i="20"/>
  <c r="L106" i="20" s="1"/>
  <c r="A105" i="20"/>
  <c r="AV112" i="36"/>
  <c r="AW112" i="36" s="1"/>
  <c r="A111" i="36"/>
  <c r="K106" i="38"/>
  <c r="L106" i="38" s="1"/>
  <c r="A105" i="38"/>
  <c r="E118" i="19"/>
  <c r="D118" i="19"/>
  <c r="F118" i="19"/>
  <c r="G118" i="19"/>
  <c r="D119" i="19"/>
  <c r="C119" i="19"/>
  <c r="G119" i="19"/>
  <c r="B119" i="19"/>
  <c r="J119" i="19"/>
  <c r="I119" i="19"/>
  <c r="F119" i="19"/>
  <c r="H119" i="19"/>
  <c r="E119" i="19"/>
  <c r="AV121" i="19"/>
  <c r="AW121" i="19" s="1"/>
  <c r="A120" i="19"/>
  <c r="U118" i="19"/>
  <c r="M118" i="19"/>
  <c r="N118" i="19"/>
  <c r="AR118" i="19"/>
  <c r="AF118" i="19"/>
  <c r="L118" i="19"/>
  <c r="AG118" i="19"/>
  <c r="AE118" i="19"/>
  <c r="AQ118" i="19"/>
  <c r="Q118" i="19"/>
  <c r="V118" i="19"/>
  <c r="AO118" i="19"/>
  <c r="P118" i="19"/>
  <c r="AS118" i="19"/>
  <c r="O118" i="19"/>
  <c r="X118" i="19"/>
  <c r="AT118" i="19"/>
  <c r="AL118" i="19"/>
  <c r="AD118" i="19"/>
  <c r="T118" i="19"/>
  <c r="AB118" i="19"/>
  <c r="K118" i="19"/>
  <c r="AM118" i="19"/>
  <c r="AN118" i="19"/>
  <c r="W118" i="19"/>
  <c r="AC118" i="19"/>
  <c r="AP118" i="19"/>
  <c r="AA118" i="19"/>
  <c r="AH118" i="19"/>
  <c r="Z118" i="19"/>
  <c r="AK118" i="19"/>
  <c r="AI118" i="19"/>
  <c r="Y118" i="19"/>
  <c r="AU118" i="19"/>
  <c r="AJ118" i="19"/>
  <c r="S118" i="19"/>
  <c r="R118" i="19"/>
  <c r="I118" i="19"/>
  <c r="J118" i="19"/>
  <c r="AW116" i="37" l="1"/>
  <c r="AX116" i="37" s="1"/>
  <c r="A115" i="37"/>
  <c r="P113" i="37"/>
  <c r="V113" i="37"/>
  <c r="N113" i="37"/>
  <c r="AV113" i="37"/>
  <c r="L113" i="37"/>
  <c r="AO113" i="37"/>
  <c r="AA113" i="37"/>
  <c r="AF113" i="37"/>
  <c r="AH113" i="37"/>
  <c r="AK113" i="37"/>
  <c r="AQ113" i="37"/>
  <c r="S113" i="37"/>
  <c r="AC113" i="37"/>
  <c r="AD113" i="37"/>
  <c r="AS113" i="37"/>
  <c r="AU113" i="37"/>
  <c r="X113" i="37"/>
  <c r="Z113" i="37"/>
  <c r="AP113" i="37"/>
  <c r="AJ113" i="37"/>
  <c r="U113" i="37"/>
  <c r="AR113" i="37"/>
  <c r="AI113" i="37"/>
  <c r="Y113" i="37"/>
  <c r="K113" i="37"/>
  <c r="AT113" i="37"/>
  <c r="Q113" i="37"/>
  <c r="T113" i="37"/>
  <c r="AE113" i="37"/>
  <c r="J113" i="37"/>
  <c r="M113" i="37"/>
  <c r="AN114" i="37"/>
  <c r="AL114" i="37"/>
  <c r="W114" i="37"/>
  <c r="O114" i="37"/>
  <c r="E114" i="37"/>
  <c r="H114" i="37"/>
  <c r="C114" i="37"/>
  <c r="F114" i="37"/>
  <c r="D114" i="37"/>
  <c r="B114" i="37"/>
  <c r="AM114" i="37"/>
  <c r="AG114" i="37"/>
  <c r="AB114" i="37"/>
  <c r="R114" i="37"/>
  <c r="I114" i="37"/>
  <c r="G114" i="37"/>
  <c r="D104" i="20"/>
  <c r="D104" i="38"/>
  <c r="I104" i="38"/>
  <c r="E104" i="20"/>
  <c r="E105" i="38"/>
  <c r="C105" i="38"/>
  <c r="I105" i="38"/>
  <c r="D105" i="38"/>
  <c r="H105" i="38"/>
  <c r="F105" i="38"/>
  <c r="B105" i="38"/>
  <c r="G105" i="38"/>
  <c r="B111" i="36"/>
  <c r="G111" i="36" s="1"/>
  <c r="C111" i="36"/>
  <c r="C105" i="20"/>
  <c r="D105" i="20"/>
  <c r="E105" i="20"/>
  <c r="B105" i="20"/>
  <c r="I105" i="20"/>
  <c r="H105" i="20"/>
  <c r="G105" i="20"/>
  <c r="F105" i="20"/>
  <c r="U110" i="36"/>
  <c r="AU110" i="36"/>
  <c r="AI110" i="36"/>
  <c r="AH110" i="36"/>
  <c r="AM110" i="36"/>
  <c r="AJ110" i="36"/>
  <c r="X110" i="36"/>
  <c r="AG110" i="36"/>
  <c r="AC110" i="36"/>
  <c r="S110" i="36"/>
  <c r="L110" i="36"/>
  <c r="AB110" i="36"/>
  <c r="Z110" i="36"/>
  <c r="AO110" i="36"/>
  <c r="V110" i="36"/>
  <c r="AT110" i="36"/>
  <c r="AL110" i="36"/>
  <c r="K110" i="36"/>
  <c r="AE110" i="36"/>
  <c r="O110" i="36"/>
  <c r="AR110" i="36"/>
  <c r="AN110" i="36"/>
  <c r="N110" i="36"/>
  <c r="AQ110" i="36"/>
  <c r="Q110" i="36"/>
  <c r="AF110" i="36"/>
  <c r="AS110" i="36"/>
  <c r="AD110" i="36"/>
  <c r="R110" i="36"/>
  <c r="AP110" i="36"/>
  <c r="Y110" i="36"/>
  <c r="W110" i="36"/>
  <c r="T110" i="36"/>
  <c r="P110" i="36"/>
  <c r="AA110" i="36"/>
  <c r="AK110" i="36"/>
  <c r="M110" i="36"/>
  <c r="K107" i="38"/>
  <c r="L107" i="38" s="1"/>
  <c r="A106" i="38"/>
  <c r="AV113" i="36"/>
  <c r="AW113" i="36" s="1"/>
  <c r="A112" i="36"/>
  <c r="A106" i="20"/>
  <c r="K107" i="20"/>
  <c r="L107" i="20" s="1"/>
  <c r="AV122" i="19"/>
  <c r="AW122" i="19" s="1"/>
  <c r="A121" i="19"/>
  <c r="J120" i="19"/>
  <c r="C120" i="19"/>
  <c r="H120" i="19"/>
  <c r="B120" i="19"/>
  <c r="D120" i="19"/>
  <c r="G120" i="19"/>
  <c r="F120" i="19"/>
  <c r="I120" i="19"/>
  <c r="E120" i="19"/>
  <c r="X119" i="19"/>
  <c r="AT119" i="19"/>
  <c r="L119" i="19"/>
  <c r="AQ119" i="19"/>
  <c r="AR119" i="19"/>
  <c r="AN119" i="19"/>
  <c r="W119" i="19"/>
  <c r="AD119" i="19"/>
  <c r="U119" i="19"/>
  <c r="AS119" i="19"/>
  <c r="R119" i="19"/>
  <c r="P119" i="19"/>
  <c r="N119" i="19"/>
  <c r="AM119" i="19"/>
  <c r="AK119" i="19"/>
  <c r="Q119" i="19"/>
  <c r="AP119" i="19"/>
  <c r="S119" i="19"/>
  <c r="O119" i="19"/>
  <c r="AJ119" i="19"/>
  <c r="Z119" i="19"/>
  <c r="AH119" i="19"/>
  <c r="V119" i="19"/>
  <c r="K119" i="19"/>
  <c r="AL119" i="19"/>
  <c r="AU119" i="19"/>
  <c r="AE119" i="19"/>
  <c r="Y119" i="19"/>
  <c r="AG119" i="19"/>
  <c r="AO119" i="19"/>
  <c r="AC119" i="19"/>
  <c r="M119" i="19"/>
  <c r="AA119" i="19"/>
  <c r="AF119" i="19"/>
  <c r="AB119" i="19"/>
  <c r="T119" i="19"/>
  <c r="AI119" i="19"/>
  <c r="AT114" i="37" l="1"/>
  <c r="AS114" i="37"/>
  <c r="V114" i="37"/>
  <c r="AI114" i="37"/>
  <c r="AD114" i="37"/>
  <c r="T114" i="37"/>
  <c r="AP114" i="37"/>
  <c r="AQ114" i="37"/>
  <c r="AU114" i="37"/>
  <c r="U114" i="37"/>
  <c r="AE114" i="37"/>
  <c r="AV114" i="37"/>
  <c r="K114" i="37"/>
  <c r="Q114" i="37"/>
  <c r="AJ114" i="37"/>
  <c r="AC114" i="37"/>
  <c r="AA114" i="37"/>
  <c r="AH114" i="37"/>
  <c r="AK114" i="37"/>
  <c r="X114" i="37"/>
  <c r="L114" i="37"/>
  <c r="P114" i="37"/>
  <c r="AO114" i="37"/>
  <c r="Z114" i="37"/>
  <c r="AF114" i="37"/>
  <c r="Y114" i="37"/>
  <c r="S114" i="37"/>
  <c r="N114" i="37"/>
  <c r="AR114" i="37"/>
  <c r="M114" i="37"/>
  <c r="J114" i="37"/>
  <c r="H115" i="37"/>
  <c r="F115" i="37"/>
  <c r="C115" i="37"/>
  <c r="O115" i="37" s="1"/>
  <c r="I115" i="37"/>
  <c r="B115" i="37"/>
  <c r="E115" i="37" s="1"/>
  <c r="G115" i="37"/>
  <c r="AW117" i="37"/>
  <c r="AX117" i="37" s="1"/>
  <c r="A116" i="37"/>
  <c r="H111" i="36"/>
  <c r="I111" i="36"/>
  <c r="K108" i="20"/>
  <c r="L108" i="20" s="1"/>
  <c r="A107" i="20"/>
  <c r="B112" i="36"/>
  <c r="D112" i="36" s="1"/>
  <c r="C112" i="36"/>
  <c r="F106" i="38"/>
  <c r="I106" i="38"/>
  <c r="D106" i="38"/>
  <c r="E106" i="38"/>
  <c r="H106" i="38"/>
  <c r="G106" i="38"/>
  <c r="B106" i="38"/>
  <c r="C106" i="38"/>
  <c r="D111" i="36"/>
  <c r="AM111" i="36"/>
  <c r="O111" i="36"/>
  <c r="N111" i="36"/>
  <c r="AI111" i="36"/>
  <c r="AF111" i="36"/>
  <c r="AG111" i="36"/>
  <c r="AC111" i="36"/>
  <c r="AB111" i="36"/>
  <c r="U111" i="36"/>
  <c r="M111" i="36"/>
  <c r="AJ111" i="36"/>
  <c r="AT111" i="36"/>
  <c r="AE111" i="36"/>
  <c r="Y111" i="36"/>
  <c r="AK111" i="36"/>
  <c r="AP111" i="36"/>
  <c r="R111" i="36"/>
  <c r="AS111" i="36"/>
  <c r="AQ111" i="36"/>
  <c r="AN111" i="36"/>
  <c r="V111" i="36"/>
  <c r="Q111" i="36"/>
  <c r="S111" i="36"/>
  <c r="W111" i="36"/>
  <c r="AR111" i="36"/>
  <c r="Z111" i="36"/>
  <c r="P111" i="36"/>
  <c r="AD111" i="36"/>
  <c r="AH111" i="36"/>
  <c r="T111" i="36"/>
  <c r="L111" i="36"/>
  <c r="AL111" i="36"/>
  <c r="AA111" i="36"/>
  <c r="AO111" i="36"/>
  <c r="K111" i="36"/>
  <c r="X111" i="36"/>
  <c r="AU111" i="36"/>
  <c r="I106" i="20"/>
  <c r="G106" i="20"/>
  <c r="B106" i="20"/>
  <c r="D106" i="20"/>
  <c r="F106" i="20"/>
  <c r="E106" i="20"/>
  <c r="H106" i="20"/>
  <c r="C106" i="20"/>
  <c r="AV114" i="36"/>
  <c r="AW114" i="36" s="1"/>
  <c r="A113" i="36"/>
  <c r="K108" i="38"/>
  <c r="L108" i="38" s="1"/>
  <c r="A107" i="38"/>
  <c r="E111" i="36"/>
  <c r="F111" i="36"/>
  <c r="J111" i="36"/>
  <c r="L120" i="19"/>
  <c r="AU120" i="19"/>
  <c r="AH120" i="19"/>
  <c r="K120" i="19"/>
  <c r="O120" i="19"/>
  <c r="AR120" i="19"/>
  <c r="AP120" i="19"/>
  <c r="T120" i="19"/>
  <c r="AA120" i="19"/>
  <c r="AC120" i="19"/>
  <c r="R120" i="19"/>
  <c r="S120" i="19"/>
  <c r="AK120" i="19"/>
  <c r="X120" i="19"/>
  <c r="AO120" i="19"/>
  <c r="AS120" i="19"/>
  <c r="AD120" i="19"/>
  <c r="Q120" i="19"/>
  <c r="AN120" i="19"/>
  <c r="Y120" i="19"/>
  <c r="AB120" i="19"/>
  <c r="P120" i="19"/>
  <c r="V120" i="19"/>
  <c r="AE120" i="19"/>
  <c r="AQ120" i="19"/>
  <c r="Z120" i="19"/>
  <c r="AT120" i="19"/>
  <c r="U120" i="19"/>
  <c r="AG120" i="19"/>
  <c r="N120" i="19"/>
  <c r="W120" i="19"/>
  <c r="AJ120" i="19"/>
  <c r="AL120" i="19"/>
  <c r="M120" i="19"/>
  <c r="AM120" i="19"/>
  <c r="AI120" i="19"/>
  <c r="AF120" i="19"/>
  <c r="C121" i="19"/>
  <c r="B121" i="19"/>
  <c r="H121" i="19" s="1"/>
  <c r="A122" i="19"/>
  <c r="AV123" i="19"/>
  <c r="AW123" i="19" s="1"/>
  <c r="D115" i="37" l="1"/>
  <c r="R115" i="37"/>
  <c r="AB115" i="37"/>
  <c r="AN115" i="37"/>
  <c r="AM115" i="37"/>
  <c r="AL115" i="37"/>
  <c r="AG115" i="37"/>
  <c r="W115" i="37"/>
  <c r="I116" i="37"/>
  <c r="H116" i="37"/>
  <c r="F116" i="37"/>
  <c r="C116" i="37"/>
  <c r="D116" i="37" s="1"/>
  <c r="G116" i="37"/>
  <c r="B116" i="37"/>
  <c r="E116" i="37" s="1"/>
  <c r="AI115" i="37"/>
  <c r="V115" i="37"/>
  <c r="AH115" i="37"/>
  <c r="AA115" i="37"/>
  <c r="AQ115" i="37"/>
  <c r="AK115" i="37"/>
  <c r="N115" i="37"/>
  <c r="AS115" i="37"/>
  <c r="AU115" i="37"/>
  <c r="U115" i="37"/>
  <c r="AP115" i="37"/>
  <c r="AV115" i="37"/>
  <c r="AO115" i="37"/>
  <c r="AC115" i="37"/>
  <c r="K115" i="37"/>
  <c r="AR115" i="37"/>
  <c r="AD115" i="37"/>
  <c r="L115" i="37"/>
  <c r="X115" i="37"/>
  <c r="P115" i="37"/>
  <c r="Y115" i="37"/>
  <c r="T115" i="37"/>
  <c r="S115" i="37"/>
  <c r="Q115" i="37"/>
  <c r="AT115" i="37"/>
  <c r="AF115" i="37"/>
  <c r="Z115" i="37"/>
  <c r="AE115" i="37"/>
  <c r="AJ115" i="37"/>
  <c r="J115" i="37"/>
  <c r="M115" i="37"/>
  <c r="AW118" i="37"/>
  <c r="AX118" i="37" s="1"/>
  <c r="A117" i="37"/>
  <c r="H112" i="36"/>
  <c r="I112" i="36"/>
  <c r="G112" i="36"/>
  <c r="AV115" i="36"/>
  <c r="AW115" i="36" s="1"/>
  <c r="A114" i="36"/>
  <c r="F107" i="38"/>
  <c r="C107" i="38"/>
  <c r="B107" i="38"/>
  <c r="E107" i="38" s="1"/>
  <c r="H107" i="38"/>
  <c r="G107" i="38"/>
  <c r="B113" i="36"/>
  <c r="G113" i="36" s="1"/>
  <c r="C113" i="36"/>
  <c r="F112" i="36"/>
  <c r="J112" i="36"/>
  <c r="G107" i="20"/>
  <c r="F107" i="20"/>
  <c r="H107" i="20"/>
  <c r="C107" i="20"/>
  <c r="B107" i="20"/>
  <c r="D107" i="20" s="1"/>
  <c r="K109" i="38"/>
  <c r="L109" i="38" s="1"/>
  <c r="A108" i="38"/>
  <c r="E112" i="36"/>
  <c r="AH112" i="36"/>
  <c r="AU112" i="36"/>
  <c r="S112" i="36"/>
  <c r="AD112" i="36"/>
  <c r="L112" i="36"/>
  <c r="U112" i="36"/>
  <c r="Q112" i="36"/>
  <c r="AO112" i="36"/>
  <c r="T112" i="36"/>
  <c r="AK112" i="36"/>
  <c r="AQ112" i="36"/>
  <c r="AN112" i="36"/>
  <c r="K112" i="36"/>
  <c r="AM112" i="36"/>
  <c r="V112" i="36"/>
  <c r="AR112" i="36"/>
  <c r="AA112" i="36"/>
  <c r="AB112" i="36"/>
  <c r="AF112" i="36"/>
  <c r="AT112" i="36"/>
  <c r="Y112" i="36"/>
  <c r="AP112" i="36"/>
  <c r="AC112" i="36"/>
  <c r="AL112" i="36"/>
  <c r="AS112" i="36"/>
  <c r="N112" i="36"/>
  <c r="P112" i="36"/>
  <c r="Z112" i="36"/>
  <c r="X112" i="36"/>
  <c r="O112" i="36"/>
  <c r="AI112" i="36"/>
  <c r="M112" i="36"/>
  <c r="W112" i="36"/>
  <c r="R112" i="36"/>
  <c r="AJ112" i="36"/>
  <c r="AG112" i="36"/>
  <c r="AE112" i="36"/>
  <c r="K109" i="20"/>
  <c r="L109" i="20" s="1"/>
  <c r="A108" i="20"/>
  <c r="J121" i="19"/>
  <c r="E121" i="19"/>
  <c r="D121" i="19"/>
  <c r="G121" i="19"/>
  <c r="I121" i="19"/>
  <c r="F121" i="19"/>
  <c r="A123" i="19"/>
  <c r="AV124" i="19"/>
  <c r="AW124" i="19" s="1"/>
  <c r="B122" i="19"/>
  <c r="F122" i="19" s="1"/>
  <c r="C122" i="19"/>
  <c r="M121" i="19"/>
  <c r="AJ121" i="19"/>
  <c r="AO121" i="19"/>
  <c r="AT121" i="19"/>
  <c r="AQ121" i="19"/>
  <c r="Y121" i="19"/>
  <c r="AH121" i="19"/>
  <c r="W121" i="19"/>
  <c r="AG121" i="19"/>
  <c r="L121" i="19"/>
  <c r="AP121" i="19"/>
  <c r="AD121" i="19"/>
  <c r="P121" i="19"/>
  <c r="AI121" i="19"/>
  <c r="AE121" i="19"/>
  <c r="U121" i="19"/>
  <c r="O121" i="19"/>
  <c r="AS121" i="19"/>
  <c r="AF121" i="19"/>
  <c r="V121" i="19"/>
  <c r="AU121" i="19"/>
  <c r="AL121" i="19"/>
  <c r="AA121" i="19"/>
  <c r="Q121" i="19"/>
  <c r="AB121" i="19"/>
  <c r="K121" i="19"/>
  <c r="AN121" i="19"/>
  <c r="AK121" i="19"/>
  <c r="X121" i="19"/>
  <c r="T121" i="19"/>
  <c r="AC121" i="19"/>
  <c r="S121" i="19"/>
  <c r="N121" i="19"/>
  <c r="Z121" i="19"/>
  <c r="R121" i="19"/>
  <c r="AR121" i="19"/>
  <c r="AM121" i="19"/>
  <c r="AM116" i="37" l="1"/>
  <c r="AG116" i="37"/>
  <c r="AB116" i="37"/>
  <c r="O116" i="37"/>
  <c r="R116" i="37"/>
  <c r="AL116" i="37"/>
  <c r="W116" i="37"/>
  <c r="AN116" i="37"/>
  <c r="G117" i="37"/>
  <c r="I117" i="37"/>
  <c r="F117" i="37"/>
  <c r="B117" i="37"/>
  <c r="E117" i="37" s="1"/>
  <c r="C117" i="37"/>
  <c r="R117" i="37" s="1"/>
  <c r="H117" i="37"/>
  <c r="AH116" i="37"/>
  <c r="AF116" i="37"/>
  <c r="AC116" i="37"/>
  <c r="Q116" i="37"/>
  <c r="AD116" i="37"/>
  <c r="X116" i="37"/>
  <c r="AQ116" i="37"/>
  <c r="AR116" i="37"/>
  <c r="AV116" i="37"/>
  <c r="AO116" i="37"/>
  <c r="V116" i="37"/>
  <c r="S116" i="37"/>
  <c r="U116" i="37"/>
  <c r="L116" i="37"/>
  <c r="AE116" i="37"/>
  <c r="P116" i="37"/>
  <c r="K116" i="37"/>
  <c r="AP116" i="37"/>
  <c r="T116" i="37"/>
  <c r="N116" i="37"/>
  <c r="AS116" i="37"/>
  <c r="Z116" i="37"/>
  <c r="AJ116" i="37"/>
  <c r="AI116" i="37"/>
  <c r="Y116" i="37"/>
  <c r="AT116" i="37"/>
  <c r="AA116" i="37"/>
  <c r="AK116" i="37"/>
  <c r="AU116" i="37"/>
  <c r="J116" i="37"/>
  <c r="M116" i="37"/>
  <c r="AW119" i="37"/>
  <c r="AX119" i="37" s="1"/>
  <c r="A118" i="37"/>
  <c r="E113" i="36"/>
  <c r="J113" i="36"/>
  <c r="I107" i="38"/>
  <c r="I107" i="20"/>
  <c r="D107" i="38"/>
  <c r="H108" i="20"/>
  <c r="G108" i="20"/>
  <c r="B108" i="20"/>
  <c r="D108" i="20" s="1"/>
  <c r="F108" i="20"/>
  <c r="C108" i="20"/>
  <c r="G108" i="38"/>
  <c r="H108" i="38"/>
  <c r="B108" i="38"/>
  <c r="E108" i="38" s="1"/>
  <c r="C108" i="38"/>
  <c r="F108" i="38"/>
  <c r="H113" i="36"/>
  <c r="AC113" i="36"/>
  <c r="K113" i="36"/>
  <c r="AU113" i="36"/>
  <c r="AR113" i="36"/>
  <c r="U113" i="36"/>
  <c r="AJ113" i="36"/>
  <c r="AI113" i="36"/>
  <c r="W113" i="36"/>
  <c r="AT113" i="36"/>
  <c r="X113" i="36"/>
  <c r="R113" i="36"/>
  <c r="N113" i="36"/>
  <c r="AP113" i="36"/>
  <c r="AO113" i="36"/>
  <c r="AQ113" i="36"/>
  <c r="V113" i="36"/>
  <c r="T113" i="36"/>
  <c r="AH113" i="36"/>
  <c r="AL113" i="36"/>
  <c r="AG113" i="36"/>
  <c r="AA113" i="36"/>
  <c r="AF113" i="36"/>
  <c r="AN113" i="36"/>
  <c r="AE113" i="36"/>
  <c r="P113" i="36"/>
  <c r="M113" i="36"/>
  <c r="AS113" i="36"/>
  <c r="AB113" i="36"/>
  <c r="AM113" i="36"/>
  <c r="AD113" i="36"/>
  <c r="O113" i="36"/>
  <c r="Y113" i="36"/>
  <c r="AK113" i="36"/>
  <c r="S113" i="36"/>
  <c r="Q113" i="36"/>
  <c r="Z113" i="36"/>
  <c r="L113" i="36"/>
  <c r="C114" i="36"/>
  <c r="B114" i="36"/>
  <c r="I114" i="36" s="1"/>
  <c r="K110" i="20"/>
  <c r="L110" i="20" s="1"/>
  <c r="A109" i="20"/>
  <c r="K110" i="38"/>
  <c r="L110" i="38" s="1"/>
  <c r="A109" i="38"/>
  <c r="E107" i="20"/>
  <c r="F113" i="36"/>
  <c r="I113" i="36"/>
  <c r="D113" i="36"/>
  <c r="AV116" i="36"/>
  <c r="AW116" i="36" s="1"/>
  <c r="A115" i="36"/>
  <c r="H122" i="19"/>
  <c r="G122" i="19"/>
  <c r="D122" i="19"/>
  <c r="J122" i="19"/>
  <c r="I122" i="19"/>
  <c r="E122" i="19"/>
  <c r="AQ122" i="19"/>
  <c r="R122" i="19"/>
  <c r="M122" i="19"/>
  <c r="O122" i="19"/>
  <c r="AS122" i="19"/>
  <c r="AT122" i="19"/>
  <c r="AE122" i="19"/>
  <c r="Y122" i="19"/>
  <c r="AB122" i="19"/>
  <c r="AI122" i="19"/>
  <c r="AG122" i="19"/>
  <c r="AO122" i="19"/>
  <c r="AC122" i="19"/>
  <c r="W122" i="19"/>
  <c r="AJ122" i="19"/>
  <c r="AA122" i="19"/>
  <c r="L122" i="19"/>
  <c r="AN122" i="19"/>
  <c r="AF122" i="19"/>
  <c r="P122" i="19"/>
  <c r="AP122" i="19"/>
  <c r="AR122" i="19"/>
  <c r="Q122" i="19"/>
  <c r="X122" i="19"/>
  <c r="AK122" i="19"/>
  <c r="AD122" i="19"/>
  <c r="AH122" i="19"/>
  <c r="U122" i="19"/>
  <c r="S122" i="19"/>
  <c r="K122" i="19"/>
  <c r="T122" i="19"/>
  <c r="AL122" i="19"/>
  <c r="AM122" i="19"/>
  <c r="N122" i="19"/>
  <c r="AU122" i="19"/>
  <c r="Z122" i="19"/>
  <c r="V122" i="19"/>
  <c r="AV125" i="19"/>
  <c r="AW125" i="19" s="1"/>
  <c r="A124" i="19"/>
  <c r="B123" i="19"/>
  <c r="E123" i="19" s="1"/>
  <c r="C123" i="19"/>
  <c r="O117" i="37" l="1"/>
  <c r="AM117" i="37"/>
  <c r="AN117" i="37"/>
  <c r="AG117" i="37"/>
  <c r="AB117" i="37"/>
  <c r="W117" i="37"/>
  <c r="AL117" i="37"/>
  <c r="AW120" i="37"/>
  <c r="AX120" i="37" s="1"/>
  <c r="A119" i="37"/>
  <c r="I118" i="37"/>
  <c r="B118" i="37"/>
  <c r="E118" i="37" s="1"/>
  <c r="C118" i="37"/>
  <c r="O118" i="37" s="1"/>
  <c r="F118" i="37"/>
  <c r="G118" i="37"/>
  <c r="H118" i="37"/>
  <c r="D117" i="37"/>
  <c r="AS117" i="37"/>
  <c r="AQ117" i="37"/>
  <c r="U117" i="37"/>
  <c r="AK117" i="37"/>
  <c r="AT117" i="37"/>
  <c r="X117" i="37"/>
  <c r="S117" i="37"/>
  <c r="Z117" i="37"/>
  <c r="Q117" i="37"/>
  <c r="AD117" i="37"/>
  <c r="AO117" i="37"/>
  <c r="AE117" i="37"/>
  <c r="AJ117" i="37"/>
  <c r="AF117" i="37"/>
  <c r="K117" i="37"/>
  <c r="AI117" i="37"/>
  <c r="L117" i="37"/>
  <c r="AP117" i="37"/>
  <c r="P117" i="37"/>
  <c r="AU117" i="37"/>
  <c r="AR117" i="37"/>
  <c r="AA117" i="37"/>
  <c r="T117" i="37"/>
  <c r="AC117" i="37"/>
  <c r="N117" i="37"/>
  <c r="AV117" i="37"/>
  <c r="V117" i="37"/>
  <c r="Y117" i="37"/>
  <c r="AH117" i="37"/>
  <c r="J117" i="37"/>
  <c r="M117" i="37"/>
  <c r="G114" i="36"/>
  <c r="D108" i="38"/>
  <c r="I108" i="20"/>
  <c r="H109" i="38"/>
  <c r="C109" i="38"/>
  <c r="B109" i="38"/>
  <c r="E109" i="38" s="1"/>
  <c r="F109" i="38"/>
  <c r="G109" i="38"/>
  <c r="B109" i="20"/>
  <c r="I109" i="20" s="1"/>
  <c r="H109" i="20"/>
  <c r="F109" i="20"/>
  <c r="C109" i="20"/>
  <c r="G109" i="20"/>
  <c r="D114" i="36"/>
  <c r="AR114" i="36"/>
  <c r="AG114" i="36"/>
  <c r="AJ114" i="36"/>
  <c r="N114" i="36"/>
  <c r="AI114" i="36"/>
  <c r="AS114" i="36"/>
  <c r="AP114" i="36"/>
  <c r="AN114" i="36"/>
  <c r="AE114" i="36"/>
  <c r="K114" i="36"/>
  <c r="AH114" i="36"/>
  <c r="U114" i="36"/>
  <c r="S114" i="36"/>
  <c r="AQ114" i="36"/>
  <c r="W114" i="36"/>
  <c r="L114" i="36"/>
  <c r="Q114" i="36"/>
  <c r="P114" i="36"/>
  <c r="V114" i="36"/>
  <c r="Y114" i="36"/>
  <c r="AK114" i="36"/>
  <c r="O114" i="36"/>
  <c r="AO114" i="36"/>
  <c r="Z114" i="36"/>
  <c r="AL114" i="36"/>
  <c r="AF114" i="36"/>
  <c r="T114" i="36"/>
  <c r="M114" i="36"/>
  <c r="X114" i="36"/>
  <c r="AU114" i="36"/>
  <c r="AB114" i="36"/>
  <c r="AA114" i="36"/>
  <c r="R114" i="36"/>
  <c r="AC114" i="36"/>
  <c r="AT114" i="36"/>
  <c r="AM114" i="36"/>
  <c r="AD114" i="36"/>
  <c r="AV117" i="36"/>
  <c r="AW117" i="36" s="1"/>
  <c r="A116" i="36"/>
  <c r="K111" i="38"/>
  <c r="L111" i="38" s="1"/>
  <c r="A110" i="38"/>
  <c r="K111" i="20"/>
  <c r="L111" i="20" s="1"/>
  <c r="A110" i="20"/>
  <c r="H114" i="36"/>
  <c r="F114" i="36"/>
  <c r="E114" i="36"/>
  <c r="I108" i="38"/>
  <c r="E108" i="20"/>
  <c r="B115" i="36"/>
  <c r="I115" i="36" s="1"/>
  <c r="C115" i="36"/>
  <c r="J114" i="36"/>
  <c r="H123" i="19"/>
  <c r="G123" i="19"/>
  <c r="I123" i="19"/>
  <c r="J123" i="19"/>
  <c r="F123" i="19"/>
  <c r="D123" i="19"/>
  <c r="AE123" i="19"/>
  <c r="AU123" i="19"/>
  <c r="M123" i="19"/>
  <c r="W123" i="19"/>
  <c r="AB123" i="19"/>
  <c r="P123" i="19"/>
  <c r="AH123" i="19"/>
  <c r="AG123" i="19"/>
  <c r="Z123" i="19"/>
  <c r="AR123" i="19"/>
  <c r="AO123" i="19"/>
  <c r="R123" i="19"/>
  <c r="AN123" i="19"/>
  <c r="AJ123" i="19"/>
  <c r="AM123" i="19"/>
  <c r="Q123" i="19"/>
  <c r="AK123" i="19"/>
  <c r="K123" i="19"/>
  <c r="Y123" i="19"/>
  <c r="AT123" i="19"/>
  <c r="AQ123" i="19"/>
  <c r="S123" i="19"/>
  <c r="X123" i="19"/>
  <c r="AF123" i="19"/>
  <c r="U123" i="19"/>
  <c r="AD123" i="19"/>
  <c r="AC123" i="19"/>
  <c r="AS123" i="19"/>
  <c r="T123" i="19"/>
  <c r="AP123" i="19"/>
  <c r="V123" i="19"/>
  <c r="AI123" i="19"/>
  <c r="O123" i="19"/>
  <c r="AA123" i="19"/>
  <c r="AL123" i="19"/>
  <c r="L123" i="19"/>
  <c r="N123" i="19"/>
  <c r="C124" i="19"/>
  <c r="B124" i="19"/>
  <c r="I124" i="19" s="1"/>
  <c r="AV126" i="19"/>
  <c r="AW126" i="19" s="1"/>
  <c r="A125" i="19"/>
  <c r="D118" i="37" l="1"/>
  <c r="AN118" i="37"/>
  <c r="AB118" i="37"/>
  <c r="W118" i="37"/>
  <c r="AM118" i="37"/>
  <c r="AL118" i="37"/>
  <c r="AG118" i="37"/>
  <c r="R118" i="37"/>
  <c r="H119" i="37"/>
  <c r="B119" i="37"/>
  <c r="E119" i="37" s="1"/>
  <c r="F119" i="37"/>
  <c r="G119" i="37"/>
  <c r="I119" i="37"/>
  <c r="C119" i="37"/>
  <c r="D119" i="37" s="1"/>
  <c r="K118" i="37"/>
  <c r="AP118" i="37"/>
  <c r="P118" i="37"/>
  <c r="X118" i="37"/>
  <c r="AF118" i="37"/>
  <c r="V118" i="37"/>
  <c r="AO118" i="37"/>
  <c r="AJ118" i="37"/>
  <c r="AU118" i="37"/>
  <c r="AH118" i="37"/>
  <c r="T118" i="37"/>
  <c r="AK118" i="37"/>
  <c r="N118" i="37"/>
  <c r="AE118" i="37"/>
  <c r="AD118" i="37"/>
  <c r="L118" i="37"/>
  <c r="AA118" i="37"/>
  <c r="Y118" i="37"/>
  <c r="AV118" i="37"/>
  <c r="U118" i="37"/>
  <c r="AR118" i="37"/>
  <c r="Q118" i="37"/>
  <c r="AI118" i="37"/>
  <c r="AS118" i="37"/>
  <c r="AC118" i="37"/>
  <c r="AQ118" i="37"/>
  <c r="S118" i="37"/>
  <c r="Z118" i="37"/>
  <c r="AT118" i="37"/>
  <c r="J118" i="37"/>
  <c r="M118" i="37"/>
  <c r="AW121" i="37"/>
  <c r="AX121" i="37" s="1"/>
  <c r="A120" i="37"/>
  <c r="E109" i="20"/>
  <c r="G115" i="36"/>
  <c r="H115" i="36"/>
  <c r="D109" i="20"/>
  <c r="I109" i="38"/>
  <c r="D115" i="36"/>
  <c r="E115" i="36"/>
  <c r="J115" i="36"/>
  <c r="F115" i="36"/>
  <c r="AN115" i="36"/>
  <c r="S115" i="36"/>
  <c r="AL115" i="36"/>
  <c r="V115" i="36"/>
  <c r="AS115" i="36"/>
  <c r="K115" i="36"/>
  <c r="M115" i="36"/>
  <c r="T115" i="36"/>
  <c r="AG115" i="36"/>
  <c r="AR115" i="36"/>
  <c r="AC115" i="36"/>
  <c r="AO115" i="36"/>
  <c r="Z115" i="36"/>
  <c r="AB115" i="36"/>
  <c r="W115" i="36"/>
  <c r="AM115" i="36"/>
  <c r="AJ115" i="36"/>
  <c r="U115" i="36"/>
  <c r="P115" i="36"/>
  <c r="AU115" i="36"/>
  <c r="X115" i="36"/>
  <c r="AD115" i="36"/>
  <c r="AP115" i="36"/>
  <c r="N115" i="36"/>
  <c r="Y115" i="36"/>
  <c r="AQ115" i="36"/>
  <c r="L115" i="36"/>
  <c r="AI115" i="36"/>
  <c r="AE115" i="36"/>
  <c r="AF115" i="36"/>
  <c r="AA115" i="36"/>
  <c r="O115" i="36"/>
  <c r="AK115" i="36"/>
  <c r="AH115" i="36"/>
  <c r="Q115" i="36"/>
  <c r="AT115" i="36"/>
  <c r="R115" i="36"/>
  <c r="H110" i="20"/>
  <c r="B110" i="20"/>
  <c r="I110" i="20" s="1"/>
  <c r="C110" i="20"/>
  <c r="G110" i="20"/>
  <c r="F110" i="20"/>
  <c r="C110" i="38"/>
  <c r="G110" i="38"/>
  <c r="B110" i="38"/>
  <c r="D110" i="38" s="1"/>
  <c r="F110" i="38"/>
  <c r="H110" i="38"/>
  <c r="C116" i="36"/>
  <c r="B116" i="36"/>
  <c r="E116" i="36" s="1"/>
  <c r="D109" i="38"/>
  <c r="K112" i="20"/>
  <c r="L112" i="20" s="1"/>
  <c r="A111" i="20"/>
  <c r="K112" i="38"/>
  <c r="L112" i="38" s="1"/>
  <c r="A111" i="38"/>
  <c r="AV118" i="36"/>
  <c r="AW118" i="36" s="1"/>
  <c r="A117" i="36"/>
  <c r="F124" i="19"/>
  <c r="G124" i="19"/>
  <c r="J124" i="19"/>
  <c r="C125" i="19"/>
  <c r="B125" i="19"/>
  <c r="G125" i="19" s="1"/>
  <c r="AV127" i="19"/>
  <c r="AW127" i="19" s="1"/>
  <c r="A126" i="19"/>
  <c r="H124" i="19"/>
  <c r="N124" i="19"/>
  <c r="Q124" i="19"/>
  <c r="P124" i="19"/>
  <c r="M124" i="19"/>
  <c r="AF124" i="19"/>
  <c r="AN124" i="19"/>
  <c r="Z124" i="19"/>
  <c r="AP124" i="19"/>
  <c r="K124" i="19"/>
  <c r="W124" i="19"/>
  <c r="AI124" i="19"/>
  <c r="AJ124" i="19"/>
  <c r="AU124" i="19"/>
  <c r="AK124" i="19"/>
  <c r="Y124" i="19"/>
  <c r="AH124" i="19"/>
  <c r="S124" i="19"/>
  <c r="AR124" i="19"/>
  <c r="AD124" i="19"/>
  <c r="AS124" i="19"/>
  <c r="O124" i="19"/>
  <c r="AE124" i="19"/>
  <c r="V124" i="19"/>
  <c r="AL124" i="19"/>
  <c r="T124" i="19"/>
  <c r="AQ124" i="19"/>
  <c r="AO124" i="19"/>
  <c r="L124" i="19"/>
  <c r="AC124" i="19"/>
  <c r="U124" i="19"/>
  <c r="AA124" i="19"/>
  <c r="AM124" i="19"/>
  <c r="R124" i="19"/>
  <c r="AT124" i="19"/>
  <c r="AB124" i="19"/>
  <c r="X124" i="19"/>
  <c r="AG124" i="19"/>
  <c r="D124" i="19"/>
  <c r="E124" i="19"/>
  <c r="AN119" i="37" l="1"/>
  <c r="W119" i="37"/>
  <c r="R119" i="37"/>
  <c r="O119" i="37"/>
  <c r="AW122" i="37"/>
  <c r="AX122" i="37" s="1"/>
  <c r="A121" i="37"/>
  <c r="AB119" i="37"/>
  <c r="AG119" i="37"/>
  <c r="AL119" i="37"/>
  <c r="AM119" i="37"/>
  <c r="G120" i="37"/>
  <c r="F120" i="37"/>
  <c r="I120" i="37"/>
  <c r="C120" i="37"/>
  <c r="O120" i="37" s="1"/>
  <c r="B120" i="37"/>
  <c r="E120" i="37" s="1"/>
  <c r="H120" i="37"/>
  <c r="AR119" i="37"/>
  <c r="AA119" i="37"/>
  <c r="AD119" i="37"/>
  <c r="AC119" i="37"/>
  <c r="U119" i="37"/>
  <c r="Q119" i="37"/>
  <c r="P119" i="37"/>
  <c r="AT119" i="37"/>
  <c r="Z119" i="37"/>
  <c r="AS119" i="37"/>
  <c r="AE119" i="37"/>
  <c r="AO119" i="37"/>
  <c r="N119" i="37"/>
  <c r="Y119" i="37"/>
  <c r="T119" i="37"/>
  <c r="X119" i="37"/>
  <c r="AH119" i="37"/>
  <c r="K119" i="37"/>
  <c r="AF119" i="37"/>
  <c r="S119" i="37"/>
  <c r="AQ119" i="37"/>
  <c r="L119" i="37"/>
  <c r="AJ119" i="37"/>
  <c r="AP119" i="37"/>
  <c r="AI119" i="37"/>
  <c r="AK119" i="37"/>
  <c r="V119" i="37"/>
  <c r="AU119" i="37"/>
  <c r="J119" i="37"/>
  <c r="M119" i="37"/>
  <c r="E110" i="20"/>
  <c r="J116" i="36"/>
  <c r="E110" i="38"/>
  <c r="I116" i="36"/>
  <c r="D116" i="36"/>
  <c r="A118" i="36"/>
  <c r="AV119" i="36"/>
  <c r="AW119" i="36" s="1"/>
  <c r="C117" i="36"/>
  <c r="B117" i="36"/>
  <c r="H117" i="36" s="1"/>
  <c r="B111" i="38"/>
  <c r="E111" i="38" s="1"/>
  <c r="F111" i="38"/>
  <c r="G111" i="38"/>
  <c r="C111" i="38"/>
  <c r="H111" i="38"/>
  <c r="G111" i="20"/>
  <c r="F111" i="20"/>
  <c r="B111" i="20"/>
  <c r="I111" i="20" s="1"/>
  <c r="H111" i="20"/>
  <c r="C111" i="20"/>
  <c r="F116" i="36"/>
  <c r="H116" i="36"/>
  <c r="I110" i="38"/>
  <c r="D110" i="20"/>
  <c r="K113" i="38"/>
  <c r="L113" i="38" s="1"/>
  <c r="A112" i="38"/>
  <c r="K113" i="20"/>
  <c r="L113" i="20" s="1"/>
  <c r="A112" i="20"/>
  <c r="G116" i="36"/>
  <c r="S116" i="36"/>
  <c r="AU116" i="36"/>
  <c r="AS116" i="36"/>
  <c r="AP116" i="36"/>
  <c r="N116" i="36"/>
  <c r="X116" i="36"/>
  <c r="K116" i="36"/>
  <c r="U116" i="36"/>
  <c r="W116" i="36"/>
  <c r="R116" i="36"/>
  <c r="T116" i="36"/>
  <c r="AD116" i="36"/>
  <c r="V116" i="36"/>
  <c r="AF116" i="36"/>
  <c r="Y116" i="36"/>
  <c r="AI116" i="36"/>
  <c r="AJ116" i="36"/>
  <c r="L116" i="36"/>
  <c r="O116" i="36"/>
  <c r="M116" i="36"/>
  <c r="Q116" i="36"/>
  <c r="AO116" i="36"/>
  <c r="AK116" i="36"/>
  <c r="AH116" i="36"/>
  <c r="AQ116" i="36"/>
  <c r="AR116" i="36"/>
  <c r="AM116" i="36"/>
  <c r="AE116" i="36"/>
  <c r="AB116" i="36"/>
  <c r="Z116" i="36"/>
  <c r="AL116" i="36"/>
  <c r="P116" i="36"/>
  <c r="AC116" i="36"/>
  <c r="AT116" i="36"/>
  <c r="AG116" i="36"/>
  <c r="AN116" i="36"/>
  <c r="AA116" i="36"/>
  <c r="H125" i="19"/>
  <c r="I125" i="19"/>
  <c r="J125" i="19"/>
  <c r="D125" i="19"/>
  <c r="F125" i="19"/>
  <c r="A127" i="19"/>
  <c r="AV128" i="19"/>
  <c r="AW128" i="19" s="1"/>
  <c r="E125" i="19"/>
  <c r="B126" i="19"/>
  <c r="H126" i="19" s="1"/>
  <c r="C126" i="19"/>
  <c r="AL125" i="19"/>
  <c r="AD125" i="19"/>
  <c r="W125" i="19"/>
  <c r="Y125" i="19"/>
  <c r="P125" i="19"/>
  <c r="AO125" i="19"/>
  <c r="O125" i="19"/>
  <c r="AE125" i="19"/>
  <c r="R125" i="19"/>
  <c r="AM125" i="19"/>
  <c r="AN125" i="19"/>
  <c r="X125" i="19"/>
  <c r="M125" i="19"/>
  <c r="AI125" i="19"/>
  <c r="L125" i="19"/>
  <c r="AP125" i="19"/>
  <c r="T125" i="19"/>
  <c r="AK125" i="19"/>
  <c r="U125" i="19"/>
  <c r="AS125" i="19"/>
  <c r="Q125" i="19"/>
  <c r="AG125" i="19"/>
  <c r="AR125" i="19"/>
  <c r="S125" i="19"/>
  <c r="AC125" i="19"/>
  <c r="AA125" i="19"/>
  <c r="AT125" i="19"/>
  <c r="AB125" i="19"/>
  <c r="V125" i="19"/>
  <c r="Z125" i="19"/>
  <c r="K125" i="19"/>
  <c r="AJ125" i="19"/>
  <c r="AF125" i="19"/>
  <c r="AQ125" i="19"/>
  <c r="N125" i="19"/>
  <c r="AU125" i="19"/>
  <c r="AH125" i="19"/>
  <c r="W120" i="37" l="1"/>
  <c r="AG120" i="37"/>
  <c r="AB120" i="37"/>
  <c r="AL120" i="37"/>
  <c r="AM120" i="37"/>
  <c r="AN120" i="37"/>
  <c r="R120" i="37"/>
  <c r="D120" i="37"/>
  <c r="T120" i="37"/>
  <c r="V120" i="37"/>
  <c r="Y120" i="37"/>
  <c r="AQ120" i="37"/>
  <c r="AE120" i="37"/>
  <c r="AC120" i="37"/>
  <c r="AU120" i="37"/>
  <c r="Q120" i="37"/>
  <c r="AI120" i="37"/>
  <c r="AA120" i="37"/>
  <c r="L120" i="37"/>
  <c r="N120" i="37"/>
  <c r="K120" i="37"/>
  <c r="X120" i="37"/>
  <c r="AK120" i="37"/>
  <c r="AF120" i="37"/>
  <c r="Z120" i="37"/>
  <c r="AR120" i="37"/>
  <c r="AT120" i="37"/>
  <c r="S120" i="37"/>
  <c r="AH120" i="37"/>
  <c r="AD120" i="37"/>
  <c r="AP120" i="37"/>
  <c r="AJ120" i="37"/>
  <c r="U120" i="37"/>
  <c r="AS120" i="37"/>
  <c r="AO120" i="37"/>
  <c r="P120" i="37"/>
  <c r="J120" i="37"/>
  <c r="M120" i="37"/>
  <c r="AN121" i="37"/>
  <c r="AL121" i="37"/>
  <c r="AB121" i="37"/>
  <c r="R121" i="37"/>
  <c r="H121" i="37"/>
  <c r="B121" i="37"/>
  <c r="I121" i="37"/>
  <c r="AM121" i="37"/>
  <c r="AG121" i="37"/>
  <c r="W121" i="37"/>
  <c r="O121" i="37"/>
  <c r="F121" i="37"/>
  <c r="E121" i="37"/>
  <c r="D121" i="37"/>
  <c r="G121" i="37"/>
  <c r="C121" i="37"/>
  <c r="AW123" i="37"/>
  <c r="AX123" i="37" s="1"/>
  <c r="A122" i="37"/>
  <c r="D111" i="38"/>
  <c r="D111" i="20"/>
  <c r="G117" i="36"/>
  <c r="E111" i="20"/>
  <c r="I111" i="38"/>
  <c r="F117" i="36"/>
  <c r="K114" i="20"/>
  <c r="L114" i="20" s="1"/>
  <c r="A113" i="20"/>
  <c r="K114" i="38"/>
  <c r="L114" i="38" s="1"/>
  <c r="A113" i="38"/>
  <c r="I117" i="36"/>
  <c r="M117" i="36"/>
  <c r="AL117" i="36"/>
  <c r="AU117" i="36"/>
  <c r="AS117" i="36"/>
  <c r="AA117" i="36"/>
  <c r="AI117" i="36"/>
  <c r="AD117" i="36"/>
  <c r="AO117" i="36"/>
  <c r="S117" i="36"/>
  <c r="R117" i="36"/>
  <c r="Z117" i="36"/>
  <c r="Y117" i="36"/>
  <c r="W117" i="36"/>
  <c r="AB117" i="36"/>
  <c r="V117" i="36"/>
  <c r="T117" i="36"/>
  <c r="K117" i="36"/>
  <c r="N117" i="36"/>
  <c r="AN117" i="36"/>
  <c r="AM117" i="36"/>
  <c r="X117" i="36"/>
  <c r="AJ117" i="36"/>
  <c r="AG117" i="36"/>
  <c r="L117" i="36"/>
  <c r="AC117" i="36"/>
  <c r="AE117" i="36"/>
  <c r="AK117" i="36"/>
  <c r="AQ117" i="36"/>
  <c r="AH117" i="36"/>
  <c r="AT117" i="36"/>
  <c r="U117" i="36"/>
  <c r="AP117" i="36"/>
  <c r="P117" i="36"/>
  <c r="O117" i="36"/>
  <c r="AR117" i="36"/>
  <c r="Q117" i="36"/>
  <c r="AF117" i="36"/>
  <c r="AV120" i="36"/>
  <c r="AW120" i="36" s="1"/>
  <c r="A119" i="36"/>
  <c r="F112" i="20"/>
  <c r="G112" i="20"/>
  <c r="H112" i="20"/>
  <c r="C112" i="20"/>
  <c r="B112" i="20"/>
  <c r="E112" i="20" s="1"/>
  <c r="F112" i="38"/>
  <c r="G112" i="38"/>
  <c r="B112" i="38"/>
  <c r="E112" i="38" s="1"/>
  <c r="C112" i="38"/>
  <c r="H112" i="38"/>
  <c r="D117" i="36"/>
  <c r="E117" i="36"/>
  <c r="J117" i="36"/>
  <c r="G118" i="36"/>
  <c r="F118" i="36"/>
  <c r="I118" i="36"/>
  <c r="E118" i="36"/>
  <c r="C118" i="36"/>
  <c r="J118" i="36"/>
  <c r="D118" i="36"/>
  <c r="H118" i="36"/>
  <c r="B118" i="36"/>
  <c r="F126" i="19"/>
  <c r="I126" i="19"/>
  <c r="G126" i="19"/>
  <c r="J126" i="19"/>
  <c r="D126" i="19"/>
  <c r="E126" i="19"/>
  <c r="K126" i="19"/>
  <c r="AA126" i="19"/>
  <c r="AJ126" i="19"/>
  <c r="AF126" i="19"/>
  <c r="S126" i="19"/>
  <c r="Q126" i="19"/>
  <c r="W126" i="19"/>
  <c r="AN126" i="19"/>
  <c r="X126" i="19"/>
  <c r="AG126" i="19"/>
  <c r="AK126" i="19"/>
  <c r="AE126" i="19"/>
  <c r="AQ126" i="19"/>
  <c r="AL126" i="19"/>
  <c r="U126" i="19"/>
  <c r="N126" i="19"/>
  <c r="AD126" i="19"/>
  <c r="AH126" i="19"/>
  <c r="AR126" i="19"/>
  <c r="M126" i="19"/>
  <c r="AB126" i="19"/>
  <c r="Y126" i="19"/>
  <c r="AI126" i="19"/>
  <c r="AP126" i="19"/>
  <c r="Z126" i="19"/>
  <c r="R126" i="19"/>
  <c r="AT126" i="19"/>
  <c r="AU126" i="19"/>
  <c r="O126" i="19"/>
  <c r="V126" i="19"/>
  <c r="AM126" i="19"/>
  <c r="AS126" i="19"/>
  <c r="P126" i="19"/>
  <c r="L126" i="19"/>
  <c r="AO126" i="19"/>
  <c r="T126" i="19"/>
  <c r="AC126" i="19"/>
  <c r="AV129" i="19"/>
  <c r="AW129" i="19" s="1"/>
  <c r="A128" i="19"/>
  <c r="B127" i="19"/>
  <c r="G127" i="19" s="1"/>
  <c r="C127" i="19"/>
  <c r="AW124" i="37" l="1"/>
  <c r="AX124" i="37" s="1"/>
  <c r="A123" i="37"/>
  <c r="AN122" i="37"/>
  <c r="AG122" i="37"/>
  <c r="W122" i="37"/>
  <c r="O122" i="37"/>
  <c r="D122" i="37"/>
  <c r="F122" i="37"/>
  <c r="C122" i="37"/>
  <c r="H122" i="37"/>
  <c r="G122" i="37"/>
  <c r="E122" i="37"/>
  <c r="AM122" i="37"/>
  <c r="AL122" i="37"/>
  <c r="AB122" i="37"/>
  <c r="R122" i="37"/>
  <c r="B122" i="37"/>
  <c r="I122" i="37"/>
  <c r="AP121" i="37"/>
  <c r="AS121" i="37"/>
  <c r="AC121" i="37"/>
  <c r="AF121" i="37"/>
  <c r="AK121" i="37"/>
  <c r="Q121" i="37"/>
  <c r="AU121" i="37"/>
  <c r="AT121" i="37"/>
  <c r="AA121" i="37"/>
  <c r="AE121" i="37"/>
  <c r="AH121" i="37"/>
  <c r="X121" i="37"/>
  <c r="AJ121" i="37"/>
  <c r="T121" i="37"/>
  <c r="L121" i="37"/>
  <c r="V121" i="37"/>
  <c r="K121" i="37"/>
  <c r="Y121" i="37"/>
  <c r="AQ121" i="37"/>
  <c r="AO121" i="37"/>
  <c r="U121" i="37"/>
  <c r="Z121" i="37"/>
  <c r="AR121" i="37"/>
  <c r="AD121" i="37"/>
  <c r="AI121" i="37"/>
  <c r="S121" i="37"/>
  <c r="N121" i="37"/>
  <c r="P121" i="37"/>
  <c r="J121" i="37"/>
  <c r="M121" i="37"/>
  <c r="D112" i="38"/>
  <c r="I112" i="38"/>
  <c r="D112" i="20"/>
  <c r="S118" i="36"/>
  <c r="Y118" i="36"/>
  <c r="R118" i="36"/>
  <c r="AT118" i="36"/>
  <c r="AA118" i="36"/>
  <c r="AD118" i="36"/>
  <c r="N118" i="36"/>
  <c r="AG118" i="36"/>
  <c r="Z118" i="36"/>
  <c r="AC118" i="36"/>
  <c r="V118" i="36"/>
  <c r="L118" i="36"/>
  <c r="AS118" i="36"/>
  <c r="AM118" i="36"/>
  <c r="AK118" i="36"/>
  <c r="AO118" i="36"/>
  <c r="W118" i="36"/>
  <c r="AU118" i="36"/>
  <c r="X118" i="36"/>
  <c r="U118" i="36"/>
  <c r="AI118" i="36"/>
  <c r="K118" i="36"/>
  <c r="AF118" i="36"/>
  <c r="AP118" i="36"/>
  <c r="Q118" i="36"/>
  <c r="AB118" i="36"/>
  <c r="AR118" i="36"/>
  <c r="AE118" i="36"/>
  <c r="T118" i="36"/>
  <c r="M118" i="36"/>
  <c r="AL118" i="36"/>
  <c r="O118" i="36"/>
  <c r="P118" i="36"/>
  <c r="AH118" i="36"/>
  <c r="AQ118" i="36"/>
  <c r="AN118" i="36"/>
  <c r="AJ118" i="36"/>
  <c r="I112" i="20"/>
  <c r="J119" i="36"/>
  <c r="H119" i="36"/>
  <c r="D119" i="36"/>
  <c r="G119" i="36"/>
  <c r="B119" i="36"/>
  <c r="C119" i="36"/>
  <c r="F119" i="36"/>
  <c r="I119" i="36"/>
  <c r="E119" i="36"/>
  <c r="C113" i="38"/>
  <c r="G113" i="38"/>
  <c r="H113" i="38"/>
  <c r="F113" i="38"/>
  <c r="B113" i="38"/>
  <c r="E113" i="38" s="1"/>
  <c r="H113" i="20"/>
  <c r="G113" i="20"/>
  <c r="C113" i="20"/>
  <c r="B113" i="20"/>
  <c r="I113" i="20" s="1"/>
  <c r="F113" i="20"/>
  <c r="AV121" i="36"/>
  <c r="AW121" i="36" s="1"/>
  <c r="A120" i="36"/>
  <c r="K115" i="38"/>
  <c r="L115" i="38" s="1"/>
  <c r="A114" i="38"/>
  <c r="A114" i="20"/>
  <c r="K115" i="20"/>
  <c r="L115" i="20" s="1"/>
  <c r="F127" i="19"/>
  <c r="I127" i="19"/>
  <c r="V127" i="19"/>
  <c r="AU127" i="19"/>
  <c r="Q127" i="19"/>
  <c r="AI127" i="19"/>
  <c r="M127" i="19"/>
  <c r="AM127" i="19"/>
  <c r="AE127" i="19"/>
  <c r="T127" i="19"/>
  <c r="AG127" i="19"/>
  <c r="AT127" i="19"/>
  <c r="N127" i="19"/>
  <c r="AL127" i="19"/>
  <c r="AR127" i="19"/>
  <c r="S127" i="19"/>
  <c r="X127" i="19"/>
  <c r="AH127" i="19"/>
  <c r="O127" i="19"/>
  <c r="AA127" i="19"/>
  <c r="AQ127" i="19"/>
  <c r="AJ127" i="19"/>
  <c r="AD127" i="19"/>
  <c r="AO127" i="19"/>
  <c r="AP127" i="19"/>
  <c r="Z127" i="19"/>
  <c r="W127" i="19"/>
  <c r="K127" i="19"/>
  <c r="L127" i="19"/>
  <c r="AF127" i="19"/>
  <c r="AN127" i="19"/>
  <c r="AS127" i="19"/>
  <c r="AC127" i="19"/>
  <c r="P127" i="19"/>
  <c r="Y127" i="19"/>
  <c r="AK127" i="19"/>
  <c r="AB127" i="19"/>
  <c r="R127" i="19"/>
  <c r="U127" i="19"/>
  <c r="D127" i="19"/>
  <c r="H127" i="19"/>
  <c r="A129" i="19"/>
  <c r="AV130" i="19"/>
  <c r="AW130" i="19" s="1"/>
  <c r="C128" i="19"/>
  <c r="J128" i="19"/>
  <c r="I128" i="19"/>
  <c r="F128" i="19"/>
  <c r="E128" i="19"/>
  <c r="H128" i="19"/>
  <c r="G128" i="19"/>
  <c r="D128" i="19"/>
  <c r="B128" i="19"/>
  <c r="E127" i="19"/>
  <c r="J127" i="19"/>
  <c r="B123" i="37" l="1"/>
  <c r="E123" i="37" s="1"/>
  <c r="C123" i="37"/>
  <c r="D123" i="37" s="1"/>
  <c r="I123" i="37"/>
  <c r="G123" i="37"/>
  <c r="H123" i="37"/>
  <c r="F123" i="37"/>
  <c r="AJ122" i="37"/>
  <c r="L122" i="37"/>
  <c r="S122" i="37"/>
  <c r="X122" i="37"/>
  <c r="AK122" i="37"/>
  <c r="AO122" i="37"/>
  <c r="AD122" i="37"/>
  <c r="Y122" i="37"/>
  <c r="AE122" i="37"/>
  <c r="AH122" i="37"/>
  <c r="AU122" i="37"/>
  <c r="T122" i="37"/>
  <c r="AA122" i="37"/>
  <c r="Z122" i="37"/>
  <c r="U122" i="37"/>
  <c r="P122" i="37"/>
  <c r="AI122" i="37"/>
  <c r="AQ122" i="37"/>
  <c r="K122" i="37"/>
  <c r="Q122" i="37"/>
  <c r="AF122" i="37"/>
  <c r="AR122" i="37"/>
  <c r="N122" i="37"/>
  <c r="AS122" i="37"/>
  <c r="AP122" i="37"/>
  <c r="AC122" i="37"/>
  <c r="V122" i="37"/>
  <c r="AT122" i="37"/>
  <c r="M122" i="37"/>
  <c r="J122" i="37"/>
  <c r="AW125" i="37"/>
  <c r="AX125" i="37" s="1"/>
  <c r="A124" i="37"/>
  <c r="D113" i="20"/>
  <c r="D113" i="38"/>
  <c r="E113" i="20"/>
  <c r="I113" i="38"/>
  <c r="C114" i="20"/>
  <c r="G114" i="20"/>
  <c r="B114" i="20"/>
  <c r="F114" i="20"/>
  <c r="E114" i="20"/>
  <c r="I114" i="20"/>
  <c r="D114" i="20"/>
  <c r="H114" i="20"/>
  <c r="K116" i="38"/>
  <c r="L116" i="38" s="1"/>
  <c r="A115" i="38"/>
  <c r="AV122" i="36"/>
  <c r="AW122" i="36" s="1"/>
  <c r="A121" i="36"/>
  <c r="A115" i="20"/>
  <c r="K116" i="20"/>
  <c r="L116" i="20" s="1"/>
  <c r="I114" i="38"/>
  <c r="F114" i="38"/>
  <c r="D114" i="38"/>
  <c r="B114" i="38"/>
  <c r="C114" i="38"/>
  <c r="H114" i="38"/>
  <c r="E114" i="38"/>
  <c r="G114" i="38"/>
  <c r="C120" i="36"/>
  <c r="B120" i="36"/>
  <c r="H120" i="36" s="1"/>
  <c r="P119" i="36"/>
  <c r="L119" i="36"/>
  <c r="AP119" i="36"/>
  <c r="S119" i="36"/>
  <c r="AQ119" i="36"/>
  <c r="AA119" i="36"/>
  <c r="AE119" i="36"/>
  <c r="U119" i="36"/>
  <c r="AG119" i="36"/>
  <c r="Y119" i="36"/>
  <c r="AH119" i="36"/>
  <c r="AC119" i="36"/>
  <c r="AI119" i="36"/>
  <c r="AD119" i="36"/>
  <c r="AS119" i="36"/>
  <c r="AL119" i="36"/>
  <c r="M119" i="36"/>
  <c r="O119" i="36"/>
  <c r="AJ119" i="36"/>
  <c r="R119" i="36"/>
  <c r="AO119" i="36"/>
  <c r="X119" i="36"/>
  <c r="AK119" i="36"/>
  <c r="Q119" i="36"/>
  <c r="AU119" i="36"/>
  <c r="K119" i="36"/>
  <c r="AR119" i="36"/>
  <c r="AB119" i="36"/>
  <c r="Z119" i="36"/>
  <c r="T119" i="36"/>
  <c r="AM119" i="36"/>
  <c r="W119" i="36"/>
  <c r="V119" i="36"/>
  <c r="AF119" i="36"/>
  <c r="AT119" i="36"/>
  <c r="AN119" i="36"/>
  <c r="N119" i="36"/>
  <c r="A130" i="19"/>
  <c r="AV131" i="19"/>
  <c r="AW131" i="19" s="1"/>
  <c r="B129" i="19"/>
  <c r="D129" i="19"/>
  <c r="J129" i="19"/>
  <c r="E129" i="19"/>
  <c r="H129" i="19"/>
  <c r="G129" i="19"/>
  <c r="F129" i="19"/>
  <c r="C129" i="19"/>
  <c r="I129" i="19"/>
  <c r="AB128" i="19"/>
  <c r="AA128" i="19"/>
  <c r="N128" i="19"/>
  <c r="AG128" i="19"/>
  <c r="Y128" i="19"/>
  <c r="AH128" i="19"/>
  <c r="V128" i="19"/>
  <c r="AF128" i="19"/>
  <c r="Z128" i="19"/>
  <c r="AR128" i="19"/>
  <c r="T128" i="19"/>
  <c r="AC128" i="19"/>
  <c r="Q128" i="19"/>
  <c r="AK128" i="19"/>
  <c r="AI128" i="19"/>
  <c r="AE128" i="19"/>
  <c r="P128" i="19"/>
  <c r="AQ128" i="19"/>
  <c r="AS128" i="19"/>
  <c r="AP128" i="19"/>
  <c r="AU128" i="19"/>
  <c r="W128" i="19"/>
  <c r="K128" i="19"/>
  <c r="AN128" i="19"/>
  <c r="L128" i="19"/>
  <c r="M128" i="19"/>
  <c r="AO128" i="19"/>
  <c r="AJ128" i="19"/>
  <c r="O128" i="19"/>
  <c r="S128" i="19"/>
  <c r="U128" i="19"/>
  <c r="AT128" i="19"/>
  <c r="X128" i="19"/>
  <c r="AL128" i="19"/>
  <c r="AD128" i="19"/>
  <c r="R128" i="19"/>
  <c r="AM128" i="19"/>
  <c r="AL123" i="37" l="1"/>
  <c r="W123" i="37"/>
  <c r="AN123" i="37"/>
  <c r="O123" i="37"/>
  <c r="AG123" i="37"/>
  <c r="AM123" i="37"/>
  <c r="R123" i="37"/>
  <c r="AB123" i="37"/>
  <c r="AW126" i="37"/>
  <c r="AX126" i="37" s="1"/>
  <c r="A125" i="37"/>
  <c r="S123" i="37"/>
  <c r="AP123" i="37"/>
  <c r="X123" i="37"/>
  <c r="N123" i="37"/>
  <c r="AF123" i="37"/>
  <c r="AR123" i="37"/>
  <c r="AT123" i="37"/>
  <c r="AC123" i="37"/>
  <c r="AJ123" i="37"/>
  <c r="AD123" i="37"/>
  <c r="AK123" i="37"/>
  <c r="L123" i="37"/>
  <c r="T123" i="37"/>
  <c r="AA123" i="37"/>
  <c r="K123" i="37"/>
  <c r="Y123" i="37"/>
  <c r="V123" i="37"/>
  <c r="AQ123" i="37"/>
  <c r="P123" i="37"/>
  <c r="AS123" i="37"/>
  <c r="AH123" i="37"/>
  <c r="AI123" i="37"/>
  <c r="AO123" i="37"/>
  <c r="U123" i="37"/>
  <c r="AE123" i="37"/>
  <c r="Q123" i="37"/>
  <c r="Z123" i="37"/>
  <c r="AU123" i="37"/>
  <c r="J123" i="37"/>
  <c r="M123" i="37"/>
  <c r="AM124" i="37"/>
  <c r="AG124" i="37"/>
  <c r="W124" i="37"/>
  <c r="O124" i="37"/>
  <c r="AN124" i="37"/>
  <c r="AL124" i="37"/>
  <c r="AB124" i="37"/>
  <c r="R124" i="37"/>
  <c r="G124" i="37"/>
  <c r="C124" i="37"/>
  <c r="J124" i="37" s="1"/>
  <c r="F124" i="37"/>
  <c r="J120" i="36"/>
  <c r="D120" i="36"/>
  <c r="G120" i="36"/>
  <c r="E120" i="36"/>
  <c r="F120" i="36"/>
  <c r="I120" i="36"/>
  <c r="AG120" i="36"/>
  <c r="AS120" i="36"/>
  <c r="AB120" i="36"/>
  <c r="S120" i="36"/>
  <c r="M120" i="36"/>
  <c r="T120" i="36"/>
  <c r="V120" i="36"/>
  <c r="N120" i="36"/>
  <c r="X120" i="36"/>
  <c r="AU120" i="36"/>
  <c r="W120" i="36"/>
  <c r="AD120" i="36"/>
  <c r="Y120" i="36"/>
  <c r="AK120" i="36"/>
  <c r="AN120" i="36"/>
  <c r="AJ120" i="36"/>
  <c r="AO120" i="36"/>
  <c r="AA120" i="36"/>
  <c r="AM120" i="36"/>
  <c r="Z120" i="36"/>
  <c r="AC120" i="36"/>
  <c r="AI120" i="36"/>
  <c r="AH120" i="36"/>
  <c r="K120" i="36"/>
  <c r="AR120" i="36"/>
  <c r="AQ120" i="36"/>
  <c r="L120" i="36"/>
  <c r="AP120" i="36"/>
  <c r="O120" i="36"/>
  <c r="AE120" i="36"/>
  <c r="AF120" i="36"/>
  <c r="U120" i="36"/>
  <c r="Q120" i="36"/>
  <c r="AL120" i="36"/>
  <c r="AT120" i="36"/>
  <c r="P120" i="36"/>
  <c r="R120" i="36"/>
  <c r="K117" i="20"/>
  <c r="L117" i="20" s="1"/>
  <c r="A116" i="20"/>
  <c r="B121" i="36"/>
  <c r="G121" i="36" s="1"/>
  <c r="C121" i="36"/>
  <c r="D115" i="38"/>
  <c r="G115" i="38"/>
  <c r="B115" i="38"/>
  <c r="F115" i="38"/>
  <c r="H115" i="38"/>
  <c r="I115" i="38"/>
  <c r="C115" i="38"/>
  <c r="E115" i="38"/>
  <c r="C115" i="20"/>
  <c r="H115" i="20"/>
  <c r="I115" i="20"/>
  <c r="D115" i="20"/>
  <c r="B115" i="20"/>
  <c r="E115" i="20"/>
  <c r="G115" i="20"/>
  <c r="F115" i="20"/>
  <c r="AV123" i="36"/>
  <c r="AW123" i="36" s="1"/>
  <c r="A122" i="36"/>
  <c r="K117" i="38"/>
  <c r="L117" i="38" s="1"/>
  <c r="A116" i="38"/>
  <c r="Z129" i="19"/>
  <c r="AG129" i="19"/>
  <c r="AN129" i="19"/>
  <c r="AR129" i="19"/>
  <c r="AO129" i="19"/>
  <c r="O129" i="19"/>
  <c r="N129" i="19"/>
  <c r="AM129" i="19"/>
  <c r="AB129" i="19"/>
  <c r="AS129" i="19"/>
  <c r="X129" i="19"/>
  <c r="AA129" i="19"/>
  <c r="V129" i="19"/>
  <c r="AL129" i="19"/>
  <c r="AH129" i="19"/>
  <c r="K129" i="19"/>
  <c r="P129" i="19"/>
  <c r="Y129" i="19"/>
  <c r="AQ129" i="19"/>
  <c r="W129" i="19"/>
  <c r="L129" i="19"/>
  <c r="AI129" i="19"/>
  <c r="U129" i="19"/>
  <c r="S129" i="19"/>
  <c r="AT129" i="19"/>
  <c r="M129" i="19"/>
  <c r="Q129" i="19"/>
  <c r="AK129" i="19"/>
  <c r="AP129" i="19"/>
  <c r="AJ129" i="19"/>
  <c r="AD129" i="19"/>
  <c r="AC129" i="19"/>
  <c r="AE129" i="19"/>
  <c r="R129" i="19"/>
  <c r="AF129" i="19"/>
  <c r="AU129" i="19"/>
  <c r="T129" i="19"/>
  <c r="A131" i="19"/>
  <c r="AV132" i="19"/>
  <c r="AW132" i="19" s="1"/>
  <c r="C130" i="19"/>
  <c r="B130" i="19"/>
  <c r="H130" i="19" s="1"/>
  <c r="AN125" i="37" l="1"/>
  <c r="AL125" i="37"/>
  <c r="W125" i="37"/>
  <c r="O125" i="37"/>
  <c r="C125" i="37"/>
  <c r="J125" i="37" s="1"/>
  <c r="F125" i="37"/>
  <c r="G125" i="37"/>
  <c r="AM125" i="37"/>
  <c r="AG125" i="37"/>
  <c r="AB125" i="37"/>
  <c r="R125" i="37"/>
  <c r="AW127" i="37"/>
  <c r="AX127" i="37" s="1"/>
  <c r="A126" i="37"/>
  <c r="E121" i="36"/>
  <c r="D121" i="36"/>
  <c r="I121" i="36"/>
  <c r="H121" i="36"/>
  <c r="F121" i="36"/>
  <c r="J121" i="36"/>
  <c r="K118" i="38"/>
  <c r="L118" i="38" s="1"/>
  <c r="A117" i="38"/>
  <c r="F116" i="38"/>
  <c r="H116" i="38"/>
  <c r="C116" i="38"/>
  <c r="B116" i="38"/>
  <c r="D116" i="38" s="1"/>
  <c r="G116" i="38"/>
  <c r="C122" i="36"/>
  <c r="B122" i="36"/>
  <c r="J122" i="36" s="1"/>
  <c r="M121" i="36"/>
  <c r="L121" i="36"/>
  <c r="P121" i="36"/>
  <c r="AS121" i="36"/>
  <c r="N121" i="36"/>
  <c r="W121" i="36"/>
  <c r="AH121" i="36"/>
  <c r="AM121" i="36"/>
  <c r="AQ121" i="36"/>
  <c r="O121" i="36"/>
  <c r="AO121" i="36"/>
  <c r="AD121" i="36"/>
  <c r="AP121" i="36"/>
  <c r="AN121" i="36"/>
  <c r="V121" i="36"/>
  <c r="AE121" i="36"/>
  <c r="R121" i="36"/>
  <c r="U121" i="36"/>
  <c r="X121" i="36"/>
  <c r="AR121" i="36"/>
  <c r="AF121" i="36"/>
  <c r="AI121" i="36"/>
  <c r="Q121" i="36"/>
  <c r="S121" i="36"/>
  <c r="AL121" i="36"/>
  <c r="K121" i="36"/>
  <c r="AT121" i="36"/>
  <c r="Y121" i="36"/>
  <c r="AB121" i="36"/>
  <c r="AC121" i="36"/>
  <c r="AG121" i="36"/>
  <c r="AA121" i="36"/>
  <c r="AU121" i="36"/>
  <c r="AJ121" i="36"/>
  <c r="AK121" i="36"/>
  <c r="Z121" i="36"/>
  <c r="T121" i="36"/>
  <c r="K118" i="20"/>
  <c r="L118" i="20" s="1"/>
  <c r="A117" i="20"/>
  <c r="AV124" i="36"/>
  <c r="AW124" i="36" s="1"/>
  <c r="A123" i="36"/>
  <c r="G116" i="20"/>
  <c r="F116" i="20"/>
  <c r="H116" i="20"/>
  <c r="C116" i="20"/>
  <c r="B116" i="20"/>
  <c r="E116" i="20" s="1"/>
  <c r="E130" i="19"/>
  <c r="J130" i="19"/>
  <c r="G130" i="19"/>
  <c r="F130" i="19"/>
  <c r="I130" i="19"/>
  <c r="AN130" i="19"/>
  <c r="AC130" i="19"/>
  <c r="T130" i="19"/>
  <c r="AE130" i="19"/>
  <c r="AB130" i="19"/>
  <c r="AK130" i="19"/>
  <c r="U130" i="19"/>
  <c r="L130" i="19"/>
  <c r="O130" i="19"/>
  <c r="N130" i="19"/>
  <c r="S130" i="19"/>
  <c r="AP130" i="19"/>
  <c r="Y130" i="19"/>
  <c r="R130" i="19"/>
  <c r="AQ130" i="19"/>
  <c r="AR130" i="19"/>
  <c r="AL130" i="19"/>
  <c r="AS130" i="19"/>
  <c r="AM130" i="19"/>
  <c r="AG130" i="19"/>
  <c r="Q130" i="19"/>
  <c r="V130" i="19"/>
  <c r="AT130" i="19"/>
  <c r="AA130" i="19"/>
  <c r="M130" i="19"/>
  <c r="AF130" i="19"/>
  <c r="AI130" i="19"/>
  <c r="AH130" i="19"/>
  <c r="Z130" i="19"/>
  <c r="P130" i="19"/>
  <c r="X130" i="19"/>
  <c r="K130" i="19"/>
  <c r="AU130" i="19"/>
  <c r="AD130" i="19"/>
  <c r="AJ130" i="19"/>
  <c r="AO130" i="19"/>
  <c r="W130" i="19"/>
  <c r="D130" i="19"/>
  <c r="C131" i="19"/>
  <c r="B131" i="19"/>
  <c r="F131" i="19" s="1"/>
  <c r="A132" i="19"/>
  <c r="AV133" i="19"/>
  <c r="AW133" i="19" s="1"/>
  <c r="AW128" i="37" l="1"/>
  <c r="AX128" i="37" s="1"/>
  <c r="A127" i="37"/>
  <c r="I126" i="37"/>
  <c r="C126" i="37"/>
  <c r="D126" i="37" s="1"/>
  <c r="B126" i="37"/>
  <c r="E126" i="37" s="1"/>
  <c r="F126" i="37"/>
  <c r="G126" i="37"/>
  <c r="H126" i="37"/>
  <c r="I116" i="38"/>
  <c r="D122" i="36"/>
  <c r="D116" i="20"/>
  <c r="E116" i="38"/>
  <c r="E122" i="36"/>
  <c r="AV125" i="36"/>
  <c r="AW125" i="36" s="1"/>
  <c r="A124" i="36"/>
  <c r="K119" i="20"/>
  <c r="L119" i="20" s="1"/>
  <c r="A118" i="20"/>
  <c r="F122" i="36"/>
  <c r="M122" i="36"/>
  <c r="AN122" i="36"/>
  <c r="AQ122" i="36"/>
  <c r="AB122" i="36"/>
  <c r="AD122" i="36"/>
  <c r="V122" i="36"/>
  <c r="AU122" i="36"/>
  <c r="W122" i="36"/>
  <c r="R122" i="36"/>
  <c r="AS122" i="36"/>
  <c r="AH122" i="36"/>
  <c r="Y122" i="36"/>
  <c r="U122" i="36"/>
  <c r="P122" i="36"/>
  <c r="AO122" i="36"/>
  <c r="N122" i="36"/>
  <c r="AL122" i="36"/>
  <c r="K122" i="36"/>
  <c r="AC122" i="36"/>
  <c r="O122" i="36"/>
  <c r="AF122" i="36"/>
  <c r="AR122" i="36"/>
  <c r="Z122" i="36"/>
  <c r="AM122" i="36"/>
  <c r="S122" i="36"/>
  <c r="AP122" i="36"/>
  <c r="AA122" i="36"/>
  <c r="AT122" i="36"/>
  <c r="AE122" i="36"/>
  <c r="AJ122" i="36"/>
  <c r="AG122" i="36"/>
  <c r="Q122" i="36"/>
  <c r="L122" i="36"/>
  <c r="T122" i="36"/>
  <c r="AK122" i="36"/>
  <c r="X122" i="36"/>
  <c r="AI122" i="36"/>
  <c r="B117" i="38"/>
  <c r="I117" i="38" s="1"/>
  <c r="C117" i="38"/>
  <c r="F117" i="38"/>
  <c r="G117" i="38"/>
  <c r="H117" i="38"/>
  <c r="I116" i="20"/>
  <c r="C123" i="36"/>
  <c r="B123" i="36"/>
  <c r="D123" i="36" s="1"/>
  <c r="B117" i="20"/>
  <c r="D117" i="20" s="1"/>
  <c r="F117" i="20"/>
  <c r="H117" i="20"/>
  <c r="C117" i="20"/>
  <c r="G117" i="20"/>
  <c r="H122" i="36"/>
  <c r="G122" i="36"/>
  <c r="I122" i="36"/>
  <c r="K119" i="38"/>
  <c r="L119" i="38" s="1"/>
  <c r="A118" i="38"/>
  <c r="E131" i="19"/>
  <c r="J131" i="19"/>
  <c r="H131" i="19"/>
  <c r="G131" i="19"/>
  <c r="I131" i="19"/>
  <c r="C132" i="19"/>
  <c r="B132" i="19"/>
  <c r="G132" i="19" s="1"/>
  <c r="D131" i="19"/>
  <c r="M131" i="19"/>
  <c r="R131" i="19"/>
  <c r="AA131" i="19"/>
  <c r="W131" i="19"/>
  <c r="AS131" i="19"/>
  <c r="AC131" i="19"/>
  <c r="AB131" i="19"/>
  <c r="AM131" i="19"/>
  <c r="AJ131" i="19"/>
  <c r="V131" i="19"/>
  <c r="X131" i="19"/>
  <c r="AK131" i="19"/>
  <c r="AG131" i="19"/>
  <c r="Y131" i="19"/>
  <c r="AE131" i="19"/>
  <c r="P131" i="19"/>
  <c r="N131" i="19"/>
  <c r="L131" i="19"/>
  <c r="AD131" i="19"/>
  <c r="AH131" i="19"/>
  <c r="AP131" i="19"/>
  <c r="AQ131" i="19"/>
  <c r="Q131" i="19"/>
  <c r="AO131" i="19"/>
  <c r="O131" i="19"/>
  <c r="S131" i="19"/>
  <c r="AT131" i="19"/>
  <c r="AN131" i="19"/>
  <c r="U131" i="19"/>
  <c r="AL131" i="19"/>
  <c r="AU131" i="19"/>
  <c r="AR131" i="19"/>
  <c r="Z131" i="19"/>
  <c r="K131" i="19"/>
  <c r="AI131" i="19"/>
  <c r="T131" i="19"/>
  <c r="AF131" i="19"/>
  <c r="A133" i="19"/>
  <c r="AV134" i="19"/>
  <c r="AW134" i="19" s="1"/>
  <c r="AG126" i="37" l="1"/>
  <c r="W126" i="37"/>
  <c r="AB126" i="37"/>
  <c r="O126" i="37"/>
  <c r="AL126" i="37"/>
  <c r="R126" i="37"/>
  <c r="AN126" i="37"/>
  <c r="AM126" i="37"/>
  <c r="AR126" i="37"/>
  <c r="AS126" i="37"/>
  <c r="AJ126" i="37"/>
  <c r="AF126" i="37"/>
  <c r="T126" i="37"/>
  <c r="AC126" i="37"/>
  <c r="Y126" i="37"/>
  <c r="AK126" i="37"/>
  <c r="AI126" i="37"/>
  <c r="AQ126" i="37"/>
  <c r="AP126" i="37"/>
  <c r="AT126" i="37"/>
  <c r="X126" i="37"/>
  <c r="AH126" i="37"/>
  <c r="AD126" i="37"/>
  <c r="AE126" i="37"/>
  <c r="Q126" i="37"/>
  <c r="AA126" i="37"/>
  <c r="V126" i="37"/>
  <c r="AU126" i="37"/>
  <c r="S126" i="37"/>
  <c r="P126" i="37"/>
  <c r="L126" i="37"/>
  <c r="N126" i="37"/>
  <c r="U126" i="37"/>
  <c r="Z126" i="37"/>
  <c r="K126" i="37"/>
  <c r="AO126" i="37"/>
  <c r="J126" i="37"/>
  <c r="M126" i="37"/>
  <c r="F127" i="37"/>
  <c r="C127" i="37"/>
  <c r="D127" i="37" s="1"/>
  <c r="H127" i="37"/>
  <c r="I127" i="37"/>
  <c r="B127" i="37"/>
  <c r="E127" i="37" s="1"/>
  <c r="G127" i="37"/>
  <c r="AW129" i="37"/>
  <c r="AX129" i="37" s="1"/>
  <c r="A128" i="37"/>
  <c r="H123" i="36"/>
  <c r="I117" i="20"/>
  <c r="G123" i="36"/>
  <c r="E123" i="36"/>
  <c r="E117" i="38"/>
  <c r="E117" i="20"/>
  <c r="K120" i="38"/>
  <c r="L120" i="38" s="1"/>
  <c r="A119" i="38"/>
  <c r="I123" i="36"/>
  <c r="J123" i="36"/>
  <c r="D117" i="38"/>
  <c r="H118" i="20"/>
  <c r="C118" i="20"/>
  <c r="F118" i="20"/>
  <c r="B118" i="20"/>
  <c r="D118" i="20" s="1"/>
  <c r="G118" i="20"/>
  <c r="C124" i="36"/>
  <c r="B124" i="36"/>
  <c r="I124" i="36" s="1"/>
  <c r="C118" i="38"/>
  <c r="H118" i="38"/>
  <c r="F118" i="38"/>
  <c r="B118" i="38"/>
  <c r="D118" i="38" s="1"/>
  <c r="G118" i="38"/>
  <c r="F123" i="36"/>
  <c r="AF123" i="36"/>
  <c r="AU123" i="36"/>
  <c r="AM123" i="36"/>
  <c r="AS123" i="36"/>
  <c r="AG123" i="36"/>
  <c r="Q123" i="36"/>
  <c r="M123" i="36"/>
  <c r="U123" i="36"/>
  <c r="AO123" i="36"/>
  <c r="Y123" i="36"/>
  <c r="AA123" i="36"/>
  <c r="T123" i="36"/>
  <c r="K123" i="36"/>
  <c r="AR123" i="36"/>
  <c r="AJ123" i="36"/>
  <c r="X123" i="36"/>
  <c r="Z123" i="36"/>
  <c r="AD123" i="36"/>
  <c r="AE123" i="36"/>
  <c r="AQ123" i="36"/>
  <c r="S123" i="36"/>
  <c r="AH123" i="36"/>
  <c r="P123" i="36"/>
  <c r="V123" i="36"/>
  <c r="AB123" i="36"/>
  <c r="L123" i="36"/>
  <c r="N123" i="36"/>
  <c r="AP123" i="36"/>
  <c r="AT123" i="36"/>
  <c r="O123" i="36"/>
  <c r="AN123" i="36"/>
  <c r="AC123" i="36"/>
  <c r="AI123" i="36"/>
  <c r="W123" i="36"/>
  <c r="R123" i="36"/>
  <c r="AL123" i="36"/>
  <c r="AK123" i="36"/>
  <c r="K120" i="20"/>
  <c r="L120" i="20" s="1"/>
  <c r="A119" i="20"/>
  <c r="AV126" i="36"/>
  <c r="AW126" i="36" s="1"/>
  <c r="A125" i="36"/>
  <c r="H132" i="19"/>
  <c r="J132" i="19"/>
  <c r="I132" i="19"/>
  <c r="F132" i="19"/>
  <c r="C133" i="19"/>
  <c r="B133" i="19"/>
  <c r="D133" i="19" s="1"/>
  <c r="A134" i="19"/>
  <c r="AV135" i="19"/>
  <c r="AW135" i="19" s="1"/>
  <c r="D132" i="19"/>
  <c r="E132" i="19"/>
  <c r="N132" i="19"/>
  <c r="Z132" i="19"/>
  <c r="T132" i="19"/>
  <c r="K132" i="19"/>
  <c r="AL132" i="19"/>
  <c r="Q132" i="19"/>
  <c r="S132" i="19"/>
  <c r="AJ132" i="19"/>
  <c r="R132" i="19"/>
  <c r="U132" i="19"/>
  <c r="AG132" i="19"/>
  <c r="AK132" i="19"/>
  <c r="AT132" i="19"/>
  <c r="AB132" i="19"/>
  <c r="AA132" i="19"/>
  <c r="AN132" i="19"/>
  <c r="W132" i="19"/>
  <c r="O132" i="19"/>
  <c r="AI132" i="19"/>
  <c r="V132" i="19"/>
  <c r="AH132" i="19"/>
  <c r="AR132" i="19"/>
  <c r="P132" i="19"/>
  <c r="AQ132" i="19"/>
  <c r="AC132" i="19"/>
  <c r="Y132" i="19"/>
  <c r="M132" i="19"/>
  <c r="AU132" i="19"/>
  <c r="AM132" i="19"/>
  <c r="X132" i="19"/>
  <c r="AE132" i="19"/>
  <c r="AP132" i="19"/>
  <c r="AD132" i="19"/>
  <c r="AF132" i="19"/>
  <c r="L132" i="19"/>
  <c r="AS132" i="19"/>
  <c r="AO132" i="19"/>
  <c r="AM127" i="37" l="1"/>
  <c r="AG127" i="37"/>
  <c r="AL127" i="37"/>
  <c r="O127" i="37"/>
  <c r="W127" i="37"/>
  <c r="R127" i="37"/>
  <c r="AN127" i="37"/>
  <c r="AB127" i="37"/>
  <c r="AW130" i="37"/>
  <c r="AX130" i="37" s="1"/>
  <c r="A129" i="37"/>
  <c r="S127" i="37"/>
  <c r="V127" i="37"/>
  <c r="AI127" i="37"/>
  <c r="Y127" i="37"/>
  <c r="AQ127" i="37"/>
  <c r="AO127" i="37"/>
  <c r="AD127" i="37"/>
  <c r="AP127" i="37"/>
  <c r="X127" i="37"/>
  <c r="AR127" i="37"/>
  <c r="AS127" i="37"/>
  <c r="AK127" i="37"/>
  <c r="L127" i="37"/>
  <c r="AF127" i="37"/>
  <c r="N127" i="37"/>
  <c r="AE127" i="37"/>
  <c r="T127" i="37"/>
  <c r="AT127" i="37"/>
  <c r="Q127" i="37"/>
  <c r="K127" i="37"/>
  <c r="AC127" i="37"/>
  <c r="Z127" i="37"/>
  <c r="AH127" i="37"/>
  <c r="AA127" i="37"/>
  <c r="P127" i="37"/>
  <c r="AU127" i="37"/>
  <c r="AJ127" i="37"/>
  <c r="U127" i="37"/>
  <c r="J127" i="37"/>
  <c r="M127" i="37"/>
  <c r="G128" i="37"/>
  <c r="C128" i="37"/>
  <c r="O128" i="37" s="1"/>
  <c r="B128" i="37"/>
  <c r="E128" i="37" s="1"/>
  <c r="I128" i="37"/>
  <c r="F128" i="37"/>
  <c r="H128" i="37"/>
  <c r="I118" i="20"/>
  <c r="E118" i="38"/>
  <c r="H124" i="36"/>
  <c r="J124" i="36"/>
  <c r="F124" i="36"/>
  <c r="E118" i="20"/>
  <c r="G124" i="36"/>
  <c r="E124" i="36"/>
  <c r="D124" i="36"/>
  <c r="B125" i="36"/>
  <c r="F125" i="36" s="1"/>
  <c r="C125" i="36"/>
  <c r="H119" i="20"/>
  <c r="C119" i="20"/>
  <c r="F119" i="20"/>
  <c r="G119" i="20"/>
  <c r="B119" i="20"/>
  <c r="D119" i="20" s="1"/>
  <c r="I118" i="38"/>
  <c r="AT124" i="36"/>
  <c r="R124" i="36"/>
  <c r="U124" i="36"/>
  <c r="K124" i="36"/>
  <c r="V124" i="36"/>
  <c r="AF124" i="36"/>
  <c r="AA124" i="36"/>
  <c r="X124" i="36"/>
  <c r="AP124" i="36"/>
  <c r="AH124" i="36"/>
  <c r="AQ124" i="36"/>
  <c r="AD124" i="36"/>
  <c r="L124" i="36"/>
  <c r="AI124" i="36"/>
  <c r="Z124" i="36"/>
  <c r="N124" i="36"/>
  <c r="Q124" i="36"/>
  <c r="AC124" i="36"/>
  <c r="AO124" i="36"/>
  <c r="AL124" i="36"/>
  <c r="AU124" i="36"/>
  <c r="T124" i="36"/>
  <c r="AM124" i="36"/>
  <c r="AJ124" i="36"/>
  <c r="AS124" i="36"/>
  <c r="AN124" i="36"/>
  <c r="AK124" i="36"/>
  <c r="AB124" i="36"/>
  <c r="AR124" i="36"/>
  <c r="AG124" i="36"/>
  <c r="Y124" i="36"/>
  <c r="O124" i="36"/>
  <c r="P124" i="36"/>
  <c r="S124" i="36"/>
  <c r="AE124" i="36"/>
  <c r="W124" i="36"/>
  <c r="M124" i="36"/>
  <c r="G119" i="38"/>
  <c r="F119" i="38"/>
  <c r="C119" i="38"/>
  <c r="H119" i="38"/>
  <c r="B119" i="38"/>
  <c r="D119" i="38" s="1"/>
  <c r="AV127" i="36"/>
  <c r="AW127" i="36" s="1"/>
  <c r="A126" i="36"/>
  <c r="K121" i="20"/>
  <c r="L121" i="20" s="1"/>
  <c r="A120" i="20"/>
  <c r="K121" i="38"/>
  <c r="L121" i="38" s="1"/>
  <c r="A120" i="38"/>
  <c r="H133" i="19"/>
  <c r="J133" i="19"/>
  <c r="G133" i="19"/>
  <c r="I133" i="19"/>
  <c r="E133" i="19"/>
  <c r="A135" i="19"/>
  <c r="AV136" i="19"/>
  <c r="AW136" i="19" s="1"/>
  <c r="C134" i="19"/>
  <c r="B134" i="19"/>
  <c r="H134" i="19" s="1"/>
  <c r="F133" i="19"/>
  <c r="Q133" i="19"/>
  <c r="AD133" i="19"/>
  <c r="Y133" i="19"/>
  <c r="AF133" i="19"/>
  <c r="N133" i="19"/>
  <c r="AP133" i="19"/>
  <c r="AS133" i="19"/>
  <c r="O133" i="19"/>
  <c r="L133" i="19"/>
  <c r="AA133" i="19"/>
  <c r="AG133" i="19"/>
  <c r="AI133" i="19"/>
  <c r="T133" i="19"/>
  <c r="AL133" i="19"/>
  <c r="R133" i="19"/>
  <c r="AE133" i="19"/>
  <c r="AK133" i="19"/>
  <c r="AQ133" i="19"/>
  <c r="V133" i="19"/>
  <c r="AM133" i="19"/>
  <c r="AN133" i="19"/>
  <c r="K133" i="19"/>
  <c r="Z133" i="19"/>
  <c r="P133" i="19"/>
  <c r="AB133" i="19"/>
  <c r="U133" i="19"/>
  <c r="AR133" i="19"/>
  <c r="AH133" i="19"/>
  <c r="M133" i="19"/>
  <c r="W133" i="19"/>
  <c r="AU133" i="19"/>
  <c r="AO133" i="19"/>
  <c r="AJ133" i="19"/>
  <c r="AT133" i="19"/>
  <c r="S133" i="19"/>
  <c r="AC133" i="19"/>
  <c r="X133" i="19"/>
  <c r="AM128" i="37" l="1"/>
  <c r="AL128" i="37"/>
  <c r="W128" i="37"/>
  <c r="AG128" i="37"/>
  <c r="AB128" i="37"/>
  <c r="R128" i="37"/>
  <c r="AN128" i="37"/>
  <c r="D128" i="37"/>
  <c r="AF128" i="37"/>
  <c r="X128" i="37"/>
  <c r="AO128" i="37"/>
  <c r="AK128" i="37"/>
  <c r="V128" i="37"/>
  <c r="L128" i="37"/>
  <c r="AH128" i="37"/>
  <c r="AS128" i="37"/>
  <c r="U128" i="37"/>
  <c r="AD128" i="37"/>
  <c r="Y128" i="37"/>
  <c r="P128" i="37"/>
  <c r="Q128" i="37"/>
  <c r="AU128" i="37"/>
  <c r="AP128" i="37"/>
  <c r="T128" i="37"/>
  <c r="AI128" i="37"/>
  <c r="AC128" i="37"/>
  <c r="AT128" i="37"/>
  <c r="N128" i="37"/>
  <c r="Z128" i="37"/>
  <c r="AQ128" i="37"/>
  <c r="AE128" i="37"/>
  <c r="AR128" i="37"/>
  <c r="AA128" i="37"/>
  <c r="AJ128" i="37"/>
  <c r="K128" i="37"/>
  <c r="S128" i="37"/>
  <c r="J128" i="37"/>
  <c r="M128" i="37"/>
  <c r="C129" i="37"/>
  <c r="W129" i="37" s="1"/>
  <c r="G129" i="37"/>
  <c r="I129" i="37"/>
  <c r="F129" i="37"/>
  <c r="H129" i="37"/>
  <c r="B129" i="37"/>
  <c r="E129" i="37" s="1"/>
  <c r="AW131" i="37"/>
  <c r="AX131" i="37" s="1"/>
  <c r="A130" i="37"/>
  <c r="H125" i="36"/>
  <c r="G125" i="36"/>
  <c r="I119" i="38"/>
  <c r="D125" i="36"/>
  <c r="E119" i="38"/>
  <c r="I119" i="20"/>
  <c r="C120" i="38"/>
  <c r="H120" i="38"/>
  <c r="B120" i="38"/>
  <c r="I120" i="38" s="1"/>
  <c r="F120" i="38"/>
  <c r="G120" i="38"/>
  <c r="G120" i="20"/>
  <c r="C120" i="20"/>
  <c r="F120" i="20"/>
  <c r="B120" i="20"/>
  <c r="I120" i="20" s="1"/>
  <c r="H120" i="20"/>
  <c r="G126" i="36"/>
  <c r="D126" i="36"/>
  <c r="C126" i="36"/>
  <c r="E126" i="36"/>
  <c r="J126" i="36"/>
  <c r="B126" i="36"/>
  <c r="H126" i="36"/>
  <c r="F126" i="36"/>
  <c r="I126" i="36"/>
  <c r="E119" i="20"/>
  <c r="E125" i="36"/>
  <c r="I125" i="36"/>
  <c r="K122" i="38"/>
  <c r="L122" i="38" s="1"/>
  <c r="A121" i="38"/>
  <c r="K122" i="20"/>
  <c r="L122" i="20" s="1"/>
  <c r="A121" i="20"/>
  <c r="AV128" i="36"/>
  <c r="AW128" i="36" s="1"/>
  <c r="A127" i="36"/>
  <c r="J125" i="36"/>
  <c r="L125" i="36"/>
  <c r="AB125" i="36"/>
  <c r="AF125" i="36"/>
  <c r="T125" i="36"/>
  <c r="AN125" i="36"/>
  <c r="AR125" i="36"/>
  <c r="AI125" i="36"/>
  <c r="AE125" i="36"/>
  <c r="O125" i="36"/>
  <c r="AU125" i="36"/>
  <c r="K125" i="36"/>
  <c r="V125" i="36"/>
  <c r="R125" i="36"/>
  <c r="AL125" i="36"/>
  <c r="AK125" i="36"/>
  <c r="Z125" i="36"/>
  <c r="AO125" i="36"/>
  <c r="AQ125" i="36"/>
  <c r="AJ125" i="36"/>
  <c r="N125" i="36"/>
  <c r="U125" i="36"/>
  <c r="W125" i="36"/>
  <c r="AM125" i="36"/>
  <c r="Q125" i="36"/>
  <c r="AH125" i="36"/>
  <c r="Y125" i="36"/>
  <c r="AS125" i="36"/>
  <c r="M125" i="36"/>
  <c r="P125" i="36"/>
  <c r="AT125" i="36"/>
  <c r="AG125" i="36"/>
  <c r="X125" i="36"/>
  <c r="AC125" i="36"/>
  <c r="AA125" i="36"/>
  <c r="AD125" i="36"/>
  <c r="S125" i="36"/>
  <c r="AP125" i="36"/>
  <c r="D134" i="19"/>
  <c r="J134" i="19"/>
  <c r="G134" i="19"/>
  <c r="E134" i="19"/>
  <c r="I134" i="19"/>
  <c r="F134" i="19"/>
  <c r="K134" i="19"/>
  <c r="AB134" i="19"/>
  <c r="X134" i="19"/>
  <c r="M134" i="19"/>
  <c r="S134" i="19"/>
  <c r="Y134" i="19"/>
  <c r="T134" i="19"/>
  <c r="N134" i="19"/>
  <c r="AP134" i="19"/>
  <c r="AO134" i="19"/>
  <c r="L134" i="19"/>
  <c r="AJ134" i="19"/>
  <c r="Z134" i="19"/>
  <c r="AK134" i="19"/>
  <c r="AE134" i="19"/>
  <c r="AF134" i="19"/>
  <c r="AH134" i="19"/>
  <c r="P134" i="19"/>
  <c r="AC134" i="19"/>
  <c r="R134" i="19"/>
  <c r="AT134" i="19"/>
  <c r="Q134" i="19"/>
  <c r="O134" i="19"/>
  <c r="V134" i="19"/>
  <c r="W134" i="19"/>
  <c r="AR134" i="19"/>
  <c r="AI134" i="19"/>
  <c r="AD134" i="19"/>
  <c r="AM134" i="19"/>
  <c r="AL134" i="19"/>
  <c r="U134" i="19"/>
  <c r="AA134" i="19"/>
  <c r="AQ134" i="19"/>
  <c r="AU134" i="19"/>
  <c r="AG134" i="19"/>
  <c r="AS134" i="19"/>
  <c r="AN134" i="19"/>
  <c r="A136" i="19"/>
  <c r="AV137" i="19"/>
  <c r="AW137" i="19" s="1"/>
  <c r="C135" i="19"/>
  <c r="B135" i="19"/>
  <c r="G135" i="19" s="1"/>
  <c r="O129" i="37" l="1"/>
  <c r="AM129" i="37"/>
  <c r="AN129" i="37"/>
  <c r="AL129" i="37"/>
  <c r="R129" i="37"/>
  <c r="AG129" i="37"/>
  <c r="AB129" i="37"/>
  <c r="AW132" i="37"/>
  <c r="A131" i="37"/>
  <c r="D129" i="37"/>
  <c r="N129" i="37"/>
  <c r="AH129" i="37"/>
  <c r="AE129" i="37"/>
  <c r="AA129" i="37"/>
  <c r="T129" i="37"/>
  <c r="AI129" i="37"/>
  <c r="V129" i="37"/>
  <c r="AK129" i="37"/>
  <c r="K129" i="37"/>
  <c r="AF129" i="37"/>
  <c r="L129" i="37"/>
  <c r="S129" i="37"/>
  <c r="AO129" i="37"/>
  <c r="AU129" i="37"/>
  <c r="AJ129" i="37"/>
  <c r="U129" i="37"/>
  <c r="Y129" i="37"/>
  <c r="AR129" i="37"/>
  <c r="Q129" i="37"/>
  <c r="AD129" i="37"/>
  <c r="AC129" i="37"/>
  <c r="AS129" i="37"/>
  <c r="AT129" i="37"/>
  <c r="X129" i="37"/>
  <c r="Z129" i="37"/>
  <c r="P129" i="37"/>
  <c r="AQ129" i="37"/>
  <c r="AP129" i="37"/>
  <c r="J129" i="37"/>
  <c r="M129" i="37"/>
  <c r="F130" i="37"/>
  <c r="C130" i="37"/>
  <c r="D130" i="37" s="1"/>
  <c r="G130" i="37"/>
  <c r="I130" i="37"/>
  <c r="H130" i="37"/>
  <c r="B130" i="37"/>
  <c r="E130" i="37" s="1"/>
  <c r="D120" i="20"/>
  <c r="E120" i="38"/>
  <c r="AV129" i="36"/>
  <c r="AW129" i="36" s="1"/>
  <c r="A128" i="36"/>
  <c r="A122" i="20"/>
  <c r="K123" i="20"/>
  <c r="L123" i="20" s="1"/>
  <c r="K123" i="38"/>
  <c r="L123" i="38" s="1"/>
  <c r="A122" i="38"/>
  <c r="D127" i="36"/>
  <c r="F127" i="36"/>
  <c r="B127" i="36"/>
  <c r="C127" i="36"/>
  <c r="J127" i="36"/>
  <c r="E127" i="36"/>
  <c r="H127" i="36"/>
  <c r="I127" i="36"/>
  <c r="G127" i="36"/>
  <c r="B121" i="20"/>
  <c r="E121" i="20" s="1"/>
  <c r="G121" i="20"/>
  <c r="C121" i="20"/>
  <c r="F121" i="20"/>
  <c r="H121" i="20"/>
  <c r="F121" i="38"/>
  <c r="G121" i="38"/>
  <c r="H121" i="38"/>
  <c r="B121" i="38"/>
  <c r="E121" i="38" s="1"/>
  <c r="C121" i="38"/>
  <c r="Y126" i="36"/>
  <c r="V126" i="36"/>
  <c r="AI126" i="36"/>
  <c r="AO126" i="36"/>
  <c r="AH126" i="36"/>
  <c r="AU126" i="36"/>
  <c r="AJ126" i="36"/>
  <c r="AK126" i="36"/>
  <c r="AS126" i="36"/>
  <c r="W126" i="36"/>
  <c r="N126" i="36"/>
  <c r="AD126" i="36"/>
  <c r="Z126" i="36"/>
  <c r="Q126" i="36"/>
  <c r="AC126" i="36"/>
  <c r="AM126" i="36"/>
  <c r="S126" i="36"/>
  <c r="AA126" i="36"/>
  <c r="K126" i="36"/>
  <c r="P126" i="36"/>
  <c r="T126" i="36"/>
  <c r="AL126" i="36"/>
  <c r="AR126" i="36"/>
  <c r="AG126" i="36"/>
  <c r="M126" i="36"/>
  <c r="AN126" i="36"/>
  <c r="X126" i="36"/>
  <c r="AE126" i="36"/>
  <c r="AP126" i="36"/>
  <c r="AF126" i="36"/>
  <c r="AB126" i="36"/>
  <c r="U126" i="36"/>
  <c r="L126" i="36"/>
  <c r="R126" i="36"/>
  <c r="AT126" i="36"/>
  <c r="AQ126" i="36"/>
  <c r="O126" i="36"/>
  <c r="E120" i="20"/>
  <c r="D120" i="38"/>
  <c r="H135" i="19"/>
  <c r="D135" i="19"/>
  <c r="I135" i="19"/>
  <c r="J135" i="19"/>
  <c r="E135" i="19"/>
  <c r="F135" i="19"/>
  <c r="AT135" i="19"/>
  <c r="Y135" i="19"/>
  <c r="AB135" i="19"/>
  <c r="N135" i="19"/>
  <c r="AQ135" i="19"/>
  <c r="Q135" i="19"/>
  <c r="K135" i="19"/>
  <c r="AC135" i="19"/>
  <c r="AH135" i="19"/>
  <c r="AS135" i="19"/>
  <c r="S135" i="19"/>
  <c r="T135" i="19"/>
  <c r="AJ135" i="19"/>
  <c r="O135" i="19"/>
  <c r="Z135" i="19"/>
  <c r="AR135" i="19"/>
  <c r="AL135" i="19"/>
  <c r="U135" i="19"/>
  <c r="AN135" i="19"/>
  <c r="X135" i="19"/>
  <c r="W135" i="19"/>
  <c r="AG135" i="19"/>
  <c r="AP135" i="19"/>
  <c r="AE135" i="19"/>
  <c r="P135" i="19"/>
  <c r="AU135" i="19"/>
  <c r="AD135" i="19"/>
  <c r="AK135" i="19"/>
  <c r="M135" i="19"/>
  <c r="AM135" i="19"/>
  <c r="AF135" i="19"/>
  <c r="V135" i="19"/>
  <c r="R135" i="19"/>
  <c r="AI135" i="19"/>
  <c r="AA135" i="19"/>
  <c r="L135" i="19"/>
  <c r="AO135" i="19"/>
  <c r="A137" i="19"/>
  <c r="AV138" i="19"/>
  <c r="AW138" i="19" s="1"/>
  <c r="E136" i="19"/>
  <c r="F136" i="19"/>
  <c r="G136" i="19"/>
  <c r="D136" i="19"/>
  <c r="C136" i="19"/>
  <c r="J136" i="19"/>
  <c r="B136" i="19"/>
  <c r="I136" i="19"/>
  <c r="H136" i="19"/>
  <c r="AM130" i="37" l="1"/>
  <c r="R130" i="37"/>
  <c r="AN130" i="37"/>
  <c r="O130" i="37"/>
  <c r="W130" i="37"/>
  <c r="AB130" i="37"/>
  <c r="AG130" i="37"/>
  <c r="AL130" i="37"/>
  <c r="G131" i="37"/>
  <c r="C131" i="37"/>
  <c r="D131" i="37" s="1"/>
  <c r="F131" i="37"/>
  <c r="I131" i="37"/>
  <c r="B131" i="37"/>
  <c r="E131" i="37" s="1"/>
  <c r="H131" i="37"/>
  <c r="AK130" i="37"/>
  <c r="N130" i="37"/>
  <c r="AE130" i="37"/>
  <c r="AU130" i="37"/>
  <c r="AD130" i="37"/>
  <c r="AF130" i="37"/>
  <c r="AC130" i="37"/>
  <c r="AT130" i="37"/>
  <c r="T130" i="37"/>
  <c r="P130" i="37"/>
  <c r="AH130" i="37"/>
  <c r="AR130" i="37"/>
  <c r="Z130" i="37"/>
  <c r="AQ130" i="37"/>
  <c r="K130" i="37"/>
  <c r="L130" i="37"/>
  <c r="X130" i="37"/>
  <c r="AS130" i="37"/>
  <c r="Y130" i="37"/>
  <c r="AO130" i="37"/>
  <c r="S130" i="37"/>
  <c r="AI130" i="37"/>
  <c r="Q130" i="37"/>
  <c r="U130" i="37"/>
  <c r="AJ130" i="37"/>
  <c r="AA130" i="37"/>
  <c r="V130" i="37"/>
  <c r="AP130" i="37"/>
  <c r="J130" i="37"/>
  <c r="M130" i="37"/>
  <c r="AX132" i="37"/>
  <c r="B132" i="37"/>
  <c r="E132" i="37" s="1"/>
  <c r="I132" i="37"/>
  <c r="H132" i="37"/>
  <c r="F132" i="37"/>
  <c r="G132" i="37"/>
  <c r="I121" i="38"/>
  <c r="I121" i="20"/>
  <c r="D121" i="38"/>
  <c r="D121" i="20"/>
  <c r="G122" i="38"/>
  <c r="C122" i="38"/>
  <c r="E122" i="38"/>
  <c r="B122" i="38"/>
  <c r="D122" i="38"/>
  <c r="I122" i="38"/>
  <c r="F122" i="38"/>
  <c r="H122" i="38"/>
  <c r="A123" i="20"/>
  <c r="K124" i="20"/>
  <c r="L124" i="20" s="1"/>
  <c r="C128" i="36"/>
  <c r="B128" i="36"/>
  <c r="E128" i="36" s="1"/>
  <c r="AN127" i="36"/>
  <c r="M127" i="36"/>
  <c r="AF127" i="36"/>
  <c r="N127" i="36"/>
  <c r="S127" i="36"/>
  <c r="U127" i="36"/>
  <c r="AM127" i="36"/>
  <c r="L127" i="36"/>
  <c r="AC127" i="36"/>
  <c r="X127" i="36"/>
  <c r="V127" i="36"/>
  <c r="AH127" i="36"/>
  <c r="P127" i="36"/>
  <c r="W127" i="36"/>
  <c r="AJ127" i="36"/>
  <c r="R127" i="36"/>
  <c r="AA127" i="36"/>
  <c r="AR127" i="36"/>
  <c r="Q127" i="36"/>
  <c r="AI127" i="36"/>
  <c r="O127" i="36"/>
  <c r="AS127" i="36"/>
  <c r="AB127" i="36"/>
  <c r="AO127" i="36"/>
  <c r="T127" i="36"/>
  <c r="AD127" i="36"/>
  <c r="K127" i="36"/>
  <c r="AK127" i="36"/>
  <c r="Y127" i="36"/>
  <c r="AE127" i="36"/>
  <c r="AT127" i="36"/>
  <c r="AQ127" i="36"/>
  <c r="AG127" i="36"/>
  <c r="AP127" i="36"/>
  <c r="AU127" i="36"/>
  <c r="Z127" i="36"/>
  <c r="AL127" i="36"/>
  <c r="K124" i="38"/>
  <c r="L124" i="38" s="1"/>
  <c r="A123" i="38"/>
  <c r="D122" i="20"/>
  <c r="F122" i="20"/>
  <c r="H122" i="20"/>
  <c r="C122" i="20"/>
  <c r="E122" i="20"/>
  <c r="I122" i="20"/>
  <c r="B122" i="20"/>
  <c r="G122" i="20"/>
  <c r="AV130" i="36"/>
  <c r="AW130" i="36" s="1"/>
  <c r="A129" i="36"/>
  <c r="A138" i="19"/>
  <c r="AV139" i="19"/>
  <c r="AW139" i="19" s="1"/>
  <c r="AJ136" i="19"/>
  <c r="AE136" i="19"/>
  <c r="AF136" i="19"/>
  <c r="U136" i="19"/>
  <c r="AA136" i="19"/>
  <c r="Q136" i="19"/>
  <c r="T136" i="19"/>
  <c r="AU136" i="19"/>
  <c r="AQ136" i="19"/>
  <c r="Y136" i="19"/>
  <c r="AH136" i="19"/>
  <c r="K136" i="19"/>
  <c r="AS136" i="19"/>
  <c r="AR136" i="19"/>
  <c r="AM136" i="19"/>
  <c r="X136" i="19"/>
  <c r="AO136" i="19"/>
  <c r="AB136" i="19"/>
  <c r="L136" i="19"/>
  <c r="R136" i="19"/>
  <c r="AC136" i="19"/>
  <c r="AG136" i="19"/>
  <c r="AL136" i="19"/>
  <c r="AK136" i="19"/>
  <c r="AI136" i="19"/>
  <c r="AN136" i="19"/>
  <c r="M136" i="19"/>
  <c r="Z136" i="19"/>
  <c r="AP136" i="19"/>
  <c r="V136" i="19"/>
  <c r="P136" i="19"/>
  <c r="O136" i="19"/>
  <c r="W136" i="19"/>
  <c r="N136" i="19"/>
  <c r="AD136" i="19"/>
  <c r="S136" i="19"/>
  <c r="AT136" i="19"/>
  <c r="D137" i="19"/>
  <c r="J137" i="19"/>
  <c r="E137" i="19"/>
  <c r="G137" i="19"/>
  <c r="F137" i="19"/>
  <c r="C137" i="19"/>
  <c r="B137" i="19"/>
  <c r="H137" i="19"/>
  <c r="I137" i="19"/>
  <c r="AM131" i="37" l="1"/>
  <c r="AG131" i="37"/>
  <c r="AL131" i="37"/>
  <c r="O131" i="37"/>
  <c r="W131" i="37"/>
  <c r="R131" i="37"/>
  <c r="AN131" i="37"/>
  <c r="AB131" i="37"/>
  <c r="AW133" i="37"/>
  <c r="C132" i="37"/>
  <c r="Z131" i="37"/>
  <c r="L131" i="37"/>
  <c r="AQ131" i="37"/>
  <c r="AR131" i="37"/>
  <c r="Y131" i="37"/>
  <c r="AA131" i="37"/>
  <c r="AC131" i="37"/>
  <c r="P131" i="37"/>
  <c r="K131" i="37"/>
  <c r="AE131" i="37"/>
  <c r="T131" i="37"/>
  <c r="Q131" i="37"/>
  <c r="AJ131" i="37"/>
  <c r="AI131" i="37"/>
  <c r="AO131" i="37"/>
  <c r="S131" i="37"/>
  <c r="X131" i="37"/>
  <c r="V131" i="37"/>
  <c r="AP131" i="37"/>
  <c r="AF131" i="37"/>
  <c r="AH131" i="37"/>
  <c r="N131" i="37"/>
  <c r="AS131" i="37"/>
  <c r="AD131" i="37"/>
  <c r="AU131" i="37"/>
  <c r="AK131" i="37"/>
  <c r="U131" i="37"/>
  <c r="AT131" i="37"/>
  <c r="J131" i="37"/>
  <c r="M131" i="37"/>
  <c r="I128" i="36"/>
  <c r="G128" i="36"/>
  <c r="J128" i="36"/>
  <c r="H128" i="36"/>
  <c r="D128" i="36"/>
  <c r="F128" i="36"/>
  <c r="D129" i="36"/>
  <c r="J129" i="36"/>
  <c r="G129" i="36"/>
  <c r="I129" i="36"/>
  <c r="B129" i="36"/>
  <c r="C129" i="36"/>
  <c r="E129" i="36"/>
  <c r="F129" i="36"/>
  <c r="H129" i="36"/>
  <c r="I123" i="38"/>
  <c r="D123" i="38"/>
  <c r="B123" i="38"/>
  <c r="F123" i="38"/>
  <c r="C123" i="38"/>
  <c r="G123" i="38"/>
  <c r="E123" i="38"/>
  <c r="H123" i="38"/>
  <c r="Y128" i="36"/>
  <c r="AD128" i="36"/>
  <c r="AO128" i="36"/>
  <c r="Z128" i="36"/>
  <c r="AG128" i="36"/>
  <c r="U128" i="36"/>
  <c r="AC128" i="36"/>
  <c r="L128" i="36"/>
  <c r="AT128" i="36"/>
  <c r="K128" i="36"/>
  <c r="AJ128" i="36"/>
  <c r="Q128" i="36"/>
  <c r="M128" i="36"/>
  <c r="AQ128" i="36"/>
  <c r="AF128" i="36"/>
  <c r="AU128" i="36"/>
  <c r="V128" i="36"/>
  <c r="AB128" i="36"/>
  <c r="O128" i="36"/>
  <c r="AI128" i="36"/>
  <c r="AL128" i="36"/>
  <c r="AN128" i="36"/>
  <c r="AR128" i="36"/>
  <c r="AA128" i="36"/>
  <c r="R128" i="36"/>
  <c r="AS128" i="36"/>
  <c r="S128" i="36"/>
  <c r="N128" i="36"/>
  <c r="W128" i="36"/>
  <c r="AK128" i="36"/>
  <c r="T128" i="36"/>
  <c r="P128" i="36"/>
  <c r="AE128" i="36"/>
  <c r="AH128" i="36"/>
  <c r="X128" i="36"/>
  <c r="AP128" i="36"/>
  <c r="AM128" i="36"/>
  <c r="K125" i="20"/>
  <c r="L125" i="20" s="1"/>
  <c r="A124" i="20"/>
  <c r="AV131" i="36"/>
  <c r="AW131" i="36" s="1"/>
  <c r="A130" i="36"/>
  <c r="K125" i="38"/>
  <c r="L125" i="38" s="1"/>
  <c r="A124" i="38"/>
  <c r="E123" i="20"/>
  <c r="C123" i="20"/>
  <c r="I123" i="20"/>
  <c r="H123" i="20"/>
  <c r="B123" i="20"/>
  <c r="D123" i="20"/>
  <c r="F123" i="20"/>
  <c r="G123" i="20"/>
  <c r="S137" i="19"/>
  <c r="AR137" i="19"/>
  <c r="AT137" i="19"/>
  <c r="AG137" i="19"/>
  <c r="AO137" i="19"/>
  <c r="O137" i="19"/>
  <c r="AK137" i="19"/>
  <c r="Q137" i="19"/>
  <c r="AN137" i="19"/>
  <c r="U137" i="19"/>
  <c r="AC137" i="19"/>
  <c r="R137" i="19"/>
  <c r="AU137" i="19"/>
  <c r="T137" i="19"/>
  <c r="L137" i="19"/>
  <c r="Y137" i="19"/>
  <c r="AP137" i="19"/>
  <c r="Z137" i="19"/>
  <c r="AA137" i="19"/>
  <c r="AF137" i="19"/>
  <c r="P137" i="19"/>
  <c r="AI137" i="19"/>
  <c r="W137" i="19"/>
  <c r="AL137" i="19"/>
  <c r="AE137" i="19"/>
  <c r="N137" i="19"/>
  <c r="AB137" i="19"/>
  <c r="AM137" i="19"/>
  <c r="K137" i="19"/>
  <c r="AH137" i="19"/>
  <c r="V137" i="19"/>
  <c r="AQ137" i="19"/>
  <c r="AS137" i="19"/>
  <c r="AJ137" i="19"/>
  <c r="M137" i="19"/>
  <c r="AD137" i="19"/>
  <c r="X137" i="19"/>
  <c r="AV140" i="19"/>
  <c r="AW140" i="19" s="1"/>
  <c r="A139" i="19"/>
  <c r="B138" i="19"/>
  <c r="D138" i="19" s="1"/>
  <c r="C138" i="19"/>
  <c r="AR132" i="37" l="1"/>
  <c r="AT132" i="37"/>
  <c r="T132" i="37"/>
  <c r="N132" i="37"/>
  <c r="AU132" i="37"/>
  <c r="U132" i="37"/>
  <c r="AP132" i="37"/>
  <c r="K132" i="37"/>
  <c r="Z132" i="37"/>
  <c r="D132" i="37"/>
  <c r="AK132" i="37"/>
  <c r="AI132" i="37"/>
  <c r="P132" i="37"/>
  <c r="S132" i="37"/>
  <c r="AD132" i="37"/>
  <c r="AQ132" i="37"/>
  <c r="AE132" i="37"/>
  <c r="X132" i="37"/>
  <c r="AA132" i="37"/>
  <c r="AO132" i="37"/>
  <c r="L132" i="37"/>
  <c r="AF132" i="37"/>
  <c r="Q132" i="37"/>
  <c r="AS132" i="37"/>
  <c r="AC132" i="37"/>
  <c r="Y132" i="37"/>
  <c r="V132" i="37"/>
  <c r="AH132" i="37"/>
  <c r="AJ132" i="37"/>
  <c r="O132" i="37"/>
  <c r="J132" i="37"/>
  <c r="AG132" i="37"/>
  <c r="AN132" i="37"/>
  <c r="AB132" i="37"/>
  <c r="M132" i="37"/>
  <c r="AM132" i="37"/>
  <c r="W132" i="37"/>
  <c r="AL132" i="37"/>
  <c r="R132" i="37"/>
  <c r="AX133" i="37"/>
  <c r="AW134" i="37" s="1"/>
  <c r="AD133" i="37"/>
  <c r="T133" i="37"/>
  <c r="N133" i="37"/>
  <c r="V133" i="37"/>
  <c r="AO133" i="37"/>
  <c r="S133" i="37"/>
  <c r="AE133" i="37"/>
  <c r="AQ133" i="37"/>
  <c r="AJ133" i="37"/>
  <c r="AR133" i="37"/>
  <c r="AI133" i="37"/>
  <c r="L133" i="37"/>
  <c r="AU133" i="37"/>
  <c r="Q133" i="37"/>
  <c r="K133" i="37"/>
  <c r="O133" i="37"/>
  <c r="AT133" i="37"/>
  <c r="AS133" i="37"/>
  <c r="Z133" i="37"/>
  <c r="AK133" i="37"/>
  <c r="P133" i="37"/>
  <c r="Y133" i="37"/>
  <c r="AF133" i="37"/>
  <c r="U133" i="37"/>
  <c r="AP133" i="37"/>
  <c r="AH133" i="37"/>
  <c r="X133" i="37"/>
  <c r="AC133" i="37"/>
  <c r="AA133" i="37"/>
  <c r="AB133" i="37"/>
  <c r="AL133" i="37"/>
  <c r="R133" i="37"/>
  <c r="W133" i="37"/>
  <c r="AM133" i="37"/>
  <c r="M133" i="37"/>
  <c r="AG133" i="37"/>
  <c r="J133" i="37"/>
  <c r="AN133" i="37"/>
  <c r="G124" i="38"/>
  <c r="B124" i="38"/>
  <c r="D124" i="38" s="1"/>
  <c r="C124" i="38"/>
  <c r="F124" i="38"/>
  <c r="H124" i="38"/>
  <c r="J130" i="36"/>
  <c r="C130" i="36"/>
  <c r="F130" i="36"/>
  <c r="E130" i="36"/>
  <c r="H130" i="36"/>
  <c r="G130" i="36"/>
  <c r="I130" i="36"/>
  <c r="B130" i="36"/>
  <c r="D130" i="36"/>
  <c r="B124" i="20"/>
  <c r="E124" i="20" s="1"/>
  <c r="F124" i="20"/>
  <c r="G124" i="20"/>
  <c r="H124" i="20"/>
  <c r="C124" i="20"/>
  <c r="K126" i="38"/>
  <c r="L126" i="38" s="1"/>
  <c r="A125" i="38"/>
  <c r="AV132" i="36"/>
  <c r="AW132" i="36" s="1"/>
  <c r="A131" i="36"/>
  <c r="K126" i="20"/>
  <c r="L126" i="20" s="1"/>
  <c r="A125" i="20"/>
  <c r="AJ129" i="36"/>
  <c r="U129" i="36"/>
  <c r="AM129" i="36"/>
  <c r="AK129" i="36"/>
  <c r="M129" i="36"/>
  <c r="AL129" i="36"/>
  <c r="AP129" i="36"/>
  <c r="K129" i="36"/>
  <c r="AC129" i="36"/>
  <c r="AT129" i="36"/>
  <c r="P129" i="36"/>
  <c r="T129" i="36"/>
  <c r="AD129" i="36"/>
  <c r="W129" i="36"/>
  <c r="AF129" i="36"/>
  <c r="AE129" i="36"/>
  <c r="AS129" i="36"/>
  <c r="AA129" i="36"/>
  <c r="R129" i="36"/>
  <c r="Q129" i="36"/>
  <c r="V129" i="36"/>
  <c r="AH129" i="36"/>
  <c r="AQ129" i="36"/>
  <c r="L129" i="36"/>
  <c r="X129" i="36"/>
  <c r="AN129" i="36"/>
  <c r="O129" i="36"/>
  <c r="AG129" i="36"/>
  <c r="AR129" i="36"/>
  <c r="Y129" i="36"/>
  <c r="AB129" i="36"/>
  <c r="N129" i="36"/>
  <c r="AO129" i="36"/>
  <c r="Z129" i="36"/>
  <c r="AI129" i="36"/>
  <c r="S129" i="36"/>
  <c r="AU129" i="36"/>
  <c r="J138" i="19"/>
  <c r="H138" i="19"/>
  <c r="F138" i="19"/>
  <c r="G138" i="19"/>
  <c r="I138" i="19"/>
  <c r="E138" i="19"/>
  <c r="AT138" i="19"/>
  <c r="S138" i="19"/>
  <c r="AE138" i="19"/>
  <c r="AC138" i="19"/>
  <c r="AO138" i="19"/>
  <c r="AJ138" i="19"/>
  <c r="AQ138" i="19"/>
  <c r="AG138" i="19"/>
  <c r="R138" i="19"/>
  <c r="AA138" i="19"/>
  <c r="X138" i="19"/>
  <c r="K138" i="19"/>
  <c r="P138" i="19"/>
  <c r="Y138" i="19"/>
  <c r="Z138" i="19"/>
  <c r="U138" i="19"/>
  <c r="AR138" i="19"/>
  <c r="AP138" i="19"/>
  <c r="M138" i="19"/>
  <c r="L138" i="19"/>
  <c r="AB138" i="19"/>
  <c r="N138" i="19"/>
  <c r="AU138" i="19"/>
  <c r="AL138" i="19"/>
  <c r="O138" i="19"/>
  <c r="AS138" i="19"/>
  <c r="Q138" i="19"/>
  <c r="AD138" i="19"/>
  <c r="AN138" i="19"/>
  <c r="AK138" i="19"/>
  <c r="T138" i="19"/>
  <c r="AH138" i="19"/>
  <c r="AF138" i="19"/>
  <c r="W138" i="19"/>
  <c r="AI138" i="19"/>
  <c r="AM138" i="19"/>
  <c r="V138" i="19"/>
  <c r="A140" i="19"/>
  <c r="AV141" i="19"/>
  <c r="AW141" i="19" s="1"/>
  <c r="I139" i="19"/>
  <c r="J139" i="19"/>
  <c r="E139" i="19"/>
  <c r="D139" i="19"/>
  <c r="H139" i="19"/>
  <c r="G139" i="19"/>
  <c r="C139" i="19"/>
  <c r="F139" i="19"/>
  <c r="B139" i="19"/>
  <c r="AX134" i="37" l="1"/>
  <c r="O134" i="37"/>
  <c r="Y134" i="37"/>
  <c r="P134" i="37"/>
  <c r="AR134" i="37"/>
  <c r="AJ134" i="37"/>
  <c r="T134" i="37"/>
  <c r="AD134" i="37"/>
  <c r="AC134" i="37"/>
  <c r="X134" i="37"/>
  <c r="U134" i="37"/>
  <c r="AA134" i="37"/>
  <c r="K134" i="37"/>
  <c r="AO134" i="37"/>
  <c r="Z134" i="37"/>
  <c r="AS134" i="37"/>
  <c r="AI134" i="37"/>
  <c r="L134" i="37"/>
  <c r="AQ134" i="37"/>
  <c r="AU134" i="37"/>
  <c r="AE134" i="37"/>
  <c r="Q134" i="37"/>
  <c r="AK134" i="37"/>
  <c r="N134" i="37"/>
  <c r="V134" i="37"/>
  <c r="AF134" i="37"/>
  <c r="AT134" i="37"/>
  <c r="AH134" i="37"/>
  <c r="AP134" i="37"/>
  <c r="S134" i="37"/>
  <c r="J134" i="37"/>
  <c r="M134" i="37"/>
  <c r="AL134" i="37"/>
  <c r="AB134" i="37"/>
  <c r="AM134" i="37"/>
  <c r="AN134" i="37"/>
  <c r="R134" i="37"/>
  <c r="AG134" i="37"/>
  <c r="W134" i="37"/>
  <c r="I124" i="38"/>
  <c r="E124" i="38"/>
  <c r="I124" i="20"/>
  <c r="D124" i="20"/>
  <c r="K127" i="20"/>
  <c r="L127" i="20" s="1"/>
  <c r="A126" i="20"/>
  <c r="AV133" i="36"/>
  <c r="AW133" i="36" s="1"/>
  <c r="A132" i="36"/>
  <c r="K127" i="38"/>
  <c r="L127" i="38" s="1"/>
  <c r="A126" i="38"/>
  <c r="B125" i="20"/>
  <c r="I125" i="20"/>
  <c r="G125" i="20"/>
  <c r="F125" i="20"/>
  <c r="H125" i="20"/>
  <c r="D125" i="20"/>
  <c r="C125" i="20"/>
  <c r="E125" i="20"/>
  <c r="C131" i="36"/>
  <c r="B131" i="36"/>
  <c r="F131" i="36" s="1"/>
  <c r="G125" i="38"/>
  <c r="C125" i="38"/>
  <c r="D125" i="38"/>
  <c r="I125" i="38"/>
  <c r="H125" i="38"/>
  <c r="B125" i="38"/>
  <c r="F125" i="38"/>
  <c r="E125" i="38"/>
  <c r="Y130" i="36"/>
  <c r="S130" i="36"/>
  <c r="X130" i="36"/>
  <c r="Q130" i="36"/>
  <c r="AF130" i="36"/>
  <c r="AD130" i="36"/>
  <c r="AJ130" i="36"/>
  <c r="R130" i="36"/>
  <c r="AK130" i="36"/>
  <c r="AM130" i="36"/>
  <c r="P130" i="36"/>
  <c r="W130" i="36"/>
  <c r="AS130" i="36"/>
  <c r="AQ130" i="36"/>
  <c r="T130" i="36"/>
  <c r="AB130" i="36"/>
  <c r="Z130" i="36"/>
  <c r="AU130" i="36"/>
  <c r="O130" i="36"/>
  <c r="AP130" i="36"/>
  <c r="AC130" i="36"/>
  <c r="AR130" i="36"/>
  <c r="AA130" i="36"/>
  <c r="V130" i="36"/>
  <c r="M130" i="36"/>
  <c r="K130" i="36"/>
  <c r="AO130" i="36"/>
  <c r="AT130" i="36"/>
  <c r="AE130" i="36"/>
  <c r="AI130" i="36"/>
  <c r="AN130" i="36"/>
  <c r="U130" i="36"/>
  <c r="N130" i="36"/>
  <c r="AG130" i="36"/>
  <c r="AL130" i="36"/>
  <c r="L130" i="36"/>
  <c r="AH130" i="36"/>
  <c r="AC139" i="19"/>
  <c r="AJ139" i="19"/>
  <c r="AT139" i="19"/>
  <c r="AH139" i="19"/>
  <c r="Z139" i="19"/>
  <c r="P139" i="19"/>
  <c r="V139" i="19"/>
  <c r="AS139" i="19"/>
  <c r="AL139" i="19"/>
  <c r="AP139" i="19"/>
  <c r="L139" i="19"/>
  <c r="AU139" i="19"/>
  <c r="AN139" i="19"/>
  <c r="U139" i="19"/>
  <c r="O139" i="19"/>
  <c r="AO139" i="19"/>
  <c r="T139" i="19"/>
  <c r="N139" i="19"/>
  <c r="S139" i="19"/>
  <c r="X139" i="19"/>
  <c r="M139" i="19"/>
  <c r="AF139" i="19"/>
  <c r="W139" i="19"/>
  <c r="AQ139" i="19"/>
  <c r="AI139" i="19"/>
  <c r="AB139" i="19"/>
  <c r="AG139" i="19"/>
  <c r="AM139" i="19"/>
  <c r="Q139" i="19"/>
  <c r="K139" i="19"/>
  <c r="Y139" i="19"/>
  <c r="AA139" i="19"/>
  <c r="AK139" i="19"/>
  <c r="AR139" i="19"/>
  <c r="AD139" i="19"/>
  <c r="AE139" i="19"/>
  <c r="R139" i="19"/>
  <c r="A141" i="19"/>
  <c r="AV142" i="19"/>
  <c r="AW142" i="19" s="1"/>
  <c r="B140" i="19"/>
  <c r="H140" i="19"/>
  <c r="J140" i="19"/>
  <c r="G140" i="19"/>
  <c r="C140" i="19"/>
  <c r="I140" i="19"/>
  <c r="F140" i="19"/>
  <c r="E140" i="19"/>
  <c r="D140" i="19"/>
  <c r="J131" i="36" l="1"/>
  <c r="E131" i="36"/>
  <c r="I131" i="36"/>
  <c r="G131" i="36"/>
  <c r="H131" i="36"/>
  <c r="D131" i="36"/>
  <c r="AK131" i="36"/>
  <c r="K131" i="36"/>
  <c r="AB131" i="36"/>
  <c r="P131" i="36"/>
  <c r="Y131" i="36"/>
  <c r="AP131" i="36"/>
  <c r="R131" i="36"/>
  <c r="AR131" i="36"/>
  <c r="T131" i="36"/>
  <c r="AF131" i="36"/>
  <c r="AN131" i="36"/>
  <c r="AQ131" i="36"/>
  <c r="N131" i="36"/>
  <c r="AC131" i="36"/>
  <c r="O131" i="36"/>
  <c r="AU131" i="36"/>
  <c r="AS131" i="36"/>
  <c r="AO131" i="36"/>
  <c r="AA131" i="36"/>
  <c r="M131" i="36"/>
  <c r="L131" i="36"/>
  <c r="AH131" i="36"/>
  <c r="Q131" i="36"/>
  <c r="AJ131" i="36"/>
  <c r="Z131" i="36"/>
  <c r="AT131" i="36"/>
  <c r="V131" i="36"/>
  <c r="AL131" i="36"/>
  <c r="AE131" i="36"/>
  <c r="AM131" i="36"/>
  <c r="AG131" i="36"/>
  <c r="W131" i="36"/>
  <c r="U131" i="36"/>
  <c r="S131" i="36"/>
  <c r="AD131" i="36"/>
  <c r="AI131" i="36"/>
  <c r="X131" i="36"/>
  <c r="D126" i="38"/>
  <c r="I126" i="38"/>
  <c r="G126" i="38"/>
  <c r="H126" i="38"/>
  <c r="E126" i="38"/>
  <c r="B126" i="38"/>
  <c r="C126" i="38"/>
  <c r="F126" i="38"/>
  <c r="B132" i="36"/>
  <c r="H132" i="36" s="1"/>
  <c r="C132" i="36"/>
  <c r="E126" i="20"/>
  <c r="H126" i="20"/>
  <c r="B126" i="20"/>
  <c r="D126" i="20"/>
  <c r="F126" i="20"/>
  <c r="G126" i="20"/>
  <c r="I126" i="20"/>
  <c r="C126" i="20"/>
  <c r="K128" i="38"/>
  <c r="L128" i="38" s="1"/>
  <c r="A127" i="38"/>
  <c r="AV134" i="36"/>
  <c r="AW134" i="36" s="1"/>
  <c r="A133" i="36"/>
  <c r="K128" i="20"/>
  <c r="L128" i="20" s="1"/>
  <c r="A127" i="20"/>
  <c r="K140" i="19"/>
  <c r="AH140" i="19"/>
  <c r="AO140" i="19"/>
  <c r="AP140" i="19"/>
  <c r="AM140" i="19"/>
  <c r="AI140" i="19"/>
  <c r="O140" i="19"/>
  <c r="S140" i="19"/>
  <c r="Z140" i="19"/>
  <c r="AG140" i="19"/>
  <c r="AL140" i="19"/>
  <c r="V140" i="19"/>
  <c r="W140" i="19"/>
  <c r="AB140" i="19"/>
  <c r="AE140" i="19"/>
  <c r="AU140" i="19"/>
  <c r="AS140" i="19"/>
  <c r="N140" i="19"/>
  <c r="AJ140" i="19"/>
  <c r="AK140" i="19"/>
  <c r="AR140" i="19"/>
  <c r="T140" i="19"/>
  <c r="AQ140" i="19"/>
  <c r="Y140" i="19"/>
  <c r="AA140" i="19"/>
  <c r="M140" i="19"/>
  <c r="AN140" i="19"/>
  <c r="AF140" i="19"/>
  <c r="AD140" i="19"/>
  <c r="P140" i="19"/>
  <c r="AC140" i="19"/>
  <c r="L140" i="19"/>
  <c r="Q140" i="19"/>
  <c r="AT140" i="19"/>
  <c r="X140" i="19"/>
  <c r="R140" i="19"/>
  <c r="U140" i="19"/>
  <c r="A142" i="19"/>
  <c r="AV143" i="19"/>
  <c r="AW143" i="19" s="1"/>
  <c r="C141" i="19"/>
  <c r="B141" i="19"/>
  <c r="G141" i="19" s="1"/>
  <c r="J132" i="36" l="1"/>
  <c r="I132" i="36"/>
  <c r="F132" i="36"/>
  <c r="D132" i="36"/>
  <c r="E132" i="36"/>
  <c r="F127" i="20"/>
  <c r="C127" i="20"/>
  <c r="H127" i="20"/>
  <c r="G127" i="20"/>
  <c r="B127" i="20"/>
  <c r="D127" i="20" s="1"/>
  <c r="K129" i="20"/>
  <c r="L129" i="20" s="1"/>
  <c r="A128" i="20"/>
  <c r="AV135" i="36"/>
  <c r="AW135" i="36" s="1"/>
  <c r="A134" i="36"/>
  <c r="K129" i="38"/>
  <c r="L129" i="38" s="1"/>
  <c r="A128" i="38"/>
  <c r="G132" i="36"/>
  <c r="AK132" i="36"/>
  <c r="O132" i="36"/>
  <c r="AB132" i="36"/>
  <c r="AM132" i="36"/>
  <c r="N132" i="36"/>
  <c r="K132" i="36"/>
  <c r="S132" i="36"/>
  <c r="AN132" i="36"/>
  <c r="AC132" i="36"/>
  <c r="Z132" i="36"/>
  <c r="W132" i="36"/>
  <c r="AO132" i="36"/>
  <c r="AE132" i="36"/>
  <c r="Y132" i="36"/>
  <c r="U132" i="36"/>
  <c r="AH132" i="36"/>
  <c r="AR132" i="36"/>
  <c r="AP132" i="36"/>
  <c r="AL132" i="36"/>
  <c r="AD132" i="36"/>
  <c r="AI132" i="36"/>
  <c r="R132" i="36"/>
  <c r="T132" i="36"/>
  <c r="AF132" i="36"/>
  <c r="L132" i="36"/>
  <c r="AG132" i="36"/>
  <c r="AA132" i="36"/>
  <c r="P132" i="36"/>
  <c r="AT132" i="36"/>
  <c r="AU132" i="36"/>
  <c r="M132" i="36"/>
  <c r="Q132" i="36"/>
  <c r="AJ132" i="36"/>
  <c r="AQ132" i="36"/>
  <c r="AS132" i="36"/>
  <c r="X132" i="36"/>
  <c r="V132" i="36"/>
  <c r="C133" i="36"/>
  <c r="B133" i="36"/>
  <c r="D133" i="36" s="1"/>
  <c r="F127" i="38"/>
  <c r="H127" i="38"/>
  <c r="C127" i="38"/>
  <c r="B127" i="38"/>
  <c r="I127" i="38" s="1"/>
  <c r="G127" i="38"/>
  <c r="E141" i="19"/>
  <c r="F141" i="19"/>
  <c r="I141" i="19"/>
  <c r="D141" i="19"/>
  <c r="H141" i="19"/>
  <c r="AR141" i="19"/>
  <c r="Q141" i="19"/>
  <c r="X141" i="19"/>
  <c r="R141" i="19"/>
  <c r="AL141" i="19"/>
  <c r="AP141" i="19"/>
  <c r="T141" i="19"/>
  <c r="S141" i="19"/>
  <c r="AK141" i="19"/>
  <c r="AF141" i="19"/>
  <c r="Z141" i="19"/>
  <c r="V141" i="19"/>
  <c r="AE141" i="19"/>
  <c r="M141" i="19"/>
  <c r="O141" i="19"/>
  <c r="AH141" i="19"/>
  <c r="AN141" i="19"/>
  <c r="AS141" i="19"/>
  <c r="Y141" i="19"/>
  <c r="U141" i="19"/>
  <c r="AD141" i="19"/>
  <c r="AT141" i="19"/>
  <c r="AM141" i="19"/>
  <c r="AQ141" i="19"/>
  <c r="AO141" i="19"/>
  <c r="AJ141" i="19"/>
  <c r="AG141" i="19"/>
  <c r="P141" i="19"/>
  <c r="AI141" i="19"/>
  <c r="W141" i="19"/>
  <c r="K141" i="19"/>
  <c r="L141" i="19"/>
  <c r="AC141" i="19"/>
  <c r="AA141" i="19"/>
  <c r="AB141" i="19"/>
  <c r="AU141" i="19"/>
  <c r="N141" i="19"/>
  <c r="AV144" i="19"/>
  <c r="AW144" i="19" s="1"/>
  <c r="A143" i="19"/>
  <c r="J141" i="19"/>
  <c r="C142" i="19"/>
  <c r="B142" i="19"/>
  <c r="G142" i="19" s="1"/>
  <c r="J133" i="36" l="1"/>
  <c r="I127" i="20"/>
  <c r="H133" i="36"/>
  <c r="E127" i="38"/>
  <c r="E127" i="20"/>
  <c r="D127" i="38"/>
  <c r="I133" i="36"/>
  <c r="AD133" i="36"/>
  <c r="AS133" i="36"/>
  <c r="AA133" i="36"/>
  <c r="AU133" i="36"/>
  <c r="K133" i="36"/>
  <c r="AB133" i="36"/>
  <c r="M133" i="36"/>
  <c r="R133" i="36"/>
  <c r="AQ133" i="36"/>
  <c r="X133" i="36"/>
  <c r="AE133" i="36"/>
  <c r="AC133" i="36"/>
  <c r="AT133" i="36"/>
  <c r="AO133" i="36"/>
  <c r="AP133" i="36"/>
  <c r="AM133" i="36"/>
  <c r="AF133" i="36"/>
  <c r="T133" i="36"/>
  <c r="Z133" i="36"/>
  <c r="S133" i="36"/>
  <c r="U133" i="36"/>
  <c r="V133" i="36"/>
  <c r="Q133" i="36"/>
  <c r="AL133" i="36"/>
  <c r="AH133" i="36"/>
  <c r="AR133" i="36"/>
  <c r="AK133" i="36"/>
  <c r="AG133" i="36"/>
  <c r="AI133" i="36"/>
  <c r="O133" i="36"/>
  <c r="AN133" i="36"/>
  <c r="N133" i="36"/>
  <c r="L133" i="36"/>
  <c r="P133" i="36"/>
  <c r="AJ133" i="36"/>
  <c r="W133" i="36"/>
  <c r="Y133" i="36"/>
  <c r="C128" i="38"/>
  <c r="F128" i="38"/>
  <c r="H128" i="38"/>
  <c r="B128" i="38"/>
  <c r="D128" i="38" s="1"/>
  <c r="G128" i="38"/>
  <c r="C134" i="36"/>
  <c r="B134" i="36"/>
  <c r="I134" i="36" s="1"/>
  <c r="B128" i="20"/>
  <c r="I128" i="20" s="1"/>
  <c r="C128" i="20"/>
  <c r="H128" i="20"/>
  <c r="G128" i="20"/>
  <c r="F128" i="20"/>
  <c r="F133" i="36"/>
  <c r="G133" i="36"/>
  <c r="E133" i="36"/>
  <c r="K130" i="38"/>
  <c r="L130" i="38" s="1"/>
  <c r="A129" i="38"/>
  <c r="AV136" i="36"/>
  <c r="AW136" i="36" s="1"/>
  <c r="A135" i="36"/>
  <c r="K130" i="20"/>
  <c r="L130" i="20" s="1"/>
  <c r="A129" i="20"/>
  <c r="I142" i="19"/>
  <c r="J142" i="19"/>
  <c r="F142" i="19"/>
  <c r="E142" i="19"/>
  <c r="D142" i="19"/>
  <c r="A144" i="19"/>
  <c r="AV145" i="19"/>
  <c r="AW145" i="19" s="1"/>
  <c r="O142" i="19"/>
  <c r="K142" i="19"/>
  <c r="W142" i="19"/>
  <c r="AK142" i="19"/>
  <c r="Y142" i="19"/>
  <c r="AE142" i="19"/>
  <c r="AO142" i="19"/>
  <c r="S142" i="19"/>
  <c r="AD142" i="19"/>
  <c r="AB142" i="19"/>
  <c r="N142" i="19"/>
  <c r="AL142" i="19"/>
  <c r="L142" i="19"/>
  <c r="AN142" i="19"/>
  <c r="AC142" i="19"/>
  <c r="AA142" i="19"/>
  <c r="M142" i="19"/>
  <c r="AU142" i="19"/>
  <c r="X142" i="19"/>
  <c r="T142" i="19"/>
  <c r="AP142" i="19"/>
  <c r="AG142" i="19"/>
  <c r="V142" i="19"/>
  <c r="Q142" i="19"/>
  <c r="AT142" i="19"/>
  <c r="U142" i="19"/>
  <c r="AQ142" i="19"/>
  <c r="AF142" i="19"/>
  <c r="AS142" i="19"/>
  <c r="P142" i="19"/>
  <c r="AR142" i="19"/>
  <c r="R142" i="19"/>
  <c r="Z142" i="19"/>
  <c r="AJ142" i="19"/>
  <c r="AH142" i="19"/>
  <c r="AI142" i="19"/>
  <c r="AM142" i="19"/>
  <c r="C143" i="19"/>
  <c r="B143" i="19"/>
  <c r="G143" i="19" s="1"/>
  <c r="H142" i="19"/>
  <c r="E128" i="38" l="1"/>
  <c r="I128" i="38"/>
  <c r="F134" i="36"/>
  <c r="D128" i="20"/>
  <c r="J134" i="36"/>
  <c r="G134" i="36"/>
  <c r="H134" i="36"/>
  <c r="E134" i="36"/>
  <c r="H129" i="20"/>
  <c r="C129" i="20"/>
  <c r="B129" i="20"/>
  <c r="I129" i="20" s="1"/>
  <c r="F129" i="20"/>
  <c r="G129" i="20"/>
  <c r="B135" i="36"/>
  <c r="G135" i="36" s="1"/>
  <c r="C135" i="36"/>
  <c r="F129" i="38"/>
  <c r="B129" i="38"/>
  <c r="E129" i="38" s="1"/>
  <c r="G129" i="38"/>
  <c r="H129" i="38"/>
  <c r="C129" i="38"/>
  <c r="E128" i="20"/>
  <c r="D134" i="36"/>
  <c r="AR134" i="36"/>
  <c r="AO134" i="36"/>
  <c r="AP134" i="36"/>
  <c r="Z134" i="36"/>
  <c r="N134" i="36"/>
  <c r="O134" i="36"/>
  <c r="AM134" i="36"/>
  <c r="AN134" i="36"/>
  <c r="AC134" i="36"/>
  <c r="AE134" i="36"/>
  <c r="AH134" i="36"/>
  <c r="AU134" i="36"/>
  <c r="AB134" i="36"/>
  <c r="M134" i="36"/>
  <c r="V134" i="36"/>
  <c r="S134" i="36"/>
  <c r="AI134" i="36"/>
  <c r="AT134" i="36"/>
  <c r="R134" i="36"/>
  <c r="P134" i="36"/>
  <c r="AQ134" i="36"/>
  <c r="AS134" i="36"/>
  <c r="T134" i="36"/>
  <c r="AD134" i="36"/>
  <c r="AK134" i="36"/>
  <c r="Y134" i="36"/>
  <c r="U134" i="36"/>
  <c r="AF134" i="36"/>
  <c r="L134" i="36"/>
  <c r="W134" i="36"/>
  <c r="AJ134" i="36"/>
  <c r="K134" i="36"/>
  <c r="Q134" i="36"/>
  <c r="AL134" i="36"/>
  <c r="AG134" i="36"/>
  <c r="X134" i="36"/>
  <c r="AA134" i="36"/>
  <c r="K131" i="20"/>
  <c r="L131" i="20" s="1"/>
  <c r="A130" i="20"/>
  <c r="AV137" i="36"/>
  <c r="AW137" i="36" s="1"/>
  <c r="A136" i="36"/>
  <c r="K131" i="38"/>
  <c r="L131" i="38" s="1"/>
  <c r="A130" i="38"/>
  <c r="E143" i="19"/>
  <c r="H143" i="19"/>
  <c r="F143" i="19"/>
  <c r="I143" i="19"/>
  <c r="P143" i="19"/>
  <c r="N143" i="19"/>
  <c r="Y143" i="19"/>
  <c r="M143" i="19"/>
  <c r="Z143" i="19"/>
  <c r="AP143" i="19"/>
  <c r="AA143" i="19"/>
  <c r="AS143" i="19"/>
  <c r="AH143" i="19"/>
  <c r="AE143" i="19"/>
  <c r="AL143" i="19"/>
  <c r="L143" i="19"/>
  <c r="K143" i="19"/>
  <c r="AF143" i="19"/>
  <c r="AK143" i="19"/>
  <c r="AM143" i="19"/>
  <c r="AO143" i="19"/>
  <c r="U143" i="19"/>
  <c r="AI143" i="19"/>
  <c r="AN143" i="19"/>
  <c r="AB143" i="19"/>
  <c r="AD143" i="19"/>
  <c r="O143" i="19"/>
  <c r="X143" i="19"/>
  <c r="AR143" i="19"/>
  <c r="R143" i="19"/>
  <c r="T143" i="19"/>
  <c r="AC143" i="19"/>
  <c r="W143" i="19"/>
  <c r="AJ143" i="19"/>
  <c r="V143" i="19"/>
  <c r="Q143" i="19"/>
  <c r="AT143" i="19"/>
  <c r="AQ143" i="19"/>
  <c r="AG143" i="19"/>
  <c r="AU143" i="19"/>
  <c r="S143" i="19"/>
  <c r="J143" i="19"/>
  <c r="D143" i="19"/>
  <c r="A145" i="19"/>
  <c r="AV146" i="19"/>
  <c r="AW146" i="19" s="1"/>
  <c r="B144" i="19"/>
  <c r="D144" i="19" s="1"/>
  <c r="C144" i="19"/>
  <c r="E135" i="36" l="1"/>
  <c r="F135" i="36"/>
  <c r="D135" i="36"/>
  <c r="I135" i="36"/>
  <c r="D129" i="38"/>
  <c r="I129" i="38"/>
  <c r="H135" i="36"/>
  <c r="J135" i="36"/>
  <c r="D129" i="20"/>
  <c r="C130" i="38"/>
  <c r="B130" i="38"/>
  <c r="D130" i="38" s="1"/>
  <c r="F130" i="38"/>
  <c r="H130" i="38"/>
  <c r="G130" i="38"/>
  <c r="C136" i="36"/>
  <c r="B136" i="36"/>
  <c r="D136" i="36" s="1"/>
  <c r="G130" i="20"/>
  <c r="H130" i="20"/>
  <c r="F130" i="20"/>
  <c r="B130" i="20"/>
  <c r="D130" i="20" s="1"/>
  <c r="C130" i="20"/>
  <c r="AI135" i="36"/>
  <c r="AL135" i="36"/>
  <c r="T135" i="36"/>
  <c r="AU135" i="36"/>
  <c r="L135" i="36"/>
  <c r="AM135" i="36"/>
  <c r="AK135" i="36"/>
  <c r="Q135" i="36"/>
  <c r="AO135" i="36"/>
  <c r="O135" i="36"/>
  <c r="AE135" i="36"/>
  <c r="AR135" i="36"/>
  <c r="X135" i="36"/>
  <c r="P135" i="36"/>
  <c r="AQ135" i="36"/>
  <c r="AJ135" i="36"/>
  <c r="AF135" i="36"/>
  <c r="U135" i="36"/>
  <c r="R135" i="36"/>
  <c r="S135" i="36"/>
  <c r="AH135" i="36"/>
  <c r="AA135" i="36"/>
  <c r="M135" i="36"/>
  <c r="AC135" i="36"/>
  <c r="Z135" i="36"/>
  <c r="Y135" i="36"/>
  <c r="AT135" i="36"/>
  <c r="N135" i="36"/>
  <c r="AN135" i="36"/>
  <c r="AB135" i="36"/>
  <c r="AD135" i="36"/>
  <c r="AG135" i="36"/>
  <c r="W135" i="36"/>
  <c r="V135" i="36"/>
  <c r="AP135" i="36"/>
  <c r="K135" i="36"/>
  <c r="AS135" i="36"/>
  <c r="E129" i="20"/>
  <c r="K132" i="38"/>
  <c r="L132" i="38" s="1"/>
  <c r="A131" i="38"/>
  <c r="AV138" i="36"/>
  <c r="AW138" i="36" s="1"/>
  <c r="A137" i="36"/>
  <c r="K132" i="20"/>
  <c r="L132" i="20" s="1"/>
  <c r="A131" i="20"/>
  <c r="J144" i="19"/>
  <c r="I144" i="19"/>
  <c r="E144" i="19"/>
  <c r="AV147" i="19"/>
  <c r="AW147" i="19" s="1"/>
  <c r="A146" i="19"/>
  <c r="AS144" i="19"/>
  <c r="AM144" i="19"/>
  <c r="L144" i="19"/>
  <c r="AU144" i="19"/>
  <c r="AJ144" i="19"/>
  <c r="S144" i="19"/>
  <c r="W144" i="19"/>
  <c r="AO144" i="19"/>
  <c r="AF144" i="19"/>
  <c r="AH144" i="19"/>
  <c r="AD144" i="19"/>
  <c r="AG144" i="19"/>
  <c r="Y144" i="19"/>
  <c r="AI144" i="19"/>
  <c r="AC144" i="19"/>
  <c r="P144" i="19"/>
  <c r="Q144" i="19"/>
  <c r="O144" i="19"/>
  <c r="Z144" i="19"/>
  <c r="X144" i="19"/>
  <c r="N144" i="19"/>
  <c r="AN144" i="19"/>
  <c r="AT144" i="19"/>
  <c r="AQ144" i="19"/>
  <c r="R144" i="19"/>
  <c r="T144" i="19"/>
  <c r="AE144" i="19"/>
  <c r="AB144" i="19"/>
  <c r="V144" i="19"/>
  <c r="AA144" i="19"/>
  <c r="AL144" i="19"/>
  <c r="K144" i="19"/>
  <c r="AK144" i="19"/>
  <c r="M144" i="19"/>
  <c r="U144" i="19"/>
  <c r="AR144" i="19"/>
  <c r="AP144" i="19"/>
  <c r="C145" i="19"/>
  <c r="B145" i="19"/>
  <c r="F145" i="19" s="1"/>
  <c r="F144" i="19"/>
  <c r="H144" i="19"/>
  <c r="G144" i="19"/>
  <c r="I130" i="38" l="1"/>
  <c r="I130" i="20"/>
  <c r="G136" i="36"/>
  <c r="F136" i="36"/>
  <c r="E136" i="36"/>
  <c r="E130" i="38"/>
  <c r="J136" i="36"/>
  <c r="H136" i="36"/>
  <c r="I136" i="36"/>
  <c r="E130" i="20"/>
  <c r="K133" i="20"/>
  <c r="L133" i="20" s="1"/>
  <c r="A132" i="20"/>
  <c r="AV139" i="36"/>
  <c r="AW139" i="36" s="1"/>
  <c r="A138" i="36"/>
  <c r="K133" i="38"/>
  <c r="L133" i="38" s="1"/>
  <c r="A132" i="38"/>
  <c r="X136" i="36"/>
  <c r="AT136" i="36"/>
  <c r="U136" i="36"/>
  <c r="Y136" i="36"/>
  <c r="AM136" i="36"/>
  <c r="AB136" i="36"/>
  <c r="AN136" i="36"/>
  <c r="AH136" i="36"/>
  <c r="N136" i="36"/>
  <c r="R136" i="36"/>
  <c r="O136" i="36"/>
  <c r="AJ136" i="36"/>
  <c r="AL136" i="36"/>
  <c r="P136" i="36"/>
  <c r="T136" i="36"/>
  <c r="AQ136" i="36"/>
  <c r="AD136" i="36"/>
  <c r="AC136" i="36"/>
  <c r="K136" i="36"/>
  <c r="AA136" i="36"/>
  <c r="Q136" i="36"/>
  <c r="S136" i="36"/>
  <c r="AF136" i="36"/>
  <c r="AR136" i="36"/>
  <c r="W136" i="36"/>
  <c r="AG136" i="36"/>
  <c r="AO136" i="36"/>
  <c r="M136" i="36"/>
  <c r="V136" i="36"/>
  <c r="AU136" i="36"/>
  <c r="AK136" i="36"/>
  <c r="AE136" i="36"/>
  <c r="AS136" i="36"/>
  <c r="AP136" i="36"/>
  <c r="AI136" i="36"/>
  <c r="L136" i="36"/>
  <c r="Z136" i="36"/>
  <c r="B131" i="20"/>
  <c r="E131" i="20" s="1"/>
  <c r="F131" i="20"/>
  <c r="G131" i="20"/>
  <c r="H131" i="20"/>
  <c r="C131" i="20"/>
  <c r="C137" i="36"/>
  <c r="B137" i="36"/>
  <c r="I137" i="36" s="1"/>
  <c r="C131" i="38"/>
  <c r="H131" i="38"/>
  <c r="F131" i="38"/>
  <c r="B131" i="38"/>
  <c r="I131" i="38" s="1"/>
  <c r="G131" i="38"/>
  <c r="I145" i="19"/>
  <c r="J145" i="19"/>
  <c r="H145" i="19"/>
  <c r="G145" i="19"/>
  <c r="E145" i="19"/>
  <c r="D145" i="19"/>
  <c r="AD145" i="19"/>
  <c r="K145" i="19"/>
  <c r="AP145" i="19"/>
  <c r="U145" i="19"/>
  <c r="AR145" i="19"/>
  <c r="AK145" i="19"/>
  <c r="AB145" i="19"/>
  <c r="AM145" i="19"/>
  <c r="AQ145" i="19"/>
  <c r="T145" i="19"/>
  <c r="W145" i="19"/>
  <c r="AE145" i="19"/>
  <c r="P145" i="19"/>
  <c r="Z145" i="19"/>
  <c r="L145" i="19"/>
  <c r="Q145" i="19"/>
  <c r="AT145" i="19"/>
  <c r="AH145" i="19"/>
  <c r="X145" i="19"/>
  <c r="AC145" i="19"/>
  <c r="O145" i="19"/>
  <c r="S145" i="19"/>
  <c r="AA145" i="19"/>
  <c r="AJ145" i="19"/>
  <c r="AN145" i="19"/>
  <c r="Y145" i="19"/>
  <c r="N145" i="19"/>
  <c r="AO145" i="19"/>
  <c r="V145" i="19"/>
  <c r="AF145" i="19"/>
  <c r="AI145" i="19"/>
  <c r="AL145" i="19"/>
  <c r="AS145" i="19"/>
  <c r="AU145" i="19"/>
  <c r="R145" i="19"/>
  <c r="AG145" i="19"/>
  <c r="M145" i="19"/>
  <c r="C146" i="19"/>
  <c r="B146" i="19"/>
  <c r="G146" i="19" s="1"/>
  <c r="A147" i="19"/>
  <c r="AV148" i="19"/>
  <c r="AW148" i="19" s="1"/>
  <c r="E131" i="38" l="1"/>
  <c r="D131" i="38"/>
  <c r="G137" i="36"/>
  <c r="F137" i="36"/>
  <c r="AP137" i="36"/>
  <c r="AI137" i="36"/>
  <c r="AM137" i="36"/>
  <c r="AF137" i="36"/>
  <c r="X137" i="36"/>
  <c r="AE137" i="36"/>
  <c r="AL137" i="36"/>
  <c r="P137" i="36"/>
  <c r="AC137" i="36"/>
  <c r="N137" i="36"/>
  <c r="AH137" i="36"/>
  <c r="Z137" i="36"/>
  <c r="L137" i="36"/>
  <c r="AJ137" i="36"/>
  <c r="AD137" i="36"/>
  <c r="W137" i="36"/>
  <c r="AG137" i="36"/>
  <c r="AB137" i="36"/>
  <c r="AT137" i="36"/>
  <c r="U137" i="36"/>
  <c r="AQ137" i="36"/>
  <c r="AA137" i="36"/>
  <c r="Q137" i="36"/>
  <c r="AO137" i="36"/>
  <c r="R137" i="36"/>
  <c r="AU137" i="36"/>
  <c r="K137" i="36"/>
  <c r="O137" i="36"/>
  <c r="T137" i="36"/>
  <c r="Y137" i="36"/>
  <c r="V137" i="36"/>
  <c r="AR137" i="36"/>
  <c r="S137" i="36"/>
  <c r="AN137" i="36"/>
  <c r="AS137" i="36"/>
  <c r="M137" i="36"/>
  <c r="AK137" i="36"/>
  <c r="G132" i="38"/>
  <c r="H132" i="38"/>
  <c r="F132" i="38"/>
  <c r="B132" i="38"/>
  <c r="E132" i="38" s="1"/>
  <c r="C132" i="38"/>
  <c r="B138" i="36"/>
  <c r="H138" i="36"/>
  <c r="J138" i="36"/>
  <c r="D138" i="36"/>
  <c r="I138" i="36"/>
  <c r="G138" i="36"/>
  <c r="F138" i="36"/>
  <c r="E138" i="36"/>
  <c r="C138" i="36"/>
  <c r="B132" i="20"/>
  <c r="I132" i="20" s="1"/>
  <c r="G132" i="20"/>
  <c r="H132" i="20"/>
  <c r="C132" i="20"/>
  <c r="F132" i="20"/>
  <c r="D137" i="36"/>
  <c r="J137" i="36"/>
  <c r="E137" i="36"/>
  <c r="H137" i="36"/>
  <c r="I131" i="20"/>
  <c r="D131" i="20"/>
  <c r="K134" i="38"/>
  <c r="L134" i="38" s="1"/>
  <c r="A133" i="38"/>
  <c r="AV140" i="36"/>
  <c r="AW140" i="36" s="1"/>
  <c r="A139" i="36"/>
  <c r="K134" i="20"/>
  <c r="L134" i="20" s="1"/>
  <c r="A133" i="20"/>
  <c r="D146" i="19"/>
  <c r="F146" i="19"/>
  <c r="I146" i="19"/>
  <c r="J146" i="19"/>
  <c r="E146" i="19"/>
  <c r="H146" i="19"/>
  <c r="N146" i="19"/>
  <c r="AI146" i="19"/>
  <c r="T146" i="19"/>
  <c r="AS146" i="19"/>
  <c r="AT146" i="19"/>
  <c r="K146" i="19"/>
  <c r="AF146" i="19"/>
  <c r="Y146" i="19"/>
  <c r="AP146" i="19"/>
  <c r="M146" i="19"/>
  <c r="AQ146" i="19"/>
  <c r="Q146" i="19"/>
  <c r="AO146" i="19"/>
  <c r="S146" i="19"/>
  <c r="AC146" i="19"/>
  <c r="P146" i="19"/>
  <c r="AE146" i="19"/>
  <c r="AD146" i="19"/>
  <c r="AH146" i="19"/>
  <c r="V146" i="19"/>
  <c r="Z146" i="19"/>
  <c r="U146" i="19"/>
  <c r="AN146" i="19"/>
  <c r="AJ146" i="19"/>
  <c r="W146" i="19"/>
  <c r="X146" i="19"/>
  <c r="AR146" i="19"/>
  <c r="AK146" i="19"/>
  <c r="O146" i="19"/>
  <c r="L146" i="19"/>
  <c r="AB146" i="19"/>
  <c r="AG146" i="19"/>
  <c r="R146" i="19"/>
  <c r="AL146" i="19"/>
  <c r="AU146" i="19"/>
  <c r="AA146" i="19"/>
  <c r="AM146" i="19"/>
  <c r="AV149" i="19"/>
  <c r="AW149" i="19" s="1"/>
  <c r="A148" i="19"/>
  <c r="C147" i="19"/>
  <c r="B147" i="19"/>
  <c r="E147" i="19" s="1"/>
  <c r="D132" i="38" l="1"/>
  <c r="E132" i="20"/>
  <c r="I132" i="38"/>
  <c r="G133" i="20"/>
  <c r="F133" i="20"/>
  <c r="B133" i="20"/>
  <c r="I133" i="20" s="1"/>
  <c r="H133" i="20"/>
  <c r="C133" i="20"/>
  <c r="C139" i="36"/>
  <c r="E139" i="36"/>
  <c r="I139" i="36"/>
  <c r="H139" i="36"/>
  <c r="F139" i="36"/>
  <c r="J139" i="36"/>
  <c r="G139" i="36"/>
  <c r="B139" i="36"/>
  <c r="D139" i="36"/>
  <c r="C133" i="38"/>
  <c r="G133" i="38"/>
  <c r="H133" i="38"/>
  <c r="B133" i="38"/>
  <c r="I133" i="38" s="1"/>
  <c r="F133" i="38"/>
  <c r="D132" i="20"/>
  <c r="Q138" i="36"/>
  <c r="U138" i="36"/>
  <c r="AD138" i="36"/>
  <c r="Y138" i="36"/>
  <c r="V138" i="36"/>
  <c r="AK138" i="36"/>
  <c r="AC138" i="36"/>
  <c r="AB138" i="36"/>
  <c r="W138" i="36"/>
  <c r="T138" i="36"/>
  <c r="N138" i="36"/>
  <c r="AS138" i="36"/>
  <c r="AR138" i="36"/>
  <c r="AG138" i="36"/>
  <c r="P138" i="36"/>
  <c r="AJ138" i="36"/>
  <c r="S138" i="36"/>
  <c r="X138" i="36"/>
  <c r="Z138" i="36"/>
  <c r="AQ138" i="36"/>
  <c r="L138" i="36"/>
  <c r="R138" i="36"/>
  <c r="K138" i="36"/>
  <c r="AL138" i="36"/>
  <c r="AA138" i="36"/>
  <c r="AE138" i="36"/>
  <c r="AO138" i="36"/>
  <c r="AT138" i="36"/>
  <c r="O138" i="36"/>
  <c r="AU138" i="36"/>
  <c r="AI138" i="36"/>
  <c r="AH138" i="36"/>
  <c r="M138" i="36"/>
  <c r="AN138" i="36"/>
  <c r="AF138" i="36"/>
  <c r="AM138" i="36"/>
  <c r="AP138" i="36"/>
  <c r="K135" i="20"/>
  <c r="L135" i="20" s="1"/>
  <c r="A134" i="20"/>
  <c r="A140" i="36"/>
  <c r="AV141" i="36"/>
  <c r="AW141" i="36" s="1"/>
  <c r="K135" i="38"/>
  <c r="L135" i="38" s="1"/>
  <c r="A134" i="38"/>
  <c r="G147" i="19"/>
  <c r="F147" i="19"/>
  <c r="D147" i="19"/>
  <c r="I147" i="19"/>
  <c r="H147" i="19"/>
  <c r="A149" i="19"/>
  <c r="AV150" i="19"/>
  <c r="AW150" i="19" s="1"/>
  <c r="AO147" i="19"/>
  <c r="X147" i="19"/>
  <c r="AM147" i="19"/>
  <c r="P147" i="19"/>
  <c r="M147" i="19"/>
  <c r="AN147" i="19"/>
  <c r="V147" i="19"/>
  <c r="AJ147" i="19"/>
  <c r="L147" i="19"/>
  <c r="U147" i="19"/>
  <c r="AG147" i="19"/>
  <c r="S147" i="19"/>
  <c r="AI147" i="19"/>
  <c r="AE147" i="19"/>
  <c r="AL147" i="19"/>
  <c r="AQ147" i="19"/>
  <c r="W147" i="19"/>
  <c r="O147" i="19"/>
  <c r="AC147" i="19"/>
  <c r="AU147" i="19"/>
  <c r="AK147" i="19"/>
  <c r="AH147" i="19"/>
  <c r="Q147" i="19"/>
  <c r="Z147" i="19"/>
  <c r="AP147" i="19"/>
  <c r="AT147" i="19"/>
  <c r="K147" i="19"/>
  <c r="Y147" i="19"/>
  <c r="T147" i="19"/>
  <c r="AD147" i="19"/>
  <c r="AF147" i="19"/>
  <c r="AA147" i="19"/>
  <c r="AB147" i="19"/>
  <c r="R147" i="19"/>
  <c r="AS147" i="19"/>
  <c r="AR147" i="19"/>
  <c r="N147" i="19"/>
  <c r="B148" i="19"/>
  <c r="F148" i="19"/>
  <c r="J148" i="19"/>
  <c r="D148" i="19"/>
  <c r="I148" i="19"/>
  <c r="H148" i="19"/>
  <c r="G148" i="19"/>
  <c r="C148" i="19"/>
  <c r="E148" i="19"/>
  <c r="J147" i="19"/>
  <c r="D133" i="38" l="1"/>
  <c r="D133" i="20"/>
  <c r="E133" i="38"/>
  <c r="K136" i="38"/>
  <c r="L136" i="38" s="1"/>
  <c r="A135" i="38"/>
  <c r="C140" i="36"/>
  <c r="B140" i="36"/>
  <c r="H140" i="36" s="1"/>
  <c r="K136" i="20"/>
  <c r="L136" i="20" s="1"/>
  <c r="A135" i="20"/>
  <c r="AA139" i="36"/>
  <c r="AG139" i="36"/>
  <c r="K139" i="36"/>
  <c r="R139" i="36"/>
  <c r="M139" i="36"/>
  <c r="Q139" i="36"/>
  <c r="L139" i="36"/>
  <c r="AS139" i="36"/>
  <c r="Y139" i="36"/>
  <c r="AH139" i="36"/>
  <c r="U139" i="36"/>
  <c r="AP139" i="36"/>
  <c r="AI139" i="36"/>
  <c r="AK139" i="36"/>
  <c r="P139" i="36"/>
  <c r="N139" i="36"/>
  <c r="O139" i="36"/>
  <c r="AD139" i="36"/>
  <c r="X139" i="36"/>
  <c r="AB139" i="36"/>
  <c r="AU139" i="36"/>
  <c r="W139" i="36"/>
  <c r="T139" i="36"/>
  <c r="V139" i="36"/>
  <c r="AN139" i="36"/>
  <c r="AQ139" i="36"/>
  <c r="AL139" i="36"/>
  <c r="AT139" i="36"/>
  <c r="AO139" i="36"/>
  <c r="AR139" i="36"/>
  <c r="Z139" i="36"/>
  <c r="S139" i="36"/>
  <c r="AM139" i="36"/>
  <c r="AJ139" i="36"/>
  <c r="AF139" i="36"/>
  <c r="AE139" i="36"/>
  <c r="AC139" i="36"/>
  <c r="E133" i="20"/>
  <c r="F134" i="38"/>
  <c r="G134" i="38"/>
  <c r="C134" i="38"/>
  <c r="E134" i="38"/>
  <c r="D134" i="38"/>
  <c r="B134" i="38"/>
  <c r="I134" i="38"/>
  <c r="H134" i="38"/>
  <c r="A141" i="36"/>
  <c r="AV142" i="36"/>
  <c r="AW142" i="36" s="1"/>
  <c r="C134" i="20"/>
  <c r="H134" i="20"/>
  <c r="D134" i="20"/>
  <c r="B134" i="20"/>
  <c r="F134" i="20"/>
  <c r="E134" i="20"/>
  <c r="I134" i="20"/>
  <c r="G134" i="20"/>
  <c r="AV151" i="19"/>
  <c r="AW151" i="19" s="1"/>
  <c r="A150" i="19"/>
  <c r="AB148" i="19"/>
  <c r="AK148" i="19"/>
  <c r="S148" i="19"/>
  <c r="AQ148" i="19"/>
  <c r="AP148" i="19"/>
  <c r="M148" i="19"/>
  <c r="AS148" i="19"/>
  <c r="AD148" i="19"/>
  <c r="N148" i="19"/>
  <c r="R148" i="19"/>
  <c r="AU148" i="19"/>
  <c r="AE148" i="19"/>
  <c r="U148" i="19"/>
  <c r="AA148" i="19"/>
  <c r="X148" i="19"/>
  <c r="L148" i="19"/>
  <c r="AT148" i="19"/>
  <c r="AC148" i="19"/>
  <c r="AL148" i="19"/>
  <c r="AR148" i="19"/>
  <c r="Q148" i="19"/>
  <c r="T148" i="19"/>
  <c r="AI148" i="19"/>
  <c r="AO148" i="19"/>
  <c r="AF148" i="19"/>
  <c r="V148" i="19"/>
  <c r="O148" i="19"/>
  <c r="AH148" i="19"/>
  <c r="W148" i="19"/>
  <c r="AG148" i="19"/>
  <c r="K148" i="19"/>
  <c r="Y148" i="19"/>
  <c r="Z148" i="19"/>
  <c r="P148" i="19"/>
  <c r="AN148" i="19"/>
  <c r="AM148" i="19"/>
  <c r="AJ148" i="19"/>
  <c r="B149" i="19"/>
  <c r="D149" i="19"/>
  <c r="E149" i="19"/>
  <c r="J149" i="19"/>
  <c r="F149" i="19"/>
  <c r="H149" i="19"/>
  <c r="C149" i="19"/>
  <c r="I149" i="19"/>
  <c r="G149" i="19"/>
  <c r="J140" i="36" l="1"/>
  <c r="D140" i="36"/>
  <c r="I140" i="36"/>
  <c r="G140" i="36"/>
  <c r="F140" i="36"/>
  <c r="E140" i="36"/>
  <c r="AV143" i="36"/>
  <c r="AW143" i="36" s="1"/>
  <c r="A142" i="36"/>
  <c r="C135" i="20"/>
  <c r="B135" i="20"/>
  <c r="F135" i="20"/>
  <c r="E135" i="20"/>
  <c r="D135" i="20"/>
  <c r="H135" i="20"/>
  <c r="G135" i="20"/>
  <c r="I135" i="20"/>
  <c r="K137" i="38"/>
  <c r="L137" i="38" s="1"/>
  <c r="A136" i="38"/>
  <c r="B141" i="36"/>
  <c r="F141" i="36" s="1"/>
  <c r="C141" i="36"/>
  <c r="K137" i="20"/>
  <c r="L137" i="20" s="1"/>
  <c r="A136" i="20"/>
  <c r="AJ140" i="36"/>
  <c r="P140" i="36"/>
  <c r="K140" i="36"/>
  <c r="AK140" i="36"/>
  <c r="Z140" i="36"/>
  <c r="AE140" i="36"/>
  <c r="AA140" i="36"/>
  <c r="AO140" i="36"/>
  <c r="AR140" i="36"/>
  <c r="V140" i="36"/>
  <c r="O140" i="36"/>
  <c r="AS140" i="36"/>
  <c r="Q140" i="36"/>
  <c r="AU140" i="36"/>
  <c r="X140" i="36"/>
  <c r="AB140" i="36"/>
  <c r="AP140" i="36"/>
  <c r="Y140" i="36"/>
  <c r="AH140" i="36"/>
  <c r="AC140" i="36"/>
  <c r="AG140" i="36"/>
  <c r="L140" i="36"/>
  <c r="AD140" i="36"/>
  <c r="N140" i="36"/>
  <c r="W140" i="36"/>
  <c r="AT140" i="36"/>
  <c r="AN140" i="36"/>
  <c r="R140" i="36"/>
  <c r="AM140" i="36"/>
  <c r="U140" i="36"/>
  <c r="AI140" i="36"/>
  <c r="AQ140" i="36"/>
  <c r="M140" i="36"/>
  <c r="T140" i="36"/>
  <c r="AF140" i="36"/>
  <c r="S140" i="36"/>
  <c r="AL140" i="36"/>
  <c r="G135" i="38"/>
  <c r="F135" i="38"/>
  <c r="H135" i="38"/>
  <c r="I135" i="38"/>
  <c r="D135" i="38"/>
  <c r="E135" i="38"/>
  <c r="B135" i="38"/>
  <c r="C135" i="38"/>
  <c r="AM149" i="19"/>
  <c r="AL149" i="19"/>
  <c r="AO149" i="19"/>
  <c r="U149" i="19"/>
  <c r="AK149" i="19"/>
  <c r="N149" i="19"/>
  <c r="AQ149" i="19"/>
  <c r="L149" i="19"/>
  <c r="AB149" i="19"/>
  <c r="P149" i="19"/>
  <c r="Q149" i="19"/>
  <c r="AG149" i="19"/>
  <c r="T149" i="19"/>
  <c r="AJ149" i="19"/>
  <c r="AF149" i="19"/>
  <c r="Y149" i="19"/>
  <c r="K149" i="19"/>
  <c r="S149" i="19"/>
  <c r="W149" i="19"/>
  <c r="AA149" i="19"/>
  <c r="AH149" i="19"/>
  <c r="AE149" i="19"/>
  <c r="V149" i="19"/>
  <c r="R149" i="19"/>
  <c r="AN149" i="19"/>
  <c r="AU149" i="19"/>
  <c r="AD149" i="19"/>
  <c r="M149" i="19"/>
  <c r="X149" i="19"/>
  <c r="AC149" i="19"/>
  <c r="AR149" i="19"/>
  <c r="Z149" i="19"/>
  <c r="AT149" i="19"/>
  <c r="O149" i="19"/>
  <c r="AI149" i="19"/>
  <c r="AP149" i="19"/>
  <c r="AS149" i="19"/>
  <c r="B150" i="19"/>
  <c r="G150" i="19" s="1"/>
  <c r="C150" i="19"/>
  <c r="AV152" i="19"/>
  <c r="AW152" i="19" s="1"/>
  <c r="A151" i="19"/>
  <c r="J141" i="36" l="1"/>
  <c r="G141" i="36"/>
  <c r="D141" i="36"/>
  <c r="A137" i="20"/>
  <c r="K138" i="20"/>
  <c r="L138" i="20" s="1"/>
  <c r="E141" i="36"/>
  <c r="I141" i="36"/>
  <c r="H141" i="36"/>
  <c r="F136" i="38"/>
  <c r="G136" i="38"/>
  <c r="C136" i="38"/>
  <c r="H136" i="38"/>
  <c r="B136" i="38"/>
  <c r="E136" i="38" s="1"/>
  <c r="B142" i="36"/>
  <c r="J142" i="36" s="1"/>
  <c r="C142" i="36"/>
  <c r="F136" i="20"/>
  <c r="G136" i="20"/>
  <c r="B136" i="20"/>
  <c r="I136" i="20" s="1"/>
  <c r="H136" i="20"/>
  <c r="C136" i="20"/>
  <c r="AM141" i="36"/>
  <c r="Y141" i="36"/>
  <c r="AU141" i="36"/>
  <c r="AI141" i="36"/>
  <c r="L141" i="36"/>
  <c r="S141" i="36"/>
  <c r="AS141" i="36"/>
  <c r="AJ141" i="36"/>
  <c r="AH141" i="36"/>
  <c r="N141" i="36"/>
  <c r="R141" i="36"/>
  <c r="T141" i="36"/>
  <c r="AK141" i="36"/>
  <c r="AA141" i="36"/>
  <c r="V141" i="36"/>
  <c r="AL141" i="36"/>
  <c r="AB141" i="36"/>
  <c r="AD141" i="36"/>
  <c r="U141" i="36"/>
  <c r="AQ141" i="36"/>
  <c r="AT141" i="36"/>
  <c r="AN141" i="36"/>
  <c r="AE141" i="36"/>
  <c r="Q141" i="36"/>
  <c r="AO141" i="36"/>
  <c r="X141" i="36"/>
  <c r="K141" i="36"/>
  <c r="AG141" i="36"/>
  <c r="AR141" i="36"/>
  <c r="W141" i="36"/>
  <c r="Z141" i="36"/>
  <c r="AP141" i="36"/>
  <c r="O141" i="36"/>
  <c r="M141" i="36"/>
  <c r="P141" i="36"/>
  <c r="AC141" i="36"/>
  <c r="AF141" i="36"/>
  <c r="K138" i="38"/>
  <c r="L138" i="38" s="1"/>
  <c r="A137" i="38"/>
  <c r="A143" i="36"/>
  <c r="AV144" i="36"/>
  <c r="AW144" i="36" s="1"/>
  <c r="D150" i="19"/>
  <c r="E150" i="19"/>
  <c r="J150" i="19"/>
  <c r="H150" i="19"/>
  <c r="I150" i="19"/>
  <c r="A152" i="19"/>
  <c r="AV153" i="19"/>
  <c r="AW153" i="19" s="1"/>
  <c r="C151" i="19"/>
  <c r="B151" i="19"/>
  <c r="D151" i="19" s="1"/>
  <c r="F150" i="19"/>
  <c r="Y150" i="19"/>
  <c r="Z150" i="19"/>
  <c r="AI150" i="19"/>
  <c r="T150" i="19"/>
  <c r="AR150" i="19"/>
  <c r="AH150" i="19"/>
  <c r="AE150" i="19"/>
  <c r="R150" i="19"/>
  <c r="AQ150" i="19"/>
  <c r="P150" i="19"/>
  <c r="AC150" i="19"/>
  <c r="AN150" i="19"/>
  <c r="AK150" i="19"/>
  <c r="M150" i="19"/>
  <c r="L150" i="19"/>
  <c r="O150" i="19"/>
  <c r="AM150" i="19"/>
  <c r="AO150" i="19"/>
  <c r="AF150" i="19"/>
  <c r="AS150" i="19"/>
  <c r="AU150" i="19"/>
  <c r="X150" i="19"/>
  <c r="N150" i="19"/>
  <c r="U150" i="19"/>
  <c r="AB150" i="19"/>
  <c r="AA150" i="19"/>
  <c r="AG150" i="19"/>
  <c r="AJ150" i="19"/>
  <c r="AL150" i="19"/>
  <c r="S150" i="19"/>
  <c r="AT150" i="19"/>
  <c r="K150" i="19"/>
  <c r="V150" i="19"/>
  <c r="AP150" i="19"/>
  <c r="Q150" i="19"/>
  <c r="AD150" i="19"/>
  <c r="W150" i="19"/>
  <c r="E136" i="20" l="1"/>
  <c r="D136" i="38"/>
  <c r="I136" i="38"/>
  <c r="D136" i="20"/>
  <c r="D142" i="36"/>
  <c r="H142" i="36"/>
  <c r="E142" i="36"/>
  <c r="AV145" i="36"/>
  <c r="AW145" i="36" s="1"/>
  <c r="A144" i="36"/>
  <c r="F137" i="38"/>
  <c r="G137" i="38"/>
  <c r="H137" i="38"/>
  <c r="B137" i="38"/>
  <c r="E137" i="38" s="1"/>
  <c r="C137" i="38"/>
  <c r="G142" i="36"/>
  <c r="F142" i="36"/>
  <c r="I142" i="36"/>
  <c r="K139" i="20"/>
  <c r="L139" i="20" s="1"/>
  <c r="A138" i="20"/>
  <c r="B143" i="36"/>
  <c r="H143" i="36" s="1"/>
  <c r="C143" i="36"/>
  <c r="K139" i="38"/>
  <c r="L139" i="38" s="1"/>
  <c r="A138" i="38"/>
  <c r="AN142" i="36"/>
  <c r="AH142" i="36"/>
  <c r="AU142" i="36"/>
  <c r="M142" i="36"/>
  <c r="W142" i="36"/>
  <c r="AD142" i="36"/>
  <c r="Y142" i="36"/>
  <c r="AM142" i="36"/>
  <c r="AK142" i="36"/>
  <c r="V142" i="36"/>
  <c r="Q142" i="36"/>
  <c r="AJ142" i="36"/>
  <c r="AL142" i="36"/>
  <c r="AS142" i="36"/>
  <c r="AI142" i="36"/>
  <c r="U142" i="36"/>
  <c r="N142" i="36"/>
  <c r="AR142" i="36"/>
  <c r="Z142" i="36"/>
  <c r="AC142" i="36"/>
  <c r="K142" i="36"/>
  <c r="S142" i="36"/>
  <c r="AB142" i="36"/>
  <c r="AO142" i="36"/>
  <c r="AA142" i="36"/>
  <c r="AP142" i="36"/>
  <c r="AG142" i="36"/>
  <c r="AT142" i="36"/>
  <c r="P142" i="36"/>
  <c r="L142" i="36"/>
  <c r="X142" i="36"/>
  <c r="AF142" i="36"/>
  <c r="O142" i="36"/>
  <c r="AQ142" i="36"/>
  <c r="T142" i="36"/>
  <c r="AE142" i="36"/>
  <c r="R142" i="36"/>
  <c r="F137" i="20"/>
  <c r="C137" i="20"/>
  <c r="H137" i="20"/>
  <c r="B137" i="20"/>
  <c r="E137" i="20" s="1"/>
  <c r="G137" i="20"/>
  <c r="F151" i="19"/>
  <c r="J151" i="19"/>
  <c r="H151" i="19"/>
  <c r="E151" i="19"/>
  <c r="I151" i="19"/>
  <c r="G151" i="19"/>
  <c r="N151" i="19"/>
  <c r="AS151" i="19"/>
  <c r="AE151" i="19"/>
  <c r="AT151" i="19"/>
  <c r="AF151" i="19"/>
  <c r="AG151" i="19"/>
  <c r="AP151" i="19"/>
  <c r="AU151" i="19"/>
  <c r="R151" i="19"/>
  <c r="AL151" i="19"/>
  <c r="AB151" i="19"/>
  <c r="AJ151" i="19"/>
  <c r="W151" i="19"/>
  <c r="AQ151" i="19"/>
  <c r="Z151" i="19"/>
  <c r="AC151" i="19"/>
  <c r="AI151" i="19"/>
  <c r="L151" i="19"/>
  <c r="M151" i="19"/>
  <c r="Y151" i="19"/>
  <c r="AH151" i="19"/>
  <c r="V151" i="19"/>
  <c r="AR151" i="19"/>
  <c r="AM151" i="19"/>
  <c r="O151" i="19"/>
  <c r="AO151" i="19"/>
  <c r="AK151" i="19"/>
  <c r="Q151" i="19"/>
  <c r="P151" i="19"/>
  <c r="AD151" i="19"/>
  <c r="AA151" i="19"/>
  <c r="X151" i="19"/>
  <c r="K151" i="19"/>
  <c r="S151" i="19"/>
  <c r="U151" i="19"/>
  <c r="AN151" i="19"/>
  <c r="T151" i="19"/>
  <c r="A153" i="19"/>
  <c r="AV154" i="19"/>
  <c r="AW154" i="19" s="1"/>
  <c r="B152" i="19"/>
  <c r="G152" i="19" s="1"/>
  <c r="C152" i="19"/>
  <c r="I143" i="36" l="1"/>
  <c r="G143" i="36"/>
  <c r="D137" i="38"/>
  <c r="D137" i="20"/>
  <c r="K140" i="38"/>
  <c r="L140" i="38" s="1"/>
  <c r="A139" i="38"/>
  <c r="F143" i="36"/>
  <c r="AI143" i="36"/>
  <c r="AK143" i="36"/>
  <c r="X143" i="36"/>
  <c r="AR143" i="36"/>
  <c r="Z143" i="36"/>
  <c r="AP143" i="36"/>
  <c r="AF143" i="36"/>
  <c r="N143" i="36"/>
  <c r="W143" i="36"/>
  <c r="AO143" i="36"/>
  <c r="P143" i="36"/>
  <c r="AC143" i="36"/>
  <c r="M143" i="36"/>
  <c r="T143" i="36"/>
  <c r="AT143" i="36"/>
  <c r="Q143" i="36"/>
  <c r="K143" i="36"/>
  <c r="AM143" i="36"/>
  <c r="AN143" i="36"/>
  <c r="U143" i="36"/>
  <c r="S143" i="36"/>
  <c r="Y143" i="36"/>
  <c r="AS143" i="36"/>
  <c r="AU143" i="36"/>
  <c r="AL143" i="36"/>
  <c r="AJ143" i="36"/>
  <c r="V143" i="36"/>
  <c r="AD143" i="36"/>
  <c r="AQ143" i="36"/>
  <c r="AH143" i="36"/>
  <c r="AB143" i="36"/>
  <c r="O143" i="36"/>
  <c r="R143" i="36"/>
  <c r="AE143" i="36"/>
  <c r="AG143" i="36"/>
  <c r="L143" i="36"/>
  <c r="AA143" i="36"/>
  <c r="K140" i="20"/>
  <c r="L140" i="20" s="1"/>
  <c r="A139" i="20"/>
  <c r="B144" i="36"/>
  <c r="H144" i="36" s="1"/>
  <c r="C144" i="36"/>
  <c r="I137" i="20"/>
  <c r="H138" i="38"/>
  <c r="G138" i="38"/>
  <c r="B138" i="38"/>
  <c r="D138" i="38" s="1"/>
  <c r="F138" i="38"/>
  <c r="C138" i="38"/>
  <c r="E143" i="36"/>
  <c r="D143" i="36"/>
  <c r="J143" i="36"/>
  <c r="G138" i="20"/>
  <c r="H138" i="20"/>
  <c r="C138" i="20"/>
  <c r="B138" i="20"/>
  <c r="D138" i="20" s="1"/>
  <c r="F138" i="20"/>
  <c r="I137" i="38"/>
  <c r="AV146" i="36"/>
  <c r="AW146" i="36" s="1"/>
  <c r="A145" i="36"/>
  <c r="E152" i="19"/>
  <c r="I152" i="19"/>
  <c r="H152" i="19"/>
  <c r="F152" i="19"/>
  <c r="D152" i="19"/>
  <c r="J152" i="19"/>
  <c r="AS152" i="19"/>
  <c r="K152" i="19"/>
  <c r="U152" i="19"/>
  <c r="AL152" i="19"/>
  <c r="AU152" i="19"/>
  <c r="V152" i="19"/>
  <c r="AF152" i="19"/>
  <c r="AN152" i="19"/>
  <c r="AD152" i="19"/>
  <c r="AC152" i="19"/>
  <c r="M152" i="19"/>
  <c r="Y152" i="19"/>
  <c r="T152" i="19"/>
  <c r="AB152" i="19"/>
  <c r="AG152" i="19"/>
  <c r="Q152" i="19"/>
  <c r="X152" i="19"/>
  <c r="AM152" i="19"/>
  <c r="AA152" i="19"/>
  <c r="AT152" i="19"/>
  <c r="AP152" i="19"/>
  <c r="L152" i="19"/>
  <c r="AK152" i="19"/>
  <c r="W152" i="19"/>
  <c r="AE152" i="19"/>
  <c r="S152" i="19"/>
  <c r="AQ152" i="19"/>
  <c r="P152" i="19"/>
  <c r="Z152" i="19"/>
  <c r="R152" i="19"/>
  <c r="N152" i="19"/>
  <c r="AI152" i="19"/>
  <c r="O152" i="19"/>
  <c r="AH152" i="19"/>
  <c r="AJ152" i="19"/>
  <c r="AO152" i="19"/>
  <c r="AR152" i="19"/>
  <c r="C153" i="19"/>
  <c r="B153" i="19"/>
  <c r="D153" i="19" s="1"/>
  <c r="A154" i="19"/>
  <c r="AV155" i="19"/>
  <c r="AW155" i="19" s="1"/>
  <c r="E138" i="38" l="1"/>
  <c r="E138" i="20"/>
  <c r="F144" i="36"/>
  <c r="D144" i="36"/>
  <c r="I138" i="20"/>
  <c r="I138" i="38"/>
  <c r="AV147" i="36"/>
  <c r="AW147" i="36" s="1"/>
  <c r="A146" i="36"/>
  <c r="J144" i="36"/>
  <c r="G144" i="36"/>
  <c r="I144" i="36"/>
  <c r="F139" i="20"/>
  <c r="B139" i="20"/>
  <c r="D139" i="20" s="1"/>
  <c r="H139" i="20"/>
  <c r="G139" i="20"/>
  <c r="C139" i="20"/>
  <c r="B139" i="38"/>
  <c r="E139" i="38" s="1"/>
  <c r="G139" i="38"/>
  <c r="H139" i="38"/>
  <c r="F139" i="38"/>
  <c r="C139" i="38"/>
  <c r="B145" i="36"/>
  <c r="H145" i="36" s="1"/>
  <c r="C145" i="36"/>
  <c r="E144" i="36"/>
  <c r="X144" i="36"/>
  <c r="N144" i="36"/>
  <c r="O144" i="36"/>
  <c r="AG144" i="36"/>
  <c r="K144" i="36"/>
  <c r="AD144" i="36"/>
  <c r="AJ144" i="36"/>
  <c r="Q144" i="36"/>
  <c r="L144" i="36"/>
  <c r="U144" i="36"/>
  <c r="AA144" i="36"/>
  <c r="AO144" i="36"/>
  <c r="AR144" i="36"/>
  <c r="AI144" i="36"/>
  <c r="AM144" i="36"/>
  <c r="AF144" i="36"/>
  <c r="Y144" i="36"/>
  <c r="AC144" i="36"/>
  <c r="AH144" i="36"/>
  <c r="AE144" i="36"/>
  <c r="R144" i="36"/>
  <c r="W144" i="36"/>
  <c r="S144" i="36"/>
  <c r="AN144" i="36"/>
  <c r="AU144" i="36"/>
  <c r="P144" i="36"/>
  <c r="T144" i="36"/>
  <c r="AQ144" i="36"/>
  <c r="AS144" i="36"/>
  <c r="AB144" i="36"/>
  <c r="M144" i="36"/>
  <c r="AK144" i="36"/>
  <c r="AL144" i="36"/>
  <c r="Z144" i="36"/>
  <c r="V144" i="36"/>
  <c r="AP144" i="36"/>
  <c r="AT144" i="36"/>
  <c r="A140" i="20"/>
  <c r="K141" i="20"/>
  <c r="L141" i="20" s="1"/>
  <c r="K141" i="38"/>
  <c r="L141" i="38" s="1"/>
  <c r="A140" i="38"/>
  <c r="H153" i="19"/>
  <c r="G153" i="19"/>
  <c r="E153" i="19"/>
  <c r="J153" i="19"/>
  <c r="A155" i="19"/>
  <c r="AV156" i="19"/>
  <c r="AW156" i="19" s="1"/>
  <c r="B154" i="19"/>
  <c r="I154" i="19" s="1"/>
  <c r="C154" i="19"/>
  <c r="I153" i="19"/>
  <c r="P153" i="19"/>
  <c r="Y153" i="19"/>
  <c r="X153" i="19"/>
  <c r="AP153" i="19"/>
  <c r="Z153" i="19"/>
  <c r="Q153" i="19"/>
  <c r="R153" i="19"/>
  <c r="AS153" i="19"/>
  <c r="AN153" i="19"/>
  <c r="AQ153" i="19"/>
  <c r="AT153" i="19"/>
  <c r="AO153" i="19"/>
  <c r="AR153" i="19"/>
  <c r="AG153" i="19"/>
  <c r="V153" i="19"/>
  <c r="AU153" i="19"/>
  <c r="AB153" i="19"/>
  <c r="M153" i="19"/>
  <c r="AM153" i="19"/>
  <c r="AK153" i="19"/>
  <c r="O153" i="19"/>
  <c r="K153" i="19"/>
  <c r="L153" i="19"/>
  <c r="AF153" i="19"/>
  <c r="AH153" i="19"/>
  <c r="U153" i="19"/>
  <c r="AD153" i="19"/>
  <c r="AA153" i="19"/>
  <c r="AJ153" i="19"/>
  <c r="T153" i="19"/>
  <c r="W153" i="19"/>
  <c r="N153" i="19"/>
  <c r="AC153" i="19"/>
  <c r="AI153" i="19"/>
  <c r="S153" i="19"/>
  <c r="AL153" i="19"/>
  <c r="AE153" i="19"/>
  <c r="F153" i="19"/>
  <c r="I139" i="38" l="1"/>
  <c r="D145" i="36"/>
  <c r="E139" i="20"/>
  <c r="D139" i="38"/>
  <c r="I139" i="20"/>
  <c r="A141" i="20"/>
  <c r="K142" i="20"/>
  <c r="L142" i="20" s="1"/>
  <c r="AI145" i="36"/>
  <c r="Y145" i="36"/>
  <c r="O145" i="36"/>
  <c r="N145" i="36"/>
  <c r="U145" i="36"/>
  <c r="L145" i="36"/>
  <c r="P145" i="36"/>
  <c r="AF145" i="36"/>
  <c r="AQ145" i="36"/>
  <c r="AN145" i="36"/>
  <c r="AS145" i="36"/>
  <c r="X145" i="36"/>
  <c r="AH145" i="36"/>
  <c r="Q145" i="36"/>
  <c r="K145" i="36"/>
  <c r="W145" i="36"/>
  <c r="AL145" i="36"/>
  <c r="AU145" i="36"/>
  <c r="AK145" i="36"/>
  <c r="V145" i="36"/>
  <c r="AO145" i="36"/>
  <c r="AJ145" i="36"/>
  <c r="AC145" i="36"/>
  <c r="AB145" i="36"/>
  <c r="AP145" i="36"/>
  <c r="AM145" i="36"/>
  <c r="S145" i="36"/>
  <c r="AR145" i="36"/>
  <c r="Z145" i="36"/>
  <c r="R145" i="36"/>
  <c r="AA145" i="36"/>
  <c r="AE145" i="36"/>
  <c r="AT145" i="36"/>
  <c r="T145" i="36"/>
  <c r="M145" i="36"/>
  <c r="AG145" i="36"/>
  <c r="AD145" i="36"/>
  <c r="H146" i="36"/>
  <c r="E146" i="36"/>
  <c r="F146" i="36"/>
  <c r="D146" i="36"/>
  <c r="C146" i="36"/>
  <c r="G146" i="36"/>
  <c r="B146" i="36"/>
  <c r="J146" i="36"/>
  <c r="I146" i="36"/>
  <c r="F140" i="38"/>
  <c r="B140" i="38"/>
  <c r="D140" i="38" s="1"/>
  <c r="G140" i="38"/>
  <c r="H140" i="38"/>
  <c r="C140" i="38"/>
  <c r="F145" i="36"/>
  <c r="K142" i="38"/>
  <c r="L142" i="38" s="1"/>
  <c r="A141" i="38"/>
  <c r="B140" i="20"/>
  <c r="D140" i="20" s="1"/>
  <c r="G140" i="20"/>
  <c r="C140" i="20"/>
  <c r="H140" i="20"/>
  <c r="F140" i="20"/>
  <c r="G145" i="36"/>
  <c r="I145" i="36"/>
  <c r="E145" i="36"/>
  <c r="J145" i="36"/>
  <c r="AV148" i="36"/>
  <c r="AW148" i="36" s="1"/>
  <c r="A147" i="36"/>
  <c r="F154" i="19"/>
  <c r="G154" i="19"/>
  <c r="J154" i="19"/>
  <c r="D154" i="19"/>
  <c r="E154" i="19"/>
  <c r="H154" i="19"/>
  <c r="AQ154" i="19"/>
  <c r="AK154" i="19"/>
  <c r="W154" i="19"/>
  <c r="Z154" i="19"/>
  <c r="T154" i="19"/>
  <c r="K154" i="19"/>
  <c r="AR154" i="19"/>
  <c r="AF154" i="19"/>
  <c r="AJ154" i="19"/>
  <c r="AC154" i="19"/>
  <c r="AU154" i="19"/>
  <c r="AS154" i="19"/>
  <c r="AP154" i="19"/>
  <c r="AI154" i="19"/>
  <c r="R154" i="19"/>
  <c r="Y154" i="19"/>
  <c r="AE154" i="19"/>
  <c r="V154" i="19"/>
  <c r="AB154" i="19"/>
  <c r="AA154" i="19"/>
  <c r="AH154" i="19"/>
  <c r="AL154" i="19"/>
  <c r="AT154" i="19"/>
  <c r="U154" i="19"/>
  <c r="Q154" i="19"/>
  <c r="X154" i="19"/>
  <c r="AG154" i="19"/>
  <c r="L154" i="19"/>
  <c r="S154" i="19"/>
  <c r="P154" i="19"/>
  <c r="AD154" i="19"/>
  <c r="M154" i="19"/>
  <c r="O154" i="19"/>
  <c r="N154" i="19"/>
  <c r="AM154" i="19"/>
  <c r="AO154" i="19"/>
  <c r="AN154" i="19"/>
  <c r="AV157" i="19"/>
  <c r="AW157" i="19" s="1"/>
  <c r="A156" i="19"/>
  <c r="B155" i="19"/>
  <c r="H155" i="19" s="1"/>
  <c r="C155" i="19"/>
  <c r="E140" i="20" l="1"/>
  <c r="E140" i="38"/>
  <c r="I140" i="38"/>
  <c r="I140" i="20"/>
  <c r="AV149" i="36"/>
  <c r="AW149" i="36" s="1"/>
  <c r="A148" i="36"/>
  <c r="K143" i="38"/>
  <c r="L143" i="38" s="1"/>
  <c r="A142" i="38"/>
  <c r="K146" i="36"/>
  <c r="AH146" i="36"/>
  <c r="AI146" i="36"/>
  <c r="M146" i="36"/>
  <c r="X146" i="36"/>
  <c r="AG146" i="36"/>
  <c r="P146" i="36"/>
  <c r="AS146" i="36"/>
  <c r="AR146" i="36"/>
  <c r="Y146" i="36"/>
  <c r="T146" i="36"/>
  <c r="AJ146" i="36"/>
  <c r="Z146" i="36"/>
  <c r="U146" i="36"/>
  <c r="AQ146" i="36"/>
  <c r="V146" i="36"/>
  <c r="AE146" i="36"/>
  <c r="AU146" i="36"/>
  <c r="AC146" i="36"/>
  <c r="AP146" i="36"/>
  <c r="AK146" i="36"/>
  <c r="R146" i="36"/>
  <c r="AL146" i="36"/>
  <c r="AT146" i="36"/>
  <c r="Q146" i="36"/>
  <c r="AB146" i="36"/>
  <c r="O146" i="36"/>
  <c r="AF146" i="36"/>
  <c r="S146" i="36"/>
  <c r="AA146" i="36"/>
  <c r="L146" i="36"/>
  <c r="N146" i="36"/>
  <c r="AO146" i="36"/>
  <c r="AN146" i="36"/>
  <c r="AD146" i="36"/>
  <c r="AM146" i="36"/>
  <c r="W146" i="36"/>
  <c r="A142" i="20"/>
  <c r="K143" i="20"/>
  <c r="L143" i="20" s="1"/>
  <c r="G147" i="36"/>
  <c r="E147" i="36"/>
  <c r="H147" i="36"/>
  <c r="B147" i="36"/>
  <c r="C147" i="36"/>
  <c r="I147" i="36"/>
  <c r="J147" i="36"/>
  <c r="F147" i="36"/>
  <c r="D147" i="36"/>
  <c r="G141" i="38"/>
  <c r="B141" i="38"/>
  <c r="D141" i="38" s="1"/>
  <c r="C141" i="38"/>
  <c r="F141" i="38"/>
  <c r="H141" i="38"/>
  <c r="H141" i="20"/>
  <c r="C141" i="20"/>
  <c r="G141" i="20"/>
  <c r="B141" i="20"/>
  <c r="I141" i="20" s="1"/>
  <c r="F141" i="20"/>
  <c r="F155" i="19"/>
  <c r="J155" i="19"/>
  <c r="G155" i="19"/>
  <c r="E155" i="19"/>
  <c r="D155" i="19"/>
  <c r="B156" i="19"/>
  <c r="J156" i="19"/>
  <c r="G156" i="19"/>
  <c r="E156" i="19"/>
  <c r="C156" i="19"/>
  <c r="D156" i="19"/>
  <c r="H156" i="19"/>
  <c r="I156" i="19"/>
  <c r="F156" i="19"/>
  <c r="I155" i="19"/>
  <c r="M155" i="19"/>
  <c r="AL155" i="19"/>
  <c r="AJ155" i="19"/>
  <c r="N155" i="19"/>
  <c r="U155" i="19"/>
  <c r="AN155" i="19"/>
  <c r="AS155" i="19"/>
  <c r="AQ155" i="19"/>
  <c r="AK155" i="19"/>
  <c r="AU155" i="19"/>
  <c r="P155" i="19"/>
  <c r="AR155" i="19"/>
  <c r="R155" i="19"/>
  <c r="AD155" i="19"/>
  <c r="K155" i="19"/>
  <c r="O155" i="19"/>
  <c r="AE155" i="19"/>
  <c r="AO155" i="19"/>
  <c r="Y155" i="19"/>
  <c r="V155" i="19"/>
  <c r="T155" i="19"/>
  <c r="AC155" i="19"/>
  <c r="Z155" i="19"/>
  <c r="X155" i="19"/>
  <c r="AG155" i="19"/>
  <c r="AM155" i="19"/>
  <c r="W155" i="19"/>
  <c r="AA155" i="19"/>
  <c r="AP155" i="19"/>
  <c r="AT155" i="19"/>
  <c r="AI155" i="19"/>
  <c r="AB155" i="19"/>
  <c r="AF155" i="19"/>
  <c r="L155" i="19"/>
  <c r="Q155" i="19"/>
  <c r="AH155" i="19"/>
  <c r="S155" i="19"/>
  <c r="A157" i="19"/>
  <c r="AV158" i="19"/>
  <c r="AW158" i="19" s="1"/>
  <c r="D141" i="20" l="1"/>
  <c r="E141" i="38"/>
  <c r="E141" i="20"/>
  <c r="I141" i="38"/>
  <c r="I142" i="20"/>
  <c r="E142" i="20"/>
  <c r="D142" i="20"/>
  <c r="B142" i="20"/>
  <c r="C142" i="20"/>
  <c r="H142" i="20"/>
  <c r="F142" i="20"/>
  <c r="G142" i="20"/>
  <c r="E142" i="38"/>
  <c r="H142" i="38"/>
  <c r="G142" i="38"/>
  <c r="D142" i="38"/>
  <c r="F142" i="38"/>
  <c r="I142" i="38"/>
  <c r="B142" i="38"/>
  <c r="C142" i="38"/>
  <c r="C148" i="36"/>
  <c r="B148" i="36"/>
  <c r="I148" i="36" s="1"/>
  <c r="AG147" i="36"/>
  <c r="AD147" i="36"/>
  <c r="Y147" i="36"/>
  <c r="AS147" i="36"/>
  <c r="AO147" i="36"/>
  <c r="S147" i="36"/>
  <c r="AM147" i="36"/>
  <c r="L147" i="36"/>
  <c r="AQ147" i="36"/>
  <c r="AI147" i="36"/>
  <c r="AC147" i="36"/>
  <c r="AP147" i="36"/>
  <c r="AF147" i="36"/>
  <c r="O147" i="36"/>
  <c r="K147" i="36"/>
  <c r="X147" i="36"/>
  <c r="R147" i="36"/>
  <c r="V147" i="36"/>
  <c r="AK147" i="36"/>
  <c r="T147" i="36"/>
  <c r="AH147" i="36"/>
  <c r="U147" i="36"/>
  <c r="AT147" i="36"/>
  <c r="AN147" i="36"/>
  <c r="M147" i="36"/>
  <c r="Z147" i="36"/>
  <c r="AB147" i="36"/>
  <c r="AE147" i="36"/>
  <c r="AU147" i="36"/>
  <c r="AA147" i="36"/>
  <c r="AJ147" i="36"/>
  <c r="N147" i="36"/>
  <c r="W147" i="36"/>
  <c r="P147" i="36"/>
  <c r="Q147" i="36"/>
  <c r="AR147" i="36"/>
  <c r="AL147" i="36"/>
  <c r="K144" i="20"/>
  <c r="L144" i="20" s="1"/>
  <c r="A143" i="20"/>
  <c r="K144" i="38"/>
  <c r="L144" i="38" s="1"/>
  <c r="A143" i="38"/>
  <c r="AV150" i="36"/>
  <c r="AW150" i="36" s="1"/>
  <c r="A149" i="36"/>
  <c r="F157" i="19"/>
  <c r="C157" i="19"/>
  <c r="E157" i="19"/>
  <c r="D157" i="19"/>
  <c r="H157" i="19"/>
  <c r="B157" i="19"/>
  <c r="I157" i="19"/>
  <c r="J157" i="19"/>
  <c r="G157" i="19"/>
  <c r="AV159" i="19"/>
  <c r="AW159" i="19" s="1"/>
  <c r="A158" i="19"/>
  <c r="AO156" i="19"/>
  <c r="O156" i="19"/>
  <c r="AH156" i="19"/>
  <c r="AG156" i="19"/>
  <c r="AP156" i="19"/>
  <c r="U156" i="19"/>
  <c r="W156" i="19"/>
  <c r="AT156" i="19"/>
  <c r="AD156" i="19"/>
  <c r="Q156" i="19"/>
  <c r="AM156" i="19"/>
  <c r="AK156" i="19"/>
  <c r="AI156" i="19"/>
  <c r="AN156" i="19"/>
  <c r="X156" i="19"/>
  <c r="AU156" i="19"/>
  <c r="AS156" i="19"/>
  <c r="V156" i="19"/>
  <c r="Z156" i="19"/>
  <c r="AF156" i="19"/>
  <c r="M156" i="19"/>
  <c r="R156" i="19"/>
  <c r="AC156" i="19"/>
  <c r="AL156" i="19"/>
  <c r="S156" i="19"/>
  <c r="P156" i="19"/>
  <c r="N156" i="19"/>
  <c r="K156" i="19"/>
  <c r="L156" i="19"/>
  <c r="AA156" i="19"/>
  <c r="AE156" i="19"/>
  <c r="AQ156" i="19"/>
  <c r="T156" i="19"/>
  <c r="AR156" i="19"/>
  <c r="Y156" i="19"/>
  <c r="AB156" i="19"/>
  <c r="AJ156" i="19"/>
  <c r="H148" i="36" l="1"/>
  <c r="G148" i="36"/>
  <c r="F148" i="36"/>
  <c r="J148" i="36"/>
  <c r="D148" i="36"/>
  <c r="E148" i="36"/>
  <c r="AV151" i="36"/>
  <c r="AW151" i="36" s="1"/>
  <c r="A150" i="36"/>
  <c r="K145" i="38"/>
  <c r="L145" i="38" s="1"/>
  <c r="A144" i="38"/>
  <c r="K145" i="20"/>
  <c r="L145" i="20" s="1"/>
  <c r="A144" i="20"/>
  <c r="C149" i="36"/>
  <c r="B149" i="36"/>
  <c r="H149" i="36" s="1"/>
  <c r="H143" i="38"/>
  <c r="C143" i="38"/>
  <c r="F143" i="38"/>
  <c r="D143" i="38"/>
  <c r="G143" i="38"/>
  <c r="B143" i="38"/>
  <c r="I143" i="38"/>
  <c r="E143" i="38"/>
  <c r="D143" i="20"/>
  <c r="G143" i="20"/>
  <c r="I143" i="20"/>
  <c r="C143" i="20"/>
  <c r="F143" i="20"/>
  <c r="E143" i="20"/>
  <c r="H143" i="20"/>
  <c r="B143" i="20"/>
  <c r="L148" i="36"/>
  <c r="AF148" i="36"/>
  <c r="AS148" i="36"/>
  <c r="AA148" i="36"/>
  <c r="R148" i="36"/>
  <c r="AQ148" i="36"/>
  <c r="AP148" i="36"/>
  <c r="AD148" i="36"/>
  <c r="Y148" i="36"/>
  <c r="AB148" i="36"/>
  <c r="W148" i="36"/>
  <c r="AR148" i="36"/>
  <c r="AM148" i="36"/>
  <c r="AT148" i="36"/>
  <c r="AH148" i="36"/>
  <c r="AK148" i="36"/>
  <c r="AG148" i="36"/>
  <c r="Z148" i="36"/>
  <c r="K148" i="36"/>
  <c r="V148" i="36"/>
  <c r="M148" i="36"/>
  <c r="AO148" i="36"/>
  <c r="N148" i="36"/>
  <c r="AU148" i="36"/>
  <c r="AI148" i="36"/>
  <c r="T148" i="36"/>
  <c r="AE148" i="36"/>
  <c r="U148" i="36"/>
  <c r="S148" i="36"/>
  <c r="Q148" i="36"/>
  <c r="O148" i="36"/>
  <c r="X148" i="36"/>
  <c r="AC148" i="36"/>
  <c r="AJ148" i="36"/>
  <c r="AN148" i="36"/>
  <c r="P148" i="36"/>
  <c r="AL148" i="36"/>
  <c r="AV160" i="19"/>
  <c r="AW160" i="19" s="1"/>
  <c r="A159" i="19"/>
  <c r="B158" i="19"/>
  <c r="G158" i="19" s="1"/>
  <c r="C158" i="19"/>
  <c r="P157" i="19"/>
  <c r="AT157" i="19"/>
  <c r="AB157" i="19"/>
  <c r="S157" i="19"/>
  <c r="R157" i="19"/>
  <c r="AJ157" i="19"/>
  <c r="AQ157" i="19"/>
  <c r="X157" i="19"/>
  <c r="M157" i="19"/>
  <c r="AU157" i="19"/>
  <c r="W157" i="19"/>
  <c r="V157" i="19"/>
  <c r="N157" i="19"/>
  <c r="AF157" i="19"/>
  <c r="AN157" i="19"/>
  <c r="L157" i="19"/>
  <c r="T157" i="19"/>
  <c r="AE157" i="19"/>
  <c r="AG157" i="19"/>
  <c r="AH157" i="19"/>
  <c r="AD157" i="19"/>
  <c r="AK157" i="19"/>
  <c r="AL157" i="19"/>
  <c r="O157" i="19"/>
  <c r="U157" i="19"/>
  <c r="AI157" i="19"/>
  <c r="AM157" i="19"/>
  <c r="Z157" i="19"/>
  <c r="K157" i="19"/>
  <c r="Y157" i="19"/>
  <c r="AP157" i="19"/>
  <c r="AC157" i="19"/>
  <c r="Q157" i="19"/>
  <c r="AO157" i="19"/>
  <c r="AR157" i="19"/>
  <c r="AA157" i="19"/>
  <c r="AS157" i="19"/>
  <c r="J149" i="36" l="1"/>
  <c r="F149" i="36"/>
  <c r="E149" i="36"/>
  <c r="D149" i="36"/>
  <c r="G149" i="36"/>
  <c r="I149" i="36"/>
  <c r="X149" i="36"/>
  <c r="AJ149" i="36"/>
  <c r="AR149" i="36"/>
  <c r="T149" i="36"/>
  <c r="K149" i="36"/>
  <c r="AU149" i="36"/>
  <c r="AI149" i="36"/>
  <c r="AA149" i="36"/>
  <c r="AM149" i="36"/>
  <c r="AK149" i="36"/>
  <c r="AT149" i="36"/>
  <c r="N149" i="36"/>
  <c r="AG149" i="36"/>
  <c r="AH149" i="36"/>
  <c r="O149" i="36"/>
  <c r="Z149" i="36"/>
  <c r="AL149" i="36"/>
  <c r="U149" i="36"/>
  <c r="R149" i="36"/>
  <c r="AQ149" i="36"/>
  <c r="W149" i="36"/>
  <c r="P149" i="36"/>
  <c r="AE149" i="36"/>
  <c r="AB149" i="36"/>
  <c r="AD149" i="36"/>
  <c r="Y149" i="36"/>
  <c r="AO149" i="36"/>
  <c r="S149" i="36"/>
  <c r="AF149" i="36"/>
  <c r="L149" i="36"/>
  <c r="Q149" i="36"/>
  <c r="AN149" i="36"/>
  <c r="V149" i="36"/>
  <c r="AC149" i="36"/>
  <c r="M149" i="36"/>
  <c r="AS149" i="36"/>
  <c r="AP149" i="36"/>
  <c r="H144" i="20"/>
  <c r="C144" i="20"/>
  <c r="G144" i="20"/>
  <c r="B144" i="20"/>
  <c r="E144" i="20" s="1"/>
  <c r="F144" i="20"/>
  <c r="B144" i="38"/>
  <c r="E144" i="38" s="1"/>
  <c r="C144" i="38"/>
  <c r="F144" i="38"/>
  <c r="G144" i="38"/>
  <c r="H144" i="38"/>
  <c r="C150" i="36"/>
  <c r="B150" i="36"/>
  <c r="E150" i="36" s="1"/>
  <c r="K146" i="20"/>
  <c r="L146" i="20" s="1"/>
  <c r="A145" i="20"/>
  <c r="K146" i="38"/>
  <c r="L146" i="38" s="1"/>
  <c r="A145" i="38"/>
  <c r="AV152" i="36"/>
  <c r="AW152" i="36" s="1"/>
  <c r="A151" i="36"/>
  <c r="D158" i="19"/>
  <c r="E158" i="19"/>
  <c r="J158" i="19"/>
  <c r="F158" i="19"/>
  <c r="I158" i="19"/>
  <c r="H158" i="19"/>
  <c r="W158" i="19"/>
  <c r="T158" i="19"/>
  <c r="M158" i="19"/>
  <c r="P158" i="19"/>
  <c r="X158" i="19"/>
  <c r="AP158" i="19"/>
  <c r="U158" i="19"/>
  <c r="AQ158" i="19"/>
  <c r="AM158" i="19"/>
  <c r="AS158" i="19"/>
  <c r="Y158" i="19"/>
  <c r="AF158" i="19"/>
  <c r="AU158" i="19"/>
  <c r="L158" i="19"/>
  <c r="K158" i="19"/>
  <c r="AH158" i="19"/>
  <c r="AI158" i="19"/>
  <c r="AN158" i="19"/>
  <c r="O158" i="19"/>
  <c r="AC158" i="19"/>
  <c r="Z158" i="19"/>
  <c r="S158" i="19"/>
  <c r="AR158" i="19"/>
  <c r="AL158" i="19"/>
  <c r="AA158" i="19"/>
  <c r="V158" i="19"/>
  <c r="R158" i="19"/>
  <c r="AE158" i="19"/>
  <c r="AK158" i="19"/>
  <c r="AG158" i="19"/>
  <c r="N158" i="19"/>
  <c r="AJ158" i="19"/>
  <c r="AD158" i="19"/>
  <c r="Q158" i="19"/>
  <c r="AO158" i="19"/>
  <c r="AB158" i="19"/>
  <c r="AT158" i="19"/>
  <c r="B159" i="19"/>
  <c r="I159" i="19" s="1"/>
  <c r="C159" i="19"/>
  <c r="AV161" i="19"/>
  <c r="AW161" i="19" s="1"/>
  <c r="A160" i="19"/>
  <c r="I144" i="20" l="1"/>
  <c r="H150" i="36"/>
  <c r="I144" i="38"/>
  <c r="D144" i="20"/>
  <c r="I150" i="36"/>
  <c r="C151" i="36"/>
  <c r="B151" i="36"/>
  <c r="I151" i="36" s="1"/>
  <c r="B145" i="38"/>
  <c r="D145" i="38" s="1"/>
  <c r="C145" i="38"/>
  <c r="H145" i="38"/>
  <c r="G145" i="38"/>
  <c r="F145" i="38"/>
  <c r="G145" i="20"/>
  <c r="F145" i="20"/>
  <c r="H145" i="20"/>
  <c r="C145" i="20"/>
  <c r="B145" i="20"/>
  <c r="D145" i="20" s="1"/>
  <c r="F150" i="36"/>
  <c r="X150" i="36"/>
  <c r="T150" i="36"/>
  <c r="AE150" i="36"/>
  <c r="V150" i="36"/>
  <c r="AU150" i="36"/>
  <c r="Z150" i="36"/>
  <c r="N150" i="36"/>
  <c r="AA150" i="36"/>
  <c r="M150" i="36"/>
  <c r="AJ150" i="36"/>
  <c r="AC150" i="36"/>
  <c r="Y150" i="36"/>
  <c r="AP150" i="36"/>
  <c r="AR150" i="36"/>
  <c r="AO150" i="36"/>
  <c r="AD150" i="36"/>
  <c r="AK150" i="36"/>
  <c r="AT150" i="36"/>
  <c r="AH150" i="36"/>
  <c r="AB150" i="36"/>
  <c r="W150" i="36"/>
  <c r="AN150" i="36"/>
  <c r="P150" i="36"/>
  <c r="AQ150" i="36"/>
  <c r="AS150" i="36"/>
  <c r="AF150" i="36"/>
  <c r="AL150" i="36"/>
  <c r="L150" i="36"/>
  <c r="R150" i="36"/>
  <c r="U150" i="36"/>
  <c r="AM150" i="36"/>
  <c r="Q150" i="36"/>
  <c r="S150" i="36"/>
  <c r="K150" i="36"/>
  <c r="AI150" i="36"/>
  <c r="AG150" i="36"/>
  <c r="O150" i="36"/>
  <c r="AV153" i="36"/>
  <c r="AW153" i="36" s="1"/>
  <c r="A152" i="36"/>
  <c r="K147" i="38"/>
  <c r="L147" i="38" s="1"/>
  <c r="A146" i="38"/>
  <c r="K147" i="20"/>
  <c r="L147" i="20" s="1"/>
  <c r="A146" i="20"/>
  <c r="J150" i="36"/>
  <c r="G150" i="36"/>
  <c r="D150" i="36"/>
  <c r="D144" i="38"/>
  <c r="E159" i="19"/>
  <c r="G159" i="19"/>
  <c r="H159" i="19"/>
  <c r="D159" i="19"/>
  <c r="J159" i="19"/>
  <c r="AV162" i="19"/>
  <c r="AW162" i="19" s="1"/>
  <c r="A161" i="19"/>
  <c r="C160" i="19"/>
  <c r="B160" i="19"/>
  <c r="D160" i="19" s="1"/>
  <c r="F159" i="19"/>
  <c r="AU159" i="19"/>
  <c r="Z159" i="19"/>
  <c r="AB159" i="19"/>
  <c r="P159" i="19"/>
  <c r="M159" i="19"/>
  <c r="AK159" i="19"/>
  <c r="Y159" i="19"/>
  <c r="K159" i="19"/>
  <c r="AC159" i="19"/>
  <c r="AS159" i="19"/>
  <c r="AI159" i="19"/>
  <c r="X159" i="19"/>
  <c r="AE159" i="19"/>
  <c r="AR159" i="19"/>
  <c r="AA159" i="19"/>
  <c r="AN159" i="19"/>
  <c r="AQ159" i="19"/>
  <c r="AP159" i="19"/>
  <c r="L159" i="19"/>
  <c r="AT159" i="19"/>
  <c r="AF159" i="19"/>
  <c r="AO159" i="19"/>
  <c r="O159" i="19"/>
  <c r="AJ159" i="19"/>
  <c r="AD159" i="19"/>
  <c r="AM159" i="19"/>
  <c r="AL159" i="19"/>
  <c r="Q159" i="19"/>
  <c r="U159" i="19"/>
  <c r="T159" i="19"/>
  <c r="V159" i="19"/>
  <c r="S159" i="19"/>
  <c r="W159" i="19"/>
  <c r="AG159" i="19"/>
  <c r="R159" i="19"/>
  <c r="N159" i="19"/>
  <c r="AH159" i="19"/>
  <c r="E151" i="36" l="1"/>
  <c r="G151" i="36"/>
  <c r="I145" i="20"/>
  <c r="I145" i="38"/>
  <c r="E145" i="20"/>
  <c r="J151" i="36"/>
  <c r="D151" i="36"/>
  <c r="F151" i="36"/>
  <c r="K148" i="20"/>
  <c r="L148" i="20" s="1"/>
  <c r="A147" i="20"/>
  <c r="K148" i="38"/>
  <c r="L148" i="38" s="1"/>
  <c r="A147" i="38"/>
  <c r="AV154" i="36"/>
  <c r="AW154" i="36" s="1"/>
  <c r="A153" i="36"/>
  <c r="E145" i="38"/>
  <c r="H151" i="36"/>
  <c r="AM151" i="36"/>
  <c r="AE151" i="36"/>
  <c r="AS151" i="36"/>
  <c r="AC151" i="36"/>
  <c r="O151" i="36"/>
  <c r="R151" i="36"/>
  <c r="T151" i="36"/>
  <c r="AK151" i="36"/>
  <c r="K151" i="36"/>
  <c r="AO151" i="36"/>
  <c r="AH151" i="36"/>
  <c r="AU151" i="36"/>
  <c r="AG151" i="36"/>
  <c r="S151" i="36"/>
  <c r="AB151" i="36"/>
  <c r="AA151" i="36"/>
  <c r="AF151" i="36"/>
  <c r="Q151" i="36"/>
  <c r="AN151" i="36"/>
  <c r="Y151" i="36"/>
  <c r="AT151" i="36"/>
  <c r="AR151" i="36"/>
  <c r="L151" i="36"/>
  <c r="P151" i="36"/>
  <c r="W151" i="36"/>
  <c r="AD151" i="36"/>
  <c r="Z151" i="36"/>
  <c r="AJ151" i="36"/>
  <c r="X151" i="36"/>
  <c r="U151" i="36"/>
  <c r="AI151" i="36"/>
  <c r="M151" i="36"/>
  <c r="AP151" i="36"/>
  <c r="AL151" i="36"/>
  <c r="AQ151" i="36"/>
  <c r="N151" i="36"/>
  <c r="V151" i="36"/>
  <c r="F146" i="20"/>
  <c r="B146" i="20"/>
  <c r="D146" i="20" s="1"/>
  <c r="C146" i="20"/>
  <c r="G146" i="20"/>
  <c r="H146" i="20"/>
  <c r="H146" i="38"/>
  <c r="G146" i="38"/>
  <c r="C146" i="38"/>
  <c r="B146" i="38"/>
  <c r="I146" i="38" s="1"/>
  <c r="F146" i="38"/>
  <c r="C152" i="36"/>
  <c r="B152" i="36"/>
  <c r="D152" i="36" s="1"/>
  <c r="I160" i="19"/>
  <c r="E160" i="19"/>
  <c r="G160" i="19"/>
  <c r="H160" i="19"/>
  <c r="J160" i="19"/>
  <c r="F160" i="19"/>
  <c r="Z160" i="19"/>
  <c r="AS160" i="19"/>
  <c r="R160" i="19"/>
  <c r="AE160" i="19"/>
  <c r="AB160" i="19"/>
  <c r="AF160" i="19"/>
  <c r="X160" i="19"/>
  <c r="AR160" i="19"/>
  <c r="AL160" i="19"/>
  <c r="P160" i="19"/>
  <c r="N160" i="19"/>
  <c r="T160" i="19"/>
  <c r="W160" i="19"/>
  <c r="S160" i="19"/>
  <c r="Y160" i="19"/>
  <c r="AK160" i="19"/>
  <c r="AA160" i="19"/>
  <c r="AU160" i="19"/>
  <c r="AQ160" i="19"/>
  <c r="AG160" i="19"/>
  <c r="K160" i="19"/>
  <c r="L160" i="19"/>
  <c r="Q160" i="19"/>
  <c r="U160" i="19"/>
  <c r="AC160" i="19"/>
  <c r="AJ160" i="19"/>
  <c r="M160" i="19"/>
  <c r="AP160" i="19"/>
  <c r="AH160" i="19"/>
  <c r="AN160" i="19"/>
  <c r="AI160" i="19"/>
  <c r="O160" i="19"/>
  <c r="AO160" i="19"/>
  <c r="AM160" i="19"/>
  <c r="AT160" i="19"/>
  <c r="V160" i="19"/>
  <c r="AD160" i="19"/>
  <c r="B161" i="19"/>
  <c r="E161" i="19" s="1"/>
  <c r="C161" i="19"/>
  <c r="A162" i="19"/>
  <c r="AV163" i="19"/>
  <c r="AW163" i="19" s="1"/>
  <c r="E146" i="20" l="1"/>
  <c r="E146" i="38"/>
  <c r="H152" i="36"/>
  <c r="J152" i="36"/>
  <c r="F152" i="36"/>
  <c r="D146" i="38"/>
  <c r="E152" i="36"/>
  <c r="G152" i="36"/>
  <c r="I146" i="20"/>
  <c r="D153" i="36"/>
  <c r="I153" i="36"/>
  <c r="F153" i="36"/>
  <c r="J153" i="36"/>
  <c r="H153" i="36"/>
  <c r="C153" i="36"/>
  <c r="B153" i="36"/>
  <c r="G153" i="36"/>
  <c r="E153" i="36"/>
  <c r="B147" i="38"/>
  <c r="D147" i="38" s="1"/>
  <c r="C147" i="38"/>
  <c r="F147" i="38"/>
  <c r="H147" i="38"/>
  <c r="G147" i="38"/>
  <c r="G147" i="20"/>
  <c r="B147" i="20"/>
  <c r="E147" i="20" s="1"/>
  <c r="H147" i="20"/>
  <c r="C147" i="20"/>
  <c r="F147" i="20"/>
  <c r="I152" i="36"/>
  <c r="W152" i="36"/>
  <c r="Q152" i="36"/>
  <c r="AH152" i="36"/>
  <c r="AM152" i="36"/>
  <c r="AP152" i="36"/>
  <c r="V152" i="36"/>
  <c r="AR152" i="36"/>
  <c r="AC152" i="36"/>
  <c r="AT152" i="36"/>
  <c r="P152" i="36"/>
  <c r="AA152" i="36"/>
  <c r="AL152" i="36"/>
  <c r="AG152" i="36"/>
  <c r="M152" i="36"/>
  <c r="S152" i="36"/>
  <c r="AO152" i="36"/>
  <c r="AF152" i="36"/>
  <c r="AS152" i="36"/>
  <c r="Y152" i="36"/>
  <c r="R152" i="36"/>
  <c r="AD152" i="36"/>
  <c r="AE152" i="36"/>
  <c r="O152" i="36"/>
  <c r="K152" i="36"/>
  <c r="U152" i="36"/>
  <c r="AQ152" i="36"/>
  <c r="AI152" i="36"/>
  <c r="N152" i="36"/>
  <c r="AN152" i="36"/>
  <c r="AB152" i="36"/>
  <c r="AJ152" i="36"/>
  <c r="X152" i="36"/>
  <c r="AU152" i="36"/>
  <c r="L152" i="36"/>
  <c r="Z152" i="36"/>
  <c r="T152" i="36"/>
  <c r="AK152" i="36"/>
  <c r="A154" i="36"/>
  <c r="AV155" i="36"/>
  <c r="AW155" i="36" s="1"/>
  <c r="K149" i="38"/>
  <c r="L149" i="38" s="1"/>
  <c r="A148" i="38"/>
  <c r="K149" i="20"/>
  <c r="L149" i="20" s="1"/>
  <c r="A148" i="20"/>
  <c r="J161" i="19"/>
  <c r="G161" i="19"/>
  <c r="H161" i="19"/>
  <c r="D161" i="19"/>
  <c r="B162" i="19"/>
  <c r="I162" i="19" s="1"/>
  <c r="C162" i="19"/>
  <c r="AV164" i="19"/>
  <c r="AW164" i="19" s="1"/>
  <c r="A163" i="19"/>
  <c r="AQ161" i="19"/>
  <c r="AO161" i="19"/>
  <c r="T161" i="19"/>
  <c r="O161" i="19"/>
  <c r="AC161" i="19"/>
  <c r="P161" i="19"/>
  <c r="AR161" i="19"/>
  <c r="M161" i="19"/>
  <c r="AS161" i="19"/>
  <c r="AU161" i="19"/>
  <c r="S161" i="19"/>
  <c r="Z161" i="19"/>
  <c r="K161" i="19"/>
  <c r="V161" i="19"/>
  <c r="AI161" i="19"/>
  <c r="AK161" i="19"/>
  <c r="AF161" i="19"/>
  <c r="W161" i="19"/>
  <c r="AD161" i="19"/>
  <c r="AA161" i="19"/>
  <c r="N161" i="19"/>
  <c r="Y161" i="19"/>
  <c r="AL161" i="19"/>
  <c r="AB161" i="19"/>
  <c r="AJ161" i="19"/>
  <c r="AP161" i="19"/>
  <c r="AN161" i="19"/>
  <c r="AM161" i="19"/>
  <c r="AG161" i="19"/>
  <c r="U161" i="19"/>
  <c r="L161" i="19"/>
  <c r="Q161" i="19"/>
  <c r="AT161" i="19"/>
  <c r="R161" i="19"/>
  <c r="AH161" i="19"/>
  <c r="X161" i="19"/>
  <c r="AE161" i="19"/>
  <c r="I161" i="19"/>
  <c r="F161" i="19"/>
  <c r="I147" i="20" l="1"/>
  <c r="E147" i="38"/>
  <c r="G148" i="20"/>
  <c r="B148" i="20"/>
  <c r="E148" i="20" s="1"/>
  <c r="H148" i="20"/>
  <c r="F148" i="20"/>
  <c r="C148" i="20"/>
  <c r="F148" i="38"/>
  <c r="G148" i="38"/>
  <c r="C148" i="38"/>
  <c r="B148" i="38"/>
  <c r="E148" i="38" s="1"/>
  <c r="H148" i="38"/>
  <c r="A155" i="36"/>
  <c r="AV156" i="36"/>
  <c r="AW156" i="36" s="1"/>
  <c r="D147" i="20"/>
  <c r="I147" i="38"/>
  <c r="Q153" i="36"/>
  <c r="AO153" i="36"/>
  <c r="AN153" i="36"/>
  <c r="AA153" i="36"/>
  <c r="O153" i="36"/>
  <c r="AM153" i="36"/>
  <c r="L153" i="36"/>
  <c r="S153" i="36"/>
  <c r="N153" i="36"/>
  <c r="AS153" i="36"/>
  <c r="U153" i="36"/>
  <c r="Y153" i="36"/>
  <c r="AE153" i="36"/>
  <c r="AC153" i="36"/>
  <c r="AR153" i="36"/>
  <c r="X153" i="36"/>
  <c r="AG153" i="36"/>
  <c r="AB153" i="36"/>
  <c r="AQ153" i="36"/>
  <c r="AF153" i="36"/>
  <c r="T153" i="36"/>
  <c r="V153" i="36"/>
  <c r="W153" i="36"/>
  <c r="AU153" i="36"/>
  <c r="P153" i="36"/>
  <c r="AJ153" i="36"/>
  <c r="AL153" i="36"/>
  <c r="AT153" i="36"/>
  <c r="AI153" i="36"/>
  <c r="AK153" i="36"/>
  <c r="AP153" i="36"/>
  <c r="AD153" i="36"/>
  <c r="K153" i="36"/>
  <c r="M153" i="36"/>
  <c r="R153" i="36"/>
  <c r="AH153" i="36"/>
  <c r="Z153" i="36"/>
  <c r="K150" i="20"/>
  <c r="L150" i="20" s="1"/>
  <c r="A149" i="20"/>
  <c r="K150" i="38"/>
  <c r="L150" i="38" s="1"/>
  <c r="A149" i="38"/>
  <c r="G154" i="36"/>
  <c r="E154" i="36"/>
  <c r="J154" i="36"/>
  <c r="I154" i="36"/>
  <c r="B154" i="36"/>
  <c r="C154" i="36"/>
  <c r="H154" i="36"/>
  <c r="F154" i="36"/>
  <c r="D154" i="36"/>
  <c r="E162" i="19"/>
  <c r="J162" i="19"/>
  <c r="D162" i="19"/>
  <c r="F162" i="19"/>
  <c r="H162" i="19"/>
  <c r="I163" i="19"/>
  <c r="D163" i="19"/>
  <c r="G163" i="19"/>
  <c r="E163" i="19"/>
  <c r="C163" i="19"/>
  <c r="F163" i="19"/>
  <c r="B163" i="19"/>
  <c r="J163" i="19"/>
  <c r="H163" i="19"/>
  <c r="AV165" i="19"/>
  <c r="AW165" i="19" s="1"/>
  <c r="A164" i="19"/>
  <c r="G162" i="19"/>
  <c r="AB162" i="19"/>
  <c r="K162" i="19"/>
  <c r="L162" i="19"/>
  <c r="AL162" i="19"/>
  <c r="W162" i="19"/>
  <c r="AH162" i="19"/>
  <c r="Y162" i="19"/>
  <c r="AT162" i="19"/>
  <c r="AF162" i="19"/>
  <c r="AU162" i="19"/>
  <c r="AM162" i="19"/>
  <c r="AN162" i="19"/>
  <c r="AJ162" i="19"/>
  <c r="AS162" i="19"/>
  <c r="AO162" i="19"/>
  <c r="AD162" i="19"/>
  <c r="AG162" i="19"/>
  <c r="T162" i="19"/>
  <c r="AI162" i="19"/>
  <c r="S162" i="19"/>
  <c r="N162" i="19"/>
  <c r="AR162" i="19"/>
  <c r="Z162" i="19"/>
  <c r="P162" i="19"/>
  <c r="AA162" i="19"/>
  <c r="AE162" i="19"/>
  <c r="AQ162" i="19"/>
  <c r="R162" i="19"/>
  <c r="Q162" i="19"/>
  <c r="V162" i="19"/>
  <c r="O162" i="19"/>
  <c r="AP162" i="19"/>
  <c r="M162" i="19"/>
  <c r="X162" i="19"/>
  <c r="U162" i="19"/>
  <c r="AK162" i="19"/>
  <c r="AC162" i="19"/>
  <c r="I148" i="20" l="1"/>
  <c r="I148" i="38"/>
  <c r="D148" i="38"/>
  <c r="D148" i="20"/>
  <c r="D149" i="38"/>
  <c r="C149" i="38"/>
  <c r="B149" i="38"/>
  <c r="G149" i="38"/>
  <c r="F149" i="38"/>
  <c r="H149" i="38"/>
  <c r="E149" i="38"/>
  <c r="I149" i="38"/>
  <c r="F149" i="20"/>
  <c r="H149" i="20"/>
  <c r="E149" i="20"/>
  <c r="C149" i="20"/>
  <c r="B149" i="20"/>
  <c r="D149" i="20"/>
  <c r="G149" i="20"/>
  <c r="I149" i="20"/>
  <c r="B155" i="36"/>
  <c r="G155" i="36" s="1"/>
  <c r="C155" i="36"/>
  <c r="AQ154" i="36"/>
  <c r="AH154" i="36"/>
  <c r="AL154" i="36"/>
  <c r="Q154" i="36"/>
  <c r="R154" i="36"/>
  <c r="AU154" i="36"/>
  <c r="AO154" i="36"/>
  <c r="AT154" i="36"/>
  <c r="AP154" i="36"/>
  <c r="AR154" i="36"/>
  <c r="AD154" i="36"/>
  <c r="AG154" i="36"/>
  <c r="AE154" i="36"/>
  <c r="AN154" i="36"/>
  <c r="AA154" i="36"/>
  <c r="T154" i="36"/>
  <c r="AF154" i="36"/>
  <c r="AM154" i="36"/>
  <c r="AK154" i="36"/>
  <c r="W154" i="36"/>
  <c r="O154" i="36"/>
  <c r="Z154" i="36"/>
  <c r="AS154" i="36"/>
  <c r="X154" i="36"/>
  <c r="AC154" i="36"/>
  <c r="M154" i="36"/>
  <c r="AB154" i="36"/>
  <c r="P154" i="36"/>
  <c r="N154" i="36"/>
  <c r="U154" i="36"/>
  <c r="V154" i="36"/>
  <c r="Y154" i="36"/>
  <c r="S154" i="36"/>
  <c r="L154" i="36"/>
  <c r="AJ154" i="36"/>
  <c r="K154" i="36"/>
  <c r="AI154" i="36"/>
  <c r="K151" i="38"/>
  <c r="L151" i="38" s="1"/>
  <c r="A150" i="38"/>
  <c r="A150" i="20"/>
  <c r="K151" i="20"/>
  <c r="L151" i="20" s="1"/>
  <c r="AV157" i="36"/>
  <c r="AW157" i="36" s="1"/>
  <c r="A156" i="36"/>
  <c r="F164" i="19"/>
  <c r="G164" i="19"/>
  <c r="B164" i="19"/>
  <c r="C164" i="19"/>
  <c r="J164" i="19"/>
  <c r="H164" i="19"/>
  <c r="E164" i="19"/>
  <c r="I164" i="19"/>
  <c r="D164" i="19"/>
  <c r="M163" i="19"/>
  <c r="Q163" i="19"/>
  <c r="O163" i="19"/>
  <c r="N163" i="19"/>
  <c r="AA163" i="19"/>
  <c r="AT163" i="19"/>
  <c r="Z163" i="19"/>
  <c r="AK163" i="19"/>
  <c r="K163" i="19"/>
  <c r="L163" i="19"/>
  <c r="AU163" i="19"/>
  <c r="AS163" i="19"/>
  <c r="AD163" i="19"/>
  <c r="AR163" i="19"/>
  <c r="AE163" i="19"/>
  <c r="V163" i="19"/>
  <c r="U163" i="19"/>
  <c r="AH163" i="19"/>
  <c r="R163" i="19"/>
  <c r="AC163" i="19"/>
  <c r="T163" i="19"/>
  <c r="AP163" i="19"/>
  <c r="AL163" i="19"/>
  <c r="X163" i="19"/>
  <c r="W163" i="19"/>
  <c r="AJ163" i="19"/>
  <c r="AF163" i="19"/>
  <c r="AN163" i="19"/>
  <c r="Y163" i="19"/>
  <c r="S163" i="19"/>
  <c r="AO163" i="19"/>
  <c r="AM163" i="19"/>
  <c r="P163" i="19"/>
  <c r="AI163" i="19"/>
  <c r="AG163" i="19"/>
  <c r="AB163" i="19"/>
  <c r="AQ163" i="19"/>
  <c r="AV166" i="19"/>
  <c r="AW166" i="19" s="1"/>
  <c r="A165" i="19"/>
  <c r="J155" i="36" l="1"/>
  <c r="E155" i="36"/>
  <c r="H155" i="36"/>
  <c r="I155" i="36"/>
  <c r="C156" i="36"/>
  <c r="B156" i="36"/>
  <c r="E156" i="36" s="1"/>
  <c r="K152" i="20"/>
  <c r="L152" i="20" s="1"/>
  <c r="A151" i="20"/>
  <c r="E150" i="38"/>
  <c r="C150" i="38"/>
  <c r="B150" i="38"/>
  <c r="H150" i="38"/>
  <c r="D150" i="38"/>
  <c r="G150" i="38"/>
  <c r="F150" i="38"/>
  <c r="I150" i="38"/>
  <c r="D155" i="36"/>
  <c r="F155" i="36"/>
  <c r="AV158" i="36"/>
  <c r="AW158" i="36" s="1"/>
  <c r="A157" i="36"/>
  <c r="G150" i="20"/>
  <c r="F150" i="20"/>
  <c r="H150" i="20"/>
  <c r="B150" i="20"/>
  <c r="E150" i="20"/>
  <c r="D150" i="20"/>
  <c r="C150" i="20"/>
  <c r="I150" i="20"/>
  <c r="K152" i="38"/>
  <c r="L152" i="38" s="1"/>
  <c r="A151" i="38"/>
  <c r="AB155" i="36"/>
  <c r="W155" i="36"/>
  <c r="AO155" i="36"/>
  <c r="N155" i="36"/>
  <c r="AG155" i="36"/>
  <c r="V155" i="36"/>
  <c r="AA155" i="36"/>
  <c r="AF155" i="36"/>
  <c r="AL155" i="36"/>
  <c r="P155" i="36"/>
  <c r="AE155" i="36"/>
  <c r="Z155" i="36"/>
  <c r="AH155" i="36"/>
  <c r="Y155" i="36"/>
  <c r="U155" i="36"/>
  <c r="R155" i="36"/>
  <c r="AQ155" i="36"/>
  <c r="O155" i="36"/>
  <c r="AD155" i="36"/>
  <c r="AC155" i="36"/>
  <c r="AU155" i="36"/>
  <c r="AM155" i="36"/>
  <c r="Q155" i="36"/>
  <c r="AT155" i="36"/>
  <c r="X155" i="36"/>
  <c r="M155" i="36"/>
  <c r="AI155" i="36"/>
  <c r="AK155" i="36"/>
  <c r="T155" i="36"/>
  <c r="L155" i="36"/>
  <c r="K155" i="36"/>
  <c r="S155" i="36"/>
  <c r="AS155" i="36"/>
  <c r="AJ155" i="36"/>
  <c r="AR155" i="36"/>
  <c r="AN155" i="36"/>
  <c r="AP155" i="36"/>
  <c r="B165" i="19"/>
  <c r="D165" i="19" s="1"/>
  <c r="C165" i="19"/>
  <c r="Y164" i="19"/>
  <c r="AE164" i="19"/>
  <c r="R164" i="19"/>
  <c r="AM164" i="19"/>
  <c r="AT164" i="19"/>
  <c r="AO164" i="19"/>
  <c r="AJ164" i="19"/>
  <c r="AB164" i="19"/>
  <c r="AI164" i="19"/>
  <c r="W164" i="19"/>
  <c r="AP164" i="19"/>
  <c r="Q164" i="19"/>
  <c r="T164" i="19"/>
  <c r="AU164" i="19"/>
  <c r="AS164" i="19"/>
  <c r="AK164" i="19"/>
  <c r="P164" i="19"/>
  <c r="AG164" i="19"/>
  <c r="Z164" i="19"/>
  <c r="O164" i="19"/>
  <c r="L164" i="19"/>
  <c r="X164" i="19"/>
  <c r="AR164" i="19"/>
  <c r="K164" i="19"/>
  <c r="V164" i="19"/>
  <c r="AH164" i="19"/>
  <c r="AF164" i="19"/>
  <c r="AN164" i="19"/>
  <c r="AL164" i="19"/>
  <c r="AC164" i="19"/>
  <c r="AA164" i="19"/>
  <c r="N164" i="19"/>
  <c r="M164" i="19"/>
  <c r="S164" i="19"/>
  <c r="U164" i="19"/>
  <c r="AD164" i="19"/>
  <c r="AQ164" i="19"/>
  <c r="A166" i="19"/>
  <c r="AV167" i="19"/>
  <c r="AW167" i="19" s="1"/>
  <c r="H156" i="36" l="1"/>
  <c r="G156" i="36"/>
  <c r="J156" i="36"/>
  <c r="F156" i="36"/>
  <c r="I156" i="36"/>
  <c r="D156" i="36"/>
  <c r="C151" i="38"/>
  <c r="B151" i="38"/>
  <c r="I151" i="38" s="1"/>
  <c r="G151" i="38"/>
  <c r="H151" i="38"/>
  <c r="F151" i="38"/>
  <c r="C157" i="36"/>
  <c r="B157" i="36"/>
  <c r="E157" i="36" s="1"/>
  <c r="F151" i="20"/>
  <c r="C151" i="20"/>
  <c r="G151" i="20"/>
  <c r="H151" i="20"/>
  <c r="B151" i="20"/>
  <c r="E151" i="20" s="1"/>
  <c r="K153" i="38"/>
  <c r="L153" i="38" s="1"/>
  <c r="A152" i="38"/>
  <c r="AV159" i="36"/>
  <c r="AW159" i="36" s="1"/>
  <c r="A158" i="36"/>
  <c r="K153" i="20"/>
  <c r="L153" i="20" s="1"/>
  <c r="A152" i="20"/>
  <c r="AR156" i="36"/>
  <c r="O156" i="36"/>
  <c r="K156" i="36"/>
  <c r="Z156" i="36"/>
  <c r="T156" i="36"/>
  <c r="AN156" i="36"/>
  <c r="AP156" i="36"/>
  <c r="AB156" i="36"/>
  <c r="AO156" i="36"/>
  <c r="AM156" i="36"/>
  <c r="AS156" i="36"/>
  <c r="AQ156" i="36"/>
  <c r="AF156" i="36"/>
  <c r="AU156" i="36"/>
  <c r="R156" i="36"/>
  <c r="L156" i="36"/>
  <c r="AK156" i="36"/>
  <c r="AD156" i="36"/>
  <c r="P156" i="36"/>
  <c r="W156" i="36"/>
  <c r="AJ156" i="36"/>
  <c r="U156" i="36"/>
  <c r="X156" i="36"/>
  <c r="M156" i="36"/>
  <c r="AI156" i="36"/>
  <c r="AE156" i="36"/>
  <c r="Q156" i="36"/>
  <c r="V156" i="36"/>
  <c r="S156" i="36"/>
  <c r="Y156" i="36"/>
  <c r="N156" i="36"/>
  <c r="AG156" i="36"/>
  <c r="AA156" i="36"/>
  <c r="AC156" i="36"/>
  <c r="AT156" i="36"/>
  <c r="AH156" i="36"/>
  <c r="AL156" i="36"/>
  <c r="J165" i="19"/>
  <c r="F165" i="19"/>
  <c r="I165" i="19"/>
  <c r="G165" i="19"/>
  <c r="H165" i="19"/>
  <c r="C166" i="19"/>
  <c r="B166" i="19"/>
  <c r="F166" i="19" s="1"/>
  <c r="AV168" i="19"/>
  <c r="AW168" i="19" s="1"/>
  <c r="A167" i="19"/>
  <c r="E165" i="19"/>
  <c r="AK165" i="19"/>
  <c r="AR165" i="19"/>
  <c r="AF165" i="19"/>
  <c r="L165" i="19"/>
  <c r="AH165" i="19"/>
  <c r="Z165" i="19"/>
  <c r="Y165" i="19"/>
  <c r="AN165" i="19"/>
  <c r="AU165" i="19"/>
  <c r="AO165" i="19"/>
  <c r="AD165" i="19"/>
  <c r="W165" i="19"/>
  <c r="AB165" i="19"/>
  <c r="S165" i="19"/>
  <c r="M165" i="19"/>
  <c r="AS165" i="19"/>
  <c r="AL165" i="19"/>
  <c r="AE165" i="19"/>
  <c r="R165" i="19"/>
  <c r="V165" i="19"/>
  <c r="AQ165" i="19"/>
  <c r="O165" i="19"/>
  <c r="AC165" i="19"/>
  <c r="N165" i="19"/>
  <c r="Q165" i="19"/>
  <c r="AG165" i="19"/>
  <c r="K165" i="19"/>
  <c r="X165" i="19"/>
  <c r="AI165" i="19"/>
  <c r="AT165" i="19"/>
  <c r="AM165" i="19"/>
  <c r="AJ165" i="19"/>
  <c r="U165" i="19"/>
  <c r="AA165" i="19"/>
  <c r="P165" i="19"/>
  <c r="AP165" i="19"/>
  <c r="T165" i="19"/>
  <c r="D151" i="38" l="1"/>
  <c r="I157" i="36"/>
  <c r="J157" i="36"/>
  <c r="F157" i="36"/>
  <c r="E151" i="38"/>
  <c r="I151" i="20"/>
  <c r="D151" i="20"/>
  <c r="D157" i="36"/>
  <c r="H157" i="36"/>
  <c r="G157" i="36"/>
  <c r="G152" i="20"/>
  <c r="F152" i="20"/>
  <c r="B152" i="20"/>
  <c r="D152" i="20" s="1"/>
  <c r="C152" i="20"/>
  <c r="H152" i="20"/>
  <c r="F158" i="36"/>
  <c r="C158" i="36"/>
  <c r="G158" i="36"/>
  <c r="I158" i="36"/>
  <c r="J158" i="36"/>
  <c r="E158" i="36"/>
  <c r="H158" i="36"/>
  <c r="D158" i="36"/>
  <c r="B158" i="36"/>
  <c r="B152" i="38"/>
  <c r="E152" i="38" s="1"/>
  <c r="C152" i="38"/>
  <c r="F152" i="38"/>
  <c r="G152" i="38"/>
  <c r="H152" i="38"/>
  <c r="S157" i="36"/>
  <c r="AC157" i="36"/>
  <c r="AB157" i="36"/>
  <c r="X157" i="36"/>
  <c r="AR157" i="36"/>
  <c r="AP157" i="36"/>
  <c r="AH157" i="36"/>
  <c r="L157" i="36"/>
  <c r="Y157" i="36"/>
  <c r="AL157" i="36"/>
  <c r="R157" i="36"/>
  <c r="K157" i="36"/>
  <c r="AU157" i="36"/>
  <c r="W157" i="36"/>
  <c r="AJ157" i="36"/>
  <c r="AK157" i="36"/>
  <c r="AQ157" i="36"/>
  <c r="AD157" i="36"/>
  <c r="O157" i="36"/>
  <c r="AF157" i="36"/>
  <c r="AS157" i="36"/>
  <c r="P157" i="36"/>
  <c r="U157" i="36"/>
  <c r="M157" i="36"/>
  <c r="AN157" i="36"/>
  <c r="N157" i="36"/>
  <c r="Q157" i="36"/>
  <c r="AT157" i="36"/>
  <c r="AE157" i="36"/>
  <c r="AI157" i="36"/>
  <c r="T157" i="36"/>
  <c r="Z157" i="36"/>
  <c r="V157" i="36"/>
  <c r="AA157" i="36"/>
  <c r="AM157" i="36"/>
  <c r="AO157" i="36"/>
  <c r="AG157" i="36"/>
  <c r="K154" i="20"/>
  <c r="L154" i="20" s="1"/>
  <c r="A153" i="20"/>
  <c r="AV160" i="36"/>
  <c r="AW160" i="36" s="1"/>
  <c r="A159" i="36"/>
  <c r="K154" i="38"/>
  <c r="L154" i="38" s="1"/>
  <c r="A153" i="38"/>
  <c r="J166" i="19"/>
  <c r="D166" i="19"/>
  <c r="H166" i="19"/>
  <c r="E166" i="19"/>
  <c r="G166" i="19"/>
  <c r="C167" i="19"/>
  <c r="B167" i="19"/>
  <c r="I167" i="19" s="1"/>
  <c r="I166" i="19"/>
  <c r="A168" i="19"/>
  <c r="AV169" i="19"/>
  <c r="AW169" i="19" s="1"/>
  <c r="AQ166" i="19"/>
  <c r="AB166" i="19"/>
  <c r="V166" i="19"/>
  <c r="AH166" i="19"/>
  <c r="O166" i="19"/>
  <c r="AP166" i="19"/>
  <c r="Q166" i="19"/>
  <c r="AN166" i="19"/>
  <c r="AI166" i="19"/>
  <c r="U166" i="19"/>
  <c r="K166" i="19"/>
  <c r="AF166" i="19"/>
  <c r="AT166" i="19"/>
  <c r="AA166" i="19"/>
  <c r="M166" i="19"/>
  <c r="AC166" i="19"/>
  <c r="X166" i="19"/>
  <c r="AO166" i="19"/>
  <c r="AJ166" i="19"/>
  <c r="N166" i="19"/>
  <c r="AM166" i="19"/>
  <c r="AG166" i="19"/>
  <c r="S166" i="19"/>
  <c r="Z166" i="19"/>
  <c r="AE166" i="19"/>
  <c r="T166" i="19"/>
  <c r="AR166" i="19"/>
  <c r="AU166" i="19"/>
  <c r="W166" i="19"/>
  <c r="AD166" i="19"/>
  <c r="R166" i="19"/>
  <c r="L166" i="19"/>
  <c r="AL166" i="19"/>
  <c r="P166" i="19"/>
  <c r="Y166" i="19"/>
  <c r="AK166" i="19"/>
  <c r="AS166" i="19"/>
  <c r="E152" i="20" l="1"/>
  <c r="I152" i="38"/>
  <c r="K155" i="38"/>
  <c r="L155" i="38" s="1"/>
  <c r="A154" i="38"/>
  <c r="K155" i="20"/>
  <c r="L155" i="20" s="1"/>
  <c r="A154" i="20"/>
  <c r="B153" i="38"/>
  <c r="D153" i="38" s="1"/>
  <c r="H153" i="38"/>
  <c r="F153" i="38"/>
  <c r="G153" i="38"/>
  <c r="C153" i="38"/>
  <c r="J159" i="36"/>
  <c r="B159" i="36"/>
  <c r="F159" i="36"/>
  <c r="H159" i="36"/>
  <c r="D159" i="36"/>
  <c r="G159" i="36"/>
  <c r="I159" i="36"/>
  <c r="C159" i="36"/>
  <c r="E159" i="36"/>
  <c r="H153" i="20"/>
  <c r="C153" i="20"/>
  <c r="B153" i="20"/>
  <c r="I153" i="20" s="1"/>
  <c r="G153" i="20"/>
  <c r="F153" i="20"/>
  <c r="D152" i="38"/>
  <c r="AO158" i="36"/>
  <c r="X158" i="36"/>
  <c r="O158" i="36"/>
  <c r="T158" i="36"/>
  <c r="AH158" i="36"/>
  <c r="AJ158" i="36"/>
  <c r="Y158" i="36"/>
  <c r="M158" i="36"/>
  <c r="Q158" i="36"/>
  <c r="P158" i="36"/>
  <c r="R158" i="36"/>
  <c r="AB158" i="36"/>
  <c r="AT158" i="36"/>
  <c r="AU158" i="36"/>
  <c r="AD158" i="36"/>
  <c r="AA158" i="36"/>
  <c r="AR158" i="36"/>
  <c r="N158" i="36"/>
  <c r="AC158" i="36"/>
  <c r="S158" i="36"/>
  <c r="AF158" i="36"/>
  <c r="AM158" i="36"/>
  <c r="K158" i="36"/>
  <c r="V158" i="36"/>
  <c r="AE158" i="36"/>
  <c r="AN158" i="36"/>
  <c r="AQ158" i="36"/>
  <c r="AP158" i="36"/>
  <c r="AI158" i="36"/>
  <c r="AS158" i="36"/>
  <c r="AL158" i="36"/>
  <c r="AG158" i="36"/>
  <c r="W158" i="36"/>
  <c r="Z158" i="36"/>
  <c r="L158" i="36"/>
  <c r="AK158" i="36"/>
  <c r="U158" i="36"/>
  <c r="I152" i="20"/>
  <c r="AV161" i="36"/>
  <c r="AW161" i="36" s="1"/>
  <c r="A160" i="36"/>
  <c r="E167" i="19"/>
  <c r="F167" i="19"/>
  <c r="G167" i="19"/>
  <c r="D167" i="19"/>
  <c r="J167" i="19"/>
  <c r="A169" i="19"/>
  <c r="AV170" i="19"/>
  <c r="AW170" i="19" s="1"/>
  <c r="F168" i="19"/>
  <c r="J168" i="19"/>
  <c r="C168" i="19"/>
  <c r="B168" i="19"/>
  <c r="D168" i="19"/>
  <c r="E168" i="19"/>
  <c r="G168" i="19"/>
  <c r="H168" i="19"/>
  <c r="I168" i="19"/>
  <c r="H167" i="19"/>
  <c r="AK167" i="19"/>
  <c r="AN167" i="19"/>
  <c r="AM167" i="19"/>
  <c r="AH167" i="19"/>
  <c r="Y167" i="19"/>
  <c r="AE167" i="19"/>
  <c r="AD167" i="19"/>
  <c r="O167" i="19"/>
  <c r="AO167" i="19"/>
  <c r="R167" i="19"/>
  <c r="AC167" i="19"/>
  <c r="AL167" i="19"/>
  <c r="AB167" i="19"/>
  <c r="AP167" i="19"/>
  <c r="AU167" i="19"/>
  <c r="Q167" i="19"/>
  <c r="S167" i="19"/>
  <c r="AG167" i="19"/>
  <c r="AJ167" i="19"/>
  <c r="AI167" i="19"/>
  <c r="Z167" i="19"/>
  <c r="L167" i="19"/>
  <c r="W167" i="19"/>
  <c r="AT167" i="19"/>
  <c r="T167" i="19"/>
  <c r="P167" i="19"/>
  <c r="M167" i="19"/>
  <c r="AA167" i="19"/>
  <c r="K167" i="19"/>
  <c r="U167" i="19"/>
  <c r="V167" i="19"/>
  <c r="AS167" i="19"/>
  <c r="AF167" i="19"/>
  <c r="AR167" i="19"/>
  <c r="X167" i="19"/>
  <c r="AQ167" i="19"/>
  <c r="N167" i="19"/>
  <c r="E153" i="38" l="1"/>
  <c r="D153" i="20"/>
  <c r="E153" i="20"/>
  <c r="B160" i="36"/>
  <c r="F160" i="36" s="1"/>
  <c r="C160" i="36"/>
  <c r="AF159" i="36"/>
  <c r="Q159" i="36"/>
  <c r="AP159" i="36"/>
  <c r="W159" i="36"/>
  <c r="AK159" i="36"/>
  <c r="AC159" i="36"/>
  <c r="X159" i="36"/>
  <c r="K159" i="36"/>
  <c r="AE159" i="36"/>
  <c r="M159" i="36"/>
  <c r="Y159" i="36"/>
  <c r="AQ159" i="36"/>
  <c r="AI159" i="36"/>
  <c r="AG159" i="36"/>
  <c r="R159" i="36"/>
  <c r="N159" i="36"/>
  <c r="T159" i="36"/>
  <c r="AR159" i="36"/>
  <c r="AJ159" i="36"/>
  <c r="AH159" i="36"/>
  <c r="AB159" i="36"/>
  <c r="AN159" i="36"/>
  <c r="AT159" i="36"/>
  <c r="Z159" i="36"/>
  <c r="O159" i="36"/>
  <c r="AD159" i="36"/>
  <c r="U159" i="36"/>
  <c r="P159" i="36"/>
  <c r="V159" i="36"/>
  <c r="AA159" i="36"/>
  <c r="AL159" i="36"/>
  <c r="AO159" i="36"/>
  <c r="AS159" i="36"/>
  <c r="S159" i="36"/>
  <c r="AU159" i="36"/>
  <c r="L159" i="36"/>
  <c r="AM159" i="36"/>
  <c r="I153" i="38"/>
  <c r="C154" i="20"/>
  <c r="B154" i="20"/>
  <c r="G154" i="20"/>
  <c r="F154" i="20"/>
  <c r="D154" i="20"/>
  <c r="I154" i="20"/>
  <c r="E154" i="20"/>
  <c r="H154" i="20"/>
  <c r="D154" i="38"/>
  <c r="B154" i="38"/>
  <c r="F154" i="38"/>
  <c r="H154" i="38"/>
  <c r="I154" i="38"/>
  <c r="E154" i="38"/>
  <c r="G154" i="38"/>
  <c r="C154" i="38"/>
  <c r="AV162" i="36"/>
  <c r="AW162" i="36" s="1"/>
  <c r="A161" i="36"/>
  <c r="K156" i="20"/>
  <c r="L156" i="20" s="1"/>
  <c r="A155" i="20"/>
  <c r="K156" i="38"/>
  <c r="L156" i="38" s="1"/>
  <c r="A155" i="38"/>
  <c r="AS168" i="19"/>
  <c r="AU168" i="19"/>
  <c r="AR168" i="19"/>
  <c r="AI168" i="19"/>
  <c r="R168" i="19"/>
  <c r="T168" i="19"/>
  <c r="P168" i="19"/>
  <c r="O168" i="19"/>
  <c r="AP168" i="19"/>
  <c r="AO168" i="19"/>
  <c r="AH168" i="19"/>
  <c r="K168" i="19"/>
  <c r="V168" i="19"/>
  <c r="AJ168" i="19"/>
  <c r="AA168" i="19"/>
  <c r="L168" i="19"/>
  <c r="AE168" i="19"/>
  <c r="AN168" i="19"/>
  <c r="X168" i="19"/>
  <c r="AF168" i="19"/>
  <c r="Q168" i="19"/>
  <c r="Y168" i="19"/>
  <c r="N168" i="19"/>
  <c r="AQ168" i="19"/>
  <c r="W168" i="19"/>
  <c r="M168" i="19"/>
  <c r="AK168" i="19"/>
  <c r="AD168" i="19"/>
  <c r="AT168" i="19"/>
  <c r="S168" i="19"/>
  <c r="AM168" i="19"/>
  <c r="AB168" i="19"/>
  <c r="Z168" i="19"/>
  <c r="AC168" i="19"/>
  <c r="AL168" i="19"/>
  <c r="AG168" i="19"/>
  <c r="U168" i="19"/>
  <c r="AV171" i="19"/>
  <c r="AW171" i="19" s="1"/>
  <c r="A170" i="19"/>
  <c r="D169" i="19"/>
  <c r="J169" i="19"/>
  <c r="H169" i="19"/>
  <c r="G169" i="19"/>
  <c r="I169" i="19"/>
  <c r="C169" i="19"/>
  <c r="F169" i="19"/>
  <c r="E169" i="19"/>
  <c r="B169" i="19"/>
  <c r="D160" i="36" l="1"/>
  <c r="I160" i="36"/>
  <c r="J160" i="36"/>
  <c r="G160" i="36"/>
  <c r="H160" i="36"/>
  <c r="I155" i="38"/>
  <c r="C155" i="38"/>
  <c r="D155" i="38"/>
  <c r="E155" i="38"/>
  <c r="G155" i="38"/>
  <c r="H155" i="38"/>
  <c r="B155" i="38"/>
  <c r="F155" i="38"/>
  <c r="G155" i="20"/>
  <c r="F155" i="20"/>
  <c r="D155" i="20"/>
  <c r="B155" i="20"/>
  <c r="H155" i="20"/>
  <c r="E155" i="20"/>
  <c r="I155" i="20"/>
  <c r="C155" i="20"/>
  <c r="B161" i="36"/>
  <c r="G161" i="36" s="1"/>
  <c r="C161" i="36"/>
  <c r="K157" i="38"/>
  <c r="L157" i="38" s="1"/>
  <c r="A156" i="38"/>
  <c r="K157" i="20"/>
  <c r="L157" i="20" s="1"/>
  <c r="A156" i="20"/>
  <c r="AV163" i="36"/>
  <c r="AW163" i="36" s="1"/>
  <c r="A162" i="36"/>
  <c r="E160" i="36"/>
  <c r="AS160" i="36"/>
  <c r="AC160" i="36"/>
  <c r="AE160" i="36"/>
  <c r="AR160" i="36"/>
  <c r="AN160" i="36"/>
  <c r="M160" i="36"/>
  <c r="AT160" i="36"/>
  <c r="L160" i="36"/>
  <c r="O160" i="36"/>
  <c r="AO160" i="36"/>
  <c r="AI160" i="36"/>
  <c r="AF160" i="36"/>
  <c r="R160" i="36"/>
  <c r="AJ160" i="36"/>
  <c r="V160" i="36"/>
  <c r="AM160" i="36"/>
  <c r="W160" i="36"/>
  <c r="X160" i="36"/>
  <c r="N160" i="36"/>
  <c r="U160" i="36"/>
  <c r="T160" i="36"/>
  <c r="AK160" i="36"/>
  <c r="AD160" i="36"/>
  <c r="P160" i="36"/>
  <c r="AB160" i="36"/>
  <c r="AG160" i="36"/>
  <c r="AA160" i="36"/>
  <c r="AP160" i="36"/>
  <c r="Z160" i="36"/>
  <c r="Y160" i="36"/>
  <c r="S160" i="36"/>
  <c r="AH160" i="36"/>
  <c r="AQ160" i="36"/>
  <c r="AU160" i="36"/>
  <c r="K160" i="36"/>
  <c r="AL160" i="36"/>
  <c r="Q160" i="36"/>
  <c r="AJ169" i="19"/>
  <c r="AO169" i="19"/>
  <c r="M169" i="19"/>
  <c r="AR169" i="19"/>
  <c r="R169" i="19"/>
  <c r="X169" i="19"/>
  <c r="O169" i="19"/>
  <c r="AS169" i="19"/>
  <c r="S169" i="19"/>
  <c r="AU169" i="19"/>
  <c r="Q169" i="19"/>
  <c r="AN169" i="19"/>
  <c r="AP169" i="19"/>
  <c r="AB169" i="19"/>
  <c r="AF169" i="19"/>
  <c r="Y169" i="19"/>
  <c r="AC169" i="19"/>
  <c r="AQ169" i="19"/>
  <c r="Z169" i="19"/>
  <c r="AK169" i="19"/>
  <c r="N169" i="19"/>
  <c r="AL169" i="19"/>
  <c r="AG169" i="19"/>
  <c r="AD169" i="19"/>
  <c r="AE169" i="19"/>
  <c r="U169" i="19"/>
  <c r="AA169" i="19"/>
  <c r="K169" i="19"/>
  <c r="AI169" i="19"/>
  <c r="AT169" i="19"/>
  <c r="V169" i="19"/>
  <c r="AM169" i="19"/>
  <c r="W169" i="19"/>
  <c r="T169" i="19"/>
  <c r="AH169" i="19"/>
  <c r="P169" i="19"/>
  <c r="L169" i="19"/>
  <c r="B170" i="19"/>
  <c r="C170" i="19"/>
  <c r="A171" i="19"/>
  <c r="AV172" i="19"/>
  <c r="AW172" i="19" s="1"/>
  <c r="E170" i="19" l="1"/>
  <c r="D161" i="36"/>
  <c r="F161" i="36"/>
  <c r="I161" i="36"/>
  <c r="B162" i="36"/>
  <c r="J162" i="36" s="1"/>
  <c r="C162" i="36"/>
  <c r="H156" i="20"/>
  <c r="C156" i="20"/>
  <c r="F156" i="20"/>
  <c r="G156" i="20"/>
  <c r="B156" i="20"/>
  <c r="E156" i="20" s="1"/>
  <c r="F156" i="38"/>
  <c r="G156" i="38"/>
  <c r="B156" i="38"/>
  <c r="D156" i="38" s="1"/>
  <c r="H156" i="38"/>
  <c r="C156" i="38"/>
  <c r="E161" i="36"/>
  <c r="J161" i="36"/>
  <c r="AV164" i="36"/>
  <c r="AW164" i="36" s="1"/>
  <c r="A163" i="36"/>
  <c r="K158" i="20"/>
  <c r="L158" i="20" s="1"/>
  <c r="A157" i="20"/>
  <c r="K158" i="38"/>
  <c r="L158" i="38" s="1"/>
  <c r="A157" i="38"/>
  <c r="H161" i="36"/>
  <c r="AI161" i="36"/>
  <c r="AF161" i="36"/>
  <c r="AB161" i="36"/>
  <c r="AN161" i="36"/>
  <c r="AD161" i="36"/>
  <c r="AL161" i="36"/>
  <c r="AO161" i="36"/>
  <c r="AG161" i="36"/>
  <c r="AQ161" i="36"/>
  <c r="AP161" i="36"/>
  <c r="Z161" i="36"/>
  <c r="U161" i="36"/>
  <c r="AU161" i="36"/>
  <c r="N161" i="36"/>
  <c r="AM161" i="36"/>
  <c r="AE161" i="36"/>
  <c r="Q161" i="36"/>
  <c r="AC161" i="36"/>
  <c r="P161" i="36"/>
  <c r="AR161" i="36"/>
  <c r="O161" i="36"/>
  <c r="W161" i="36"/>
  <c r="R161" i="36"/>
  <c r="AJ161" i="36"/>
  <c r="L161" i="36"/>
  <c r="AS161" i="36"/>
  <c r="V161" i="36"/>
  <c r="AH161" i="36"/>
  <c r="AK161" i="36"/>
  <c r="AT161" i="36"/>
  <c r="Y161" i="36"/>
  <c r="K161" i="36"/>
  <c r="X161" i="36"/>
  <c r="M161" i="36"/>
  <c r="S161" i="36"/>
  <c r="AA161" i="36"/>
  <c r="T161" i="36"/>
  <c r="H170" i="19"/>
  <c r="I170" i="19"/>
  <c r="D170" i="19"/>
  <c r="AV173" i="19"/>
  <c r="AW173" i="19" s="1"/>
  <c r="A172" i="19"/>
  <c r="F170" i="19"/>
  <c r="C171" i="19"/>
  <c r="B171" i="19"/>
  <c r="G170" i="19"/>
  <c r="AJ170" i="19"/>
  <c r="AR170" i="19"/>
  <c r="M170" i="19"/>
  <c r="R170" i="19"/>
  <c r="X170" i="19"/>
  <c r="V170" i="19"/>
  <c r="Z170" i="19"/>
  <c r="AM170" i="19"/>
  <c r="S170" i="19"/>
  <c r="AD170" i="19"/>
  <c r="AS170" i="19"/>
  <c r="AF170" i="19"/>
  <c r="AP170" i="19"/>
  <c r="T170" i="19"/>
  <c r="AQ170" i="19"/>
  <c r="AG170" i="19"/>
  <c r="AA170" i="19"/>
  <c r="AE170" i="19"/>
  <c r="AK170" i="19"/>
  <c r="Q170" i="19"/>
  <c r="W170" i="19"/>
  <c r="K170" i="19"/>
  <c r="N170" i="19"/>
  <c r="L170" i="19"/>
  <c r="AO170" i="19"/>
  <c r="AT170" i="19"/>
  <c r="AU170" i="19"/>
  <c r="U170" i="19"/>
  <c r="AI170" i="19"/>
  <c r="AC170" i="19"/>
  <c r="Y170" i="19"/>
  <c r="P170" i="19"/>
  <c r="AB170" i="19"/>
  <c r="AN170" i="19"/>
  <c r="AL170" i="19"/>
  <c r="AH170" i="19"/>
  <c r="G162" i="36" l="1"/>
  <c r="F162" i="36"/>
  <c r="I156" i="20"/>
  <c r="I162" i="36"/>
  <c r="E162" i="36"/>
  <c r="D156" i="20"/>
  <c r="E156" i="38"/>
  <c r="K159" i="38"/>
  <c r="L159" i="38" s="1"/>
  <c r="A158" i="38"/>
  <c r="K159" i="20"/>
  <c r="L159" i="20" s="1"/>
  <c r="A158" i="20"/>
  <c r="AV165" i="36"/>
  <c r="AW165" i="36" s="1"/>
  <c r="A164" i="36"/>
  <c r="I156" i="38"/>
  <c r="H162" i="36"/>
  <c r="D162" i="36"/>
  <c r="F157" i="38"/>
  <c r="H157" i="38"/>
  <c r="C157" i="38"/>
  <c r="G157" i="38"/>
  <c r="B157" i="38"/>
  <c r="E157" i="38" s="1"/>
  <c r="G157" i="20"/>
  <c r="B157" i="20"/>
  <c r="E157" i="20" s="1"/>
  <c r="C157" i="20"/>
  <c r="H157" i="20"/>
  <c r="F157" i="20"/>
  <c r="B163" i="36"/>
  <c r="F163" i="36" s="1"/>
  <c r="C163" i="36"/>
  <c r="L162" i="36"/>
  <c r="N162" i="36"/>
  <c r="U162" i="36"/>
  <c r="O162" i="36"/>
  <c r="AM162" i="36"/>
  <c r="W162" i="36"/>
  <c r="AH162" i="36"/>
  <c r="AJ162" i="36"/>
  <c r="P162" i="36"/>
  <c r="AO162" i="36"/>
  <c r="AQ162" i="36"/>
  <c r="AK162" i="36"/>
  <c r="AC162" i="36"/>
  <c r="AT162" i="36"/>
  <c r="S162" i="36"/>
  <c r="Y162" i="36"/>
  <c r="AB162" i="36"/>
  <c r="AF162" i="36"/>
  <c r="Z162" i="36"/>
  <c r="M162" i="36"/>
  <c r="AN162" i="36"/>
  <c r="X162" i="36"/>
  <c r="V162" i="36"/>
  <c r="AE162" i="36"/>
  <c r="AR162" i="36"/>
  <c r="AG162" i="36"/>
  <c r="Q162" i="36"/>
  <c r="AI162" i="36"/>
  <c r="T162" i="36"/>
  <c r="AS162" i="36"/>
  <c r="AD162" i="36"/>
  <c r="R162" i="36"/>
  <c r="AL162" i="36"/>
  <c r="AP162" i="36"/>
  <c r="AA162" i="36"/>
  <c r="AU162" i="36"/>
  <c r="K162" i="36"/>
  <c r="E171" i="19"/>
  <c r="D171" i="19"/>
  <c r="I171" i="19"/>
  <c r="H171" i="19"/>
  <c r="F171" i="19"/>
  <c r="G171" i="19"/>
  <c r="AU171" i="19"/>
  <c r="S171" i="19"/>
  <c r="AH171" i="19"/>
  <c r="Q171" i="19"/>
  <c r="AG171" i="19"/>
  <c r="AM171" i="19"/>
  <c r="AS171" i="19"/>
  <c r="W171" i="19"/>
  <c r="L171" i="19"/>
  <c r="AE171" i="19"/>
  <c r="AO171" i="19"/>
  <c r="AD171" i="19"/>
  <c r="AQ171" i="19"/>
  <c r="AK171" i="19"/>
  <c r="AP171" i="19"/>
  <c r="AA171" i="19"/>
  <c r="AT171" i="19"/>
  <c r="AJ171" i="19"/>
  <c r="M171" i="19"/>
  <c r="R171" i="19"/>
  <c r="T171" i="19"/>
  <c r="AI171" i="19"/>
  <c r="P171" i="19"/>
  <c r="Z171" i="19"/>
  <c r="K171" i="19"/>
  <c r="X171" i="19"/>
  <c r="AC171" i="19"/>
  <c r="N171" i="19"/>
  <c r="U171" i="19"/>
  <c r="AR171" i="19"/>
  <c r="AN171" i="19"/>
  <c r="AL171" i="19"/>
  <c r="AF171" i="19"/>
  <c r="Y171" i="19"/>
  <c r="V171" i="19"/>
  <c r="AB171" i="19"/>
  <c r="B172" i="19"/>
  <c r="C172" i="19"/>
  <c r="AV174" i="19"/>
  <c r="AW174" i="19" s="1"/>
  <c r="A173" i="19"/>
  <c r="H172" i="19" l="1"/>
  <c r="I163" i="36"/>
  <c r="G163" i="36"/>
  <c r="I157" i="20"/>
  <c r="D157" i="38"/>
  <c r="I157" i="38"/>
  <c r="E163" i="36"/>
  <c r="AN163" i="36"/>
  <c r="AH163" i="36"/>
  <c r="AK163" i="36"/>
  <c r="M163" i="36"/>
  <c r="AA163" i="36"/>
  <c r="AQ163" i="36"/>
  <c r="V163" i="36"/>
  <c r="AI163" i="36"/>
  <c r="S163" i="36"/>
  <c r="AM163" i="36"/>
  <c r="L163" i="36"/>
  <c r="U163" i="36"/>
  <c r="Y163" i="36"/>
  <c r="O163" i="36"/>
  <c r="AS163" i="36"/>
  <c r="AT163" i="36"/>
  <c r="AU163" i="36"/>
  <c r="AL163" i="36"/>
  <c r="AR163" i="36"/>
  <c r="Q163" i="36"/>
  <c r="AF163" i="36"/>
  <c r="K163" i="36"/>
  <c r="Z163" i="36"/>
  <c r="N163" i="36"/>
  <c r="P163" i="36"/>
  <c r="AE163" i="36"/>
  <c r="AJ163" i="36"/>
  <c r="AP163" i="36"/>
  <c r="AG163" i="36"/>
  <c r="R163" i="36"/>
  <c r="AB163" i="36"/>
  <c r="AC163" i="36"/>
  <c r="W163" i="36"/>
  <c r="AD163" i="36"/>
  <c r="X163" i="36"/>
  <c r="AO163" i="36"/>
  <c r="T163" i="36"/>
  <c r="C164" i="36"/>
  <c r="B164" i="36"/>
  <c r="I164" i="36" s="1"/>
  <c r="C158" i="20"/>
  <c r="B158" i="20"/>
  <c r="I158" i="20" s="1"/>
  <c r="F158" i="20"/>
  <c r="G158" i="20"/>
  <c r="H158" i="20"/>
  <c r="F158" i="38"/>
  <c r="C158" i="38"/>
  <c r="B158" i="38"/>
  <c r="E158" i="38" s="1"/>
  <c r="H158" i="38"/>
  <c r="G158" i="38"/>
  <c r="H163" i="36"/>
  <c r="D163" i="36"/>
  <c r="J163" i="36"/>
  <c r="D157" i="20"/>
  <c r="AV166" i="36"/>
  <c r="AW166" i="36" s="1"/>
  <c r="A165" i="36"/>
  <c r="K160" i="20"/>
  <c r="L160" i="20" s="1"/>
  <c r="A159" i="20"/>
  <c r="K160" i="38"/>
  <c r="L160" i="38" s="1"/>
  <c r="A159" i="38"/>
  <c r="G172" i="19"/>
  <c r="D172" i="19"/>
  <c r="I172" i="19"/>
  <c r="E172" i="19"/>
  <c r="AV175" i="19"/>
  <c r="AW175" i="19" s="1"/>
  <c r="A174" i="19"/>
  <c r="B173" i="19"/>
  <c r="C173" i="19"/>
  <c r="F172" i="19"/>
  <c r="AO172" i="19"/>
  <c r="AI172" i="19"/>
  <c r="S172" i="19"/>
  <c r="X172" i="19"/>
  <c r="AU172" i="19"/>
  <c r="AQ172" i="19"/>
  <c r="AG172" i="19"/>
  <c r="Z172" i="19"/>
  <c r="W172" i="19"/>
  <c r="M172" i="19"/>
  <c r="AL172" i="19"/>
  <c r="AP172" i="19"/>
  <c r="AA172" i="19"/>
  <c r="L172" i="19"/>
  <c r="AF172" i="19"/>
  <c r="AJ172" i="19"/>
  <c r="AE172" i="19"/>
  <c r="AR172" i="19"/>
  <c r="AC172" i="19"/>
  <c r="AK172" i="19"/>
  <c r="AD172" i="19"/>
  <c r="P172" i="19"/>
  <c r="AN172" i="19"/>
  <c r="AB172" i="19"/>
  <c r="AS172" i="19"/>
  <c r="Q172" i="19"/>
  <c r="V172" i="19"/>
  <c r="AT172" i="19"/>
  <c r="K172" i="19"/>
  <c r="AH172" i="19"/>
  <c r="T172" i="19"/>
  <c r="AM172" i="19"/>
  <c r="N172" i="19"/>
  <c r="Y172" i="19"/>
  <c r="U172" i="19"/>
  <c r="R172" i="19"/>
  <c r="F173" i="19" l="1"/>
  <c r="E158" i="20"/>
  <c r="H164" i="36"/>
  <c r="I158" i="38"/>
  <c r="F164" i="36"/>
  <c r="J164" i="36"/>
  <c r="D158" i="38"/>
  <c r="D158" i="20"/>
  <c r="D164" i="36"/>
  <c r="E164" i="36"/>
  <c r="K161" i="38"/>
  <c r="L161" i="38" s="1"/>
  <c r="A160" i="38"/>
  <c r="K161" i="20"/>
  <c r="L161" i="20" s="1"/>
  <c r="A160" i="20"/>
  <c r="AV167" i="36"/>
  <c r="AW167" i="36" s="1"/>
  <c r="A166" i="36"/>
  <c r="G164" i="36"/>
  <c r="U164" i="36"/>
  <c r="S164" i="36"/>
  <c r="AN164" i="36"/>
  <c r="AJ164" i="36"/>
  <c r="AU164" i="36"/>
  <c r="AH164" i="36"/>
  <c r="AK164" i="36"/>
  <c r="AI164" i="36"/>
  <c r="AM164" i="36"/>
  <c r="R164" i="36"/>
  <c r="Q164" i="36"/>
  <c r="O164" i="36"/>
  <c r="W164" i="36"/>
  <c r="AP164" i="36"/>
  <c r="AD164" i="36"/>
  <c r="P164" i="36"/>
  <c r="L164" i="36"/>
  <c r="N164" i="36"/>
  <c r="X164" i="36"/>
  <c r="K164" i="36"/>
  <c r="AC164" i="36"/>
  <c r="AT164" i="36"/>
  <c r="Z164" i="36"/>
  <c r="AB164" i="36"/>
  <c r="AQ164" i="36"/>
  <c r="T164" i="36"/>
  <c r="AE164" i="36"/>
  <c r="AS164" i="36"/>
  <c r="V164" i="36"/>
  <c r="AL164" i="36"/>
  <c r="AO164" i="36"/>
  <c r="AG164" i="36"/>
  <c r="Y164" i="36"/>
  <c r="M164" i="36"/>
  <c r="AR164" i="36"/>
  <c r="AF164" i="36"/>
  <c r="AA164" i="36"/>
  <c r="C159" i="38"/>
  <c r="B159" i="38"/>
  <c r="I159" i="38" s="1"/>
  <c r="H159" i="38"/>
  <c r="F159" i="38"/>
  <c r="G159" i="38"/>
  <c r="H159" i="20"/>
  <c r="F159" i="20"/>
  <c r="C159" i="20"/>
  <c r="B159" i="20"/>
  <c r="D159" i="20" s="1"/>
  <c r="G159" i="20"/>
  <c r="C165" i="36"/>
  <c r="B165" i="36"/>
  <c r="G165" i="36" s="1"/>
  <c r="E173" i="19"/>
  <c r="G173" i="19"/>
  <c r="I173" i="19"/>
  <c r="D173" i="19"/>
  <c r="H173" i="19"/>
  <c r="AI173" i="19"/>
  <c r="AD173" i="19"/>
  <c r="R173" i="19"/>
  <c r="AE173" i="19"/>
  <c r="AT173" i="19"/>
  <c r="N173" i="19"/>
  <c r="AN173" i="19"/>
  <c r="Y173" i="19"/>
  <c r="AM173" i="19"/>
  <c r="Q173" i="19"/>
  <c r="AJ173" i="19"/>
  <c r="AS173" i="19"/>
  <c r="AU173" i="19"/>
  <c r="AC173" i="19"/>
  <c r="M173" i="19"/>
  <c r="AR173" i="19"/>
  <c r="W173" i="19"/>
  <c r="AL173" i="19"/>
  <c r="U173" i="19"/>
  <c r="AO173" i="19"/>
  <c r="AP173" i="19"/>
  <c r="AK173" i="19"/>
  <c r="P173" i="19"/>
  <c r="S173" i="19"/>
  <c r="AF173" i="19"/>
  <c r="AQ173" i="19"/>
  <c r="AH173" i="19"/>
  <c r="X173" i="19"/>
  <c r="Z173" i="19"/>
  <c r="T173" i="19"/>
  <c r="V173" i="19"/>
  <c r="AA173" i="19"/>
  <c r="AB173" i="19"/>
  <c r="AG173" i="19"/>
  <c r="L173" i="19"/>
  <c r="K173" i="19"/>
  <c r="C174" i="19"/>
  <c r="B174" i="19"/>
  <c r="A175" i="19"/>
  <c r="AV176" i="19"/>
  <c r="AW176" i="19" s="1"/>
  <c r="F174" i="19" l="1"/>
  <c r="E159" i="20"/>
  <c r="F165" i="36"/>
  <c r="E159" i="38"/>
  <c r="D165" i="36"/>
  <c r="J165" i="36"/>
  <c r="D159" i="38"/>
  <c r="H165" i="36"/>
  <c r="E165" i="36"/>
  <c r="AV168" i="36"/>
  <c r="AW168" i="36" s="1"/>
  <c r="A167" i="36"/>
  <c r="K162" i="20"/>
  <c r="L162" i="20" s="1"/>
  <c r="A161" i="20"/>
  <c r="K162" i="38"/>
  <c r="L162" i="38" s="1"/>
  <c r="A161" i="38"/>
  <c r="I165" i="36"/>
  <c r="AO165" i="36"/>
  <c r="AQ165" i="36"/>
  <c r="AE165" i="36"/>
  <c r="AI165" i="36"/>
  <c r="AL165" i="36"/>
  <c r="AC165" i="36"/>
  <c r="AD165" i="36"/>
  <c r="Z165" i="36"/>
  <c r="AM165" i="36"/>
  <c r="O165" i="36"/>
  <c r="AJ165" i="36"/>
  <c r="W165" i="36"/>
  <c r="AS165" i="36"/>
  <c r="L165" i="36"/>
  <c r="AB165" i="36"/>
  <c r="K165" i="36"/>
  <c r="V165" i="36"/>
  <c r="Q165" i="36"/>
  <c r="M165" i="36"/>
  <c r="AA165" i="36"/>
  <c r="U165" i="36"/>
  <c r="N165" i="36"/>
  <c r="AU165" i="36"/>
  <c r="X165" i="36"/>
  <c r="AP165" i="36"/>
  <c r="AH165" i="36"/>
  <c r="AK165" i="36"/>
  <c r="AN165" i="36"/>
  <c r="AG165" i="36"/>
  <c r="S165" i="36"/>
  <c r="Y165" i="36"/>
  <c r="T165" i="36"/>
  <c r="P165" i="36"/>
  <c r="R165" i="36"/>
  <c r="AF165" i="36"/>
  <c r="AT165" i="36"/>
  <c r="AR165" i="36"/>
  <c r="I159" i="20"/>
  <c r="D166" i="36"/>
  <c r="F166" i="36"/>
  <c r="J166" i="36"/>
  <c r="E166" i="36"/>
  <c r="B166" i="36"/>
  <c r="I166" i="36"/>
  <c r="C166" i="36"/>
  <c r="G166" i="36"/>
  <c r="H166" i="36"/>
  <c r="H160" i="20"/>
  <c r="F160" i="20"/>
  <c r="G160" i="20"/>
  <c r="C160" i="20"/>
  <c r="B160" i="20"/>
  <c r="I160" i="20" s="1"/>
  <c r="C160" i="38"/>
  <c r="H160" i="38"/>
  <c r="G160" i="38"/>
  <c r="F160" i="38"/>
  <c r="B160" i="38"/>
  <c r="D160" i="38" s="1"/>
  <c r="I174" i="19"/>
  <c r="D174" i="19"/>
  <c r="AV177" i="19"/>
  <c r="AW177" i="19" s="1"/>
  <c r="A176" i="19"/>
  <c r="H174" i="19"/>
  <c r="E174" i="19"/>
  <c r="B175" i="19"/>
  <c r="C175" i="19"/>
  <c r="G174" i="19"/>
  <c r="K174" i="19"/>
  <c r="AU174" i="19"/>
  <c r="AQ174" i="19"/>
  <c r="M174" i="19"/>
  <c r="L174" i="19"/>
  <c r="U174" i="19"/>
  <c r="AP174" i="19"/>
  <c r="AD174" i="19"/>
  <c r="R174" i="19"/>
  <c r="AH174" i="19"/>
  <c r="T174" i="19"/>
  <c r="W174" i="19"/>
  <c r="AG174" i="19"/>
  <c r="N174" i="19"/>
  <c r="Z174" i="19"/>
  <c r="AC174" i="19"/>
  <c r="Q174" i="19"/>
  <c r="AR174" i="19"/>
  <c r="AS174" i="19"/>
  <c r="AI174" i="19"/>
  <c r="S174" i="19"/>
  <c r="AO174" i="19"/>
  <c r="AM174" i="19"/>
  <c r="AK174" i="19"/>
  <c r="V174" i="19"/>
  <c r="AB174" i="19"/>
  <c r="X174" i="19"/>
  <c r="AJ174" i="19"/>
  <c r="AN174" i="19"/>
  <c r="P174" i="19"/>
  <c r="Y174" i="19"/>
  <c r="AA174" i="19"/>
  <c r="AE174" i="19"/>
  <c r="AF174" i="19"/>
  <c r="AT174" i="19"/>
  <c r="AL174" i="19"/>
  <c r="F175" i="19" l="1"/>
  <c r="I160" i="38"/>
  <c r="E160" i="38"/>
  <c r="E160" i="20"/>
  <c r="D160" i="20"/>
  <c r="AI166" i="36"/>
  <c r="AD166" i="36"/>
  <c r="N166" i="36"/>
  <c r="AF166" i="36"/>
  <c r="AN166" i="36"/>
  <c r="AJ166" i="36"/>
  <c r="Q166" i="36"/>
  <c r="W166" i="36"/>
  <c r="L166" i="36"/>
  <c r="AS166" i="36"/>
  <c r="AT166" i="36"/>
  <c r="AG166" i="36"/>
  <c r="AU166" i="36"/>
  <c r="AQ166" i="36"/>
  <c r="AA166" i="36"/>
  <c r="AH166" i="36"/>
  <c r="P166" i="36"/>
  <c r="X166" i="36"/>
  <c r="AL166" i="36"/>
  <c r="M166" i="36"/>
  <c r="R166" i="36"/>
  <c r="AR166" i="36"/>
  <c r="AC166" i="36"/>
  <c r="U166" i="36"/>
  <c r="Z166" i="36"/>
  <c r="AP166" i="36"/>
  <c r="AK166" i="36"/>
  <c r="T166" i="36"/>
  <c r="AB166" i="36"/>
  <c r="O166" i="36"/>
  <c r="V166" i="36"/>
  <c r="AE166" i="36"/>
  <c r="S166" i="36"/>
  <c r="K166" i="36"/>
  <c r="AM166" i="36"/>
  <c r="AO166" i="36"/>
  <c r="Y166" i="36"/>
  <c r="F161" i="38"/>
  <c r="G161" i="38"/>
  <c r="C161" i="38"/>
  <c r="H161" i="38"/>
  <c r="B161" i="38"/>
  <c r="I161" i="38" s="1"/>
  <c r="G161" i="20"/>
  <c r="F161" i="20"/>
  <c r="B161" i="20"/>
  <c r="I161" i="20" s="1"/>
  <c r="H161" i="20"/>
  <c r="C161" i="20"/>
  <c r="J167" i="36"/>
  <c r="G167" i="36"/>
  <c r="I167" i="36"/>
  <c r="D167" i="36"/>
  <c r="F167" i="36"/>
  <c r="C167" i="36"/>
  <c r="B167" i="36"/>
  <c r="E167" i="36"/>
  <c r="H167" i="36"/>
  <c r="K163" i="38"/>
  <c r="L163" i="38" s="1"/>
  <c r="A162" i="38"/>
  <c r="K163" i="20"/>
  <c r="L163" i="20" s="1"/>
  <c r="A162" i="20"/>
  <c r="AV169" i="36"/>
  <c r="AW169" i="36" s="1"/>
  <c r="A168" i="36"/>
  <c r="D175" i="19"/>
  <c r="I175" i="19"/>
  <c r="E175" i="19"/>
  <c r="G175" i="19"/>
  <c r="AR175" i="19"/>
  <c r="AF175" i="19"/>
  <c r="X175" i="19"/>
  <c r="P175" i="19"/>
  <c r="AG175" i="19"/>
  <c r="Q175" i="19"/>
  <c r="L175" i="19"/>
  <c r="W175" i="19"/>
  <c r="S175" i="19"/>
  <c r="AU175" i="19"/>
  <c r="M175" i="19"/>
  <c r="AC175" i="19"/>
  <c r="N175" i="19"/>
  <c r="R175" i="19"/>
  <c r="AE175" i="19"/>
  <c r="AQ175" i="19"/>
  <c r="AO175" i="19"/>
  <c r="AA175" i="19"/>
  <c r="V175" i="19"/>
  <c r="AP175" i="19"/>
  <c r="AJ175" i="19"/>
  <c r="AT175" i="19"/>
  <c r="AK175" i="19"/>
  <c r="AS175" i="19"/>
  <c r="AB175" i="19"/>
  <c r="AL175" i="19"/>
  <c r="AH175" i="19"/>
  <c r="AD175" i="19"/>
  <c r="T175" i="19"/>
  <c r="U175" i="19"/>
  <c r="AN175" i="19"/>
  <c r="AI175" i="19"/>
  <c r="Z175" i="19"/>
  <c r="K175" i="19"/>
  <c r="Y175" i="19"/>
  <c r="AM175" i="19"/>
  <c r="G176" i="19"/>
  <c r="J176" i="19"/>
  <c r="I176" i="19"/>
  <c r="E176" i="19"/>
  <c r="B176" i="19"/>
  <c r="D176" i="19"/>
  <c r="C176" i="19"/>
  <c r="H176" i="19"/>
  <c r="F176" i="19"/>
  <c r="H175" i="19"/>
  <c r="AV178" i="19"/>
  <c r="AW178" i="19" s="1"/>
  <c r="A177" i="19"/>
  <c r="D161" i="20" l="1"/>
  <c r="E161" i="20"/>
  <c r="D161" i="38"/>
  <c r="G162" i="20"/>
  <c r="D162" i="20"/>
  <c r="I162" i="20"/>
  <c r="B162" i="20"/>
  <c r="E162" i="20"/>
  <c r="C162" i="20"/>
  <c r="H162" i="20"/>
  <c r="F162" i="20"/>
  <c r="AV170" i="36"/>
  <c r="AW170" i="36" s="1"/>
  <c r="A169" i="36"/>
  <c r="A163" i="20"/>
  <c r="K164" i="20"/>
  <c r="L164" i="20" s="1"/>
  <c r="K164" i="38"/>
  <c r="L164" i="38" s="1"/>
  <c r="A163" i="38"/>
  <c r="E161" i="38"/>
  <c r="C168" i="36"/>
  <c r="B168" i="36"/>
  <c r="I168" i="36" s="1"/>
  <c r="D162" i="38"/>
  <c r="B162" i="38"/>
  <c r="F162" i="38"/>
  <c r="H162" i="38"/>
  <c r="G162" i="38"/>
  <c r="E162" i="38"/>
  <c r="I162" i="38"/>
  <c r="C162" i="38"/>
  <c r="AA167" i="36"/>
  <c r="AN167" i="36"/>
  <c r="AJ167" i="36"/>
  <c r="AL167" i="36"/>
  <c r="R167" i="36"/>
  <c r="V167" i="36"/>
  <c r="U167" i="36"/>
  <c r="AO167" i="36"/>
  <c r="AQ167" i="36"/>
  <c r="K167" i="36"/>
  <c r="AG167" i="36"/>
  <c r="O167" i="36"/>
  <c r="W167" i="36"/>
  <c r="N167" i="36"/>
  <c r="AK167" i="36"/>
  <c r="AR167" i="36"/>
  <c r="S167" i="36"/>
  <c r="L167" i="36"/>
  <c r="AT167" i="36"/>
  <c r="T167" i="36"/>
  <c r="AM167" i="36"/>
  <c r="AB167" i="36"/>
  <c r="AH167" i="36"/>
  <c r="AS167" i="36"/>
  <c r="AF167" i="36"/>
  <c r="Z167" i="36"/>
  <c r="AU167" i="36"/>
  <c r="AP167" i="36"/>
  <c r="AE167" i="36"/>
  <c r="Q167" i="36"/>
  <c r="X167" i="36"/>
  <c r="AD167" i="36"/>
  <c r="AC167" i="36"/>
  <c r="Y167" i="36"/>
  <c r="AI167" i="36"/>
  <c r="P167" i="36"/>
  <c r="M167" i="36"/>
  <c r="AD176" i="19"/>
  <c r="S176" i="19"/>
  <c r="M176" i="19"/>
  <c r="AE176" i="19"/>
  <c r="AQ176" i="19"/>
  <c r="AN176" i="19"/>
  <c r="AK176" i="19"/>
  <c r="AR176" i="19"/>
  <c r="AF176" i="19"/>
  <c r="U176" i="19"/>
  <c r="Z176" i="19"/>
  <c r="T176" i="19"/>
  <c r="AA176" i="19"/>
  <c r="Q176" i="19"/>
  <c r="P176" i="19"/>
  <c r="AG176" i="19"/>
  <c r="AP176" i="19"/>
  <c r="AO176" i="19"/>
  <c r="AS176" i="19"/>
  <c r="Y176" i="19"/>
  <c r="V176" i="19"/>
  <c r="AT176" i="19"/>
  <c r="AH176" i="19"/>
  <c r="O176" i="19"/>
  <c r="W176" i="19"/>
  <c r="AC176" i="19"/>
  <c r="AJ176" i="19"/>
  <c r="N176" i="19"/>
  <c r="R176" i="19"/>
  <c r="X176" i="19"/>
  <c r="AI176" i="19"/>
  <c r="AM176" i="19"/>
  <c r="K176" i="19"/>
  <c r="AU176" i="19"/>
  <c r="AB176" i="19"/>
  <c r="AL176" i="19"/>
  <c r="L176" i="19"/>
  <c r="AV179" i="19"/>
  <c r="AW179" i="19" s="1"/>
  <c r="A178" i="19"/>
  <c r="G177" i="19"/>
  <c r="F177" i="19"/>
  <c r="B177" i="19"/>
  <c r="I177" i="19"/>
  <c r="D177" i="19"/>
  <c r="C177" i="19"/>
  <c r="J177" i="19"/>
  <c r="E177" i="19"/>
  <c r="H177" i="19"/>
  <c r="E168" i="36" l="1"/>
  <c r="G168" i="36"/>
  <c r="H168" i="36"/>
  <c r="D168" i="36"/>
  <c r="F168" i="36"/>
  <c r="J168" i="36"/>
  <c r="D163" i="38"/>
  <c r="I163" i="38"/>
  <c r="F163" i="38"/>
  <c r="E163" i="38"/>
  <c r="B163" i="38"/>
  <c r="G163" i="38"/>
  <c r="C163" i="38"/>
  <c r="H163" i="38"/>
  <c r="K165" i="20"/>
  <c r="L165" i="20" s="1"/>
  <c r="A164" i="20"/>
  <c r="C169" i="36"/>
  <c r="B169" i="36"/>
  <c r="E169" i="36" s="1"/>
  <c r="K168" i="36"/>
  <c r="AB168" i="36"/>
  <c r="Q168" i="36"/>
  <c r="AA168" i="36"/>
  <c r="M168" i="36"/>
  <c r="T168" i="36"/>
  <c r="U168" i="36"/>
  <c r="AM168" i="36"/>
  <c r="AJ168" i="36"/>
  <c r="R168" i="36"/>
  <c r="Z168" i="36"/>
  <c r="O168" i="36"/>
  <c r="N168" i="36"/>
  <c r="AU168" i="36"/>
  <c r="AO168" i="36"/>
  <c r="X168" i="36"/>
  <c r="AI168" i="36"/>
  <c r="L168" i="36"/>
  <c r="P168" i="36"/>
  <c r="V168" i="36"/>
  <c r="AS168" i="36"/>
  <c r="AN168" i="36"/>
  <c r="AE168" i="36"/>
  <c r="AC168" i="36"/>
  <c r="AQ168" i="36"/>
  <c r="AT168" i="36"/>
  <c r="AF168" i="36"/>
  <c r="S168" i="36"/>
  <c r="AP168" i="36"/>
  <c r="W168" i="36"/>
  <c r="AH168" i="36"/>
  <c r="AG168" i="36"/>
  <c r="AK168" i="36"/>
  <c r="Y168" i="36"/>
  <c r="AL168" i="36"/>
  <c r="AR168" i="36"/>
  <c r="AD168" i="36"/>
  <c r="K165" i="38"/>
  <c r="L165" i="38" s="1"/>
  <c r="A164" i="38"/>
  <c r="F163" i="20"/>
  <c r="G163" i="20"/>
  <c r="I163" i="20"/>
  <c r="D163" i="20"/>
  <c r="E163" i="20"/>
  <c r="C163" i="20"/>
  <c r="H163" i="20"/>
  <c r="B163" i="20"/>
  <c r="AV171" i="36"/>
  <c r="AW171" i="36" s="1"/>
  <c r="A170" i="36"/>
  <c r="X177" i="19"/>
  <c r="AB177" i="19"/>
  <c r="AC177" i="19"/>
  <c r="AA177" i="19"/>
  <c r="AR177" i="19"/>
  <c r="AD177" i="19"/>
  <c r="T177" i="19"/>
  <c r="AM177" i="19"/>
  <c r="Z177" i="19"/>
  <c r="AP177" i="19"/>
  <c r="AL177" i="19"/>
  <c r="AQ177" i="19"/>
  <c r="M177" i="19"/>
  <c r="W177" i="19"/>
  <c r="AT177" i="19"/>
  <c r="AH177" i="19"/>
  <c r="R177" i="19"/>
  <c r="AJ177" i="19"/>
  <c r="AG177" i="19"/>
  <c r="S177" i="19"/>
  <c r="P177" i="19"/>
  <c r="AI177" i="19"/>
  <c r="O177" i="19"/>
  <c r="AS177" i="19"/>
  <c r="Y177" i="19"/>
  <c r="AO177" i="19"/>
  <c r="Q177" i="19"/>
  <c r="AN177" i="19"/>
  <c r="U177" i="19"/>
  <c r="N177" i="19"/>
  <c r="AF177" i="19"/>
  <c r="L177" i="19"/>
  <c r="AU177" i="19"/>
  <c r="K177" i="19"/>
  <c r="AE177" i="19"/>
  <c r="AK177" i="19"/>
  <c r="V177" i="19"/>
  <c r="B178" i="19"/>
  <c r="E178" i="19" s="1"/>
  <c r="C178" i="19"/>
  <c r="A179" i="19"/>
  <c r="AV180" i="19"/>
  <c r="AW180" i="19" s="1"/>
  <c r="F169" i="36" l="1"/>
  <c r="D169" i="36"/>
  <c r="I169" i="36"/>
  <c r="G169" i="36"/>
  <c r="J169" i="36"/>
  <c r="E170" i="36"/>
  <c r="I170" i="36"/>
  <c r="G170" i="36"/>
  <c r="B170" i="36"/>
  <c r="C170" i="36"/>
  <c r="J170" i="36"/>
  <c r="H170" i="36"/>
  <c r="D170" i="36"/>
  <c r="F170" i="36"/>
  <c r="C164" i="38"/>
  <c r="G164" i="38"/>
  <c r="H164" i="38"/>
  <c r="F164" i="38"/>
  <c r="B164" i="38"/>
  <c r="I164" i="38" s="1"/>
  <c r="K166" i="20"/>
  <c r="L166" i="20" s="1"/>
  <c r="A165" i="20"/>
  <c r="A171" i="36"/>
  <c r="AV172" i="36"/>
  <c r="AW172" i="36" s="1"/>
  <c r="K166" i="38"/>
  <c r="L166" i="38" s="1"/>
  <c r="A165" i="38"/>
  <c r="H169" i="36"/>
  <c r="AU169" i="36"/>
  <c r="R169" i="36"/>
  <c r="AP169" i="36"/>
  <c r="Y169" i="36"/>
  <c r="AG169" i="36"/>
  <c r="Z169" i="36"/>
  <c r="W169" i="36"/>
  <c r="AH169" i="36"/>
  <c r="AK169" i="36"/>
  <c r="AI169" i="36"/>
  <c r="AT169" i="36"/>
  <c r="K169" i="36"/>
  <c r="AE169" i="36"/>
  <c r="M169" i="36"/>
  <c r="AO169" i="36"/>
  <c r="O169" i="36"/>
  <c r="AM169" i="36"/>
  <c r="S169" i="36"/>
  <c r="L169" i="36"/>
  <c r="T169" i="36"/>
  <c r="AD169" i="36"/>
  <c r="X169" i="36"/>
  <c r="P169" i="36"/>
  <c r="U169" i="36"/>
  <c r="AR169" i="36"/>
  <c r="AB169" i="36"/>
  <c r="V169" i="36"/>
  <c r="AS169" i="36"/>
  <c r="AQ169" i="36"/>
  <c r="AA169" i="36"/>
  <c r="AC169" i="36"/>
  <c r="AN169" i="36"/>
  <c r="N169" i="36"/>
  <c r="AL169" i="36"/>
  <c r="AJ169" i="36"/>
  <c r="Q169" i="36"/>
  <c r="AF169" i="36"/>
  <c r="F164" i="20"/>
  <c r="G164" i="20"/>
  <c r="B164" i="20"/>
  <c r="E164" i="20" s="1"/>
  <c r="C164" i="20"/>
  <c r="H164" i="20"/>
  <c r="D178" i="19"/>
  <c r="I178" i="19"/>
  <c r="J178" i="19"/>
  <c r="F178" i="19"/>
  <c r="G178" i="19"/>
  <c r="H178" i="19"/>
  <c r="A180" i="19"/>
  <c r="AV181" i="19"/>
  <c r="AW181" i="19" s="1"/>
  <c r="B179" i="19"/>
  <c r="E179" i="19" s="1"/>
  <c r="C179" i="19"/>
  <c r="AF178" i="19"/>
  <c r="AI178" i="19"/>
  <c r="AJ178" i="19"/>
  <c r="AT178" i="19"/>
  <c r="W178" i="19"/>
  <c r="AA178" i="19"/>
  <c r="AM178" i="19"/>
  <c r="AH178" i="19"/>
  <c r="X178" i="19"/>
  <c r="AD178" i="19"/>
  <c r="V178" i="19"/>
  <c r="AU178" i="19"/>
  <c r="AG178" i="19"/>
  <c r="M178" i="19"/>
  <c r="Y178" i="19"/>
  <c r="AP178" i="19"/>
  <c r="Q178" i="19"/>
  <c r="AL178" i="19"/>
  <c r="L178" i="19"/>
  <c r="U178" i="19"/>
  <c r="S178" i="19"/>
  <c r="R178" i="19"/>
  <c r="T178" i="19"/>
  <c r="AC178" i="19"/>
  <c r="P178" i="19"/>
  <c r="AB178" i="19"/>
  <c r="AO178" i="19"/>
  <c r="O178" i="19"/>
  <c r="AE178" i="19"/>
  <c r="AQ178" i="19"/>
  <c r="N178" i="19"/>
  <c r="AS178" i="19"/>
  <c r="AN178" i="19"/>
  <c r="K178" i="19"/>
  <c r="AK178" i="19"/>
  <c r="Z178" i="19"/>
  <c r="AR178" i="19"/>
  <c r="D164" i="20" l="1"/>
  <c r="E164" i="38"/>
  <c r="I164" i="20"/>
  <c r="D164" i="38"/>
  <c r="F165" i="38"/>
  <c r="C165" i="38"/>
  <c r="H165" i="38"/>
  <c r="B165" i="38"/>
  <c r="E165" i="38" s="1"/>
  <c r="G165" i="38"/>
  <c r="AV173" i="36"/>
  <c r="AW173" i="36" s="1"/>
  <c r="A172" i="36"/>
  <c r="H165" i="20"/>
  <c r="G165" i="20"/>
  <c r="C165" i="20"/>
  <c r="B165" i="20"/>
  <c r="E165" i="20" s="1"/>
  <c r="F165" i="20"/>
  <c r="K167" i="38"/>
  <c r="L167" i="38" s="1"/>
  <c r="A166" i="38"/>
  <c r="E171" i="36"/>
  <c r="F171" i="36"/>
  <c r="G171" i="36"/>
  <c r="B171" i="36"/>
  <c r="H171" i="36"/>
  <c r="J171" i="36"/>
  <c r="I171" i="36"/>
  <c r="D171" i="36"/>
  <c r="C171" i="36"/>
  <c r="A166" i="20"/>
  <c r="K167" i="20"/>
  <c r="L167" i="20" s="1"/>
  <c r="W170" i="36"/>
  <c r="AS170" i="36"/>
  <c r="Q170" i="36"/>
  <c r="L170" i="36"/>
  <c r="AD170" i="36"/>
  <c r="V170" i="36"/>
  <c r="AG170" i="36"/>
  <c r="T170" i="36"/>
  <c r="R170" i="36"/>
  <c r="Z170" i="36"/>
  <c r="AA170" i="36"/>
  <c r="M170" i="36"/>
  <c r="AQ170" i="36"/>
  <c r="S170" i="36"/>
  <c r="AC170" i="36"/>
  <c r="AO170" i="36"/>
  <c r="AK170" i="36"/>
  <c r="AN170" i="36"/>
  <c r="O170" i="36"/>
  <c r="AJ170" i="36"/>
  <c r="AM170" i="36"/>
  <c r="AH170" i="36"/>
  <c r="X170" i="36"/>
  <c r="U170" i="36"/>
  <c r="AT170" i="36"/>
  <c r="AE170" i="36"/>
  <c r="AI170" i="36"/>
  <c r="AP170" i="36"/>
  <c r="AF170" i="36"/>
  <c r="AR170" i="36"/>
  <c r="P170" i="36"/>
  <c r="AB170" i="36"/>
  <c r="K170" i="36"/>
  <c r="AL170" i="36"/>
  <c r="AU170" i="36"/>
  <c r="N170" i="36"/>
  <c r="Y170" i="36"/>
  <c r="F179" i="19"/>
  <c r="H179" i="19"/>
  <c r="J179" i="19"/>
  <c r="D179" i="19"/>
  <c r="G179" i="19"/>
  <c r="I179" i="19"/>
  <c r="O179" i="19"/>
  <c r="AL179" i="19"/>
  <c r="AG179" i="19"/>
  <c r="AA179" i="19"/>
  <c r="AP179" i="19"/>
  <c r="U179" i="19"/>
  <c r="AE179" i="19"/>
  <c r="L179" i="19"/>
  <c r="AU179" i="19"/>
  <c r="AS179" i="19"/>
  <c r="AO179" i="19"/>
  <c r="M179" i="19"/>
  <c r="AJ179" i="19"/>
  <c r="Y179" i="19"/>
  <c r="AI179" i="19"/>
  <c r="AC179" i="19"/>
  <c r="AF179" i="19"/>
  <c r="P179" i="19"/>
  <c r="S179" i="19"/>
  <c r="T179" i="19"/>
  <c r="W179" i="19"/>
  <c r="Q179" i="19"/>
  <c r="V179" i="19"/>
  <c r="R179" i="19"/>
  <c r="AH179" i="19"/>
  <c r="AT179" i="19"/>
  <c r="AR179" i="19"/>
  <c r="X179" i="19"/>
  <c r="N179" i="19"/>
  <c r="AD179" i="19"/>
  <c r="Z179" i="19"/>
  <c r="AK179" i="19"/>
  <c r="AQ179" i="19"/>
  <c r="AM179" i="19"/>
  <c r="AN179" i="19"/>
  <c r="K179" i="19"/>
  <c r="AB179" i="19"/>
  <c r="A181" i="19"/>
  <c r="AV182" i="19"/>
  <c r="AW182" i="19" s="1"/>
  <c r="J180" i="19"/>
  <c r="D180" i="19"/>
  <c r="E180" i="19"/>
  <c r="I180" i="19"/>
  <c r="F180" i="19"/>
  <c r="G180" i="19"/>
  <c r="B180" i="19"/>
  <c r="C180" i="19"/>
  <c r="H180" i="19"/>
  <c r="I165" i="38" l="1"/>
  <c r="I165" i="20"/>
  <c r="D165" i="38"/>
  <c r="B172" i="36"/>
  <c r="J172" i="36" s="1"/>
  <c r="C172" i="36"/>
  <c r="A167" i="20"/>
  <c r="K168" i="20"/>
  <c r="L168" i="20" s="1"/>
  <c r="K168" i="38"/>
  <c r="L168" i="38" s="1"/>
  <c r="A167" i="38"/>
  <c r="I166" i="20"/>
  <c r="E166" i="20"/>
  <c r="H166" i="20"/>
  <c r="G166" i="20"/>
  <c r="F166" i="20"/>
  <c r="D166" i="20"/>
  <c r="C166" i="20"/>
  <c r="B166" i="20"/>
  <c r="P171" i="36"/>
  <c r="AN171" i="36"/>
  <c r="AA171" i="36"/>
  <c r="X171" i="36"/>
  <c r="AD171" i="36"/>
  <c r="AU171" i="36"/>
  <c r="AL171" i="36"/>
  <c r="AH171" i="36"/>
  <c r="AO171" i="36"/>
  <c r="AS171" i="36"/>
  <c r="AP171" i="36"/>
  <c r="AB171" i="36"/>
  <c r="R171" i="36"/>
  <c r="AR171" i="36"/>
  <c r="AK171" i="36"/>
  <c r="V171" i="36"/>
  <c r="AM171" i="36"/>
  <c r="AI171" i="36"/>
  <c r="AT171" i="36"/>
  <c r="N171" i="36"/>
  <c r="M171" i="36"/>
  <c r="AF171" i="36"/>
  <c r="K171" i="36"/>
  <c r="O171" i="36"/>
  <c r="U171" i="36"/>
  <c r="L171" i="36"/>
  <c r="S171" i="36"/>
  <c r="AJ171" i="36"/>
  <c r="AC171" i="36"/>
  <c r="Q171" i="36"/>
  <c r="T171" i="36"/>
  <c r="Z171" i="36"/>
  <c r="AG171" i="36"/>
  <c r="Y171" i="36"/>
  <c r="AE171" i="36"/>
  <c r="AQ171" i="36"/>
  <c r="W171" i="36"/>
  <c r="G166" i="38"/>
  <c r="C166" i="38"/>
  <c r="B166" i="38"/>
  <c r="F166" i="38"/>
  <c r="E166" i="38"/>
  <c r="H166" i="38"/>
  <c r="D166" i="38"/>
  <c r="I166" i="38"/>
  <c r="D165" i="20"/>
  <c r="AV174" i="36"/>
  <c r="AW174" i="36" s="1"/>
  <c r="A173" i="36"/>
  <c r="AE180" i="19"/>
  <c r="AN180" i="19"/>
  <c r="P180" i="19"/>
  <c r="W180" i="19"/>
  <c r="V180" i="19"/>
  <c r="AL180" i="19"/>
  <c r="AS180" i="19"/>
  <c r="AH180" i="19"/>
  <c r="L180" i="19"/>
  <c r="AU180" i="19"/>
  <c r="AP180" i="19"/>
  <c r="AM180" i="19"/>
  <c r="O180" i="19"/>
  <c r="Q180" i="19"/>
  <c r="Y180" i="19"/>
  <c r="AG180" i="19"/>
  <c r="K180" i="19"/>
  <c r="AI180" i="19"/>
  <c r="AC180" i="19"/>
  <c r="AO180" i="19"/>
  <c r="U180" i="19"/>
  <c r="AJ180" i="19"/>
  <c r="AR180" i="19"/>
  <c r="N180" i="19"/>
  <c r="AA180" i="19"/>
  <c r="Z180" i="19"/>
  <c r="AK180" i="19"/>
  <c r="M180" i="19"/>
  <c r="R180" i="19"/>
  <c r="AF180" i="19"/>
  <c r="AT180" i="19"/>
  <c r="AQ180" i="19"/>
  <c r="AB180" i="19"/>
  <c r="X180" i="19"/>
  <c r="S180" i="19"/>
  <c r="T180" i="19"/>
  <c r="AD180" i="19"/>
  <c r="J181" i="19"/>
  <c r="I181" i="19"/>
  <c r="F181" i="19"/>
  <c r="C181" i="19"/>
  <c r="H181" i="19"/>
  <c r="G181" i="19"/>
  <c r="B181" i="19"/>
  <c r="D181" i="19"/>
  <c r="E181" i="19"/>
  <c r="AV183" i="19"/>
  <c r="AW183" i="19" s="1"/>
  <c r="A182" i="19"/>
  <c r="E172" i="36" l="1"/>
  <c r="G172" i="36"/>
  <c r="I172" i="36"/>
  <c r="AV175" i="36"/>
  <c r="AW175" i="36" s="1"/>
  <c r="A174" i="36"/>
  <c r="B173" i="36"/>
  <c r="G173" i="36" s="1"/>
  <c r="C173" i="36"/>
  <c r="G167" i="38"/>
  <c r="F167" i="38"/>
  <c r="I167" i="38"/>
  <c r="E167" i="38"/>
  <c r="D167" i="38"/>
  <c r="C167" i="38"/>
  <c r="H167" i="38"/>
  <c r="B167" i="38"/>
  <c r="K169" i="20"/>
  <c r="L169" i="20" s="1"/>
  <c r="A168" i="20"/>
  <c r="F172" i="36"/>
  <c r="H172" i="36"/>
  <c r="K169" i="38"/>
  <c r="L169" i="38" s="1"/>
  <c r="A168" i="38"/>
  <c r="H167" i="20"/>
  <c r="E167" i="20"/>
  <c r="B167" i="20"/>
  <c r="F167" i="20"/>
  <c r="C167" i="20"/>
  <c r="I167" i="20"/>
  <c r="G167" i="20"/>
  <c r="D167" i="20"/>
  <c r="D172" i="36"/>
  <c r="AN172" i="36"/>
  <c r="S172" i="36"/>
  <c r="V172" i="36"/>
  <c r="Z172" i="36"/>
  <c r="AI172" i="36"/>
  <c r="P172" i="36"/>
  <c r="AO172" i="36"/>
  <c r="AQ172" i="36"/>
  <c r="T172" i="36"/>
  <c r="AT172" i="36"/>
  <c r="AF172" i="36"/>
  <c r="AC172" i="36"/>
  <c r="AU172" i="36"/>
  <c r="AP172" i="36"/>
  <c r="AS172" i="36"/>
  <c r="AH172" i="36"/>
  <c r="K172" i="36"/>
  <c r="M172" i="36"/>
  <c r="AJ172" i="36"/>
  <c r="AR172" i="36"/>
  <c r="AM172" i="36"/>
  <c r="AD172" i="36"/>
  <c r="R172" i="36"/>
  <c r="O172" i="36"/>
  <c r="N172" i="36"/>
  <c r="AG172" i="36"/>
  <c r="AK172" i="36"/>
  <c r="U172" i="36"/>
  <c r="AE172" i="36"/>
  <c r="AA172" i="36"/>
  <c r="Q172" i="36"/>
  <c r="AB172" i="36"/>
  <c r="Y172" i="36"/>
  <c r="X172" i="36"/>
  <c r="AL172" i="36"/>
  <c r="W172" i="36"/>
  <c r="L172" i="36"/>
  <c r="C182" i="19"/>
  <c r="B182" i="19"/>
  <c r="G182" i="19" s="1"/>
  <c r="AV184" i="19"/>
  <c r="AW184" i="19" s="1"/>
  <c r="A183" i="19"/>
  <c r="AQ181" i="19"/>
  <c r="M181" i="19"/>
  <c r="R181" i="19"/>
  <c r="AM181" i="19"/>
  <c r="AJ181" i="19"/>
  <c r="AE181" i="19"/>
  <c r="V181" i="19"/>
  <c r="AG181" i="19"/>
  <c r="AT181" i="19"/>
  <c r="Q181" i="19"/>
  <c r="K181" i="19"/>
  <c r="AK181" i="19"/>
  <c r="Z181" i="19"/>
  <c r="AN181" i="19"/>
  <c r="AS181" i="19"/>
  <c r="X181" i="19"/>
  <c r="AO181" i="19"/>
  <c r="W181" i="19"/>
  <c r="AU181" i="19"/>
  <c r="AF181" i="19"/>
  <c r="AP181" i="19"/>
  <c r="AH181" i="19"/>
  <c r="AB181" i="19"/>
  <c r="AD181" i="19"/>
  <c r="T181" i="19"/>
  <c r="AL181" i="19"/>
  <c r="N181" i="19"/>
  <c r="AI181" i="19"/>
  <c r="S181" i="19"/>
  <c r="AC181" i="19"/>
  <c r="AR181" i="19"/>
  <c r="L181" i="19"/>
  <c r="P181" i="19"/>
  <c r="U181" i="19"/>
  <c r="AA181" i="19"/>
  <c r="O181" i="19"/>
  <c r="Y181" i="19"/>
  <c r="I173" i="36" l="1"/>
  <c r="E173" i="36"/>
  <c r="D173" i="36"/>
  <c r="J173" i="36"/>
  <c r="H173" i="36"/>
  <c r="C168" i="38"/>
  <c r="H168" i="38"/>
  <c r="G168" i="38"/>
  <c r="B168" i="38"/>
  <c r="D168" i="38" s="1"/>
  <c r="F168" i="38"/>
  <c r="C168" i="20"/>
  <c r="B168" i="20"/>
  <c r="E168" i="20" s="1"/>
  <c r="H168" i="20"/>
  <c r="F168" i="20"/>
  <c r="G168" i="20"/>
  <c r="C174" i="36"/>
  <c r="B174" i="36"/>
  <c r="J174" i="36" s="1"/>
  <c r="K170" i="38"/>
  <c r="L170" i="38" s="1"/>
  <c r="A169" i="38"/>
  <c r="K170" i="20"/>
  <c r="L170" i="20" s="1"/>
  <c r="A169" i="20"/>
  <c r="F173" i="36"/>
  <c r="AI173" i="36"/>
  <c r="P173" i="36"/>
  <c r="AH173" i="36"/>
  <c r="AB173" i="36"/>
  <c r="AR173" i="36"/>
  <c r="Q173" i="36"/>
  <c r="AO173" i="36"/>
  <c r="AS173" i="36"/>
  <c r="K173" i="36"/>
  <c r="AQ173" i="36"/>
  <c r="V173" i="36"/>
  <c r="X173" i="36"/>
  <c r="W173" i="36"/>
  <c r="Z173" i="36"/>
  <c r="AT173" i="36"/>
  <c r="R173" i="36"/>
  <c r="M173" i="36"/>
  <c r="AD173" i="36"/>
  <c r="AE173" i="36"/>
  <c r="O173" i="36"/>
  <c r="AN173" i="36"/>
  <c r="AG173" i="36"/>
  <c r="AU173" i="36"/>
  <c r="AM173" i="36"/>
  <c r="AL173" i="36"/>
  <c r="AC173" i="36"/>
  <c r="S173" i="36"/>
  <c r="AA173" i="36"/>
  <c r="T173" i="36"/>
  <c r="AF173" i="36"/>
  <c r="AP173" i="36"/>
  <c r="AJ173" i="36"/>
  <c r="L173" i="36"/>
  <c r="Y173" i="36"/>
  <c r="AK173" i="36"/>
  <c r="N173" i="36"/>
  <c r="U173" i="36"/>
  <c r="AV176" i="36"/>
  <c r="AW176" i="36" s="1"/>
  <c r="A175" i="36"/>
  <c r="H182" i="19"/>
  <c r="I182" i="19"/>
  <c r="E182" i="19"/>
  <c r="D182" i="19"/>
  <c r="F182" i="19"/>
  <c r="J182" i="19"/>
  <c r="C183" i="19"/>
  <c r="B183" i="19"/>
  <c r="F183" i="19" s="1"/>
  <c r="AV185" i="19"/>
  <c r="AW185" i="19" s="1"/>
  <c r="A184" i="19"/>
  <c r="AI182" i="19"/>
  <c r="X182" i="19"/>
  <c r="AF182" i="19"/>
  <c r="O182" i="19"/>
  <c r="AS182" i="19"/>
  <c r="W182" i="19"/>
  <c r="V182" i="19"/>
  <c r="AA182" i="19"/>
  <c r="AD182" i="19"/>
  <c r="AR182" i="19"/>
  <c r="Q182" i="19"/>
  <c r="AB182" i="19"/>
  <c r="N182" i="19"/>
  <c r="AH182" i="19"/>
  <c r="AQ182" i="19"/>
  <c r="AM182" i="19"/>
  <c r="R182" i="19"/>
  <c r="Y182" i="19"/>
  <c r="AE182" i="19"/>
  <c r="AU182" i="19"/>
  <c r="AP182" i="19"/>
  <c r="Z182" i="19"/>
  <c r="AO182" i="19"/>
  <c r="AG182" i="19"/>
  <c r="AT182" i="19"/>
  <c r="AJ182" i="19"/>
  <c r="P182" i="19"/>
  <c r="K182" i="19"/>
  <c r="AN182" i="19"/>
  <c r="T182" i="19"/>
  <c r="M182" i="19"/>
  <c r="AK182" i="19"/>
  <c r="S182" i="19"/>
  <c r="U182" i="19"/>
  <c r="AL182" i="19"/>
  <c r="AC182" i="19"/>
  <c r="L182" i="19"/>
  <c r="D168" i="20" l="1"/>
  <c r="I168" i="38"/>
  <c r="E168" i="38"/>
  <c r="F174" i="36"/>
  <c r="G174" i="36"/>
  <c r="H174" i="36"/>
  <c r="E174" i="36"/>
  <c r="I174" i="36"/>
  <c r="AV177" i="36"/>
  <c r="AW177" i="36" s="1"/>
  <c r="A176" i="36"/>
  <c r="B175" i="36"/>
  <c r="D175" i="36" s="1"/>
  <c r="C175" i="36"/>
  <c r="G169" i="20"/>
  <c r="F169" i="20"/>
  <c r="B169" i="20"/>
  <c r="E169" i="20" s="1"/>
  <c r="H169" i="20"/>
  <c r="C169" i="20"/>
  <c r="B169" i="38"/>
  <c r="E169" i="38" s="1"/>
  <c r="C169" i="38"/>
  <c r="G169" i="38"/>
  <c r="H169" i="38"/>
  <c r="F169" i="38"/>
  <c r="D174" i="36"/>
  <c r="AT174" i="36"/>
  <c r="AS174" i="36"/>
  <c r="W174" i="36"/>
  <c r="O174" i="36"/>
  <c r="AR174" i="36"/>
  <c r="AJ174" i="36"/>
  <c r="R174" i="36"/>
  <c r="AL174" i="36"/>
  <c r="AB174" i="36"/>
  <c r="AU174" i="36"/>
  <c r="AI174" i="36"/>
  <c r="AE174" i="36"/>
  <c r="N174" i="36"/>
  <c r="AN174" i="36"/>
  <c r="V174" i="36"/>
  <c r="M174" i="36"/>
  <c r="K174" i="36"/>
  <c r="U174" i="36"/>
  <c r="AC174" i="36"/>
  <c r="AO174" i="36"/>
  <c r="Q174" i="36"/>
  <c r="L174" i="36"/>
  <c r="Y174" i="36"/>
  <c r="Z174" i="36"/>
  <c r="AA174" i="36"/>
  <c r="T174" i="36"/>
  <c r="AH174" i="36"/>
  <c r="X174" i="36"/>
  <c r="AK174" i="36"/>
  <c r="P174" i="36"/>
  <c r="AD174" i="36"/>
  <c r="AQ174" i="36"/>
  <c r="AM174" i="36"/>
  <c r="AF174" i="36"/>
  <c r="S174" i="36"/>
  <c r="AG174" i="36"/>
  <c r="AP174" i="36"/>
  <c r="I168" i="20"/>
  <c r="K171" i="20"/>
  <c r="L171" i="20" s="1"/>
  <c r="A170" i="20"/>
  <c r="K171" i="38"/>
  <c r="L171" i="38" s="1"/>
  <c r="A170" i="38"/>
  <c r="G183" i="19"/>
  <c r="I183" i="19"/>
  <c r="E183" i="19"/>
  <c r="J183" i="19"/>
  <c r="H183" i="19"/>
  <c r="D183" i="19"/>
  <c r="AV186" i="19"/>
  <c r="AW186" i="19" s="1"/>
  <c r="A185" i="19"/>
  <c r="Q183" i="19"/>
  <c r="X183" i="19"/>
  <c r="AM183" i="19"/>
  <c r="T183" i="19"/>
  <c r="AJ183" i="19"/>
  <c r="P183" i="19"/>
  <c r="AE183" i="19"/>
  <c r="AO183" i="19"/>
  <c r="AN183" i="19"/>
  <c r="AA183" i="19"/>
  <c r="AR183" i="19"/>
  <c r="U183" i="19"/>
  <c r="N183" i="19"/>
  <c r="AH183" i="19"/>
  <c r="AP183" i="19"/>
  <c r="AU183" i="19"/>
  <c r="AB183" i="19"/>
  <c r="AT183" i="19"/>
  <c r="AQ183" i="19"/>
  <c r="AL183" i="19"/>
  <c r="K183" i="19"/>
  <c r="Z183" i="19"/>
  <c r="M183" i="19"/>
  <c r="AK183" i="19"/>
  <c r="AD183" i="19"/>
  <c r="V183" i="19"/>
  <c r="AF183" i="19"/>
  <c r="AI183" i="19"/>
  <c r="AS183" i="19"/>
  <c r="S183" i="19"/>
  <c r="AG183" i="19"/>
  <c r="L183" i="19"/>
  <c r="R183" i="19"/>
  <c r="Y183" i="19"/>
  <c r="O183" i="19"/>
  <c r="AC183" i="19"/>
  <c r="W183" i="19"/>
  <c r="C184" i="19"/>
  <c r="B184" i="19"/>
  <c r="F184" i="19" s="1"/>
  <c r="J175" i="36" l="1"/>
  <c r="E175" i="36"/>
  <c r="I169" i="38"/>
  <c r="D169" i="20"/>
  <c r="K172" i="20"/>
  <c r="L172" i="20" s="1"/>
  <c r="A171" i="20"/>
  <c r="H175" i="36"/>
  <c r="AR175" i="36"/>
  <c r="AE175" i="36"/>
  <c r="O175" i="36"/>
  <c r="AQ175" i="36"/>
  <c r="W175" i="36"/>
  <c r="Q175" i="36"/>
  <c r="T175" i="36"/>
  <c r="K175" i="36"/>
  <c r="AD175" i="36"/>
  <c r="AF175" i="36"/>
  <c r="L175" i="36"/>
  <c r="AH175" i="36"/>
  <c r="AB175" i="36"/>
  <c r="AJ175" i="36"/>
  <c r="AK175" i="36"/>
  <c r="AN175" i="36"/>
  <c r="V175" i="36"/>
  <c r="X175" i="36"/>
  <c r="AC175" i="36"/>
  <c r="AO175" i="36"/>
  <c r="P175" i="36"/>
  <c r="Y175" i="36"/>
  <c r="M175" i="36"/>
  <c r="AA175" i="36"/>
  <c r="S175" i="36"/>
  <c r="AM175" i="36"/>
  <c r="AP175" i="36"/>
  <c r="AU175" i="36"/>
  <c r="AG175" i="36"/>
  <c r="AT175" i="36"/>
  <c r="AL175" i="36"/>
  <c r="AS175" i="36"/>
  <c r="R175" i="36"/>
  <c r="Z175" i="36"/>
  <c r="N175" i="36"/>
  <c r="AI175" i="36"/>
  <c r="U175" i="36"/>
  <c r="AV178" i="36"/>
  <c r="AW178" i="36" s="1"/>
  <c r="A177" i="36"/>
  <c r="G170" i="38"/>
  <c r="H170" i="38"/>
  <c r="C170" i="38"/>
  <c r="F170" i="38"/>
  <c r="B170" i="38"/>
  <c r="D170" i="38" s="1"/>
  <c r="F170" i="20"/>
  <c r="G170" i="20"/>
  <c r="B170" i="20"/>
  <c r="E170" i="20" s="1"/>
  <c r="C170" i="20"/>
  <c r="H170" i="20"/>
  <c r="D169" i="38"/>
  <c r="I169" i="20"/>
  <c r="F175" i="36"/>
  <c r="G175" i="36"/>
  <c r="I175" i="36"/>
  <c r="C176" i="36"/>
  <c r="B176" i="36"/>
  <c r="H176" i="36" s="1"/>
  <c r="K172" i="38"/>
  <c r="L172" i="38" s="1"/>
  <c r="A171" i="38"/>
  <c r="H184" i="19"/>
  <c r="D184" i="19"/>
  <c r="J184" i="19"/>
  <c r="G184" i="19"/>
  <c r="E184" i="19"/>
  <c r="B185" i="19"/>
  <c r="G185" i="19" s="1"/>
  <c r="C185" i="19"/>
  <c r="A186" i="19"/>
  <c r="AV187" i="19"/>
  <c r="AW187" i="19" s="1"/>
  <c r="AE184" i="19"/>
  <c r="L184" i="19"/>
  <c r="W184" i="19"/>
  <c r="AD184" i="19"/>
  <c r="M184" i="19"/>
  <c r="R184" i="19"/>
  <c r="U184" i="19"/>
  <c r="AT184" i="19"/>
  <c r="AQ184" i="19"/>
  <c r="AF184" i="19"/>
  <c r="AS184" i="19"/>
  <c r="AL184" i="19"/>
  <c r="Y184" i="19"/>
  <c r="AO184" i="19"/>
  <c r="V184" i="19"/>
  <c r="T184" i="19"/>
  <c r="AN184" i="19"/>
  <c r="Q184" i="19"/>
  <c r="P184" i="19"/>
  <c r="AB184" i="19"/>
  <c r="Z184" i="19"/>
  <c r="AU184" i="19"/>
  <c r="AR184" i="19"/>
  <c r="K184" i="19"/>
  <c r="AG184" i="19"/>
  <c r="O184" i="19"/>
  <c r="AP184" i="19"/>
  <c r="AI184" i="19"/>
  <c r="X184" i="19"/>
  <c r="AH184" i="19"/>
  <c r="AK184" i="19"/>
  <c r="AJ184" i="19"/>
  <c r="AM184" i="19"/>
  <c r="AC184" i="19"/>
  <c r="AA184" i="19"/>
  <c r="S184" i="19"/>
  <c r="N184" i="19"/>
  <c r="I184" i="19"/>
  <c r="I170" i="20" l="1"/>
  <c r="D170" i="20"/>
  <c r="E176" i="36"/>
  <c r="I176" i="36"/>
  <c r="G171" i="38"/>
  <c r="H171" i="38"/>
  <c r="B171" i="38"/>
  <c r="D171" i="38" s="1"/>
  <c r="F171" i="38"/>
  <c r="C171" i="38"/>
  <c r="F176" i="36"/>
  <c r="AL176" i="36"/>
  <c r="Z176" i="36"/>
  <c r="AT176" i="36"/>
  <c r="AQ176" i="36"/>
  <c r="R176" i="36"/>
  <c r="AC176" i="36"/>
  <c r="AO176" i="36"/>
  <c r="AM176" i="36"/>
  <c r="AH176" i="36"/>
  <c r="AP176" i="36"/>
  <c r="AD176" i="36"/>
  <c r="AE176" i="36"/>
  <c r="M176" i="36"/>
  <c r="K176" i="36"/>
  <c r="U176" i="36"/>
  <c r="W176" i="36"/>
  <c r="AJ176" i="36"/>
  <c r="AF176" i="36"/>
  <c r="AA176" i="36"/>
  <c r="AI176" i="36"/>
  <c r="Q176" i="36"/>
  <c r="L176" i="36"/>
  <c r="AU176" i="36"/>
  <c r="AK176" i="36"/>
  <c r="T176" i="36"/>
  <c r="AB176" i="36"/>
  <c r="Y176" i="36"/>
  <c r="N176" i="36"/>
  <c r="O176" i="36"/>
  <c r="AS176" i="36"/>
  <c r="P176" i="36"/>
  <c r="AR176" i="36"/>
  <c r="AG176" i="36"/>
  <c r="S176" i="36"/>
  <c r="V176" i="36"/>
  <c r="X176" i="36"/>
  <c r="AN176" i="36"/>
  <c r="AV179" i="36"/>
  <c r="AW179" i="36" s="1"/>
  <c r="A178" i="36"/>
  <c r="K173" i="38"/>
  <c r="L173" i="38" s="1"/>
  <c r="A172" i="38"/>
  <c r="J176" i="36"/>
  <c r="G176" i="36"/>
  <c r="D176" i="36"/>
  <c r="I170" i="38"/>
  <c r="C177" i="36"/>
  <c r="B177" i="36"/>
  <c r="E177" i="36" s="1"/>
  <c r="F171" i="20"/>
  <c r="H171" i="20"/>
  <c r="B171" i="20"/>
  <c r="E171" i="20" s="1"/>
  <c r="C171" i="20"/>
  <c r="G171" i="20"/>
  <c r="E170" i="38"/>
  <c r="K173" i="20"/>
  <c r="L173" i="20" s="1"/>
  <c r="A172" i="20"/>
  <c r="E185" i="19"/>
  <c r="I185" i="19"/>
  <c r="D185" i="19"/>
  <c r="F185" i="19"/>
  <c r="H185" i="19"/>
  <c r="B186" i="19"/>
  <c r="G186" i="19" s="1"/>
  <c r="C186" i="19"/>
  <c r="A187" i="19"/>
  <c r="AV188" i="19"/>
  <c r="AW188" i="19" s="1"/>
  <c r="J185" i="19"/>
  <c r="O185" i="19"/>
  <c r="AK185" i="19"/>
  <c r="AL185" i="19"/>
  <c r="AH185" i="19"/>
  <c r="AC185" i="19"/>
  <c r="AP185" i="19"/>
  <c r="AS185" i="19"/>
  <c r="T185" i="19"/>
  <c r="V185" i="19"/>
  <c r="Z185" i="19"/>
  <c r="K185" i="19"/>
  <c r="Y185" i="19"/>
  <c r="AM185" i="19"/>
  <c r="Q185" i="19"/>
  <c r="AA185" i="19"/>
  <c r="AG185" i="19"/>
  <c r="AQ185" i="19"/>
  <c r="AT185" i="19"/>
  <c r="P185" i="19"/>
  <c r="S185" i="19"/>
  <c r="AR185" i="19"/>
  <c r="AO185" i="19"/>
  <c r="L185" i="19"/>
  <c r="X185" i="19"/>
  <c r="W185" i="19"/>
  <c r="AI185" i="19"/>
  <c r="AJ185" i="19"/>
  <c r="AE185" i="19"/>
  <c r="N185" i="19"/>
  <c r="AF185" i="19"/>
  <c r="AU185" i="19"/>
  <c r="AB185" i="19"/>
  <c r="M185" i="19"/>
  <c r="AD185" i="19"/>
  <c r="R185" i="19"/>
  <c r="AN185" i="19"/>
  <c r="U185" i="19"/>
  <c r="D171" i="20" l="1"/>
  <c r="E171" i="38"/>
  <c r="G177" i="36"/>
  <c r="I171" i="20"/>
  <c r="I177" i="36"/>
  <c r="J177" i="36"/>
  <c r="H172" i="20"/>
  <c r="C172" i="20"/>
  <c r="B172" i="20"/>
  <c r="D172" i="20" s="1"/>
  <c r="G172" i="20"/>
  <c r="F172" i="20"/>
  <c r="F177" i="36"/>
  <c r="D177" i="36"/>
  <c r="K174" i="38"/>
  <c r="L174" i="38" s="1"/>
  <c r="A173" i="38"/>
  <c r="AV180" i="36"/>
  <c r="AW180" i="36" s="1"/>
  <c r="A179" i="36"/>
  <c r="I171" i="38"/>
  <c r="K174" i="20"/>
  <c r="L174" i="20" s="1"/>
  <c r="A173" i="20"/>
  <c r="H177" i="36"/>
  <c r="AR177" i="36"/>
  <c r="AC177" i="36"/>
  <c r="O177" i="36"/>
  <c r="V177" i="36"/>
  <c r="AF177" i="36"/>
  <c r="W177" i="36"/>
  <c r="AD177" i="36"/>
  <c r="AK177" i="36"/>
  <c r="AB177" i="36"/>
  <c r="AN177" i="36"/>
  <c r="X177" i="36"/>
  <c r="AL177" i="36"/>
  <c r="AQ177" i="36"/>
  <c r="Y177" i="36"/>
  <c r="AS177" i="36"/>
  <c r="AH177" i="36"/>
  <c r="T177" i="36"/>
  <c r="L177" i="36"/>
  <c r="AE177" i="36"/>
  <c r="AI177" i="36"/>
  <c r="M177" i="36"/>
  <c r="AT177" i="36"/>
  <c r="N177" i="36"/>
  <c r="P177" i="36"/>
  <c r="AU177" i="36"/>
  <c r="U177" i="36"/>
  <c r="AP177" i="36"/>
  <c r="AJ177" i="36"/>
  <c r="Z177" i="36"/>
  <c r="Q177" i="36"/>
  <c r="AA177" i="36"/>
  <c r="K177" i="36"/>
  <c r="S177" i="36"/>
  <c r="AM177" i="36"/>
  <c r="R177" i="36"/>
  <c r="AG177" i="36"/>
  <c r="AO177" i="36"/>
  <c r="C172" i="38"/>
  <c r="F172" i="38"/>
  <c r="G172" i="38"/>
  <c r="B172" i="38"/>
  <c r="I172" i="38" s="1"/>
  <c r="H172" i="38"/>
  <c r="C178" i="36"/>
  <c r="B178" i="36"/>
  <c r="F178" i="36" s="1"/>
  <c r="I186" i="19"/>
  <c r="H186" i="19"/>
  <c r="J186" i="19"/>
  <c r="E186" i="19"/>
  <c r="F186" i="19"/>
  <c r="D186" i="19"/>
  <c r="C187" i="19"/>
  <c r="B187" i="19"/>
  <c r="H187" i="19" s="1"/>
  <c r="AV189" i="19"/>
  <c r="AW189" i="19" s="1"/>
  <c r="A188" i="19"/>
  <c r="U186" i="19"/>
  <c r="AG186" i="19"/>
  <c r="AL186" i="19"/>
  <c r="X186" i="19"/>
  <c r="AB186" i="19"/>
  <c r="V186" i="19"/>
  <c r="AM186" i="19"/>
  <c r="AU186" i="19"/>
  <c r="AK186" i="19"/>
  <c r="AF186" i="19"/>
  <c r="M186" i="19"/>
  <c r="AO186" i="19"/>
  <c r="AI186" i="19"/>
  <c r="AQ186" i="19"/>
  <c r="S186" i="19"/>
  <c r="Z186" i="19"/>
  <c r="AD186" i="19"/>
  <c r="L186" i="19"/>
  <c r="AT186" i="19"/>
  <c r="AP186" i="19"/>
  <c r="P186" i="19"/>
  <c r="AC186" i="19"/>
  <c r="N186" i="19"/>
  <c r="AA186" i="19"/>
  <c r="Q186" i="19"/>
  <c r="R186" i="19"/>
  <c r="W186" i="19"/>
  <c r="AS186" i="19"/>
  <c r="O186" i="19"/>
  <c r="T186" i="19"/>
  <c r="AJ186" i="19"/>
  <c r="AH186" i="19"/>
  <c r="AN186" i="19"/>
  <c r="AR186" i="19"/>
  <c r="K186" i="19"/>
  <c r="AE186" i="19"/>
  <c r="Y186" i="19"/>
  <c r="D178" i="36" l="1"/>
  <c r="E178" i="36"/>
  <c r="J178" i="36"/>
  <c r="D172" i="38"/>
  <c r="E172" i="38"/>
  <c r="I172" i="20"/>
  <c r="G178" i="36"/>
  <c r="I178" i="36"/>
  <c r="F173" i="20"/>
  <c r="H173" i="20"/>
  <c r="G173" i="20"/>
  <c r="B173" i="20"/>
  <c r="E173" i="20" s="1"/>
  <c r="C173" i="20"/>
  <c r="AV181" i="36"/>
  <c r="AW181" i="36" s="1"/>
  <c r="A180" i="36"/>
  <c r="K175" i="38"/>
  <c r="L175" i="38" s="1"/>
  <c r="A174" i="38"/>
  <c r="E172" i="20"/>
  <c r="H178" i="36"/>
  <c r="AU178" i="36"/>
  <c r="AC178" i="36"/>
  <c r="AK178" i="36"/>
  <c r="Q178" i="36"/>
  <c r="L178" i="36"/>
  <c r="AF178" i="36"/>
  <c r="AA178" i="36"/>
  <c r="AG178" i="36"/>
  <c r="Y178" i="36"/>
  <c r="AI178" i="36"/>
  <c r="S178" i="36"/>
  <c r="AT178" i="36"/>
  <c r="N178" i="36"/>
  <c r="AP178" i="36"/>
  <c r="AN178" i="36"/>
  <c r="T178" i="36"/>
  <c r="AD178" i="36"/>
  <c r="O178" i="36"/>
  <c r="R178" i="36"/>
  <c r="K178" i="36"/>
  <c r="AQ178" i="36"/>
  <c r="AJ178" i="36"/>
  <c r="W178" i="36"/>
  <c r="AO178" i="36"/>
  <c r="AR178" i="36"/>
  <c r="AE178" i="36"/>
  <c r="AH178" i="36"/>
  <c r="AL178" i="36"/>
  <c r="Z178" i="36"/>
  <c r="AS178" i="36"/>
  <c r="X178" i="36"/>
  <c r="M178" i="36"/>
  <c r="V178" i="36"/>
  <c r="AB178" i="36"/>
  <c r="AM178" i="36"/>
  <c r="U178" i="36"/>
  <c r="P178" i="36"/>
  <c r="K175" i="20"/>
  <c r="L175" i="20" s="1"/>
  <c r="A174" i="20"/>
  <c r="D179" i="36"/>
  <c r="C179" i="36"/>
  <c r="J179" i="36"/>
  <c r="B179" i="36"/>
  <c r="E179" i="36"/>
  <c r="G179" i="36"/>
  <c r="H179" i="36"/>
  <c r="F179" i="36"/>
  <c r="I179" i="36"/>
  <c r="C173" i="38"/>
  <c r="F173" i="38"/>
  <c r="G173" i="38"/>
  <c r="H173" i="38"/>
  <c r="B173" i="38"/>
  <c r="E173" i="38" s="1"/>
  <c r="I187" i="19"/>
  <c r="E187" i="19"/>
  <c r="F187" i="19"/>
  <c r="J187" i="19"/>
  <c r="A189" i="19"/>
  <c r="AV190" i="19"/>
  <c r="AW190" i="19" s="1"/>
  <c r="D187" i="19"/>
  <c r="B188" i="19"/>
  <c r="E188" i="19" s="1"/>
  <c r="C188" i="19"/>
  <c r="G187" i="19"/>
  <c r="AG187" i="19"/>
  <c r="O187" i="19"/>
  <c r="AD187" i="19"/>
  <c r="K187" i="19"/>
  <c r="U187" i="19"/>
  <c r="AN187" i="19"/>
  <c r="AK187" i="19"/>
  <c r="AE187" i="19"/>
  <c r="AQ187" i="19"/>
  <c r="AJ187" i="19"/>
  <c r="AM187" i="19"/>
  <c r="X187" i="19"/>
  <c r="AB187" i="19"/>
  <c r="AR187" i="19"/>
  <c r="R187" i="19"/>
  <c r="Y187" i="19"/>
  <c r="Z187" i="19"/>
  <c r="AI187" i="19"/>
  <c r="W187" i="19"/>
  <c r="AS187" i="19"/>
  <c r="N187" i="19"/>
  <c r="AF187" i="19"/>
  <c r="V187" i="19"/>
  <c r="L187" i="19"/>
  <c r="AP187" i="19"/>
  <c r="M187" i="19"/>
  <c r="T187" i="19"/>
  <c r="AH187" i="19"/>
  <c r="AO187" i="19"/>
  <c r="Q187" i="19"/>
  <c r="AL187" i="19"/>
  <c r="S187" i="19"/>
  <c r="AT187" i="19"/>
  <c r="AA187" i="19"/>
  <c r="P187" i="19"/>
  <c r="AC187" i="19"/>
  <c r="AU187" i="19"/>
  <c r="D173" i="20" l="1"/>
  <c r="D173" i="38"/>
  <c r="I173" i="20"/>
  <c r="I173" i="38"/>
  <c r="H180" i="36"/>
  <c r="I180" i="36"/>
  <c r="B180" i="36"/>
  <c r="E180" i="36"/>
  <c r="F180" i="36"/>
  <c r="D180" i="36"/>
  <c r="C180" i="36"/>
  <c r="G180" i="36"/>
  <c r="J180" i="36"/>
  <c r="AD179" i="36"/>
  <c r="Z179" i="36"/>
  <c r="AR179" i="36"/>
  <c r="AS179" i="36"/>
  <c r="AA179" i="36"/>
  <c r="N179" i="36"/>
  <c r="Y179" i="36"/>
  <c r="S179" i="36"/>
  <c r="T179" i="36"/>
  <c r="O179" i="36"/>
  <c r="V179" i="36"/>
  <c r="AQ179" i="36"/>
  <c r="AH179" i="36"/>
  <c r="W179" i="36"/>
  <c r="AI179" i="36"/>
  <c r="L179" i="36"/>
  <c r="P179" i="36"/>
  <c r="Q179" i="36"/>
  <c r="AE179" i="36"/>
  <c r="AC179" i="36"/>
  <c r="AU179" i="36"/>
  <c r="X179" i="36"/>
  <c r="M179" i="36"/>
  <c r="AO179" i="36"/>
  <c r="AL179" i="36"/>
  <c r="AN179" i="36"/>
  <c r="AG179" i="36"/>
  <c r="AK179" i="36"/>
  <c r="AF179" i="36"/>
  <c r="AP179" i="36"/>
  <c r="K179" i="36"/>
  <c r="AT179" i="36"/>
  <c r="AJ179" i="36"/>
  <c r="U179" i="36"/>
  <c r="R179" i="36"/>
  <c r="AM179" i="36"/>
  <c r="AB179" i="36"/>
  <c r="F174" i="20"/>
  <c r="B174" i="20"/>
  <c r="D174" i="20" s="1"/>
  <c r="C174" i="20"/>
  <c r="H174" i="20"/>
  <c r="G174" i="20"/>
  <c r="K176" i="38"/>
  <c r="L176" i="38" s="1"/>
  <c r="A175" i="38"/>
  <c r="AV182" i="36"/>
  <c r="AW182" i="36" s="1"/>
  <c r="A181" i="36"/>
  <c r="A175" i="20"/>
  <c r="K176" i="20"/>
  <c r="L176" i="20" s="1"/>
  <c r="B174" i="38"/>
  <c r="D174" i="38" s="1"/>
  <c r="C174" i="38"/>
  <c r="F174" i="38"/>
  <c r="G174" i="38"/>
  <c r="H174" i="38"/>
  <c r="D188" i="19"/>
  <c r="G188" i="19"/>
  <c r="J188" i="19"/>
  <c r="F188" i="19"/>
  <c r="I188" i="19"/>
  <c r="H188" i="19"/>
  <c r="L188" i="19"/>
  <c r="Y188" i="19"/>
  <c r="AM188" i="19"/>
  <c r="AG188" i="19"/>
  <c r="AA188" i="19"/>
  <c r="AI188" i="19"/>
  <c r="AD188" i="19"/>
  <c r="AC188" i="19"/>
  <c r="AR188" i="19"/>
  <c r="AE188" i="19"/>
  <c r="AO188" i="19"/>
  <c r="U188" i="19"/>
  <c r="Z188" i="19"/>
  <c r="AN188" i="19"/>
  <c r="AH188" i="19"/>
  <c r="AF188" i="19"/>
  <c r="N188" i="19"/>
  <c r="AB188" i="19"/>
  <c r="AS188" i="19"/>
  <c r="W188" i="19"/>
  <c r="AK188" i="19"/>
  <c r="AU188" i="19"/>
  <c r="R188" i="19"/>
  <c r="T188" i="19"/>
  <c r="V188" i="19"/>
  <c r="X188" i="19"/>
  <c r="AT188" i="19"/>
  <c r="K188" i="19"/>
  <c r="P188" i="19"/>
  <c r="S188" i="19"/>
  <c r="AJ188" i="19"/>
  <c r="AL188" i="19"/>
  <c r="M188" i="19"/>
  <c r="AQ188" i="19"/>
  <c r="Q188" i="19"/>
  <c r="AP188" i="19"/>
  <c r="O188" i="19"/>
  <c r="AV191" i="19"/>
  <c r="AW191" i="19" s="1"/>
  <c r="A190" i="19"/>
  <c r="D189" i="19"/>
  <c r="C189" i="19"/>
  <c r="G189" i="19"/>
  <c r="J189" i="19"/>
  <c r="E189" i="19"/>
  <c r="H189" i="19"/>
  <c r="I189" i="19"/>
  <c r="B189" i="19"/>
  <c r="F189" i="19"/>
  <c r="E174" i="38" l="1"/>
  <c r="I174" i="20"/>
  <c r="I174" i="38"/>
  <c r="E174" i="20"/>
  <c r="H175" i="20"/>
  <c r="I175" i="20"/>
  <c r="D175" i="20"/>
  <c r="B175" i="20"/>
  <c r="C175" i="20"/>
  <c r="E175" i="20"/>
  <c r="F175" i="20"/>
  <c r="G175" i="20"/>
  <c r="AV183" i="36"/>
  <c r="AW183" i="36" s="1"/>
  <c r="A182" i="36"/>
  <c r="K177" i="38"/>
  <c r="L177" i="38" s="1"/>
  <c r="A176" i="38"/>
  <c r="K177" i="20"/>
  <c r="L177" i="20" s="1"/>
  <c r="A176" i="20"/>
  <c r="B181" i="36"/>
  <c r="D181" i="36" s="1"/>
  <c r="C181" i="36"/>
  <c r="I175" i="38"/>
  <c r="E175" i="38"/>
  <c r="C175" i="38"/>
  <c r="F175" i="38"/>
  <c r="B175" i="38"/>
  <c r="G175" i="38"/>
  <c r="D175" i="38"/>
  <c r="H175" i="38"/>
  <c r="AP180" i="36"/>
  <c r="T180" i="36"/>
  <c r="AM180" i="36"/>
  <c r="AJ180" i="36"/>
  <c r="AB180" i="36"/>
  <c r="AG180" i="36"/>
  <c r="S180" i="36"/>
  <c r="AS180" i="36"/>
  <c r="AH180" i="36"/>
  <c r="K180" i="36"/>
  <c r="V180" i="36"/>
  <c r="Y180" i="36"/>
  <c r="AU180" i="36"/>
  <c r="AE180" i="36"/>
  <c r="P180" i="36"/>
  <c r="W180" i="36"/>
  <c r="AL180" i="36"/>
  <c r="L180" i="36"/>
  <c r="Z180" i="36"/>
  <c r="N180" i="36"/>
  <c r="AT180" i="36"/>
  <c r="R180" i="36"/>
  <c r="AQ180" i="36"/>
  <c r="AK180" i="36"/>
  <c r="O180" i="36"/>
  <c r="U180" i="36"/>
  <c r="AA180" i="36"/>
  <c r="M180" i="36"/>
  <c r="AR180" i="36"/>
  <c r="AO180" i="36"/>
  <c r="AD180" i="36"/>
  <c r="AF180" i="36"/>
  <c r="Q180" i="36"/>
  <c r="AN180" i="36"/>
  <c r="AI180" i="36"/>
  <c r="X180" i="36"/>
  <c r="AC180" i="36"/>
  <c r="AL189" i="19"/>
  <c r="AN189" i="19"/>
  <c r="M189" i="19"/>
  <c r="AF189" i="19"/>
  <c r="Q189" i="19"/>
  <c r="P189" i="19"/>
  <c r="AS189" i="19"/>
  <c r="Z189" i="19"/>
  <c r="AA189" i="19"/>
  <c r="AG189" i="19"/>
  <c r="V189" i="19"/>
  <c r="AM189" i="19"/>
  <c r="AD189" i="19"/>
  <c r="O189" i="19"/>
  <c r="X189" i="19"/>
  <c r="AH189" i="19"/>
  <c r="AE189" i="19"/>
  <c r="AQ189" i="19"/>
  <c r="AO189" i="19"/>
  <c r="L189" i="19"/>
  <c r="T189" i="19"/>
  <c r="AR189" i="19"/>
  <c r="AJ189" i="19"/>
  <c r="W189" i="19"/>
  <c r="S189" i="19"/>
  <c r="AK189" i="19"/>
  <c r="K189" i="19"/>
  <c r="AB189" i="19"/>
  <c r="N189" i="19"/>
  <c r="U189" i="19"/>
  <c r="AI189" i="19"/>
  <c r="AU189" i="19"/>
  <c r="AP189" i="19"/>
  <c r="Y189" i="19"/>
  <c r="AC189" i="19"/>
  <c r="AT189" i="19"/>
  <c r="R189" i="19"/>
  <c r="A191" i="19"/>
  <c r="AV192" i="19"/>
  <c r="AW192" i="19" s="1"/>
  <c r="D190" i="19"/>
  <c r="F190" i="19"/>
  <c r="G190" i="19"/>
  <c r="H190" i="19"/>
  <c r="C190" i="19"/>
  <c r="I190" i="19"/>
  <c r="E190" i="19"/>
  <c r="J190" i="19"/>
  <c r="B190" i="19"/>
  <c r="H181" i="36" l="1"/>
  <c r="G181" i="36"/>
  <c r="J181" i="36"/>
  <c r="E181" i="36"/>
  <c r="I181" i="36"/>
  <c r="D176" i="20"/>
  <c r="C176" i="20"/>
  <c r="E176" i="20"/>
  <c r="H176" i="20"/>
  <c r="F176" i="20"/>
  <c r="I176" i="20"/>
  <c r="G176" i="20"/>
  <c r="B176" i="20"/>
  <c r="D176" i="38"/>
  <c r="H176" i="38"/>
  <c r="F176" i="38"/>
  <c r="I176" i="38"/>
  <c r="G176" i="38"/>
  <c r="B176" i="38"/>
  <c r="E176" i="38"/>
  <c r="C176" i="38"/>
  <c r="B182" i="36"/>
  <c r="H182" i="36" s="1"/>
  <c r="C182" i="36"/>
  <c r="F181" i="36"/>
  <c r="AR181" i="36"/>
  <c r="AT181" i="36"/>
  <c r="P181" i="36"/>
  <c r="R181" i="36"/>
  <c r="AJ181" i="36"/>
  <c r="Z181" i="36"/>
  <c r="U181" i="36"/>
  <c r="AQ181" i="36"/>
  <c r="Y181" i="36"/>
  <c r="K181" i="36"/>
  <c r="O181" i="36"/>
  <c r="AH181" i="36"/>
  <c r="X181" i="36"/>
  <c r="AP181" i="36"/>
  <c r="AI181" i="36"/>
  <c r="AG181" i="36"/>
  <c r="AC181" i="36"/>
  <c r="S181" i="36"/>
  <c r="V181" i="36"/>
  <c r="AD181" i="36"/>
  <c r="AM181" i="36"/>
  <c r="AA181" i="36"/>
  <c r="AE181" i="36"/>
  <c r="N181" i="36"/>
  <c r="W181" i="36"/>
  <c r="AK181" i="36"/>
  <c r="AS181" i="36"/>
  <c r="AU181" i="36"/>
  <c r="AF181" i="36"/>
  <c r="T181" i="36"/>
  <c r="AL181" i="36"/>
  <c r="AO181" i="36"/>
  <c r="Q181" i="36"/>
  <c r="AB181" i="36"/>
  <c r="L181" i="36"/>
  <c r="M181" i="36"/>
  <c r="AN181" i="36"/>
  <c r="K178" i="20"/>
  <c r="L178" i="20" s="1"/>
  <c r="A177" i="20"/>
  <c r="K178" i="38"/>
  <c r="L178" i="38" s="1"/>
  <c r="A177" i="38"/>
  <c r="AV184" i="36"/>
  <c r="AW184" i="36" s="1"/>
  <c r="A183" i="36"/>
  <c r="AF190" i="19"/>
  <c r="S190" i="19"/>
  <c r="Q190" i="19"/>
  <c r="AN190" i="19"/>
  <c r="AC190" i="19"/>
  <c r="AG190" i="19"/>
  <c r="AQ190" i="19"/>
  <c r="AP190" i="19"/>
  <c r="P190" i="19"/>
  <c r="AS190" i="19"/>
  <c r="AM190" i="19"/>
  <c r="AR190" i="19"/>
  <c r="V190" i="19"/>
  <c r="AA190" i="19"/>
  <c r="L190" i="19"/>
  <c r="AO190" i="19"/>
  <c r="O190" i="19"/>
  <c r="K190" i="19"/>
  <c r="AK190" i="19"/>
  <c r="X190" i="19"/>
  <c r="N190" i="19"/>
  <c r="U190" i="19"/>
  <c r="AJ190" i="19"/>
  <c r="AH190" i="19"/>
  <c r="AL190" i="19"/>
  <c r="AT190" i="19"/>
  <c r="R190" i="19"/>
  <c r="Z190" i="19"/>
  <c r="AU190" i="19"/>
  <c r="M190" i="19"/>
  <c r="T190" i="19"/>
  <c r="Y190" i="19"/>
  <c r="AD190" i="19"/>
  <c r="W190" i="19"/>
  <c r="AB190" i="19"/>
  <c r="AI190" i="19"/>
  <c r="AE190" i="19"/>
  <c r="AV193" i="19"/>
  <c r="AW193" i="19" s="1"/>
  <c r="A192" i="19"/>
  <c r="C191" i="19"/>
  <c r="B191" i="19"/>
  <c r="J191" i="19" s="1"/>
  <c r="D182" i="36" l="1"/>
  <c r="I182" i="36"/>
  <c r="G182" i="36"/>
  <c r="F182" i="36"/>
  <c r="AV185" i="36"/>
  <c r="AW185" i="36" s="1"/>
  <c r="A184" i="36"/>
  <c r="K179" i="38"/>
  <c r="L179" i="38" s="1"/>
  <c r="A178" i="38"/>
  <c r="K179" i="20"/>
  <c r="L179" i="20" s="1"/>
  <c r="A178" i="20"/>
  <c r="E182" i="36"/>
  <c r="J182" i="36"/>
  <c r="C183" i="36"/>
  <c r="B183" i="36"/>
  <c r="I183" i="36" s="1"/>
  <c r="G177" i="38"/>
  <c r="B177" i="38"/>
  <c r="D177" i="38" s="1"/>
  <c r="H177" i="38"/>
  <c r="C177" i="38"/>
  <c r="F177" i="38"/>
  <c r="C177" i="20"/>
  <c r="B177" i="20"/>
  <c r="E177" i="20" s="1"/>
  <c r="F177" i="20"/>
  <c r="G177" i="20"/>
  <c r="H177" i="20"/>
  <c r="AS182" i="36"/>
  <c r="AT182" i="36"/>
  <c r="AE182" i="36"/>
  <c r="L182" i="36"/>
  <c r="AF182" i="36"/>
  <c r="Q182" i="36"/>
  <c r="AL182" i="36"/>
  <c r="AA182" i="36"/>
  <c r="V182" i="36"/>
  <c r="K182" i="36"/>
  <c r="AH182" i="36"/>
  <c r="AN182" i="36"/>
  <c r="AP182" i="36"/>
  <c r="O182" i="36"/>
  <c r="R182" i="36"/>
  <c r="AB182" i="36"/>
  <c r="AK182" i="36"/>
  <c r="AO182" i="36"/>
  <c r="AM182" i="36"/>
  <c r="AQ182" i="36"/>
  <c r="Z182" i="36"/>
  <c r="AJ182" i="36"/>
  <c r="M182" i="36"/>
  <c r="X182" i="36"/>
  <c r="AD182" i="36"/>
  <c r="AI182" i="36"/>
  <c r="P182" i="36"/>
  <c r="AG182" i="36"/>
  <c r="Y182" i="36"/>
  <c r="W182" i="36"/>
  <c r="AU182" i="36"/>
  <c r="AC182" i="36"/>
  <c r="AR182" i="36"/>
  <c r="U182" i="36"/>
  <c r="T182" i="36"/>
  <c r="S182" i="36"/>
  <c r="N182" i="36"/>
  <c r="E191" i="19"/>
  <c r="F191" i="19"/>
  <c r="H191" i="19"/>
  <c r="K191" i="19"/>
  <c r="AR191" i="19"/>
  <c r="AU191" i="19"/>
  <c r="X191" i="19"/>
  <c r="W191" i="19"/>
  <c r="AH191" i="19"/>
  <c r="AD191" i="19"/>
  <c r="AT191" i="19"/>
  <c r="R191" i="19"/>
  <c r="Z191" i="19"/>
  <c r="AG191" i="19"/>
  <c r="AA191" i="19"/>
  <c r="T191" i="19"/>
  <c r="P191" i="19"/>
  <c r="N191" i="19"/>
  <c r="M191" i="19"/>
  <c r="AP191" i="19"/>
  <c r="AF191" i="19"/>
  <c r="AJ191" i="19"/>
  <c r="AO191" i="19"/>
  <c r="AC191" i="19"/>
  <c r="AI191" i="19"/>
  <c r="O191" i="19"/>
  <c r="V191" i="19"/>
  <c r="AK191" i="19"/>
  <c r="AE191" i="19"/>
  <c r="Y191" i="19"/>
  <c r="AL191" i="19"/>
  <c r="U191" i="19"/>
  <c r="Q191" i="19"/>
  <c r="AN191" i="19"/>
  <c r="AB191" i="19"/>
  <c r="AM191" i="19"/>
  <c r="AQ191" i="19"/>
  <c r="S191" i="19"/>
  <c r="AS191" i="19"/>
  <c r="L191" i="19"/>
  <c r="G191" i="19"/>
  <c r="I191" i="19"/>
  <c r="D191" i="19"/>
  <c r="C192" i="19"/>
  <c r="B192" i="19"/>
  <c r="H192" i="19" s="1"/>
  <c r="AV194" i="19"/>
  <c r="AW194" i="19" s="1"/>
  <c r="A193" i="19"/>
  <c r="I177" i="20" l="1"/>
  <c r="E177" i="38"/>
  <c r="I177" i="38"/>
  <c r="J183" i="36"/>
  <c r="E183" i="36"/>
  <c r="G183" i="36"/>
  <c r="P183" i="36"/>
  <c r="AI183" i="36"/>
  <c r="AC183" i="36"/>
  <c r="L183" i="36"/>
  <c r="O183" i="36"/>
  <c r="AB183" i="36"/>
  <c r="Q183" i="36"/>
  <c r="AH183" i="36"/>
  <c r="AF183" i="36"/>
  <c r="AS183" i="36"/>
  <c r="AE183" i="36"/>
  <c r="V183" i="36"/>
  <c r="Z183" i="36"/>
  <c r="X183" i="36"/>
  <c r="AD183" i="36"/>
  <c r="AJ183" i="36"/>
  <c r="AM183" i="36"/>
  <c r="Y183" i="36"/>
  <c r="AN183" i="36"/>
  <c r="AA183" i="36"/>
  <c r="AK183" i="36"/>
  <c r="AQ183" i="36"/>
  <c r="R183" i="36"/>
  <c r="AT183" i="36"/>
  <c r="AP183" i="36"/>
  <c r="AL183" i="36"/>
  <c r="AU183" i="36"/>
  <c r="S183" i="36"/>
  <c r="T183" i="36"/>
  <c r="W183" i="36"/>
  <c r="AR183" i="36"/>
  <c r="AO183" i="36"/>
  <c r="AG183" i="36"/>
  <c r="K183" i="36"/>
  <c r="M183" i="36"/>
  <c r="U183" i="36"/>
  <c r="N183" i="36"/>
  <c r="F178" i="20"/>
  <c r="C178" i="20"/>
  <c r="G178" i="20"/>
  <c r="B178" i="20"/>
  <c r="E178" i="20" s="1"/>
  <c r="H178" i="20"/>
  <c r="H178" i="38"/>
  <c r="B178" i="38"/>
  <c r="D178" i="38" s="1"/>
  <c r="G178" i="38"/>
  <c r="F178" i="38"/>
  <c r="C178" i="38"/>
  <c r="C184" i="36"/>
  <c r="B184" i="36"/>
  <c r="I184" i="36" s="1"/>
  <c r="D177" i="20"/>
  <c r="F183" i="36"/>
  <c r="H183" i="36"/>
  <c r="D183" i="36"/>
  <c r="K180" i="20"/>
  <c r="L180" i="20" s="1"/>
  <c r="A179" i="20"/>
  <c r="K180" i="38"/>
  <c r="L180" i="38" s="1"/>
  <c r="A179" i="38"/>
  <c r="AV186" i="36"/>
  <c r="AW186" i="36" s="1"/>
  <c r="A185" i="36"/>
  <c r="E192" i="19"/>
  <c r="I192" i="19"/>
  <c r="D192" i="19"/>
  <c r="G192" i="19"/>
  <c r="AG192" i="19"/>
  <c r="R192" i="19"/>
  <c r="AB192" i="19"/>
  <c r="Q192" i="19"/>
  <c r="O192" i="19"/>
  <c r="AC192" i="19"/>
  <c r="W192" i="19"/>
  <c r="AU192" i="19"/>
  <c r="AF192" i="19"/>
  <c r="Z192" i="19"/>
  <c r="K192" i="19"/>
  <c r="S192" i="19"/>
  <c r="AQ192" i="19"/>
  <c r="P192" i="19"/>
  <c r="U192" i="19"/>
  <c r="AE192" i="19"/>
  <c r="M192" i="19"/>
  <c r="V192" i="19"/>
  <c r="AR192" i="19"/>
  <c r="AK192" i="19"/>
  <c r="AO192" i="19"/>
  <c r="AJ192" i="19"/>
  <c r="T192" i="19"/>
  <c r="Y192" i="19"/>
  <c r="AA192" i="19"/>
  <c r="AL192" i="19"/>
  <c r="AH192" i="19"/>
  <c r="L192" i="19"/>
  <c r="AT192" i="19"/>
  <c r="AM192" i="19"/>
  <c r="AS192" i="19"/>
  <c r="X192" i="19"/>
  <c r="AD192" i="19"/>
  <c r="N192" i="19"/>
  <c r="AP192" i="19"/>
  <c r="AN192" i="19"/>
  <c r="AI192" i="19"/>
  <c r="F192" i="19"/>
  <c r="C193" i="19"/>
  <c r="B193" i="19"/>
  <c r="G193" i="19" s="1"/>
  <c r="A194" i="19"/>
  <c r="AV195" i="19"/>
  <c r="AW195" i="19" s="1"/>
  <c r="J192" i="19"/>
  <c r="E178" i="38" l="1"/>
  <c r="D178" i="20"/>
  <c r="I178" i="20"/>
  <c r="D184" i="36"/>
  <c r="H184" i="36"/>
  <c r="J184" i="36"/>
  <c r="I178" i="38"/>
  <c r="AV187" i="36"/>
  <c r="AW187" i="36" s="1"/>
  <c r="A186" i="36"/>
  <c r="K181" i="38"/>
  <c r="L181" i="38" s="1"/>
  <c r="A180" i="38"/>
  <c r="K181" i="20"/>
  <c r="L181" i="20" s="1"/>
  <c r="A180" i="20"/>
  <c r="F184" i="36"/>
  <c r="E184" i="36"/>
  <c r="B185" i="36"/>
  <c r="F185" i="36" s="1"/>
  <c r="C185" i="36"/>
  <c r="C179" i="38"/>
  <c r="G179" i="38"/>
  <c r="B179" i="38"/>
  <c r="D179" i="38" s="1"/>
  <c r="H179" i="38"/>
  <c r="F179" i="38"/>
  <c r="C179" i="20"/>
  <c r="H179" i="20"/>
  <c r="F179" i="20"/>
  <c r="B179" i="20"/>
  <c r="D179" i="20" s="1"/>
  <c r="G179" i="20"/>
  <c r="G184" i="36"/>
  <c r="L184" i="36"/>
  <c r="AL184" i="36"/>
  <c r="AB184" i="36"/>
  <c r="N184" i="36"/>
  <c r="Z184" i="36"/>
  <c r="Q184" i="36"/>
  <c r="R184" i="36"/>
  <c r="AH184" i="36"/>
  <c r="AT184" i="36"/>
  <c r="AP184" i="36"/>
  <c r="W184" i="36"/>
  <c r="AQ184" i="36"/>
  <c r="T184" i="36"/>
  <c r="AE184" i="36"/>
  <c r="X184" i="36"/>
  <c r="P184" i="36"/>
  <c r="AK184" i="36"/>
  <c r="AO184" i="36"/>
  <c r="AS184" i="36"/>
  <c r="AM184" i="36"/>
  <c r="AF184" i="36"/>
  <c r="AG184" i="36"/>
  <c r="AJ184" i="36"/>
  <c r="AA184" i="36"/>
  <c r="K184" i="36"/>
  <c r="M184" i="36"/>
  <c r="AI184" i="36"/>
  <c r="AR184" i="36"/>
  <c r="AD184" i="36"/>
  <c r="S184" i="36"/>
  <c r="AN184" i="36"/>
  <c r="U184" i="36"/>
  <c r="Y184" i="36"/>
  <c r="V184" i="36"/>
  <c r="AC184" i="36"/>
  <c r="O184" i="36"/>
  <c r="AU184" i="36"/>
  <c r="J193" i="19"/>
  <c r="I193" i="19"/>
  <c r="H193" i="19"/>
  <c r="D193" i="19"/>
  <c r="Y193" i="19"/>
  <c r="AK193" i="19"/>
  <c r="K193" i="19"/>
  <c r="U193" i="19"/>
  <c r="AP193" i="19"/>
  <c r="AU193" i="19"/>
  <c r="T193" i="19"/>
  <c r="AG193" i="19"/>
  <c r="AM193" i="19"/>
  <c r="AJ193" i="19"/>
  <c r="P193" i="19"/>
  <c r="AN193" i="19"/>
  <c r="AH193" i="19"/>
  <c r="AF193" i="19"/>
  <c r="Q193" i="19"/>
  <c r="AB193" i="19"/>
  <c r="V193" i="19"/>
  <c r="S193" i="19"/>
  <c r="AC193" i="19"/>
  <c r="AR193" i="19"/>
  <c r="AE193" i="19"/>
  <c r="R193" i="19"/>
  <c r="L193" i="19"/>
  <c r="M193" i="19"/>
  <c r="AT193" i="19"/>
  <c r="N193" i="19"/>
  <c r="O193" i="19"/>
  <c r="W193" i="19"/>
  <c r="AD193" i="19"/>
  <c r="AQ193" i="19"/>
  <c r="AA193" i="19"/>
  <c r="AL193" i="19"/>
  <c r="Z193" i="19"/>
  <c r="AO193" i="19"/>
  <c r="X193" i="19"/>
  <c r="AI193" i="19"/>
  <c r="AS193" i="19"/>
  <c r="E193" i="19"/>
  <c r="F193" i="19"/>
  <c r="AV196" i="19"/>
  <c r="AW196" i="19" s="1"/>
  <c r="A195" i="19"/>
  <c r="C194" i="19"/>
  <c r="B194" i="19"/>
  <c r="G194" i="19" s="1"/>
  <c r="G185" i="36" l="1"/>
  <c r="I179" i="20"/>
  <c r="E185" i="36"/>
  <c r="I179" i="38"/>
  <c r="D185" i="36"/>
  <c r="AH185" i="36"/>
  <c r="AJ185" i="36"/>
  <c r="AA185" i="36"/>
  <c r="AC185" i="36"/>
  <c r="AG185" i="36"/>
  <c r="T185" i="36"/>
  <c r="R185" i="36"/>
  <c r="L185" i="36"/>
  <c r="AI185" i="36"/>
  <c r="AQ185" i="36"/>
  <c r="AN185" i="36"/>
  <c r="Q185" i="36"/>
  <c r="AM185" i="36"/>
  <c r="AS185" i="36"/>
  <c r="AL185" i="36"/>
  <c r="AR185" i="36"/>
  <c r="AU185" i="36"/>
  <c r="Y185" i="36"/>
  <c r="M185" i="36"/>
  <c r="AK185" i="36"/>
  <c r="AF185" i="36"/>
  <c r="AO185" i="36"/>
  <c r="Z185" i="36"/>
  <c r="S185" i="36"/>
  <c r="AB185" i="36"/>
  <c r="K185" i="36"/>
  <c r="O185" i="36"/>
  <c r="N185" i="36"/>
  <c r="P185" i="36"/>
  <c r="V185" i="36"/>
  <c r="AE185" i="36"/>
  <c r="W185" i="36"/>
  <c r="X185" i="36"/>
  <c r="AP185" i="36"/>
  <c r="AD185" i="36"/>
  <c r="U185" i="36"/>
  <c r="AT185" i="36"/>
  <c r="K182" i="20"/>
  <c r="L182" i="20" s="1"/>
  <c r="A181" i="20"/>
  <c r="K182" i="38"/>
  <c r="L182" i="38" s="1"/>
  <c r="A181" i="38"/>
  <c r="E179" i="20"/>
  <c r="E179" i="38"/>
  <c r="I185" i="36"/>
  <c r="J185" i="36"/>
  <c r="H185" i="36"/>
  <c r="G180" i="20"/>
  <c r="C180" i="20"/>
  <c r="H180" i="20"/>
  <c r="F180" i="20"/>
  <c r="B180" i="20"/>
  <c r="E180" i="20" s="1"/>
  <c r="C180" i="38"/>
  <c r="B180" i="38"/>
  <c r="D180" i="38" s="1"/>
  <c r="H180" i="38"/>
  <c r="G180" i="38"/>
  <c r="F180" i="38"/>
  <c r="B186" i="36"/>
  <c r="J186" i="36" s="1"/>
  <c r="C186" i="36"/>
  <c r="AV188" i="36"/>
  <c r="AW188" i="36" s="1"/>
  <c r="A187" i="36"/>
  <c r="J194" i="19"/>
  <c r="E194" i="19"/>
  <c r="M194" i="19"/>
  <c r="AQ194" i="19"/>
  <c r="AD194" i="19"/>
  <c r="Y194" i="19"/>
  <c r="AG194" i="19"/>
  <c r="AP194" i="19"/>
  <c r="AT194" i="19"/>
  <c r="AR194" i="19"/>
  <c r="AI194" i="19"/>
  <c r="N194" i="19"/>
  <c r="W194" i="19"/>
  <c r="AO194" i="19"/>
  <c r="S194" i="19"/>
  <c r="Q194" i="19"/>
  <c r="T194" i="19"/>
  <c r="AF194" i="19"/>
  <c r="L194" i="19"/>
  <c r="P194" i="19"/>
  <c r="AB194" i="19"/>
  <c r="AA194" i="19"/>
  <c r="V194" i="19"/>
  <c r="R194" i="19"/>
  <c r="AL194" i="19"/>
  <c r="X194" i="19"/>
  <c r="AC194" i="19"/>
  <c r="Z194" i="19"/>
  <c r="AM194" i="19"/>
  <c r="AJ194" i="19"/>
  <c r="K194" i="19"/>
  <c r="AE194" i="19"/>
  <c r="AS194" i="19"/>
  <c r="U194" i="19"/>
  <c r="O194" i="19"/>
  <c r="AU194" i="19"/>
  <c r="AH194" i="19"/>
  <c r="AK194" i="19"/>
  <c r="AN194" i="19"/>
  <c r="D194" i="19"/>
  <c r="F194" i="19"/>
  <c r="AV197" i="19"/>
  <c r="AW197" i="19" s="1"/>
  <c r="A196" i="19"/>
  <c r="C195" i="19"/>
  <c r="B195" i="19"/>
  <c r="I195" i="19" s="1"/>
  <c r="H194" i="19"/>
  <c r="I194" i="19"/>
  <c r="G186" i="36" l="1"/>
  <c r="E180" i="38"/>
  <c r="D186" i="36"/>
  <c r="I180" i="38"/>
  <c r="I180" i="20"/>
  <c r="D180" i="20"/>
  <c r="AV189" i="36"/>
  <c r="AW189" i="36" s="1"/>
  <c r="A188" i="36"/>
  <c r="F186" i="36"/>
  <c r="K183" i="38"/>
  <c r="L183" i="38" s="1"/>
  <c r="A182" i="38"/>
  <c r="K183" i="20"/>
  <c r="L183" i="20" s="1"/>
  <c r="A182" i="20"/>
  <c r="J187" i="36"/>
  <c r="B187" i="36"/>
  <c r="G187" i="36"/>
  <c r="I187" i="36"/>
  <c r="C187" i="36"/>
  <c r="D187" i="36"/>
  <c r="E187" i="36"/>
  <c r="F187" i="36"/>
  <c r="H187" i="36"/>
  <c r="E186" i="36"/>
  <c r="I186" i="36"/>
  <c r="C181" i="38"/>
  <c r="B181" i="38"/>
  <c r="I181" i="38" s="1"/>
  <c r="G181" i="38"/>
  <c r="F181" i="38"/>
  <c r="H181" i="38"/>
  <c r="G181" i="20"/>
  <c r="H181" i="20"/>
  <c r="B181" i="20"/>
  <c r="I181" i="20" s="1"/>
  <c r="F181" i="20"/>
  <c r="C181" i="20"/>
  <c r="H186" i="36"/>
  <c r="K186" i="36"/>
  <c r="AR186" i="36"/>
  <c r="AS186" i="36"/>
  <c r="AQ186" i="36"/>
  <c r="AU186" i="36"/>
  <c r="X186" i="36"/>
  <c r="AA186" i="36"/>
  <c r="V186" i="36"/>
  <c r="AN186" i="36"/>
  <c r="U186" i="36"/>
  <c r="M186" i="36"/>
  <c r="AK186" i="36"/>
  <c r="AB186" i="36"/>
  <c r="N186" i="36"/>
  <c r="S186" i="36"/>
  <c r="Z186" i="36"/>
  <c r="AJ186" i="36"/>
  <c r="AC186" i="36"/>
  <c r="AH186" i="36"/>
  <c r="AI186" i="36"/>
  <c r="T186" i="36"/>
  <c r="AL186" i="36"/>
  <c r="O186" i="36"/>
  <c r="Y186" i="36"/>
  <c r="AE186" i="36"/>
  <c r="L186" i="36"/>
  <c r="AP186" i="36"/>
  <c r="AF186" i="36"/>
  <c r="AM186" i="36"/>
  <c r="Q186" i="36"/>
  <c r="AG186" i="36"/>
  <c r="AO186" i="36"/>
  <c r="AT186" i="36"/>
  <c r="R186" i="36"/>
  <c r="AD186" i="36"/>
  <c r="W186" i="36"/>
  <c r="P186" i="36"/>
  <c r="D195" i="19"/>
  <c r="J195" i="19"/>
  <c r="G195" i="19"/>
  <c r="A197" i="19"/>
  <c r="AV198" i="19"/>
  <c r="AW198" i="19" s="1"/>
  <c r="F195" i="19"/>
  <c r="Y195" i="19"/>
  <c r="AE195" i="19"/>
  <c r="AF195" i="19"/>
  <c r="AL195" i="19"/>
  <c r="L195" i="19"/>
  <c r="AJ195" i="19"/>
  <c r="AG195" i="19"/>
  <c r="U195" i="19"/>
  <c r="M195" i="19"/>
  <c r="AQ195" i="19"/>
  <c r="AK195" i="19"/>
  <c r="AC195" i="19"/>
  <c r="AT195" i="19"/>
  <c r="T195" i="19"/>
  <c r="R195" i="19"/>
  <c r="V195" i="19"/>
  <c r="W195" i="19"/>
  <c r="P195" i="19"/>
  <c r="AR195" i="19"/>
  <c r="AM195" i="19"/>
  <c r="AO195" i="19"/>
  <c r="S195" i="19"/>
  <c r="K195" i="19"/>
  <c r="AI195" i="19"/>
  <c r="AU195" i="19"/>
  <c r="X195" i="19"/>
  <c r="AA195" i="19"/>
  <c r="Z195" i="19"/>
  <c r="AP195" i="19"/>
  <c r="Q195" i="19"/>
  <c r="O195" i="19"/>
  <c r="AS195" i="19"/>
  <c r="AH195" i="19"/>
  <c r="AD195" i="19"/>
  <c r="AB195" i="19"/>
  <c r="N195" i="19"/>
  <c r="AN195" i="19"/>
  <c r="E195" i="19"/>
  <c r="B196" i="19"/>
  <c r="J196" i="19" s="1"/>
  <c r="C196" i="19"/>
  <c r="H195" i="19"/>
  <c r="E181" i="38" l="1"/>
  <c r="E181" i="20"/>
  <c r="D181" i="38"/>
  <c r="AH187" i="36"/>
  <c r="Q187" i="36"/>
  <c r="AQ187" i="36"/>
  <c r="AU187" i="36"/>
  <c r="AL187" i="36"/>
  <c r="O187" i="36"/>
  <c r="AG187" i="36"/>
  <c r="AM187" i="36"/>
  <c r="AD187" i="36"/>
  <c r="AC187" i="36"/>
  <c r="AO187" i="36"/>
  <c r="K187" i="36"/>
  <c r="V187" i="36"/>
  <c r="L187" i="36"/>
  <c r="AI187" i="36"/>
  <c r="Z187" i="36"/>
  <c r="S187" i="36"/>
  <c r="AS187" i="36"/>
  <c r="AA187" i="36"/>
  <c r="AB187" i="36"/>
  <c r="AK187" i="36"/>
  <c r="AT187" i="36"/>
  <c r="AR187" i="36"/>
  <c r="U187" i="36"/>
  <c r="AF187" i="36"/>
  <c r="AN187" i="36"/>
  <c r="P187" i="36"/>
  <c r="M187" i="36"/>
  <c r="AJ187" i="36"/>
  <c r="R187" i="36"/>
  <c r="W187" i="36"/>
  <c r="N187" i="36"/>
  <c r="AP187" i="36"/>
  <c r="Y187" i="36"/>
  <c r="AE187" i="36"/>
  <c r="T187" i="36"/>
  <c r="X187" i="36"/>
  <c r="B182" i="20"/>
  <c r="E182" i="20" s="1"/>
  <c r="G182" i="20"/>
  <c r="F182" i="20"/>
  <c r="H182" i="20"/>
  <c r="C182" i="20"/>
  <c r="G182" i="38"/>
  <c r="B182" i="38"/>
  <c r="D182" i="38" s="1"/>
  <c r="C182" i="38"/>
  <c r="F182" i="38"/>
  <c r="H182" i="38"/>
  <c r="AV190" i="36"/>
  <c r="AW190" i="36" s="1"/>
  <c r="A189" i="36"/>
  <c r="D181" i="20"/>
  <c r="A183" i="20"/>
  <c r="K184" i="20"/>
  <c r="L184" i="20" s="1"/>
  <c r="K184" i="38"/>
  <c r="L184" i="38" s="1"/>
  <c r="A183" i="38"/>
  <c r="E188" i="36"/>
  <c r="I188" i="36"/>
  <c r="F188" i="36"/>
  <c r="H188" i="36"/>
  <c r="D188" i="36"/>
  <c r="J188" i="36"/>
  <c r="B188" i="36"/>
  <c r="C188" i="36"/>
  <c r="G188" i="36"/>
  <c r="D196" i="19"/>
  <c r="F196" i="19"/>
  <c r="H196" i="19"/>
  <c r="G196" i="19"/>
  <c r="Z196" i="19"/>
  <c r="AB196" i="19"/>
  <c r="Y196" i="19"/>
  <c r="AN196" i="19"/>
  <c r="L196" i="19"/>
  <c r="AK196" i="19"/>
  <c r="N196" i="19"/>
  <c r="R196" i="19"/>
  <c r="P196" i="19"/>
  <c r="S196" i="19"/>
  <c r="AR196" i="19"/>
  <c r="T196" i="19"/>
  <c r="O196" i="19"/>
  <c r="Q196" i="19"/>
  <c r="U196" i="19"/>
  <c r="W196" i="19"/>
  <c r="AA196" i="19"/>
  <c r="AE196" i="19"/>
  <c r="AQ196" i="19"/>
  <c r="V196" i="19"/>
  <c r="K196" i="19"/>
  <c r="M196" i="19"/>
  <c r="AU196" i="19"/>
  <c r="AF196" i="19"/>
  <c r="AS196" i="19"/>
  <c r="AO196" i="19"/>
  <c r="AJ196" i="19"/>
  <c r="AT196" i="19"/>
  <c r="X196" i="19"/>
  <c r="AL196" i="19"/>
  <c r="AM196" i="19"/>
  <c r="AG196" i="19"/>
  <c r="AI196" i="19"/>
  <c r="AH196" i="19"/>
  <c r="AC196" i="19"/>
  <c r="AD196" i="19"/>
  <c r="AP196" i="19"/>
  <c r="A198" i="19"/>
  <c r="AV199" i="19"/>
  <c r="AW199" i="19" s="1"/>
  <c r="E196" i="19"/>
  <c r="I196" i="19"/>
  <c r="G197" i="19"/>
  <c r="E197" i="19"/>
  <c r="I197" i="19"/>
  <c r="J197" i="19"/>
  <c r="C197" i="19"/>
  <c r="F197" i="19"/>
  <c r="B197" i="19"/>
  <c r="H197" i="19"/>
  <c r="D197" i="19"/>
  <c r="E182" i="38" l="1"/>
  <c r="D182" i="20"/>
  <c r="I182" i="38"/>
  <c r="I182" i="20"/>
  <c r="B183" i="38"/>
  <c r="F183" i="38"/>
  <c r="G183" i="38"/>
  <c r="D183" i="38"/>
  <c r="I183" i="38"/>
  <c r="E183" i="38"/>
  <c r="H183" i="38"/>
  <c r="C183" i="38"/>
  <c r="A184" i="20"/>
  <c r="K185" i="20"/>
  <c r="L185" i="20" s="1"/>
  <c r="AV191" i="36"/>
  <c r="AW191" i="36" s="1"/>
  <c r="A190" i="36"/>
  <c r="AU188" i="36"/>
  <c r="U188" i="36"/>
  <c r="AO188" i="36"/>
  <c r="AP188" i="36"/>
  <c r="AG188" i="36"/>
  <c r="AJ188" i="36"/>
  <c r="K188" i="36"/>
  <c r="P188" i="36"/>
  <c r="Y188" i="36"/>
  <c r="M188" i="36"/>
  <c r="L188" i="36"/>
  <c r="AF188" i="36"/>
  <c r="S188" i="36"/>
  <c r="O188" i="36"/>
  <c r="AC188" i="36"/>
  <c r="AK188" i="36"/>
  <c r="AM188" i="36"/>
  <c r="AA188" i="36"/>
  <c r="W188" i="36"/>
  <c r="AR188" i="36"/>
  <c r="AD188" i="36"/>
  <c r="T188" i="36"/>
  <c r="AB188" i="36"/>
  <c r="Q188" i="36"/>
  <c r="X188" i="36"/>
  <c r="AH188" i="36"/>
  <c r="AT188" i="36"/>
  <c r="AI188" i="36"/>
  <c r="AL188" i="36"/>
  <c r="AE188" i="36"/>
  <c r="AQ188" i="36"/>
  <c r="N188" i="36"/>
  <c r="Z188" i="36"/>
  <c r="R188" i="36"/>
  <c r="AS188" i="36"/>
  <c r="AN188" i="36"/>
  <c r="V188" i="36"/>
  <c r="K185" i="38"/>
  <c r="L185" i="38" s="1"/>
  <c r="A184" i="38"/>
  <c r="D183" i="20"/>
  <c r="F183" i="20"/>
  <c r="B183" i="20"/>
  <c r="H183" i="20"/>
  <c r="C183" i="20"/>
  <c r="E183" i="20"/>
  <c r="I183" i="20"/>
  <c r="G183" i="20"/>
  <c r="C189" i="36"/>
  <c r="B189" i="36"/>
  <c r="F189" i="36" s="1"/>
  <c r="W197" i="19"/>
  <c r="N197" i="19"/>
  <c r="L197" i="19"/>
  <c r="AP197" i="19"/>
  <c r="AC197" i="19"/>
  <c r="M197" i="19"/>
  <c r="AU197" i="19"/>
  <c r="Q197" i="19"/>
  <c r="AK197" i="19"/>
  <c r="P197" i="19"/>
  <c r="AS197" i="19"/>
  <c r="AN197" i="19"/>
  <c r="U197" i="19"/>
  <c r="AL197" i="19"/>
  <c r="AM197" i="19"/>
  <c r="AE197" i="19"/>
  <c r="AH197" i="19"/>
  <c r="AD197" i="19"/>
  <c r="AJ197" i="19"/>
  <c r="Z197" i="19"/>
  <c r="AT197" i="19"/>
  <c r="Y197" i="19"/>
  <c r="K197" i="19"/>
  <c r="AI197" i="19"/>
  <c r="AG197" i="19"/>
  <c r="O197" i="19"/>
  <c r="X197" i="19"/>
  <c r="V197" i="19"/>
  <c r="AA197" i="19"/>
  <c r="S197" i="19"/>
  <c r="AR197" i="19"/>
  <c r="AF197" i="19"/>
  <c r="AB197" i="19"/>
  <c r="AQ197" i="19"/>
  <c r="R197" i="19"/>
  <c r="AO197" i="19"/>
  <c r="T197" i="19"/>
  <c r="A199" i="19"/>
  <c r="AV200" i="19"/>
  <c r="AW200" i="19" s="1"/>
  <c r="C198" i="19"/>
  <c r="B198" i="19"/>
  <c r="E198" i="19"/>
  <c r="D198" i="19"/>
  <c r="H198" i="19"/>
  <c r="F198" i="19"/>
  <c r="I198" i="19"/>
  <c r="G198" i="19"/>
  <c r="J198" i="19"/>
  <c r="G189" i="36" l="1"/>
  <c r="E189" i="36"/>
  <c r="J189" i="36"/>
  <c r="I189" i="36"/>
  <c r="H189" i="36"/>
  <c r="K186" i="38"/>
  <c r="L186" i="38" s="1"/>
  <c r="A185" i="38"/>
  <c r="H190" i="36"/>
  <c r="G190" i="36"/>
  <c r="C190" i="36"/>
  <c r="J190" i="36"/>
  <c r="F190" i="36"/>
  <c r="I190" i="36"/>
  <c r="E190" i="36"/>
  <c r="D190" i="36"/>
  <c r="B190" i="36"/>
  <c r="K186" i="20"/>
  <c r="L186" i="20" s="1"/>
  <c r="A185" i="20"/>
  <c r="D189" i="36"/>
  <c r="AD189" i="36"/>
  <c r="R189" i="36"/>
  <c r="AN189" i="36"/>
  <c r="AO189" i="36"/>
  <c r="AS189" i="36"/>
  <c r="AF189" i="36"/>
  <c r="AR189" i="36"/>
  <c r="AH189" i="36"/>
  <c r="K189" i="36"/>
  <c r="AU189" i="36"/>
  <c r="AT189" i="36"/>
  <c r="AJ189" i="36"/>
  <c r="AL189" i="36"/>
  <c r="W189" i="36"/>
  <c r="L189" i="36"/>
  <c r="AB189" i="36"/>
  <c r="AC189" i="36"/>
  <c r="AE189" i="36"/>
  <c r="AM189" i="36"/>
  <c r="AI189" i="36"/>
  <c r="V189" i="36"/>
  <c r="AP189" i="36"/>
  <c r="N189" i="36"/>
  <c r="AK189" i="36"/>
  <c r="M189" i="36"/>
  <c r="Z189" i="36"/>
  <c r="U189" i="36"/>
  <c r="AA189" i="36"/>
  <c r="S189" i="36"/>
  <c r="Y189" i="36"/>
  <c r="X189" i="36"/>
  <c r="Q189" i="36"/>
  <c r="AQ189" i="36"/>
  <c r="T189" i="36"/>
  <c r="O189" i="36"/>
  <c r="AG189" i="36"/>
  <c r="P189" i="36"/>
  <c r="E184" i="38"/>
  <c r="B184" i="38"/>
  <c r="I184" i="38"/>
  <c r="H184" i="38"/>
  <c r="C184" i="38"/>
  <c r="G184" i="38"/>
  <c r="D184" i="38"/>
  <c r="F184" i="38"/>
  <c r="AV192" i="36"/>
  <c r="AW192" i="36" s="1"/>
  <c r="A191" i="36"/>
  <c r="C184" i="20"/>
  <c r="G184" i="20"/>
  <c r="F184" i="20"/>
  <c r="H184" i="20"/>
  <c r="D184" i="20"/>
  <c r="E184" i="20"/>
  <c r="B184" i="20"/>
  <c r="I184" i="20"/>
  <c r="P198" i="19"/>
  <c r="AU198" i="19"/>
  <c r="AL198" i="19"/>
  <c r="M198" i="19"/>
  <c r="T198" i="19"/>
  <c r="AN198" i="19"/>
  <c r="AG198" i="19"/>
  <c r="K198" i="19"/>
  <c r="V198" i="19"/>
  <c r="AI198" i="19"/>
  <c r="AD198" i="19"/>
  <c r="S198" i="19"/>
  <c r="AM198" i="19"/>
  <c r="AA198" i="19"/>
  <c r="AJ198" i="19"/>
  <c r="U198" i="19"/>
  <c r="Z198" i="19"/>
  <c r="R198" i="19"/>
  <c r="AR198" i="19"/>
  <c r="AB198" i="19"/>
  <c r="N198" i="19"/>
  <c r="AQ198" i="19"/>
  <c r="X198" i="19"/>
  <c r="AE198" i="19"/>
  <c r="AC198" i="19"/>
  <c r="Q198" i="19"/>
  <c r="L198" i="19"/>
  <c r="AS198" i="19"/>
  <c r="AT198" i="19"/>
  <c r="AH198" i="19"/>
  <c r="AP198" i="19"/>
  <c r="AO198" i="19"/>
  <c r="W198" i="19"/>
  <c r="AF198" i="19"/>
  <c r="O198" i="19"/>
  <c r="AK198" i="19"/>
  <c r="Y198" i="19"/>
  <c r="A200" i="19"/>
  <c r="AV201" i="19"/>
  <c r="AW201" i="19" s="1"/>
  <c r="C199" i="19"/>
  <c r="B199" i="19"/>
  <c r="F199" i="19" s="1"/>
  <c r="G191" i="36" l="1"/>
  <c r="C191" i="36"/>
  <c r="F191" i="36"/>
  <c r="J191" i="36"/>
  <c r="E191" i="36"/>
  <c r="B191" i="36"/>
  <c r="H191" i="36"/>
  <c r="I191" i="36"/>
  <c r="D191" i="36"/>
  <c r="G185" i="20"/>
  <c r="B185" i="20"/>
  <c r="E185" i="20" s="1"/>
  <c r="F185" i="20"/>
  <c r="C185" i="20"/>
  <c r="H185" i="20"/>
  <c r="AQ190" i="36"/>
  <c r="U190" i="36"/>
  <c r="Z190" i="36"/>
  <c r="M190" i="36"/>
  <c r="AH190" i="36"/>
  <c r="AG190" i="36"/>
  <c r="N190" i="36"/>
  <c r="O190" i="36"/>
  <c r="AR190" i="36"/>
  <c r="AK190" i="36"/>
  <c r="AP190" i="36"/>
  <c r="P190" i="36"/>
  <c r="AB190" i="36"/>
  <c r="AT190" i="36"/>
  <c r="AU190" i="36"/>
  <c r="T190" i="36"/>
  <c r="Q190" i="36"/>
  <c r="R190" i="36"/>
  <c r="L190" i="36"/>
  <c r="AS190" i="36"/>
  <c r="AL190" i="36"/>
  <c r="AE190" i="36"/>
  <c r="K190" i="36"/>
  <c r="AA190" i="36"/>
  <c r="AN190" i="36"/>
  <c r="AF190" i="36"/>
  <c r="S190" i="36"/>
  <c r="V190" i="36"/>
  <c r="X190" i="36"/>
  <c r="W190" i="36"/>
  <c r="AM190" i="36"/>
  <c r="AI190" i="36"/>
  <c r="AJ190" i="36"/>
  <c r="Y190" i="36"/>
  <c r="AD190" i="36"/>
  <c r="AO190" i="36"/>
  <c r="AC190" i="36"/>
  <c r="K187" i="38"/>
  <c r="L187" i="38" s="1"/>
  <c r="A186" i="38"/>
  <c r="AV193" i="36"/>
  <c r="AW193" i="36" s="1"/>
  <c r="A192" i="36"/>
  <c r="K187" i="20"/>
  <c r="L187" i="20" s="1"/>
  <c r="A186" i="20"/>
  <c r="G185" i="38"/>
  <c r="H185" i="38"/>
  <c r="F185" i="38"/>
  <c r="C185" i="38"/>
  <c r="B185" i="38"/>
  <c r="D185" i="38" s="1"/>
  <c r="D199" i="19"/>
  <c r="I199" i="19"/>
  <c r="J199" i="19"/>
  <c r="P199" i="19"/>
  <c r="L199" i="19"/>
  <c r="S199" i="19"/>
  <c r="AG199" i="19"/>
  <c r="Y199" i="19"/>
  <c r="U199" i="19"/>
  <c r="AB199" i="19"/>
  <c r="N199" i="19"/>
  <c r="AC199" i="19"/>
  <c r="AM199" i="19"/>
  <c r="AQ199" i="19"/>
  <c r="AS199" i="19"/>
  <c r="AL199" i="19"/>
  <c r="AN199" i="19"/>
  <c r="R199" i="19"/>
  <c r="AU199" i="19"/>
  <c r="M199" i="19"/>
  <c r="T199" i="19"/>
  <c r="O199" i="19"/>
  <c r="K199" i="19"/>
  <c r="AA199" i="19"/>
  <c r="V199" i="19"/>
  <c r="AT199" i="19"/>
  <c r="AK199" i="19"/>
  <c r="AF199" i="19"/>
  <c r="AD199" i="19"/>
  <c r="Z199" i="19"/>
  <c r="W199" i="19"/>
  <c r="AE199" i="19"/>
  <c r="AP199" i="19"/>
  <c r="X199" i="19"/>
  <c r="Q199" i="19"/>
  <c r="AR199" i="19"/>
  <c r="AH199" i="19"/>
  <c r="AJ199" i="19"/>
  <c r="AI199" i="19"/>
  <c r="AO199" i="19"/>
  <c r="E199" i="19"/>
  <c r="H199" i="19"/>
  <c r="G200" i="19"/>
  <c r="C200" i="19"/>
  <c r="D200" i="19"/>
  <c r="B200" i="19"/>
  <c r="H200" i="19"/>
  <c r="F200" i="19"/>
  <c r="I200" i="19"/>
  <c r="J200" i="19"/>
  <c r="E200" i="19"/>
  <c r="G199" i="19"/>
  <c r="AV202" i="19"/>
  <c r="AW202" i="19" s="1"/>
  <c r="A201" i="19"/>
  <c r="D185" i="20" l="1"/>
  <c r="I185" i="38"/>
  <c r="E185" i="38"/>
  <c r="H186" i="20"/>
  <c r="I186" i="20"/>
  <c r="D186" i="20"/>
  <c r="C186" i="20"/>
  <c r="F186" i="20"/>
  <c r="B186" i="20"/>
  <c r="E186" i="20"/>
  <c r="G186" i="20"/>
  <c r="C192" i="36"/>
  <c r="B192" i="36"/>
  <c r="I192" i="36" s="1"/>
  <c r="A187" i="20"/>
  <c r="K188" i="20"/>
  <c r="L188" i="20" s="1"/>
  <c r="AV194" i="36"/>
  <c r="AW194" i="36" s="1"/>
  <c r="A193" i="36"/>
  <c r="K188" i="38"/>
  <c r="L188" i="38" s="1"/>
  <c r="A187" i="38"/>
  <c r="I185" i="20"/>
  <c r="AL191" i="36"/>
  <c r="AQ191" i="36"/>
  <c r="AH191" i="36"/>
  <c r="O191" i="36"/>
  <c r="M191" i="36"/>
  <c r="AT191" i="36"/>
  <c r="AM191" i="36"/>
  <c r="AS191" i="36"/>
  <c r="X191" i="36"/>
  <c r="V191" i="36"/>
  <c r="AF191" i="36"/>
  <c r="AC191" i="36"/>
  <c r="T191" i="36"/>
  <c r="AD191" i="36"/>
  <c r="AG191" i="36"/>
  <c r="AB191" i="36"/>
  <c r="L191" i="36"/>
  <c r="AP191" i="36"/>
  <c r="AR191" i="36"/>
  <c r="AE191" i="36"/>
  <c r="U191" i="36"/>
  <c r="W191" i="36"/>
  <c r="AA191" i="36"/>
  <c r="R191" i="36"/>
  <c r="P191" i="36"/>
  <c r="AN191" i="36"/>
  <c r="K191" i="36"/>
  <c r="AI191" i="36"/>
  <c r="N191" i="36"/>
  <c r="AJ191" i="36"/>
  <c r="Y191" i="36"/>
  <c r="S191" i="36"/>
  <c r="AU191" i="36"/>
  <c r="AO191" i="36"/>
  <c r="AK191" i="36"/>
  <c r="Z191" i="36"/>
  <c r="Q191" i="36"/>
  <c r="C186" i="38"/>
  <c r="E186" i="38"/>
  <c r="F186" i="38"/>
  <c r="B186" i="38"/>
  <c r="I186" i="38"/>
  <c r="D186" i="38"/>
  <c r="H186" i="38"/>
  <c r="G186" i="38"/>
  <c r="AT200" i="19"/>
  <c r="AC200" i="19"/>
  <c r="AO200" i="19"/>
  <c r="AB200" i="19"/>
  <c r="Y200" i="19"/>
  <c r="R200" i="19"/>
  <c r="AS200" i="19"/>
  <c r="AQ200" i="19"/>
  <c r="AA200" i="19"/>
  <c r="AI200" i="19"/>
  <c r="AP200" i="19"/>
  <c r="AJ200" i="19"/>
  <c r="Q200" i="19"/>
  <c r="T200" i="19"/>
  <c r="AM200" i="19"/>
  <c r="P200" i="19"/>
  <c r="S200" i="19"/>
  <c r="AK200" i="19"/>
  <c r="AF200" i="19"/>
  <c r="AH200" i="19"/>
  <c r="AR200" i="19"/>
  <c r="Z200" i="19"/>
  <c r="N200" i="19"/>
  <c r="M200" i="19"/>
  <c r="V200" i="19"/>
  <c r="AN200" i="19"/>
  <c r="K200" i="19"/>
  <c r="O200" i="19"/>
  <c r="X200" i="19"/>
  <c r="AD200" i="19"/>
  <c r="L200" i="19"/>
  <c r="AG200" i="19"/>
  <c r="U200" i="19"/>
  <c r="AE200" i="19"/>
  <c r="AU200" i="19"/>
  <c r="W200" i="19"/>
  <c r="AL200" i="19"/>
  <c r="C201" i="19"/>
  <c r="G201" i="19"/>
  <c r="J201" i="19"/>
  <c r="F201" i="19"/>
  <c r="B201" i="19"/>
  <c r="E201" i="19"/>
  <c r="H201" i="19"/>
  <c r="D201" i="19"/>
  <c r="I201" i="19"/>
  <c r="A202" i="19"/>
  <c r="AV203" i="19"/>
  <c r="AW203" i="19" s="1"/>
  <c r="J192" i="36" l="1"/>
  <c r="D192" i="36"/>
  <c r="H192" i="36"/>
  <c r="F192" i="36"/>
  <c r="E192" i="36"/>
  <c r="G192" i="36"/>
  <c r="F187" i="38"/>
  <c r="D187" i="38"/>
  <c r="E187" i="38"/>
  <c r="H187" i="38"/>
  <c r="G187" i="38"/>
  <c r="I187" i="38"/>
  <c r="C187" i="38"/>
  <c r="B187" i="38"/>
  <c r="B193" i="36"/>
  <c r="F193" i="36" s="1"/>
  <c r="C193" i="36"/>
  <c r="K189" i="20"/>
  <c r="L189" i="20" s="1"/>
  <c r="A188" i="20"/>
  <c r="K189" i="38"/>
  <c r="L189" i="38" s="1"/>
  <c r="A188" i="38"/>
  <c r="AV195" i="36"/>
  <c r="AW195" i="36" s="1"/>
  <c r="A194" i="36"/>
  <c r="H187" i="20"/>
  <c r="I187" i="20"/>
  <c r="B187" i="20"/>
  <c r="D187" i="20"/>
  <c r="C187" i="20"/>
  <c r="G187" i="20"/>
  <c r="F187" i="20"/>
  <c r="E187" i="20"/>
  <c r="AC192" i="36"/>
  <c r="T192" i="36"/>
  <c r="Y192" i="36"/>
  <c r="X192" i="36"/>
  <c r="AU192" i="36"/>
  <c r="P192" i="36"/>
  <c r="AM192" i="36"/>
  <c r="M192" i="36"/>
  <c r="V192" i="36"/>
  <c r="AD192" i="36"/>
  <c r="AP192" i="36"/>
  <c r="K192" i="36"/>
  <c r="U192" i="36"/>
  <c r="AB192" i="36"/>
  <c r="AH192" i="36"/>
  <c r="S192" i="36"/>
  <c r="N192" i="36"/>
  <c r="AS192" i="36"/>
  <c r="Z192" i="36"/>
  <c r="AR192" i="36"/>
  <c r="AJ192" i="36"/>
  <c r="AL192" i="36"/>
  <c r="L192" i="36"/>
  <c r="W192" i="36"/>
  <c r="AF192" i="36"/>
  <c r="AI192" i="36"/>
  <c r="AT192" i="36"/>
  <c r="AO192" i="36"/>
  <c r="AN192" i="36"/>
  <c r="AQ192" i="36"/>
  <c r="AA192" i="36"/>
  <c r="O192" i="36"/>
  <c r="AE192" i="36"/>
  <c r="AK192" i="36"/>
  <c r="AG192" i="36"/>
  <c r="R192" i="36"/>
  <c r="Q192" i="36"/>
  <c r="B202" i="19"/>
  <c r="G202" i="19" s="1"/>
  <c r="C202" i="19"/>
  <c r="AD201" i="19"/>
  <c r="T201" i="19"/>
  <c r="Y201" i="19"/>
  <c r="AR201" i="19"/>
  <c r="Z201" i="19"/>
  <c r="K201" i="19"/>
  <c r="AT201" i="19"/>
  <c r="Q201" i="19"/>
  <c r="W201" i="19"/>
  <c r="AC201" i="19"/>
  <c r="P201" i="19"/>
  <c r="AA201" i="19"/>
  <c r="O201" i="19"/>
  <c r="U201" i="19"/>
  <c r="X201" i="19"/>
  <c r="AN201" i="19"/>
  <c r="AF201" i="19"/>
  <c r="AJ201" i="19"/>
  <c r="AB201" i="19"/>
  <c r="N201" i="19"/>
  <c r="AH201" i="19"/>
  <c r="AO201" i="19"/>
  <c r="AS201" i="19"/>
  <c r="AG201" i="19"/>
  <c r="M201" i="19"/>
  <c r="L201" i="19"/>
  <c r="AU201" i="19"/>
  <c r="AL201" i="19"/>
  <c r="AM201" i="19"/>
  <c r="AE201" i="19"/>
  <c r="AP201" i="19"/>
  <c r="S201" i="19"/>
  <c r="V201" i="19"/>
  <c r="AQ201" i="19"/>
  <c r="R201" i="19"/>
  <c r="AI201" i="19"/>
  <c r="AK201" i="19"/>
  <c r="AV204" i="19"/>
  <c r="AW204" i="19" s="1"/>
  <c r="A203" i="19"/>
  <c r="D193" i="36" l="1"/>
  <c r="H193" i="36"/>
  <c r="E193" i="36"/>
  <c r="C194" i="36"/>
  <c r="B194" i="36"/>
  <c r="H194" i="36" s="1"/>
  <c r="H188" i="38"/>
  <c r="G188" i="38"/>
  <c r="B188" i="38"/>
  <c r="D188" i="38" s="1"/>
  <c r="C188" i="38"/>
  <c r="F188" i="38"/>
  <c r="C188" i="20"/>
  <c r="H188" i="20"/>
  <c r="B188" i="20"/>
  <c r="E188" i="20" s="1"/>
  <c r="G188" i="20"/>
  <c r="F188" i="20"/>
  <c r="J193" i="36"/>
  <c r="I193" i="36"/>
  <c r="AV196" i="36"/>
  <c r="AW196" i="36" s="1"/>
  <c r="A195" i="36"/>
  <c r="K190" i="38"/>
  <c r="L190" i="38" s="1"/>
  <c r="A189" i="38"/>
  <c r="K190" i="20"/>
  <c r="L190" i="20" s="1"/>
  <c r="A189" i="20"/>
  <c r="G193" i="36"/>
  <c r="AA193" i="36"/>
  <c r="P193" i="36"/>
  <c r="AJ193" i="36"/>
  <c r="AG193" i="36"/>
  <c r="Z193" i="36"/>
  <c r="R193" i="36"/>
  <c r="AF193" i="36"/>
  <c r="K193" i="36"/>
  <c r="AM193" i="36"/>
  <c r="M193" i="36"/>
  <c r="AL193" i="36"/>
  <c r="AI193" i="36"/>
  <c r="Q193" i="36"/>
  <c r="AS193" i="36"/>
  <c r="AR193" i="36"/>
  <c r="Y193" i="36"/>
  <c r="N193" i="36"/>
  <c r="AO193" i="36"/>
  <c r="AD193" i="36"/>
  <c r="L193" i="36"/>
  <c r="U193" i="36"/>
  <c r="W193" i="36"/>
  <c r="AK193" i="36"/>
  <c r="AH193" i="36"/>
  <c r="AP193" i="36"/>
  <c r="AE193" i="36"/>
  <c r="AC193" i="36"/>
  <c r="O193" i="36"/>
  <c r="AT193" i="36"/>
  <c r="AU193" i="36"/>
  <c r="AB193" i="36"/>
  <c r="X193" i="36"/>
  <c r="S193" i="36"/>
  <c r="AQ193" i="36"/>
  <c r="T193" i="36"/>
  <c r="AN193" i="36"/>
  <c r="V193" i="36"/>
  <c r="D202" i="19"/>
  <c r="J202" i="19"/>
  <c r="F202" i="19"/>
  <c r="H202" i="19"/>
  <c r="I202" i="19"/>
  <c r="A204" i="19"/>
  <c r="AV205" i="19"/>
  <c r="AW205" i="19" s="1"/>
  <c r="C203" i="19"/>
  <c r="B203" i="19"/>
  <c r="I203" i="19" s="1"/>
  <c r="E202" i="19"/>
  <c r="AD202" i="19"/>
  <c r="AK202" i="19"/>
  <c r="AN202" i="19"/>
  <c r="L202" i="19"/>
  <c r="O202" i="19"/>
  <c r="AG202" i="19"/>
  <c r="AO202" i="19"/>
  <c r="P202" i="19"/>
  <c r="AC202" i="19"/>
  <c r="N202" i="19"/>
  <c r="W202" i="19"/>
  <c r="R202" i="19"/>
  <c r="Q202" i="19"/>
  <c r="Y202" i="19"/>
  <c r="AB202" i="19"/>
  <c r="AF202" i="19"/>
  <c r="AQ202" i="19"/>
  <c r="AJ202" i="19"/>
  <c r="AU202" i="19"/>
  <c r="AA202" i="19"/>
  <c r="AE202" i="19"/>
  <c r="AP202" i="19"/>
  <c r="M202" i="19"/>
  <c r="T202" i="19"/>
  <c r="AI202" i="19"/>
  <c r="Z202" i="19"/>
  <c r="AM202" i="19"/>
  <c r="U202" i="19"/>
  <c r="V202" i="19"/>
  <c r="AS202" i="19"/>
  <c r="AT202" i="19"/>
  <c r="S202" i="19"/>
  <c r="AH202" i="19"/>
  <c r="AR202" i="19"/>
  <c r="AL202" i="19"/>
  <c r="K202" i="19"/>
  <c r="X202" i="19"/>
  <c r="E194" i="36" l="1"/>
  <c r="I188" i="38"/>
  <c r="I194" i="36"/>
  <c r="G194" i="36"/>
  <c r="J194" i="36"/>
  <c r="F194" i="36"/>
  <c r="I188" i="20"/>
  <c r="G189" i="20"/>
  <c r="C189" i="20"/>
  <c r="B189" i="20"/>
  <c r="D189" i="20" s="1"/>
  <c r="F189" i="20"/>
  <c r="H189" i="20"/>
  <c r="C189" i="38"/>
  <c r="G189" i="38"/>
  <c r="B189" i="38"/>
  <c r="I189" i="38" s="1"/>
  <c r="H189" i="38"/>
  <c r="F189" i="38"/>
  <c r="C195" i="36"/>
  <c r="B195" i="36"/>
  <c r="D195" i="36" s="1"/>
  <c r="D188" i="20"/>
  <c r="E188" i="38"/>
  <c r="D194" i="36"/>
  <c r="AL194" i="36"/>
  <c r="AM194" i="36"/>
  <c r="Y194" i="36"/>
  <c r="AB194" i="36"/>
  <c r="K194" i="36"/>
  <c r="AE194" i="36"/>
  <c r="W194" i="36"/>
  <c r="Z194" i="36"/>
  <c r="AG194" i="36"/>
  <c r="AA194" i="36"/>
  <c r="AD194" i="36"/>
  <c r="AP194" i="36"/>
  <c r="X194" i="36"/>
  <c r="U194" i="36"/>
  <c r="T194" i="36"/>
  <c r="AS194" i="36"/>
  <c r="AO194" i="36"/>
  <c r="AT194" i="36"/>
  <c r="AH194" i="36"/>
  <c r="AR194" i="36"/>
  <c r="O194" i="36"/>
  <c r="R194" i="36"/>
  <c r="P194" i="36"/>
  <c r="AJ194" i="36"/>
  <c r="AK194" i="36"/>
  <c r="M194" i="36"/>
  <c r="AF194" i="36"/>
  <c r="AU194" i="36"/>
  <c r="L194" i="36"/>
  <c r="AN194" i="36"/>
  <c r="AQ194" i="36"/>
  <c r="V194" i="36"/>
  <c r="Q194" i="36"/>
  <c r="AI194" i="36"/>
  <c r="N194" i="36"/>
  <c r="S194" i="36"/>
  <c r="AC194" i="36"/>
  <c r="K191" i="20"/>
  <c r="L191" i="20" s="1"/>
  <c r="A190" i="20"/>
  <c r="K191" i="38"/>
  <c r="L191" i="38" s="1"/>
  <c r="A190" i="38"/>
  <c r="AV197" i="36"/>
  <c r="AW197" i="36" s="1"/>
  <c r="A196" i="36"/>
  <c r="G203" i="19"/>
  <c r="D203" i="19"/>
  <c r="J203" i="19"/>
  <c r="F203" i="19"/>
  <c r="H203" i="19"/>
  <c r="E203" i="19"/>
  <c r="W203" i="19"/>
  <c r="Y203" i="19"/>
  <c r="K203" i="19"/>
  <c r="AS203" i="19"/>
  <c r="AG203" i="19"/>
  <c r="U203" i="19"/>
  <c r="AH203" i="19"/>
  <c r="AA203" i="19"/>
  <c r="AB203" i="19"/>
  <c r="P203" i="19"/>
  <c r="AT203" i="19"/>
  <c r="L203" i="19"/>
  <c r="AE203" i="19"/>
  <c r="S203" i="19"/>
  <c r="AM203" i="19"/>
  <c r="Q203" i="19"/>
  <c r="AK203" i="19"/>
  <c r="AJ203" i="19"/>
  <c r="AN203" i="19"/>
  <c r="M203" i="19"/>
  <c r="O203" i="19"/>
  <c r="T203" i="19"/>
  <c r="AQ203" i="19"/>
  <c r="Z203" i="19"/>
  <c r="R203" i="19"/>
  <c r="V203" i="19"/>
  <c r="X203" i="19"/>
  <c r="AI203" i="19"/>
  <c r="AP203" i="19"/>
  <c r="AL203" i="19"/>
  <c r="N203" i="19"/>
  <c r="AF203" i="19"/>
  <c r="AO203" i="19"/>
  <c r="AR203" i="19"/>
  <c r="AC203" i="19"/>
  <c r="AD203" i="19"/>
  <c r="AU203" i="19"/>
  <c r="A205" i="19"/>
  <c r="AV206" i="19"/>
  <c r="AW206" i="19" s="1"/>
  <c r="B204" i="19"/>
  <c r="G204" i="19" s="1"/>
  <c r="C204" i="19"/>
  <c r="J195" i="36" l="1"/>
  <c r="E189" i="38"/>
  <c r="E189" i="20"/>
  <c r="D189" i="38"/>
  <c r="G195" i="36"/>
  <c r="AV198" i="36"/>
  <c r="AW198" i="36" s="1"/>
  <c r="A197" i="36"/>
  <c r="K192" i="38"/>
  <c r="L192" i="38" s="1"/>
  <c r="A191" i="38"/>
  <c r="AO195" i="36"/>
  <c r="X195" i="36"/>
  <c r="K195" i="36"/>
  <c r="AC195" i="36"/>
  <c r="V195" i="36"/>
  <c r="AG195" i="36"/>
  <c r="Q195" i="36"/>
  <c r="AJ195" i="36"/>
  <c r="AQ195" i="36"/>
  <c r="AE195" i="36"/>
  <c r="P195" i="36"/>
  <c r="W195" i="36"/>
  <c r="AR195" i="36"/>
  <c r="AB195" i="36"/>
  <c r="S195" i="36"/>
  <c r="AD195" i="36"/>
  <c r="M195" i="36"/>
  <c r="U195" i="36"/>
  <c r="L195" i="36"/>
  <c r="AP195" i="36"/>
  <c r="O195" i="36"/>
  <c r="N195" i="36"/>
  <c r="Z195" i="36"/>
  <c r="R195" i="36"/>
  <c r="AH195" i="36"/>
  <c r="AI195" i="36"/>
  <c r="AU195" i="36"/>
  <c r="AM195" i="36"/>
  <c r="AF195" i="36"/>
  <c r="Y195" i="36"/>
  <c r="AS195" i="36"/>
  <c r="T195" i="36"/>
  <c r="AL195" i="36"/>
  <c r="AT195" i="36"/>
  <c r="AN195" i="36"/>
  <c r="AK195" i="36"/>
  <c r="AA195" i="36"/>
  <c r="B196" i="36"/>
  <c r="F196" i="36" s="1"/>
  <c r="C196" i="36"/>
  <c r="F190" i="38"/>
  <c r="G190" i="38"/>
  <c r="C190" i="38"/>
  <c r="B190" i="38"/>
  <c r="E190" i="38" s="1"/>
  <c r="H190" i="38"/>
  <c r="G190" i="20"/>
  <c r="B190" i="20"/>
  <c r="I190" i="20" s="1"/>
  <c r="H190" i="20"/>
  <c r="C190" i="20"/>
  <c r="F190" i="20"/>
  <c r="F195" i="36"/>
  <c r="I195" i="36"/>
  <c r="E195" i="36"/>
  <c r="H195" i="36"/>
  <c r="I189" i="20"/>
  <c r="K192" i="20"/>
  <c r="L192" i="20" s="1"/>
  <c r="A191" i="20"/>
  <c r="D204" i="19"/>
  <c r="H204" i="19"/>
  <c r="E204" i="19"/>
  <c r="I204" i="19"/>
  <c r="J204" i="19"/>
  <c r="F204" i="19"/>
  <c r="Z204" i="19"/>
  <c r="AO204" i="19"/>
  <c r="AL204" i="19"/>
  <c r="AB204" i="19"/>
  <c r="S204" i="19"/>
  <c r="N204" i="19"/>
  <c r="K204" i="19"/>
  <c r="AF204" i="19"/>
  <c r="P204" i="19"/>
  <c r="T204" i="19"/>
  <c r="V204" i="19"/>
  <c r="AQ204" i="19"/>
  <c r="AS204" i="19"/>
  <c r="AA204" i="19"/>
  <c r="AR204" i="19"/>
  <c r="AP204" i="19"/>
  <c r="Y204" i="19"/>
  <c r="U204" i="19"/>
  <c r="AT204" i="19"/>
  <c r="AG204" i="19"/>
  <c r="AI204" i="19"/>
  <c r="AC204" i="19"/>
  <c r="AM204" i="19"/>
  <c r="AU204" i="19"/>
  <c r="AE204" i="19"/>
  <c r="L204" i="19"/>
  <c r="X204" i="19"/>
  <c r="M204" i="19"/>
  <c r="AJ204" i="19"/>
  <c r="AD204" i="19"/>
  <c r="R204" i="19"/>
  <c r="Q204" i="19"/>
  <c r="AN204" i="19"/>
  <c r="W204" i="19"/>
  <c r="AH204" i="19"/>
  <c r="O204" i="19"/>
  <c r="AK204" i="19"/>
  <c r="AV207" i="19"/>
  <c r="AW207" i="19" s="1"/>
  <c r="A206" i="19"/>
  <c r="B205" i="19"/>
  <c r="H205" i="19" s="1"/>
  <c r="C205" i="19"/>
  <c r="I190" i="38" l="1"/>
  <c r="H196" i="36"/>
  <c r="D190" i="20"/>
  <c r="E196" i="36"/>
  <c r="D196" i="36"/>
  <c r="J196" i="36"/>
  <c r="D190" i="38"/>
  <c r="G196" i="36"/>
  <c r="I196" i="36"/>
  <c r="K193" i="20"/>
  <c r="L193" i="20" s="1"/>
  <c r="A192" i="20"/>
  <c r="E190" i="20"/>
  <c r="AE196" i="36"/>
  <c r="AC196" i="36"/>
  <c r="AO196" i="36"/>
  <c r="AB196" i="36"/>
  <c r="S196" i="36"/>
  <c r="AJ196" i="36"/>
  <c r="Q196" i="36"/>
  <c r="R196" i="36"/>
  <c r="AU196" i="36"/>
  <c r="AK196" i="36"/>
  <c r="AP196" i="36"/>
  <c r="K196" i="36"/>
  <c r="AD196" i="36"/>
  <c r="L196" i="36"/>
  <c r="X196" i="36"/>
  <c r="N196" i="36"/>
  <c r="AS196" i="36"/>
  <c r="AA196" i="36"/>
  <c r="Z196" i="36"/>
  <c r="P196" i="36"/>
  <c r="AH196" i="36"/>
  <c r="AQ196" i="36"/>
  <c r="AI196" i="36"/>
  <c r="AR196" i="36"/>
  <c r="V196" i="36"/>
  <c r="O196" i="36"/>
  <c r="W196" i="36"/>
  <c r="AG196" i="36"/>
  <c r="AT196" i="36"/>
  <c r="AN196" i="36"/>
  <c r="U196" i="36"/>
  <c r="AM196" i="36"/>
  <c r="Y196" i="36"/>
  <c r="AL196" i="36"/>
  <c r="T196" i="36"/>
  <c r="M196" i="36"/>
  <c r="AF196" i="36"/>
  <c r="H191" i="38"/>
  <c r="G191" i="38"/>
  <c r="C191" i="38"/>
  <c r="F191" i="38"/>
  <c r="B191" i="38"/>
  <c r="I191" i="38" s="1"/>
  <c r="B197" i="36"/>
  <c r="J197" i="36" s="1"/>
  <c r="C197" i="36"/>
  <c r="H191" i="20"/>
  <c r="B191" i="20"/>
  <c r="I191" i="20" s="1"/>
  <c r="F191" i="20"/>
  <c r="C191" i="20"/>
  <c r="G191" i="20"/>
  <c r="K193" i="38"/>
  <c r="L193" i="38" s="1"/>
  <c r="A192" i="38"/>
  <c r="AV199" i="36"/>
  <c r="AW199" i="36" s="1"/>
  <c r="A198" i="36"/>
  <c r="G205" i="19"/>
  <c r="I205" i="19"/>
  <c r="F205" i="19"/>
  <c r="E205" i="19"/>
  <c r="D205" i="19"/>
  <c r="Z205" i="19"/>
  <c r="AK205" i="19"/>
  <c r="N205" i="19"/>
  <c r="W205" i="19"/>
  <c r="AS205" i="19"/>
  <c r="AO205" i="19"/>
  <c r="AA205" i="19"/>
  <c r="P205" i="19"/>
  <c r="Y205" i="19"/>
  <c r="AB205" i="19"/>
  <c r="AE205" i="19"/>
  <c r="AF205" i="19"/>
  <c r="AI205" i="19"/>
  <c r="AD205" i="19"/>
  <c r="AM205" i="19"/>
  <c r="L205" i="19"/>
  <c r="AT205" i="19"/>
  <c r="AP205" i="19"/>
  <c r="K205" i="19"/>
  <c r="V205" i="19"/>
  <c r="AL205" i="19"/>
  <c r="X205" i="19"/>
  <c r="AR205" i="19"/>
  <c r="T205" i="19"/>
  <c r="S205" i="19"/>
  <c r="AH205" i="19"/>
  <c r="AJ205" i="19"/>
  <c r="U205" i="19"/>
  <c r="AG205" i="19"/>
  <c r="AQ205" i="19"/>
  <c r="AC205" i="19"/>
  <c r="AU205" i="19"/>
  <c r="AN205" i="19"/>
  <c r="O205" i="19"/>
  <c r="R205" i="19"/>
  <c r="M205" i="19"/>
  <c r="Q205" i="19"/>
  <c r="AV208" i="19"/>
  <c r="AW208" i="19" s="1"/>
  <c r="A207" i="19"/>
  <c r="B206" i="19"/>
  <c r="G206" i="19" s="1"/>
  <c r="C206" i="19"/>
  <c r="J205" i="19"/>
  <c r="E191" i="20" l="1"/>
  <c r="D191" i="20"/>
  <c r="D191" i="38"/>
  <c r="B198" i="36"/>
  <c r="D198" i="36" s="1"/>
  <c r="C198" i="36"/>
  <c r="H192" i="38"/>
  <c r="F192" i="38"/>
  <c r="B192" i="38"/>
  <c r="D192" i="38" s="1"/>
  <c r="C192" i="38"/>
  <c r="G192" i="38"/>
  <c r="E197" i="36"/>
  <c r="D197" i="36"/>
  <c r="G197" i="36"/>
  <c r="F197" i="36"/>
  <c r="K194" i="20"/>
  <c r="L194" i="20" s="1"/>
  <c r="A193" i="20"/>
  <c r="A199" i="36"/>
  <c r="AV200" i="36"/>
  <c r="AW200" i="36" s="1"/>
  <c r="K194" i="38"/>
  <c r="L194" i="38" s="1"/>
  <c r="A193" i="38"/>
  <c r="H197" i="36"/>
  <c r="I197" i="36"/>
  <c r="E191" i="38"/>
  <c r="B192" i="20"/>
  <c r="D192" i="20" s="1"/>
  <c r="F192" i="20"/>
  <c r="C192" i="20"/>
  <c r="H192" i="20"/>
  <c r="G192" i="20"/>
  <c r="O197" i="36"/>
  <c r="S197" i="36"/>
  <c r="U197" i="36"/>
  <c r="AK197" i="36"/>
  <c r="N197" i="36"/>
  <c r="Q197" i="36"/>
  <c r="AD197" i="36"/>
  <c r="AH197" i="36"/>
  <c r="P197" i="36"/>
  <c r="L197" i="36"/>
  <c r="AN197" i="36"/>
  <c r="AQ197" i="36"/>
  <c r="AJ197" i="36"/>
  <c r="W197" i="36"/>
  <c r="AP197" i="36"/>
  <c r="Y197" i="36"/>
  <c r="X197" i="36"/>
  <c r="AB197" i="36"/>
  <c r="AF197" i="36"/>
  <c r="AM197" i="36"/>
  <c r="AG197" i="36"/>
  <c r="AC197" i="36"/>
  <c r="AU197" i="36"/>
  <c r="AT197" i="36"/>
  <c r="AS197" i="36"/>
  <c r="Z197" i="36"/>
  <c r="T197" i="36"/>
  <c r="AE197" i="36"/>
  <c r="K197" i="36"/>
  <c r="AL197" i="36"/>
  <c r="R197" i="36"/>
  <c r="AI197" i="36"/>
  <c r="V197" i="36"/>
  <c r="M197" i="36"/>
  <c r="AR197" i="36"/>
  <c r="AA197" i="36"/>
  <c r="AO197" i="36"/>
  <c r="F206" i="19"/>
  <c r="D206" i="19"/>
  <c r="AL206" i="19"/>
  <c r="X206" i="19"/>
  <c r="P206" i="19"/>
  <c r="W206" i="19"/>
  <c r="AD206" i="19"/>
  <c r="S206" i="19"/>
  <c r="AJ206" i="19"/>
  <c r="V206" i="19"/>
  <c r="AS206" i="19"/>
  <c r="AF206" i="19"/>
  <c r="AH206" i="19"/>
  <c r="AN206" i="19"/>
  <c r="AE206" i="19"/>
  <c r="M206" i="19"/>
  <c r="AI206" i="19"/>
  <c r="T206" i="19"/>
  <c r="AC206" i="19"/>
  <c r="AT206" i="19"/>
  <c r="O206" i="19"/>
  <c r="Z206" i="19"/>
  <c r="AO206" i="19"/>
  <c r="U206" i="19"/>
  <c r="K206" i="19"/>
  <c r="Q206" i="19"/>
  <c r="AU206" i="19"/>
  <c r="L206" i="19"/>
  <c r="AM206" i="19"/>
  <c r="AK206" i="19"/>
  <c r="AA206" i="19"/>
  <c r="AB206" i="19"/>
  <c r="AQ206" i="19"/>
  <c r="N206" i="19"/>
  <c r="R206" i="19"/>
  <c r="AG206" i="19"/>
  <c r="AR206" i="19"/>
  <c r="AP206" i="19"/>
  <c r="Y206" i="19"/>
  <c r="B207" i="19"/>
  <c r="J207" i="19" s="1"/>
  <c r="C207" i="19"/>
  <c r="J206" i="19"/>
  <c r="I206" i="19"/>
  <c r="AV209" i="19"/>
  <c r="AW209" i="19" s="1"/>
  <c r="A208" i="19"/>
  <c r="E206" i="19"/>
  <c r="H206" i="19"/>
  <c r="J198" i="36" l="1"/>
  <c r="G198" i="36"/>
  <c r="I192" i="38"/>
  <c r="H198" i="36"/>
  <c r="F198" i="36"/>
  <c r="I192" i="20"/>
  <c r="E192" i="38"/>
  <c r="E192" i="20"/>
  <c r="B193" i="38"/>
  <c r="E193" i="38" s="1"/>
  <c r="F193" i="38"/>
  <c r="G193" i="38"/>
  <c r="C193" i="38"/>
  <c r="H193" i="38"/>
  <c r="AV201" i="36"/>
  <c r="AW201" i="36" s="1"/>
  <c r="A200" i="36"/>
  <c r="H193" i="20"/>
  <c r="B193" i="20"/>
  <c r="E193" i="20" s="1"/>
  <c r="C193" i="20"/>
  <c r="F193" i="20"/>
  <c r="G193" i="20"/>
  <c r="I198" i="36"/>
  <c r="E198" i="36"/>
  <c r="K195" i="38"/>
  <c r="L195" i="38" s="1"/>
  <c r="A194" i="38"/>
  <c r="F199" i="36"/>
  <c r="G199" i="36"/>
  <c r="I199" i="36"/>
  <c r="E199" i="36"/>
  <c r="C199" i="36"/>
  <c r="B199" i="36"/>
  <c r="J199" i="36"/>
  <c r="H199" i="36"/>
  <c r="D199" i="36"/>
  <c r="K195" i="20"/>
  <c r="L195" i="20" s="1"/>
  <c r="A194" i="20"/>
  <c r="AR198" i="36"/>
  <c r="AO198" i="36"/>
  <c r="L198" i="36"/>
  <c r="W198" i="36"/>
  <c r="AM198" i="36"/>
  <c r="AL198" i="36"/>
  <c r="X198" i="36"/>
  <c r="AH198" i="36"/>
  <c r="AE198" i="36"/>
  <c r="M198" i="36"/>
  <c r="AG198" i="36"/>
  <c r="Y198" i="36"/>
  <c r="AU198" i="36"/>
  <c r="R198" i="36"/>
  <c r="N198" i="36"/>
  <c r="AT198" i="36"/>
  <c r="P198" i="36"/>
  <c r="AF198" i="36"/>
  <c r="AQ198" i="36"/>
  <c r="AK198" i="36"/>
  <c r="K198" i="36"/>
  <c r="AD198" i="36"/>
  <c r="AP198" i="36"/>
  <c r="O198" i="36"/>
  <c r="V198" i="36"/>
  <c r="S198" i="36"/>
  <c r="U198" i="36"/>
  <c r="AI198" i="36"/>
  <c r="Z198" i="36"/>
  <c r="AA198" i="36"/>
  <c r="AJ198" i="36"/>
  <c r="AS198" i="36"/>
  <c r="T198" i="36"/>
  <c r="AC198" i="36"/>
  <c r="AB198" i="36"/>
  <c r="Q198" i="36"/>
  <c r="AN198" i="36"/>
  <c r="I207" i="19"/>
  <c r="E207" i="19"/>
  <c r="F207" i="19"/>
  <c r="D207" i="19"/>
  <c r="H207" i="19"/>
  <c r="G207" i="19"/>
  <c r="AK207" i="19"/>
  <c r="AN207" i="19"/>
  <c r="AU207" i="19"/>
  <c r="R207" i="19"/>
  <c r="S207" i="19"/>
  <c r="AS207" i="19"/>
  <c r="AC207" i="19"/>
  <c r="W207" i="19"/>
  <c r="AP207" i="19"/>
  <c r="K207" i="19"/>
  <c r="AR207" i="19"/>
  <c r="AI207" i="19"/>
  <c r="L207" i="19"/>
  <c r="AG207" i="19"/>
  <c r="M207" i="19"/>
  <c r="N207" i="19"/>
  <c r="P207" i="19"/>
  <c r="AH207" i="19"/>
  <c r="O207" i="19"/>
  <c r="X207" i="19"/>
  <c r="Z207" i="19"/>
  <c r="AO207" i="19"/>
  <c r="AB207" i="19"/>
  <c r="AQ207" i="19"/>
  <c r="AT207" i="19"/>
  <c r="AE207" i="19"/>
  <c r="AJ207" i="19"/>
  <c r="AL207" i="19"/>
  <c r="Q207" i="19"/>
  <c r="AD207" i="19"/>
  <c r="AF207" i="19"/>
  <c r="T207" i="19"/>
  <c r="AM207" i="19"/>
  <c r="U207" i="19"/>
  <c r="AA207" i="19"/>
  <c r="Y207" i="19"/>
  <c r="V207" i="19"/>
  <c r="B208" i="19"/>
  <c r="D208" i="19" s="1"/>
  <c r="C208" i="19"/>
  <c r="AV210" i="19"/>
  <c r="AW210" i="19" s="1"/>
  <c r="A209" i="19"/>
  <c r="I193" i="38" l="1"/>
  <c r="D193" i="20"/>
  <c r="I193" i="20"/>
  <c r="F194" i="20"/>
  <c r="G194" i="20"/>
  <c r="B194" i="20"/>
  <c r="D194" i="20" s="1"/>
  <c r="H194" i="20"/>
  <c r="C194" i="20"/>
  <c r="K196" i="38"/>
  <c r="L196" i="38" s="1"/>
  <c r="A195" i="38"/>
  <c r="AV202" i="36"/>
  <c r="AW202" i="36" s="1"/>
  <c r="A201" i="36"/>
  <c r="D193" i="38"/>
  <c r="K196" i="20"/>
  <c r="L196" i="20" s="1"/>
  <c r="A195" i="20"/>
  <c r="AO199" i="36"/>
  <c r="AE199" i="36"/>
  <c r="AH199" i="36"/>
  <c r="W199" i="36"/>
  <c r="AL199" i="36"/>
  <c r="Y199" i="36"/>
  <c r="AF199" i="36"/>
  <c r="AJ199" i="36"/>
  <c r="K199" i="36"/>
  <c r="AD199" i="36"/>
  <c r="Z199" i="36"/>
  <c r="AS199" i="36"/>
  <c r="AK199" i="36"/>
  <c r="AB199" i="36"/>
  <c r="AG199" i="36"/>
  <c r="AT199" i="36"/>
  <c r="AN199" i="36"/>
  <c r="AP199" i="36"/>
  <c r="X199" i="36"/>
  <c r="M199" i="36"/>
  <c r="AR199" i="36"/>
  <c r="U199" i="36"/>
  <c r="AM199" i="36"/>
  <c r="N199" i="36"/>
  <c r="S199" i="36"/>
  <c r="R199" i="36"/>
  <c r="T199" i="36"/>
  <c r="V199" i="36"/>
  <c r="AA199" i="36"/>
  <c r="AQ199" i="36"/>
  <c r="Q199" i="36"/>
  <c r="P199" i="36"/>
  <c r="L199" i="36"/>
  <c r="AI199" i="36"/>
  <c r="O199" i="36"/>
  <c r="AU199" i="36"/>
  <c r="AC199" i="36"/>
  <c r="C194" i="38"/>
  <c r="H194" i="38"/>
  <c r="G194" i="38"/>
  <c r="F194" i="38"/>
  <c r="B194" i="38"/>
  <c r="I194" i="38" s="1"/>
  <c r="E200" i="36"/>
  <c r="J200" i="36"/>
  <c r="F200" i="36"/>
  <c r="D200" i="36"/>
  <c r="I200" i="36"/>
  <c r="G200" i="36"/>
  <c r="B200" i="36"/>
  <c r="C200" i="36"/>
  <c r="H200" i="36"/>
  <c r="E208" i="19"/>
  <c r="I208" i="19"/>
  <c r="G208" i="19"/>
  <c r="J208" i="19"/>
  <c r="H208" i="19"/>
  <c r="F208" i="19"/>
  <c r="A210" i="19"/>
  <c r="AV211" i="19"/>
  <c r="AW211" i="19" s="1"/>
  <c r="G209" i="19"/>
  <c r="H209" i="19"/>
  <c r="D209" i="19"/>
  <c r="F209" i="19"/>
  <c r="J209" i="19"/>
  <c r="B209" i="19"/>
  <c r="I209" i="19"/>
  <c r="E209" i="19"/>
  <c r="C209" i="19"/>
  <c r="AB208" i="19"/>
  <c r="M208" i="19"/>
  <c r="AP208" i="19"/>
  <c r="AQ208" i="19"/>
  <c r="AO208" i="19"/>
  <c r="U208" i="19"/>
  <c r="AD208" i="19"/>
  <c r="O208" i="19"/>
  <c r="Y208" i="19"/>
  <c r="W208" i="19"/>
  <c r="AT208" i="19"/>
  <c r="AE208" i="19"/>
  <c r="AJ208" i="19"/>
  <c r="AK208" i="19"/>
  <c r="N208" i="19"/>
  <c r="P208" i="19"/>
  <c r="AF208" i="19"/>
  <c r="AN208" i="19"/>
  <c r="AG208" i="19"/>
  <c r="AM208" i="19"/>
  <c r="X208" i="19"/>
  <c r="K208" i="19"/>
  <c r="AI208" i="19"/>
  <c r="T208" i="19"/>
  <c r="L208" i="19"/>
  <c r="S208" i="19"/>
  <c r="AL208" i="19"/>
  <c r="R208" i="19"/>
  <c r="Q208" i="19"/>
  <c r="AR208" i="19"/>
  <c r="V208" i="19"/>
  <c r="AC208" i="19"/>
  <c r="AS208" i="19"/>
  <c r="AA208" i="19"/>
  <c r="Z208" i="19"/>
  <c r="AU208" i="19"/>
  <c r="AH208" i="19"/>
  <c r="D194" i="38" l="1"/>
  <c r="E194" i="38"/>
  <c r="I194" i="20"/>
  <c r="AL200" i="36"/>
  <c r="AD200" i="36"/>
  <c r="AT200" i="36"/>
  <c r="M200" i="36"/>
  <c r="Y200" i="36"/>
  <c r="AH200" i="36"/>
  <c r="N200" i="36"/>
  <c r="AP200" i="36"/>
  <c r="AC200" i="36"/>
  <c r="T200" i="36"/>
  <c r="AQ200" i="36"/>
  <c r="U200" i="36"/>
  <c r="AM200" i="36"/>
  <c r="W200" i="36"/>
  <c r="Q200" i="36"/>
  <c r="L200" i="36"/>
  <c r="AN200" i="36"/>
  <c r="AI200" i="36"/>
  <c r="S200" i="36"/>
  <c r="K200" i="36"/>
  <c r="AB200" i="36"/>
  <c r="AK200" i="36"/>
  <c r="AF200" i="36"/>
  <c r="O200" i="36"/>
  <c r="AR200" i="36"/>
  <c r="AU200" i="36"/>
  <c r="V200" i="36"/>
  <c r="X200" i="36"/>
  <c r="Z200" i="36"/>
  <c r="P200" i="36"/>
  <c r="AS200" i="36"/>
  <c r="AA200" i="36"/>
  <c r="AG200" i="36"/>
  <c r="R200" i="36"/>
  <c r="AO200" i="36"/>
  <c r="AJ200" i="36"/>
  <c r="AE200" i="36"/>
  <c r="B195" i="20"/>
  <c r="E195" i="20"/>
  <c r="G195" i="20"/>
  <c r="D195" i="20"/>
  <c r="C195" i="20"/>
  <c r="I195" i="20"/>
  <c r="H195" i="20"/>
  <c r="F195" i="20"/>
  <c r="A202" i="36"/>
  <c r="AV203" i="36"/>
  <c r="AW203" i="36" s="1"/>
  <c r="K197" i="38"/>
  <c r="L197" i="38" s="1"/>
  <c r="A196" i="38"/>
  <c r="E194" i="20"/>
  <c r="A196" i="20"/>
  <c r="K197" i="20"/>
  <c r="L197" i="20" s="1"/>
  <c r="B201" i="36"/>
  <c r="I201" i="36" s="1"/>
  <c r="C201" i="36"/>
  <c r="G195" i="38"/>
  <c r="E195" i="38"/>
  <c r="F195" i="38"/>
  <c r="D195" i="38"/>
  <c r="H195" i="38"/>
  <c r="C195" i="38"/>
  <c r="B195" i="38"/>
  <c r="I195" i="38"/>
  <c r="AO209" i="19"/>
  <c r="AJ209" i="19"/>
  <c r="AB209" i="19"/>
  <c r="AL209" i="19"/>
  <c r="AU209" i="19"/>
  <c r="AP209" i="19"/>
  <c r="AN209" i="19"/>
  <c r="W209" i="19"/>
  <c r="AR209" i="19"/>
  <c r="AT209" i="19"/>
  <c r="S209" i="19"/>
  <c r="AQ209" i="19"/>
  <c r="O209" i="19"/>
  <c r="AE209" i="19"/>
  <c r="AD209" i="19"/>
  <c r="V209" i="19"/>
  <c r="K209" i="19"/>
  <c r="N209" i="19"/>
  <c r="T209" i="19"/>
  <c r="R209" i="19"/>
  <c r="AC209" i="19"/>
  <c r="P209" i="19"/>
  <c r="AK209" i="19"/>
  <c r="AF209" i="19"/>
  <c r="AS209" i="19"/>
  <c r="AA209" i="19"/>
  <c r="X209" i="19"/>
  <c r="Y209" i="19"/>
  <c r="Q209" i="19"/>
  <c r="U209" i="19"/>
  <c r="AI209" i="19"/>
  <c r="AM209" i="19"/>
  <c r="M209" i="19"/>
  <c r="AG209" i="19"/>
  <c r="L209" i="19"/>
  <c r="AH209" i="19"/>
  <c r="Z209" i="19"/>
  <c r="AV212" i="19"/>
  <c r="AW212" i="19" s="1"/>
  <c r="A211" i="19"/>
  <c r="G210" i="19"/>
  <c r="B210" i="19"/>
  <c r="F210" i="19"/>
  <c r="E210" i="19"/>
  <c r="I210" i="19"/>
  <c r="D210" i="19"/>
  <c r="J210" i="19"/>
  <c r="C210" i="19"/>
  <c r="H210" i="19"/>
  <c r="G201" i="36" l="1"/>
  <c r="J201" i="36"/>
  <c r="H201" i="36"/>
  <c r="E201" i="36"/>
  <c r="D201" i="36"/>
  <c r="F201" i="36"/>
  <c r="A197" i="20"/>
  <c r="K198" i="20"/>
  <c r="L198" i="20" s="1"/>
  <c r="K198" i="38"/>
  <c r="L198" i="38" s="1"/>
  <c r="A197" i="38"/>
  <c r="B202" i="36"/>
  <c r="G202" i="36" s="1"/>
  <c r="C202" i="36"/>
  <c r="AO201" i="36"/>
  <c r="AS201" i="36"/>
  <c r="L201" i="36"/>
  <c r="O201" i="36"/>
  <c r="AE201" i="36"/>
  <c r="AL201" i="36"/>
  <c r="AF201" i="36"/>
  <c r="AM201" i="36"/>
  <c r="AC201" i="36"/>
  <c r="Z201" i="36"/>
  <c r="AI201" i="36"/>
  <c r="Q201" i="36"/>
  <c r="W201" i="36"/>
  <c r="X201" i="36"/>
  <c r="AA201" i="36"/>
  <c r="AG201" i="36"/>
  <c r="AD201" i="36"/>
  <c r="P201" i="36"/>
  <c r="AT201" i="36"/>
  <c r="U201" i="36"/>
  <c r="AH201" i="36"/>
  <c r="AB201" i="36"/>
  <c r="Y201" i="36"/>
  <c r="K201" i="36"/>
  <c r="N201" i="36"/>
  <c r="AK201" i="36"/>
  <c r="M201" i="36"/>
  <c r="T201" i="36"/>
  <c r="AN201" i="36"/>
  <c r="S201" i="36"/>
  <c r="AQ201" i="36"/>
  <c r="AP201" i="36"/>
  <c r="AU201" i="36"/>
  <c r="AJ201" i="36"/>
  <c r="R201" i="36"/>
  <c r="V201" i="36"/>
  <c r="AR201" i="36"/>
  <c r="C196" i="20"/>
  <c r="G196" i="20"/>
  <c r="I196" i="20"/>
  <c r="H196" i="20"/>
  <c r="F196" i="20"/>
  <c r="B196" i="20"/>
  <c r="D196" i="20"/>
  <c r="E196" i="20"/>
  <c r="D196" i="38"/>
  <c r="F196" i="38"/>
  <c r="H196" i="38"/>
  <c r="G196" i="38"/>
  <c r="I196" i="38"/>
  <c r="E196" i="38"/>
  <c r="B196" i="38"/>
  <c r="C196" i="38"/>
  <c r="A203" i="36"/>
  <c r="AV204" i="36"/>
  <c r="AW204" i="36" s="1"/>
  <c r="B211" i="19"/>
  <c r="I211" i="19" s="1"/>
  <c r="C211" i="19"/>
  <c r="AN210" i="19"/>
  <c r="O210" i="19"/>
  <c r="AH210" i="19"/>
  <c r="AI210" i="19"/>
  <c r="AD210" i="19"/>
  <c r="Y210" i="19"/>
  <c r="U210" i="19"/>
  <c r="AT210" i="19"/>
  <c r="S210" i="19"/>
  <c r="M210" i="19"/>
  <c r="AC210" i="19"/>
  <c r="AG210" i="19"/>
  <c r="N210" i="19"/>
  <c r="AF210" i="19"/>
  <c r="AP210" i="19"/>
  <c r="P210" i="19"/>
  <c r="L210" i="19"/>
  <c r="Z210" i="19"/>
  <c r="V210" i="19"/>
  <c r="AU210" i="19"/>
  <c r="X210" i="19"/>
  <c r="AK210" i="19"/>
  <c r="Q210" i="19"/>
  <c r="AE210" i="19"/>
  <c r="AO210" i="19"/>
  <c r="W210" i="19"/>
  <c r="AQ210" i="19"/>
  <c r="AM210" i="19"/>
  <c r="R210" i="19"/>
  <c r="K210" i="19"/>
  <c r="AS210" i="19"/>
  <c r="T210" i="19"/>
  <c r="AL210" i="19"/>
  <c r="AA210" i="19"/>
  <c r="AB210" i="19"/>
  <c r="AR210" i="19"/>
  <c r="AJ210" i="19"/>
  <c r="A212" i="19"/>
  <c r="AV213" i="19"/>
  <c r="AW213" i="19" s="1"/>
  <c r="I202" i="36" l="1"/>
  <c r="E202" i="36"/>
  <c r="B203" i="36"/>
  <c r="E203" i="36" s="1"/>
  <c r="C203" i="36"/>
  <c r="J202" i="36"/>
  <c r="H202" i="36"/>
  <c r="D202" i="36"/>
  <c r="H197" i="38"/>
  <c r="B197" i="38"/>
  <c r="I197" i="38" s="1"/>
  <c r="G197" i="38"/>
  <c r="F197" i="38"/>
  <c r="C197" i="38"/>
  <c r="K199" i="20"/>
  <c r="L199" i="20" s="1"/>
  <c r="A198" i="20"/>
  <c r="AV205" i="36"/>
  <c r="AW205" i="36" s="1"/>
  <c r="A204" i="36"/>
  <c r="F202" i="36"/>
  <c r="AL202" i="36"/>
  <c r="AJ202" i="36"/>
  <c r="AC202" i="36"/>
  <c r="M202" i="36"/>
  <c r="AS202" i="36"/>
  <c r="AK202" i="36"/>
  <c r="AB202" i="36"/>
  <c r="AI202" i="36"/>
  <c r="K202" i="36"/>
  <c r="AG202" i="36"/>
  <c r="AH202" i="36"/>
  <c r="AT202" i="36"/>
  <c r="O202" i="36"/>
  <c r="AR202" i="36"/>
  <c r="X202" i="36"/>
  <c r="AU202" i="36"/>
  <c r="AA202" i="36"/>
  <c r="R202" i="36"/>
  <c r="AN202" i="36"/>
  <c r="N202" i="36"/>
  <c r="L202" i="36"/>
  <c r="U202" i="36"/>
  <c r="AM202" i="36"/>
  <c r="AP202" i="36"/>
  <c r="S202" i="36"/>
  <c r="W202" i="36"/>
  <c r="Y202" i="36"/>
  <c r="Q202" i="36"/>
  <c r="V202" i="36"/>
  <c r="AE202" i="36"/>
  <c r="AQ202" i="36"/>
  <c r="AD202" i="36"/>
  <c r="AO202" i="36"/>
  <c r="AF202" i="36"/>
  <c r="T202" i="36"/>
  <c r="P202" i="36"/>
  <c r="Z202" i="36"/>
  <c r="K199" i="38"/>
  <c r="L199" i="38" s="1"/>
  <c r="A198" i="38"/>
  <c r="H197" i="20"/>
  <c r="B197" i="20"/>
  <c r="D197" i="20" s="1"/>
  <c r="F197" i="20"/>
  <c r="G197" i="20"/>
  <c r="C197" i="20"/>
  <c r="J211" i="19"/>
  <c r="H211" i="19"/>
  <c r="D211" i="19"/>
  <c r="F211" i="19"/>
  <c r="G211" i="19"/>
  <c r="E211" i="19"/>
  <c r="B212" i="19"/>
  <c r="D212" i="19" s="1"/>
  <c r="C212" i="19"/>
  <c r="AV214" i="19"/>
  <c r="AW214" i="19" s="1"/>
  <c r="A213" i="19"/>
  <c r="AG211" i="19"/>
  <c r="AJ211" i="19"/>
  <c r="N211" i="19"/>
  <c r="W211" i="19"/>
  <c r="AN211" i="19"/>
  <c r="Y211" i="19"/>
  <c r="O211" i="19"/>
  <c r="T211" i="19"/>
  <c r="AS211" i="19"/>
  <c r="AF211" i="19"/>
  <c r="AU211" i="19"/>
  <c r="X211" i="19"/>
  <c r="AD211" i="19"/>
  <c r="AR211" i="19"/>
  <c r="U211" i="19"/>
  <c r="AE211" i="19"/>
  <c r="AC211" i="19"/>
  <c r="AB211" i="19"/>
  <c r="R211" i="19"/>
  <c r="M211" i="19"/>
  <c r="L211" i="19"/>
  <c r="Z211" i="19"/>
  <c r="AI211" i="19"/>
  <c r="P211" i="19"/>
  <c r="S211" i="19"/>
  <c r="AP211" i="19"/>
  <c r="K211" i="19"/>
  <c r="AA211" i="19"/>
  <c r="AL211" i="19"/>
  <c r="AM211" i="19"/>
  <c r="AK211" i="19"/>
  <c r="V211" i="19"/>
  <c r="AO211" i="19"/>
  <c r="AT211" i="19"/>
  <c r="AQ211" i="19"/>
  <c r="Q211" i="19"/>
  <c r="AH211" i="19"/>
  <c r="D197" i="38" l="1"/>
  <c r="I203" i="36"/>
  <c r="E197" i="38"/>
  <c r="J203" i="36"/>
  <c r="G203" i="36"/>
  <c r="H203" i="36"/>
  <c r="E197" i="20"/>
  <c r="I197" i="20"/>
  <c r="K200" i="38"/>
  <c r="L200" i="38" s="1"/>
  <c r="A199" i="38"/>
  <c r="A205" i="36"/>
  <c r="AV206" i="36"/>
  <c r="AW206" i="36" s="1"/>
  <c r="K200" i="20"/>
  <c r="L200" i="20" s="1"/>
  <c r="A199" i="20"/>
  <c r="F203" i="36"/>
  <c r="D203" i="36"/>
  <c r="G198" i="38"/>
  <c r="B198" i="38"/>
  <c r="E198" i="38" s="1"/>
  <c r="H198" i="38"/>
  <c r="F198" i="38"/>
  <c r="C198" i="38"/>
  <c r="B204" i="36"/>
  <c r="H204" i="36" s="1"/>
  <c r="C204" i="36"/>
  <c r="B198" i="20"/>
  <c r="I198" i="20" s="1"/>
  <c r="G198" i="20"/>
  <c r="H198" i="20"/>
  <c r="F198" i="20"/>
  <c r="C198" i="20"/>
  <c r="AG203" i="36"/>
  <c r="AH203" i="36"/>
  <c r="R203" i="36"/>
  <c r="AJ203" i="36"/>
  <c r="M203" i="36"/>
  <c r="L203" i="36"/>
  <c r="S203" i="36"/>
  <c r="AP203" i="36"/>
  <c r="AF203" i="36"/>
  <c r="U203" i="36"/>
  <c r="Z203" i="36"/>
  <c r="AA203" i="36"/>
  <c r="AE203" i="36"/>
  <c r="V203" i="36"/>
  <c r="AB203" i="36"/>
  <c r="AR203" i="36"/>
  <c r="P203" i="36"/>
  <c r="Q203" i="36"/>
  <c r="AT203" i="36"/>
  <c r="AQ203" i="36"/>
  <c r="AI203" i="36"/>
  <c r="AD203" i="36"/>
  <c r="T203" i="36"/>
  <c r="AO203" i="36"/>
  <c r="AL203" i="36"/>
  <c r="AK203" i="36"/>
  <c r="X203" i="36"/>
  <c r="Y203" i="36"/>
  <c r="AU203" i="36"/>
  <c r="AN203" i="36"/>
  <c r="AS203" i="36"/>
  <c r="K203" i="36"/>
  <c r="W203" i="36"/>
  <c r="O203" i="36"/>
  <c r="AC203" i="36"/>
  <c r="N203" i="36"/>
  <c r="AM203" i="36"/>
  <c r="J212" i="19"/>
  <c r="H212" i="19"/>
  <c r="E212" i="19"/>
  <c r="F212" i="19"/>
  <c r="I212" i="19"/>
  <c r="A214" i="19"/>
  <c r="AV215" i="19"/>
  <c r="AW215" i="19" s="1"/>
  <c r="C213" i="19"/>
  <c r="B213" i="19"/>
  <c r="D213" i="19" s="1"/>
  <c r="G212" i="19"/>
  <c r="Y212" i="19"/>
  <c r="AJ212" i="19"/>
  <c r="AU212" i="19"/>
  <c r="AC212" i="19"/>
  <c r="AT212" i="19"/>
  <c r="Z212" i="19"/>
  <c r="N212" i="19"/>
  <c r="AR212" i="19"/>
  <c r="Q212" i="19"/>
  <c r="P212" i="19"/>
  <c r="AI212" i="19"/>
  <c r="S212" i="19"/>
  <c r="AD212" i="19"/>
  <c r="AM212" i="19"/>
  <c r="W212" i="19"/>
  <c r="L212" i="19"/>
  <c r="V212" i="19"/>
  <c r="X212" i="19"/>
  <c r="R212" i="19"/>
  <c r="AN212" i="19"/>
  <c r="AG212" i="19"/>
  <c r="O212" i="19"/>
  <c r="U212" i="19"/>
  <c r="AB212" i="19"/>
  <c r="AE212" i="19"/>
  <c r="AK212" i="19"/>
  <c r="AS212" i="19"/>
  <c r="AP212" i="19"/>
  <c r="AL212" i="19"/>
  <c r="K212" i="19"/>
  <c r="AA212" i="19"/>
  <c r="AQ212" i="19"/>
  <c r="AH212" i="19"/>
  <c r="AF212" i="19"/>
  <c r="T212" i="19"/>
  <c r="M212" i="19"/>
  <c r="AO212" i="19"/>
  <c r="I204" i="36" l="1"/>
  <c r="J204" i="36"/>
  <c r="F204" i="36"/>
  <c r="D204" i="36"/>
  <c r="I198" i="38"/>
  <c r="E204" i="36"/>
  <c r="G204" i="36"/>
  <c r="D198" i="38"/>
  <c r="A200" i="20"/>
  <c r="K201" i="20"/>
  <c r="L201" i="20" s="1"/>
  <c r="B205" i="36"/>
  <c r="F205" i="36" s="1"/>
  <c r="C205" i="36"/>
  <c r="K201" i="38"/>
  <c r="L201" i="38" s="1"/>
  <c r="A200" i="38"/>
  <c r="E198" i="20"/>
  <c r="D198" i="20"/>
  <c r="AK204" i="36"/>
  <c r="AA204" i="36"/>
  <c r="AB204" i="36"/>
  <c r="AR204" i="36"/>
  <c r="AE204" i="36"/>
  <c r="M204" i="36"/>
  <c r="AC204" i="36"/>
  <c r="Z204" i="36"/>
  <c r="R204" i="36"/>
  <c r="P204" i="36"/>
  <c r="Q204" i="36"/>
  <c r="T204" i="36"/>
  <c r="S204" i="36"/>
  <c r="AJ204" i="36"/>
  <c r="AQ204" i="36"/>
  <c r="W204" i="36"/>
  <c r="AD204" i="36"/>
  <c r="N204" i="36"/>
  <c r="AM204" i="36"/>
  <c r="AF204" i="36"/>
  <c r="K204" i="36"/>
  <c r="U204" i="36"/>
  <c r="L204" i="36"/>
  <c r="AN204" i="36"/>
  <c r="AO204" i="36"/>
  <c r="AP204" i="36"/>
  <c r="AH204" i="36"/>
  <c r="AL204" i="36"/>
  <c r="O204" i="36"/>
  <c r="X204" i="36"/>
  <c r="Y204" i="36"/>
  <c r="AS204" i="36"/>
  <c r="AT204" i="36"/>
  <c r="AU204" i="36"/>
  <c r="V204" i="36"/>
  <c r="AG204" i="36"/>
  <c r="AI204" i="36"/>
  <c r="H199" i="20"/>
  <c r="F199" i="20"/>
  <c r="B199" i="20"/>
  <c r="I199" i="20" s="1"/>
  <c r="C199" i="20"/>
  <c r="G199" i="20"/>
  <c r="AV207" i="36"/>
  <c r="AW207" i="36" s="1"/>
  <c r="A206" i="36"/>
  <c r="F199" i="38"/>
  <c r="B199" i="38"/>
  <c r="D199" i="38" s="1"/>
  <c r="H199" i="38"/>
  <c r="G199" i="38"/>
  <c r="C199" i="38"/>
  <c r="I213" i="19"/>
  <c r="J213" i="19"/>
  <c r="G213" i="19"/>
  <c r="E213" i="19"/>
  <c r="H213" i="19"/>
  <c r="F213" i="19"/>
  <c r="W213" i="19"/>
  <c r="Y213" i="19"/>
  <c r="U213" i="19"/>
  <c r="S213" i="19"/>
  <c r="AB213" i="19"/>
  <c r="Q213" i="19"/>
  <c r="AL213" i="19"/>
  <c r="V213" i="19"/>
  <c r="AF213" i="19"/>
  <c r="AP213" i="19"/>
  <c r="AA213" i="19"/>
  <c r="AC213" i="19"/>
  <c r="P213" i="19"/>
  <c r="AS213" i="19"/>
  <c r="AI213" i="19"/>
  <c r="X213" i="19"/>
  <c r="AG213" i="19"/>
  <c r="AD213" i="19"/>
  <c r="AR213" i="19"/>
  <c r="K213" i="19"/>
  <c r="AN213" i="19"/>
  <c r="AO213" i="19"/>
  <c r="AM213" i="19"/>
  <c r="Z213" i="19"/>
  <c r="AQ213" i="19"/>
  <c r="AE213" i="19"/>
  <c r="O213" i="19"/>
  <c r="AU213" i="19"/>
  <c r="N213" i="19"/>
  <c r="L213" i="19"/>
  <c r="T213" i="19"/>
  <c r="R213" i="19"/>
  <c r="AJ213" i="19"/>
  <c r="AT213" i="19"/>
  <c r="AK213" i="19"/>
  <c r="M213" i="19"/>
  <c r="AH213" i="19"/>
  <c r="A215" i="19"/>
  <c r="AV216" i="19"/>
  <c r="AW216" i="19" s="1"/>
  <c r="B214" i="19"/>
  <c r="D214" i="19" s="1"/>
  <c r="C214" i="19"/>
  <c r="E205" i="36" l="1"/>
  <c r="I205" i="36"/>
  <c r="D205" i="36"/>
  <c r="D199" i="20"/>
  <c r="J205" i="36"/>
  <c r="H205" i="36"/>
  <c r="B206" i="36"/>
  <c r="D206" i="36" s="1"/>
  <c r="C206" i="36"/>
  <c r="B200" i="38"/>
  <c r="I200" i="38" s="1"/>
  <c r="G200" i="38"/>
  <c r="F200" i="38"/>
  <c r="H200" i="38"/>
  <c r="C200" i="38"/>
  <c r="K202" i="20"/>
  <c r="L202" i="20" s="1"/>
  <c r="A201" i="20"/>
  <c r="E199" i="38"/>
  <c r="I199" i="38"/>
  <c r="AV208" i="36"/>
  <c r="AW208" i="36" s="1"/>
  <c r="A207" i="36"/>
  <c r="E199" i="20"/>
  <c r="K202" i="38"/>
  <c r="L202" i="38" s="1"/>
  <c r="A201" i="38"/>
  <c r="G205" i="36"/>
  <c r="AF205" i="36"/>
  <c r="AB205" i="36"/>
  <c r="AG205" i="36"/>
  <c r="AM205" i="36"/>
  <c r="AD205" i="36"/>
  <c r="AU205" i="36"/>
  <c r="AE205" i="36"/>
  <c r="AN205" i="36"/>
  <c r="AI205" i="36"/>
  <c r="AO205" i="36"/>
  <c r="AQ205" i="36"/>
  <c r="N205" i="36"/>
  <c r="AK205" i="36"/>
  <c r="AJ205" i="36"/>
  <c r="AL205" i="36"/>
  <c r="P205" i="36"/>
  <c r="K205" i="36"/>
  <c r="O205" i="36"/>
  <c r="U205" i="36"/>
  <c r="Z205" i="36"/>
  <c r="AR205" i="36"/>
  <c r="Y205" i="36"/>
  <c r="S205" i="36"/>
  <c r="AC205" i="36"/>
  <c r="W205" i="36"/>
  <c r="R205" i="36"/>
  <c r="AA205" i="36"/>
  <c r="X205" i="36"/>
  <c r="L205" i="36"/>
  <c r="AH205" i="36"/>
  <c r="V205" i="36"/>
  <c r="T205" i="36"/>
  <c r="AT205" i="36"/>
  <c r="AP205" i="36"/>
  <c r="Q205" i="36"/>
  <c r="AS205" i="36"/>
  <c r="M205" i="36"/>
  <c r="B200" i="20"/>
  <c r="E200" i="20" s="1"/>
  <c r="F200" i="20"/>
  <c r="G200" i="20"/>
  <c r="H200" i="20"/>
  <c r="C200" i="20"/>
  <c r="H214" i="19"/>
  <c r="I214" i="19"/>
  <c r="F214" i="19"/>
  <c r="E214" i="19"/>
  <c r="G214" i="19"/>
  <c r="T214" i="19"/>
  <c r="AR214" i="19"/>
  <c r="AD214" i="19"/>
  <c r="AT214" i="19"/>
  <c r="AN214" i="19"/>
  <c r="AO214" i="19"/>
  <c r="W214" i="19"/>
  <c r="AC214" i="19"/>
  <c r="K214" i="19"/>
  <c r="Y214" i="19"/>
  <c r="AI214" i="19"/>
  <c r="AA214" i="19"/>
  <c r="P214" i="19"/>
  <c r="AB214" i="19"/>
  <c r="AU214" i="19"/>
  <c r="AP214" i="19"/>
  <c r="AE214" i="19"/>
  <c r="M214" i="19"/>
  <c r="Z214" i="19"/>
  <c r="AK214" i="19"/>
  <c r="AM214" i="19"/>
  <c r="U214" i="19"/>
  <c r="AG214" i="19"/>
  <c r="AH214" i="19"/>
  <c r="O214" i="19"/>
  <c r="Q214" i="19"/>
  <c r="S214" i="19"/>
  <c r="AQ214" i="19"/>
  <c r="L214" i="19"/>
  <c r="AJ214" i="19"/>
  <c r="AF214" i="19"/>
  <c r="X214" i="19"/>
  <c r="N214" i="19"/>
  <c r="V214" i="19"/>
  <c r="AS214" i="19"/>
  <c r="AL214" i="19"/>
  <c r="R214" i="19"/>
  <c r="C215" i="19"/>
  <c r="B215" i="19"/>
  <c r="H215" i="19" s="1"/>
  <c r="AV217" i="19"/>
  <c r="AW217" i="19" s="1"/>
  <c r="A216" i="19"/>
  <c r="J214" i="19"/>
  <c r="F206" i="36" l="1"/>
  <c r="E200" i="38"/>
  <c r="I206" i="36"/>
  <c r="E206" i="36"/>
  <c r="I200" i="20"/>
  <c r="C207" i="36"/>
  <c r="J207" i="36"/>
  <c r="I207" i="36"/>
  <c r="H207" i="36"/>
  <c r="G207" i="36"/>
  <c r="E207" i="36"/>
  <c r="B207" i="36"/>
  <c r="D207" i="36"/>
  <c r="F207" i="36"/>
  <c r="D200" i="20"/>
  <c r="H201" i="38"/>
  <c r="G201" i="38"/>
  <c r="F201" i="38"/>
  <c r="B201" i="38"/>
  <c r="I201" i="38" s="1"/>
  <c r="C201" i="38"/>
  <c r="AV209" i="36"/>
  <c r="AW209" i="36" s="1"/>
  <c r="A208" i="36"/>
  <c r="K203" i="20"/>
  <c r="L203" i="20" s="1"/>
  <c r="A202" i="20"/>
  <c r="D200" i="38"/>
  <c r="J206" i="36"/>
  <c r="H206" i="36"/>
  <c r="K203" i="38"/>
  <c r="L203" i="38" s="1"/>
  <c r="A202" i="38"/>
  <c r="H201" i="20"/>
  <c r="F201" i="20"/>
  <c r="B201" i="20"/>
  <c r="I201" i="20" s="1"/>
  <c r="G201" i="20"/>
  <c r="C201" i="20"/>
  <c r="G206" i="36"/>
  <c r="AD206" i="36"/>
  <c r="AK206" i="36"/>
  <c r="W206" i="36"/>
  <c r="M206" i="36"/>
  <c r="AT206" i="36"/>
  <c r="R206" i="36"/>
  <c r="U206" i="36"/>
  <c r="AC206" i="36"/>
  <c r="P206" i="36"/>
  <c r="AI206" i="36"/>
  <c r="AO206" i="36"/>
  <c r="AH206" i="36"/>
  <c r="AP206" i="36"/>
  <c r="AM206" i="36"/>
  <c r="AQ206" i="36"/>
  <c r="L206" i="36"/>
  <c r="AB206" i="36"/>
  <c r="N206" i="36"/>
  <c r="AF206" i="36"/>
  <c r="AL206" i="36"/>
  <c r="V206" i="36"/>
  <c r="AS206" i="36"/>
  <c r="AN206" i="36"/>
  <c r="S206" i="36"/>
  <c r="T206" i="36"/>
  <c r="AU206" i="36"/>
  <c r="AE206" i="36"/>
  <c r="AG206" i="36"/>
  <c r="X206" i="36"/>
  <c r="O206" i="36"/>
  <c r="Z206" i="36"/>
  <c r="AA206" i="36"/>
  <c r="K206" i="36"/>
  <c r="AJ206" i="36"/>
  <c r="Q206" i="36"/>
  <c r="AR206" i="36"/>
  <c r="Y206" i="36"/>
  <c r="J215" i="19"/>
  <c r="F215" i="19"/>
  <c r="G215" i="19"/>
  <c r="I215" i="19"/>
  <c r="B216" i="19"/>
  <c r="I216" i="19" s="1"/>
  <c r="C216" i="19"/>
  <c r="A217" i="19"/>
  <c r="AV218" i="19"/>
  <c r="AW218" i="19" s="1"/>
  <c r="D215" i="19"/>
  <c r="E215" i="19"/>
  <c r="O215" i="19"/>
  <c r="AU215" i="19"/>
  <c r="AP215" i="19"/>
  <c r="AR215" i="19"/>
  <c r="M215" i="19"/>
  <c r="R215" i="19"/>
  <c r="AS215" i="19"/>
  <c r="AG215" i="19"/>
  <c r="X215" i="19"/>
  <c r="P215" i="19"/>
  <c r="AF215" i="19"/>
  <c r="AH215" i="19"/>
  <c r="AQ215" i="19"/>
  <c r="AI215" i="19"/>
  <c r="S215" i="19"/>
  <c r="AD215" i="19"/>
  <c r="AJ215" i="19"/>
  <c r="Z215" i="19"/>
  <c r="AL215" i="19"/>
  <c r="U215" i="19"/>
  <c r="W215" i="19"/>
  <c r="L215" i="19"/>
  <c r="AN215" i="19"/>
  <c r="Y215" i="19"/>
  <c r="AT215" i="19"/>
  <c r="AM215" i="19"/>
  <c r="AK215" i="19"/>
  <c r="Q215" i="19"/>
  <c r="AC215" i="19"/>
  <c r="AE215" i="19"/>
  <c r="T215" i="19"/>
  <c r="AA215" i="19"/>
  <c r="AO215" i="19"/>
  <c r="N215" i="19"/>
  <c r="K215" i="19"/>
  <c r="AB215" i="19"/>
  <c r="V215" i="19"/>
  <c r="D201" i="38" l="1"/>
  <c r="E201" i="20"/>
  <c r="D201" i="20"/>
  <c r="K204" i="38"/>
  <c r="L204" i="38" s="1"/>
  <c r="A203" i="38"/>
  <c r="C202" i="20"/>
  <c r="F202" i="20"/>
  <c r="B202" i="20"/>
  <c r="D202" i="20" s="1"/>
  <c r="H202" i="20"/>
  <c r="G202" i="20"/>
  <c r="H208" i="36"/>
  <c r="E208" i="36"/>
  <c r="G208" i="36"/>
  <c r="J208" i="36"/>
  <c r="D208" i="36"/>
  <c r="B208" i="36"/>
  <c r="F208" i="36"/>
  <c r="I208" i="36"/>
  <c r="C208" i="36"/>
  <c r="E201" i="38"/>
  <c r="AT207" i="36"/>
  <c r="M207" i="36"/>
  <c r="AN207" i="36"/>
  <c r="AC207" i="36"/>
  <c r="O207" i="36"/>
  <c r="AA207" i="36"/>
  <c r="AK207" i="36"/>
  <c r="AE207" i="36"/>
  <c r="Q207" i="36"/>
  <c r="Y207" i="36"/>
  <c r="AP207" i="36"/>
  <c r="AJ207" i="36"/>
  <c r="S207" i="36"/>
  <c r="AU207" i="36"/>
  <c r="K207" i="36"/>
  <c r="AD207" i="36"/>
  <c r="AS207" i="36"/>
  <c r="AH207" i="36"/>
  <c r="AI207" i="36"/>
  <c r="AO207" i="36"/>
  <c r="AM207" i="36"/>
  <c r="AG207" i="36"/>
  <c r="N207" i="36"/>
  <c r="T207" i="36"/>
  <c r="Z207" i="36"/>
  <c r="W207" i="36"/>
  <c r="L207" i="36"/>
  <c r="AQ207" i="36"/>
  <c r="AF207" i="36"/>
  <c r="AB207" i="36"/>
  <c r="R207" i="36"/>
  <c r="X207" i="36"/>
  <c r="P207" i="36"/>
  <c r="AR207" i="36"/>
  <c r="V207" i="36"/>
  <c r="U207" i="36"/>
  <c r="AL207" i="36"/>
  <c r="B202" i="38"/>
  <c r="I202" i="38" s="1"/>
  <c r="F202" i="38"/>
  <c r="H202" i="38"/>
  <c r="G202" i="38"/>
  <c r="C202" i="38"/>
  <c r="K204" i="20"/>
  <c r="L204" i="20" s="1"/>
  <c r="A203" i="20"/>
  <c r="AV210" i="36"/>
  <c r="AW210" i="36" s="1"/>
  <c r="A209" i="36"/>
  <c r="J216" i="19"/>
  <c r="H216" i="19"/>
  <c r="F216" i="19"/>
  <c r="D216" i="19"/>
  <c r="G216" i="19"/>
  <c r="E216" i="19"/>
  <c r="A218" i="19"/>
  <c r="AV219" i="19"/>
  <c r="AW219" i="19" s="1"/>
  <c r="G217" i="19"/>
  <c r="B217" i="19"/>
  <c r="I217" i="19"/>
  <c r="F217" i="19"/>
  <c r="J217" i="19"/>
  <c r="H217" i="19"/>
  <c r="D217" i="19"/>
  <c r="C217" i="19"/>
  <c r="E217" i="19"/>
  <c r="AF216" i="19"/>
  <c r="AR216" i="19"/>
  <c r="AU216" i="19"/>
  <c r="Q216" i="19"/>
  <c r="W216" i="19"/>
  <c r="AC216" i="19"/>
  <c r="T216" i="19"/>
  <c r="Z216" i="19"/>
  <c r="AD216" i="19"/>
  <c r="P216" i="19"/>
  <c r="AP216" i="19"/>
  <c r="O216" i="19"/>
  <c r="AA216" i="19"/>
  <c r="X216" i="19"/>
  <c r="Y216" i="19"/>
  <c r="AN216" i="19"/>
  <c r="N216" i="19"/>
  <c r="AM216" i="19"/>
  <c r="K216" i="19"/>
  <c r="AS216" i="19"/>
  <c r="U216" i="19"/>
  <c r="S216" i="19"/>
  <c r="R216" i="19"/>
  <c r="AH216" i="19"/>
  <c r="AG216" i="19"/>
  <c r="AO216" i="19"/>
  <c r="AB216" i="19"/>
  <c r="AI216" i="19"/>
  <c r="AL216" i="19"/>
  <c r="L216" i="19"/>
  <c r="M216" i="19"/>
  <c r="AQ216" i="19"/>
  <c r="AE216" i="19"/>
  <c r="AK216" i="19"/>
  <c r="AJ216" i="19"/>
  <c r="AT216" i="19"/>
  <c r="V216" i="19"/>
  <c r="E202" i="38" l="1"/>
  <c r="I202" i="20"/>
  <c r="AV211" i="36"/>
  <c r="AW211" i="36" s="1"/>
  <c r="A210" i="36"/>
  <c r="K205" i="20"/>
  <c r="L205" i="20" s="1"/>
  <c r="A204" i="20"/>
  <c r="D202" i="38"/>
  <c r="E202" i="20"/>
  <c r="D203" i="38"/>
  <c r="C203" i="38"/>
  <c r="F203" i="38"/>
  <c r="E203" i="38"/>
  <c r="H203" i="38"/>
  <c r="B203" i="38"/>
  <c r="I203" i="38"/>
  <c r="G203" i="38"/>
  <c r="B209" i="36"/>
  <c r="F209" i="36" s="1"/>
  <c r="C209" i="36"/>
  <c r="F203" i="20"/>
  <c r="G203" i="20"/>
  <c r="C203" i="20"/>
  <c r="E203" i="20"/>
  <c r="D203" i="20"/>
  <c r="H203" i="20"/>
  <c r="I203" i="20"/>
  <c r="B203" i="20"/>
  <c r="N208" i="36"/>
  <c r="AP208" i="36"/>
  <c r="T208" i="36"/>
  <c r="AT208" i="36"/>
  <c r="AE208" i="36"/>
  <c r="S208" i="36"/>
  <c r="P208" i="36"/>
  <c r="Z208" i="36"/>
  <c r="X208" i="36"/>
  <c r="L208" i="36"/>
  <c r="AH208" i="36"/>
  <c r="AA208" i="36"/>
  <c r="AI208" i="36"/>
  <c r="K208" i="36"/>
  <c r="AU208" i="36"/>
  <c r="AK208" i="36"/>
  <c r="AN208" i="36"/>
  <c r="AD208" i="36"/>
  <c r="AQ208" i="36"/>
  <c r="Y208" i="36"/>
  <c r="AL208" i="36"/>
  <c r="U208" i="36"/>
  <c r="AC208" i="36"/>
  <c r="AJ208" i="36"/>
  <c r="AG208" i="36"/>
  <c r="AO208" i="36"/>
  <c r="Q208" i="36"/>
  <c r="W208" i="36"/>
  <c r="AM208" i="36"/>
  <c r="O208" i="36"/>
  <c r="AF208" i="36"/>
  <c r="AB208" i="36"/>
  <c r="M208" i="36"/>
  <c r="AS208" i="36"/>
  <c r="AR208" i="36"/>
  <c r="V208" i="36"/>
  <c r="R208" i="36"/>
  <c r="K205" i="38"/>
  <c r="L205" i="38" s="1"/>
  <c r="A204" i="38"/>
  <c r="AR217" i="19"/>
  <c r="AM217" i="19"/>
  <c r="AO217" i="19"/>
  <c r="L217" i="19"/>
  <c r="AD217" i="19"/>
  <c r="AN217" i="19"/>
  <c r="M217" i="19"/>
  <c r="N217" i="19"/>
  <c r="S217" i="19"/>
  <c r="T217" i="19"/>
  <c r="AB217" i="19"/>
  <c r="K217" i="19"/>
  <c r="AC217" i="19"/>
  <c r="AG217" i="19"/>
  <c r="P217" i="19"/>
  <c r="Q217" i="19"/>
  <c r="AS217" i="19"/>
  <c r="AK217" i="19"/>
  <c r="AI217" i="19"/>
  <c r="R217" i="19"/>
  <c r="W217" i="19"/>
  <c r="AU217" i="19"/>
  <c r="X217" i="19"/>
  <c r="AJ217" i="19"/>
  <c r="O217" i="19"/>
  <c r="AL217" i="19"/>
  <c r="U217" i="19"/>
  <c r="AA217" i="19"/>
  <c r="Y217" i="19"/>
  <c r="AH217" i="19"/>
  <c r="AT217" i="19"/>
  <c r="AP217" i="19"/>
  <c r="AQ217" i="19"/>
  <c r="Z217" i="19"/>
  <c r="V217" i="19"/>
  <c r="AF217" i="19"/>
  <c r="AE217" i="19"/>
  <c r="A219" i="19"/>
  <c r="AV220" i="19"/>
  <c r="AW220" i="19" s="1"/>
  <c r="J218" i="19"/>
  <c r="F218" i="19"/>
  <c r="H218" i="19"/>
  <c r="D218" i="19"/>
  <c r="I218" i="19"/>
  <c r="E218" i="19"/>
  <c r="C218" i="19"/>
  <c r="G218" i="19"/>
  <c r="B218" i="19"/>
  <c r="H209" i="36" l="1"/>
  <c r="J209" i="36"/>
  <c r="G209" i="36"/>
  <c r="D209" i="36"/>
  <c r="D204" i="38"/>
  <c r="H204" i="38"/>
  <c r="I204" i="38"/>
  <c r="F204" i="38"/>
  <c r="B204" i="38"/>
  <c r="C204" i="38"/>
  <c r="E204" i="38"/>
  <c r="G204" i="38"/>
  <c r="I209" i="36"/>
  <c r="E209" i="36"/>
  <c r="F204" i="20"/>
  <c r="B204" i="20"/>
  <c r="G204" i="20"/>
  <c r="D204" i="20"/>
  <c r="C204" i="20"/>
  <c r="H204" i="20"/>
  <c r="I204" i="20"/>
  <c r="E204" i="20"/>
  <c r="B210" i="36"/>
  <c r="H210" i="36" s="1"/>
  <c r="C210" i="36"/>
  <c r="K206" i="38"/>
  <c r="L206" i="38" s="1"/>
  <c r="A205" i="38"/>
  <c r="AO209" i="36"/>
  <c r="AH209" i="36"/>
  <c r="AU209" i="36"/>
  <c r="Q209" i="36"/>
  <c r="Z209" i="36"/>
  <c r="S209" i="36"/>
  <c r="AG209" i="36"/>
  <c r="N209" i="36"/>
  <c r="V209" i="36"/>
  <c r="AE209" i="36"/>
  <c r="AR209" i="36"/>
  <c r="AJ209" i="36"/>
  <c r="W209" i="36"/>
  <c r="U209" i="36"/>
  <c r="M209" i="36"/>
  <c r="AC209" i="36"/>
  <c r="T209" i="36"/>
  <c r="AL209" i="36"/>
  <c r="AS209" i="36"/>
  <c r="O209" i="36"/>
  <c r="AK209" i="36"/>
  <c r="AP209" i="36"/>
  <c r="X209" i="36"/>
  <c r="AA209" i="36"/>
  <c r="L209" i="36"/>
  <c r="K209" i="36"/>
  <c r="AM209" i="36"/>
  <c r="Y209" i="36"/>
  <c r="AF209" i="36"/>
  <c r="AB209" i="36"/>
  <c r="P209" i="36"/>
  <c r="AQ209" i="36"/>
  <c r="R209" i="36"/>
  <c r="AD209" i="36"/>
  <c r="AI209" i="36"/>
  <c r="AN209" i="36"/>
  <c r="AT209" i="36"/>
  <c r="K206" i="20"/>
  <c r="L206" i="20" s="1"/>
  <c r="A205" i="20"/>
  <c r="AV212" i="36"/>
  <c r="AW212" i="36" s="1"/>
  <c r="A211" i="36"/>
  <c r="O218" i="19"/>
  <c r="AO218" i="19"/>
  <c r="W218" i="19"/>
  <c r="AD218" i="19"/>
  <c r="AK218" i="19"/>
  <c r="Z218" i="19"/>
  <c r="AS218" i="19"/>
  <c r="AT218" i="19"/>
  <c r="P218" i="19"/>
  <c r="AJ218" i="19"/>
  <c r="R218" i="19"/>
  <c r="Q218" i="19"/>
  <c r="AL218" i="19"/>
  <c r="AQ218" i="19"/>
  <c r="S218" i="19"/>
  <c r="AC218" i="19"/>
  <c r="M218" i="19"/>
  <c r="AN218" i="19"/>
  <c r="AM218" i="19"/>
  <c r="K218" i="19"/>
  <c r="Y218" i="19"/>
  <c r="AP218" i="19"/>
  <c r="V218" i="19"/>
  <c r="AE218" i="19"/>
  <c r="U218" i="19"/>
  <c r="AI218" i="19"/>
  <c r="AG218" i="19"/>
  <c r="T218" i="19"/>
  <c r="AU218" i="19"/>
  <c r="AF218" i="19"/>
  <c r="L218" i="19"/>
  <c r="AA218" i="19"/>
  <c r="N218" i="19"/>
  <c r="AH218" i="19"/>
  <c r="AB218" i="19"/>
  <c r="AR218" i="19"/>
  <c r="X218" i="19"/>
  <c r="AV221" i="19"/>
  <c r="AW221" i="19" s="1"/>
  <c r="A220" i="19"/>
  <c r="B219" i="19"/>
  <c r="E219" i="19" s="1"/>
  <c r="C219" i="19"/>
  <c r="G210" i="36" l="1"/>
  <c r="F210" i="36"/>
  <c r="F205" i="20"/>
  <c r="C205" i="20"/>
  <c r="B205" i="20"/>
  <c r="E205" i="20" s="1"/>
  <c r="G205" i="20"/>
  <c r="H205" i="20"/>
  <c r="K207" i="38"/>
  <c r="L207" i="38" s="1"/>
  <c r="A206" i="38"/>
  <c r="I210" i="36"/>
  <c r="AI210" i="36"/>
  <c r="O210" i="36"/>
  <c r="P210" i="36"/>
  <c r="AB210" i="36"/>
  <c r="AR210" i="36"/>
  <c r="Y210" i="36"/>
  <c r="AL210" i="36"/>
  <c r="AJ210" i="36"/>
  <c r="AO210" i="36"/>
  <c r="AE210" i="36"/>
  <c r="AN210" i="36"/>
  <c r="U210" i="36"/>
  <c r="AC210" i="36"/>
  <c r="M210" i="36"/>
  <c r="T210" i="36"/>
  <c r="AD210" i="36"/>
  <c r="L210" i="36"/>
  <c r="AK210" i="36"/>
  <c r="AF210" i="36"/>
  <c r="AM210" i="36"/>
  <c r="X210" i="36"/>
  <c r="N210" i="36"/>
  <c r="V210" i="36"/>
  <c r="AA210" i="36"/>
  <c r="W210" i="36"/>
  <c r="AT210" i="36"/>
  <c r="Z210" i="36"/>
  <c r="S210" i="36"/>
  <c r="AQ210" i="36"/>
  <c r="Q210" i="36"/>
  <c r="AS210" i="36"/>
  <c r="AU210" i="36"/>
  <c r="K210" i="36"/>
  <c r="R210" i="36"/>
  <c r="AH210" i="36"/>
  <c r="AG210" i="36"/>
  <c r="AP210" i="36"/>
  <c r="AV213" i="36"/>
  <c r="AW213" i="36" s="1"/>
  <c r="A212" i="36"/>
  <c r="K207" i="20"/>
  <c r="L207" i="20" s="1"/>
  <c r="A206" i="20"/>
  <c r="G205" i="38"/>
  <c r="C205" i="38"/>
  <c r="B205" i="38"/>
  <c r="E205" i="38" s="1"/>
  <c r="H205" i="38"/>
  <c r="F205" i="38"/>
  <c r="J210" i="36"/>
  <c r="D210" i="36"/>
  <c r="E210" i="36"/>
  <c r="B211" i="36"/>
  <c r="D211" i="36" s="1"/>
  <c r="C211" i="36"/>
  <c r="J219" i="19"/>
  <c r="G219" i="19"/>
  <c r="D219" i="19"/>
  <c r="I219" i="19"/>
  <c r="F219" i="19"/>
  <c r="H219" i="19"/>
  <c r="C220" i="19"/>
  <c r="B220" i="19"/>
  <c r="H220" i="19" s="1"/>
  <c r="AV222" i="19"/>
  <c r="AW222" i="19" s="1"/>
  <c r="A221" i="19"/>
  <c r="Q219" i="19"/>
  <c r="W219" i="19"/>
  <c r="N219" i="19"/>
  <c r="AD219" i="19"/>
  <c r="AP219" i="19"/>
  <c r="AK219" i="19"/>
  <c r="AJ219" i="19"/>
  <c r="AM219" i="19"/>
  <c r="AG219" i="19"/>
  <c r="U219" i="19"/>
  <c r="X219" i="19"/>
  <c r="AC219" i="19"/>
  <c r="S219" i="19"/>
  <c r="AT219" i="19"/>
  <c r="AU219" i="19"/>
  <c r="V219" i="19"/>
  <c r="AQ219" i="19"/>
  <c r="AI219" i="19"/>
  <c r="AF219" i="19"/>
  <c r="Z219" i="19"/>
  <c r="P219" i="19"/>
  <c r="AO219" i="19"/>
  <c r="L219" i="19"/>
  <c r="AR219" i="19"/>
  <c r="AL219" i="19"/>
  <c r="O219" i="19"/>
  <c r="AA219" i="19"/>
  <c r="T219" i="19"/>
  <c r="AE219" i="19"/>
  <c r="R219" i="19"/>
  <c r="AB219" i="19"/>
  <c r="AH219" i="19"/>
  <c r="M219" i="19"/>
  <c r="Y219" i="19"/>
  <c r="K219" i="19"/>
  <c r="AS219" i="19"/>
  <c r="AN219" i="19"/>
  <c r="D205" i="38" l="1"/>
  <c r="F211" i="36"/>
  <c r="J211" i="36"/>
  <c r="E211" i="36"/>
  <c r="G211" i="36"/>
  <c r="I211" i="36"/>
  <c r="I205" i="38"/>
  <c r="D205" i="20"/>
  <c r="B212" i="36"/>
  <c r="F212" i="36" s="1"/>
  <c r="C212" i="36"/>
  <c r="H211" i="36"/>
  <c r="P211" i="36"/>
  <c r="AF211" i="36"/>
  <c r="T211" i="36"/>
  <c r="W211" i="36"/>
  <c r="L211" i="36"/>
  <c r="V211" i="36"/>
  <c r="AP211" i="36"/>
  <c r="AR211" i="36"/>
  <c r="AJ211" i="36"/>
  <c r="AM211" i="36"/>
  <c r="R211" i="36"/>
  <c r="AI211" i="36"/>
  <c r="X211" i="36"/>
  <c r="AH211" i="36"/>
  <c r="S211" i="36"/>
  <c r="Z211" i="36"/>
  <c r="N211" i="36"/>
  <c r="AN211" i="36"/>
  <c r="AT211" i="36"/>
  <c r="AC211" i="36"/>
  <c r="AD211" i="36"/>
  <c r="Y211" i="36"/>
  <c r="K211" i="36"/>
  <c r="AE211" i="36"/>
  <c r="M211" i="36"/>
  <c r="AG211" i="36"/>
  <c r="AU211" i="36"/>
  <c r="AO211" i="36"/>
  <c r="O211" i="36"/>
  <c r="AS211" i="36"/>
  <c r="AA211" i="36"/>
  <c r="AL211" i="36"/>
  <c r="AQ211" i="36"/>
  <c r="AK211" i="36"/>
  <c r="AB211" i="36"/>
  <c r="U211" i="36"/>
  <c r="Q211" i="36"/>
  <c r="K208" i="20"/>
  <c r="L208" i="20" s="1"/>
  <c r="A207" i="20"/>
  <c r="AV214" i="36"/>
  <c r="AW214" i="36" s="1"/>
  <c r="A213" i="36"/>
  <c r="K208" i="38"/>
  <c r="L208" i="38" s="1"/>
  <c r="A207" i="38"/>
  <c r="I205" i="20"/>
  <c r="H206" i="20"/>
  <c r="F206" i="20"/>
  <c r="B206" i="20"/>
  <c r="I206" i="20" s="1"/>
  <c r="C206" i="20"/>
  <c r="G206" i="20"/>
  <c r="B206" i="38"/>
  <c r="I206" i="38" s="1"/>
  <c r="G206" i="38"/>
  <c r="C206" i="38"/>
  <c r="H206" i="38"/>
  <c r="F206" i="38"/>
  <c r="J220" i="19"/>
  <c r="D220" i="19"/>
  <c r="F220" i="19"/>
  <c r="A222" i="19"/>
  <c r="AV223" i="19"/>
  <c r="AW223" i="19" s="1"/>
  <c r="I220" i="19"/>
  <c r="G220" i="19"/>
  <c r="E220" i="19"/>
  <c r="B221" i="19"/>
  <c r="G221" i="19" s="1"/>
  <c r="C221" i="19"/>
  <c r="AS220" i="19"/>
  <c r="AR220" i="19"/>
  <c r="V220" i="19"/>
  <c r="AF220" i="19"/>
  <c r="P220" i="19"/>
  <c r="AI220" i="19"/>
  <c r="AB220" i="19"/>
  <c r="Y220" i="19"/>
  <c r="AL220" i="19"/>
  <c r="AT220" i="19"/>
  <c r="AG220" i="19"/>
  <c r="AQ220" i="19"/>
  <c r="AP220" i="19"/>
  <c r="AA220" i="19"/>
  <c r="AC220" i="19"/>
  <c r="Q220" i="19"/>
  <c r="L220" i="19"/>
  <c r="R220" i="19"/>
  <c r="T220" i="19"/>
  <c r="AH220" i="19"/>
  <c r="AD220" i="19"/>
  <c r="U220" i="19"/>
  <c r="AK220" i="19"/>
  <c r="AM220" i="19"/>
  <c r="AO220" i="19"/>
  <c r="W220" i="19"/>
  <c r="K220" i="19"/>
  <c r="S220" i="19"/>
  <c r="AJ220" i="19"/>
  <c r="AE220" i="19"/>
  <c r="X220" i="19"/>
  <c r="O220" i="19"/>
  <c r="N220" i="19"/>
  <c r="AU220" i="19"/>
  <c r="M220" i="19"/>
  <c r="AN220" i="19"/>
  <c r="Z220" i="19"/>
  <c r="G212" i="36" l="1"/>
  <c r="D212" i="36"/>
  <c r="E206" i="20"/>
  <c r="D206" i="20"/>
  <c r="E206" i="38"/>
  <c r="K209" i="38"/>
  <c r="L209" i="38" s="1"/>
  <c r="A208" i="38"/>
  <c r="AV215" i="36"/>
  <c r="AW215" i="36" s="1"/>
  <c r="A214" i="36"/>
  <c r="K209" i="20"/>
  <c r="L209" i="20" s="1"/>
  <c r="A208" i="20"/>
  <c r="H212" i="36"/>
  <c r="AK212" i="36"/>
  <c r="AH212" i="36"/>
  <c r="Q212" i="36"/>
  <c r="S212" i="36"/>
  <c r="U212" i="36"/>
  <c r="K212" i="36"/>
  <c r="AN212" i="36"/>
  <c r="Y212" i="36"/>
  <c r="P212" i="36"/>
  <c r="V212" i="36"/>
  <c r="AF212" i="36"/>
  <c r="AJ212" i="36"/>
  <c r="N212" i="36"/>
  <c r="AC212" i="36"/>
  <c r="Z212" i="36"/>
  <c r="AQ212" i="36"/>
  <c r="L212" i="36"/>
  <c r="AM212" i="36"/>
  <c r="AS212" i="36"/>
  <c r="AD212" i="36"/>
  <c r="X212" i="36"/>
  <c r="R212" i="36"/>
  <c r="AI212" i="36"/>
  <c r="AB212" i="36"/>
  <c r="AA212" i="36"/>
  <c r="AG212" i="36"/>
  <c r="AL212" i="36"/>
  <c r="W212" i="36"/>
  <c r="AP212" i="36"/>
  <c r="AR212" i="36"/>
  <c r="AE212" i="36"/>
  <c r="O212" i="36"/>
  <c r="AO212" i="36"/>
  <c r="AU212" i="36"/>
  <c r="M212" i="36"/>
  <c r="AT212" i="36"/>
  <c r="T212" i="36"/>
  <c r="D206" i="38"/>
  <c r="C207" i="38"/>
  <c r="B207" i="38"/>
  <c r="I207" i="38" s="1"/>
  <c r="G207" i="38"/>
  <c r="H207" i="38"/>
  <c r="F207" i="38"/>
  <c r="C213" i="36"/>
  <c r="B213" i="36"/>
  <c r="J213" i="36" s="1"/>
  <c r="B207" i="20"/>
  <c r="I207" i="20" s="1"/>
  <c r="C207" i="20"/>
  <c r="F207" i="20"/>
  <c r="G207" i="20"/>
  <c r="H207" i="20"/>
  <c r="J212" i="36"/>
  <c r="I212" i="36"/>
  <c r="E212" i="36"/>
  <c r="E221" i="19"/>
  <c r="H221" i="19"/>
  <c r="D221" i="19"/>
  <c r="F221" i="19"/>
  <c r="J221" i="19"/>
  <c r="AI221" i="19"/>
  <c r="AK221" i="19"/>
  <c r="R221" i="19"/>
  <c r="AB221" i="19"/>
  <c r="AO221" i="19"/>
  <c r="AM221" i="19"/>
  <c r="Z221" i="19"/>
  <c r="AR221" i="19"/>
  <c r="V221" i="19"/>
  <c r="AS221" i="19"/>
  <c r="AL221" i="19"/>
  <c r="X221" i="19"/>
  <c r="M221" i="19"/>
  <c r="AQ221" i="19"/>
  <c r="AU221" i="19"/>
  <c r="U221" i="19"/>
  <c r="AH221" i="19"/>
  <c r="N221" i="19"/>
  <c r="T221" i="19"/>
  <c r="Y221" i="19"/>
  <c r="AT221" i="19"/>
  <c r="AA221" i="19"/>
  <c r="O221" i="19"/>
  <c r="S221" i="19"/>
  <c r="AN221" i="19"/>
  <c r="AC221" i="19"/>
  <c r="AF221" i="19"/>
  <c r="W221" i="19"/>
  <c r="AD221" i="19"/>
  <c r="P221" i="19"/>
  <c r="AG221" i="19"/>
  <c r="AP221" i="19"/>
  <c r="K221" i="19"/>
  <c r="L221" i="19"/>
  <c r="AJ221" i="19"/>
  <c r="AE221" i="19"/>
  <c r="Q221" i="19"/>
  <c r="I221" i="19"/>
  <c r="A223" i="19"/>
  <c r="AV224" i="19"/>
  <c r="AW224" i="19" s="1"/>
  <c r="B222" i="19"/>
  <c r="G222" i="19" s="1"/>
  <c r="C222" i="19"/>
  <c r="D207" i="38" l="1"/>
  <c r="I213" i="36"/>
  <c r="D213" i="36"/>
  <c r="E207" i="38"/>
  <c r="E207" i="20"/>
  <c r="AR213" i="36"/>
  <c r="Z213" i="36"/>
  <c r="Y213" i="36"/>
  <c r="M213" i="36"/>
  <c r="X213" i="36"/>
  <c r="W213" i="36"/>
  <c r="AH213" i="36"/>
  <c r="AC213" i="36"/>
  <c r="Q213" i="36"/>
  <c r="AF213" i="36"/>
  <c r="R213" i="36"/>
  <c r="O213" i="36"/>
  <c r="AE213" i="36"/>
  <c r="AU213" i="36"/>
  <c r="AL213" i="36"/>
  <c r="T213" i="36"/>
  <c r="S213" i="36"/>
  <c r="L213" i="36"/>
  <c r="AG213" i="36"/>
  <c r="AS213" i="36"/>
  <c r="AA213" i="36"/>
  <c r="U213" i="36"/>
  <c r="AK213" i="36"/>
  <c r="AJ213" i="36"/>
  <c r="P213" i="36"/>
  <c r="AM213" i="36"/>
  <c r="AO213" i="36"/>
  <c r="AN213" i="36"/>
  <c r="AP213" i="36"/>
  <c r="AD213" i="36"/>
  <c r="K213" i="36"/>
  <c r="AB213" i="36"/>
  <c r="AQ213" i="36"/>
  <c r="AT213" i="36"/>
  <c r="AI213" i="36"/>
  <c r="V213" i="36"/>
  <c r="N213" i="36"/>
  <c r="H208" i="20"/>
  <c r="C208" i="20"/>
  <c r="F208" i="20"/>
  <c r="B208" i="20"/>
  <c r="E208" i="20" s="1"/>
  <c r="G208" i="20"/>
  <c r="G208" i="38"/>
  <c r="C208" i="38"/>
  <c r="B208" i="38"/>
  <c r="I208" i="38" s="1"/>
  <c r="H208" i="38"/>
  <c r="F208" i="38"/>
  <c r="D207" i="20"/>
  <c r="E213" i="36"/>
  <c r="F213" i="36"/>
  <c r="H213" i="36"/>
  <c r="G213" i="36"/>
  <c r="K210" i="20"/>
  <c r="L210" i="20" s="1"/>
  <c r="A209" i="20"/>
  <c r="AV216" i="36"/>
  <c r="AW216" i="36" s="1"/>
  <c r="A215" i="36"/>
  <c r="K210" i="38"/>
  <c r="L210" i="38" s="1"/>
  <c r="A209" i="38"/>
  <c r="D214" i="36"/>
  <c r="G214" i="36"/>
  <c r="H214" i="36"/>
  <c r="I214" i="36"/>
  <c r="F214" i="36"/>
  <c r="B214" i="36"/>
  <c r="C214" i="36"/>
  <c r="J214" i="36"/>
  <c r="E214" i="36"/>
  <c r="I222" i="19"/>
  <c r="D222" i="19"/>
  <c r="F222" i="19"/>
  <c r="H222" i="19"/>
  <c r="E222" i="19"/>
  <c r="U222" i="19"/>
  <c r="W222" i="19"/>
  <c r="Y222" i="19"/>
  <c r="S222" i="19"/>
  <c r="AB222" i="19"/>
  <c r="X222" i="19"/>
  <c r="AI222" i="19"/>
  <c r="AM222" i="19"/>
  <c r="AG222" i="19"/>
  <c r="AO222" i="19"/>
  <c r="AD222" i="19"/>
  <c r="P222" i="19"/>
  <c r="AA222" i="19"/>
  <c r="M222" i="19"/>
  <c r="AQ222" i="19"/>
  <c r="AL222" i="19"/>
  <c r="AU222" i="19"/>
  <c r="K222" i="19"/>
  <c r="R222" i="19"/>
  <c r="L222" i="19"/>
  <c r="AS222" i="19"/>
  <c r="AH222" i="19"/>
  <c r="T222" i="19"/>
  <c r="AP222" i="19"/>
  <c r="AF222" i="19"/>
  <c r="V222" i="19"/>
  <c r="AN222" i="19"/>
  <c r="AR222" i="19"/>
  <c r="AC222" i="19"/>
  <c r="Q222" i="19"/>
  <c r="O222" i="19"/>
  <c r="N222" i="19"/>
  <c r="Z222" i="19"/>
  <c r="AJ222" i="19"/>
  <c r="AE222" i="19"/>
  <c r="AT222" i="19"/>
  <c r="AK222" i="19"/>
  <c r="A224" i="19"/>
  <c r="AV225" i="19"/>
  <c r="AW225" i="19" s="1"/>
  <c r="C223" i="19"/>
  <c r="B223" i="19"/>
  <c r="F223" i="19" s="1"/>
  <c r="J222" i="19"/>
  <c r="D208" i="20" l="1"/>
  <c r="E208" i="38"/>
  <c r="D208" i="38"/>
  <c r="I208" i="20"/>
  <c r="K211" i="38"/>
  <c r="L211" i="38" s="1"/>
  <c r="A210" i="38"/>
  <c r="AV217" i="36"/>
  <c r="AW217" i="36" s="1"/>
  <c r="A216" i="36"/>
  <c r="K211" i="20"/>
  <c r="L211" i="20" s="1"/>
  <c r="A210" i="20"/>
  <c r="AL214" i="36"/>
  <c r="AJ214" i="36"/>
  <c r="AR214" i="36"/>
  <c r="AO214" i="36"/>
  <c r="AT214" i="36"/>
  <c r="S214" i="36"/>
  <c r="AU214" i="36"/>
  <c r="Q214" i="36"/>
  <c r="AM214" i="36"/>
  <c r="AH214" i="36"/>
  <c r="L214" i="36"/>
  <c r="O214" i="36"/>
  <c r="AS214" i="36"/>
  <c r="AG214" i="36"/>
  <c r="Z214" i="36"/>
  <c r="X214" i="36"/>
  <c r="Y214" i="36"/>
  <c r="R214" i="36"/>
  <c r="W214" i="36"/>
  <c r="AN214" i="36"/>
  <c r="U214" i="36"/>
  <c r="M214" i="36"/>
  <c r="AC214" i="36"/>
  <c r="AQ214" i="36"/>
  <c r="AK214" i="36"/>
  <c r="V214" i="36"/>
  <c r="AB214" i="36"/>
  <c r="P214" i="36"/>
  <c r="K214" i="36"/>
  <c r="AA214" i="36"/>
  <c r="AE214" i="36"/>
  <c r="AF214" i="36"/>
  <c r="AI214" i="36"/>
  <c r="AD214" i="36"/>
  <c r="T214" i="36"/>
  <c r="AP214" i="36"/>
  <c r="N214" i="36"/>
  <c r="C209" i="38"/>
  <c r="F209" i="38"/>
  <c r="H209" i="38"/>
  <c r="G209" i="38"/>
  <c r="B209" i="38"/>
  <c r="E209" i="38" s="1"/>
  <c r="F215" i="36"/>
  <c r="E215" i="36"/>
  <c r="H215" i="36"/>
  <c r="D215" i="36"/>
  <c r="G215" i="36"/>
  <c r="J215" i="36"/>
  <c r="C215" i="36"/>
  <c r="B215" i="36"/>
  <c r="I215" i="36"/>
  <c r="B209" i="20"/>
  <c r="E209" i="20" s="1"/>
  <c r="C209" i="20"/>
  <c r="H209" i="20"/>
  <c r="F209" i="20"/>
  <c r="G209" i="20"/>
  <c r="I223" i="19"/>
  <c r="E223" i="19"/>
  <c r="H223" i="19"/>
  <c r="G223" i="19"/>
  <c r="D223" i="19"/>
  <c r="J223" i="19"/>
  <c r="AI223" i="19"/>
  <c r="AP223" i="19"/>
  <c r="AH223" i="19"/>
  <c r="T223" i="19"/>
  <c r="AM223" i="19"/>
  <c r="Q223" i="19"/>
  <c r="S223" i="19"/>
  <c r="AE223" i="19"/>
  <c r="W223" i="19"/>
  <c r="AT223" i="19"/>
  <c r="AR223" i="19"/>
  <c r="AA223" i="19"/>
  <c r="AB223" i="19"/>
  <c r="R223" i="19"/>
  <c r="V223" i="19"/>
  <c r="AS223" i="19"/>
  <c r="AJ223" i="19"/>
  <c r="AD223" i="19"/>
  <c r="P223" i="19"/>
  <c r="AL223" i="19"/>
  <c r="K223" i="19"/>
  <c r="AN223" i="19"/>
  <c r="AK223" i="19"/>
  <c r="L223" i="19"/>
  <c r="AU223" i="19"/>
  <c r="M223" i="19"/>
  <c r="AF223" i="19"/>
  <c r="AG223" i="19"/>
  <c r="N223" i="19"/>
  <c r="AO223" i="19"/>
  <c r="U223" i="19"/>
  <c r="Z223" i="19"/>
  <c r="AC223" i="19"/>
  <c r="AQ223" i="19"/>
  <c r="X223" i="19"/>
  <c r="O223" i="19"/>
  <c r="Y223" i="19"/>
  <c r="AV226" i="19"/>
  <c r="AW226" i="19" s="1"/>
  <c r="A225" i="19"/>
  <c r="H224" i="19"/>
  <c r="E224" i="19"/>
  <c r="D224" i="19"/>
  <c r="I224" i="19"/>
  <c r="J224" i="19"/>
  <c r="G224" i="19"/>
  <c r="F224" i="19"/>
  <c r="C224" i="19"/>
  <c r="B224" i="19"/>
  <c r="I209" i="20" l="1"/>
  <c r="D209" i="20"/>
  <c r="D209" i="38"/>
  <c r="I209" i="38"/>
  <c r="G210" i="20"/>
  <c r="E210" i="20"/>
  <c r="D210" i="20"/>
  <c r="F210" i="20"/>
  <c r="C210" i="20"/>
  <c r="I210" i="20"/>
  <c r="H210" i="20"/>
  <c r="B210" i="20"/>
  <c r="B216" i="36"/>
  <c r="G216" i="36" s="1"/>
  <c r="C216" i="36"/>
  <c r="G210" i="38"/>
  <c r="H210" i="38"/>
  <c r="F210" i="38"/>
  <c r="D210" i="38"/>
  <c r="I210" i="38"/>
  <c r="B210" i="38"/>
  <c r="E210" i="38"/>
  <c r="C210" i="38"/>
  <c r="AQ215" i="36"/>
  <c r="Z215" i="36"/>
  <c r="O215" i="36"/>
  <c r="AH215" i="36"/>
  <c r="L215" i="36"/>
  <c r="AF215" i="36"/>
  <c r="AU215" i="36"/>
  <c r="AB215" i="36"/>
  <c r="Y215" i="36"/>
  <c r="AE215" i="36"/>
  <c r="AG215" i="36"/>
  <c r="AP215" i="36"/>
  <c r="AN215" i="36"/>
  <c r="AD215" i="36"/>
  <c r="V215" i="36"/>
  <c r="K215" i="36"/>
  <c r="AI215" i="36"/>
  <c r="Q215" i="36"/>
  <c r="AS215" i="36"/>
  <c r="N215" i="36"/>
  <c r="AJ215" i="36"/>
  <c r="AA215" i="36"/>
  <c r="W215" i="36"/>
  <c r="AM215" i="36"/>
  <c r="U215" i="36"/>
  <c r="AO215" i="36"/>
  <c r="AK215" i="36"/>
  <c r="S215" i="36"/>
  <c r="AC215" i="36"/>
  <c r="T215" i="36"/>
  <c r="M215" i="36"/>
  <c r="R215" i="36"/>
  <c r="AR215" i="36"/>
  <c r="P215" i="36"/>
  <c r="AL215" i="36"/>
  <c r="AT215" i="36"/>
  <c r="X215" i="36"/>
  <c r="K212" i="20"/>
  <c r="L212" i="20" s="1"/>
  <c r="A211" i="20"/>
  <c r="AV218" i="36"/>
  <c r="AW218" i="36" s="1"/>
  <c r="A217" i="36"/>
  <c r="K212" i="38"/>
  <c r="L212" i="38" s="1"/>
  <c r="A211" i="38"/>
  <c r="C225" i="19"/>
  <c r="I225" i="19"/>
  <c r="B225" i="19"/>
  <c r="F225" i="19"/>
  <c r="H225" i="19"/>
  <c r="D225" i="19"/>
  <c r="J225" i="19"/>
  <c r="E225" i="19"/>
  <c r="G225" i="19"/>
  <c r="AV227" i="19"/>
  <c r="AW227" i="19" s="1"/>
  <c r="A226" i="19"/>
  <c r="Y224" i="19"/>
  <c r="AD224" i="19"/>
  <c r="AG224" i="19"/>
  <c r="X224" i="19"/>
  <c r="W224" i="19"/>
  <c r="AE224" i="19"/>
  <c r="AM224" i="19"/>
  <c r="AP224" i="19"/>
  <c r="AC224" i="19"/>
  <c r="AB224" i="19"/>
  <c r="Q224" i="19"/>
  <c r="O224" i="19"/>
  <c r="AQ224" i="19"/>
  <c r="T224" i="19"/>
  <c r="AS224" i="19"/>
  <c r="V224" i="19"/>
  <c r="S224" i="19"/>
  <c r="AR224" i="19"/>
  <c r="AU224" i="19"/>
  <c r="AA224" i="19"/>
  <c r="AL224" i="19"/>
  <c r="K224" i="19"/>
  <c r="AO224" i="19"/>
  <c r="AN224" i="19"/>
  <c r="AT224" i="19"/>
  <c r="AK224" i="19"/>
  <c r="P224" i="19"/>
  <c r="AH224" i="19"/>
  <c r="R224" i="19"/>
  <c r="L224" i="19"/>
  <c r="AI224" i="19"/>
  <c r="AF224" i="19"/>
  <c r="M224" i="19"/>
  <c r="U224" i="19"/>
  <c r="Z224" i="19"/>
  <c r="N224" i="19"/>
  <c r="AJ224" i="19"/>
  <c r="D216" i="36" l="1"/>
  <c r="H216" i="36"/>
  <c r="J216" i="36"/>
  <c r="K213" i="38"/>
  <c r="L213" i="38" s="1"/>
  <c r="A212" i="38"/>
  <c r="AV219" i="36"/>
  <c r="AW219" i="36" s="1"/>
  <c r="A218" i="36"/>
  <c r="K213" i="20"/>
  <c r="L213" i="20" s="1"/>
  <c r="A212" i="20"/>
  <c r="AO216" i="36"/>
  <c r="M216" i="36"/>
  <c r="Z216" i="36"/>
  <c r="P216" i="36"/>
  <c r="AI216" i="36"/>
  <c r="Y216" i="36"/>
  <c r="AA216" i="36"/>
  <c r="AL216" i="36"/>
  <c r="S216" i="36"/>
  <c r="AN216" i="36"/>
  <c r="AU216" i="36"/>
  <c r="AC216" i="36"/>
  <c r="AS216" i="36"/>
  <c r="AK216" i="36"/>
  <c r="X216" i="36"/>
  <c r="Q216" i="36"/>
  <c r="AJ216" i="36"/>
  <c r="U216" i="36"/>
  <c r="AM216" i="36"/>
  <c r="K216" i="36"/>
  <c r="AR216" i="36"/>
  <c r="AE216" i="36"/>
  <c r="T216" i="36"/>
  <c r="R216" i="36"/>
  <c r="AH216" i="36"/>
  <c r="AD216" i="36"/>
  <c r="AG216" i="36"/>
  <c r="V216" i="36"/>
  <c r="N216" i="36"/>
  <c r="W216" i="36"/>
  <c r="AB216" i="36"/>
  <c r="AQ216" i="36"/>
  <c r="AP216" i="36"/>
  <c r="AT216" i="36"/>
  <c r="O216" i="36"/>
  <c r="L216" i="36"/>
  <c r="AF216" i="36"/>
  <c r="G211" i="38"/>
  <c r="F211" i="38"/>
  <c r="E211" i="38"/>
  <c r="D211" i="38"/>
  <c r="B211" i="38"/>
  <c r="I211" i="38"/>
  <c r="C211" i="38"/>
  <c r="H211" i="38"/>
  <c r="C217" i="36"/>
  <c r="B217" i="36"/>
  <c r="H217" i="36" s="1"/>
  <c r="C211" i="20"/>
  <c r="I211" i="20"/>
  <c r="H211" i="20"/>
  <c r="D211" i="20"/>
  <c r="G211" i="20"/>
  <c r="B211" i="20"/>
  <c r="E211" i="20"/>
  <c r="F211" i="20"/>
  <c r="E216" i="36"/>
  <c r="I216" i="36"/>
  <c r="F216" i="36"/>
  <c r="AV228" i="19"/>
  <c r="AW228" i="19" s="1"/>
  <c r="A227" i="19"/>
  <c r="AC225" i="19"/>
  <c r="AF225" i="19"/>
  <c r="AP225" i="19"/>
  <c r="AT225" i="19"/>
  <c r="N225" i="19"/>
  <c r="S225" i="19"/>
  <c r="U225" i="19"/>
  <c r="AO225" i="19"/>
  <c r="T225" i="19"/>
  <c r="AU225" i="19"/>
  <c r="W225" i="19"/>
  <c r="AS225" i="19"/>
  <c r="AB225" i="19"/>
  <c r="L225" i="19"/>
  <c r="K225" i="19"/>
  <c r="M225" i="19"/>
  <c r="AJ225" i="19"/>
  <c r="O225" i="19"/>
  <c r="Z225" i="19"/>
  <c r="AD225" i="19"/>
  <c r="AI225" i="19"/>
  <c r="AL225" i="19"/>
  <c r="AH225" i="19"/>
  <c r="AE225" i="19"/>
  <c r="AA225" i="19"/>
  <c r="R225" i="19"/>
  <c r="AR225" i="19"/>
  <c r="AN225" i="19"/>
  <c r="AM225" i="19"/>
  <c r="X225" i="19"/>
  <c r="P225" i="19"/>
  <c r="AG225" i="19"/>
  <c r="Q225" i="19"/>
  <c r="Y225" i="19"/>
  <c r="V225" i="19"/>
  <c r="AK225" i="19"/>
  <c r="AQ225" i="19"/>
  <c r="C226" i="19"/>
  <c r="B226" i="19"/>
  <c r="H226" i="19" s="1"/>
  <c r="G217" i="36" l="1"/>
  <c r="I217" i="36"/>
  <c r="E217" i="36"/>
  <c r="J217" i="36"/>
  <c r="D217" i="36"/>
  <c r="F217" i="36"/>
  <c r="C212" i="20"/>
  <c r="H212" i="20"/>
  <c r="B212" i="20"/>
  <c r="E212" i="20" s="1"/>
  <c r="G212" i="20"/>
  <c r="F212" i="20"/>
  <c r="C218" i="36"/>
  <c r="B218" i="36"/>
  <c r="G218" i="36" s="1"/>
  <c r="F212" i="38"/>
  <c r="G212" i="38"/>
  <c r="C212" i="38"/>
  <c r="B212" i="38"/>
  <c r="E212" i="38" s="1"/>
  <c r="H212" i="38"/>
  <c r="K217" i="36"/>
  <c r="V217" i="36"/>
  <c r="AE217" i="36"/>
  <c r="AU217" i="36"/>
  <c r="Q217" i="36"/>
  <c r="AQ217" i="36"/>
  <c r="AD217" i="36"/>
  <c r="AL217" i="36"/>
  <c r="AN217" i="36"/>
  <c r="AB217" i="36"/>
  <c r="AS217" i="36"/>
  <c r="AP217" i="36"/>
  <c r="AM217" i="36"/>
  <c r="AF217" i="36"/>
  <c r="AC217" i="36"/>
  <c r="O217" i="36"/>
  <c r="AK217" i="36"/>
  <c r="P217" i="36"/>
  <c r="AR217" i="36"/>
  <c r="AO217" i="36"/>
  <c r="W217" i="36"/>
  <c r="Y217" i="36"/>
  <c r="AA217" i="36"/>
  <c r="AJ217" i="36"/>
  <c r="M217" i="36"/>
  <c r="R217" i="36"/>
  <c r="U217" i="36"/>
  <c r="X217" i="36"/>
  <c r="AT217" i="36"/>
  <c r="N217" i="36"/>
  <c r="T217" i="36"/>
  <c r="AG217" i="36"/>
  <c r="L217" i="36"/>
  <c r="S217" i="36"/>
  <c r="AH217" i="36"/>
  <c r="Z217" i="36"/>
  <c r="AI217" i="36"/>
  <c r="K214" i="20"/>
  <c r="L214" i="20" s="1"/>
  <c r="A213" i="20"/>
  <c r="AV220" i="36"/>
  <c r="AW220" i="36" s="1"/>
  <c r="A219" i="36"/>
  <c r="K214" i="38"/>
  <c r="L214" i="38" s="1"/>
  <c r="A213" i="38"/>
  <c r="G226" i="19"/>
  <c r="F226" i="19"/>
  <c r="J226" i="19"/>
  <c r="I226" i="19"/>
  <c r="D226" i="19"/>
  <c r="AR226" i="19"/>
  <c r="N226" i="19"/>
  <c r="Z226" i="19"/>
  <c r="M226" i="19"/>
  <c r="AS226" i="19"/>
  <c r="X226" i="19"/>
  <c r="Q226" i="19"/>
  <c r="L226" i="19"/>
  <c r="AI226" i="19"/>
  <c r="U226" i="19"/>
  <c r="Y226" i="19"/>
  <c r="AC226" i="19"/>
  <c r="W226" i="19"/>
  <c r="AM226" i="19"/>
  <c r="AN226" i="19"/>
  <c r="S226" i="19"/>
  <c r="AF226" i="19"/>
  <c r="P226" i="19"/>
  <c r="AD226" i="19"/>
  <c r="AE226" i="19"/>
  <c r="AO226" i="19"/>
  <c r="K226" i="19"/>
  <c r="V226" i="19"/>
  <c r="AG226" i="19"/>
  <c r="AB226" i="19"/>
  <c r="T226" i="19"/>
  <c r="AQ226" i="19"/>
  <c r="O226" i="19"/>
  <c r="AU226" i="19"/>
  <c r="AJ226" i="19"/>
  <c r="R226" i="19"/>
  <c r="AK226" i="19"/>
  <c r="AL226" i="19"/>
  <c r="AH226" i="19"/>
  <c r="AA226" i="19"/>
  <c r="AP226" i="19"/>
  <c r="AT226" i="19"/>
  <c r="E226" i="19"/>
  <c r="C227" i="19"/>
  <c r="B227" i="19"/>
  <c r="F227" i="19" s="1"/>
  <c r="A228" i="19"/>
  <c r="AV229" i="19"/>
  <c r="AW229" i="19" s="1"/>
  <c r="I212" i="38" l="1"/>
  <c r="D212" i="20"/>
  <c r="J218" i="36"/>
  <c r="D212" i="38"/>
  <c r="I218" i="36"/>
  <c r="H218" i="36"/>
  <c r="E218" i="36"/>
  <c r="I212" i="20"/>
  <c r="K215" i="38"/>
  <c r="L215" i="38" s="1"/>
  <c r="A214" i="38"/>
  <c r="A220" i="36"/>
  <c r="AV221" i="36"/>
  <c r="AW221" i="36" s="1"/>
  <c r="K215" i="20"/>
  <c r="L215" i="20" s="1"/>
  <c r="A214" i="20"/>
  <c r="D218" i="36"/>
  <c r="F218" i="36"/>
  <c r="H213" i="38"/>
  <c r="C213" i="38"/>
  <c r="B213" i="38"/>
  <c r="I213" i="38" s="1"/>
  <c r="G213" i="38"/>
  <c r="F213" i="38"/>
  <c r="B219" i="36"/>
  <c r="J219" i="36"/>
  <c r="G219" i="36"/>
  <c r="H219" i="36"/>
  <c r="I219" i="36"/>
  <c r="F219" i="36"/>
  <c r="D219" i="36"/>
  <c r="E219" i="36"/>
  <c r="C219" i="36"/>
  <c r="H213" i="20"/>
  <c r="G213" i="20"/>
  <c r="F213" i="20"/>
  <c r="C213" i="20"/>
  <c r="B213" i="20"/>
  <c r="E213" i="20" s="1"/>
  <c r="AI218" i="36"/>
  <c r="AN218" i="36"/>
  <c r="AC218" i="36"/>
  <c r="O218" i="36"/>
  <c r="AJ218" i="36"/>
  <c r="T218" i="36"/>
  <c r="M218" i="36"/>
  <c r="Y218" i="36"/>
  <c r="N218" i="36"/>
  <c r="R218" i="36"/>
  <c r="U218" i="36"/>
  <c r="P218" i="36"/>
  <c r="K218" i="36"/>
  <c r="AL218" i="36"/>
  <c r="Q218" i="36"/>
  <c r="AO218" i="36"/>
  <c r="AT218" i="36"/>
  <c r="AR218" i="36"/>
  <c r="V218" i="36"/>
  <c r="AP218" i="36"/>
  <c r="AK218" i="36"/>
  <c r="AE218" i="36"/>
  <c r="AS218" i="36"/>
  <c r="AM218" i="36"/>
  <c r="AH218" i="36"/>
  <c r="AQ218" i="36"/>
  <c r="W218" i="36"/>
  <c r="AB218" i="36"/>
  <c r="X218" i="36"/>
  <c r="AD218" i="36"/>
  <c r="AF218" i="36"/>
  <c r="AA218" i="36"/>
  <c r="S218" i="36"/>
  <c r="AU218" i="36"/>
  <c r="AG218" i="36"/>
  <c r="L218" i="36"/>
  <c r="Z218" i="36"/>
  <c r="J227" i="19"/>
  <c r="H227" i="19"/>
  <c r="G227" i="19"/>
  <c r="B228" i="19"/>
  <c r="G228" i="19" s="1"/>
  <c r="C228" i="19"/>
  <c r="E227" i="19"/>
  <c r="AK227" i="19"/>
  <c r="L227" i="19"/>
  <c r="AA227" i="19"/>
  <c r="AM227" i="19"/>
  <c r="T227" i="19"/>
  <c r="N227" i="19"/>
  <c r="AD227" i="19"/>
  <c r="AJ227" i="19"/>
  <c r="X227" i="19"/>
  <c r="M227" i="19"/>
  <c r="AP227" i="19"/>
  <c r="Q227" i="19"/>
  <c r="O227" i="19"/>
  <c r="AT227" i="19"/>
  <c r="AB227" i="19"/>
  <c r="AO227" i="19"/>
  <c r="R227" i="19"/>
  <c r="AI227" i="19"/>
  <c r="AQ227" i="19"/>
  <c r="V227" i="19"/>
  <c r="AR227" i="19"/>
  <c r="K227" i="19"/>
  <c r="AC227" i="19"/>
  <c r="AS227" i="19"/>
  <c r="W227" i="19"/>
  <c r="AH227" i="19"/>
  <c r="AG227" i="19"/>
  <c r="Z227" i="19"/>
  <c r="Y227" i="19"/>
  <c r="P227" i="19"/>
  <c r="AN227" i="19"/>
  <c r="AL227" i="19"/>
  <c r="U227" i="19"/>
  <c r="AF227" i="19"/>
  <c r="AU227" i="19"/>
  <c r="AE227" i="19"/>
  <c r="S227" i="19"/>
  <c r="D227" i="19"/>
  <c r="I227" i="19"/>
  <c r="AV230" i="19"/>
  <c r="AW230" i="19" s="1"/>
  <c r="A229" i="19"/>
  <c r="D213" i="38" l="1"/>
  <c r="I213" i="20"/>
  <c r="D213" i="20"/>
  <c r="AK219" i="36"/>
  <c r="Q219" i="36"/>
  <c r="AF219" i="36"/>
  <c r="AH219" i="36"/>
  <c r="N219" i="36"/>
  <c r="AI219" i="36"/>
  <c r="L219" i="36"/>
  <c r="AU219" i="36"/>
  <c r="AO219" i="36"/>
  <c r="Z219" i="36"/>
  <c r="AB219" i="36"/>
  <c r="AT219" i="36"/>
  <c r="K219" i="36"/>
  <c r="V219" i="36"/>
  <c r="W219" i="36"/>
  <c r="S219" i="36"/>
  <c r="AA219" i="36"/>
  <c r="AP219" i="36"/>
  <c r="AM219" i="36"/>
  <c r="AL219" i="36"/>
  <c r="AJ219" i="36"/>
  <c r="Y219" i="36"/>
  <c r="M219" i="36"/>
  <c r="AN219" i="36"/>
  <c r="U219" i="36"/>
  <c r="AC219" i="36"/>
  <c r="AQ219" i="36"/>
  <c r="R219" i="36"/>
  <c r="AG219" i="36"/>
  <c r="P219" i="36"/>
  <c r="AE219" i="36"/>
  <c r="AR219" i="36"/>
  <c r="O219" i="36"/>
  <c r="T219" i="36"/>
  <c r="X219" i="36"/>
  <c r="AD219" i="36"/>
  <c r="AS219" i="36"/>
  <c r="E213" i="38"/>
  <c r="H214" i="20"/>
  <c r="C214" i="20"/>
  <c r="F214" i="20"/>
  <c r="B214" i="20"/>
  <c r="D214" i="20" s="1"/>
  <c r="G214" i="20"/>
  <c r="AV222" i="36"/>
  <c r="AW222" i="36" s="1"/>
  <c r="A221" i="36"/>
  <c r="C214" i="38"/>
  <c r="G214" i="38"/>
  <c r="F214" i="38"/>
  <c r="H214" i="38"/>
  <c r="B214" i="38"/>
  <c r="E214" i="38" s="1"/>
  <c r="K216" i="20"/>
  <c r="L216" i="20" s="1"/>
  <c r="A215" i="20"/>
  <c r="E220" i="36"/>
  <c r="C220" i="36"/>
  <c r="I220" i="36"/>
  <c r="G220" i="36"/>
  <c r="D220" i="36"/>
  <c r="B220" i="36"/>
  <c r="J220" i="36"/>
  <c r="F220" i="36"/>
  <c r="H220" i="36"/>
  <c r="K216" i="38"/>
  <c r="L216" i="38" s="1"/>
  <c r="A215" i="38"/>
  <c r="J228" i="19"/>
  <c r="D228" i="19"/>
  <c r="H228" i="19"/>
  <c r="I228" i="19"/>
  <c r="F228" i="19"/>
  <c r="E228" i="19"/>
  <c r="F229" i="19"/>
  <c r="H229" i="19"/>
  <c r="C229" i="19"/>
  <c r="G229" i="19"/>
  <c r="I229" i="19"/>
  <c r="E229" i="19"/>
  <c r="B229" i="19"/>
  <c r="D229" i="19"/>
  <c r="J229" i="19"/>
  <c r="A230" i="19"/>
  <c r="AV231" i="19"/>
  <c r="AW231" i="19" s="1"/>
  <c r="AD228" i="19"/>
  <c r="R228" i="19"/>
  <c r="AP228" i="19"/>
  <c r="L228" i="19"/>
  <c r="AO228" i="19"/>
  <c r="AE228" i="19"/>
  <c r="P228" i="19"/>
  <c r="S228" i="19"/>
  <c r="AB228" i="19"/>
  <c r="AM228" i="19"/>
  <c r="O228" i="19"/>
  <c r="M228" i="19"/>
  <c r="AS228" i="19"/>
  <c r="AL228" i="19"/>
  <c r="N228" i="19"/>
  <c r="AF228" i="19"/>
  <c r="AN228" i="19"/>
  <c r="AQ228" i="19"/>
  <c r="Q228" i="19"/>
  <c r="X228" i="19"/>
  <c r="AC228" i="19"/>
  <c r="W228" i="19"/>
  <c r="V228" i="19"/>
  <c r="AK228" i="19"/>
  <c r="AA228" i="19"/>
  <c r="AJ228" i="19"/>
  <c r="Z228" i="19"/>
  <c r="AT228" i="19"/>
  <c r="AU228" i="19"/>
  <c r="U228" i="19"/>
  <c r="AH228" i="19"/>
  <c r="AI228" i="19"/>
  <c r="Y228" i="19"/>
  <c r="T228" i="19"/>
  <c r="AR228" i="19"/>
  <c r="AG228" i="19"/>
  <c r="K228" i="19"/>
  <c r="D214" i="38" l="1"/>
  <c r="I214" i="20"/>
  <c r="I214" i="38"/>
  <c r="E214" i="20"/>
  <c r="C215" i="38"/>
  <c r="H215" i="38"/>
  <c r="F215" i="38"/>
  <c r="I215" i="38"/>
  <c r="D215" i="38"/>
  <c r="B215" i="38"/>
  <c r="E215" i="38"/>
  <c r="G215" i="38"/>
  <c r="K217" i="20"/>
  <c r="L217" i="20" s="1"/>
  <c r="A216" i="20"/>
  <c r="AV223" i="36"/>
  <c r="AW223" i="36" s="1"/>
  <c r="A222" i="36"/>
  <c r="K217" i="38"/>
  <c r="L217" i="38" s="1"/>
  <c r="A216" i="38"/>
  <c r="AB220" i="36"/>
  <c r="AK220" i="36"/>
  <c r="P220" i="36"/>
  <c r="AG220" i="36"/>
  <c r="AH220" i="36"/>
  <c r="K220" i="36"/>
  <c r="R220" i="36"/>
  <c r="W220" i="36"/>
  <c r="X220" i="36"/>
  <c r="AL220" i="36"/>
  <c r="AT220" i="36"/>
  <c r="O220" i="36"/>
  <c r="S220" i="36"/>
  <c r="V220" i="36"/>
  <c r="AD220" i="36"/>
  <c r="AE220" i="36"/>
  <c r="AF220" i="36"/>
  <c r="AC220" i="36"/>
  <c r="AI220" i="36"/>
  <c r="N220" i="36"/>
  <c r="AO220" i="36"/>
  <c r="AS220" i="36"/>
  <c r="AA220" i="36"/>
  <c r="U220" i="36"/>
  <c r="AM220" i="36"/>
  <c r="AQ220" i="36"/>
  <c r="AR220" i="36"/>
  <c r="L220" i="36"/>
  <c r="T220" i="36"/>
  <c r="Y220" i="36"/>
  <c r="Z220" i="36"/>
  <c r="AU220" i="36"/>
  <c r="AJ220" i="36"/>
  <c r="AP220" i="36"/>
  <c r="AN220" i="36"/>
  <c r="M220" i="36"/>
  <c r="Q220" i="36"/>
  <c r="B215" i="20"/>
  <c r="C215" i="20"/>
  <c r="H215" i="20"/>
  <c r="D215" i="20"/>
  <c r="I215" i="20"/>
  <c r="F215" i="20"/>
  <c r="G215" i="20"/>
  <c r="E215" i="20"/>
  <c r="C221" i="36"/>
  <c r="B221" i="36"/>
  <c r="AA229" i="19"/>
  <c r="T229" i="19"/>
  <c r="AH229" i="19"/>
  <c r="AR229" i="19"/>
  <c r="W229" i="19"/>
  <c r="U229" i="19"/>
  <c r="S229" i="19"/>
  <c r="V229" i="19"/>
  <c r="AJ229" i="19"/>
  <c r="AP229" i="19"/>
  <c r="AF229" i="19"/>
  <c r="AU229" i="19"/>
  <c r="Z229" i="19"/>
  <c r="AT229" i="19"/>
  <c r="Q229" i="19"/>
  <c r="AK229" i="19"/>
  <c r="AO229" i="19"/>
  <c r="AQ229" i="19"/>
  <c r="AC229" i="19"/>
  <c r="N229" i="19"/>
  <c r="AI229" i="19"/>
  <c r="AN229" i="19"/>
  <c r="M229" i="19"/>
  <c r="R229" i="19"/>
  <c r="AM229" i="19"/>
  <c r="X229" i="19"/>
  <c r="K229" i="19"/>
  <c r="L229" i="19"/>
  <c r="AD229" i="19"/>
  <c r="AB229" i="19"/>
  <c r="O229" i="19"/>
  <c r="Y229" i="19"/>
  <c r="AL229" i="19"/>
  <c r="P229" i="19"/>
  <c r="AG229" i="19"/>
  <c r="AS229" i="19"/>
  <c r="AE229" i="19"/>
  <c r="AV232" i="19"/>
  <c r="AW232" i="19" s="1"/>
  <c r="A231" i="19"/>
  <c r="E230" i="19"/>
  <c r="D230" i="19"/>
  <c r="I230" i="19"/>
  <c r="F230" i="19"/>
  <c r="J230" i="19"/>
  <c r="H230" i="19"/>
  <c r="B230" i="19"/>
  <c r="G230" i="19"/>
  <c r="C230" i="19"/>
  <c r="F221" i="36" l="1"/>
  <c r="O221" i="36"/>
  <c r="Q221" i="36"/>
  <c r="AP221" i="36"/>
  <c r="AC221" i="36"/>
  <c r="P221" i="36"/>
  <c r="S221" i="36"/>
  <c r="U221" i="36"/>
  <c r="AB221" i="36"/>
  <c r="Y221" i="36"/>
  <c r="AN221" i="36"/>
  <c r="AG221" i="36"/>
  <c r="AO221" i="36"/>
  <c r="R221" i="36"/>
  <c r="AH221" i="36"/>
  <c r="Z221" i="36"/>
  <c r="K221" i="36"/>
  <c r="AS221" i="36"/>
  <c r="L221" i="36"/>
  <c r="AF221" i="36"/>
  <c r="AQ221" i="36"/>
  <c r="AR221" i="36"/>
  <c r="AU221" i="36"/>
  <c r="X221" i="36"/>
  <c r="AK221" i="36"/>
  <c r="AL221" i="36"/>
  <c r="V221" i="36"/>
  <c r="AA221" i="36"/>
  <c r="AI221" i="36"/>
  <c r="AE221" i="36"/>
  <c r="AT221" i="36"/>
  <c r="T221" i="36"/>
  <c r="AD221" i="36"/>
  <c r="M221" i="36"/>
  <c r="N221" i="36"/>
  <c r="AJ221" i="36"/>
  <c r="AM221" i="36"/>
  <c r="W221" i="36"/>
  <c r="D221" i="36"/>
  <c r="H221" i="36"/>
  <c r="J221" i="36"/>
  <c r="C216" i="38"/>
  <c r="D216" i="38"/>
  <c r="G216" i="38"/>
  <c r="F216" i="38"/>
  <c r="B216" i="38"/>
  <c r="E216" i="38"/>
  <c r="H216" i="38"/>
  <c r="I216" i="38"/>
  <c r="B222" i="36"/>
  <c r="G222" i="36" s="1"/>
  <c r="C222" i="36"/>
  <c r="B216" i="20"/>
  <c r="C216" i="20"/>
  <c r="E216" i="20"/>
  <c r="H216" i="20"/>
  <c r="F216" i="20"/>
  <c r="D216" i="20"/>
  <c r="I216" i="20"/>
  <c r="G216" i="20"/>
  <c r="G221" i="36"/>
  <c r="E221" i="36"/>
  <c r="I221" i="36"/>
  <c r="K218" i="38"/>
  <c r="L218" i="38" s="1"/>
  <c r="A217" i="38"/>
  <c r="AV224" i="36"/>
  <c r="AW224" i="36" s="1"/>
  <c r="A223" i="36"/>
  <c r="K218" i="20"/>
  <c r="L218" i="20" s="1"/>
  <c r="A217" i="20"/>
  <c r="AJ230" i="19"/>
  <c r="AN230" i="19"/>
  <c r="Q230" i="19"/>
  <c r="Y230" i="19"/>
  <c r="X230" i="19"/>
  <c r="W230" i="19"/>
  <c r="P230" i="19"/>
  <c r="T230" i="19"/>
  <c r="M230" i="19"/>
  <c r="AH230" i="19"/>
  <c r="AM230" i="19"/>
  <c r="AE230" i="19"/>
  <c r="K230" i="19"/>
  <c r="AL230" i="19"/>
  <c r="AP230" i="19"/>
  <c r="AD230" i="19"/>
  <c r="U230" i="19"/>
  <c r="AC230" i="19"/>
  <c r="AQ230" i="19"/>
  <c r="O230" i="19"/>
  <c r="AB230" i="19"/>
  <c r="R230" i="19"/>
  <c r="AG230" i="19"/>
  <c r="AT230" i="19"/>
  <c r="AK230" i="19"/>
  <c r="AU230" i="19"/>
  <c r="L230" i="19"/>
  <c r="AI230" i="19"/>
  <c r="V230" i="19"/>
  <c r="N230" i="19"/>
  <c r="AS230" i="19"/>
  <c r="AA230" i="19"/>
  <c r="S230" i="19"/>
  <c r="AO230" i="19"/>
  <c r="AR230" i="19"/>
  <c r="Z230" i="19"/>
  <c r="AF230" i="19"/>
  <c r="C231" i="19"/>
  <c r="B231" i="19"/>
  <c r="I231" i="19" s="1"/>
  <c r="A232" i="19"/>
  <c r="AV233" i="19"/>
  <c r="AW233" i="19" s="1"/>
  <c r="I222" i="36" l="1"/>
  <c r="E222" i="36"/>
  <c r="D222" i="36"/>
  <c r="H222" i="36"/>
  <c r="AV225" i="36"/>
  <c r="AW225" i="36" s="1"/>
  <c r="A224" i="36"/>
  <c r="B217" i="20"/>
  <c r="D217" i="20" s="1"/>
  <c r="H217" i="20"/>
  <c r="C217" i="20"/>
  <c r="F217" i="20"/>
  <c r="G217" i="20"/>
  <c r="C223" i="36"/>
  <c r="B223" i="36"/>
  <c r="I223" i="36" s="1"/>
  <c r="B217" i="38"/>
  <c r="D217" i="38" s="1"/>
  <c r="C217" i="38"/>
  <c r="F217" i="38"/>
  <c r="G217" i="38"/>
  <c r="H217" i="38"/>
  <c r="J222" i="36"/>
  <c r="AJ222" i="36"/>
  <c r="AP222" i="36"/>
  <c r="AE222" i="36"/>
  <c r="AO222" i="36"/>
  <c r="O222" i="36"/>
  <c r="AD222" i="36"/>
  <c r="N222" i="36"/>
  <c r="AQ222" i="36"/>
  <c r="T222" i="36"/>
  <c r="AR222" i="36"/>
  <c r="S222" i="36"/>
  <c r="AI222" i="36"/>
  <c r="M222" i="36"/>
  <c r="AM222" i="36"/>
  <c r="P222" i="36"/>
  <c r="W222" i="36"/>
  <c r="X222" i="36"/>
  <c r="AN222" i="36"/>
  <c r="AG222" i="36"/>
  <c r="K222" i="36"/>
  <c r="U222" i="36"/>
  <c r="V222" i="36"/>
  <c r="Y222" i="36"/>
  <c r="AS222" i="36"/>
  <c r="AK222" i="36"/>
  <c r="AA222" i="36"/>
  <c r="AT222" i="36"/>
  <c r="AB222" i="36"/>
  <c r="AC222" i="36"/>
  <c r="AU222" i="36"/>
  <c r="AH222" i="36"/>
  <c r="R222" i="36"/>
  <c r="AF222" i="36"/>
  <c r="AL222" i="36"/>
  <c r="Q222" i="36"/>
  <c r="Z222" i="36"/>
  <c r="L222" i="36"/>
  <c r="K219" i="20"/>
  <c r="L219" i="20" s="1"/>
  <c r="A218" i="20"/>
  <c r="K219" i="38"/>
  <c r="L219" i="38" s="1"/>
  <c r="A218" i="38"/>
  <c r="F222" i="36"/>
  <c r="G231" i="19"/>
  <c r="J231" i="19"/>
  <c r="E231" i="19"/>
  <c r="H231" i="19"/>
  <c r="F231" i="19"/>
  <c r="AV234" i="19"/>
  <c r="AW234" i="19" s="1"/>
  <c r="A233" i="19"/>
  <c r="B232" i="19"/>
  <c r="H232" i="19" s="1"/>
  <c r="C232" i="19"/>
  <c r="AP231" i="19"/>
  <c r="AB231" i="19"/>
  <c r="AO231" i="19"/>
  <c r="AU231" i="19"/>
  <c r="N231" i="19"/>
  <c r="AL231" i="19"/>
  <c r="Z231" i="19"/>
  <c r="AJ231" i="19"/>
  <c r="AN231" i="19"/>
  <c r="T231" i="19"/>
  <c r="L231" i="19"/>
  <c r="Y231" i="19"/>
  <c r="S231" i="19"/>
  <c r="AQ231" i="19"/>
  <c r="AF231" i="19"/>
  <c r="Q231" i="19"/>
  <c r="AT231" i="19"/>
  <c r="P231" i="19"/>
  <c r="AG231" i="19"/>
  <c r="K231" i="19"/>
  <c r="U231" i="19"/>
  <c r="AM231" i="19"/>
  <c r="AR231" i="19"/>
  <c r="AE231" i="19"/>
  <c r="O231" i="19"/>
  <c r="AC231" i="19"/>
  <c r="X231" i="19"/>
  <c r="M231" i="19"/>
  <c r="AH231" i="19"/>
  <c r="W231" i="19"/>
  <c r="AK231" i="19"/>
  <c r="AA231" i="19"/>
  <c r="AD231" i="19"/>
  <c r="AS231" i="19"/>
  <c r="R231" i="19"/>
  <c r="V231" i="19"/>
  <c r="AI231" i="19"/>
  <c r="D231" i="19"/>
  <c r="D223" i="36" l="1"/>
  <c r="E223" i="36"/>
  <c r="F223" i="36"/>
  <c r="I217" i="38"/>
  <c r="H223" i="36"/>
  <c r="G223" i="36"/>
  <c r="J223" i="36"/>
  <c r="I217" i="20"/>
  <c r="G218" i="20"/>
  <c r="H218" i="20"/>
  <c r="F218" i="20"/>
  <c r="C218" i="20"/>
  <c r="B218" i="20"/>
  <c r="I218" i="20" s="1"/>
  <c r="Y223" i="36"/>
  <c r="AI223" i="36"/>
  <c r="AP223" i="36"/>
  <c r="AA223" i="36"/>
  <c r="AJ223" i="36"/>
  <c r="P223" i="36"/>
  <c r="O223" i="36"/>
  <c r="AG223" i="36"/>
  <c r="AB223" i="36"/>
  <c r="AS223" i="36"/>
  <c r="Z223" i="36"/>
  <c r="AO223" i="36"/>
  <c r="X223" i="36"/>
  <c r="AD223" i="36"/>
  <c r="V223" i="36"/>
  <c r="AK223" i="36"/>
  <c r="W223" i="36"/>
  <c r="AN223" i="36"/>
  <c r="K223" i="36"/>
  <c r="M223" i="36"/>
  <c r="AE223" i="36"/>
  <c r="AQ223" i="36"/>
  <c r="AH223" i="36"/>
  <c r="N223" i="36"/>
  <c r="AU223" i="36"/>
  <c r="Q223" i="36"/>
  <c r="R223" i="36"/>
  <c r="AC223" i="36"/>
  <c r="S223" i="36"/>
  <c r="U223" i="36"/>
  <c r="AR223" i="36"/>
  <c r="AT223" i="36"/>
  <c r="AF223" i="36"/>
  <c r="T223" i="36"/>
  <c r="AM223" i="36"/>
  <c r="L223" i="36"/>
  <c r="AL223" i="36"/>
  <c r="E217" i="20"/>
  <c r="B224" i="36"/>
  <c r="H224" i="36" s="1"/>
  <c r="C224" i="36"/>
  <c r="G218" i="38"/>
  <c r="B218" i="38"/>
  <c r="I218" i="38" s="1"/>
  <c r="H218" i="38"/>
  <c r="C218" i="38"/>
  <c r="F218" i="38"/>
  <c r="K220" i="38"/>
  <c r="L220" i="38" s="1"/>
  <c r="A219" i="38"/>
  <c r="K220" i="20"/>
  <c r="L220" i="20" s="1"/>
  <c r="A219" i="20"/>
  <c r="E217" i="38"/>
  <c r="AV226" i="36"/>
  <c r="AW226" i="36" s="1"/>
  <c r="A225" i="36"/>
  <c r="F232" i="19"/>
  <c r="J232" i="19"/>
  <c r="G232" i="19"/>
  <c r="I232" i="19"/>
  <c r="E232" i="19"/>
  <c r="D232" i="19"/>
  <c r="N232" i="19"/>
  <c r="AJ232" i="19"/>
  <c r="AL232" i="19"/>
  <c r="P232" i="19"/>
  <c r="AT232" i="19"/>
  <c r="AG232" i="19"/>
  <c r="AK232" i="19"/>
  <c r="AO232" i="19"/>
  <c r="S232" i="19"/>
  <c r="AU232" i="19"/>
  <c r="K232" i="19"/>
  <c r="M232" i="19"/>
  <c r="U232" i="19"/>
  <c r="AB232" i="19"/>
  <c r="T232" i="19"/>
  <c r="AR232" i="19"/>
  <c r="AF232" i="19"/>
  <c r="L232" i="19"/>
  <c r="AE232" i="19"/>
  <c r="AP232" i="19"/>
  <c r="Y232" i="19"/>
  <c r="X232" i="19"/>
  <c r="AN232" i="19"/>
  <c r="W232" i="19"/>
  <c r="Z232" i="19"/>
  <c r="R232" i="19"/>
  <c r="AS232" i="19"/>
  <c r="AA232" i="19"/>
  <c r="V232" i="19"/>
  <c r="AC232" i="19"/>
  <c r="AM232" i="19"/>
  <c r="AH232" i="19"/>
  <c r="AQ232" i="19"/>
  <c r="AI232" i="19"/>
  <c r="AD232" i="19"/>
  <c r="O232" i="19"/>
  <c r="Q232" i="19"/>
  <c r="B233" i="19"/>
  <c r="H233" i="19" s="1"/>
  <c r="C233" i="19"/>
  <c r="AV235" i="19"/>
  <c r="AW235" i="19" s="1"/>
  <c r="A234" i="19"/>
  <c r="F224" i="36" l="1"/>
  <c r="D224" i="36"/>
  <c r="G224" i="36"/>
  <c r="E224" i="36"/>
  <c r="I224" i="36"/>
  <c r="E218" i="20"/>
  <c r="K221" i="20"/>
  <c r="L221" i="20" s="1"/>
  <c r="A220" i="20"/>
  <c r="K221" i="38"/>
  <c r="L221" i="38" s="1"/>
  <c r="A220" i="38"/>
  <c r="E218" i="38"/>
  <c r="AV227" i="36"/>
  <c r="AW227" i="36" s="1"/>
  <c r="A226" i="36"/>
  <c r="B219" i="20"/>
  <c r="D219" i="20" s="1"/>
  <c r="G219" i="20"/>
  <c r="F219" i="20"/>
  <c r="H219" i="20"/>
  <c r="C219" i="20"/>
  <c r="B219" i="38"/>
  <c r="D219" i="38" s="1"/>
  <c r="F219" i="38"/>
  <c r="G219" i="38"/>
  <c r="H219" i="38"/>
  <c r="C219" i="38"/>
  <c r="D218" i="38"/>
  <c r="J224" i="36"/>
  <c r="R224" i="36"/>
  <c r="AC224" i="36"/>
  <c r="K224" i="36"/>
  <c r="M224" i="36"/>
  <c r="AK224" i="36"/>
  <c r="AE224" i="36"/>
  <c r="S224" i="36"/>
  <c r="W224" i="36"/>
  <c r="Y224" i="36"/>
  <c r="V224" i="36"/>
  <c r="AB224" i="36"/>
  <c r="AQ224" i="36"/>
  <c r="AF224" i="36"/>
  <c r="AI224" i="36"/>
  <c r="L224" i="36"/>
  <c r="AP224" i="36"/>
  <c r="P224" i="36"/>
  <c r="T224" i="36"/>
  <c r="AO224" i="36"/>
  <c r="AA224" i="36"/>
  <c r="AT224" i="36"/>
  <c r="AL224" i="36"/>
  <c r="AU224" i="36"/>
  <c r="AD224" i="36"/>
  <c r="O224" i="36"/>
  <c r="AM224" i="36"/>
  <c r="U224" i="36"/>
  <c r="Z224" i="36"/>
  <c r="AJ224" i="36"/>
  <c r="N224" i="36"/>
  <c r="AS224" i="36"/>
  <c r="AG224" i="36"/>
  <c r="AR224" i="36"/>
  <c r="AN224" i="36"/>
  <c r="X224" i="36"/>
  <c r="AH224" i="36"/>
  <c r="Q224" i="36"/>
  <c r="D218" i="20"/>
  <c r="C225" i="36"/>
  <c r="B225" i="36"/>
  <c r="G225" i="36" s="1"/>
  <c r="I233" i="19"/>
  <c r="G233" i="19"/>
  <c r="D233" i="19"/>
  <c r="J233" i="19"/>
  <c r="E233" i="19"/>
  <c r="F233" i="19"/>
  <c r="AV236" i="19"/>
  <c r="AW236" i="19" s="1"/>
  <c r="A235" i="19"/>
  <c r="AA233" i="19"/>
  <c r="AB233" i="19"/>
  <c r="AE233" i="19"/>
  <c r="AI233" i="19"/>
  <c r="AG233" i="19"/>
  <c r="P233" i="19"/>
  <c r="AL233" i="19"/>
  <c r="R233" i="19"/>
  <c r="AH233" i="19"/>
  <c r="AS233" i="19"/>
  <c r="AO233" i="19"/>
  <c r="AN233" i="19"/>
  <c r="T233" i="19"/>
  <c r="K233" i="19"/>
  <c r="W233" i="19"/>
  <c r="AF233" i="19"/>
  <c r="Q233" i="19"/>
  <c r="U233" i="19"/>
  <c r="N233" i="19"/>
  <c r="AR233" i="19"/>
  <c r="O233" i="19"/>
  <c r="AQ233" i="19"/>
  <c r="AM233" i="19"/>
  <c r="AD233" i="19"/>
  <c r="AC233" i="19"/>
  <c r="Z233" i="19"/>
  <c r="AP233" i="19"/>
  <c r="M233" i="19"/>
  <c r="X233" i="19"/>
  <c r="AT233" i="19"/>
  <c r="S233" i="19"/>
  <c r="AU233" i="19"/>
  <c r="Y233" i="19"/>
  <c r="L233" i="19"/>
  <c r="AJ233" i="19"/>
  <c r="AK233" i="19"/>
  <c r="V233" i="19"/>
  <c r="B234" i="19"/>
  <c r="H234" i="19" s="1"/>
  <c r="C234" i="19"/>
  <c r="F225" i="36" l="1"/>
  <c r="I225" i="36"/>
  <c r="H225" i="36"/>
  <c r="J225" i="36"/>
  <c r="E225" i="36"/>
  <c r="D225" i="36"/>
  <c r="I219" i="38"/>
  <c r="E219" i="20"/>
  <c r="I219" i="20"/>
  <c r="C226" i="36"/>
  <c r="B226" i="36"/>
  <c r="D226" i="36" s="1"/>
  <c r="K222" i="38"/>
  <c r="L222" i="38" s="1"/>
  <c r="A221" i="38"/>
  <c r="K222" i="20"/>
  <c r="L222" i="20" s="1"/>
  <c r="A221" i="20"/>
  <c r="AJ225" i="36"/>
  <c r="M225" i="36"/>
  <c r="S225" i="36"/>
  <c r="AE225" i="36"/>
  <c r="AI225" i="36"/>
  <c r="T225" i="36"/>
  <c r="X225" i="36"/>
  <c r="K225" i="36"/>
  <c r="AA225" i="36"/>
  <c r="AK225" i="36"/>
  <c r="AC225" i="36"/>
  <c r="AH225" i="36"/>
  <c r="N225" i="36"/>
  <c r="AL225" i="36"/>
  <c r="L225" i="36"/>
  <c r="AG225" i="36"/>
  <c r="O225" i="36"/>
  <c r="AR225" i="36"/>
  <c r="R225" i="36"/>
  <c r="Q225" i="36"/>
  <c r="AQ225" i="36"/>
  <c r="AT225" i="36"/>
  <c r="AF225" i="36"/>
  <c r="AU225" i="36"/>
  <c r="Y225" i="36"/>
  <c r="W225" i="36"/>
  <c r="AS225" i="36"/>
  <c r="V225" i="36"/>
  <c r="Z225" i="36"/>
  <c r="U225" i="36"/>
  <c r="AD225" i="36"/>
  <c r="AM225" i="36"/>
  <c r="AO225" i="36"/>
  <c r="AP225" i="36"/>
  <c r="AB225" i="36"/>
  <c r="P225" i="36"/>
  <c r="AN225" i="36"/>
  <c r="E219" i="38"/>
  <c r="A227" i="36"/>
  <c r="AV228" i="36"/>
  <c r="AW228" i="36" s="1"/>
  <c r="B220" i="38"/>
  <c r="D220" i="38" s="1"/>
  <c r="C220" i="38"/>
  <c r="G220" i="38"/>
  <c r="H220" i="38"/>
  <c r="F220" i="38"/>
  <c r="C220" i="20"/>
  <c r="F220" i="20"/>
  <c r="B220" i="20"/>
  <c r="D220" i="20" s="1"/>
  <c r="G220" i="20"/>
  <c r="H220" i="20"/>
  <c r="J234" i="19"/>
  <c r="E234" i="19"/>
  <c r="G234" i="19"/>
  <c r="D234" i="19"/>
  <c r="AK234" i="19"/>
  <c r="AO234" i="19"/>
  <c r="O234" i="19"/>
  <c r="R234" i="19"/>
  <c r="P234" i="19"/>
  <c r="T234" i="19"/>
  <c r="M234" i="19"/>
  <c r="AD234" i="19"/>
  <c r="Y234" i="19"/>
  <c r="V234" i="19"/>
  <c r="AC234" i="19"/>
  <c r="AM234" i="19"/>
  <c r="N234" i="19"/>
  <c r="AH234" i="19"/>
  <c r="AS234" i="19"/>
  <c r="AG234" i="19"/>
  <c r="AI234" i="19"/>
  <c r="AR234" i="19"/>
  <c r="AB234" i="19"/>
  <c r="AE234" i="19"/>
  <c r="L234" i="19"/>
  <c r="K234" i="19"/>
  <c r="AQ234" i="19"/>
  <c r="AL234" i="19"/>
  <c r="AJ234" i="19"/>
  <c r="AP234" i="19"/>
  <c r="AF234" i="19"/>
  <c r="AA234" i="19"/>
  <c r="U234" i="19"/>
  <c r="Z234" i="19"/>
  <c r="Q234" i="19"/>
  <c r="S234" i="19"/>
  <c r="X234" i="19"/>
  <c r="W234" i="19"/>
  <c r="AU234" i="19"/>
  <c r="AT234" i="19"/>
  <c r="AN234" i="19"/>
  <c r="B235" i="19"/>
  <c r="E235" i="19" s="1"/>
  <c r="C235" i="19"/>
  <c r="AV237" i="19"/>
  <c r="AW237" i="19" s="1"/>
  <c r="A236" i="19"/>
  <c r="F234" i="19"/>
  <c r="I234" i="19"/>
  <c r="I220" i="20" l="1"/>
  <c r="E226" i="36"/>
  <c r="E220" i="20"/>
  <c r="E220" i="38"/>
  <c r="I226" i="36"/>
  <c r="J226" i="36"/>
  <c r="F226" i="36"/>
  <c r="H226" i="36"/>
  <c r="K223" i="20"/>
  <c r="L223" i="20" s="1"/>
  <c r="A222" i="20"/>
  <c r="K223" i="38"/>
  <c r="L223" i="38" s="1"/>
  <c r="A222" i="38"/>
  <c r="I220" i="38"/>
  <c r="AV229" i="36"/>
  <c r="AW229" i="36" s="1"/>
  <c r="A228" i="36"/>
  <c r="G221" i="20"/>
  <c r="C221" i="20"/>
  <c r="F221" i="20"/>
  <c r="B221" i="20"/>
  <c r="I221" i="20" s="1"/>
  <c r="H221" i="20"/>
  <c r="H221" i="38"/>
  <c r="G221" i="38"/>
  <c r="F221" i="38"/>
  <c r="C221" i="38"/>
  <c r="B221" i="38"/>
  <c r="I221" i="38" s="1"/>
  <c r="G226" i="36"/>
  <c r="AU226" i="36"/>
  <c r="U226" i="36"/>
  <c r="T226" i="36"/>
  <c r="AL226" i="36"/>
  <c r="AE226" i="36"/>
  <c r="O226" i="36"/>
  <c r="AH226" i="36"/>
  <c r="AB226" i="36"/>
  <c r="S226" i="36"/>
  <c r="AR226" i="36"/>
  <c r="AG226" i="36"/>
  <c r="M226" i="36"/>
  <c r="Z226" i="36"/>
  <c r="N226" i="36"/>
  <c r="V226" i="36"/>
  <c r="W226" i="36"/>
  <c r="AC226" i="36"/>
  <c r="Y226" i="36"/>
  <c r="AI226" i="36"/>
  <c r="AS226" i="36"/>
  <c r="AT226" i="36"/>
  <c r="R226" i="36"/>
  <c r="AP226" i="36"/>
  <c r="Q226" i="36"/>
  <c r="P226" i="36"/>
  <c r="AF226" i="36"/>
  <c r="L226" i="36"/>
  <c r="AN226" i="36"/>
  <c r="AA226" i="36"/>
  <c r="AQ226" i="36"/>
  <c r="AO226" i="36"/>
  <c r="AM226" i="36"/>
  <c r="K226" i="36"/>
  <c r="AK226" i="36"/>
  <c r="AD226" i="36"/>
  <c r="AJ226" i="36"/>
  <c r="X226" i="36"/>
  <c r="E227" i="36"/>
  <c r="J227" i="36"/>
  <c r="F227" i="36"/>
  <c r="I227" i="36"/>
  <c r="B227" i="36"/>
  <c r="H227" i="36"/>
  <c r="C227" i="36"/>
  <c r="G227" i="36"/>
  <c r="D227" i="36"/>
  <c r="G235" i="19"/>
  <c r="D235" i="19"/>
  <c r="H235" i="19"/>
  <c r="J235" i="19"/>
  <c r="C236" i="19"/>
  <c r="B236" i="19"/>
  <c r="E236" i="19" s="1"/>
  <c r="AA235" i="19"/>
  <c r="O235" i="19"/>
  <c r="U235" i="19"/>
  <c r="T235" i="19"/>
  <c r="Y235" i="19"/>
  <c r="AS235" i="19"/>
  <c r="AF235" i="19"/>
  <c r="Z235" i="19"/>
  <c r="AP235" i="19"/>
  <c r="AL235" i="19"/>
  <c r="AD235" i="19"/>
  <c r="AM235" i="19"/>
  <c r="L235" i="19"/>
  <c r="M235" i="19"/>
  <c r="AH235" i="19"/>
  <c r="AJ235" i="19"/>
  <c r="X235" i="19"/>
  <c r="AR235" i="19"/>
  <c r="AO235" i="19"/>
  <c r="P235" i="19"/>
  <c r="AK235" i="19"/>
  <c r="AC235" i="19"/>
  <c r="AU235" i="19"/>
  <c r="AI235" i="19"/>
  <c r="R235" i="19"/>
  <c r="AB235" i="19"/>
  <c r="AT235" i="19"/>
  <c r="AE235" i="19"/>
  <c r="W235" i="19"/>
  <c r="K235" i="19"/>
  <c r="V235" i="19"/>
  <c r="Q235" i="19"/>
  <c r="N235" i="19"/>
  <c r="AN235" i="19"/>
  <c r="AG235" i="19"/>
  <c r="S235" i="19"/>
  <c r="AQ235" i="19"/>
  <c r="A237" i="19"/>
  <c r="AV238" i="19"/>
  <c r="AW238" i="19" s="1"/>
  <c r="I235" i="19"/>
  <c r="F235" i="19"/>
  <c r="D221" i="20" l="1"/>
  <c r="D221" i="38"/>
  <c r="AP227" i="36"/>
  <c r="AH227" i="36"/>
  <c r="M227" i="36"/>
  <c r="T227" i="36"/>
  <c r="AQ227" i="36"/>
  <c r="AJ227" i="36"/>
  <c r="AT227" i="36"/>
  <c r="AO227" i="36"/>
  <c r="AL227" i="36"/>
  <c r="AD227" i="36"/>
  <c r="AG227" i="36"/>
  <c r="W227" i="36"/>
  <c r="AE227" i="36"/>
  <c r="AN227" i="36"/>
  <c r="AR227" i="36"/>
  <c r="AS227" i="36"/>
  <c r="AA227" i="36"/>
  <c r="S227" i="36"/>
  <c r="AU227" i="36"/>
  <c r="U227" i="36"/>
  <c r="N227" i="36"/>
  <c r="AK227" i="36"/>
  <c r="AM227" i="36"/>
  <c r="Z227" i="36"/>
  <c r="AB227" i="36"/>
  <c r="X227" i="36"/>
  <c r="L227" i="36"/>
  <c r="AC227" i="36"/>
  <c r="O227" i="36"/>
  <c r="V227" i="36"/>
  <c r="Q227" i="36"/>
  <c r="Y227" i="36"/>
  <c r="P227" i="36"/>
  <c r="AI227" i="36"/>
  <c r="AF227" i="36"/>
  <c r="R227" i="36"/>
  <c r="K227" i="36"/>
  <c r="E221" i="38"/>
  <c r="E221" i="20"/>
  <c r="AV230" i="36"/>
  <c r="AW230" i="36" s="1"/>
  <c r="A229" i="36"/>
  <c r="G222" i="38"/>
  <c r="H222" i="38"/>
  <c r="F222" i="38"/>
  <c r="C222" i="38"/>
  <c r="B222" i="38"/>
  <c r="I222" i="38" s="1"/>
  <c r="B222" i="20"/>
  <c r="D222" i="20" s="1"/>
  <c r="H222" i="20"/>
  <c r="G222" i="20"/>
  <c r="C222" i="20"/>
  <c r="F222" i="20"/>
  <c r="E228" i="36"/>
  <c r="I228" i="36"/>
  <c r="F228" i="36"/>
  <c r="J228" i="36"/>
  <c r="H228" i="36"/>
  <c r="D228" i="36"/>
  <c r="B228" i="36"/>
  <c r="C228" i="36"/>
  <c r="G228" i="36"/>
  <c r="K224" i="38"/>
  <c r="L224" i="38" s="1"/>
  <c r="A223" i="38"/>
  <c r="K224" i="20"/>
  <c r="L224" i="20" s="1"/>
  <c r="A223" i="20"/>
  <c r="I236" i="19"/>
  <c r="H236" i="19"/>
  <c r="F236" i="19"/>
  <c r="J236" i="19"/>
  <c r="G236" i="19"/>
  <c r="AV239" i="19"/>
  <c r="AW239" i="19" s="1"/>
  <c r="A238" i="19"/>
  <c r="D236" i="19"/>
  <c r="D237" i="19"/>
  <c r="C237" i="19"/>
  <c r="I237" i="19"/>
  <c r="J237" i="19"/>
  <c r="B237" i="19"/>
  <c r="G237" i="19"/>
  <c r="H237" i="19"/>
  <c r="E237" i="19"/>
  <c r="F237" i="19"/>
  <c r="AE236" i="19"/>
  <c r="AH236" i="19"/>
  <c r="AL236" i="19"/>
  <c r="AT236" i="19"/>
  <c r="AJ236" i="19"/>
  <c r="AQ236" i="19"/>
  <c r="K236" i="19"/>
  <c r="AP236" i="19"/>
  <c r="N236" i="19"/>
  <c r="AM236" i="19"/>
  <c r="W236" i="19"/>
  <c r="M236" i="19"/>
  <c r="R236" i="19"/>
  <c r="L236" i="19"/>
  <c r="AD236" i="19"/>
  <c r="AA236" i="19"/>
  <c r="X236" i="19"/>
  <c r="U236" i="19"/>
  <c r="O236" i="19"/>
  <c r="V236" i="19"/>
  <c r="T236" i="19"/>
  <c r="AB236" i="19"/>
  <c r="AU236" i="19"/>
  <c r="AF236" i="19"/>
  <c r="AI236" i="19"/>
  <c r="Z236" i="19"/>
  <c r="AO236" i="19"/>
  <c r="AG236" i="19"/>
  <c r="Q236" i="19"/>
  <c r="P236" i="19"/>
  <c r="AS236" i="19"/>
  <c r="S236" i="19"/>
  <c r="AN236" i="19"/>
  <c r="AK236" i="19"/>
  <c r="AC236" i="19"/>
  <c r="Y236" i="19"/>
  <c r="AR236" i="19"/>
  <c r="D222" i="38" l="1"/>
  <c r="E222" i="38"/>
  <c r="I222" i="20"/>
  <c r="K225" i="20"/>
  <c r="L225" i="20" s="1"/>
  <c r="A224" i="20"/>
  <c r="K225" i="38"/>
  <c r="L225" i="38" s="1"/>
  <c r="A224" i="38"/>
  <c r="E222" i="20"/>
  <c r="AV231" i="36"/>
  <c r="AW231" i="36" s="1"/>
  <c r="A230" i="36"/>
  <c r="E223" i="20"/>
  <c r="G223" i="20"/>
  <c r="H223" i="20"/>
  <c r="B223" i="20"/>
  <c r="F223" i="20"/>
  <c r="D223" i="20"/>
  <c r="I223" i="20"/>
  <c r="C223" i="20"/>
  <c r="B223" i="38"/>
  <c r="I223" i="38"/>
  <c r="F223" i="38"/>
  <c r="H223" i="38"/>
  <c r="E223" i="38"/>
  <c r="D223" i="38"/>
  <c r="G223" i="38"/>
  <c r="C223" i="38"/>
  <c r="V228" i="36"/>
  <c r="AS228" i="36"/>
  <c r="AF228" i="36"/>
  <c r="O228" i="36"/>
  <c r="AD228" i="36"/>
  <c r="AU228" i="36"/>
  <c r="Q228" i="36"/>
  <c r="M228" i="36"/>
  <c r="U228" i="36"/>
  <c r="AC228" i="36"/>
  <c r="S228" i="36"/>
  <c r="AA228" i="36"/>
  <c r="AE228" i="36"/>
  <c r="AN228" i="36"/>
  <c r="AJ228" i="36"/>
  <c r="AO228" i="36"/>
  <c r="R228" i="36"/>
  <c r="AH228" i="36"/>
  <c r="L228" i="36"/>
  <c r="K228" i="36"/>
  <c r="AR228" i="36"/>
  <c r="AK228" i="36"/>
  <c r="W228" i="36"/>
  <c r="AB228" i="36"/>
  <c r="AL228" i="36"/>
  <c r="AM228" i="36"/>
  <c r="AG228" i="36"/>
  <c r="AQ228" i="36"/>
  <c r="AT228" i="36"/>
  <c r="N228" i="36"/>
  <c r="X228" i="36"/>
  <c r="Z228" i="36"/>
  <c r="P228" i="36"/>
  <c r="AI228" i="36"/>
  <c r="AP228" i="36"/>
  <c r="Y228" i="36"/>
  <c r="T228" i="36"/>
  <c r="B229" i="36"/>
  <c r="I229" i="36" s="1"/>
  <c r="C229" i="36"/>
  <c r="AU237" i="19"/>
  <c r="P237" i="19"/>
  <c r="T237" i="19"/>
  <c r="X237" i="19"/>
  <c r="R237" i="19"/>
  <c r="AJ237" i="19"/>
  <c r="Q237" i="19"/>
  <c r="U237" i="19"/>
  <c r="O237" i="19"/>
  <c r="AB237" i="19"/>
  <c r="AC237" i="19"/>
  <c r="L237" i="19"/>
  <c r="AI237" i="19"/>
  <c r="AD237" i="19"/>
  <c r="W237" i="19"/>
  <c r="AQ237" i="19"/>
  <c r="AA237" i="19"/>
  <c r="AF237" i="19"/>
  <c r="AE237" i="19"/>
  <c r="V237" i="19"/>
  <c r="N237" i="19"/>
  <c r="AK237" i="19"/>
  <c r="AT237" i="19"/>
  <c r="AL237" i="19"/>
  <c r="S237" i="19"/>
  <c r="M237" i="19"/>
  <c r="AN237" i="19"/>
  <c r="AS237" i="19"/>
  <c r="AO237" i="19"/>
  <c r="Z237" i="19"/>
  <c r="AR237" i="19"/>
  <c r="K237" i="19"/>
  <c r="Y237" i="19"/>
  <c r="AH237" i="19"/>
  <c r="AM237" i="19"/>
  <c r="AG237" i="19"/>
  <c r="AP237" i="19"/>
  <c r="J238" i="19"/>
  <c r="F238" i="19"/>
  <c r="G238" i="19"/>
  <c r="B238" i="19"/>
  <c r="E238" i="19"/>
  <c r="H238" i="19"/>
  <c r="I238" i="19"/>
  <c r="C238" i="19"/>
  <c r="D238" i="19"/>
  <c r="A239" i="19"/>
  <c r="AV240" i="19"/>
  <c r="AW240" i="19" s="1"/>
  <c r="F229" i="36" l="1"/>
  <c r="E229" i="36"/>
  <c r="H229" i="36"/>
  <c r="J229" i="36"/>
  <c r="G229" i="36"/>
  <c r="A231" i="36"/>
  <c r="AV232" i="36"/>
  <c r="AW232" i="36" s="1"/>
  <c r="H224" i="38"/>
  <c r="B224" i="38"/>
  <c r="I224" i="38"/>
  <c r="E224" i="38"/>
  <c r="D224" i="38"/>
  <c r="C224" i="38"/>
  <c r="G224" i="38"/>
  <c r="F224" i="38"/>
  <c r="G224" i="20"/>
  <c r="D224" i="20"/>
  <c r="I224" i="20"/>
  <c r="B224" i="20"/>
  <c r="H224" i="20"/>
  <c r="E224" i="20"/>
  <c r="F224" i="20"/>
  <c r="C224" i="20"/>
  <c r="D229" i="36"/>
  <c r="R229" i="36"/>
  <c r="AP229" i="36"/>
  <c r="T229" i="36"/>
  <c r="O229" i="36"/>
  <c r="AE229" i="36"/>
  <c r="AC229" i="36"/>
  <c r="AK229" i="36"/>
  <c r="AI229" i="36"/>
  <c r="AL229" i="36"/>
  <c r="AR229" i="36"/>
  <c r="AM229" i="36"/>
  <c r="AJ229" i="36"/>
  <c r="AG229" i="36"/>
  <c r="W229" i="36"/>
  <c r="AB229" i="36"/>
  <c r="Y229" i="36"/>
  <c r="AH229" i="36"/>
  <c r="AT229" i="36"/>
  <c r="V229" i="36"/>
  <c r="AQ229" i="36"/>
  <c r="AS229" i="36"/>
  <c r="X229" i="36"/>
  <c r="AN229" i="36"/>
  <c r="N229" i="36"/>
  <c r="S229" i="36"/>
  <c r="AF229" i="36"/>
  <c r="P229" i="36"/>
  <c r="K229" i="36"/>
  <c r="AD229" i="36"/>
  <c r="AA229" i="36"/>
  <c r="M229" i="36"/>
  <c r="U229" i="36"/>
  <c r="AU229" i="36"/>
  <c r="L229" i="36"/>
  <c r="Z229" i="36"/>
  <c r="Q229" i="36"/>
  <c r="AO229" i="36"/>
  <c r="C230" i="36"/>
  <c r="B230" i="36"/>
  <c r="F230" i="36" s="1"/>
  <c r="K226" i="38"/>
  <c r="L226" i="38" s="1"/>
  <c r="A225" i="38"/>
  <c r="K226" i="20"/>
  <c r="L226" i="20" s="1"/>
  <c r="A225" i="20"/>
  <c r="AV241" i="19"/>
  <c r="AW241" i="19" s="1"/>
  <c r="A240" i="19"/>
  <c r="AB238" i="19"/>
  <c r="AI238" i="19"/>
  <c r="AS238" i="19"/>
  <c r="AR238" i="19"/>
  <c r="T238" i="19"/>
  <c r="AJ238" i="19"/>
  <c r="R238" i="19"/>
  <c r="Q238" i="19"/>
  <c r="AU238" i="19"/>
  <c r="AO238" i="19"/>
  <c r="AH238" i="19"/>
  <c r="P238" i="19"/>
  <c r="N238" i="19"/>
  <c r="L238" i="19"/>
  <c r="AK238" i="19"/>
  <c r="Y238" i="19"/>
  <c r="AC238" i="19"/>
  <c r="Z238" i="19"/>
  <c r="AT238" i="19"/>
  <c r="V238" i="19"/>
  <c r="AA238" i="19"/>
  <c r="O238" i="19"/>
  <c r="M238" i="19"/>
  <c r="U238" i="19"/>
  <c r="K238" i="19"/>
  <c r="X238" i="19"/>
  <c r="AD238" i="19"/>
  <c r="AM238" i="19"/>
  <c r="AQ238" i="19"/>
  <c r="AF238" i="19"/>
  <c r="AG238" i="19"/>
  <c r="S238" i="19"/>
  <c r="AE238" i="19"/>
  <c r="W238" i="19"/>
  <c r="AL238" i="19"/>
  <c r="AN238" i="19"/>
  <c r="AP238" i="19"/>
  <c r="B239" i="19"/>
  <c r="I239" i="19" s="1"/>
  <c r="C239" i="19"/>
  <c r="D230" i="36" l="1"/>
  <c r="I230" i="36"/>
  <c r="H230" i="36"/>
  <c r="H225" i="20"/>
  <c r="G225" i="20"/>
  <c r="B225" i="20"/>
  <c r="D225" i="20" s="1"/>
  <c r="F225" i="20"/>
  <c r="C225" i="20"/>
  <c r="C225" i="38"/>
  <c r="B225" i="38"/>
  <c r="D225" i="38" s="1"/>
  <c r="H225" i="38"/>
  <c r="G225" i="38"/>
  <c r="F225" i="38"/>
  <c r="J230" i="36"/>
  <c r="G230" i="36"/>
  <c r="E230" i="36"/>
  <c r="F231" i="36"/>
  <c r="I231" i="36"/>
  <c r="B231" i="36"/>
  <c r="C231" i="36"/>
  <c r="D231" i="36"/>
  <c r="G231" i="36"/>
  <c r="H231" i="36"/>
  <c r="J231" i="36"/>
  <c r="E231" i="36"/>
  <c r="K227" i="20"/>
  <c r="L227" i="20" s="1"/>
  <c r="A226" i="20"/>
  <c r="K227" i="38"/>
  <c r="L227" i="38" s="1"/>
  <c r="A226" i="38"/>
  <c r="AS230" i="36"/>
  <c r="N230" i="36"/>
  <c r="AD230" i="36"/>
  <c r="AC230" i="36"/>
  <c r="AP230" i="36"/>
  <c r="U230" i="36"/>
  <c r="AK230" i="36"/>
  <c r="Y230" i="36"/>
  <c r="T230" i="36"/>
  <c r="AN230" i="36"/>
  <c r="AL230" i="36"/>
  <c r="AR230" i="36"/>
  <c r="AO230" i="36"/>
  <c r="Z230" i="36"/>
  <c r="AH230" i="36"/>
  <c r="AI230" i="36"/>
  <c r="K230" i="36"/>
  <c r="AG230" i="36"/>
  <c r="M230" i="36"/>
  <c r="AB230" i="36"/>
  <c r="R230" i="36"/>
  <c r="AE230" i="36"/>
  <c r="AJ230" i="36"/>
  <c r="V230" i="36"/>
  <c r="AU230" i="36"/>
  <c r="Q230" i="36"/>
  <c r="S230" i="36"/>
  <c r="O230" i="36"/>
  <c r="AA230" i="36"/>
  <c r="L230" i="36"/>
  <c r="AF230" i="36"/>
  <c r="W230" i="36"/>
  <c r="P230" i="36"/>
  <c r="AM230" i="36"/>
  <c r="AT230" i="36"/>
  <c r="AQ230" i="36"/>
  <c r="X230" i="36"/>
  <c r="AV233" i="36"/>
  <c r="AW233" i="36" s="1"/>
  <c r="A232" i="36"/>
  <c r="J239" i="19"/>
  <c r="D239" i="19"/>
  <c r="G239" i="19"/>
  <c r="E239" i="19"/>
  <c r="H239" i="19"/>
  <c r="X239" i="19"/>
  <c r="O239" i="19"/>
  <c r="L239" i="19"/>
  <c r="AO239" i="19"/>
  <c r="AG239" i="19"/>
  <c r="AF239" i="19"/>
  <c r="R239" i="19"/>
  <c r="K239" i="19"/>
  <c r="P239" i="19"/>
  <c r="AU239" i="19"/>
  <c r="AP239" i="19"/>
  <c r="Z239" i="19"/>
  <c r="AK239" i="19"/>
  <c r="Y239" i="19"/>
  <c r="Q239" i="19"/>
  <c r="M239" i="19"/>
  <c r="AS239" i="19"/>
  <c r="N239" i="19"/>
  <c r="AA239" i="19"/>
  <c r="AR239" i="19"/>
  <c r="S239" i="19"/>
  <c r="AH239" i="19"/>
  <c r="AT239" i="19"/>
  <c r="AI239" i="19"/>
  <c r="T239" i="19"/>
  <c r="U239" i="19"/>
  <c r="AD239" i="19"/>
  <c r="V239" i="19"/>
  <c r="AQ239" i="19"/>
  <c r="AE239" i="19"/>
  <c r="AL239" i="19"/>
  <c r="AB239" i="19"/>
  <c r="AM239" i="19"/>
  <c r="AJ239" i="19"/>
  <c r="AC239" i="19"/>
  <c r="W239" i="19"/>
  <c r="AN239" i="19"/>
  <c r="F239" i="19"/>
  <c r="C240" i="19"/>
  <c r="B240" i="19"/>
  <c r="G240" i="19" s="1"/>
  <c r="AV242" i="19"/>
  <c r="AW242" i="19" s="1"/>
  <c r="A241" i="19"/>
  <c r="E225" i="38" l="1"/>
  <c r="E225" i="20"/>
  <c r="I225" i="38"/>
  <c r="F226" i="20"/>
  <c r="B226" i="20"/>
  <c r="E226" i="20" s="1"/>
  <c r="C226" i="20"/>
  <c r="G226" i="20"/>
  <c r="H226" i="20"/>
  <c r="AD231" i="36"/>
  <c r="P231" i="36"/>
  <c r="T231" i="36"/>
  <c r="AT231" i="36"/>
  <c r="AK231" i="36"/>
  <c r="AE231" i="36"/>
  <c r="X231" i="36"/>
  <c r="AR231" i="36"/>
  <c r="AU231" i="36"/>
  <c r="AB231" i="36"/>
  <c r="V231" i="36"/>
  <c r="Q231" i="36"/>
  <c r="AN231" i="36"/>
  <c r="AL231" i="36"/>
  <c r="R231" i="36"/>
  <c r="AI231" i="36"/>
  <c r="Z231" i="36"/>
  <c r="W231" i="36"/>
  <c r="U231" i="36"/>
  <c r="S231" i="36"/>
  <c r="AP231" i="36"/>
  <c r="K231" i="36"/>
  <c r="AC231" i="36"/>
  <c r="Y231" i="36"/>
  <c r="AQ231" i="36"/>
  <c r="AM231" i="36"/>
  <c r="L231" i="36"/>
  <c r="N231" i="36"/>
  <c r="AF231" i="36"/>
  <c r="AJ231" i="36"/>
  <c r="AG231" i="36"/>
  <c r="AH231" i="36"/>
  <c r="M231" i="36"/>
  <c r="AO231" i="36"/>
  <c r="AS231" i="36"/>
  <c r="O231" i="36"/>
  <c r="AA231" i="36"/>
  <c r="J232" i="36"/>
  <c r="H232" i="36"/>
  <c r="C232" i="36"/>
  <c r="G232" i="36"/>
  <c r="I232" i="36"/>
  <c r="B232" i="36"/>
  <c r="D232" i="36"/>
  <c r="E232" i="36"/>
  <c r="F232" i="36"/>
  <c r="K228" i="38"/>
  <c r="L228" i="38" s="1"/>
  <c r="A227" i="38"/>
  <c r="A227" i="20"/>
  <c r="K228" i="20"/>
  <c r="L228" i="20" s="1"/>
  <c r="I225" i="20"/>
  <c r="AV234" i="36"/>
  <c r="AW234" i="36" s="1"/>
  <c r="A233" i="36"/>
  <c r="C226" i="38"/>
  <c r="G226" i="38"/>
  <c r="F226" i="38"/>
  <c r="H226" i="38"/>
  <c r="B226" i="38"/>
  <c r="I226" i="38" s="1"/>
  <c r="F240" i="19"/>
  <c r="J240" i="19"/>
  <c r="H240" i="19"/>
  <c r="E240" i="19"/>
  <c r="I240" i="19"/>
  <c r="D240" i="19"/>
  <c r="P240" i="19"/>
  <c r="AP240" i="19"/>
  <c r="AA240" i="19"/>
  <c r="O240" i="19"/>
  <c r="AJ240" i="19"/>
  <c r="X240" i="19"/>
  <c r="AI240" i="19"/>
  <c r="AS240" i="19"/>
  <c r="AK240" i="19"/>
  <c r="AC240" i="19"/>
  <c r="AN240" i="19"/>
  <c r="U240" i="19"/>
  <c r="AU240" i="19"/>
  <c r="K240" i="19"/>
  <c r="AG240" i="19"/>
  <c r="T240" i="19"/>
  <c r="Z240" i="19"/>
  <c r="AB240" i="19"/>
  <c r="L240" i="19"/>
  <c r="AF240" i="19"/>
  <c r="AT240" i="19"/>
  <c r="W240" i="19"/>
  <c r="V240" i="19"/>
  <c r="AQ240" i="19"/>
  <c r="AR240" i="19"/>
  <c r="Q240" i="19"/>
  <c r="Y240" i="19"/>
  <c r="AO240" i="19"/>
  <c r="M240" i="19"/>
  <c r="AE240" i="19"/>
  <c r="AH240" i="19"/>
  <c r="S240" i="19"/>
  <c r="AD240" i="19"/>
  <c r="R240" i="19"/>
  <c r="AM240" i="19"/>
  <c r="N240" i="19"/>
  <c r="AL240" i="19"/>
  <c r="AV243" i="19"/>
  <c r="AW243" i="19" s="1"/>
  <c r="A242" i="19"/>
  <c r="D241" i="19"/>
  <c r="B241" i="19"/>
  <c r="G241" i="19"/>
  <c r="I241" i="19"/>
  <c r="F241" i="19"/>
  <c r="J241" i="19"/>
  <c r="H241" i="19"/>
  <c r="E241" i="19"/>
  <c r="C241" i="19"/>
  <c r="D226" i="20" l="1"/>
  <c r="I226" i="20"/>
  <c r="E226" i="38"/>
  <c r="K229" i="20"/>
  <c r="L229" i="20" s="1"/>
  <c r="A228" i="20"/>
  <c r="F227" i="38"/>
  <c r="C227" i="38"/>
  <c r="G227" i="38"/>
  <c r="B227" i="38"/>
  <c r="E227" i="38"/>
  <c r="I227" i="38"/>
  <c r="H227" i="38"/>
  <c r="D227" i="38"/>
  <c r="D226" i="38"/>
  <c r="C233" i="36"/>
  <c r="B233" i="36"/>
  <c r="H233" i="36" s="1"/>
  <c r="G227" i="20"/>
  <c r="C227" i="20"/>
  <c r="I227" i="20"/>
  <c r="D227" i="20"/>
  <c r="F227" i="20"/>
  <c r="H227" i="20"/>
  <c r="E227" i="20"/>
  <c r="B227" i="20"/>
  <c r="K229" i="38"/>
  <c r="L229" i="38" s="1"/>
  <c r="A228" i="38"/>
  <c r="AS232" i="36"/>
  <c r="AL232" i="36"/>
  <c r="S232" i="36"/>
  <c r="AP232" i="36"/>
  <c r="AI232" i="36"/>
  <c r="Z232" i="36"/>
  <c r="AF232" i="36"/>
  <c r="V232" i="36"/>
  <c r="AM232" i="36"/>
  <c r="K232" i="36"/>
  <c r="L232" i="36"/>
  <c r="AU232" i="36"/>
  <c r="AB232" i="36"/>
  <c r="AJ232" i="36"/>
  <c r="U232" i="36"/>
  <c r="AC232" i="36"/>
  <c r="R232" i="36"/>
  <c r="Y232" i="36"/>
  <c r="AH232" i="36"/>
  <c r="O232" i="36"/>
  <c r="AT232" i="36"/>
  <c r="AA232" i="36"/>
  <c r="AG232" i="36"/>
  <c r="T232" i="36"/>
  <c r="AK232" i="36"/>
  <c r="P232" i="36"/>
  <c r="Q232" i="36"/>
  <c r="W232" i="36"/>
  <c r="AN232" i="36"/>
  <c r="N232" i="36"/>
  <c r="AE232" i="36"/>
  <c r="X232" i="36"/>
  <c r="AO232" i="36"/>
  <c r="AR232" i="36"/>
  <c r="M232" i="36"/>
  <c r="AD232" i="36"/>
  <c r="AQ232" i="36"/>
  <c r="AV235" i="36"/>
  <c r="AW235" i="36" s="1"/>
  <c r="A234" i="36"/>
  <c r="AC241" i="19"/>
  <c r="Q241" i="19"/>
  <c r="X241" i="19"/>
  <c r="AA241" i="19"/>
  <c r="O241" i="19"/>
  <c r="AP241" i="19"/>
  <c r="U241" i="19"/>
  <c r="AN241" i="19"/>
  <c r="AH241" i="19"/>
  <c r="Y241" i="19"/>
  <c r="K241" i="19"/>
  <c r="AG241" i="19"/>
  <c r="AU241" i="19"/>
  <c r="AM241" i="19"/>
  <c r="W241" i="19"/>
  <c r="AT241" i="19"/>
  <c r="AK241" i="19"/>
  <c r="AR241" i="19"/>
  <c r="AS241" i="19"/>
  <c r="AF241" i="19"/>
  <c r="S241" i="19"/>
  <c r="AB241" i="19"/>
  <c r="AQ241" i="19"/>
  <c r="AE241" i="19"/>
  <c r="V241" i="19"/>
  <c r="N241" i="19"/>
  <c r="M241" i="19"/>
  <c r="AJ241" i="19"/>
  <c r="P241" i="19"/>
  <c r="L241" i="19"/>
  <c r="AD241" i="19"/>
  <c r="Z241" i="19"/>
  <c r="AI241" i="19"/>
  <c r="T241" i="19"/>
  <c r="AL241" i="19"/>
  <c r="AO241" i="19"/>
  <c r="R241" i="19"/>
  <c r="AV244" i="19"/>
  <c r="AW244" i="19" s="1"/>
  <c r="A243" i="19"/>
  <c r="H242" i="19"/>
  <c r="B242" i="19"/>
  <c r="I242" i="19"/>
  <c r="G242" i="19"/>
  <c r="C242" i="19"/>
  <c r="E242" i="19"/>
  <c r="D242" i="19"/>
  <c r="J242" i="19"/>
  <c r="F242" i="19"/>
  <c r="J233" i="36" l="1"/>
  <c r="F233" i="36"/>
  <c r="E233" i="36"/>
  <c r="C234" i="36"/>
  <c r="B234" i="36"/>
  <c r="G234" i="36" s="1"/>
  <c r="K230" i="38"/>
  <c r="L230" i="38" s="1"/>
  <c r="A229" i="38"/>
  <c r="I233" i="36"/>
  <c r="D233" i="36"/>
  <c r="C228" i="20"/>
  <c r="H228" i="20"/>
  <c r="G228" i="20"/>
  <c r="D228" i="20"/>
  <c r="E228" i="20"/>
  <c r="B228" i="20"/>
  <c r="F228" i="20"/>
  <c r="I228" i="20"/>
  <c r="AV236" i="36"/>
  <c r="AW236" i="36" s="1"/>
  <c r="A235" i="36"/>
  <c r="F228" i="38"/>
  <c r="G228" i="38"/>
  <c r="B228" i="38"/>
  <c r="E228" i="38"/>
  <c r="I228" i="38"/>
  <c r="D228" i="38"/>
  <c r="H228" i="38"/>
  <c r="C228" i="38"/>
  <c r="G233" i="36"/>
  <c r="P233" i="36"/>
  <c r="K233" i="36"/>
  <c r="M233" i="36"/>
  <c r="V233" i="36"/>
  <c r="AL233" i="36"/>
  <c r="W233" i="36"/>
  <c r="AN233" i="36"/>
  <c r="O233" i="36"/>
  <c r="AE233" i="36"/>
  <c r="AQ233" i="36"/>
  <c r="AH233" i="36"/>
  <c r="AR233" i="36"/>
  <c r="AT233" i="36"/>
  <c r="AD233" i="36"/>
  <c r="Q233" i="36"/>
  <c r="N233" i="36"/>
  <c r="AS233" i="36"/>
  <c r="R233" i="36"/>
  <c r="AB233" i="36"/>
  <c r="T233" i="36"/>
  <c r="AG233" i="36"/>
  <c r="Y233" i="36"/>
  <c r="AU233" i="36"/>
  <c r="AA233" i="36"/>
  <c r="AF233" i="36"/>
  <c r="AC233" i="36"/>
  <c r="AO233" i="36"/>
  <c r="AI233" i="36"/>
  <c r="AK233" i="36"/>
  <c r="L233" i="36"/>
  <c r="AJ233" i="36"/>
  <c r="U233" i="36"/>
  <c r="AP233" i="36"/>
  <c r="X233" i="36"/>
  <c r="AM233" i="36"/>
  <c r="S233" i="36"/>
  <c r="Z233" i="36"/>
  <c r="K230" i="20"/>
  <c r="L230" i="20" s="1"/>
  <c r="A229" i="20"/>
  <c r="AA242" i="19"/>
  <c r="AS242" i="19"/>
  <c r="R242" i="19"/>
  <c r="AD242" i="19"/>
  <c r="Z242" i="19"/>
  <c r="AF242" i="19"/>
  <c r="AL242" i="19"/>
  <c r="AT242" i="19"/>
  <c r="AN242" i="19"/>
  <c r="AB242" i="19"/>
  <c r="AO242" i="19"/>
  <c r="N242" i="19"/>
  <c r="AQ242" i="19"/>
  <c r="O242" i="19"/>
  <c r="P242" i="19"/>
  <c r="V242" i="19"/>
  <c r="U242" i="19"/>
  <c r="W242" i="19"/>
  <c r="M242" i="19"/>
  <c r="AK242" i="19"/>
  <c r="X242" i="19"/>
  <c r="AM242" i="19"/>
  <c r="Y242" i="19"/>
  <c r="AH242" i="19"/>
  <c r="Q242" i="19"/>
  <c r="AP242" i="19"/>
  <c r="AJ242" i="19"/>
  <c r="AR242" i="19"/>
  <c r="AG242" i="19"/>
  <c r="S242" i="19"/>
  <c r="L242" i="19"/>
  <c r="T242" i="19"/>
  <c r="AI242" i="19"/>
  <c r="K242" i="19"/>
  <c r="AE242" i="19"/>
  <c r="AC242" i="19"/>
  <c r="AU242" i="19"/>
  <c r="B243" i="19"/>
  <c r="G243" i="19" s="1"/>
  <c r="C243" i="19"/>
  <c r="A244" i="19"/>
  <c r="AV245" i="19"/>
  <c r="AW245" i="19" s="1"/>
  <c r="D234" i="36" l="1"/>
  <c r="J234" i="36"/>
  <c r="F234" i="36"/>
  <c r="E234" i="36"/>
  <c r="H234" i="36"/>
  <c r="H229" i="20"/>
  <c r="B229" i="20"/>
  <c r="E229" i="20" s="1"/>
  <c r="G229" i="20"/>
  <c r="F229" i="20"/>
  <c r="C229" i="20"/>
  <c r="B235" i="36"/>
  <c r="G235" i="36" s="1"/>
  <c r="C235" i="36"/>
  <c r="G229" i="38"/>
  <c r="C229" i="38"/>
  <c r="B229" i="38"/>
  <c r="D229" i="38" s="1"/>
  <c r="H229" i="38"/>
  <c r="F229" i="38"/>
  <c r="I234" i="36"/>
  <c r="V234" i="36"/>
  <c r="AO234" i="36"/>
  <c r="AA234" i="36"/>
  <c r="N234" i="36"/>
  <c r="AH234" i="36"/>
  <c r="Y234" i="36"/>
  <c r="O234" i="36"/>
  <c r="AM234" i="36"/>
  <c r="AC234" i="36"/>
  <c r="W234" i="36"/>
  <c r="AB234" i="36"/>
  <c r="AG234" i="36"/>
  <c r="AL234" i="36"/>
  <c r="AP234" i="36"/>
  <c r="T234" i="36"/>
  <c r="AE234" i="36"/>
  <c r="Q234" i="36"/>
  <c r="M234" i="36"/>
  <c r="AJ234" i="36"/>
  <c r="AQ234" i="36"/>
  <c r="AN234" i="36"/>
  <c r="AF234" i="36"/>
  <c r="AR234" i="36"/>
  <c r="AK234" i="36"/>
  <c r="P234" i="36"/>
  <c r="X234" i="36"/>
  <c r="L234" i="36"/>
  <c r="AU234" i="36"/>
  <c r="U234" i="36"/>
  <c r="AI234" i="36"/>
  <c r="AS234" i="36"/>
  <c r="K234" i="36"/>
  <c r="AT234" i="36"/>
  <c r="S234" i="36"/>
  <c r="AD234" i="36"/>
  <c r="Z234" i="36"/>
  <c r="R234" i="36"/>
  <c r="K231" i="20"/>
  <c r="L231" i="20" s="1"/>
  <c r="A230" i="20"/>
  <c r="AV237" i="36"/>
  <c r="AW237" i="36" s="1"/>
  <c r="A236" i="36"/>
  <c r="K231" i="38"/>
  <c r="L231" i="38" s="1"/>
  <c r="A230" i="38"/>
  <c r="J243" i="19"/>
  <c r="H243" i="19"/>
  <c r="F243" i="19"/>
  <c r="I243" i="19"/>
  <c r="D243" i="19"/>
  <c r="C244" i="19"/>
  <c r="B244" i="19"/>
  <c r="D244" i="19" s="1"/>
  <c r="AV246" i="19"/>
  <c r="AW246" i="19" s="1"/>
  <c r="A245" i="19"/>
  <c r="E243" i="19"/>
  <c r="V243" i="19"/>
  <c r="K243" i="19"/>
  <c r="AD243" i="19"/>
  <c r="O243" i="19"/>
  <c r="Z243" i="19"/>
  <c r="AP243" i="19"/>
  <c r="AR243" i="19"/>
  <c r="AJ243" i="19"/>
  <c r="L243" i="19"/>
  <c r="AN243" i="19"/>
  <c r="AT243" i="19"/>
  <c r="N243" i="19"/>
  <c r="AE243" i="19"/>
  <c r="P243" i="19"/>
  <c r="AS243" i="19"/>
  <c r="AM243" i="19"/>
  <c r="X243" i="19"/>
  <c r="AQ243" i="19"/>
  <c r="AU243" i="19"/>
  <c r="Q243" i="19"/>
  <c r="AG243" i="19"/>
  <c r="AF243" i="19"/>
  <c r="Y243" i="19"/>
  <c r="AI243" i="19"/>
  <c r="AH243" i="19"/>
  <c r="M243" i="19"/>
  <c r="AK243" i="19"/>
  <c r="AB243" i="19"/>
  <c r="W243" i="19"/>
  <c r="R243" i="19"/>
  <c r="AL243" i="19"/>
  <c r="AA243" i="19"/>
  <c r="T243" i="19"/>
  <c r="AO243" i="19"/>
  <c r="U243" i="19"/>
  <c r="AC243" i="19"/>
  <c r="S243" i="19"/>
  <c r="D229" i="20" l="1"/>
  <c r="E235" i="36"/>
  <c r="I235" i="36"/>
  <c r="I229" i="20"/>
  <c r="E229" i="38"/>
  <c r="G230" i="38"/>
  <c r="B230" i="38"/>
  <c r="D230" i="38" s="1"/>
  <c r="C230" i="38"/>
  <c r="H230" i="38"/>
  <c r="F230" i="38"/>
  <c r="B236" i="36"/>
  <c r="D236" i="36" s="1"/>
  <c r="C236" i="36"/>
  <c r="B230" i="20"/>
  <c r="D230" i="20" s="1"/>
  <c r="H230" i="20"/>
  <c r="C230" i="20"/>
  <c r="F230" i="20"/>
  <c r="G230" i="20"/>
  <c r="H235" i="36"/>
  <c r="AG235" i="36"/>
  <c r="AC235" i="36"/>
  <c r="AA235" i="36"/>
  <c r="AR235" i="36"/>
  <c r="AE235" i="36"/>
  <c r="K235" i="36"/>
  <c r="U235" i="36"/>
  <c r="R235" i="36"/>
  <c r="M235" i="36"/>
  <c r="AO235" i="36"/>
  <c r="AD235" i="36"/>
  <c r="V235" i="36"/>
  <c r="AS235" i="36"/>
  <c r="X235" i="36"/>
  <c r="AK235" i="36"/>
  <c r="Z235" i="36"/>
  <c r="AP235" i="36"/>
  <c r="AL235" i="36"/>
  <c r="O235" i="36"/>
  <c r="AU235" i="36"/>
  <c r="AN235" i="36"/>
  <c r="W235" i="36"/>
  <c r="Q235" i="36"/>
  <c r="N235" i="36"/>
  <c r="P235" i="36"/>
  <c r="AQ235" i="36"/>
  <c r="AT235" i="36"/>
  <c r="T235" i="36"/>
  <c r="AJ235" i="36"/>
  <c r="AI235" i="36"/>
  <c r="Y235" i="36"/>
  <c r="AB235" i="36"/>
  <c r="S235" i="36"/>
  <c r="AF235" i="36"/>
  <c r="AH235" i="36"/>
  <c r="L235" i="36"/>
  <c r="AM235" i="36"/>
  <c r="K232" i="38"/>
  <c r="L232" i="38" s="1"/>
  <c r="A231" i="38"/>
  <c r="A237" i="36"/>
  <c r="AV238" i="36"/>
  <c r="AW238" i="36" s="1"/>
  <c r="K232" i="20"/>
  <c r="L232" i="20" s="1"/>
  <c r="A231" i="20"/>
  <c r="I229" i="38"/>
  <c r="J235" i="36"/>
  <c r="D235" i="36"/>
  <c r="F235" i="36"/>
  <c r="J244" i="19"/>
  <c r="G244" i="19"/>
  <c r="F244" i="19"/>
  <c r="H244" i="19"/>
  <c r="B245" i="19"/>
  <c r="J245" i="19" s="1"/>
  <c r="C245" i="19"/>
  <c r="AV247" i="19"/>
  <c r="AW247" i="19" s="1"/>
  <c r="A246" i="19"/>
  <c r="E244" i="19"/>
  <c r="I244" i="19"/>
  <c r="AM244" i="19"/>
  <c r="U244" i="19"/>
  <c r="AU244" i="19"/>
  <c r="Z244" i="19"/>
  <c r="S244" i="19"/>
  <c r="L244" i="19"/>
  <c r="AH244" i="19"/>
  <c r="M244" i="19"/>
  <c r="AC244" i="19"/>
  <c r="AP244" i="19"/>
  <c r="AS244" i="19"/>
  <c r="AK244" i="19"/>
  <c r="AF244" i="19"/>
  <c r="N244" i="19"/>
  <c r="AQ244" i="19"/>
  <c r="V244" i="19"/>
  <c r="AO244" i="19"/>
  <c r="AA244" i="19"/>
  <c r="AE244" i="19"/>
  <c r="Y244" i="19"/>
  <c r="O244" i="19"/>
  <c r="AI244" i="19"/>
  <c r="AJ244" i="19"/>
  <c r="P244" i="19"/>
  <c r="Q244" i="19"/>
  <c r="K244" i="19"/>
  <c r="AN244" i="19"/>
  <c r="T244" i="19"/>
  <c r="R244" i="19"/>
  <c r="AG244" i="19"/>
  <c r="X244" i="19"/>
  <c r="AB244" i="19"/>
  <c r="AR244" i="19"/>
  <c r="AD244" i="19"/>
  <c r="AT244" i="19"/>
  <c r="W244" i="19"/>
  <c r="AL244" i="19"/>
  <c r="I230" i="38" l="1"/>
  <c r="I236" i="36"/>
  <c r="H236" i="36"/>
  <c r="E236" i="36"/>
  <c r="I230" i="20"/>
  <c r="E230" i="20"/>
  <c r="J236" i="36"/>
  <c r="F236" i="36"/>
  <c r="E230" i="38"/>
  <c r="K233" i="20"/>
  <c r="L233" i="20" s="1"/>
  <c r="A232" i="20"/>
  <c r="B237" i="36"/>
  <c r="F237" i="36" s="1"/>
  <c r="C237" i="36"/>
  <c r="K233" i="38"/>
  <c r="L233" i="38" s="1"/>
  <c r="A232" i="38"/>
  <c r="G236" i="36"/>
  <c r="AN236" i="36"/>
  <c r="Y236" i="36"/>
  <c r="M236" i="36"/>
  <c r="AP236" i="36"/>
  <c r="Z236" i="36"/>
  <c r="AT236" i="36"/>
  <c r="AO236" i="36"/>
  <c r="AQ236" i="36"/>
  <c r="S236" i="36"/>
  <c r="AU236" i="36"/>
  <c r="AR236" i="36"/>
  <c r="AC236" i="36"/>
  <c r="AD236" i="36"/>
  <c r="AH236" i="36"/>
  <c r="L236" i="36"/>
  <c r="AS236" i="36"/>
  <c r="AI236" i="36"/>
  <c r="W236" i="36"/>
  <c r="AJ236" i="36"/>
  <c r="N236" i="36"/>
  <c r="R236" i="36"/>
  <c r="AF236" i="36"/>
  <c r="AL236" i="36"/>
  <c r="AE236" i="36"/>
  <c r="AG236" i="36"/>
  <c r="AK236" i="36"/>
  <c r="U236" i="36"/>
  <c r="AM236" i="36"/>
  <c r="V236" i="36"/>
  <c r="AA236" i="36"/>
  <c r="Q236" i="36"/>
  <c r="K236" i="36"/>
  <c r="AB236" i="36"/>
  <c r="X236" i="36"/>
  <c r="O236" i="36"/>
  <c r="P236" i="36"/>
  <c r="T236" i="36"/>
  <c r="C231" i="20"/>
  <c r="G231" i="20"/>
  <c r="B231" i="20"/>
  <c r="I231" i="20" s="1"/>
  <c r="H231" i="20"/>
  <c r="F231" i="20"/>
  <c r="AV239" i="36"/>
  <c r="AW239" i="36" s="1"/>
  <c r="A238" i="36"/>
  <c r="B231" i="38"/>
  <c r="D231" i="38" s="1"/>
  <c r="H231" i="38"/>
  <c r="G231" i="38"/>
  <c r="C231" i="38"/>
  <c r="F231" i="38"/>
  <c r="G245" i="19"/>
  <c r="D245" i="19"/>
  <c r="H245" i="19"/>
  <c r="E245" i="19"/>
  <c r="F245" i="19"/>
  <c r="I245" i="19"/>
  <c r="C246" i="19"/>
  <c r="B246" i="19"/>
  <c r="H246" i="19" s="1"/>
  <c r="AV248" i="19"/>
  <c r="AW248" i="19" s="1"/>
  <c r="A247" i="19"/>
  <c r="AD245" i="19"/>
  <c r="AK245" i="19"/>
  <c r="AU245" i="19"/>
  <c r="AM245" i="19"/>
  <c r="AH245" i="19"/>
  <c r="Q245" i="19"/>
  <c r="AB245" i="19"/>
  <c r="AC245" i="19"/>
  <c r="O245" i="19"/>
  <c r="W245" i="19"/>
  <c r="Z245" i="19"/>
  <c r="Y245" i="19"/>
  <c r="P245" i="19"/>
  <c r="K245" i="19"/>
  <c r="AI245" i="19"/>
  <c r="AQ245" i="19"/>
  <c r="L245" i="19"/>
  <c r="R245" i="19"/>
  <c r="AS245" i="19"/>
  <c r="AP245" i="19"/>
  <c r="S245" i="19"/>
  <c r="AA245" i="19"/>
  <c r="AO245" i="19"/>
  <c r="V245" i="19"/>
  <c r="T245" i="19"/>
  <c r="AJ245" i="19"/>
  <c r="AR245" i="19"/>
  <c r="M245" i="19"/>
  <c r="AN245" i="19"/>
  <c r="AT245" i="19"/>
  <c r="X245" i="19"/>
  <c r="U245" i="19"/>
  <c r="AG245" i="19"/>
  <c r="AL245" i="19"/>
  <c r="AF245" i="19"/>
  <c r="AE245" i="19"/>
  <c r="N245" i="19"/>
  <c r="I237" i="36" l="1"/>
  <c r="E231" i="38"/>
  <c r="D231" i="20"/>
  <c r="D237" i="36"/>
  <c r="E231" i="20"/>
  <c r="J237" i="36"/>
  <c r="E237" i="36"/>
  <c r="I231" i="38"/>
  <c r="B238" i="36"/>
  <c r="E238" i="36" s="1"/>
  <c r="C238" i="36"/>
  <c r="K234" i="38"/>
  <c r="L234" i="38" s="1"/>
  <c r="A233" i="38"/>
  <c r="H237" i="36"/>
  <c r="G237" i="36"/>
  <c r="H232" i="20"/>
  <c r="B232" i="20"/>
  <c r="E232" i="20" s="1"/>
  <c r="C232" i="20"/>
  <c r="G232" i="20"/>
  <c r="F232" i="20"/>
  <c r="AV240" i="36"/>
  <c r="AW240" i="36" s="1"/>
  <c r="A239" i="36"/>
  <c r="B232" i="38"/>
  <c r="I232" i="38" s="1"/>
  <c r="C232" i="38"/>
  <c r="G232" i="38"/>
  <c r="H232" i="38"/>
  <c r="F232" i="38"/>
  <c r="Q237" i="36"/>
  <c r="P237" i="36"/>
  <c r="Y237" i="36"/>
  <c r="AC237" i="36"/>
  <c r="AJ237" i="36"/>
  <c r="AK237" i="36"/>
  <c r="L237" i="36"/>
  <c r="S237" i="36"/>
  <c r="AU237" i="36"/>
  <c r="AI237" i="36"/>
  <c r="W237" i="36"/>
  <c r="AL237" i="36"/>
  <c r="O237" i="36"/>
  <c r="AR237" i="36"/>
  <c r="AO237" i="36"/>
  <c r="AP237" i="36"/>
  <c r="AD237" i="36"/>
  <c r="Z237" i="36"/>
  <c r="AM237" i="36"/>
  <c r="AS237" i="36"/>
  <c r="T237" i="36"/>
  <c r="AQ237" i="36"/>
  <c r="AT237" i="36"/>
  <c r="AB237" i="36"/>
  <c r="AF237" i="36"/>
  <c r="AE237" i="36"/>
  <c r="N237" i="36"/>
  <c r="AG237" i="36"/>
  <c r="AA237" i="36"/>
  <c r="U237" i="36"/>
  <c r="AN237" i="36"/>
  <c r="V237" i="36"/>
  <c r="K237" i="36"/>
  <c r="M237" i="36"/>
  <c r="X237" i="36"/>
  <c r="AH237" i="36"/>
  <c r="R237" i="36"/>
  <c r="A233" i="20"/>
  <c r="K234" i="20"/>
  <c r="L234" i="20" s="1"/>
  <c r="J246" i="19"/>
  <c r="F246" i="19"/>
  <c r="I246" i="19"/>
  <c r="G246" i="19"/>
  <c r="E246" i="19"/>
  <c r="A248" i="19"/>
  <c r="AV249" i="19"/>
  <c r="AW249" i="19" s="1"/>
  <c r="D246" i="19"/>
  <c r="B247" i="19"/>
  <c r="E247" i="19" s="1"/>
  <c r="C247" i="19"/>
  <c r="T246" i="19"/>
  <c r="AD246" i="19"/>
  <c r="N246" i="19"/>
  <c r="AT246" i="19"/>
  <c r="AR246" i="19"/>
  <c r="AG246" i="19"/>
  <c r="U246" i="19"/>
  <c r="AC246" i="19"/>
  <c r="M246" i="19"/>
  <c r="AF246" i="19"/>
  <c r="AI246" i="19"/>
  <c r="AB246" i="19"/>
  <c r="S246" i="19"/>
  <c r="AL246" i="19"/>
  <c r="AA246" i="19"/>
  <c r="Q246" i="19"/>
  <c r="L246" i="19"/>
  <c r="R246" i="19"/>
  <c r="O246" i="19"/>
  <c r="AM246" i="19"/>
  <c r="AJ246" i="19"/>
  <c r="X246" i="19"/>
  <c r="AU246" i="19"/>
  <c r="Y246" i="19"/>
  <c r="W246" i="19"/>
  <c r="P246" i="19"/>
  <c r="AE246" i="19"/>
  <c r="AP246" i="19"/>
  <c r="AQ246" i="19"/>
  <c r="AS246" i="19"/>
  <c r="AN246" i="19"/>
  <c r="AH246" i="19"/>
  <c r="AK246" i="19"/>
  <c r="K246" i="19"/>
  <c r="Z246" i="19"/>
  <c r="V246" i="19"/>
  <c r="AO246" i="19"/>
  <c r="D238" i="36" l="1"/>
  <c r="I232" i="20"/>
  <c r="F238" i="36"/>
  <c r="D232" i="38"/>
  <c r="J238" i="36"/>
  <c r="I238" i="36"/>
  <c r="E232" i="38"/>
  <c r="D232" i="20"/>
  <c r="G238" i="36"/>
  <c r="H238" i="36"/>
  <c r="G233" i="20"/>
  <c r="H233" i="20"/>
  <c r="C233" i="20"/>
  <c r="F233" i="20"/>
  <c r="B233" i="20"/>
  <c r="I233" i="20" s="1"/>
  <c r="AV241" i="36"/>
  <c r="AW241" i="36" s="1"/>
  <c r="A240" i="36"/>
  <c r="H233" i="38"/>
  <c r="B233" i="38"/>
  <c r="E233" i="38" s="1"/>
  <c r="G233" i="38"/>
  <c r="F233" i="38"/>
  <c r="C233" i="38"/>
  <c r="AD238" i="36"/>
  <c r="Y238" i="36"/>
  <c r="O238" i="36"/>
  <c r="AB238" i="36"/>
  <c r="Q238" i="36"/>
  <c r="R238" i="36"/>
  <c r="AM238" i="36"/>
  <c r="AP238" i="36"/>
  <c r="AT238" i="36"/>
  <c r="AA238" i="36"/>
  <c r="AE238" i="36"/>
  <c r="AH238" i="36"/>
  <c r="X238" i="36"/>
  <c r="AG238" i="36"/>
  <c r="AL238" i="36"/>
  <c r="AO238" i="36"/>
  <c r="AN238" i="36"/>
  <c r="L238" i="36"/>
  <c r="AJ238" i="36"/>
  <c r="AI238" i="36"/>
  <c r="V238" i="36"/>
  <c r="N238" i="36"/>
  <c r="AF238" i="36"/>
  <c r="AS238" i="36"/>
  <c r="U238" i="36"/>
  <c r="AQ238" i="36"/>
  <c r="S238" i="36"/>
  <c r="P238" i="36"/>
  <c r="M238" i="36"/>
  <c r="AK238" i="36"/>
  <c r="AU238" i="36"/>
  <c r="W238" i="36"/>
  <c r="Z238" i="36"/>
  <c r="AC238" i="36"/>
  <c r="T238" i="36"/>
  <c r="K238" i="36"/>
  <c r="AR238" i="36"/>
  <c r="K235" i="20"/>
  <c r="L235" i="20" s="1"/>
  <c r="A234" i="20"/>
  <c r="C239" i="36"/>
  <c r="B239" i="36"/>
  <c r="E239" i="36" s="1"/>
  <c r="K235" i="38"/>
  <c r="L235" i="38" s="1"/>
  <c r="A234" i="38"/>
  <c r="D247" i="19"/>
  <c r="I247" i="19"/>
  <c r="G247" i="19"/>
  <c r="J247" i="19"/>
  <c r="H247" i="19"/>
  <c r="F247" i="19"/>
  <c r="S247" i="19"/>
  <c r="AQ247" i="19"/>
  <c r="P247" i="19"/>
  <c r="N247" i="19"/>
  <c r="V247" i="19"/>
  <c r="AL247" i="19"/>
  <c r="AG247" i="19"/>
  <c r="AA247" i="19"/>
  <c r="O247" i="19"/>
  <c r="AU247" i="19"/>
  <c r="AM247" i="19"/>
  <c r="AF247" i="19"/>
  <c r="AR247" i="19"/>
  <c r="AT247" i="19"/>
  <c r="AE247" i="19"/>
  <c r="AI247" i="19"/>
  <c r="M247" i="19"/>
  <c r="L247" i="19"/>
  <c r="AK247" i="19"/>
  <c r="AS247" i="19"/>
  <c r="AN247" i="19"/>
  <c r="AP247" i="19"/>
  <c r="Q247" i="19"/>
  <c r="AD247" i="19"/>
  <c r="AO247" i="19"/>
  <c r="Z247" i="19"/>
  <c r="T247" i="19"/>
  <c r="R247" i="19"/>
  <c r="AJ247" i="19"/>
  <c r="U247" i="19"/>
  <c r="X247" i="19"/>
  <c r="W247" i="19"/>
  <c r="Y247" i="19"/>
  <c r="AC247" i="19"/>
  <c r="AH247" i="19"/>
  <c r="AB247" i="19"/>
  <c r="K247" i="19"/>
  <c r="AV250" i="19"/>
  <c r="AW250" i="19" s="1"/>
  <c r="A249" i="19"/>
  <c r="C248" i="19"/>
  <c r="B248" i="19"/>
  <c r="J248" i="19" s="1"/>
  <c r="I233" i="38" l="1"/>
  <c r="J239" i="36"/>
  <c r="D233" i="38"/>
  <c r="H239" i="36"/>
  <c r="G239" i="36"/>
  <c r="D239" i="36"/>
  <c r="E233" i="20"/>
  <c r="K236" i="38"/>
  <c r="L236" i="38" s="1"/>
  <c r="A235" i="38"/>
  <c r="I239" i="36"/>
  <c r="K236" i="20"/>
  <c r="L236" i="20" s="1"/>
  <c r="A235" i="20"/>
  <c r="E240" i="36"/>
  <c r="B240" i="36"/>
  <c r="H240" i="36"/>
  <c r="J240" i="36"/>
  <c r="G240" i="36"/>
  <c r="I240" i="36"/>
  <c r="C240" i="36"/>
  <c r="D240" i="36"/>
  <c r="F240" i="36"/>
  <c r="D233" i="20"/>
  <c r="F234" i="38"/>
  <c r="G234" i="38"/>
  <c r="C234" i="38"/>
  <c r="B234" i="38"/>
  <c r="D234" i="38" s="1"/>
  <c r="H234" i="38"/>
  <c r="F239" i="36"/>
  <c r="L239" i="36"/>
  <c r="Z239" i="36"/>
  <c r="AE239" i="36"/>
  <c r="AF239" i="36"/>
  <c r="K239" i="36"/>
  <c r="AG239" i="36"/>
  <c r="AO239" i="36"/>
  <c r="O239" i="36"/>
  <c r="AR239" i="36"/>
  <c r="S239" i="36"/>
  <c r="AI239" i="36"/>
  <c r="N239" i="36"/>
  <c r="V239" i="36"/>
  <c r="P239" i="36"/>
  <c r="AH239" i="36"/>
  <c r="M239" i="36"/>
  <c r="AQ239" i="36"/>
  <c r="AD239" i="36"/>
  <c r="U239" i="36"/>
  <c r="R239" i="36"/>
  <c r="AA239" i="36"/>
  <c r="AL239" i="36"/>
  <c r="AC239" i="36"/>
  <c r="AU239" i="36"/>
  <c r="AT239" i="36"/>
  <c r="X239" i="36"/>
  <c r="Y239" i="36"/>
  <c r="AB239" i="36"/>
  <c r="AS239" i="36"/>
  <c r="W239" i="36"/>
  <c r="AJ239" i="36"/>
  <c r="AK239" i="36"/>
  <c r="Q239" i="36"/>
  <c r="T239" i="36"/>
  <c r="AP239" i="36"/>
  <c r="AN239" i="36"/>
  <c r="AM239" i="36"/>
  <c r="F234" i="20"/>
  <c r="B234" i="20"/>
  <c r="D234" i="20" s="1"/>
  <c r="H234" i="20"/>
  <c r="C234" i="20"/>
  <c r="G234" i="20"/>
  <c r="AV242" i="36"/>
  <c r="AW242" i="36" s="1"/>
  <c r="A241" i="36"/>
  <c r="I248" i="19"/>
  <c r="F248" i="19"/>
  <c r="G248" i="19"/>
  <c r="H248" i="19"/>
  <c r="D248" i="19"/>
  <c r="L248" i="19"/>
  <c r="AO248" i="19"/>
  <c r="W248" i="19"/>
  <c r="AH248" i="19"/>
  <c r="S248" i="19"/>
  <c r="AE248" i="19"/>
  <c r="AN248" i="19"/>
  <c r="AP248" i="19"/>
  <c r="AL248" i="19"/>
  <c r="AK248" i="19"/>
  <c r="AT248" i="19"/>
  <c r="AF248" i="19"/>
  <c r="O248" i="19"/>
  <c r="K248" i="19"/>
  <c r="U248" i="19"/>
  <c r="Y248" i="19"/>
  <c r="R248" i="19"/>
  <c r="AD248" i="19"/>
  <c r="AR248" i="19"/>
  <c r="AA248" i="19"/>
  <c r="P248" i="19"/>
  <c r="AS248" i="19"/>
  <c r="AU248" i="19"/>
  <c r="Q248" i="19"/>
  <c r="AJ248" i="19"/>
  <c r="AI248" i="19"/>
  <c r="X248" i="19"/>
  <c r="AG248" i="19"/>
  <c r="AM248" i="19"/>
  <c r="AB248" i="19"/>
  <c r="N248" i="19"/>
  <c r="M248" i="19"/>
  <c r="V248" i="19"/>
  <c r="AC248" i="19"/>
  <c r="AQ248" i="19"/>
  <c r="Z248" i="19"/>
  <c r="T248" i="19"/>
  <c r="C249" i="19"/>
  <c r="B249" i="19"/>
  <c r="E249" i="19" s="1"/>
  <c r="E248" i="19"/>
  <c r="A250" i="19"/>
  <c r="AV251" i="19"/>
  <c r="AW251" i="19" s="1"/>
  <c r="I234" i="38" l="1"/>
  <c r="I234" i="20"/>
  <c r="E234" i="20"/>
  <c r="AV243" i="36"/>
  <c r="AW243" i="36" s="1"/>
  <c r="A242" i="36"/>
  <c r="E234" i="38"/>
  <c r="K237" i="20"/>
  <c r="L237" i="20" s="1"/>
  <c r="A236" i="20"/>
  <c r="C235" i="38"/>
  <c r="H235" i="38"/>
  <c r="F235" i="38"/>
  <c r="G235" i="38"/>
  <c r="B235" i="38"/>
  <c r="I235" i="38" s="1"/>
  <c r="E241" i="36"/>
  <c r="I241" i="36"/>
  <c r="D241" i="36"/>
  <c r="B241" i="36"/>
  <c r="C241" i="36"/>
  <c r="F241" i="36"/>
  <c r="H241" i="36"/>
  <c r="J241" i="36"/>
  <c r="G241" i="36"/>
  <c r="Y240" i="36"/>
  <c r="X240" i="36"/>
  <c r="S240" i="36"/>
  <c r="AO240" i="36"/>
  <c r="AS240" i="36"/>
  <c r="O240" i="36"/>
  <c r="AQ240" i="36"/>
  <c r="AB240" i="36"/>
  <c r="W240" i="36"/>
  <c r="AU240" i="36"/>
  <c r="P240" i="36"/>
  <c r="AF240" i="36"/>
  <c r="AD240" i="36"/>
  <c r="AI240" i="36"/>
  <c r="AM240" i="36"/>
  <c r="AK240" i="36"/>
  <c r="AC240" i="36"/>
  <c r="Z240" i="36"/>
  <c r="N240" i="36"/>
  <c r="AL240" i="36"/>
  <c r="K240" i="36"/>
  <c r="AN240" i="36"/>
  <c r="AT240" i="36"/>
  <c r="M240" i="36"/>
  <c r="Q240" i="36"/>
  <c r="L240" i="36"/>
  <c r="V240" i="36"/>
  <c r="AJ240" i="36"/>
  <c r="T240" i="36"/>
  <c r="AE240" i="36"/>
  <c r="AA240" i="36"/>
  <c r="AP240" i="36"/>
  <c r="AR240" i="36"/>
  <c r="AG240" i="36"/>
  <c r="AH240" i="36"/>
  <c r="U240" i="36"/>
  <c r="R240" i="36"/>
  <c r="C235" i="20"/>
  <c r="B235" i="20"/>
  <c r="I235" i="20" s="1"/>
  <c r="F235" i="20"/>
  <c r="G235" i="20"/>
  <c r="H235" i="20"/>
  <c r="K237" i="38"/>
  <c r="L237" i="38" s="1"/>
  <c r="A236" i="38"/>
  <c r="J249" i="19"/>
  <c r="F249" i="19"/>
  <c r="D249" i="19"/>
  <c r="AV252" i="19"/>
  <c r="AW252" i="19" s="1"/>
  <c r="A251" i="19"/>
  <c r="I250" i="19"/>
  <c r="G250" i="19"/>
  <c r="J250" i="19"/>
  <c r="D250" i="19"/>
  <c r="F250" i="19"/>
  <c r="H250" i="19"/>
  <c r="B250" i="19"/>
  <c r="E250" i="19"/>
  <c r="C250" i="19"/>
  <c r="H249" i="19"/>
  <c r="I249" i="19"/>
  <c r="Y249" i="19"/>
  <c r="R249" i="19"/>
  <c r="AG249" i="19"/>
  <c r="L249" i="19"/>
  <c r="AB249" i="19"/>
  <c r="AQ249" i="19"/>
  <c r="AD249" i="19"/>
  <c r="AU249" i="19"/>
  <c r="T249" i="19"/>
  <c r="AT249" i="19"/>
  <c r="AF249" i="19"/>
  <c r="O249" i="19"/>
  <c r="AH249" i="19"/>
  <c r="AM249" i="19"/>
  <c r="AP249" i="19"/>
  <c r="AR249" i="19"/>
  <c r="AS249" i="19"/>
  <c r="AO249" i="19"/>
  <c r="AL249" i="19"/>
  <c r="X249" i="19"/>
  <c r="V249" i="19"/>
  <c r="M249" i="19"/>
  <c r="S249" i="19"/>
  <c r="AA249" i="19"/>
  <c r="U249" i="19"/>
  <c r="P249" i="19"/>
  <c r="AI249" i="19"/>
  <c r="Z249" i="19"/>
  <c r="AE249" i="19"/>
  <c r="W249" i="19"/>
  <c r="AC249" i="19"/>
  <c r="N249" i="19"/>
  <c r="K249" i="19"/>
  <c r="AN249" i="19"/>
  <c r="AK249" i="19"/>
  <c r="Q249" i="19"/>
  <c r="AJ249" i="19"/>
  <c r="G249" i="19"/>
  <c r="D235" i="38" l="1"/>
  <c r="D235" i="20"/>
  <c r="E235" i="38"/>
  <c r="A237" i="38"/>
  <c r="K238" i="38"/>
  <c r="AM241" i="36"/>
  <c r="O241" i="36"/>
  <c r="AL241" i="36"/>
  <c r="AO241" i="36"/>
  <c r="AR241" i="36"/>
  <c r="R241" i="36"/>
  <c r="P241" i="36"/>
  <c r="AN241" i="36"/>
  <c r="AD241" i="36"/>
  <c r="T241" i="36"/>
  <c r="AI241" i="36"/>
  <c r="N241" i="36"/>
  <c r="AJ241" i="36"/>
  <c r="AB241" i="36"/>
  <c r="U241" i="36"/>
  <c r="AS241" i="36"/>
  <c r="AE241" i="36"/>
  <c r="X241" i="36"/>
  <c r="AT241" i="36"/>
  <c r="K241" i="36"/>
  <c r="AH241" i="36"/>
  <c r="AF241" i="36"/>
  <c r="Z241" i="36"/>
  <c r="V241" i="36"/>
  <c r="AQ241" i="36"/>
  <c r="Q241" i="36"/>
  <c r="Y241" i="36"/>
  <c r="AC241" i="36"/>
  <c r="AP241" i="36"/>
  <c r="L241" i="36"/>
  <c r="W241" i="36"/>
  <c r="AK241" i="36"/>
  <c r="AU241" i="36"/>
  <c r="AG241" i="36"/>
  <c r="AA241" i="36"/>
  <c r="S241" i="36"/>
  <c r="M241" i="36"/>
  <c r="K238" i="20"/>
  <c r="A237" i="20"/>
  <c r="B242" i="36"/>
  <c r="G242" i="36" s="1"/>
  <c r="C242" i="36"/>
  <c r="G236" i="38"/>
  <c r="C236" i="38"/>
  <c r="I236" i="38"/>
  <c r="B236" i="38"/>
  <c r="E236" i="38"/>
  <c r="D236" i="38"/>
  <c r="F236" i="38"/>
  <c r="H236" i="38"/>
  <c r="E235" i="20"/>
  <c r="D236" i="20"/>
  <c r="G236" i="20"/>
  <c r="B236" i="20"/>
  <c r="F236" i="20"/>
  <c r="E236" i="20"/>
  <c r="C236" i="20"/>
  <c r="H236" i="20"/>
  <c r="I236" i="20"/>
  <c r="AV244" i="36"/>
  <c r="AW244" i="36" s="1"/>
  <c r="A243" i="36"/>
  <c r="AR250" i="19"/>
  <c r="T250" i="19"/>
  <c r="U250" i="19"/>
  <c r="AE250" i="19"/>
  <c r="N250" i="19"/>
  <c r="AN250" i="19"/>
  <c r="P250" i="19"/>
  <c r="M250" i="19"/>
  <c r="V250" i="19"/>
  <c r="AK250" i="19"/>
  <c r="AP250" i="19"/>
  <c r="AU250" i="19"/>
  <c r="AL250" i="19"/>
  <c r="AC250" i="19"/>
  <c r="R250" i="19"/>
  <c r="AA250" i="19"/>
  <c r="AD250" i="19"/>
  <c r="AO250" i="19"/>
  <c r="AQ250" i="19"/>
  <c r="W250" i="19"/>
  <c r="Z250" i="19"/>
  <c r="AG250" i="19"/>
  <c r="L250" i="19"/>
  <c r="AF250" i="19"/>
  <c r="AM250" i="19"/>
  <c r="AB250" i="19"/>
  <c r="O250" i="19"/>
  <c r="AH250" i="19"/>
  <c r="S250" i="19"/>
  <c r="AT250" i="19"/>
  <c r="AI250" i="19"/>
  <c r="AJ250" i="19"/>
  <c r="K250" i="19"/>
  <c r="Q250" i="19"/>
  <c r="AS250" i="19"/>
  <c r="X250" i="19"/>
  <c r="Y250" i="19"/>
  <c r="F251" i="19"/>
  <c r="H251" i="19"/>
  <c r="B251" i="19"/>
  <c r="I251" i="19"/>
  <c r="J251" i="19"/>
  <c r="E251" i="19"/>
  <c r="G251" i="19"/>
  <c r="D251" i="19"/>
  <c r="C251" i="19"/>
  <c r="A252" i="19"/>
  <c r="AV253" i="19"/>
  <c r="AW253" i="19" s="1"/>
  <c r="E242" i="36" l="1"/>
  <c r="D242" i="36"/>
  <c r="F242" i="36"/>
  <c r="H242" i="36"/>
  <c r="I242" i="36"/>
  <c r="J242" i="36"/>
  <c r="AV245" i="36"/>
  <c r="AW245" i="36" s="1"/>
  <c r="A244" i="36"/>
  <c r="S242" i="36"/>
  <c r="X242" i="36"/>
  <c r="Z242" i="36"/>
  <c r="O242" i="36"/>
  <c r="AR242" i="36"/>
  <c r="AU242" i="36"/>
  <c r="AG242" i="36"/>
  <c r="AK242" i="36"/>
  <c r="Q242" i="36"/>
  <c r="T242" i="36"/>
  <c r="V242" i="36"/>
  <c r="AS242" i="36"/>
  <c r="AF242" i="36"/>
  <c r="AM242" i="36"/>
  <c r="AE242" i="36"/>
  <c r="AQ242" i="36"/>
  <c r="P242" i="36"/>
  <c r="Y242" i="36"/>
  <c r="AH242" i="36"/>
  <c r="M242" i="36"/>
  <c r="AI242" i="36"/>
  <c r="W242" i="36"/>
  <c r="N242" i="36"/>
  <c r="L242" i="36"/>
  <c r="AT242" i="36"/>
  <c r="AP242" i="36"/>
  <c r="AD242" i="36"/>
  <c r="AJ242" i="36"/>
  <c r="K242" i="36"/>
  <c r="U242" i="36"/>
  <c r="AB242" i="36"/>
  <c r="R242" i="36"/>
  <c r="AC242" i="36"/>
  <c r="AN242" i="36"/>
  <c r="AL242" i="36"/>
  <c r="AO242" i="36"/>
  <c r="AA242" i="36"/>
  <c r="B238" i="20"/>
  <c r="L238" i="20"/>
  <c r="L238" i="38"/>
  <c r="B238" i="38"/>
  <c r="C243" i="36"/>
  <c r="B243" i="36"/>
  <c r="E243" i="36" s="1"/>
  <c r="G237" i="20"/>
  <c r="B237" i="20"/>
  <c r="F237" i="20"/>
  <c r="D237" i="20"/>
  <c r="C237" i="20"/>
  <c r="H237" i="20"/>
  <c r="E237" i="20"/>
  <c r="I237" i="20"/>
  <c r="G237" i="38"/>
  <c r="H237" i="38"/>
  <c r="I237" i="38"/>
  <c r="E237" i="38"/>
  <c r="F237" i="38"/>
  <c r="D237" i="38"/>
  <c r="B237" i="38"/>
  <c r="C237" i="38"/>
  <c r="B252" i="19"/>
  <c r="D252" i="19" s="1"/>
  <c r="C252" i="19"/>
  <c r="O251" i="19"/>
  <c r="N251" i="19"/>
  <c r="AD251" i="19"/>
  <c r="AL251" i="19"/>
  <c r="AA251" i="19"/>
  <c r="AE251" i="19"/>
  <c r="AP251" i="19"/>
  <c r="AN251" i="19"/>
  <c r="Q251" i="19"/>
  <c r="P251" i="19"/>
  <c r="AK251" i="19"/>
  <c r="Y251" i="19"/>
  <c r="AS251" i="19"/>
  <c r="AJ251" i="19"/>
  <c r="AF251" i="19"/>
  <c r="AO251" i="19"/>
  <c r="X251" i="19"/>
  <c r="AT251" i="19"/>
  <c r="AG251" i="19"/>
  <c r="T251" i="19"/>
  <c r="W251" i="19"/>
  <c r="V251" i="19"/>
  <c r="L251" i="19"/>
  <c r="AC251" i="19"/>
  <c r="U251" i="19"/>
  <c r="M251" i="19"/>
  <c r="AB251" i="19"/>
  <c r="AM251" i="19"/>
  <c r="Z251" i="19"/>
  <c r="AR251" i="19"/>
  <c r="K251" i="19"/>
  <c r="R251" i="19"/>
  <c r="AU251" i="19"/>
  <c r="AQ251" i="19"/>
  <c r="S251" i="19"/>
  <c r="AH251" i="19"/>
  <c r="AI251" i="19"/>
  <c r="A253" i="19"/>
  <c r="AV254" i="19"/>
  <c r="AW254" i="19" s="1"/>
  <c r="G243" i="36" l="1"/>
  <c r="I243" i="36"/>
  <c r="D243" i="36"/>
  <c r="F243" i="36"/>
  <c r="H243" i="36"/>
  <c r="J243" i="36"/>
  <c r="K239" i="38"/>
  <c r="C238" i="38"/>
  <c r="E238" i="20"/>
  <c r="I238" i="20"/>
  <c r="D238" i="20"/>
  <c r="B244" i="36"/>
  <c r="G244" i="36" s="1"/>
  <c r="C244" i="36"/>
  <c r="AG243" i="36"/>
  <c r="AS243" i="36"/>
  <c r="N243" i="36"/>
  <c r="Z243" i="36"/>
  <c r="AU243" i="36"/>
  <c r="AP243" i="36"/>
  <c r="AQ243" i="36"/>
  <c r="AO243" i="36"/>
  <c r="U243" i="36"/>
  <c r="O243" i="36"/>
  <c r="V243" i="36"/>
  <c r="AM243" i="36"/>
  <c r="AB243" i="36"/>
  <c r="AI243" i="36"/>
  <c r="AT243" i="36"/>
  <c r="X243" i="36"/>
  <c r="AA243" i="36"/>
  <c r="K243" i="36"/>
  <c r="AN243" i="36"/>
  <c r="AH243" i="36"/>
  <c r="W243" i="36"/>
  <c r="S243" i="36"/>
  <c r="AK243" i="36"/>
  <c r="AJ243" i="36"/>
  <c r="AD243" i="36"/>
  <c r="AR243" i="36"/>
  <c r="AC243" i="36"/>
  <c r="AE243" i="36"/>
  <c r="Q243" i="36"/>
  <c r="L243" i="36"/>
  <c r="AF243" i="36"/>
  <c r="R243" i="36"/>
  <c r="P243" i="36"/>
  <c r="AL243" i="36"/>
  <c r="M243" i="36"/>
  <c r="T243" i="36"/>
  <c r="Y243" i="36"/>
  <c r="I238" i="38"/>
  <c r="E238" i="38"/>
  <c r="D238" i="38"/>
  <c r="K239" i="20"/>
  <c r="C238" i="20"/>
  <c r="AV246" i="36"/>
  <c r="AW246" i="36" s="1"/>
  <c r="A245" i="36"/>
  <c r="H252" i="19"/>
  <c r="I252" i="19"/>
  <c r="J252" i="19"/>
  <c r="F252" i="19"/>
  <c r="G252" i="19"/>
  <c r="E252" i="19"/>
  <c r="AV255" i="19"/>
  <c r="AW255" i="19" s="1"/>
  <c r="A254" i="19"/>
  <c r="B253" i="19"/>
  <c r="J253" i="19" s="1"/>
  <c r="C253" i="19"/>
  <c r="Y252" i="19"/>
  <c r="AB252" i="19"/>
  <c r="AU252" i="19"/>
  <c r="Q252" i="19"/>
  <c r="L252" i="19"/>
  <c r="M252" i="19"/>
  <c r="AT252" i="19"/>
  <c r="AS252" i="19"/>
  <c r="T252" i="19"/>
  <c r="AH252" i="19"/>
  <c r="O252" i="19"/>
  <c r="AC252" i="19"/>
  <c r="P252" i="19"/>
  <c r="AG252" i="19"/>
  <c r="K252" i="19"/>
  <c r="Z252" i="19"/>
  <c r="R252" i="19"/>
  <c r="AF252" i="19"/>
  <c r="AJ252" i="19"/>
  <c r="N252" i="19"/>
  <c r="AP252" i="19"/>
  <c r="X252" i="19"/>
  <c r="V252" i="19"/>
  <c r="AN252" i="19"/>
  <c r="U252" i="19"/>
  <c r="AA252" i="19"/>
  <c r="W252" i="19"/>
  <c r="AK252" i="19"/>
  <c r="AE252" i="19"/>
  <c r="AI252" i="19"/>
  <c r="AR252" i="19"/>
  <c r="AD252" i="19"/>
  <c r="AM252" i="19"/>
  <c r="S252" i="19"/>
  <c r="AL252" i="19"/>
  <c r="AQ252" i="19"/>
  <c r="AO252" i="19"/>
  <c r="H244" i="36" l="1"/>
  <c r="E244" i="36"/>
  <c r="D244" i="36"/>
  <c r="B245" i="36"/>
  <c r="J245" i="36" s="1"/>
  <c r="C245" i="36"/>
  <c r="J244" i="36"/>
  <c r="I244" i="36"/>
  <c r="L239" i="38"/>
  <c r="B239" i="38"/>
  <c r="AV247" i="36"/>
  <c r="AW247" i="36" s="1"/>
  <c r="A246" i="36"/>
  <c r="L239" i="20"/>
  <c r="B239" i="20"/>
  <c r="F244" i="36"/>
  <c r="AI244" i="36"/>
  <c r="AJ244" i="36"/>
  <c r="L244" i="36"/>
  <c r="U244" i="36"/>
  <c r="AP244" i="36"/>
  <c r="AA244" i="36"/>
  <c r="Q244" i="36"/>
  <c r="T244" i="36"/>
  <c r="K244" i="36"/>
  <c r="O244" i="36"/>
  <c r="X244" i="36"/>
  <c r="V244" i="36"/>
  <c r="AK244" i="36"/>
  <c r="AG244" i="36"/>
  <c r="M244" i="36"/>
  <c r="Z244" i="36"/>
  <c r="AO244" i="36"/>
  <c r="R244" i="36"/>
  <c r="AU244" i="36"/>
  <c r="AF244" i="36"/>
  <c r="AL244" i="36"/>
  <c r="P244" i="36"/>
  <c r="AC244" i="36"/>
  <c r="AD244" i="36"/>
  <c r="AR244" i="36"/>
  <c r="AT244" i="36"/>
  <c r="AH244" i="36"/>
  <c r="AB244" i="36"/>
  <c r="S244" i="36"/>
  <c r="AS244" i="36"/>
  <c r="AM244" i="36"/>
  <c r="W244" i="36"/>
  <c r="AE244" i="36"/>
  <c r="N244" i="36"/>
  <c r="AN244" i="36"/>
  <c r="AQ244" i="36"/>
  <c r="Y244" i="36"/>
  <c r="G253" i="19"/>
  <c r="F253" i="19"/>
  <c r="E253" i="19"/>
  <c r="D253" i="19"/>
  <c r="H253" i="19"/>
  <c r="I253" i="19"/>
  <c r="R253" i="19"/>
  <c r="AF253" i="19"/>
  <c r="AH253" i="19"/>
  <c r="W253" i="19"/>
  <c r="M253" i="19"/>
  <c r="AD253" i="19"/>
  <c r="AB253" i="19"/>
  <c r="L253" i="19"/>
  <c r="AL253" i="19"/>
  <c r="AT253" i="19"/>
  <c r="U253" i="19"/>
  <c r="V253" i="19"/>
  <c r="Y253" i="19"/>
  <c r="T253" i="19"/>
  <c r="AE253" i="19"/>
  <c r="S253" i="19"/>
  <c r="Z253" i="19"/>
  <c r="AN253" i="19"/>
  <c r="AR253" i="19"/>
  <c r="AQ253" i="19"/>
  <c r="AI253" i="19"/>
  <c r="K253" i="19"/>
  <c r="P253" i="19"/>
  <c r="AA253" i="19"/>
  <c r="X253" i="19"/>
  <c r="AP253" i="19"/>
  <c r="N253" i="19"/>
  <c r="O253" i="19"/>
  <c r="AG253" i="19"/>
  <c r="AU253" i="19"/>
  <c r="AM253" i="19"/>
  <c r="Q253" i="19"/>
  <c r="AO253" i="19"/>
  <c r="AK253" i="19"/>
  <c r="AJ253" i="19"/>
  <c r="AC253" i="19"/>
  <c r="AS253" i="19"/>
  <c r="C254" i="19"/>
  <c r="B254" i="19"/>
  <c r="I254" i="19" s="1"/>
  <c r="AV256" i="19"/>
  <c r="AW256" i="19" s="1"/>
  <c r="A255" i="19"/>
  <c r="D245" i="36" l="1"/>
  <c r="F245" i="36"/>
  <c r="I245" i="36"/>
  <c r="I239" i="20"/>
  <c r="E239" i="20"/>
  <c r="D239" i="20"/>
  <c r="C246" i="36"/>
  <c r="B246" i="36"/>
  <c r="D246" i="36" s="1"/>
  <c r="I239" i="38"/>
  <c r="E239" i="38"/>
  <c r="D239" i="38"/>
  <c r="E245" i="36"/>
  <c r="G245" i="36"/>
  <c r="K240" i="20"/>
  <c r="C239" i="20"/>
  <c r="AV248" i="36"/>
  <c r="AW248" i="36" s="1"/>
  <c r="A247" i="36"/>
  <c r="K240" i="38"/>
  <c r="C239" i="38"/>
  <c r="H245" i="36"/>
  <c r="N245" i="36"/>
  <c r="AE245" i="36"/>
  <c r="AP245" i="36"/>
  <c r="AU245" i="36"/>
  <c r="AB245" i="36"/>
  <c r="T245" i="36"/>
  <c r="AC245" i="36"/>
  <c r="AJ245" i="36"/>
  <c r="V245" i="36"/>
  <c r="AR245" i="36"/>
  <c r="Q245" i="36"/>
  <c r="AH245" i="36"/>
  <c r="AD245" i="36"/>
  <c r="AQ245" i="36"/>
  <c r="AI245" i="36"/>
  <c r="AG245" i="36"/>
  <c r="AT245" i="36"/>
  <c r="AK245" i="36"/>
  <c r="W245" i="36"/>
  <c r="AA245" i="36"/>
  <c r="AS245" i="36"/>
  <c r="AO245" i="36"/>
  <c r="U245" i="36"/>
  <c r="AM245" i="36"/>
  <c r="M245" i="36"/>
  <c r="O245" i="36"/>
  <c r="AL245" i="36"/>
  <c r="P245" i="36"/>
  <c r="X245" i="36"/>
  <c r="L245" i="36"/>
  <c r="Y245" i="36"/>
  <c r="AN245" i="36"/>
  <c r="S245" i="36"/>
  <c r="K245" i="36"/>
  <c r="Z245" i="36"/>
  <c r="R245" i="36"/>
  <c r="AF245" i="36"/>
  <c r="D254" i="19"/>
  <c r="H254" i="19"/>
  <c r="F254" i="19"/>
  <c r="G254" i="19"/>
  <c r="J254" i="19"/>
  <c r="A256" i="19"/>
  <c r="AV257" i="19"/>
  <c r="AW257" i="19" s="1"/>
  <c r="E254" i="19"/>
  <c r="C255" i="19"/>
  <c r="B255" i="19"/>
  <c r="E255" i="19" s="1"/>
  <c r="O254" i="19"/>
  <c r="Z254" i="19"/>
  <c r="AF254" i="19"/>
  <c r="T254" i="19"/>
  <c r="X254" i="19"/>
  <c r="AD254" i="19"/>
  <c r="P254" i="19"/>
  <c r="AS254" i="19"/>
  <c r="S254" i="19"/>
  <c r="AQ254" i="19"/>
  <c r="M254" i="19"/>
  <c r="AU254" i="19"/>
  <c r="V254" i="19"/>
  <c r="N254" i="19"/>
  <c r="AP254" i="19"/>
  <c r="AN254" i="19"/>
  <c r="W254" i="19"/>
  <c r="AB254" i="19"/>
  <c r="AJ254" i="19"/>
  <c r="AO254" i="19"/>
  <c r="AG254" i="19"/>
  <c r="Y254" i="19"/>
  <c r="AK254" i="19"/>
  <c r="L254" i="19"/>
  <c r="R254" i="19"/>
  <c r="AA254" i="19"/>
  <c r="AM254" i="19"/>
  <c r="AT254" i="19"/>
  <c r="AE254" i="19"/>
  <c r="AH254" i="19"/>
  <c r="K254" i="19"/>
  <c r="Q254" i="19"/>
  <c r="U254" i="19"/>
  <c r="AL254" i="19"/>
  <c r="AC254" i="19"/>
  <c r="AI254" i="19"/>
  <c r="AR254" i="19"/>
  <c r="J246" i="36" l="1"/>
  <c r="G246" i="36"/>
  <c r="I246" i="36"/>
  <c r="L240" i="38"/>
  <c r="B240" i="38"/>
  <c r="AV249" i="36"/>
  <c r="AW249" i="36" s="1"/>
  <c r="A248" i="36"/>
  <c r="B240" i="20"/>
  <c r="L240" i="20"/>
  <c r="E246" i="36"/>
  <c r="F246" i="36"/>
  <c r="H246" i="36"/>
  <c r="C247" i="36"/>
  <c r="B247" i="36"/>
  <c r="G247" i="36" s="1"/>
  <c r="AD246" i="36"/>
  <c r="AA246" i="36"/>
  <c r="AE246" i="36"/>
  <c r="AC246" i="36"/>
  <c r="P246" i="36"/>
  <c r="AG246" i="36"/>
  <c r="R246" i="36"/>
  <c r="K246" i="36"/>
  <c r="AO246" i="36"/>
  <c r="AM246" i="36"/>
  <c r="S246" i="36"/>
  <c r="AS246" i="36"/>
  <c r="AU246" i="36"/>
  <c r="AT246" i="36"/>
  <c r="AK246" i="36"/>
  <c r="T246" i="36"/>
  <c r="AL246" i="36"/>
  <c r="Y246" i="36"/>
  <c r="AP246" i="36"/>
  <c r="AQ246" i="36"/>
  <c r="N246" i="36"/>
  <c r="M246" i="36"/>
  <c r="U246" i="36"/>
  <c r="O246" i="36"/>
  <c r="AH246" i="36"/>
  <c r="AB246" i="36"/>
  <c r="AI246" i="36"/>
  <c r="W246" i="36"/>
  <c r="X246" i="36"/>
  <c r="AJ246" i="36"/>
  <c r="V246" i="36"/>
  <c r="L246" i="36"/>
  <c r="AN246" i="36"/>
  <c r="AR246" i="36"/>
  <c r="Z246" i="36"/>
  <c r="Q246" i="36"/>
  <c r="AF246" i="36"/>
  <c r="J255" i="19"/>
  <c r="F255" i="19"/>
  <c r="D255" i="19"/>
  <c r="G255" i="19"/>
  <c r="I255" i="19"/>
  <c r="H255" i="19"/>
  <c r="AR255" i="19"/>
  <c r="AM255" i="19"/>
  <c r="AT255" i="19"/>
  <c r="K255" i="19"/>
  <c r="AL255" i="19"/>
  <c r="M255" i="19"/>
  <c r="X255" i="19"/>
  <c r="V255" i="19"/>
  <c r="O255" i="19"/>
  <c r="L255" i="19"/>
  <c r="AU255" i="19"/>
  <c r="R255" i="19"/>
  <c r="Y255" i="19"/>
  <c r="AI255" i="19"/>
  <c r="N255" i="19"/>
  <c r="AF255" i="19"/>
  <c r="Q255" i="19"/>
  <c r="AQ255" i="19"/>
  <c r="AG255" i="19"/>
  <c r="AJ255" i="19"/>
  <c r="S255" i="19"/>
  <c r="AD255" i="19"/>
  <c r="AN255" i="19"/>
  <c r="T255" i="19"/>
  <c r="AA255" i="19"/>
  <c r="P255" i="19"/>
  <c r="AC255" i="19"/>
  <c r="U255" i="19"/>
  <c r="AB255" i="19"/>
  <c r="Z255" i="19"/>
  <c r="W255" i="19"/>
  <c r="AO255" i="19"/>
  <c r="AE255" i="19"/>
  <c r="AS255" i="19"/>
  <c r="AK255" i="19"/>
  <c r="AP255" i="19"/>
  <c r="AH255" i="19"/>
  <c r="A257" i="19"/>
  <c r="AV258" i="19"/>
  <c r="AW258" i="19" s="1"/>
  <c r="C256" i="19"/>
  <c r="B256" i="19"/>
  <c r="H256" i="19" s="1"/>
  <c r="D247" i="36" l="1"/>
  <c r="H247" i="36"/>
  <c r="F247" i="36"/>
  <c r="I247" i="36"/>
  <c r="J247" i="36"/>
  <c r="K241" i="20"/>
  <c r="C240" i="20"/>
  <c r="F248" i="36"/>
  <c r="E248" i="36"/>
  <c r="G248" i="36"/>
  <c r="D248" i="36"/>
  <c r="J248" i="36"/>
  <c r="I248" i="36"/>
  <c r="C248" i="36"/>
  <c r="B248" i="36"/>
  <c r="H248" i="36"/>
  <c r="I240" i="38"/>
  <c r="E240" i="38"/>
  <c r="D240" i="38"/>
  <c r="E247" i="36"/>
  <c r="AM247" i="36"/>
  <c r="AR247" i="36"/>
  <c r="AD247" i="36"/>
  <c r="AF247" i="36"/>
  <c r="AJ247" i="36"/>
  <c r="AP247" i="36"/>
  <c r="AT247" i="36"/>
  <c r="AO247" i="36"/>
  <c r="M247" i="36"/>
  <c r="AC247" i="36"/>
  <c r="Y247" i="36"/>
  <c r="AK247" i="36"/>
  <c r="S247" i="36"/>
  <c r="AL247" i="36"/>
  <c r="AN247" i="36"/>
  <c r="P247" i="36"/>
  <c r="Z247" i="36"/>
  <c r="V247" i="36"/>
  <c r="AU247" i="36"/>
  <c r="AE247" i="36"/>
  <c r="L247" i="36"/>
  <c r="O247" i="36"/>
  <c r="AG247" i="36"/>
  <c r="W247" i="36"/>
  <c r="AB247" i="36"/>
  <c r="AI247" i="36"/>
  <c r="AH247" i="36"/>
  <c r="Q247" i="36"/>
  <c r="N247" i="36"/>
  <c r="R247" i="36"/>
  <c r="AA247" i="36"/>
  <c r="K247" i="36"/>
  <c r="AS247" i="36"/>
  <c r="AQ247" i="36"/>
  <c r="U247" i="36"/>
  <c r="X247" i="36"/>
  <c r="T247" i="36"/>
  <c r="I240" i="20"/>
  <c r="E240" i="20"/>
  <c r="D240" i="20"/>
  <c r="AV250" i="36"/>
  <c r="AW250" i="36" s="1"/>
  <c r="A249" i="36"/>
  <c r="K241" i="38"/>
  <c r="C240" i="38"/>
  <c r="G256" i="19"/>
  <c r="E256" i="19"/>
  <c r="I256" i="19"/>
  <c r="F256" i="19"/>
  <c r="J256" i="19"/>
  <c r="M256" i="19"/>
  <c r="AR256" i="19"/>
  <c r="S256" i="19"/>
  <c r="AT256" i="19"/>
  <c r="R256" i="19"/>
  <c r="X256" i="19"/>
  <c r="AN256" i="19"/>
  <c r="N256" i="19"/>
  <c r="AA256" i="19"/>
  <c r="U256" i="19"/>
  <c r="V256" i="19"/>
  <c r="O256" i="19"/>
  <c r="AI256" i="19"/>
  <c r="P256" i="19"/>
  <c r="Y256" i="19"/>
  <c r="AH256" i="19"/>
  <c r="AF256" i="19"/>
  <c r="L256" i="19"/>
  <c r="AU256" i="19"/>
  <c r="Z256" i="19"/>
  <c r="AE256" i="19"/>
  <c r="AO256" i="19"/>
  <c r="AL256" i="19"/>
  <c r="AG256" i="19"/>
  <c r="AB256" i="19"/>
  <c r="AM256" i="19"/>
  <c r="AC256" i="19"/>
  <c r="AK256" i="19"/>
  <c r="AD256" i="19"/>
  <c r="AJ256" i="19"/>
  <c r="W256" i="19"/>
  <c r="AS256" i="19"/>
  <c r="AP256" i="19"/>
  <c r="K256" i="19"/>
  <c r="AQ256" i="19"/>
  <c r="T256" i="19"/>
  <c r="Q256" i="19"/>
  <c r="A258" i="19"/>
  <c r="AV259" i="19"/>
  <c r="AW259" i="19" s="1"/>
  <c r="B257" i="19"/>
  <c r="H257" i="19" s="1"/>
  <c r="C257" i="19"/>
  <c r="D256" i="19"/>
  <c r="B241" i="38" l="1"/>
  <c r="L241" i="38"/>
  <c r="AV251" i="36"/>
  <c r="AW251" i="36" s="1"/>
  <c r="A250" i="36"/>
  <c r="R248" i="36"/>
  <c r="AD248" i="36"/>
  <c r="AF248" i="36"/>
  <c r="U248" i="36"/>
  <c r="AQ248" i="36"/>
  <c r="AT248" i="36"/>
  <c r="K248" i="36"/>
  <c r="N248" i="36"/>
  <c r="W248" i="36"/>
  <c r="Q248" i="36"/>
  <c r="P248" i="36"/>
  <c r="AJ248" i="36"/>
  <c r="AI248" i="36"/>
  <c r="AE248" i="36"/>
  <c r="AB248" i="36"/>
  <c r="AK248" i="36"/>
  <c r="AP248" i="36"/>
  <c r="AR248" i="36"/>
  <c r="AM248" i="36"/>
  <c r="X248" i="36"/>
  <c r="AA248" i="36"/>
  <c r="Z248" i="36"/>
  <c r="AS248" i="36"/>
  <c r="T248" i="36"/>
  <c r="V248" i="36"/>
  <c r="AH248" i="36"/>
  <c r="AG248" i="36"/>
  <c r="AU248" i="36"/>
  <c r="AO248" i="36"/>
  <c r="O248" i="36"/>
  <c r="L248" i="36"/>
  <c r="AC248" i="36"/>
  <c r="S248" i="36"/>
  <c r="Y248" i="36"/>
  <c r="AL248" i="36"/>
  <c r="AN248" i="36"/>
  <c r="M248" i="36"/>
  <c r="H249" i="36"/>
  <c r="B249" i="36"/>
  <c r="G249" i="36"/>
  <c r="I249" i="36"/>
  <c r="J249" i="36"/>
  <c r="C249" i="36"/>
  <c r="F249" i="36"/>
  <c r="D249" i="36"/>
  <c r="E249" i="36"/>
  <c r="L241" i="20"/>
  <c r="B241" i="20"/>
  <c r="I257" i="19"/>
  <c r="D257" i="19"/>
  <c r="J257" i="19"/>
  <c r="E257" i="19"/>
  <c r="F257" i="19"/>
  <c r="W257" i="19"/>
  <c r="AM257" i="19"/>
  <c r="AN257" i="19"/>
  <c r="AI257" i="19"/>
  <c r="AQ257" i="19"/>
  <c r="Z257" i="19"/>
  <c r="AB257" i="19"/>
  <c r="AR257" i="19"/>
  <c r="AU257" i="19"/>
  <c r="AL257" i="19"/>
  <c r="AJ257" i="19"/>
  <c r="AO257" i="19"/>
  <c r="AE257" i="19"/>
  <c r="M257" i="19"/>
  <c r="L257" i="19"/>
  <c r="X257" i="19"/>
  <c r="Q257" i="19"/>
  <c r="Y257" i="19"/>
  <c r="AH257" i="19"/>
  <c r="N257" i="19"/>
  <c r="AC257" i="19"/>
  <c r="T257" i="19"/>
  <c r="K257" i="19"/>
  <c r="S257" i="19"/>
  <c r="R257" i="19"/>
  <c r="AP257" i="19"/>
  <c r="AD257" i="19"/>
  <c r="V257" i="19"/>
  <c r="AS257" i="19"/>
  <c r="AA257" i="19"/>
  <c r="AT257" i="19"/>
  <c r="AG257" i="19"/>
  <c r="O257" i="19"/>
  <c r="AK257" i="19"/>
  <c r="AF257" i="19"/>
  <c r="P257" i="19"/>
  <c r="U257" i="19"/>
  <c r="AV260" i="19"/>
  <c r="AW260" i="19" s="1"/>
  <c r="A259" i="19"/>
  <c r="D258" i="19"/>
  <c r="G258" i="19"/>
  <c r="I258" i="19"/>
  <c r="C258" i="19"/>
  <c r="H258" i="19"/>
  <c r="J258" i="19"/>
  <c r="F258" i="19"/>
  <c r="E258" i="19"/>
  <c r="B258" i="19"/>
  <c r="G257" i="19"/>
  <c r="E241" i="20" l="1"/>
  <c r="I241" i="20"/>
  <c r="D241" i="20"/>
  <c r="B250" i="36"/>
  <c r="F250" i="36" s="1"/>
  <c r="C250" i="36"/>
  <c r="K242" i="38"/>
  <c r="C241" i="38"/>
  <c r="K242" i="20"/>
  <c r="C241" i="20"/>
  <c r="V249" i="36"/>
  <c r="AL249" i="36"/>
  <c r="AG249" i="36"/>
  <c r="R249" i="36"/>
  <c r="AU249" i="36"/>
  <c r="AI249" i="36"/>
  <c r="AB249" i="36"/>
  <c r="AS249" i="36"/>
  <c r="AP249" i="36"/>
  <c r="O249" i="36"/>
  <c r="K249" i="36"/>
  <c r="AA249" i="36"/>
  <c r="X249" i="36"/>
  <c r="W249" i="36"/>
  <c r="AE249" i="36"/>
  <c r="L249" i="36"/>
  <c r="AD249" i="36"/>
  <c r="AK249" i="36"/>
  <c r="AM249" i="36"/>
  <c r="T249" i="36"/>
  <c r="M249" i="36"/>
  <c r="AC249" i="36"/>
  <c r="AO249" i="36"/>
  <c r="AR249" i="36"/>
  <c r="Z249" i="36"/>
  <c r="Y249" i="36"/>
  <c r="AT249" i="36"/>
  <c r="AH249" i="36"/>
  <c r="Q249" i="36"/>
  <c r="AJ249" i="36"/>
  <c r="P249" i="36"/>
  <c r="N249" i="36"/>
  <c r="S249" i="36"/>
  <c r="U249" i="36"/>
  <c r="AQ249" i="36"/>
  <c r="AF249" i="36"/>
  <c r="AN249" i="36"/>
  <c r="AV252" i="36"/>
  <c r="AW252" i="36" s="1"/>
  <c r="A251" i="36"/>
  <c r="I241" i="38"/>
  <c r="E241" i="38"/>
  <c r="D241" i="38"/>
  <c r="M258" i="19"/>
  <c r="AR258" i="19"/>
  <c r="AN258" i="19"/>
  <c r="V258" i="19"/>
  <c r="T258" i="19"/>
  <c r="Y258" i="19"/>
  <c r="S258" i="19"/>
  <c r="AF258" i="19"/>
  <c r="AH258" i="19"/>
  <c r="Q258" i="19"/>
  <c r="L258" i="19"/>
  <c r="AS258" i="19"/>
  <c r="AO258" i="19"/>
  <c r="AB258" i="19"/>
  <c r="AM258" i="19"/>
  <c r="AL258" i="19"/>
  <c r="AA258" i="19"/>
  <c r="AQ258" i="19"/>
  <c r="AI258" i="19"/>
  <c r="AC258" i="19"/>
  <c r="AJ258" i="19"/>
  <c r="AT258" i="19"/>
  <c r="Z258" i="19"/>
  <c r="O258" i="19"/>
  <c r="AK258" i="19"/>
  <c r="AG258" i="19"/>
  <c r="AD258" i="19"/>
  <c r="AU258" i="19"/>
  <c r="X258" i="19"/>
  <c r="K258" i="19"/>
  <c r="P258" i="19"/>
  <c r="AE258" i="19"/>
  <c r="AP258" i="19"/>
  <c r="N258" i="19"/>
  <c r="R258" i="19"/>
  <c r="U258" i="19"/>
  <c r="W258" i="19"/>
  <c r="G259" i="19"/>
  <c r="C259" i="19"/>
  <c r="J259" i="19"/>
  <c r="F259" i="19"/>
  <c r="D259" i="19"/>
  <c r="I259" i="19"/>
  <c r="H259" i="19"/>
  <c r="E259" i="19"/>
  <c r="B259" i="19"/>
  <c r="A260" i="19"/>
  <c r="AV261" i="19"/>
  <c r="AW261" i="19" s="1"/>
  <c r="G250" i="36" l="1"/>
  <c r="H250" i="36"/>
  <c r="E250" i="36"/>
  <c r="D250" i="36"/>
  <c r="J250" i="36"/>
  <c r="F251" i="36"/>
  <c r="H251" i="36"/>
  <c r="E251" i="36"/>
  <c r="J251" i="36"/>
  <c r="I251" i="36"/>
  <c r="B251" i="36"/>
  <c r="D251" i="36"/>
  <c r="G251" i="36"/>
  <c r="C251" i="36"/>
  <c r="B242" i="20"/>
  <c r="L242" i="20"/>
  <c r="B242" i="38"/>
  <c r="L242" i="38"/>
  <c r="I250" i="36"/>
  <c r="AS250" i="36"/>
  <c r="AE250" i="36"/>
  <c r="V250" i="36"/>
  <c r="T250" i="36"/>
  <c r="AF250" i="36"/>
  <c r="AK250" i="36"/>
  <c r="AN250" i="36"/>
  <c r="O250" i="36"/>
  <c r="AC250" i="36"/>
  <c r="Z250" i="36"/>
  <c r="AI250" i="36"/>
  <c r="AO250" i="36"/>
  <c r="AQ250" i="36"/>
  <c r="Y250" i="36"/>
  <c r="N250" i="36"/>
  <c r="X250" i="36"/>
  <c r="P250" i="36"/>
  <c r="Q250" i="36"/>
  <c r="AR250" i="36"/>
  <c r="AH250" i="36"/>
  <c r="AA250" i="36"/>
  <c r="U250" i="36"/>
  <c r="L250" i="36"/>
  <c r="AJ250" i="36"/>
  <c r="M250" i="36"/>
  <c r="S250" i="36"/>
  <c r="AP250" i="36"/>
  <c r="AB250" i="36"/>
  <c r="AD250" i="36"/>
  <c r="R250" i="36"/>
  <c r="K250" i="36"/>
  <c r="AT250" i="36"/>
  <c r="W250" i="36"/>
  <c r="AL250" i="36"/>
  <c r="AU250" i="36"/>
  <c r="AM250" i="36"/>
  <c r="AG250" i="36"/>
  <c r="AV253" i="36"/>
  <c r="AW253" i="36" s="1"/>
  <c r="A252" i="36"/>
  <c r="A261" i="19"/>
  <c r="AV262" i="19"/>
  <c r="AW262" i="19" s="1"/>
  <c r="AA259" i="19"/>
  <c r="AK259" i="19"/>
  <c r="AN259" i="19"/>
  <c r="Z259" i="19"/>
  <c r="AQ259" i="19"/>
  <c r="X259" i="19"/>
  <c r="AG259" i="19"/>
  <c r="AS259" i="19"/>
  <c r="AT259" i="19"/>
  <c r="L259" i="19"/>
  <c r="P259" i="19"/>
  <c r="S259" i="19"/>
  <c r="AB259" i="19"/>
  <c r="Q259" i="19"/>
  <c r="O259" i="19"/>
  <c r="AP259" i="19"/>
  <c r="AM259" i="19"/>
  <c r="AR259" i="19"/>
  <c r="N259" i="19"/>
  <c r="AU259" i="19"/>
  <c r="W259" i="19"/>
  <c r="AO259" i="19"/>
  <c r="M259" i="19"/>
  <c r="AJ259" i="19"/>
  <c r="AC259" i="19"/>
  <c r="AD259" i="19"/>
  <c r="T259" i="19"/>
  <c r="V259" i="19"/>
  <c r="K259" i="19"/>
  <c r="AE259" i="19"/>
  <c r="AI259" i="19"/>
  <c r="U259" i="19"/>
  <c r="AH259" i="19"/>
  <c r="AL259" i="19"/>
  <c r="R259" i="19"/>
  <c r="Y259" i="19"/>
  <c r="AF259" i="19"/>
  <c r="C260" i="19"/>
  <c r="B260" i="19"/>
  <c r="F260" i="19" s="1"/>
  <c r="AV254" i="36" l="1"/>
  <c r="AW254" i="36" s="1"/>
  <c r="A253" i="36"/>
  <c r="I242" i="38"/>
  <c r="E242" i="38"/>
  <c r="D242" i="38"/>
  <c r="I242" i="20"/>
  <c r="E242" i="20"/>
  <c r="D242" i="20"/>
  <c r="Z251" i="36"/>
  <c r="AE251" i="36"/>
  <c r="AT251" i="36"/>
  <c r="T251" i="36"/>
  <c r="AM251" i="36"/>
  <c r="L251" i="36"/>
  <c r="K251" i="36"/>
  <c r="AC251" i="36"/>
  <c r="AG251" i="36"/>
  <c r="P251" i="36"/>
  <c r="AS251" i="36"/>
  <c r="V251" i="36"/>
  <c r="N251" i="36"/>
  <c r="AI251" i="36"/>
  <c r="AJ251" i="36"/>
  <c r="S251" i="36"/>
  <c r="M251" i="36"/>
  <c r="AP251" i="36"/>
  <c r="AU251" i="36"/>
  <c r="AO251" i="36"/>
  <c r="Q251" i="36"/>
  <c r="AB251" i="36"/>
  <c r="AF251" i="36"/>
  <c r="AR251" i="36"/>
  <c r="AD251" i="36"/>
  <c r="O251" i="36"/>
  <c r="AN251" i="36"/>
  <c r="W251" i="36"/>
  <c r="AH251" i="36"/>
  <c r="R251" i="36"/>
  <c r="Y251" i="36"/>
  <c r="AK251" i="36"/>
  <c r="AA251" i="36"/>
  <c r="U251" i="36"/>
  <c r="X251" i="36"/>
  <c r="AQ251" i="36"/>
  <c r="AL251" i="36"/>
  <c r="B252" i="36"/>
  <c r="G252" i="36"/>
  <c r="J252" i="36"/>
  <c r="C252" i="36"/>
  <c r="E252" i="36"/>
  <c r="F252" i="36"/>
  <c r="D252" i="36"/>
  <c r="I252" i="36"/>
  <c r="H252" i="36"/>
  <c r="K243" i="38"/>
  <c r="C242" i="38"/>
  <c r="K243" i="20"/>
  <c r="C242" i="20"/>
  <c r="I260" i="19"/>
  <c r="J260" i="19"/>
  <c r="H260" i="19"/>
  <c r="G260" i="19"/>
  <c r="AE260" i="19"/>
  <c r="Q260" i="19"/>
  <c r="AD260" i="19"/>
  <c r="AO260" i="19"/>
  <c r="AU260" i="19"/>
  <c r="AT260" i="19"/>
  <c r="AC260" i="19"/>
  <c r="AQ260" i="19"/>
  <c r="W260" i="19"/>
  <c r="AR260" i="19"/>
  <c r="AL260" i="19"/>
  <c r="Z260" i="19"/>
  <c r="AM260" i="19"/>
  <c r="R260" i="19"/>
  <c r="AJ260" i="19"/>
  <c r="X260" i="19"/>
  <c r="Y260" i="19"/>
  <c r="S260" i="19"/>
  <c r="AF260" i="19"/>
  <c r="T260" i="19"/>
  <c r="AA260" i="19"/>
  <c r="M260" i="19"/>
  <c r="AP260" i="19"/>
  <c r="L260" i="19"/>
  <c r="AG260" i="19"/>
  <c r="U260" i="19"/>
  <c r="O260" i="19"/>
  <c r="P260" i="19"/>
  <c r="AH260" i="19"/>
  <c r="AB260" i="19"/>
  <c r="AN260" i="19"/>
  <c r="K260" i="19"/>
  <c r="AS260" i="19"/>
  <c r="N260" i="19"/>
  <c r="AI260" i="19"/>
  <c r="AK260" i="19"/>
  <c r="V260" i="19"/>
  <c r="E260" i="19"/>
  <c r="AV263" i="19"/>
  <c r="AW263" i="19" s="1"/>
  <c r="A262" i="19"/>
  <c r="D260" i="19"/>
  <c r="J261" i="19"/>
  <c r="I261" i="19"/>
  <c r="H261" i="19"/>
  <c r="D261" i="19"/>
  <c r="E261" i="19"/>
  <c r="B261" i="19"/>
  <c r="C261" i="19"/>
  <c r="G261" i="19"/>
  <c r="F261" i="19"/>
  <c r="AC252" i="36" l="1"/>
  <c r="AF252" i="36"/>
  <c r="AK252" i="36"/>
  <c r="Q252" i="36"/>
  <c r="AS252" i="36"/>
  <c r="AR252" i="36"/>
  <c r="U252" i="36"/>
  <c r="AG252" i="36"/>
  <c r="T252" i="36"/>
  <c r="K252" i="36"/>
  <c r="AN252" i="36"/>
  <c r="O252" i="36"/>
  <c r="AE252" i="36"/>
  <c r="AP252" i="36"/>
  <c r="X252" i="36"/>
  <c r="AI252" i="36"/>
  <c r="Y252" i="36"/>
  <c r="AM252" i="36"/>
  <c r="AO252" i="36"/>
  <c r="Z252" i="36"/>
  <c r="R252" i="36"/>
  <c r="AH252" i="36"/>
  <c r="M252" i="36"/>
  <c r="AB252" i="36"/>
  <c r="N252" i="36"/>
  <c r="V252" i="36"/>
  <c r="W252" i="36"/>
  <c r="AJ252" i="36"/>
  <c r="AQ252" i="36"/>
  <c r="AA252" i="36"/>
  <c r="L252" i="36"/>
  <c r="AU252" i="36"/>
  <c r="AL252" i="36"/>
  <c r="S252" i="36"/>
  <c r="AT252" i="36"/>
  <c r="P252" i="36"/>
  <c r="AD252" i="36"/>
  <c r="B253" i="36"/>
  <c r="H253" i="36" s="1"/>
  <c r="C253" i="36"/>
  <c r="L243" i="20"/>
  <c r="B243" i="20"/>
  <c r="B243" i="38"/>
  <c r="L243" i="38"/>
  <c r="AV255" i="36"/>
  <c r="AW255" i="36" s="1"/>
  <c r="A254" i="36"/>
  <c r="G262" i="19"/>
  <c r="J262" i="19"/>
  <c r="B262" i="19"/>
  <c r="I262" i="19"/>
  <c r="H262" i="19"/>
  <c r="D262" i="19"/>
  <c r="C262" i="19"/>
  <c r="F262" i="19"/>
  <c r="E262" i="19"/>
  <c r="AV264" i="19"/>
  <c r="AW264" i="19" s="1"/>
  <c r="A263" i="19"/>
  <c r="Q261" i="19"/>
  <c r="L261" i="19"/>
  <c r="AE261" i="19"/>
  <c r="AS261" i="19"/>
  <c r="AD261" i="19"/>
  <c r="AO261" i="19"/>
  <c r="AM261" i="19"/>
  <c r="AL261" i="19"/>
  <c r="U261" i="19"/>
  <c r="M261" i="19"/>
  <c r="AK261" i="19"/>
  <c r="S261" i="19"/>
  <c r="O261" i="19"/>
  <c r="AH261" i="19"/>
  <c r="AF261" i="19"/>
  <c r="Y261" i="19"/>
  <c r="N261" i="19"/>
  <c r="Z261" i="19"/>
  <c r="V261" i="19"/>
  <c r="AG261" i="19"/>
  <c r="AJ261" i="19"/>
  <c r="T261" i="19"/>
  <c r="AB261" i="19"/>
  <c r="P261" i="19"/>
  <c r="AQ261" i="19"/>
  <c r="AC261" i="19"/>
  <c r="AR261" i="19"/>
  <c r="X261" i="19"/>
  <c r="AP261" i="19"/>
  <c r="W261" i="19"/>
  <c r="AT261" i="19"/>
  <c r="R261" i="19"/>
  <c r="AU261" i="19"/>
  <c r="AN261" i="19"/>
  <c r="K261" i="19"/>
  <c r="AA261" i="19"/>
  <c r="AI261" i="19"/>
  <c r="F253" i="36" l="1"/>
  <c r="J253" i="36"/>
  <c r="D253" i="36"/>
  <c r="G253" i="36"/>
  <c r="E253" i="36"/>
  <c r="I253" i="36"/>
  <c r="B254" i="36"/>
  <c r="F254" i="36" s="1"/>
  <c r="C254" i="36"/>
  <c r="K244" i="38"/>
  <c r="L244" i="38" s="1"/>
  <c r="C243" i="38"/>
  <c r="E243" i="20"/>
  <c r="I243" i="20"/>
  <c r="D243" i="20"/>
  <c r="AQ253" i="36"/>
  <c r="AO253" i="36"/>
  <c r="Z253" i="36"/>
  <c r="AI253" i="36"/>
  <c r="O253" i="36"/>
  <c r="AP253" i="36"/>
  <c r="AH253" i="36"/>
  <c r="T253" i="36"/>
  <c r="AA253" i="36"/>
  <c r="AN253" i="36"/>
  <c r="AU253" i="36"/>
  <c r="S253" i="36"/>
  <c r="AS253" i="36"/>
  <c r="Y253" i="36"/>
  <c r="R253" i="36"/>
  <c r="AL253" i="36"/>
  <c r="Q253" i="36"/>
  <c r="AF253" i="36"/>
  <c r="AJ253" i="36"/>
  <c r="X253" i="36"/>
  <c r="P253" i="36"/>
  <c r="AE253" i="36"/>
  <c r="AD253" i="36"/>
  <c r="W253" i="36"/>
  <c r="AC253" i="36"/>
  <c r="AB253" i="36"/>
  <c r="L253" i="36"/>
  <c r="N253" i="36"/>
  <c r="AR253" i="36"/>
  <c r="AM253" i="36"/>
  <c r="U253" i="36"/>
  <c r="K253" i="36"/>
  <c r="M253" i="36"/>
  <c r="AT253" i="36"/>
  <c r="V253" i="36"/>
  <c r="AG253" i="36"/>
  <c r="AK253" i="36"/>
  <c r="AV256" i="36"/>
  <c r="AW256" i="36" s="1"/>
  <c r="A255" i="36"/>
  <c r="E243" i="38"/>
  <c r="I243" i="38"/>
  <c r="D243" i="38"/>
  <c r="K244" i="20"/>
  <c r="L244" i="20" s="1"/>
  <c r="K245" i="20" s="1"/>
  <c r="L245" i="20" s="1"/>
  <c r="K246" i="20" s="1"/>
  <c r="C243" i="20"/>
  <c r="A264" i="19"/>
  <c r="AV265" i="19"/>
  <c r="AW265" i="19" s="1"/>
  <c r="AP262" i="19"/>
  <c r="AK262" i="19"/>
  <c r="N262" i="19"/>
  <c r="AA262" i="19"/>
  <c r="U262" i="19"/>
  <c r="P262" i="19"/>
  <c r="AB262" i="19"/>
  <c r="AQ262" i="19"/>
  <c r="T262" i="19"/>
  <c r="AD262" i="19"/>
  <c r="X262" i="19"/>
  <c r="AU262" i="19"/>
  <c r="AI262" i="19"/>
  <c r="AS262" i="19"/>
  <c r="AJ262" i="19"/>
  <c r="AG262" i="19"/>
  <c r="Q262" i="19"/>
  <c r="AE262" i="19"/>
  <c r="K262" i="19"/>
  <c r="AH262" i="19"/>
  <c r="O262" i="19"/>
  <c r="AL262" i="19"/>
  <c r="M262" i="19"/>
  <c r="V262" i="19"/>
  <c r="S262" i="19"/>
  <c r="AM262" i="19"/>
  <c r="R262" i="19"/>
  <c r="Y262" i="19"/>
  <c r="AC262" i="19"/>
  <c r="Z262" i="19"/>
  <c r="AF262" i="19"/>
  <c r="AN262" i="19"/>
  <c r="W262" i="19"/>
  <c r="L262" i="19"/>
  <c r="AO262" i="19"/>
  <c r="AR262" i="19"/>
  <c r="AT262" i="19"/>
  <c r="C263" i="19"/>
  <c r="B263" i="19"/>
  <c r="G263" i="19" s="1"/>
  <c r="D254" i="36" l="1"/>
  <c r="I254" i="36"/>
  <c r="J254" i="36"/>
  <c r="E254" i="36"/>
  <c r="AV257" i="36"/>
  <c r="AW257" i="36" s="1"/>
  <c r="A256" i="36"/>
  <c r="K245" i="38"/>
  <c r="L245" i="38" s="1"/>
  <c r="A244" i="38"/>
  <c r="G254" i="36"/>
  <c r="H254" i="36"/>
  <c r="B246" i="20"/>
  <c r="L246" i="20"/>
  <c r="B255" i="36"/>
  <c r="I255" i="36" s="1"/>
  <c r="C255" i="36"/>
  <c r="T254" i="36"/>
  <c r="Y254" i="36"/>
  <c r="AT254" i="36"/>
  <c r="M254" i="36"/>
  <c r="AA254" i="36"/>
  <c r="AC254" i="36"/>
  <c r="AB254" i="36"/>
  <c r="AN254" i="36"/>
  <c r="AP254" i="36"/>
  <c r="AU254" i="36"/>
  <c r="AL254" i="36"/>
  <c r="AS254" i="36"/>
  <c r="P254" i="36"/>
  <c r="AO254" i="36"/>
  <c r="X254" i="36"/>
  <c r="AJ254" i="36"/>
  <c r="AI254" i="36"/>
  <c r="U254" i="36"/>
  <c r="V254" i="36"/>
  <c r="AM254" i="36"/>
  <c r="AG254" i="36"/>
  <c r="R254" i="36"/>
  <c r="L254" i="36"/>
  <c r="O254" i="36"/>
  <c r="AE254" i="36"/>
  <c r="AD254" i="36"/>
  <c r="AR254" i="36"/>
  <c r="AH254" i="36"/>
  <c r="N254" i="36"/>
  <c r="Q254" i="36"/>
  <c r="AF254" i="36"/>
  <c r="W254" i="36"/>
  <c r="AQ254" i="36"/>
  <c r="K254" i="36"/>
  <c r="Z254" i="36"/>
  <c r="S254" i="36"/>
  <c r="AK254" i="36"/>
  <c r="J263" i="19"/>
  <c r="E263" i="19"/>
  <c r="H263" i="19"/>
  <c r="F263" i="19"/>
  <c r="D263" i="19"/>
  <c r="I263" i="19"/>
  <c r="M263" i="19"/>
  <c r="AI263" i="19"/>
  <c r="AN263" i="19"/>
  <c r="AA263" i="19"/>
  <c r="Z263" i="19"/>
  <c r="R263" i="19"/>
  <c r="P263" i="19"/>
  <c r="AK263" i="19"/>
  <c r="K263" i="19"/>
  <c r="AJ263" i="19"/>
  <c r="Y263" i="19"/>
  <c r="AC263" i="19"/>
  <c r="AP263" i="19"/>
  <c r="L263" i="19"/>
  <c r="AT263" i="19"/>
  <c r="W263" i="19"/>
  <c r="AB263" i="19"/>
  <c r="T263" i="19"/>
  <c r="U263" i="19"/>
  <c r="AL263" i="19"/>
  <c r="AR263" i="19"/>
  <c r="V263" i="19"/>
  <c r="AU263" i="19"/>
  <c r="Q263" i="19"/>
  <c r="AF263" i="19"/>
  <c r="N263" i="19"/>
  <c r="O263" i="19"/>
  <c r="AM263" i="19"/>
  <c r="AG263" i="19"/>
  <c r="AO263" i="19"/>
  <c r="AH263" i="19"/>
  <c r="X263" i="19"/>
  <c r="AE263" i="19"/>
  <c r="AD263" i="19"/>
  <c r="S263" i="19"/>
  <c r="AQ263" i="19"/>
  <c r="AS263" i="19"/>
  <c r="AV266" i="19"/>
  <c r="AW266" i="19" s="1"/>
  <c r="A265" i="19"/>
  <c r="B264" i="19"/>
  <c r="E264" i="19" s="1"/>
  <c r="C264" i="19"/>
  <c r="H255" i="36" l="1"/>
  <c r="J255" i="36"/>
  <c r="F255" i="36"/>
  <c r="D255" i="36"/>
  <c r="E255" i="36"/>
  <c r="K247" i="20"/>
  <c r="L247" i="20" s="1"/>
  <c r="K248" i="20" s="1"/>
  <c r="L248" i="20" s="1"/>
  <c r="K249" i="20" s="1"/>
  <c r="C246" i="20"/>
  <c r="F244" i="38"/>
  <c r="B244" i="38"/>
  <c r="H244" i="38"/>
  <c r="G244" i="38"/>
  <c r="E244" i="38"/>
  <c r="C244" i="38"/>
  <c r="D244" i="38"/>
  <c r="I244" i="38"/>
  <c r="B256" i="36"/>
  <c r="G256" i="36" s="1"/>
  <c r="C256" i="36"/>
  <c r="G255" i="36"/>
  <c r="AJ255" i="36"/>
  <c r="AK255" i="36"/>
  <c r="AM255" i="36"/>
  <c r="R255" i="36"/>
  <c r="W255" i="36"/>
  <c r="X255" i="36"/>
  <c r="AD255" i="36"/>
  <c r="AU255" i="36"/>
  <c r="AS255" i="36"/>
  <c r="S255" i="36"/>
  <c r="AI255" i="36"/>
  <c r="Y255" i="36"/>
  <c r="U255" i="36"/>
  <c r="K255" i="36"/>
  <c r="L255" i="36"/>
  <c r="AP255" i="36"/>
  <c r="AL255" i="36"/>
  <c r="AR255" i="36"/>
  <c r="M255" i="36"/>
  <c r="Z255" i="36"/>
  <c r="V255" i="36"/>
  <c r="T255" i="36"/>
  <c r="AH255" i="36"/>
  <c r="AG255" i="36"/>
  <c r="AQ255" i="36"/>
  <c r="AN255" i="36"/>
  <c r="AB255" i="36"/>
  <c r="AT255" i="36"/>
  <c r="AO255" i="36"/>
  <c r="Q255" i="36"/>
  <c r="AA255" i="36"/>
  <c r="O255" i="36"/>
  <c r="AF255" i="36"/>
  <c r="AC255" i="36"/>
  <c r="AE255" i="36"/>
  <c r="P255" i="36"/>
  <c r="N255" i="36"/>
  <c r="I246" i="20"/>
  <c r="E246" i="20"/>
  <c r="D246" i="20"/>
  <c r="K246" i="38"/>
  <c r="A245" i="38"/>
  <c r="AV258" i="36"/>
  <c r="AW258" i="36" s="1"/>
  <c r="A257" i="36"/>
  <c r="I264" i="19"/>
  <c r="H264" i="19"/>
  <c r="AV267" i="19"/>
  <c r="AW267" i="19" s="1"/>
  <c r="A266" i="19"/>
  <c r="C265" i="19"/>
  <c r="B265" i="19"/>
  <c r="I265" i="19" s="1"/>
  <c r="K264" i="19"/>
  <c r="AI264" i="19"/>
  <c r="N264" i="19"/>
  <c r="W264" i="19"/>
  <c r="AN264" i="19"/>
  <c r="AM264" i="19"/>
  <c r="T264" i="19"/>
  <c r="AA264" i="19"/>
  <c r="AP264" i="19"/>
  <c r="AK264" i="19"/>
  <c r="Y264" i="19"/>
  <c r="M264" i="19"/>
  <c r="AF264" i="19"/>
  <c r="AB264" i="19"/>
  <c r="U264" i="19"/>
  <c r="AR264" i="19"/>
  <c r="AD264" i="19"/>
  <c r="AU264" i="19"/>
  <c r="S264" i="19"/>
  <c r="AL264" i="19"/>
  <c r="AJ264" i="19"/>
  <c r="O264" i="19"/>
  <c r="L264" i="19"/>
  <c r="AT264" i="19"/>
  <c r="X264" i="19"/>
  <c r="AH264" i="19"/>
  <c r="P264" i="19"/>
  <c r="AG264" i="19"/>
  <c r="AS264" i="19"/>
  <c r="V264" i="19"/>
  <c r="AE264" i="19"/>
  <c r="AQ264" i="19"/>
  <c r="Q264" i="19"/>
  <c r="AO264" i="19"/>
  <c r="Z264" i="19"/>
  <c r="AC264" i="19"/>
  <c r="R264" i="19"/>
  <c r="D264" i="19"/>
  <c r="F264" i="19"/>
  <c r="J264" i="19"/>
  <c r="G264" i="19"/>
  <c r="H256" i="36" l="1"/>
  <c r="D256" i="36"/>
  <c r="J256" i="36"/>
  <c r="I256" i="36"/>
  <c r="B257" i="36"/>
  <c r="I257" i="36" s="1"/>
  <c r="C257" i="36"/>
  <c r="C245" i="38"/>
  <c r="D245" i="38"/>
  <c r="F245" i="38"/>
  <c r="I245" i="38"/>
  <c r="H245" i="38"/>
  <c r="E245" i="38"/>
  <c r="G245" i="38"/>
  <c r="B245" i="38"/>
  <c r="E256" i="36"/>
  <c r="F256" i="36"/>
  <c r="AV259" i="36"/>
  <c r="AW259" i="36" s="1"/>
  <c r="A258" i="36"/>
  <c r="L246" i="38"/>
  <c r="B246" i="38"/>
  <c r="AK256" i="36"/>
  <c r="Q256" i="36"/>
  <c r="AN256" i="36"/>
  <c r="AT256" i="36"/>
  <c r="U256" i="36"/>
  <c r="V256" i="36"/>
  <c r="AB256" i="36"/>
  <c r="N256" i="36"/>
  <c r="AU256" i="36"/>
  <c r="AO256" i="36"/>
  <c r="AJ256" i="36"/>
  <c r="Z256" i="36"/>
  <c r="AS256" i="36"/>
  <c r="AF256" i="36"/>
  <c r="O256" i="36"/>
  <c r="T256" i="36"/>
  <c r="M256" i="36"/>
  <c r="S256" i="36"/>
  <c r="AL256" i="36"/>
  <c r="L256" i="36"/>
  <c r="AI256" i="36"/>
  <c r="AD256" i="36"/>
  <c r="AH256" i="36"/>
  <c r="AM256" i="36"/>
  <c r="Y256" i="36"/>
  <c r="AE256" i="36"/>
  <c r="AQ256" i="36"/>
  <c r="K256" i="36"/>
  <c r="AR256" i="36"/>
  <c r="R256" i="36"/>
  <c r="P256" i="36"/>
  <c r="AP256" i="36"/>
  <c r="AG256" i="36"/>
  <c r="X256" i="36"/>
  <c r="AA256" i="36"/>
  <c r="W256" i="36"/>
  <c r="AC256" i="36"/>
  <c r="L249" i="20"/>
  <c r="B249" i="20"/>
  <c r="J265" i="19"/>
  <c r="F265" i="19"/>
  <c r="H265" i="19"/>
  <c r="G265" i="19"/>
  <c r="E265" i="19"/>
  <c r="D265" i="19"/>
  <c r="O265" i="19"/>
  <c r="AQ265" i="19"/>
  <c r="AA265" i="19"/>
  <c r="X265" i="19"/>
  <c r="AN265" i="19"/>
  <c r="AU265" i="19"/>
  <c r="P265" i="19"/>
  <c r="T265" i="19"/>
  <c r="AC265" i="19"/>
  <c r="Y265" i="19"/>
  <c r="AD265" i="19"/>
  <c r="AT265" i="19"/>
  <c r="AK265" i="19"/>
  <c r="L265" i="19"/>
  <c r="AS265" i="19"/>
  <c r="AR265" i="19"/>
  <c r="R265" i="19"/>
  <c r="AG265" i="19"/>
  <c r="S265" i="19"/>
  <c r="AJ265" i="19"/>
  <c r="AP265" i="19"/>
  <c r="AE265" i="19"/>
  <c r="M265" i="19"/>
  <c r="AB265" i="19"/>
  <c r="N265" i="19"/>
  <c r="Q265" i="19"/>
  <c r="K265" i="19"/>
  <c r="U265" i="19"/>
  <c r="V265" i="19"/>
  <c r="AM265" i="19"/>
  <c r="AI265" i="19"/>
  <c r="AO265" i="19"/>
  <c r="AL265" i="19"/>
  <c r="AF265" i="19"/>
  <c r="W265" i="19"/>
  <c r="AH265" i="19"/>
  <c r="Z265" i="19"/>
  <c r="C266" i="19"/>
  <c r="B266" i="19"/>
  <c r="G266" i="19" s="1"/>
  <c r="A267" i="19"/>
  <c r="AV268" i="19"/>
  <c r="AW268" i="19" s="1"/>
  <c r="F257" i="36" l="1"/>
  <c r="E257" i="36"/>
  <c r="J257" i="36"/>
  <c r="D257" i="36"/>
  <c r="I249" i="20"/>
  <c r="E249" i="20"/>
  <c r="D249" i="20"/>
  <c r="K247" i="38"/>
  <c r="L247" i="38" s="1"/>
  <c r="C246" i="38"/>
  <c r="AV260" i="36"/>
  <c r="AW260" i="36" s="1"/>
  <c r="A259" i="36"/>
  <c r="G257" i="36"/>
  <c r="H257" i="36"/>
  <c r="K250" i="20"/>
  <c r="C249" i="20"/>
  <c r="E246" i="38"/>
  <c r="I246" i="38"/>
  <c r="D246" i="38"/>
  <c r="B258" i="36"/>
  <c r="I258" i="36" s="1"/>
  <c r="C258" i="36"/>
  <c r="AI257" i="36"/>
  <c r="K257" i="36"/>
  <c r="AG257" i="36"/>
  <c r="AS257" i="36"/>
  <c r="AH257" i="36"/>
  <c r="R257" i="36"/>
  <c r="AC257" i="36"/>
  <c r="L257" i="36"/>
  <c r="S257" i="36"/>
  <c r="AA257" i="36"/>
  <c r="M257" i="36"/>
  <c r="Z257" i="36"/>
  <c r="AP257" i="36"/>
  <c r="Q257" i="36"/>
  <c r="O257" i="36"/>
  <c r="AR257" i="36"/>
  <c r="AQ257" i="36"/>
  <c r="V257" i="36"/>
  <c r="AB257" i="36"/>
  <c r="AU257" i="36"/>
  <c r="Y257" i="36"/>
  <c r="U257" i="36"/>
  <c r="AD257" i="36"/>
  <c r="AJ257" i="36"/>
  <c r="P257" i="36"/>
  <c r="AF257" i="36"/>
  <c r="W257" i="36"/>
  <c r="AL257" i="36"/>
  <c r="AE257" i="36"/>
  <c r="AN257" i="36"/>
  <c r="AO257" i="36"/>
  <c r="AT257" i="36"/>
  <c r="N257" i="36"/>
  <c r="T257" i="36"/>
  <c r="X257" i="36"/>
  <c r="AM257" i="36"/>
  <c r="AK257" i="36"/>
  <c r="J266" i="19"/>
  <c r="I266" i="19"/>
  <c r="D266" i="19"/>
  <c r="F266" i="19"/>
  <c r="E266" i="19"/>
  <c r="V266" i="19"/>
  <c r="AQ266" i="19"/>
  <c r="AD266" i="19"/>
  <c r="AU266" i="19"/>
  <c r="AI266" i="19"/>
  <c r="AL266" i="19"/>
  <c r="M266" i="19"/>
  <c r="T266" i="19"/>
  <c r="R266" i="19"/>
  <c r="W266" i="19"/>
  <c r="P266" i="19"/>
  <c r="AO266" i="19"/>
  <c r="AH266" i="19"/>
  <c r="X266" i="19"/>
  <c r="Y266" i="19"/>
  <c r="AR266" i="19"/>
  <c r="AB266" i="19"/>
  <c r="Q266" i="19"/>
  <c r="AM266" i="19"/>
  <c r="L266" i="19"/>
  <c r="U266" i="19"/>
  <c r="AC266" i="19"/>
  <c r="AP266" i="19"/>
  <c r="AG266" i="19"/>
  <c r="AJ266" i="19"/>
  <c r="AE266" i="19"/>
  <c r="AF266" i="19"/>
  <c r="O266" i="19"/>
  <c r="AN266" i="19"/>
  <c r="N266" i="19"/>
  <c r="K266" i="19"/>
  <c r="AA266" i="19"/>
  <c r="S266" i="19"/>
  <c r="Z266" i="19"/>
  <c r="AS266" i="19"/>
  <c r="AK266" i="19"/>
  <c r="AT266" i="19"/>
  <c r="AV269" i="19"/>
  <c r="AW269" i="19" s="1"/>
  <c r="A268" i="19"/>
  <c r="H266" i="19"/>
  <c r="B267" i="19"/>
  <c r="F267" i="19" s="1"/>
  <c r="C267" i="19"/>
  <c r="G258" i="36" l="1"/>
  <c r="H258" i="36"/>
  <c r="F258" i="36"/>
  <c r="J258" i="36"/>
  <c r="D258" i="36"/>
  <c r="L250" i="20"/>
  <c r="B250" i="20"/>
  <c r="AV261" i="36"/>
  <c r="AW261" i="36" s="1"/>
  <c r="A260" i="36"/>
  <c r="A247" i="38"/>
  <c r="K248" i="38"/>
  <c r="L248" i="38" s="1"/>
  <c r="E258" i="36"/>
  <c r="P258" i="36"/>
  <c r="AE258" i="36"/>
  <c r="Y258" i="36"/>
  <c r="S258" i="36"/>
  <c r="AB258" i="36"/>
  <c r="N258" i="36"/>
  <c r="AQ258" i="36"/>
  <c r="K258" i="36"/>
  <c r="AL258" i="36"/>
  <c r="AD258" i="36"/>
  <c r="AP258" i="36"/>
  <c r="AA258" i="36"/>
  <c r="M258" i="36"/>
  <c r="T258" i="36"/>
  <c r="W258" i="36"/>
  <c r="AS258" i="36"/>
  <c r="AJ258" i="36"/>
  <c r="AC258" i="36"/>
  <c r="AK258" i="36"/>
  <c r="AM258" i="36"/>
  <c r="Q258" i="36"/>
  <c r="R258" i="36"/>
  <c r="AR258" i="36"/>
  <c r="AU258" i="36"/>
  <c r="X258" i="36"/>
  <c r="AH258" i="36"/>
  <c r="O258" i="36"/>
  <c r="AN258" i="36"/>
  <c r="L258" i="36"/>
  <c r="AF258" i="36"/>
  <c r="V258" i="36"/>
  <c r="Z258" i="36"/>
  <c r="AI258" i="36"/>
  <c r="AO258" i="36"/>
  <c r="AT258" i="36"/>
  <c r="AG258" i="36"/>
  <c r="U258" i="36"/>
  <c r="C259" i="36"/>
  <c r="B259" i="36"/>
  <c r="H259" i="36" s="1"/>
  <c r="H267" i="19"/>
  <c r="G267" i="19"/>
  <c r="E267" i="19"/>
  <c r="D267" i="19"/>
  <c r="I267" i="19"/>
  <c r="AB267" i="19"/>
  <c r="AE267" i="19"/>
  <c r="O267" i="19"/>
  <c r="AP267" i="19"/>
  <c r="W267" i="19"/>
  <c r="N267" i="19"/>
  <c r="Q267" i="19"/>
  <c r="AM267" i="19"/>
  <c r="AJ267" i="19"/>
  <c r="AC267" i="19"/>
  <c r="AG267" i="19"/>
  <c r="AO267" i="19"/>
  <c r="Z267" i="19"/>
  <c r="V267" i="19"/>
  <c r="R267" i="19"/>
  <c r="Y267" i="19"/>
  <c r="AS267" i="19"/>
  <c r="AA267" i="19"/>
  <c r="AT267" i="19"/>
  <c r="AH267" i="19"/>
  <c r="AL267" i="19"/>
  <c r="T267" i="19"/>
  <c r="K267" i="19"/>
  <c r="AU267" i="19"/>
  <c r="AF267" i="19"/>
  <c r="U267" i="19"/>
  <c r="P267" i="19"/>
  <c r="AK267" i="19"/>
  <c r="AQ267" i="19"/>
  <c r="AR267" i="19"/>
  <c r="AI267" i="19"/>
  <c r="X267" i="19"/>
  <c r="M267" i="19"/>
  <c r="S267" i="19"/>
  <c r="AD267" i="19"/>
  <c r="L267" i="19"/>
  <c r="AN267" i="19"/>
  <c r="A269" i="19"/>
  <c r="AV270" i="19"/>
  <c r="AW270" i="19" s="1"/>
  <c r="C268" i="19"/>
  <c r="B268" i="19"/>
  <c r="H268" i="19" s="1"/>
  <c r="J267" i="19"/>
  <c r="E259" i="36" l="1"/>
  <c r="G259" i="36"/>
  <c r="D259" i="36"/>
  <c r="J259" i="36"/>
  <c r="F259" i="36"/>
  <c r="I259" i="36"/>
  <c r="AJ259" i="36"/>
  <c r="AO259" i="36"/>
  <c r="AE259" i="36"/>
  <c r="AS259" i="36"/>
  <c r="T259" i="36"/>
  <c r="AA259" i="36"/>
  <c r="AN259" i="36"/>
  <c r="N259" i="36"/>
  <c r="L259" i="36"/>
  <c r="AB259" i="36"/>
  <c r="R259" i="36"/>
  <c r="AH259" i="36"/>
  <c r="AL259" i="36"/>
  <c r="AK259" i="36"/>
  <c r="O259" i="36"/>
  <c r="AU259" i="36"/>
  <c r="AC259" i="36"/>
  <c r="W259" i="36"/>
  <c r="Z259" i="36"/>
  <c r="Y259" i="36"/>
  <c r="AM259" i="36"/>
  <c r="AD259" i="36"/>
  <c r="AG259" i="36"/>
  <c r="AR259" i="36"/>
  <c r="AT259" i="36"/>
  <c r="AP259" i="36"/>
  <c r="S259" i="36"/>
  <c r="AQ259" i="36"/>
  <c r="X259" i="36"/>
  <c r="Q259" i="36"/>
  <c r="AI259" i="36"/>
  <c r="P259" i="36"/>
  <c r="M259" i="36"/>
  <c r="U259" i="36"/>
  <c r="V259" i="36"/>
  <c r="K259" i="36"/>
  <c r="AF259" i="36"/>
  <c r="A248" i="38"/>
  <c r="K249" i="38"/>
  <c r="D260" i="36"/>
  <c r="C260" i="36"/>
  <c r="B260" i="36"/>
  <c r="I260" i="36"/>
  <c r="G260" i="36"/>
  <c r="J260" i="36"/>
  <c r="E260" i="36"/>
  <c r="F260" i="36"/>
  <c r="H260" i="36"/>
  <c r="I250" i="20"/>
  <c r="E250" i="20"/>
  <c r="D250" i="20"/>
  <c r="B247" i="38"/>
  <c r="F247" i="38"/>
  <c r="D247" i="38"/>
  <c r="G247" i="38"/>
  <c r="I247" i="38"/>
  <c r="H247" i="38"/>
  <c r="E247" i="38"/>
  <c r="C247" i="38"/>
  <c r="AV262" i="36"/>
  <c r="AW262" i="36" s="1"/>
  <c r="A261" i="36"/>
  <c r="K251" i="20"/>
  <c r="C250" i="20"/>
  <c r="D268" i="19"/>
  <c r="G268" i="19"/>
  <c r="J268" i="19"/>
  <c r="F268" i="19"/>
  <c r="K268" i="19"/>
  <c r="X268" i="19"/>
  <c r="AE268" i="19"/>
  <c r="AG268" i="19"/>
  <c r="T268" i="19"/>
  <c r="AS268" i="19"/>
  <c r="AI268" i="19"/>
  <c r="M268" i="19"/>
  <c r="AH268" i="19"/>
  <c r="AA268" i="19"/>
  <c r="Q268" i="19"/>
  <c r="AO268" i="19"/>
  <c r="AM268" i="19"/>
  <c r="R268" i="19"/>
  <c r="O268" i="19"/>
  <c r="V268" i="19"/>
  <c r="AR268" i="19"/>
  <c r="Z268" i="19"/>
  <c r="Y268" i="19"/>
  <c r="P268" i="19"/>
  <c r="AT268" i="19"/>
  <c r="AB268" i="19"/>
  <c r="N268" i="19"/>
  <c r="AP268" i="19"/>
  <c r="AU268" i="19"/>
  <c r="AL268" i="19"/>
  <c r="U268" i="19"/>
  <c r="AJ268" i="19"/>
  <c r="W268" i="19"/>
  <c r="AK268" i="19"/>
  <c r="AC268" i="19"/>
  <c r="AQ268" i="19"/>
  <c r="AD268" i="19"/>
  <c r="L268" i="19"/>
  <c r="AN268" i="19"/>
  <c r="AF268" i="19"/>
  <c r="S268" i="19"/>
  <c r="E268" i="19"/>
  <c r="B269" i="19"/>
  <c r="D269" i="19" s="1"/>
  <c r="C269" i="19"/>
  <c r="A270" i="19"/>
  <c r="AV271" i="19"/>
  <c r="AW271" i="19" s="1"/>
  <c r="I268" i="19"/>
  <c r="B251" i="20" l="1"/>
  <c r="L251" i="20"/>
  <c r="AV263" i="36"/>
  <c r="AW263" i="36" s="1"/>
  <c r="A262" i="36"/>
  <c r="AS260" i="36"/>
  <c r="V260" i="36"/>
  <c r="AD260" i="36"/>
  <c r="AR260" i="36"/>
  <c r="K260" i="36"/>
  <c r="AB260" i="36"/>
  <c r="AC260" i="36"/>
  <c r="AI260" i="36"/>
  <c r="AJ260" i="36"/>
  <c r="X260" i="36"/>
  <c r="Q260" i="36"/>
  <c r="AP260" i="36"/>
  <c r="AG260" i="36"/>
  <c r="AT260" i="36"/>
  <c r="O260" i="36"/>
  <c r="AH260" i="36"/>
  <c r="AU260" i="36"/>
  <c r="P260" i="36"/>
  <c r="L260" i="36"/>
  <c r="AM260" i="36"/>
  <c r="AN260" i="36"/>
  <c r="S260" i="36"/>
  <c r="AA260" i="36"/>
  <c r="AK260" i="36"/>
  <c r="AO260" i="36"/>
  <c r="AF260" i="36"/>
  <c r="W260" i="36"/>
  <c r="R260" i="36"/>
  <c r="AQ260" i="36"/>
  <c r="U260" i="36"/>
  <c r="T260" i="36"/>
  <c r="N260" i="36"/>
  <c r="M260" i="36"/>
  <c r="AE260" i="36"/>
  <c r="AL260" i="36"/>
  <c r="Z260" i="36"/>
  <c r="Y260" i="36"/>
  <c r="D248" i="38"/>
  <c r="E248" i="38"/>
  <c r="G248" i="38"/>
  <c r="C248" i="38"/>
  <c r="F248" i="38"/>
  <c r="H248" i="38"/>
  <c r="B248" i="38"/>
  <c r="I248" i="38"/>
  <c r="D261" i="36"/>
  <c r="F261" i="36"/>
  <c r="C261" i="36"/>
  <c r="G261" i="36"/>
  <c r="H261" i="36"/>
  <c r="E261" i="36"/>
  <c r="J261" i="36"/>
  <c r="B261" i="36"/>
  <c r="I261" i="36"/>
  <c r="B249" i="38"/>
  <c r="L249" i="38"/>
  <c r="J269" i="19"/>
  <c r="I269" i="19"/>
  <c r="H269" i="19"/>
  <c r="G269" i="19"/>
  <c r="AR269" i="19"/>
  <c r="X269" i="19"/>
  <c r="AD269" i="19"/>
  <c r="Q269" i="19"/>
  <c r="AJ269" i="19"/>
  <c r="AO269" i="19"/>
  <c r="AL269" i="19"/>
  <c r="S269" i="19"/>
  <c r="AB269" i="19"/>
  <c r="N269" i="19"/>
  <c r="AN269" i="19"/>
  <c r="AM269" i="19"/>
  <c r="AK269" i="19"/>
  <c r="AE269" i="19"/>
  <c r="L269" i="19"/>
  <c r="T269" i="19"/>
  <c r="AG269" i="19"/>
  <c r="AQ269" i="19"/>
  <c r="AS269" i="19"/>
  <c r="AU269" i="19"/>
  <c r="AA269" i="19"/>
  <c r="V269" i="19"/>
  <c r="M269" i="19"/>
  <c r="P269" i="19"/>
  <c r="O269" i="19"/>
  <c r="AT269" i="19"/>
  <c r="W269" i="19"/>
  <c r="AI269" i="19"/>
  <c r="AC269" i="19"/>
  <c r="R269" i="19"/>
  <c r="Z269" i="19"/>
  <c r="AF269" i="19"/>
  <c r="Y269" i="19"/>
  <c r="AP269" i="19"/>
  <c r="AH269" i="19"/>
  <c r="K269" i="19"/>
  <c r="U269" i="19"/>
  <c r="D270" i="19"/>
  <c r="B270" i="19"/>
  <c r="H270" i="19"/>
  <c r="C270" i="19"/>
  <c r="G270" i="19"/>
  <c r="I270" i="19"/>
  <c r="J270" i="19"/>
  <c r="E270" i="19"/>
  <c r="F270" i="19"/>
  <c r="E269" i="19"/>
  <c r="F269" i="19"/>
  <c r="AV272" i="19"/>
  <c r="AW272" i="19" s="1"/>
  <c r="A271" i="19"/>
  <c r="K250" i="38" l="1"/>
  <c r="C249" i="38"/>
  <c r="B262" i="36"/>
  <c r="F262" i="36" s="1"/>
  <c r="C262" i="36"/>
  <c r="K252" i="20"/>
  <c r="C251" i="20"/>
  <c r="I249" i="38"/>
  <c r="E249" i="38"/>
  <c r="D249" i="38"/>
  <c r="AQ261" i="36"/>
  <c r="AU261" i="36"/>
  <c r="N261" i="36"/>
  <c r="L261" i="36"/>
  <c r="R261" i="36"/>
  <c r="AI261" i="36"/>
  <c r="AK261" i="36"/>
  <c r="AO261" i="36"/>
  <c r="AD261" i="36"/>
  <c r="AC261" i="36"/>
  <c r="S261" i="36"/>
  <c r="T261" i="36"/>
  <c r="Y261" i="36"/>
  <c r="Q261" i="36"/>
  <c r="W261" i="36"/>
  <c r="AJ261" i="36"/>
  <c r="AF261" i="36"/>
  <c r="AM261" i="36"/>
  <c r="AT261" i="36"/>
  <c r="M261" i="36"/>
  <c r="Z261" i="36"/>
  <c r="AE261" i="36"/>
  <c r="AR261" i="36"/>
  <c r="K261" i="36"/>
  <c r="AA261" i="36"/>
  <c r="U261" i="36"/>
  <c r="V261" i="36"/>
  <c r="AP261" i="36"/>
  <c r="X261" i="36"/>
  <c r="AL261" i="36"/>
  <c r="AH261" i="36"/>
  <c r="P261" i="36"/>
  <c r="AB261" i="36"/>
  <c r="O261" i="36"/>
  <c r="AS261" i="36"/>
  <c r="AN261" i="36"/>
  <c r="AG261" i="36"/>
  <c r="AV264" i="36"/>
  <c r="AW264" i="36" s="1"/>
  <c r="A263" i="36"/>
  <c r="E251" i="20"/>
  <c r="I251" i="20"/>
  <c r="D251" i="20"/>
  <c r="B271" i="19"/>
  <c r="F271" i="19"/>
  <c r="J271" i="19"/>
  <c r="I271" i="19"/>
  <c r="E271" i="19"/>
  <c r="C271" i="19"/>
  <c r="G271" i="19"/>
  <c r="D271" i="19"/>
  <c r="H271" i="19"/>
  <c r="AC270" i="19"/>
  <c r="AD270" i="19"/>
  <c r="AO270" i="19"/>
  <c r="AL270" i="19"/>
  <c r="L270" i="19"/>
  <c r="K270" i="19"/>
  <c r="R270" i="19"/>
  <c r="AB270" i="19"/>
  <c r="X270" i="19"/>
  <c r="U270" i="19"/>
  <c r="AA270" i="19"/>
  <c r="AS270" i="19"/>
  <c r="O270" i="19"/>
  <c r="AU270" i="19"/>
  <c r="AH270" i="19"/>
  <c r="AG270" i="19"/>
  <c r="AM270" i="19"/>
  <c r="AK270" i="19"/>
  <c r="Z270" i="19"/>
  <c r="AI270" i="19"/>
  <c r="S270" i="19"/>
  <c r="AQ270" i="19"/>
  <c r="V270" i="19"/>
  <c r="AN270" i="19"/>
  <c r="AR270" i="19"/>
  <c r="W270" i="19"/>
  <c r="AE270" i="19"/>
  <c r="P270" i="19"/>
  <c r="AJ270" i="19"/>
  <c r="M270" i="19"/>
  <c r="Q270" i="19"/>
  <c r="Y270" i="19"/>
  <c r="T270" i="19"/>
  <c r="AT270" i="19"/>
  <c r="AF270" i="19"/>
  <c r="AP270" i="19"/>
  <c r="N270" i="19"/>
  <c r="AV273" i="19"/>
  <c r="AW273" i="19" s="1"/>
  <c r="A272" i="19"/>
  <c r="G262" i="36" l="1"/>
  <c r="I262" i="36"/>
  <c r="J262" i="36"/>
  <c r="D262" i="36"/>
  <c r="AV265" i="36"/>
  <c r="AW265" i="36" s="1"/>
  <c r="A264" i="36"/>
  <c r="B252" i="20"/>
  <c r="L252" i="20"/>
  <c r="H262" i="36"/>
  <c r="E262" i="36"/>
  <c r="B263" i="36"/>
  <c r="H263" i="36" s="1"/>
  <c r="C263" i="36"/>
  <c r="Z262" i="36"/>
  <c r="AE262" i="36"/>
  <c r="AD262" i="36"/>
  <c r="P262" i="36"/>
  <c r="S262" i="36"/>
  <c r="AI262" i="36"/>
  <c r="AJ262" i="36"/>
  <c r="AB262" i="36"/>
  <c r="AU262" i="36"/>
  <c r="AM262" i="36"/>
  <c r="AS262" i="36"/>
  <c r="L262" i="36"/>
  <c r="W262" i="36"/>
  <c r="U262" i="36"/>
  <c r="X262" i="36"/>
  <c r="K262" i="36"/>
  <c r="AL262" i="36"/>
  <c r="AG262" i="36"/>
  <c r="AH262" i="36"/>
  <c r="AQ262" i="36"/>
  <c r="Y262" i="36"/>
  <c r="AA262" i="36"/>
  <c r="Q262" i="36"/>
  <c r="AP262" i="36"/>
  <c r="T262" i="36"/>
  <c r="AO262" i="36"/>
  <c r="AR262" i="36"/>
  <c r="AC262" i="36"/>
  <c r="R262" i="36"/>
  <c r="V262" i="36"/>
  <c r="AT262" i="36"/>
  <c r="N262" i="36"/>
  <c r="M262" i="36"/>
  <c r="O262" i="36"/>
  <c r="AK262" i="36"/>
  <c r="AN262" i="36"/>
  <c r="AF262" i="36"/>
  <c r="B250" i="38"/>
  <c r="L250" i="38"/>
  <c r="C272" i="19"/>
  <c r="B272" i="19"/>
  <c r="D272" i="19" s="1"/>
  <c r="AV274" i="19"/>
  <c r="AW274" i="19" s="1"/>
  <c r="A273" i="19"/>
  <c r="AR271" i="19"/>
  <c r="U271" i="19"/>
  <c r="AJ271" i="19"/>
  <c r="AL271" i="19"/>
  <c r="AS271" i="19"/>
  <c r="P271" i="19"/>
  <c r="AU271" i="19"/>
  <c r="AA271" i="19"/>
  <c r="R271" i="19"/>
  <c r="W271" i="19"/>
  <c r="Q271" i="19"/>
  <c r="AI271" i="19"/>
  <c r="V271" i="19"/>
  <c r="AK271" i="19"/>
  <c r="N271" i="19"/>
  <c r="O271" i="19"/>
  <c r="AM271" i="19"/>
  <c r="AB271" i="19"/>
  <c r="AF271" i="19"/>
  <c r="X271" i="19"/>
  <c r="AN271" i="19"/>
  <c r="AT271" i="19"/>
  <c r="AO271" i="19"/>
  <c r="Z271" i="19"/>
  <c r="AG271" i="19"/>
  <c r="M271" i="19"/>
  <c r="AC271" i="19"/>
  <c r="T271" i="19"/>
  <c r="Y271" i="19"/>
  <c r="L271" i="19"/>
  <c r="AP271" i="19"/>
  <c r="K271" i="19"/>
  <c r="AH271" i="19"/>
  <c r="AE271" i="19"/>
  <c r="AD271" i="19"/>
  <c r="AQ271" i="19"/>
  <c r="S271" i="19"/>
  <c r="E263" i="36" l="1"/>
  <c r="J263" i="36"/>
  <c r="I263" i="36"/>
  <c r="G263" i="36"/>
  <c r="K251" i="38"/>
  <c r="C250" i="38"/>
  <c r="D263" i="36"/>
  <c r="F263" i="36"/>
  <c r="K253" i="20"/>
  <c r="C252" i="20"/>
  <c r="B264" i="36"/>
  <c r="E264" i="36" s="1"/>
  <c r="C264" i="36"/>
  <c r="I250" i="38"/>
  <c r="E250" i="38"/>
  <c r="D250" i="38"/>
  <c r="AE263" i="36"/>
  <c r="AM263" i="36"/>
  <c r="U263" i="36"/>
  <c r="AD263" i="36"/>
  <c r="AU263" i="36"/>
  <c r="R263" i="36"/>
  <c r="W263" i="36"/>
  <c r="AK263" i="36"/>
  <c r="M263" i="36"/>
  <c r="AO263" i="36"/>
  <c r="AC263" i="36"/>
  <c r="S263" i="36"/>
  <c r="P263" i="36"/>
  <c r="K263" i="36"/>
  <c r="AS263" i="36"/>
  <c r="Z263" i="36"/>
  <c r="AN263" i="36"/>
  <c r="AB263" i="36"/>
  <c r="L263" i="36"/>
  <c r="AL263" i="36"/>
  <c r="AI263" i="36"/>
  <c r="O263" i="36"/>
  <c r="AH263" i="36"/>
  <c r="T263" i="36"/>
  <c r="AQ263" i="36"/>
  <c r="V263" i="36"/>
  <c r="AA263" i="36"/>
  <c r="AF263" i="36"/>
  <c r="AP263" i="36"/>
  <c r="AG263" i="36"/>
  <c r="Y263" i="36"/>
  <c r="X263" i="36"/>
  <c r="Q263" i="36"/>
  <c r="N263" i="36"/>
  <c r="AT263" i="36"/>
  <c r="AR263" i="36"/>
  <c r="AJ263" i="36"/>
  <c r="I252" i="20"/>
  <c r="E252" i="20"/>
  <c r="D252" i="20"/>
  <c r="AV266" i="36"/>
  <c r="AW266" i="36" s="1"/>
  <c r="A265" i="36"/>
  <c r="J272" i="19"/>
  <c r="H272" i="19"/>
  <c r="F272" i="19"/>
  <c r="I272" i="19"/>
  <c r="G272" i="19"/>
  <c r="E272" i="19"/>
  <c r="AV275" i="19"/>
  <c r="AW275" i="19" s="1"/>
  <c r="A274" i="19"/>
  <c r="C273" i="19"/>
  <c r="B273" i="19"/>
  <c r="D273" i="19" s="1"/>
  <c r="AQ272" i="19"/>
  <c r="AH272" i="19"/>
  <c r="Y272" i="19"/>
  <c r="AF272" i="19"/>
  <c r="AR272" i="19"/>
  <c r="R272" i="19"/>
  <c r="L272" i="19"/>
  <c r="AK272" i="19"/>
  <c r="M272" i="19"/>
  <c r="AT272" i="19"/>
  <c r="O272" i="19"/>
  <c r="W272" i="19"/>
  <c r="AS272" i="19"/>
  <c r="Z272" i="19"/>
  <c r="X272" i="19"/>
  <c r="AU272" i="19"/>
  <c r="AJ272" i="19"/>
  <c r="AO272" i="19"/>
  <c r="AE272" i="19"/>
  <c r="U272" i="19"/>
  <c r="Q272" i="19"/>
  <c r="AA272" i="19"/>
  <c r="AD272" i="19"/>
  <c r="AG272" i="19"/>
  <c r="S272" i="19"/>
  <c r="AI272" i="19"/>
  <c r="K272" i="19"/>
  <c r="P272" i="19"/>
  <c r="AM272" i="19"/>
  <c r="V272" i="19"/>
  <c r="AB272" i="19"/>
  <c r="N272" i="19"/>
  <c r="AL272" i="19"/>
  <c r="AP272" i="19"/>
  <c r="T272" i="19"/>
  <c r="AN272" i="19"/>
  <c r="AC272" i="19"/>
  <c r="J264" i="36" l="1"/>
  <c r="H264" i="36"/>
  <c r="F264" i="36"/>
  <c r="D264" i="36"/>
  <c r="B265" i="36"/>
  <c r="F265" i="36" s="1"/>
  <c r="C265" i="36"/>
  <c r="G264" i="36"/>
  <c r="I264" i="36"/>
  <c r="AV267" i="36"/>
  <c r="AW267" i="36" s="1"/>
  <c r="A266" i="36"/>
  <c r="Y264" i="36"/>
  <c r="P264" i="36"/>
  <c r="K264" i="36"/>
  <c r="AU264" i="36"/>
  <c r="AJ264" i="36"/>
  <c r="U264" i="36"/>
  <c r="AL264" i="36"/>
  <c r="R264" i="36"/>
  <c r="Q264" i="36"/>
  <c r="AN264" i="36"/>
  <c r="AQ264" i="36"/>
  <c r="X264" i="36"/>
  <c r="AS264" i="36"/>
  <c r="W264" i="36"/>
  <c r="N264" i="36"/>
  <c r="AM264" i="36"/>
  <c r="AB264" i="36"/>
  <c r="AD264" i="36"/>
  <c r="AF264" i="36"/>
  <c r="AA264" i="36"/>
  <c r="AG264" i="36"/>
  <c r="AT264" i="36"/>
  <c r="AH264" i="36"/>
  <c r="AO264" i="36"/>
  <c r="AR264" i="36"/>
  <c r="AC264" i="36"/>
  <c r="Z264" i="36"/>
  <c r="M264" i="36"/>
  <c r="T264" i="36"/>
  <c r="O264" i="36"/>
  <c r="AP264" i="36"/>
  <c r="S264" i="36"/>
  <c r="AI264" i="36"/>
  <c r="V264" i="36"/>
  <c r="AK264" i="36"/>
  <c r="L264" i="36"/>
  <c r="AE264" i="36"/>
  <c r="L253" i="20"/>
  <c r="B253" i="20"/>
  <c r="B251" i="38"/>
  <c r="L251" i="38"/>
  <c r="I273" i="19"/>
  <c r="E273" i="19"/>
  <c r="J273" i="19"/>
  <c r="G273" i="19"/>
  <c r="H273" i="19"/>
  <c r="F273" i="19"/>
  <c r="AG273" i="19"/>
  <c r="AC273" i="19"/>
  <c r="AB273" i="19"/>
  <c r="AH273" i="19"/>
  <c r="AA273" i="19"/>
  <c r="AR273" i="19"/>
  <c r="AO273" i="19"/>
  <c r="AM273" i="19"/>
  <c r="Q273" i="19"/>
  <c r="AU273" i="19"/>
  <c r="L273" i="19"/>
  <c r="T273" i="19"/>
  <c r="AT273" i="19"/>
  <c r="M273" i="19"/>
  <c r="U273" i="19"/>
  <c r="AK273" i="19"/>
  <c r="AN273" i="19"/>
  <c r="AF273" i="19"/>
  <c r="N273" i="19"/>
  <c r="R273" i="19"/>
  <c r="AP273" i="19"/>
  <c r="K273" i="19"/>
  <c r="O273" i="19"/>
  <c r="X273" i="19"/>
  <c r="AS273" i="19"/>
  <c r="V273" i="19"/>
  <c r="AQ273" i="19"/>
  <c r="AJ273" i="19"/>
  <c r="P273" i="19"/>
  <c r="AD273" i="19"/>
  <c r="AE273" i="19"/>
  <c r="AI273" i="19"/>
  <c r="Z273" i="19"/>
  <c r="W273" i="19"/>
  <c r="AL273" i="19"/>
  <c r="Y273" i="19"/>
  <c r="S273" i="19"/>
  <c r="C274" i="19"/>
  <c r="B274" i="19"/>
  <c r="H274" i="19" s="1"/>
  <c r="A275" i="19"/>
  <c r="AV276" i="19"/>
  <c r="AW276" i="19" s="1"/>
  <c r="J265" i="36" l="1"/>
  <c r="G265" i="36"/>
  <c r="H265" i="36"/>
  <c r="D265" i="36"/>
  <c r="K252" i="38"/>
  <c r="C251" i="38"/>
  <c r="I253" i="20"/>
  <c r="D253" i="20"/>
  <c r="E253" i="20"/>
  <c r="A267" i="36"/>
  <c r="AV268" i="36"/>
  <c r="AW268" i="36" s="1"/>
  <c r="E265" i="36"/>
  <c r="I265" i="36"/>
  <c r="I251" i="38"/>
  <c r="E251" i="38"/>
  <c r="D251" i="38"/>
  <c r="C253" i="20"/>
  <c r="K254" i="20"/>
  <c r="B266" i="36"/>
  <c r="E266" i="36" s="1"/>
  <c r="C266" i="36"/>
  <c r="S265" i="36"/>
  <c r="AN265" i="36"/>
  <c r="Y265" i="36"/>
  <c r="Z265" i="36"/>
  <c r="AI265" i="36"/>
  <c r="AC265" i="36"/>
  <c r="AH265" i="36"/>
  <c r="AK265" i="36"/>
  <c r="U265" i="36"/>
  <c r="M265" i="36"/>
  <c r="AS265" i="36"/>
  <c r="K265" i="36"/>
  <c r="AA265" i="36"/>
  <c r="N265" i="36"/>
  <c r="AL265" i="36"/>
  <c r="Q265" i="36"/>
  <c r="AR265" i="36"/>
  <c r="AQ265" i="36"/>
  <c r="AF265" i="36"/>
  <c r="AM265" i="36"/>
  <c r="AJ265" i="36"/>
  <c r="AD265" i="36"/>
  <c r="W265" i="36"/>
  <c r="AO265" i="36"/>
  <c r="X265" i="36"/>
  <c r="AT265" i="36"/>
  <c r="AB265" i="36"/>
  <c r="P265" i="36"/>
  <c r="AU265" i="36"/>
  <c r="V265" i="36"/>
  <c r="AP265" i="36"/>
  <c r="AG265" i="36"/>
  <c r="L265" i="36"/>
  <c r="T265" i="36"/>
  <c r="O265" i="36"/>
  <c r="R265" i="36"/>
  <c r="AE265" i="36"/>
  <c r="I274" i="19"/>
  <c r="J274" i="19"/>
  <c r="E274" i="19"/>
  <c r="C275" i="19"/>
  <c r="B275" i="19"/>
  <c r="F275" i="19" s="1"/>
  <c r="AV277" i="19"/>
  <c r="AW277" i="19" s="1"/>
  <c r="A276" i="19"/>
  <c r="G274" i="19"/>
  <c r="D274" i="19"/>
  <c r="K274" i="19"/>
  <c r="AQ274" i="19"/>
  <c r="Z274" i="19"/>
  <c r="AP274" i="19"/>
  <c r="AC274" i="19"/>
  <c r="T274" i="19"/>
  <c r="U274" i="19"/>
  <c r="AR274" i="19"/>
  <c r="X274" i="19"/>
  <c r="AU274" i="19"/>
  <c r="AO274" i="19"/>
  <c r="AJ274" i="19"/>
  <c r="O274" i="19"/>
  <c r="S274" i="19"/>
  <c r="Q274" i="19"/>
  <c r="P274" i="19"/>
  <c r="N274" i="19"/>
  <c r="AA274" i="19"/>
  <c r="AG274" i="19"/>
  <c r="AB274" i="19"/>
  <c r="L274" i="19"/>
  <c r="AS274" i="19"/>
  <c r="AT274" i="19"/>
  <c r="W274" i="19"/>
  <c r="AF274" i="19"/>
  <c r="V274" i="19"/>
  <c r="AN274" i="19"/>
  <c r="M274" i="19"/>
  <c r="R274" i="19"/>
  <c r="AD274" i="19"/>
  <c r="AE274" i="19"/>
  <c r="AI274" i="19"/>
  <c r="AL274" i="19"/>
  <c r="Y274" i="19"/>
  <c r="AM274" i="19"/>
  <c r="AH274" i="19"/>
  <c r="AK274" i="19"/>
  <c r="F274" i="19"/>
  <c r="H266" i="36" l="1"/>
  <c r="I266" i="36"/>
  <c r="D266" i="36"/>
  <c r="J266" i="36"/>
  <c r="G266" i="36"/>
  <c r="B254" i="20"/>
  <c r="L254" i="20"/>
  <c r="B267" i="36"/>
  <c r="H267" i="36" s="1"/>
  <c r="C267" i="36"/>
  <c r="F266" i="36"/>
  <c r="V266" i="36"/>
  <c r="AL266" i="36"/>
  <c r="P266" i="36"/>
  <c r="AI266" i="36"/>
  <c r="AO266" i="36"/>
  <c r="S266" i="36"/>
  <c r="T266" i="36"/>
  <c r="L266" i="36"/>
  <c r="AF266" i="36"/>
  <c r="AR266" i="36"/>
  <c r="AD266" i="36"/>
  <c r="R266" i="36"/>
  <c r="Z266" i="36"/>
  <c r="AQ266" i="36"/>
  <c r="N266" i="36"/>
  <c r="M266" i="36"/>
  <c r="O266" i="36"/>
  <c r="AE266" i="36"/>
  <c r="Y266" i="36"/>
  <c r="AK266" i="36"/>
  <c r="AU266" i="36"/>
  <c r="AB266" i="36"/>
  <c r="X266" i="36"/>
  <c r="AH266" i="36"/>
  <c r="AS266" i="36"/>
  <c r="AP266" i="36"/>
  <c r="AJ266" i="36"/>
  <c r="AC266" i="36"/>
  <c r="AA266" i="36"/>
  <c r="Q266" i="36"/>
  <c r="AN266" i="36"/>
  <c r="AG266" i="36"/>
  <c r="AM266" i="36"/>
  <c r="U266" i="36"/>
  <c r="K266" i="36"/>
  <c r="AT266" i="36"/>
  <c r="W266" i="36"/>
  <c r="AV269" i="36"/>
  <c r="AW269" i="36" s="1"/>
  <c r="A268" i="36"/>
  <c r="B252" i="38"/>
  <c r="L252" i="38"/>
  <c r="J275" i="19"/>
  <c r="G275" i="19"/>
  <c r="H275" i="19"/>
  <c r="I275" i="19"/>
  <c r="E275" i="19"/>
  <c r="AV278" i="19"/>
  <c r="AW278" i="19" s="1"/>
  <c r="A277" i="19"/>
  <c r="B276" i="19"/>
  <c r="I276" i="19" s="1"/>
  <c r="C276" i="19"/>
  <c r="D275" i="19"/>
  <c r="AS275" i="19"/>
  <c r="N275" i="19"/>
  <c r="K275" i="19"/>
  <c r="AB275" i="19"/>
  <c r="X275" i="19"/>
  <c r="S275" i="19"/>
  <c r="L275" i="19"/>
  <c r="AP275" i="19"/>
  <c r="AT275" i="19"/>
  <c r="AQ275" i="19"/>
  <c r="O275" i="19"/>
  <c r="U275" i="19"/>
  <c r="AJ275" i="19"/>
  <c r="R275" i="19"/>
  <c r="AE275" i="19"/>
  <c r="AU275" i="19"/>
  <c r="AD275" i="19"/>
  <c r="AC275" i="19"/>
  <c r="M275" i="19"/>
  <c r="AK275" i="19"/>
  <c r="Y275" i="19"/>
  <c r="V275" i="19"/>
  <c r="T275" i="19"/>
  <c r="P275" i="19"/>
  <c r="AM275" i="19"/>
  <c r="AO275" i="19"/>
  <c r="AF275" i="19"/>
  <c r="AL275" i="19"/>
  <c r="Z275" i="19"/>
  <c r="AA275" i="19"/>
  <c r="AH275" i="19"/>
  <c r="Q275" i="19"/>
  <c r="AI275" i="19"/>
  <c r="AG275" i="19"/>
  <c r="AR275" i="19"/>
  <c r="AN275" i="19"/>
  <c r="W275" i="19"/>
  <c r="J267" i="36" l="1"/>
  <c r="E267" i="36"/>
  <c r="I267" i="36"/>
  <c r="I252" i="38"/>
  <c r="D252" i="38"/>
  <c r="E252" i="38"/>
  <c r="AV270" i="36"/>
  <c r="AW270" i="36" s="1"/>
  <c r="A269" i="36"/>
  <c r="D267" i="36"/>
  <c r="G267" i="36"/>
  <c r="F267" i="36"/>
  <c r="K255" i="20"/>
  <c r="C254" i="20"/>
  <c r="K253" i="38"/>
  <c r="C252" i="38"/>
  <c r="H268" i="36"/>
  <c r="J268" i="36"/>
  <c r="B268" i="36"/>
  <c r="F268" i="36"/>
  <c r="C268" i="36"/>
  <c r="I268" i="36"/>
  <c r="E268" i="36"/>
  <c r="D268" i="36"/>
  <c r="G268" i="36"/>
  <c r="AF267" i="36"/>
  <c r="AH267" i="36"/>
  <c r="S267" i="36"/>
  <c r="R267" i="36"/>
  <c r="V267" i="36"/>
  <c r="Y267" i="36"/>
  <c r="P267" i="36"/>
  <c r="AK267" i="36"/>
  <c r="AJ267" i="36"/>
  <c r="X267" i="36"/>
  <c r="K267" i="36"/>
  <c r="AC267" i="36"/>
  <c r="AG267" i="36"/>
  <c r="AA267" i="36"/>
  <c r="AP267" i="36"/>
  <c r="T267" i="36"/>
  <c r="AO267" i="36"/>
  <c r="AB267" i="36"/>
  <c r="AL267" i="36"/>
  <c r="Z267" i="36"/>
  <c r="O267" i="36"/>
  <c r="AR267" i="36"/>
  <c r="AT267" i="36"/>
  <c r="AN267" i="36"/>
  <c r="N267" i="36"/>
  <c r="AU267" i="36"/>
  <c r="AE267" i="36"/>
  <c r="AQ267" i="36"/>
  <c r="AS267" i="36"/>
  <c r="M267" i="36"/>
  <c r="Q267" i="36"/>
  <c r="U267" i="36"/>
  <c r="W267" i="36"/>
  <c r="AM267" i="36"/>
  <c r="AI267" i="36"/>
  <c r="L267" i="36"/>
  <c r="AD267" i="36"/>
  <c r="I254" i="20"/>
  <c r="E254" i="20"/>
  <c r="D254" i="20"/>
  <c r="D276" i="19"/>
  <c r="F276" i="19"/>
  <c r="H276" i="19"/>
  <c r="J276" i="19"/>
  <c r="G276" i="19"/>
  <c r="E276" i="19"/>
  <c r="AE276" i="19"/>
  <c r="W276" i="19"/>
  <c r="P276" i="19"/>
  <c r="AB276" i="19"/>
  <c r="AC276" i="19"/>
  <c r="O276" i="19"/>
  <c r="K276" i="19"/>
  <c r="M276" i="19"/>
  <c r="T276" i="19"/>
  <c r="Q276" i="19"/>
  <c r="AG276" i="19"/>
  <c r="AJ276" i="19"/>
  <c r="V276" i="19"/>
  <c r="Y276" i="19"/>
  <c r="Z276" i="19"/>
  <c r="AP276" i="19"/>
  <c r="N276" i="19"/>
  <c r="AH276" i="19"/>
  <c r="AI276" i="19"/>
  <c r="AO276" i="19"/>
  <c r="AF276" i="19"/>
  <c r="AS276" i="19"/>
  <c r="R276" i="19"/>
  <c r="S276" i="19"/>
  <c r="AT276" i="19"/>
  <c r="AN276" i="19"/>
  <c r="U276" i="19"/>
  <c r="AD276" i="19"/>
  <c r="AQ276" i="19"/>
  <c r="AM276" i="19"/>
  <c r="AR276" i="19"/>
  <c r="AL276" i="19"/>
  <c r="AU276" i="19"/>
  <c r="X276" i="19"/>
  <c r="L276" i="19"/>
  <c r="AA276" i="19"/>
  <c r="AK276" i="19"/>
  <c r="B277" i="19"/>
  <c r="I277" i="19" s="1"/>
  <c r="C277" i="19"/>
  <c r="AV279" i="19"/>
  <c r="AW279" i="19" s="1"/>
  <c r="A278" i="19"/>
  <c r="AV271" i="36" l="1"/>
  <c r="AW271" i="36" s="1"/>
  <c r="A270" i="36"/>
  <c r="AB268" i="36"/>
  <c r="AO268" i="36"/>
  <c r="X268" i="36"/>
  <c r="AI268" i="36"/>
  <c r="O268" i="36"/>
  <c r="AE268" i="36"/>
  <c r="W268" i="36"/>
  <c r="AQ268" i="36"/>
  <c r="AC268" i="36"/>
  <c r="AH268" i="36"/>
  <c r="N268" i="36"/>
  <c r="Q268" i="36"/>
  <c r="AG268" i="36"/>
  <c r="AP268" i="36"/>
  <c r="AT268" i="36"/>
  <c r="AM268" i="36"/>
  <c r="AJ268" i="36"/>
  <c r="AD268" i="36"/>
  <c r="AR268" i="36"/>
  <c r="Y268" i="36"/>
  <c r="Z268" i="36"/>
  <c r="AF268" i="36"/>
  <c r="AK268" i="36"/>
  <c r="P268" i="36"/>
  <c r="AN268" i="36"/>
  <c r="AU268" i="36"/>
  <c r="R268" i="36"/>
  <c r="AA268" i="36"/>
  <c r="K268" i="36"/>
  <c r="M268" i="36"/>
  <c r="U268" i="36"/>
  <c r="AL268" i="36"/>
  <c r="V268" i="36"/>
  <c r="T268" i="36"/>
  <c r="AS268" i="36"/>
  <c r="L268" i="36"/>
  <c r="S268" i="36"/>
  <c r="B253" i="38"/>
  <c r="L253" i="38"/>
  <c r="L255" i="20"/>
  <c r="B255" i="20"/>
  <c r="C269" i="36"/>
  <c r="J269" i="36"/>
  <c r="E269" i="36"/>
  <c r="F269" i="36"/>
  <c r="I269" i="36"/>
  <c r="D269" i="36"/>
  <c r="G269" i="36"/>
  <c r="B269" i="36"/>
  <c r="H269" i="36"/>
  <c r="J277" i="19"/>
  <c r="F277" i="19"/>
  <c r="H277" i="19"/>
  <c r="E277" i="19"/>
  <c r="G277" i="19"/>
  <c r="D277" i="19"/>
  <c r="AV280" i="19"/>
  <c r="AW280" i="19" s="1"/>
  <c r="A279" i="19"/>
  <c r="Y277" i="19"/>
  <c r="V277" i="19"/>
  <c r="AQ277" i="19"/>
  <c r="AH277" i="19"/>
  <c r="R277" i="19"/>
  <c r="AU277" i="19"/>
  <c r="AE277" i="19"/>
  <c r="AJ277" i="19"/>
  <c r="P277" i="19"/>
  <c r="AN277" i="19"/>
  <c r="Z277" i="19"/>
  <c r="AT277" i="19"/>
  <c r="AF277" i="19"/>
  <c r="AS277" i="19"/>
  <c r="AO277" i="19"/>
  <c r="K277" i="19"/>
  <c r="U277" i="19"/>
  <c r="T277" i="19"/>
  <c r="AP277" i="19"/>
  <c r="N277" i="19"/>
  <c r="AC277" i="19"/>
  <c r="AA277" i="19"/>
  <c r="M277" i="19"/>
  <c r="AB277" i="19"/>
  <c r="O277" i="19"/>
  <c r="W277" i="19"/>
  <c r="AM277" i="19"/>
  <c r="AK277" i="19"/>
  <c r="AD277" i="19"/>
  <c r="AI277" i="19"/>
  <c r="AG277" i="19"/>
  <c r="X277" i="19"/>
  <c r="Q277" i="19"/>
  <c r="L277" i="19"/>
  <c r="S277" i="19"/>
  <c r="AR277" i="19"/>
  <c r="AL277" i="19"/>
  <c r="F278" i="19"/>
  <c r="C278" i="19"/>
  <c r="D278" i="19"/>
  <c r="H278" i="19"/>
  <c r="E278" i="19"/>
  <c r="G278" i="19"/>
  <c r="B278" i="19"/>
  <c r="I278" i="19"/>
  <c r="J278" i="19"/>
  <c r="K256" i="20" l="1"/>
  <c r="L256" i="20" s="1"/>
  <c r="K257" i="20" s="1"/>
  <c r="L257" i="20" s="1"/>
  <c r="C255" i="20"/>
  <c r="E253" i="38"/>
  <c r="I253" i="38"/>
  <c r="D253" i="38"/>
  <c r="C270" i="36"/>
  <c r="B270" i="36"/>
  <c r="H270" i="36" s="1"/>
  <c r="AP269" i="36"/>
  <c r="X269" i="36"/>
  <c r="AR269" i="36"/>
  <c r="AF269" i="36"/>
  <c r="AU269" i="36"/>
  <c r="AM269" i="36"/>
  <c r="AG269" i="36"/>
  <c r="AE269" i="36"/>
  <c r="AD269" i="36"/>
  <c r="N269" i="36"/>
  <c r="R269" i="36"/>
  <c r="AT269" i="36"/>
  <c r="AK269" i="36"/>
  <c r="AO269" i="36"/>
  <c r="K269" i="36"/>
  <c r="P269" i="36"/>
  <c r="Q269" i="36"/>
  <c r="AL269" i="36"/>
  <c r="AS269" i="36"/>
  <c r="S269" i="36"/>
  <c r="AJ269" i="36"/>
  <c r="AB269" i="36"/>
  <c r="V269" i="36"/>
  <c r="AA269" i="36"/>
  <c r="U269" i="36"/>
  <c r="L269" i="36"/>
  <c r="O269" i="36"/>
  <c r="AQ269" i="36"/>
  <c r="AI269" i="36"/>
  <c r="Z269" i="36"/>
  <c r="M269" i="36"/>
  <c r="AH269" i="36"/>
  <c r="AN269" i="36"/>
  <c r="Y269" i="36"/>
  <c r="W269" i="36"/>
  <c r="T269" i="36"/>
  <c r="AC269" i="36"/>
  <c r="I255" i="20"/>
  <c r="E255" i="20"/>
  <c r="D255" i="20"/>
  <c r="K254" i="38"/>
  <c r="C253" i="38"/>
  <c r="AV272" i="36"/>
  <c r="AW272" i="36" s="1"/>
  <c r="A271" i="36"/>
  <c r="AD278" i="19"/>
  <c r="AB278" i="19"/>
  <c r="Q278" i="19"/>
  <c r="AO278" i="19"/>
  <c r="AL278" i="19"/>
  <c r="AG278" i="19"/>
  <c r="P278" i="19"/>
  <c r="X278" i="19"/>
  <c r="AU278" i="19"/>
  <c r="AS278" i="19"/>
  <c r="V278" i="19"/>
  <c r="AJ278" i="19"/>
  <c r="U278" i="19"/>
  <c r="O278" i="19"/>
  <c r="R278" i="19"/>
  <c r="AF278" i="19"/>
  <c r="AM278" i="19"/>
  <c r="AI278" i="19"/>
  <c r="T278" i="19"/>
  <c r="AT278" i="19"/>
  <c r="L278" i="19"/>
  <c r="Y278" i="19"/>
  <c r="AQ278" i="19"/>
  <c r="AK278" i="19"/>
  <c r="W278" i="19"/>
  <c r="S278" i="19"/>
  <c r="AA278" i="19"/>
  <c r="AH278" i="19"/>
  <c r="AE278" i="19"/>
  <c r="Z278" i="19"/>
  <c r="AR278" i="19"/>
  <c r="N278" i="19"/>
  <c r="K278" i="19"/>
  <c r="AC278" i="19"/>
  <c r="AP278" i="19"/>
  <c r="AN278" i="19"/>
  <c r="M278" i="19"/>
  <c r="B279" i="19"/>
  <c r="H279" i="19"/>
  <c r="D279" i="19"/>
  <c r="J279" i="19"/>
  <c r="E279" i="19"/>
  <c r="I279" i="19"/>
  <c r="F279" i="19"/>
  <c r="C279" i="19"/>
  <c r="G279" i="19"/>
  <c r="A280" i="19"/>
  <c r="AV281" i="19"/>
  <c r="AW281" i="19" s="1"/>
  <c r="I270" i="36" l="1"/>
  <c r="J270" i="36"/>
  <c r="F270" i="36"/>
  <c r="AV273" i="36"/>
  <c r="AW273" i="36" s="1"/>
  <c r="A272" i="36"/>
  <c r="B254" i="38"/>
  <c r="L254" i="38"/>
  <c r="G270" i="36"/>
  <c r="D270" i="36"/>
  <c r="B271" i="36"/>
  <c r="E271" i="36" s="1"/>
  <c r="C271" i="36"/>
  <c r="E270" i="36"/>
  <c r="AD270" i="36"/>
  <c r="AJ270" i="36"/>
  <c r="AP270" i="36"/>
  <c r="AS270" i="36"/>
  <c r="T270" i="36"/>
  <c r="W270" i="36"/>
  <c r="AE270" i="36"/>
  <c r="AH270" i="36"/>
  <c r="AI270" i="36"/>
  <c r="AB270" i="36"/>
  <c r="Z270" i="36"/>
  <c r="AT270" i="36"/>
  <c r="Y270" i="36"/>
  <c r="R270" i="36"/>
  <c r="X270" i="36"/>
  <c r="AQ270" i="36"/>
  <c r="O270" i="36"/>
  <c r="M270" i="36"/>
  <c r="P270" i="36"/>
  <c r="U270" i="36"/>
  <c r="AN270" i="36"/>
  <c r="AF270" i="36"/>
  <c r="AR270" i="36"/>
  <c r="AC270" i="36"/>
  <c r="AM270" i="36"/>
  <c r="Q270" i="36"/>
  <c r="AA270" i="36"/>
  <c r="AK270" i="36"/>
  <c r="AU270" i="36"/>
  <c r="AL270" i="36"/>
  <c r="V270" i="36"/>
  <c r="N270" i="36"/>
  <c r="S270" i="36"/>
  <c r="L270" i="36"/>
  <c r="K270" i="36"/>
  <c r="AG270" i="36"/>
  <c r="AO270" i="36"/>
  <c r="B280" i="19"/>
  <c r="I280" i="19" s="1"/>
  <c r="C280" i="19"/>
  <c r="AV282" i="19"/>
  <c r="AW282" i="19" s="1"/>
  <c r="A281" i="19"/>
  <c r="AR279" i="19"/>
  <c r="AC279" i="19"/>
  <c r="V279" i="19"/>
  <c r="AU279" i="19"/>
  <c r="AB279" i="19"/>
  <c r="K279" i="19"/>
  <c r="T279" i="19"/>
  <c r="AE279" i="19"/>
  <c r="U279" i="19"/>
  <c r="AA279" i="19"/>
  <c r="W279" i="19"/>
  <c r="R279" i="19"/>
  <c r="S279" i="19"/>
  <c r="AN279" i="19"/>
  <c r="O279" i="19"/>
  <c r="AG279" i="19"/>
  <c r="AQ279" i="19"/>
  <c r="AP279" i="19"/>
  <c r="AM279" i="19"/>
  <c r="AJ279" i="19"/>
  <c r="AH279" i="19"/>
  <c r="Y279" i="19"/>
  <c r="AL279" i="19"/>
  <c r="AT279" i="19"/>
  <c r="P279" i="19"/>
  <c r="Q279" i="19"/>
  <c r="Z279" i="19"/>
  <c r="M279" i="19"/>
  <c r="AK279" i="19"/>
  <c r="AS279" i="19"/>
  <c r="AD279" i="19"/>
  <c r="AI279" i="19"/>
  <c r="AF279" i="19"/>
  <c r="L279" i="19"/>
  <c r="AO279" i="19"/>
  <c r="X279" i="19"/>
  <c r="N279" i="19"/>
  <c r="I271" i="36" l="1"/>
  <c r="F271" i="36"/>
  <c r="D271" i="36"/>
  <c r="J271" i="36"/>
  <c r="G271" i="36"/>
  <c r="K255" i="38"/>
  <c r="C254" i="38"/>
  <c r="B272" i="36"/>
  <c r="H272" i="36" s="1"/>
  <c r="C272" i="36"/>
  <c r="H271" i="36"/>
  <c r="Y271" i="36"/>
  <c r="AU271" i="36"/>
  <c r="S271" i="36"/>
  <c r="AT271" i="36"/>
  <c r="AL271" i="36"/>
  <c r="AJ271" i="36"/>
  <c r="K271" i="36"/>
  <c r="AP271" i="36"/>
  <c r="T271" i="36"/>
  <c r="U271" i="36"/>
  <c r="P271" i="36"/>
  <c r="AK271" i="36"/>
  <c r="AB271" i="36"/>
  <c r="AH271" i="36"/>
  <c r="R271" i="36"/>
  <c r="W271" i="36"/>
  <c r="O271" i="36"/>
  <c r="N271" i="36"/>
  <c r="AO271" i="36"/>
  <c r="AC271" i="36"/>
  <c r="AF271" i="36"/>
  <c r="Z271" i="36"/>
  <c r="V271" i="36"/>
  <c r="AN271" i="36"/>
  <c r="AM271" i="36"/>
  <c r="AG271" i="36"/>
  <c r="AD271" i="36"/>
  <c r="AR271" i="36"/>
  <c r="L271" i="36"/>
  <c r="AE271" i="36"/>
  <c r="X271" i="36"/>
  <c r="AI271" i="36"/>
  <c r="Q271" i="36"/>
  <c r="AA271" i="36"/>
  <c r="M271" i="36"/>
  <c r="AS271" i="36"/>
  <c r="AQ271" i="36"/>
  <c r="E254" i="38"/>
  <c r="I254" i="38"/>
  <c r="D254" i="38"/>
  <c r="AV274" i="36"/>
  <c r="AW274" i="36" s="1"/>
  <c r="A273" i="36"/>
  <c r="J280" i="19"/>
  <c r="E280" i="19"/>
  <c r="D280" i="19"/>
  <c r="H280" i="19"/>
  <c r="G280" i="19"/>
  <c r="F280" i="19"/>
  <c r="B281" i="19"/>
  <c r="F281" i="19" s="1"/>
  <c r="C281" i="19"/>
  <c r="A282" i="19"/>
  <c r="AV283" i="19"/>
  <c r="AW283" i="19" s="1"/>
  <c r="AM280" i="19"/>
  <c r="M280" i="19"/>
  <c r="S280" i="19"/>
  <c r="AN280" i="19"/>
  <c r="Y280" i="19"/>
  <c r="V280" i="19"/>
  <c r="O280" i="19"/>
  <c r="P280" i="19"/>
  <c r="T280" i="19"/>
  <c r="AJ280" i="19"/>
  <c r="K280" i="19"/>
  <c r="AD280" i="19"/>
  <c r="X280" i="19"/>
  <c r="R280" i="19"/>
  <c r="U280" i="19"/>
  <c r="AA280" i="19"/>
  <c r="AP280" i="19"/>
  <c r="N280" i="19"/>
  <c r="AC280" i="19"/>
  <c r="Z280" i="19"/>
  <c r="AK280" i="19"/>
  <c r="AR280" i="19"/>
  <c r="AO280" i="19"/>
  <c r="AT280" i="19"/>
  <c r="AF280" i="19"/>
  <c r="AL280" i="19"/>
  <c r="AE280" i="19"/>
  <c r="AH280" i="19"/>
  <c r="AU280" i="19"/>
  <c r="L280" i="19"/>
  <c r="Q280" i="19"/>
  <c r="W280" i="19"/>
  <c r="AS280" i="19"/>
  <c r="AG280" i="19"/>
  <c r="AI280" i="19"/>
  <c r="AB280" i="19"/>
  <c r="AQ280" i="19"/>
  <c r="I272" i="36" l="1"/>
  <c r="J272" i="36"/>
  <c r="E272" i="36"/>
  <c r="AV275" i="36"/>
  <c r="AW275" i="36" s="1"/>
  <c r="A274" i="36"/>
  <c r="G272" i="36"/>
  <c r="D272" i="36"/>
  <c r="C273" i="36"/>
  <c r="B273" i="36"/>
  <c r="H273" i="36" s="1"/>
  <c r="F272" i="36"/>
  <c r="Y272" i="36"/>
  <c r="AT272" i="36"/>
  <c r="AA272" i="36"/>
  <c r="K272" i="36"/>
  <c r="AJ272" i="36"/>
  <c r="AB272" i="36"/>
  <c r="W272" i="36"/>
  <c r="AI272" i="36"/>
  <c r="AN272" i="36"/>
  <c r="AE272" i="36"/>
  <c r="AL272" i="36"/>
  <c r="Z272" i="36"/>
  <c r="T272" i="36"/>
  <c r="AC272" i="36"/>
  <c r="M272" i="36"/>
  <c r="U272" i="36"/>
  <c r="AG272" i="36"/>
  <c r="AP272" i="36"/>
  <c r="AQ272" i="36"/>
  <c r="AR272" i="36"/>
  <c r="V272" i="36"/>
  <c r="X272" i="36"/>
  <c r="L272" i="36"/>
  <c r="AK272" i="36"/>
  <c r="R272" i="36"/>
  <c r="AH272" i="36"/>
  <c r="O272" i="36"/>
  <c r="AS272" i="36"/>
  <c r="N272" i="36"/>
  <c r="AF272" i="36"/>
  <c r="S272" i="36"/>
  <c r="AO272" i="36"/>
  <c r="AU272" i="36"/>
  <c r="P272" i="36"/>
  <c r="AD272" i="36"/>
  <c r="AM272" i="36"/>
  <c r="Q272" i="36"/>
  <c r="L255" i="38"/>
  <c r="B255" i="38"/>
  <c r="J281" i="19"/>
  <c r="I281" i="19"/>
  <c r="D281" i="19"/>
  <c r="G281" i="19"/>
  <c r="E281" i="19"/>
  <c r="H281" i="19"/>
  <c r="AV284" i="19"/>
  <c r="AW284" i="19" s="1"/>
  <c r="A283" i="19"/>
  <c r="C282" i="19"/>
  <c r="B282" i="19"/>
  <c r="D282" i="19" s="1"/>
  <c r="AN281" i="19"/>
  <c r="AQ281" i="19"/>
  <c r="S281" i="19"/>
  <c r="V281" i="19"/>
  <c r="M281" i="19"/>
  <c r="AF281" i="19"/>
  <c r="AR281" i="19"/>
  <c r="AG281" i="19"/>
  <c r="AS281" i="19"/>
  <c r="Q281" i="19"/>
  <c r="AL281" i="19"/>
  <c r="N281" i="19"/>
  <c r="R281" i="19"/>
  <c r="L281" i="19"/>
  <c r="Z281" i="19"/>
  <c r="AP281" i="19"/>
  <c r="AK281" i="19"/>
  <c r="AC281" i="19"/>
  <c r="AB281" i="19"/>
  <c r="AD281" i="19"/>
  <c r="O281" i="19"/>
  <c r="AI281" i="19"/>
  <c r="AA281" i="19"/>
  <c r="AU281" i="19"/>
  <c r="U281" i="19"/>
  <c r="P281" i="19"/>
  <c r="AJ281" i="19"/>
  <c r="K281" i="19"/>
  <c r="AM281" i="19"/>
  <c r="W281" i="19"/>
  <c r="AE281" i="19"/>
  <c r="AO281" i="19"/>
  <c r="AT281" i="19"/>
  <c r="T281" i="19"/>
  <c r="Y281" i="19"/>
  <c r="X281" i="19"/>
  <c r="AH281" i="19"/>
  <c r="F273" i="36" l="1"/>
  <c r="J273" i="36"/>
  <c r="D273" i="36"/>
  <c r="I273" i="36"/>
  <c r="G273" i="36"/>
  <c r="I255" i="38"/>
  <c r="E255" i="38"/>
  <c r="D255" i="38"/>
  <c r="E273" i="36"/>
  <c r="AL273" i="36"/>
  <c r="AN273" i="36"/>
  <c r="V273" i="36"/>
  <c r="AT273" i="36"/>
  <c r="Q273" i="36"/>
  <c r="AO273" i="36"/>
  <c r="AI273" i="36"/>
  <c r="O273" i="36"/>
  <c r="T273" i="36"/>
  <c r="AE273" i="36"/>
  <c r="AM273" i="36"/>
  <c r="AK273" i="36"/>
  <c r="AU273" i="36"/>
  <c r="L273" i="36"/>
  <c r="AH273" i="36"/>
  <c r="AA273" i="36"/>
  <c r="Z273" i="36"/>
  <c r="AJ273" i="36"/>
  <c r="Y273" i="36"/>
  <c r="N273" i="36"/>
  <c r="W273" i="36"/>
  <c r="R273" i="36"/>
  <c r="K273" i="36"/>
  <c r="AG273" i="36"/>
  <c r="P273" i="36"/>
  <c r="AD273" i="36"/>
  <c r="U273" i="36"/>
  <c r="AS273" i="36"/>
  <c r="S273" i="36"/>
  <c r="X273" i="36"/>
  <c r="AC273" i="36"/>
  <c r="M273" i="36"/>
  <c r="AP273" i="36"/>
  <c r="AQ273" i="36"/>
  <c r="AR273" i="36"/>
  <c r="AF273" i="36"/>
  <c r="AB273" i="36"/>
  <c r="B274" i="36"/>
  <c r="G274" i="36" s="1"/>
  <c r="C274" i="36"/>
  <c r="K256" i="38"/>
  <c r="L256" i="38" s="1"/>
  <c r="C255" i="38"/>
  <c r="AV276" i="36"/>
  <c r="AW276" i="36" s="1"/>
  <c r="A275" i="36"/>
  <c r="E282" i="19"/>
  <c r="H282" i="19"/>
  <c r="F282" i="19"/>
  <c r="G282" i="19"/>
  <c r="I282" i="19"/>
  <c r="J282" i="19"/>
  <c r="AJ282" i="19"/>
  <c r="AM282" i="19"/>
  <c r="AU282" i="19"/>
  <c r="K282" i="19"/>
  <c r="W282" i="19"/>
  <c r="Q282" i="19"/>
  <c r="AS282" i="19"/>
  <c r="O282" i="19"/>
  <c r="AR282" i="19"/>
  <c r="AB282" i="19"/>
  <c r="T282" i="19"/>
  <c r="M282" i="19"/>
  <c r="P282" i="19"/>
  <c r="V282" i="19"/>
  <c r="Y282" i="19"/>
  <c r="AQ282" i="19"/>
  <c r="U282" i="19"/>
  <c r="AA282" i="19"/>
  <c r="AP282" i="19"/>
  <c r="N282" i="19"/>
  <c r="AE282" i="19"/>
  <c r="AD282" i="19"/>
  <c r="R282" i="19"/>
  <c r="S282" i="19"/>
  <c r="AL282" i="19"/>
  <c r="AO282" i="19"/>
  <c r="AI282" i="19"/>
  <c r="AC282" i="19"/>
  <c r="X282" i="19"/>
  <c r="AF282" i="19"/>
  <c r="AK282" i="19"/>
  <c r="AT282" i="19"/>
  <c r="AH282" i="19"/>
  <c r="AG282" i="19"/>
  <c r="L282" i="19"/>
  <c r="AN282" i="19"/>
  <c r="Z282" i="19"/>
  <c r="B283" i="19"/>
  <c r="D283" i="19" s="1"/>
  <c r="C283" i="19"/>
  <c r="A284" i="19"/>
  <c r="AV285" i="19"/>
  <c r="AW285" i="19" s="1"/>
  <c r="F274" i="36" l="1"/>
  <c r="D274" i="36"/>
  <c r="E274" i="36"/>
  <c r="I274" i="36"/>
  <c r="J274" i="36"/>
  <c r="H274" i="36"/>
  <c r="B275" i="36"/>
  <c r="F275" i="36"/>
  <c r="G275" i="36"/>
  <c r="J275" i="36"/>
  <c r="I275" i="36"/>
  <c r="E275" i="36"/>
  <c r="H275" i="36"/>
  <c r="C275" i="36"/>
  <c r="D275" i="36"/>
  <c r="AT274" i="36"/>
  <c r="Q274" i="36"/>
  <c r="R274" i="36"/>
  <c r="AB274" i="36"/>
  <c r="AJ274" i="36"/>
  <c r="T274" i="36"/>
  <c r="U274" i="36"/>
  <c r="AO274" i="36"/>
  <c r="AC274" i="36"/>
  <c r="AU274" i="36"/>
  <c r="AD274" i="36"/>
  <c r="AS274" i="36"/>
  <c r="Z274" i="36"/>
  <c r="S274" i="36"/>
  <c r="AP274" i="36"/>
  <c r="AE274" i="36"/>
  <c r="AM274" i="36"/>
  <c r="O274" i="36"/>
  <c r="AH274" i="36"/>
  <c r="AA274" i="36"/>
  <c r="AI274" i="36"/>
  <c r="AN274" i="36"/>
  <c r="AK274" i="36"/>
  <c r="L274" i="36"/>
  <c r="M274" i="36"/>
  <c r="V274" i="36"/>
  <c r="Y274" i="36"/>
  <c r="AF274" i="36"/>
  <c r="K274" i="36"/>
  <c r="AG274" i="36"/>
  <c r="X274" i="36"/>
  <c r="W274" i="36"/>
  <c r="AR274" i="36"/>
  <c r="P274" i="36"/>
  <c r="N274" i="36"/>
  <c r="AQ274" i="36"/>
  <c r="AL274" i="36"/>
  <c r="AV277" i="36"/>
  <c r="AW277" i="36" s="1"/>
  <c r="A276" i="36"/>
  <c r="A256" i="38"/>
  <c r="K257" i="38"/>
  <c r="L257" i="38" s="1"/>
  <c r="A257" i="38" s="1"/>
  <c r="J283" i="19"/>
  <c r="I283" i="19"/>
  <c r="E283" i="19"/>
  <c r="F283" i="19"/>
  <c r="G283" i="19"/>
  <c r="H283" i="19"/>
  <c r="B284" i="19"/>
  <c r="D284" i="19" s="1"/>
  <c r="C284" i="19"/>
  <c r="V283" i="19"/>
  <c r="AR283" i="19"/>
  <c r="AS283" i="19"/>
  <c r="W283" i="19"/>
  <c r="AD283" i="19"/>
  <c r="U283" i="19"/>
  <c r="K283" i="19"/>
  <c r="AM283" i="19"/>
  <c r="AJ283" i="19"/>
  <c r="AL283" i="19"/>
  <c r="AI283" i="19"/>
  <c r="Z283" i="19"/>
  <c r="Y283" i="19"/>
  <c r="AT283" i="19"/>
  <c r="AB283" i="19"/>
  <c r="X283" i="19"/>
  <c r="AE283" i="19"/>
  <c r="AQ283" i="19"/>
  <c r="Q283" i="19"/>
  <c r="T283" i="19"/>
  <c r="M283" i="19"/>
  <c r="R283" i="19"/>
  <c r="P283" i="19"/>
  <c r="N283" i="19"/>
  <c r="L283" i="19"/>
  <c r="AF283" i="19"/>
  <c r="AG283" i="19"/>
  <c r="AC283" i="19"/>
  <c r="O283" i="19"/>
  <c r="AH283" i="19"/>
  <c r="AP283" i="19"/>
  <c r="AN283" i="19"/>
  <c r="AA283" i="19"/>
  <c r="S283" i="19"/>
  <c r="AO283" i="19"/>
  <c r="AK283" i="19"/>
  <c r="AU283" i="19"/>
  <c r="AV286" i="19"/>
  <c r="AW286" i="19" s="1"/>
  <c r="A285" i="19"/>
  <c r="G257" i="38" l="1"/>
  <c r="C257" i="38"/>
  <c r="B257" i="38"/>
  <c r="F257" i="38"/>
  <c r="I257" i="38"/>
  <c r="H257" i="38"/>
  <c r="D257" i="38"/>
  <c r="E257" i="38"/>
  <c r="I276" i="36"/>
  <c r="J276" i="36"/>
  <c r="C276" i="36"/>
  <c r="F276" i="36"/>
  <c r="E276" i="36"/>
  <c r="G276" i="36"/>
  <c r="D276" i="36"/>
  <c r="B276" i="36"/>
  <c r="H276" i="36"/>
  <c r="F256" i="38"/>
  <c r="G256" i="38"/>
  <c r="B256" i="38"/>
  <c r="E256" i="38"/>
  <c r="H256" i="38"/>
  <c r="C256" i="38"/>
  <c r="I256" i="38"/>
  <c r="D256" i="38"/>
  <c r="A277" i="36"/>
  <c r="AV278" i="36"/>
  <c r="AW278" i="36" s="1"/>
  <c r="AU275" i="36"/>
  <c r="AB275" i="36"/>
  <c r="AS275" i="36"/>
  <c r="AJ275" i="36"/>
  <c r="T275" i="36"/>
  <c r="AM275" i="36"/>
  <c r="M275" i="36"/>
  <c r="AT275" i="36"/>
  <c r="AD275" i="36"/>
  <c r="Y275" i="36"/>
  <c r="AL275" i="36"/>
  <c r="AQ275" i="36"/>
  <c r="AA275" i="36"/>
  <c r="Z275" i="36"/>
  <c r="AP275" i="36"/>
  <c r="L275" i="36"/>
  <c r="AO275" i="36"/>
  <c r="W275" i="36"/>
  <c r="K275" i="36"/>
  <c r="S275" i="36"/>
  <c r="AF275" i="36"/>
  <c r="Q275" i="36"/>
  <c r="V275" i="36"/>
  <c r="AN275" i="36"/>
  <c r="AG275" i="36"/>
  <c r="P275" i="36"/>
  <c r="AE275" i="36"/>
  <c r="AH275" i="36"/>
  <c r="R275" i="36"/>
  <c r="U275" i="36"/>
  <c r="AI275" i="36"/>
  <c r="AC275" i="36"/>
  <c r="AK275" i="36"/>
  <c r="N275" i="36"/>
  <c r="X275" i="36"/>
  <c r="O275" i="36"/>
  <c r="AR275" i="36"/>
  <c r="E284" i="19"/>
  <c r="G284" i="19"/>
  <c r="J284" i="19"/>
  <c r="I284" i="19"/>
  <c r="H284" i="19"/>
  <c r="D285" i="19"/>
  <c r="I285" i="19"/>
  <c r="J285" i="19"/>
  <c r="H285" i="19"/>
  <c r="E285" i="19"/>
  <c r="F285" i="19"/>
  <c r="C285" i="19"/>
  <c r="B285" i="19"/>
  <c r="G285" i="19"/>
  <c r="A286" i="19"/>
  <c r="AV287" i="19"/>
  <c r="AW287" i="19" s="1"/>
  <c r="F284" i="19"/>
  <c r="U284" i="19"/>
  <c r="Y284" i="19"/>
  <c r="AH284" i="19"/>
  <c r="AS284" i="19"/>
  <c r="Q284" i="19"/>
  <c r="P284" i="19"/>
  <c r="T284" i="19"/>
  <c r="AN284" i="19"/>
  <c r="K284" i="19"/>
  <c r="M284" i="19"/>
  <c r="R284" i="19"/>
  <c r="N284" i="19"/>
  <c r="AP284" i="19"/>
  <c r="AD284" i="19"/>
  <c r="AK284" i="19"/>
  <c r="AQ284" i="19"/>
  <c r="W284" i="19"/>
  <c r="AA284" i="19"/>
  <c r="AR284" i="19"/>
  <c r="O284" i="19"/>
  <c r="AL284" i="19"/>
  <c r="AF284" i="19"/>
  <c r="AC284" i="19"/>
  <c r="AJ284" i="19"/>
  <c r="L284" i="19"/>
  <c r="AB284" i="19"/>
  <c r="Z284" i="19"/>
  <c r="X284" i="19"/>
  <c r="AE284" i="19"/>
  <c r="V284" i="19"/>
  <c r="AG284" i="19"/>
  <c r="AO284" i="19"/>
  <c r="S284" i="19"/>
  <c r="AI284" i="19"/>
  <c r="AM284" i="19"/>
  <c r="AU284" i="19"/>
  <c r="AT284" i="19"/>
  <c r="C277" i="36" l="1"/>
  <c r="B277" i="36"/>
  <c r="G277" i="36" s="1"/>
  <c r="AK276" i="36"/>
  <c r="AD276" i="36"/>
  <c r="O276" i="36"/>
  <c r="X276" i="36"/>
  <c r="L276" i="36"/>
  <c r="AL276" i="36"/>
  <c r="S276" i="36"/>
  <c r="AB276" i="36"/>
  <c r="AE276" i="36"/>
  <c r="AG276" i="36"/>
  <c r="AF276" i="36"/>
  <c r="AO276" i="36"/>
  <c r="AH276" i="36"/>
  <c r="K276" i="36"/>
  <c r="W276" i="36"/>
  <c r="AA276" i="36"/>
  <c r="AR276" i="36"/>
  <c r="AT276" i="36"/>
  <c r="AU276" i="36"/>
  <c r="Q276" i="36"/>
  <c r="AS276" i="36"/>
  <c r="AJ276" i="36"/>
  <c r="AN276" i="36"/>
  <c r="Z276" i="36"/>
  <c r="T276" i="36"/>
  <c r="AM276" i="36"/>
  <c r="V276" i="36"/>
  <c r="M276" i="36"/>
  <c r="N276" i="36"/>
  <c r="R276" i="36"/>
  <c r="P276" i="36"/>
  <c r="U276" i="36"/>
  <c r="AC276" i="36"/>
  <c r="Y276" i="36"/>
  <c r="AI276" i="36"/>
  <c r="AQ276" i="36"/>
  <c r="AP276" i="36"/>
  <c r="AV279" i="36"/>
  <c r="AW279" i="36" s="1"/>
  <c r="A278" i="36"/>
  <c r="H286" i="19"/>
  <c r="D286" i="19"/>
  <c r="B286" i="19"/>
  <c r="G286" i="19"/>
  <c r="I286" i="19"/>
  <c r="C286" i="19"/>
  <c r="J286" i="19"/>
  <c r="E286" i="19"/>
  <c r="F286" i="19"/>
  <c r="AF285" i="19"/>
  <c r="AN285" i="19"/>
  <c r="V285" i="19"/>
  <c r="P285" i="19"/>
  <c r="W285" i="19"/>
  <c r="AM285" i="19"/>
  <c r="AJ285" i="19"/>
  <c r="AQ285" i="19"/>
  <c r="Z285" i="19"/>
  <c r="AD285" i="19"/>
  <c r="AU285" i="19"/>
  <c r="AR285" i="19"/>
  <c r="Y285" i="19"/>
  <c r="AP285" i="19"/>
  <c r="U285" i="19"/>
  <c r="Q285" i="19"/>
  <c r="AK285" i="19"/>
  <c r="AO285" i="19"/>
  <c r="AG285" i="19"/>
  <c r="R285" i="19"/>
  <c r="X285" i="19"/>
  <c r="T285" i="19"/>
  <c r="M285" i="19"/>
  <c r="AB285" i="19"/>
  <c r="AA285" i="19"/>
  <c r="N285" i="19"/>
  <c r="AC285" i="19"/>
  <c r="O285" i="19"/>
  <c r="AH285" i="19"/>
  <c r="K285" i="19"/>
  <c r="AE285" i="19"/>
  <c r="AL285" i="19"/>
  <c r="AS285" i="19"/>
  <c r="S285" i="19"/>
  <c r="AT285" i="19"/>
  <c r="AI285" i="19"/>
  <c r="L285" i="19"/>
  <c r="AV288" i="19"/>
  <c r="AW288" i="19" s="1"/>
  <c r="A287" i="19"/>
  <c r="J277" i="36" l="1"/>
  <c r="F277" i="36"/>
  <c r="I277" i="36"/>
  <c r="E277" i="36"/>
  <c r="H277" i="36"/>
  <c r="AV280" i="36"/>
  <c r="AW280" i="36" s="1"/>
  <c r="A279" i="36"/>
  <c r="D277" i="36"/>
  <c r="AQ277" i="36"/>
  <c r="K277" i="36"/>
  <c r="Y277" i="36"/>
  <c r="V277" i="36"/>
  <c r="U277" i="36"/>
  <c r="L277" i="36"/>
  <c r="AJ277" i="36"/>
  <c r="AS277" i="36"/>
  <c r="AE277" i="36"/>
  <c r="N277" i="36"/>
  <c r="AD277" i="36"/>
  <c r="AN277" i="36"/>
  <c r="AC277" i="36"/>
  <c r="AT277" i="36"/>
  <c r="AI277" i="36"/>
  <c r="AP277" i="36"/>
  <c r="S277" i="36"/>
  <c r="AL277" i="36"/>
  <c r="AB277" i="36"/>
  <c r="AG277" i="36"/>
  <c r="AK277" i="36"/>
  <c r="AR277" i="36"/>
  <c r="AH277" i="36"/>
  <c r="Q277" i="36"/>
  <c r="T277" i="36"/>
  <c r="Z277" i="36"/>
  <c r="AA277" i="36"/>
  <c r="O277" i="36"/>
  <c r="M277" i="36"/>
  <c r="W277" i="36"/>
  <c r="X277" i="36"/>
  <c r="AM277" i="36"/>
  <c r="AF277" i="36"/>
  <c r="AO277" i="36"/>
  <c r="AU277" i="36"/>
  <c r="R277" i="36"/>
  <c r="P277" i="36"/>
  <c r="C278" i="36"/>
  <c r="B278" i="36"/>
  <c r="D278" i="36" s="1"/>
  <c r="B287" i="19"/>
  <c r="D287" i="19" s="1"/>
  <c r="C287" i="19"/>
  <c r="AH286" i="19"/>
  <c r="O286" i="19"/>
  <c r="V286" i="19"/>
  <c r="T286" i="19"/>
  <c r="U286" i="19"/>
  <c r="AR286" i="19"/>
  <c r="N286" i="19"/>
  <c r="R286" i="19"/>
  <c r="AL286" i="19"/>
  <c r="AB286" i="19"/>
  <c r="P286" i="19"/>
  <c r="L286" i="19"/>
  <c r="Q286" i="19"/>
  <c r="AK286" i="19"/>
  <c r="AI286" i="19"/>
  <c r="Y286" i="19"/>
  <c r="AF286" i="19"/>
  <c r="AD286" i="19"/>
  <c r="AO286" i="19"/>
  <c r="AS286" i="19"/>
  <c r="AJ286" i="19"/>
  <c r="K286" i="19"/>
  <c r="AQ286" i="19"/>
  <c r="AP286" i="19"/>
  <c r="M286" i="19"/>
  <c r="AU286" i="19"/>
  <c r="AG286" i="19"/>
  <c r="AM286" i="19"/>
  <c r="AC286" i="19"/>
  <c r="AE286" i="19"/>
  <c r="AT286" i="19"/>
  <c r="S286" i="19"/>
  <c r="X286" i="19"/>
  <c r="Z286" i="19"/>
  <c r="AA286" i="19"/>
  <c r="W286" i="19"/>
  <c r="AN286" i="19"/>
  <c r="AV289" i="19"/>
  <c r="AW289" i="19" s="1"/>
  <c r="A288" i="19"/>
  <c r="H278" i="36" l="1"/>
  <c r="F278" i="36"/>
  <c r="E278" i="36"/>
  <c r="J278" i="36"/>
  <c r="G278" i="36"/>
  <c r="I278" i="36"/>
  <c r="P278" i="36"/>
  <c r="AN278" i="36"/>
  <c r="AO278" i="36"/>
  <c r="AK278" i="36"/>
  <c r="AI278" i="36"/>
  <c r="N278" i="36"/>
  <c r="AG278" i="36"/>
  <c r="AC278" i="36"/>
  <c r="AQ278" i="36"/>
  <c r="U278" i="36"/>
  <c r="Q278" i="36"/>
  <c r="AD278" i="36"/>
  <c r="AJ278" i="36"/>
  <c r="AS278" i="36"/>
  <c r="X278" i="36"/>
  <c r="AR278" i="36"/>
  <c r="S278" i="36"/>
  <c r="AF278" i="36"/>
  <c r="O278" i="36"/>
  <c r="W278" i="36"/>
  <c r="AP278" i="36"/>
  <c r="Y278" i="36"/>
  <c r="AU278" i="36"/>
  <c r="L278" i="36"/>
  <c r="AH278" i="36"/>
  <c r="AM278" i="36"/>
  <c r="AA278" i="36"/>
  <c r="R278" i="36"/>
  <c r="K278" i="36"/>
  <c r="M278" i="36"/>
  <c r="AE278" i="36"/>
  <c r="AT278" i="36"/>
  <c r="Z278" i="36"/>
  <c r="AL278" i="36"/>
  <c r="T278" i="36"/>
  <c r="AB278" i="36"/>
  <c r="V278" i="36"/>
  <c r="C279" i="36"/>
  <c r="B279" i="36"/>
  <c r="D279" i="36" s="1"/>
  <c r="AV281" i="36"/>
  <c r="AW281" i="36" s="1"/>
  <c r="A280" i="36"/>
  <c r="J287" i="19"/>
  <c r="G287" i="19"/>
  <c r="F287" i="19"/>
  <c r="I287" i="19"/>
  <c r="E287" i="19"/>
  <c r="B288" i="19"/>
  <c r="H288" i="19" s="1"/>
  <c r="C288" i="19"/>
  <c r="A289" i="19"/>
  <c r="AV290" i="19"/>
  <c r="AW290" i="19" s="1"/>
  <c r="H287" i="19"/>
  <c r="V287" i="19"/>
  <c r="AC287" i="19"/>
  <c r="Q287" i="19"/>
  <c r="AI287" i="19"/>
  <c r="AJ287" i="19"/>
  <c r="AH287" i="19"/>
  <c r="AM287" i="19"/>
  <c r="AG287" i="19"/>
  <c r="O287" i="19"/>
  <c r="AL287" i="19"/>
  <c r="AA287" i="19"/>
  <c r="X287" i="19"/>
  <c r="AB287" i="19"/>
  <c r="U287" i="19"/>
  <c r="L287" i="19"/>
  <c r="Y287" i="19"/>
  <c r="AE287" i="19"/>
  <c r="AP287" i="19"/>
  <c r="AN287" i="19"/>
  <c r="Z287" i="19"/>
  <c r="K287" i="19"/>
  <c r="S287" i="19"/>
  <c r="AQ287" i="19"/>
  <c r="AU287" i="19"/>
  <c r="R287" i="19"/>
  <c r="AT287" i="19"/>
  <c r="AK287" i="19"/>
  <c r="M287" i="19"/>
  <c r="P287" i="19"/>
  <c r="AF287" i="19"/>
  <c r="AO287" i="19"/>
  <c r="W287" i="19"/>
  <c r="AR287" i="19"/>
  <c r="T287" i="19"/>
  <c r="AS287" i="19"/>
  <c r="N287" i="19"/>
  <c r="AD287" i="19"/>
  <c r="I279" i="36" l="1"/>
  <c r="G279" i="36"/>
  <c r="F279" i="36"/>
  <c r="I280" i="36"/>
  <c r="C280" i="36"/>
  <c r="H280" i="36"/>
  <c r="E280" i="36"/>
  <c r="J280" i="36"/>
  <c r="F280" i="36"/>
  <c r="G280" i="36"/>
  <c r="D280" i="36"/>
  <c r="B280" i="36"/>
  <c r="J279" i="36"/>
  <c r="E279" i="36"/>
  <c r="H279" i="36"/>
  <c r="AV282" i="36"/>
  <c r="AW282" i="36" s="1"/>
  <c r="A281" i="36"/>
  <c r="AS279" i="36"/>
  <c r="M279" i="36"/>
  <c r="N279" i="36"/>
  <c r="P279" i="36"/>
  <c r="K279" i="36"/>
  <c r="AE279" i="36"/>
  <c r="L279" i="36"/>
  <c r="AI279" i="36"/>
  <c r="T279" i="36"/>
  <c r="Z279" i="36"/>
  <c r="W279" i="36"/>
  <c r="X279" i="36"/>
  <c r="AA279" i="36"/>
  <c r="S279" i="36"/>
  <c r="AM279" i="36"/>
  <c r="AF279" i="36"/>
  <c r="AK279" i="36"/>
  <c r="AQ279" i="36"/>
  <c r="Y279" i="36"/>
  <c r="R279" i="36"/>
  <c r="AH279" i="36"/>
  <c r="O279" i="36"/>
  <c r="AC279" i="36"/>
  <c r="AG279" i="36"/>
  <c r="AO279" i="36"/>
  <c r="V279" i="36"/>
  <c r="AD279" i="36"/>
  <c r="AR279" i="36"/>
  <c r="AN279" i="36"/>
  <c r="AP279" i="36"/>
  <c r="AT279" i="36"/>
  <c r="Q279" i="36"/>
  <c r="AJ279" i="36"/>
  <c r="AU279" i="36"/>
  <c r="AB279" i="36"/>
  <c r="U279" i="36"/>
  <c r="AL279" i="36"/>
  <c r="J288" i="19"/>
  <c r="F288" i="19"/>
  <c r="I288" i="19"/>
  <c r="E288" i="19"/>
  <c r="D288" i="19"/>
  <c r="A290" i="19"/>
  <c r="AV291" i="19"/>
  <c r="AW291" i="19" s="1"/>
  <c r="B289" i="19"/>
  <c r="G289" i="19" s="1"/>
  <c r="C289" i="19"/>
  <c r="G288" i="19"/>
  <c r="AI288" i="19"/>
  <c r="AT288" i="19"/>
  <c r="AP288" i="19"/>
  <c r="U288" i="19"/>
  <c r="P288" i="19"/>
  <c r="AR288" i="19"/>
  <c r="O288" i="19"/>
  <c r="Q288" i="19"/>
  <c r="AJ288" i="19"/>
  <c r="Y288" i="19"/>
  <c r="AL288" i="19"/>
  <c r="AM288" i="19"/>
  <c r="AS288" i="19"/>
  <c r="X288" i="19"/>
  <c r="V288" i="19"/>
  <c r="AA288" i="19"/>
  <c r="R288" i="19"/>
  <c r="AC288" i="19"/>
  <c r="S288" i="19"/>
  <c r="W288" i="19"/>
  <c r="AK288" i="19"/>
  <c r="AQ288" i="19"/>
  <c r="AU288" i="19"/>
  <c r="AF288" i="19"/>
  <c r="T288" i="19"/>
  <c r="Z288" i="19"/>
  <c r="K288" i="19"/>
  <c r="AD288" i="19"/>
  <c r="AG288" i="19"/>
  <c r="M288" i="19"/>
  <c r="N288" i="19"/>
  <c r="AE288" i="19"/>
  <c r="AN288" i="19"/>
  <c r="AO288" i="19"/>
  <c r="AB288" i="19"/>
  <c r="AH288" i="19"/>
  <c r="L288" i="19"/>
  <c r="C281" i="36" l="1"/>
  <c r="F281" i="36"/>
  <c r="J281" i="36"/>
  <c r="E281" i="36"/>
  <c r="H281" i="36"/>
  <c r="G281" i="36"/>
  <c r="D281" i="36"/>
  <c r="I281" i="36"/>
  <c r="B281" i="36"/>
  <c r="AV283" i="36"/>
  <c r="AW283" i="36" s="1"/>
  <c r="A282" i="36"/>
  <c r="AH280" i="36"/>
  <c r="W280" i="36"/>
  <c r="T280" i="36"/>
  <c r="AP280" i="36"/>
  <c r="AR280" i="36"/>
  <c r="AU280" i="36"/>
  <c r="AF280" i="36"/>
  <c r="AA280" i="36"/>
  <c r="AL280" i="36"/>
  <c r="AO280" i="36"/>
  <c r="AE280" i="36"/>
  <c r="AJ280" i="36"/>
  <c r="AK280" i="36"/>
  <c r="Y280" i="36"/>
  <c r="K280" i="36"/>
  <c r="Z280" i="36"/>
  <c r="AS280" i="36"/>
  <c r="AQ280" i="36"/>
  <c r="AB280" i="36"/>
  <c r="U280" i="36"/>
  <c r="AG280" i="36"/>
  <c r="R280" i="36"/>
  <c r="M280" i="36"/>
  <c r="S280" i="36"/>
  <c r="V280" i="36"/>
  <c r="AT280" i="36"/>
  <c r="AN280" i="36"/>
  <c r="Q280" i="36"/>
  <c r="AC280" i="36"/>
  <c r="N280" i="36"/>
  <c r="X280" i="36"/>
  <c r="O280" i="36"/>
  <c r="P280" i="36"/>
  <c r="AD280" i="36"/>
  <c r="AM280" i="36"/>
  <c r="AI280" i="36"/>
  <c r="L280" i="36"/>
  <c r="J289" i="19"/>
  <c r="D289" i="19"/>
  <c r="E289" i="19"/>
  <c r="H289" i="19"/>
  <c r="F289" i="19"/>
  <c r="I289" i="19"/>
  <c r="X289" i="19"/>
  <c r="AI289" i="19"/>
  <c r="AP289" i="19"/>
  <c r="L289" i="19"/>
  <c r="AM289" i="19"/>
  <c r="AN289" i="19"/>
  <c r="AJ289" i="19"/>
  <c r="AH289" i="19"/>
  <c r="Q289" i="19"/>
  <c r="AL289" i="19"/>
  <c r="AD289" i="19"/>
  <c r="M289" i="19"/>
  <c r="AF289" i="19"/>
  <c r="AC289" i="19"/>
  <c r="AO289" i="19"/>
  <c r="W289" i="19"/>
  <c r="AT289" i="19"/>
  <c r="O289" i="19"/>
  <c r="Z289" i="19"/>
  <c r="AG289" i="19"/>
  <c r="V289" i="19"/>
  <c r="Y289" i="19"/>
  <c r="T289" i="19"/>
  <c r="N289" i="19"/>
  <c r="AE289" i="19"/>
  <c r="AA289" i="19"/>
  <c r="AK289" i="19"/>
  <c r="AS289" i="19"/>
  <c r="AB289" i="19"/>
  <c r="K289" i="19"/>
  <c r="U289" i="19"/>
  <c r="AU289" i="19"/>
  <c r="AQ289" i="19"/>
  <c r="AR289" i="19"/>
  <c r="S289" i="19"/>
  <c r="R289" i="19"/>
  <c r="P289" i="19"/>
  <c r="A291" i="19"/>
  <c r="AV292" i="19"/>
  <c r="AW292" i="19" s="1"/>
  <c r="I290" i="19"/>
  <c r="H290" i="19"/>
  <c r="C290" i="19"/>
  <c r="J290" i="19"/>
  <c r="B290" i="19"/>
  <c r="G290" i="19"/>
  <c r="D290" i="19"/>
  <c r="F290" i="19"/>
  <c r="E290" i="19"/>
  <c r="AV284" i="36" l="1"/>
  <c r="AW284" i="36" s="1"/>
  <c r="A283" i="36"/>
  <c r="B282" i="36"/>
  <c r="F282" i="36" s="1"/>
  <c r="C282" i="36"/>
  <c r="AE281" i="36"/>
  <c r="AP281" i="36"/>
  <c r="S281" i="36"/>
  <c r="AN281" i="36"/>
  <c r="AK281" i="36"/>
  <c r="AR281" i="36"/>
  <c r="K281" i="36"/>
  <c r="R281" i="36"/>
  <c r="AC281" i="36"/>
  <c r="AM281" i="36"/>
  <c r="N281" i="36"/>
  <c r="L281" i="36"/>
  <c r="Q281" i="36"/>
  <c r="V281" i="36"/>
  <c r="T281" i="36"/>
  <c r="Y281" i="36"/>
  <c r="AO281" i="36"/>
  <c r="AD281" i="36"/>
  <c r="AS281" i="36"/>
  <c r="X281" i="36"/>
  <c r="AQ281" i="36"/>
  <c r="O281" i="36"/>
  <c r="AG281" i="36"/>
  <c r="AH281" i="36"/>
  <c r="AA281" i="36"/>
  <c r="AU281" i="36"/>
  <c r="Z281" i="36"/>
  <c r="AF281" i="36"/>
  <c r="AJ281" i="36"/>
  <c r="P281" i="36"/>
  <c r="M281" i="36"/>
  <c r="W281" i="36"/>
  <c r="AI281" i="36"/>
  <c r="AT281" i="36"/>
  <c r="AL281" i="36"/>
  <c r="U281" i="36"/>
  <c r="AB281" i="36"/>
  <c r="G291" i="19"/>
  <c r="H291" i="19"/>
  <c r="B291" i="19"/>
  <c r="F291" i="19"/>
  <c r="J291" i="19"/>
  <c r="I291" i="19"/>
  <c r="E291" i="19"/>
  <c r="C291" i="19"/>
  <c r="D291" i="19"/>
  <c r="AB290" i="19"/>
  <c r="Q290" i="19"/>
  <c r="W290" i="19"/>
  <c r="Y290" i="19"/>
  <c r="AJ290" i="19"/>
  <c r="X290" i="19"/>
  <c r="AU290" i="19"/>
  <c r="AF290" i="19"/>
  <c r="AN290" i="19"/>
  <c r="AD290" i="19"/>
  <c r="AL290" i="19"/>
  <c r="L290" i="19"/>
  <c r="AA290" i="19"/>
  <c r="U290" i="19"/>
  <c r="AP290" i="19"/>
  <c r="AT290" i="19"/>
  <c r="S290" i="19"/>
  <c r="T290" i="19"/>
  <c r="V290" i="19"/>
  <c r="AH290" i="19"/>
  <c r="AC290" i="19"/>
  <c r="P290" i="19"/>
  <c r="O290" i="19"/>
  <c r="AE290" i="19"/>
  <c r="AO290" i="19"/>
  <c r="AQ290" i="19"/>
  <c r="Z290" i="19"/>
  <c r="K290" i="19"/>
  <c r="AR290" i="19"/>
  <c r="AG290" i="19"/>
  <c r="M290" i="19"/>
  <c r="AM290" i="19"/>
  <c r="AS290" i="19"/>
  <c r="R290" i="19"/>
  <c r="AK290" i="19"/>
  <c r="AI290" i="19"/>
  <c r="N290" i="19"/>
  <c r="A292" i="19"/>
  <c r="AV293" i="19"/>
  <c r="AW293" i="19" s="1"/>
  <c r="J282" i="36" l="1"/>
  <c r="D282" i="36"/>
  <c r="G282" i="36"/>
  <c r="H282" i="36"/>
  <c r="E282" i="36"/>
  <c r="C283" i="36"/>
  <c r="B283" i="36"/>
  <c r="H283" i="36" s="1"/>
  <c r="I282" i="36"/>
  <c r="S282" i="36"/>
  <c r="Y282" i="36"/>
  <c r="AC282" i="36"/>
  <c r="AD282" i="36"/>
  <c r="AH282" i="36"/>
  <c r="P282" i="36"/>
  <c r="O282" i="36"/>
  <c r="Z282" i="36"/>
  <c r="AL282" i="36"/>
  <c r="AI282" i="36"/>
  <c r="M282" i="36"/>
  <c r="Q282" i="36"/>
  <c r="AE282" i="36"/>
  <c r="AN282" i="36"/>
  <c r="K282" i="36"/>
  <c r="R282" i="36"/>
  <c r="AM282" i="36"/>
  <c r="AG282" i="36"/>
  <c r="AB282" i="36"/>
  <c r="W282" i="36"/>
  <c r="AS282" i="36"/>
  <c r="AP282" i="36"/>
  <c r="AF282" i="36"/>
  <c r="L282" i="36"/>
  <c r="T282" i="36"/>
  <c r="AA282" i="36"/>
  <c r="U282" i="36"/>
  <c r="AK282" i="36"/>
  <c r="AU282" i="36"/>
  <c r="V282" i="36"/>
  <c r="AJ282" i="36"/>
  <c r="AQ282" i="36"/>
  <c r="AO282" i="36"/>
  <c r="X282" i="36"/>
  <c r="AT282" i="36"/>
  <c r="AR282" i="36"/>
  <c r="N282" i="36"/>
  <c r="AV285" i="36"/>
  <c r="AW285" i="36" s="1"/>
  <c r="A284" i="36"/>
  <c r="AP291" i="19"/>
  <c r="Z291" i="19"/>
  <c r="AB291" i="19"/>
  <c r="AH291" i="19"/>
  <c r="AQ291" i="19"/>
  <c r="AL291" i="19"/>
  <c r="M291" i="19"/>
  <c r="AF291" i="19"/>
  <c r="AD291" i="19"/>
  <c r="W291" i="19"/>
  <c r="AJ291" i="19"/>
  <c r="AT291" i="19"/>
  <c r="X291" i="19"/>
  <c r="P291" i="19"/>
  <c r="N291" i="19"/>
  <c r="Y291" i="19"/>
  <c r="AG291" i="19"/>
  <c r="V291" i="19"/>
  <c r="AM291" i="19"/>
  <c r="K291" i="19"/>
  <c r="Q291" i="19"/>
  <c r="AU291" i="19"/>
  <c r="AC291" i="19"/>
  <c r="R291" i="19"/>
  <c r="AA291" i="19"/>
  <c r="AK291" i="19"/>
  <c r="AN291" i="19"/>
  <c r="AE291" i="19"/>
  <c r="O291" i="19"/>
  <c r="U291" i="19"/>
  <c r="T291" i="19"/>
  <c r="AR291" i="19"/>
  <c r="AS291" i="19"/>
  <c r="AO291" i="19"/>
  <c r="L291" i="19"/>
  <c r="AI291" i="19"/>
  <c r="S291" i="19"/>
  <c r="A293" i="19"/>
  <c r="AV294" i="19"/>
  <c r="AW294" i="19" s="1"/>
  <c r="C292" i="19"/>
  <c r="B292" i="19"/>
  <c r="E292" i="19" s="1"/>
  <c r="I283" i="36" l="1"/>
  <c r="D283" i="36"/>
  <c r="F283" i="36"/>
  <c r="G283" i="36"/>
  <c r="J283" i="36"/>
  <c r="B284" i="36"/>
  <c r="E284" i="36" s="1"/>
  <c r="C284" i="36"/>
  <c r="E283" i="36"/>
  <c r="Y283" i="36"/>
  <c r="AC283" i="36"/>
  <c r="AG283" i="36"/>
  <c r="K283" i="36"/>
  <c r="AF283" i="36"/>
  <c r="AA283" i="36"/>
  <c r="AL283" i="36"/>
  <c r="AU283" i="36"/>
  <c r="V283" i="36"/>
  <c r="AD283" i="36"/>
  <c r="W283" i="36"/>
  <c r="AO283" i="36"/>
  <c r="AE283" i="36"/>
  <c r="AQ283" i="36"/>
  <c r="AN283" i="36"/>
  <c r="S283" i="36"/>
  <c r="AR283" i="36"/>
  <c r="T283" i="36"/>
  <c r="AS283" i="36"/>
  <c r="AJ283" i="36"/>
  <c r="P283" i="36"/>
  <c r="AH283" i="36"/>
  <c r="AM283" i="36"/>
  <c r="AI283" i="36"/>
  <c r="Z283" i="36"/>
  <c r="AK283" i="36"/>
  <c r="R283" i="36"/>
  <c r="AP283" i="36"/>
  <c r="U283" i="36"/>
  <c r="O283" i="36"/>
  <c r="Q283" i="36"/>
  <c r="M283" i="36"/>
  <c r="L283" i="36"/>
  <c r="N283" i="36"/>
  <c r="X283" i="36"/>
  <c r="AT283" i="36"/>
  <c r="AB283" i="36"/>
  <c r="AV286" i="36"/>
  <c r="AW286" i="36" s="1"/>
  <c r="A285" i="36"/>
  <c r="I292" i="19"/>
  <c r="F292" i="19"/>
  <c r="H292" i="19"/>
  <c r="D292" i="19"/>
  <c r="A294" i="19"/>
  <c r="AV295" i="19"/>
  <c r="AW295" i="19" s="1"/>
  <c r="G292" i="19"/>
  <c r="J292" i="19"/>
  <c r="B293" i="19"/>
  <c r="D293" i="19" s="1"/>
  <c r="C293" i="19"/>
  <c r="Q292" i="19"/>
  <c r="V292" i="19"/>
  <c r="W292" i="19"/>
  <c r="X292" i="19"/>
  <c r="AL292" i="19"/>
  <c r="N292" i="19"/>
  <c r="AB292" i="19"/>
  <c r="AM292" i="19"/>
  <c r="AG292" i="19"/>
  <c r="R292" i="19"/>
  <c r="AH292" i="19"/>
  <c r="AA292" i="19"/>
  <c r="Z292" i="19"/>
  <c r="AI292" i="19"/>
  <c r="AP292" i="19"/>
  <c r="L292" i="19"/>
  <c r="AN292" i="19"/>
  <c r="AC292" i="19"/>
  <c r="P292" i="19"/>
  <c r="AQ292" i="19"/>
  <c r="Y292" i="19"/>
  <c r="AD292" i="19"/>
  <c r="T292" i="19"/>
  <c r="K292" i="19"/>
  <c r="AS292" i="19"/>
  <c r="AE292" i="19"/>
  <c r="M292" i="19"/>
  <c r="S292" i="19"/>
  <c r="AR292" i="19"/>
  <c r="AT292" i="19"/>
  <c r="AO292" i="19"/>
  <c r="AJ292" i="19"/>
  <c r="AF292" i="19"/>
  <c r="AU292" i="19"/>
  <c r="AK292" i="19"/>
  <c r="U292" i="19"/>
  <c r="O292" i="19"/>
  <c r="F284" i="36" l="1"/>
  <c r="D284" i="36"/>
  <c r="I284" i="36"/>
  <c r="C285" i="36"/>
  <c r="B285" i="36"/>
  <c r="I285" i="36" s="1"/>
  <c r="G284" i="36"/>
  <c r="H284" i="36"/>
  <c r="AV287" i="36"/>
  <c r="AW287" i="36" s="1"/>
  <c r="A286" i="36"/>
  <c r="J284" i="36"/>
  <c r="T284" i="36"/>
  <c r="AL284" i="36"/>
  <c r="AR284" i="36"/>
  <c r="AJ284" i="36"/>
  <c r="V284" i="36"/>
  <c r="AE284" i="36"/>
  <c r="AN284" i="36"/>
  <c r="AG284" i="36"/>
  <c r="AS284" i="36"/>
  <c r="AB284" i="36"/>
  <c r="W284" i="36"/>
  <c r="AU284" i="36"/>
  <c r="O284" i="36"/>
  <c r="AD284" i="36"/>
  <c r="AF284" i="36"/>
  <c r="AH284" i="36"/>
  <c r="R284" i="36"/>
  <c r="AA284" i="36"/>
  <c r="AI284" i="36"/>
  <c r="N284" i="36"/>
  <c r="M284" i="36"/>
  <c r="Y284" i="36"/>
  <c r="Z284" i="36"/>
  <c r="X284" i="36"/>
  <c r="AP284" i="36"/>
  <c r="AC284" i="36"/>
  <c r="P284" i="36"/>
  <c r="AK284" i="36"/>
  <c r="AT284" i="36"/>
  <c r="U284" i="36"/>
  <c r="AM284" i="36"/>
  <c r="K284" i="36"/>
  <c r="AO284" i="36"/>
  <c r="AQ284" i="36"/>
  <c r="S284" i="36"/>
  <c r="L284" i="36"/>
  <c r="Q284" i="36"/>
  <c r="E293" i="19"/>
  <c r="J293" i="19"/>
  <c r="F293" i="19"/>
  <c r="I293" i="19"/>
  <c r="AC293" i="19"/>
  <c r="AQ293" i="19"/>
  <c r="T293" i="19"/>
  <c r="AT293" i="19"/>
  <c r="AG293" i="19"/>
  <c r="AI293" i="19"/>
  <c r="Z293" i="19"/>
  <c r="AK293" i="19"/>
  <c r="V293" i="19"/>
  <c r="AS293" i="19"/>
  <c r="M293" i="19"/>
  <c r="W293" i="19"/>
  <c r="Y293" i="19"/>
  <c r="AF293" i="19"/>
  <c r="AP293" i="19"/>
  <c r="AN293" i="19"/>
  <c r="AB293" i="19"/>
  <c r="AE293" i="19"/>
  <c r="Q293" i="19"/>
  <c r="U293" i="19"/>
  <c r="AO293" i="19"/>
  <c r="S293" i="19"/>
  <c r="AH293" i="19"/>
  <c r="AA293" i="19"/>
  <c r="P293" i="19"/>
  <c r="AR293" i="19"/>
  <c r="K293" i="19"/>
  <c r="L293" i="19"/>
  <c r="AM293" i="19"/>
  <c r="AD293" i="19"/>
  <c r="AJ293" i="19"/>
  <c r="R293" i="19"/>
  <c r="N293" i="19"/>
  <c r="AU293" i="19"/>
  <c r="O293" i="19"/>
  <c r="AL293" i="19"/>
  <c r="X293" i="19"/>
  <c r="AV296" i="19"/>
  <c r="AW296" i="19" s="1"/>
  <c r="A295" i="19"/>
  <c r="G293" i="19"/>
  <c r="H293" i="19"/>
  <c r="B294" i="19"/>
  <c r="E294" i="19" s="1"/>
  <c r="C294" i="19"/>
  <c r="E285" i="36" l="1"/>
  <c r="J285" i="36"/>
  <c r="G285" i="36"/>
  <c r="F285" i="36"/>
  <c r="H285" i="36"/>
  <c r="B286" i="36"/>
  <c r="H286" i="36" s="1"/>
  <c r="C286" i="36"/>
  <c r="D285" i="36"/>
  <c r="AK285" i="36"/>
  <c r="AO285" i="36"/>
  <c r="AG285" i="36"/>
  <c r="AE285" i="36"/>
  <c r="AJ285" i="36"/>
  <c r="V285" i="36"/>
  <c r="AT285" i="36"/>
  <c r="P285" i="36"/>
  <c r="L285" i="36"/>
  <c r="K285" i="36"/>
  <c r="AL285" i="36"/>
  <c r="O285" i="36"/>
  <c r="Y285" i="36"/>
  <c r="Q285" i="36"/>
  <c r="AP285" i="36"/>
  <c r="AU285" i="36"/>
  <c r="AH285" i="36"/>
  <c r="Z285" i="36"/>
  <c r="W285" i="36"/>
  <c r="AS285" i="36"/>
  <c r="N285" i="36"/>
  <c r="S285" i="36"/>
  <c r="T285" i="36"/>
  <c r="AM285" i="36"/>
  <c r="AN285" i="36"/>
  <c r="AI285" i="36"/>
  <c r="AA285" i="36"/>
  <c r="AQ285" i="36"/>
  <c r="AB285" i="36"/>
  <c r="U285" i="36"/>
  <c r="AC285" i="36"/>
  <c r="M285" i="36"/>
  <c r="R285" i="36"/>
  <c r="X285" i="36"/>
  <c r="AF285" i="36"/>
  <c r="AD285" i="36"/>
  <c r="AR285" i="36"/>
  <c r="AV288" i="36"/>
  <c r="AW288" i="36" s="1"/>
  <c r="A287" i="36"/>
  <c r="D294" i="19"/>
  <c r="G294" i="19"/>
  <c r="M294" i="19"/>
  <c r="AB294" i="19"/>
  <c r="Y294" i="19"/>
  <c r="AD294" i="19"/>
  <c r="AA294" i="19"/>
  <c r="AP294" i="19"/>
  <c r="V294" i="19"/>
  <c r="AC294" i="19"/>
  <c r="AO294" i="19"/>
  <c r="N294" i="19"/>
  <c r="U294" i="19"/>
  <c r="AF294" i="19"/>
  <c r="AS294" i="19"/>
  <c r="AT294" i="19"/>
  <c r="T294" i="19"/>
  <c r="L294" i="19"/>
  <c r="AN294" i="19"/>
  <c r="X294" i="19"/>
  <c r="Q294" i="19"/>
  <c r="AG294" i="19"/>
  <c r="AK294" i="19"/>
  <c r="AM294" i="19"/>
  <c r="AL294" i="19"/>
  <c r="AR294" i="19"/>
  <c r="P294" i="19"/>
  <c r="Z294" i="19"/>
  <c r="AI294" i="19"/>
  <c r="AU294" i="19"/>
  <c r="AE294" i="19"/>
  <c r="AJ294" i="19"/>
  <c r="K294" i="19"/>
  <c r="S294" i="19"/>
  <c r="AH294" i="19"/>
  <c r="AQ294" i="19"/>
  <c r="R294" i="19"/>
  <c r="O294" i="19"/>
  <c r="W294" i="19"/>
  <c r="I294" i="19"/>
  <c r="B295" i="19"/>
  <c r="I295" i="19" s="1"/>
  <c r="C295" i="19"/>
  <c r="H294" i="19"/>
  <c r="A296" i="19"/>
  <c r="AV297" i="19"/>
  <c r="AW297" i="19" s="1"/>
  <c r="J294" i="19"/>
  <c r="F294" i="19"/>
  <c r="I286" i="36" l="1"/>
  <c r="F286" i="36"/>
  <c r="J286" i="36"/>
  <c r="D286" i="36"/>
  <c r="A288" i="36"/>
  <c r="AV289" i="36"/>
  <c r="AW289" i="36" s="1"/>
  <c r="E286" i="36"/>
  <c r="G286" i="36"/>
  <c r="B287" i="36"/>
  <c r="D287" i="36" s="1"/>
  <c r="C287" i="36"/>
  <c r="R286" i="36"/>
  <c r="AH286" i="36"/>
  <c r="M286" i="36"/>
  <c r="AM286" i="36"/>
  <c r="Y286" i="36"/>
  <c r="P286" i="36"/>
  <c r="L286" i="36"/>
  <c r="Z286" i="36"/>
  <c r="AO286" i="36"/>
  <c r="X286" i="36"/>
  <c r="AA286" i="36"/>
  <c r="AL286" i="36"/>
  <c r="W286" i="36"/>
  <c r="K286" i="36"/>
  <c r="AP286" i="36"/>
  <c r="AR286" i="36"/>
  <c r="T286" i="36"/>
  <c r="AC286" i="36"/>
  <c r="AF286" i="36"/>
  <c r="AB286" i="36"/>
  <c r="Q286" i="36"/>
  <c r="AI286" i="36"/>
  <c r="AE286" i="36"/>
  <c r="AU286" i="36"/>
  <c r="AS286" i="36"/>
  <c r="AQ286" i="36"/>
  <c r="N286" i="36"/>
  <c r="AD286" i="36"/>
  <c r="AT286" i="36"/>
  <c r="O286" i="36"/>
  <c r="AJ286" i="36"/>
  <c r="U286" i="36"/>
  <c r="AG286" i="36"/>
  <c r="V286" i="36"/>
  <c r="AN286" i="36"/>
  <c r="S286" i="36"/>
  <c r="AK286" i="36"/>
  <c r="G295" i="19"/>
  <c r="E295" i="19"/>
  <c r="H295" i="19"/>
  <c r="J295" i="19"/>
  <c r="D295" i="19"/>
  <c r="F295" i="19"/>
  <c r="N295" i="19"/>
  <c r="AD295" i="19"/>
  <c r="X295" i="19"/>
  <c r="AG295" i="19"/>
  <c r="AT295" i="19"/>
  <c r="P295" i="19"/>
  <c r="T295" i="19"/>
  <c r="AP295" i="19"/>
  <c r="Y295" i="19"/>
  <c r="AL295" i="19"/>
  <c r="M295" i="19"/>
  <c r="AA295" i="19"/>
  <c r="Z295" i="19"/>
  <c r="AU295" i="19"/>
  <c r="AE295" i="19"/>
  <c r="U295" i="19"/>
  <c r="R295" i="19"/>
  <c r="AS295" i="19"/>
  <c r="Q295" i="19"/>
  <c r="AC295" i="19"/>
  <c r="AB295" i="19"/>
  <c r="O295" i="19"/>
  <c r="AM295" i="19"/>
  <c r="AI295" i="19"/>
  <c r="W295" i="19"/>
  <c r="AQ295" i="19"/>
  <c r="AJ295" i="19"/>
  <c r="AK295" i="19"/>
  <c r="V295" i="19"/>
  <c r="AF295" i="19"/>
  <c r="AH295" i="19"/>
  <c r="AN295" i="19"/>
  <c r="AR295" i="19"/>
  <c r="K295" i="19"/>
  <c r="S295" i="19"/>
  <c r="AO295" i="19"/>
  <c r="L295" i="19"/>
  <c r="A297" i="19"/>
  <c r="AV298" i="19"/>
  <c r="AW298" i="19" s="1"/>
  <c r="B296" i="19"/>
  <c r="J296" i="19" s="1"/>
  <c r="C296" i="19"/>
  <c r="H287" i="36" l="1"/>
  <c r="I287" i="36"/>
  <c r="J287" i="36"/>
  <c r="F287" i="36"/>
  <c r="E287" i="36"/>
  <c r="AV290" i="36"/>
  <c r="AW290" i="36" s="1"/>
  <c r="A289" i="36"/>
  <c r="G287" i="36"/>
  <c r="AA287" i="36"/>
  <c r="AQ287" i="36"/>
  <c r="Q287" i="36"/>
  <c r="AB287" i="36"/>
  <c r="AH287" i="36"/>
  <c r="AD287" i="36"/>
  <c r="K287" i="36"/>
  <c r="R287" i="36"/>
  <c r="AJ287" i="36"/>
  <c r="S287" i="36"/>
  <c r="AN287" i="36"/>
  <c r="M287" i="36"/>
  <c r="AF287" i="36"/>
  <c r="P287" i="36"/>
  <c r="AR287" i="36"/>
  <c r="AG287" i="36"/>
  <c r="AS287" i="36"/>
  <c r="AC287" i="36"/>
  <c r="L287" i="36"/>
  <c r="AI287" i="36"/>
  <c r="AK287" i="36"/>
  <c r="Z287" i="36"/>
  <c r="AE287" i="36"/>
  <c r="AL287" i="36"/>
  <c r="N287" i="36"/>
  <c r="AP287" i="36"/>
  <c r="AT287" i="36"/>
  <c r="Y287" i="36"/>
  <c r="AU287" i="36"/>
  <c r="O287" i="36"/>
  <c r="W287" i="36"/>
  <c r="U287" i="36"/>
  <c r="X287" i="36"/>
  <c r="V287" i="36"/>
  <c r="T287" i="36"/>
  <c r="AO287" i="36"/>
  <c r="AM287" i="36"/>
  <c r="B288" i="36"/>
  <c r="H288" i="36"/>
  <c r="I288" i="36"/>
  <c r="E288" i="36"/>
  <c r="D288" i="36"/>
  <c r="C288" i="36"/>
  <c r="F288" i="36"/>
  <c r="J288" i="36"/>
  <c r="G288" i="36"/>
  <c r="D296" i="19"/>
  <c r="I296" i="19"/>
  <c r="AJ296" i="19"/>
  <c r="S296" i="19"/>
  <c r="AQ296" i="19"/>
  <c r="O296" i="19"/>
  <c r="AG296" i="19"/>
  <c r="P296" i="19"/>
  <c r="M296" i="19"/>
  <c r="AK296" i="19"/>
  <c r="AT296" i="19"/>
  <c r="X296" i="19"/>
  <c r="AN296" i="19"/>
  <c r="AE296" i="19"/>
  <c r="AA296" i="19"/>
  <c r="R296" i="19"/>
  <c r="K296" i="19"/>
  <c r="Z296" i="19"/>
  <c r="U296" i="19"/>
  <c r="N296" i="19"/>
  <c r="AU296" i="19"/>
  <c r="AB296" i="19"/>
  <c r="V296" i="19"/>
  <c r="W296" i="19"/>
  <c r="AI296" i="19"/>
  <c r="AS296" i="19"/>
  <c r="Y296" i="19"/>
  <c r="AC296" i="19"/>
  <c r="Q296" i="19"/>
  <c r="T296" i="19"/>
  <c r="AL296" i="19"/>
  <c r="L296" i="19"/>
  <c r="AR296" i="19"/>
  <c r="AF296" i="19"/>
  <c r="AP296" i="19"/>
  <c r="AM296" i="19"/>
  <c r="AO296" i="19"/>
  <c r="AH296" i="19"/>
  <c r="AD296" i="19"/>
  <c r="B297" i="19"/>
  <c r="H297" i="19" s="1"/>
  <c r="C297" i="19"/>
  <c r="G296" i="19"/>
  <c r="AV299" i="19"/>
  <c r="AW299" i="19" s="1"/>
  <c r="A298" i="19"/>
  <c r="F296" i="19"/>
  <c r="E296" i="19"/>
  <c r="H296" i="19"/>
  <c r="H289" i="36" l="1"/>
  <c r="D289" i="36"/>
  <c r="J289" i="36"/>
  <c r="E289" i="36"/>
  <c r="B289" i="36"/>
  <c r="G289" i="36"/>
  <c r="C289" i="36"/>
  <c r="F289" i="36"/>
  <c r="I289" i="36"/>
  <c r="T288" i="36"/>
  <c r="AJ288" i="36"/>
  <c r="R288" i="36"/>
  <c r="M288" i="36"/>
  <c r="AG288" i="36"/>
  <c r="N288" i="36"/>
  <c r="Z288" i="36"/>
  <c r="AE288" i="36"/>
  <c r="AN288" i="36"/>
  <c r="X288" i="36"/>
  <c r="AC288" i="36"/>
  <c r="Q288" i="36"/>
  <c r="AB288" i="36"/>
  <c r="S288" i="36"/>
  <c r="AP288" i="36"/>
  <c r="O288" i="36"/>
  <c r="AQ288" i="36"/>
  <c r="K288" i="36"/>
  <c r="AM288" i="36"/>
  <c r="U288" i="36"/>
  <c r="AL288" i="36"/>
  <c r="AA288" i="36"/>
  <c r="AO288" i="36"/>
  <c r="AD288" i="36"/>
  <c r="AF288" i="36"/>
  <c r="W288" i="36"/>
  <c r="AS288" i="36"/>
  <c r="AI288" i="36"/>
  <c r="AU288" i="36"/>
  <c r="L288" i="36"/>
  <c r="P288" i="36"/>
  <c r="V288" i="36"/>
  <c r="AH288" i="36"/>
  <c r="Y288" i="36"/>
  <c r="AR288" i="36"/>
  <c r="AK288" i="36"/>
  <c r="AT288" i="36"/>
  <c r="AV291" i="36"/>
  <c r="AW291" i="36" s="1"/>
  <c r="A290" i="36"/>
  <c r="G297" i="19"/>
  <c r="J297" i="19"/>
  <c r="F297" i="19"/>
  <c r="I297" i="19"/>
  <c r="E297" i="19"/>
  <c r="D297" i="19"/>
  <c r="AO297" i="19"/>
  <c r="AD297" i="19"/>
  <c r="AB297" i="19"/>
  <c r="AJ297" i="19"/>
  <c r="AE297" i="19"/>
  <c r="L297" i="19"/>
  <c r="AR297" i="19"/>
  <c r="AL297" i="19"/>
  <c r="O297" i="19"/>
  <c r="AH297" i="19"/>
  <c r="AQ297" i="19"/>
  <c r="AF297" i="19"/>
  <c r="U297" i="19"/>
  <c r="AT297" i="19"/>
  <c r="V297" i="19"/>
  <c r="Z297" i="19"/>
  <c r="X297" i="19"/>
  <c r="R297" i="19"/>
  <c r="T297" i="19"/>
  <c r="AN297" i="19"/>
  <c r="K297" i="19"/>
  <c r="AM297" i="19"/>
  <c r="W297" i="19"/>
  <c r="AA297" i="19"/>
  <c r="AP297" i="19"/>
  <c r="AS297" i="19"/>
  <c r="Y297" i="19"/>
  <c r="M297" i="19"/>
  <c r="Q297" i="19"/>
  <c r="AK297" i="19"/>
  <c r="N297" i="19"/>
  <c r="AU297" i="19"/>
  <c r="AI297" i="19"/>
  <c r="S297" i="19"/>
  <c r="AC297" i="19"/>
  <c r="AG297" i="19"/>
  <c r="P297" i="19"/>
  <c r="AV300" i="19"/>
  <c r="AW300" i="19" s="1"/>
  <c r="A299" i="19"/>
  <c r="G298" i="19"/>
  <c r="C298" i="19"/>
  <c r="E298" i="19"/>
  <c r="I298" i="19"/>
  <c r="D298" i="19"/>
  <c r="J298" i="19"/>
  <c r="F298" i="19"/>
  <c r="B298" i="19"/>
  <c r="H298" i="19"/>
  <c r="C290" i="36" l="1"/>
  <c r="B290" i="36"/>
  <c r="F290" i="36" s="1"/>
  <c r="AV292" i="36"/>
  <c r="AW292" i="36" s="1"/>
  <c r="A291" i="36"/>
  <c r="AT289" i="36"/>
  <c r="Q289" i="36"/>
  <c r="M289" i="36"/>
  <c r="AK289" i="36"/>
  <c r="AL289" i="36"/>
  <c r="AB289" i="36"/>
  <c r="R289" i="36"/>
  <c r="AP289" i="36"/>
  <c r="L289" i="36"/>
  <c r="N289" i="36"/>
  <c r="S289" i="36"/>
  <c r="AA289" i="36"/>
  <c r="T289" i="36"/>
  <c r="AC289" i="36"/>
  <c r="AH289" i="36"/>
  <c r="AQ289" i="36"/>
  <c r="AI289" i="36"/>
  <c r="K289" i="36"/>
  <c r="AO289" i="36"/>
  <c r="AF289" i="36"/>
  <c r="AM289" i="36"/>
  <c r="V289" i="36"/>
  <c r="X289" i="36"/>
  <c r="AE289" i="36"/>
  <c r="AG289" i="36"/>
  <c r="U289" i="36"/>
  <c r="Z289" i="36"/>
  <c r="AR289" i="36"/>
  <c r="AN289" i="36"/>
  <c r="AS289" i="36"/>
  <c r="W289" i="36"/>
  <c r="AD289" i="36"/>
  <c r="O289" i="36"/>
  <c r="P289" i="36"/>
  <c r="Y289" i="36"/>
  <c r="AJ289" i="36"/>
  <c r="AU289" i="36"/>
  <c r="AH298" i="19"/>
  <c r="AK298" i="19"/>
  <c r="AR298" i="19"/>
  <c r="M298" i="19"/>
  <c r="AF298" i="19"/>
  <c r="W298" i="19"/>
  <c r="AO298" i="19"/>
  <c r="AE298" i="19"/>
  <c r="AC298" i="19"/>
  <c r="AM298" i="19"/>
  <c r="U298" i="19"/>
  <c r="Z298" i="19"/>
  <c r="N298" i="19"/>
  <c r="AN298" i="19"/>
  <c r="AS298" i="19"/>
  <c r="R298" i="19"/>
  <c r="Q298" i="19"/>
  <c r="K298" i="19"/>
  <c r="L298" i="19"/>
  <c r="AG298" i="19"/>
  <c r="V298" i="19"/>
  <c r="AL298" i="19"/>
  <c r="AA298" i="19"/>
  <c r="S298" i="19"/>
  <c r="X298" i="19"/>
  <c r="AI298" i="19"/>
  <c r="AD298" i="19"/>
  <c r="AP298" i="19"/>
  <c r="T298" i="19"/>
  <c r="AT298" i="19"/>
  <c r="Y298" i="19"/>
  <c r="AQ298" i="19"/>
  <c r="P298" i="19"/>
  <c r="AJ298" i="19"/>
  <c r="AB298" i="19"/>
  <c r="O298" i="19"/>
  <c r="AU298" i="19"/>
  <c r="E299" i="19"/>
  <c r="D299" i="19"/>
  <c r="B299" i="19"/>
  <c r="G299" i="19"/>
  <c r="H299" i="19"/>
  <c r="I299" i="19"/>
  <c r="C299" i="19"/>
  <c r="F299" i="19"/>
  <c r="J299" i="19"/>
  <c r="A300" i="19"/>
  <c r="AV301" i="19"/>
  <c r="AW301" i="19" s="1"/>
  <c r="D290" i="36" l="1"/>
  <c r="G290" i="36"/>
  <c r="H290" i="36"/>
  <c r="J290" i="36"/>
  <c r="I290" i="36"/>
  <c r="E290" i="36"/>
  <c r="A292" i="36"/>
  <c r="AV293" i="36"/>
  <c r="AW293" i="36" s="1"/>
  <c r="AJ290" i="36"/>
  <c r="AE290" i="36"/>
  <c r="AU290" i="36"/>
  <c r="AC290" i="36"/>
  <c r="R290" i="36"/>
  <c r="P290" i="36"/>
  <c r="K290" i="36"/>
  <c r="Q290" i="36"/>
  <c r="AQ290" i="36"/>
  <c r="AG290" i="36"/>
  <c r="AS290" i="36"/>
  <c r="AL290" i="36"/>
  <c r="L290" i="36"/>
  <c r="AK290" i="36"/>
  <c r="O290" i="36"/>
  <c r="AI290" i="36"/>
  <c r="M290" i="36"/>
  <c r="S290" i="36"/>
  <c r="AT290" i="36"/>
  <c r="AA290" i="36"/>
  <c r="AD290" i="36"/>
  <c r="Y290" i="36"/>
  <c r="AB290" i="36"/>
  <c r="W290" i="36"/>
  <c r="T290" i="36"/>
  <c r="X290" i="36"/>
  <c r="N290" i="36"/>
  <c r="AH290" i="36"/>
  <c r="Z290" i="36"/>
  <c r="AN290" i="36"/>
  <c r="AP290" i="36"/>
  <c r="AF290" i="36"/>
  <c r="U290" i="36"/>
  <c r="AO290" i="36"/>
  <c r="V290" i="36"/>
  <c r="AM290" i="36"/>
  <c r="AR290" i="36"/>
  <c r="C291" i="36"/>
  <c r="B291" i="36"/>
  <c r="G291" i="36" s="1"/>
  <c r="A301" i="19"/>
  <c r="AV302" i="19"/>
  <c r="AW302" i="19" s="1"/>
  <c r="AH299" i="19"/>
  <c r="AR299" i="19"/>
  <c r="AS299" i="19"/>
  <c r="AE299" i="19"/>
  <c r="AG299" i="19"/>
  <c r="L299" i="19"/>
  <c r="AA299" i="19"/>
  <c r="R299" i="19"/>
  <c r="T299" i="19"/>
  <c r="Y299" i="19"/>
  <c r="AQ299" i="19"/>
  <c r="AC299" i="19"/>
  <c r="AF299" i="19"/>
  <c r="AM299" i="19"/>
  <c r="P299" i="19"/>
  <c r="AT299" i="19"/>
  <c r="Z299" i="19"/>
  <c r="AO299" i="19"/>
  <c r="AD299" i="19"/>
  <c r="AJ299" i="19"/>
  <c r="AP299" i="19"/>
  <c r="AU299" i="19"/>
  <c r="M299" i="19"/>
  <c r="K299" i="19"/>
  <c r="AL299" i="19"/>
  <c r="AI299" i="19"/>
  <c r="N299" i="19"/>
  <c r="AB299" i="19"/>
  <c r="X299" i="19"/>
  <c r="S299" i="19"/>
  <c r="AN299" i="19"/>
  <c r="W299" i="19"/>
  <c r="Q299" i="19"/>
  <c r="V299" i="19"/>
  <c r="O299" i="19"/>
  <c r="U299" i="19"/>
  <c r="AK299" i="19"/>
  <c r="B300" i="19"/>
  <c r="D300" i="19" s="1"/>
  <c r="C300" i="19"/>
  <c r="I291" i="36" l="1"/>
  <c r="E291" i="36"/>
  <c r="H291" i="36"/>
  <c r="J291" i="36"/>
  <c r="D291" i="36"/>
  <c r="F291" i="36"/>
  <c r="AV294" i="36"/>
  <c r="AW294" i="36" s="1"/>
  <c r="A293" i="36"/>
  <c r="Q291" i="36"/>
  <c r="AE291" i="36"/>
  <c r="Z291" i="36"/>
  <c r="AT291" i="36"/>
  <c r="K291" i="36"/>
  <c r="AD291" i="36"/>
  <c r="AB291" i="36"/>
  <c r="AH291" i="36"/>
  <c r="U291" i="36"/>
  <c r="AI291" i="36"/>
  <c r="AQ291" i="36"/>
  <c r="O291" i="36"/>
  <c r="AJ291" i="36"/>
  <c r="AK291" i="36"/>
  <c r="AS291" i="36"/>
  <c r="P291" i="36"/>
  <c r="T291" i="36"/>
  <c r="L291" i="36"/>
  <c r="Y291" i="36"/>
  <c r="N291" i="36"/>
  <c r="AL291" i="36"/>
  <c r="AF291" i="36"/>
  <c r="AA291" i="36"/>
  <c r="AN291" i="36"/>
  <c r="R291" i="36"/>
  <c r="AU291" i="36"/>
  <c r="W291" i="36"/>
  <c r="AG291" i="36"/>
  <c r="S291" i="36"/>
  <c r="AO291" i="36"/>
  <c r="AC291" i="36"/>
  <c r="M291" i="36"/>
  <c r="X291" i="36"/>
  <c r="V291" i="36"/>
  <c r="AM291" i="36"/>
  <c r="AR291" i="36"/>
  <c r="AP291" i="36"/>
  <c r="G292" i="36"/>
  <c r="J292" i="36"/>
  <c r="E292" i="36"/>
  <c r="F292" i="36"/>
  <c r="I292" i="36"/>
  <c r="D292" i="36"/>
  <c r="C292" i="36"/>
  <c r="B292" i="36"/>
  <c r="H292" i="36"/>
  <c r="J300" i="19"/>
  <c r="I300" i="19"/>
  <c r="F300" i="19"/>
  <c r="E300" i="19"/>
  <c r="G300" i="19"/>
  <c r="H300" i="19"/>
  <c r="AT300" i="19"/>
  <c r="AF300" i="19"/>
  <c r="Z300" i="19"/>
  <c r="AA300" i="19"/>
  <c r="X300" i="19"/>
  <c r="AM300" i="19"/>
  <c r="P300" i="19"/>
  <c r="R300" i="19"/>
  <c r="AC300" i="19"/>
  <c r="T300" i="19"/>
  <c r="N300" i="19"/>
  <c r="AP300" i="19"/>
  <c r="AG300" i="19"/>
  <c r="AH300" i="19"/>
  <c r="K300" i="19"/>
  <c r="U300" i="19"/>
  <c r="AB300" i="19"/>
  <c r="AD300" i="19"/>
  <c r="AE300" i="19"/>
  <c r="Y300" i="19"/>
  <c r="AJ300" i="19"/>
  <c r="S300" i="19"/>
  <c r="AR300" i="19"/>
  <c r="O300" i="19"/>
  <c r="AL300" i="19"/>
  <c r="AK300" i="19"/>
  <c r="AO300" i="19"/>
  <c r="AS300" i="19"/>
  <c r="AQ300" i="19"/>
  <c r="V300" i="19"/>
  <c r="Q300" i="19"/>
  <c r="L300" i="19"/>
  <c r="AU300" i="19"/>
  <c r="AN300" i="19"/>
  <c r="AI300" i="19"/>
  <c r="M300" i="19"/>
  <c r="W300" i="19"/>
  <c r="A302" i="19"/>
  <c r="AV303" i="19"/>
  <c r="AW303" i="19" s="1"/>
  <c r="B301" i="19"/>
  <c r="E301" i="19" s="1"/>
  <c r="C301" i="19"/>
  <c r="AR292" i="36" l="1"/>
  <c r="AU292" i="36"/>
  <c r="P292" i="36"/>
  <c r="T292" i="36"/>
  <c r="AL292" i="36"/>
  <c r="V292" i="36"/>
  <c r="U292" i="36"/>
  <c r="AG292" i="36"/>
  <c r="AO292" i="36"/>
  <c r="M292" i="36"/>
  <c r="Y292" i="36"/>
  <c r="Z292" i="36"/>
  <c r="AJ292" i="36"/>
  <c r="AN292" i="36"/>
  <c r="AC292" i="36"/>
  <c r="AK292" i="36"/>
  <c r="AS292" i="36"/>
  <c r="AT292" i="36"/>
  <c r="AD292" i="36"/>
  <c r="X292" i="36"/>
  <c r="AB292" i="36"/>
  <c r="AE292" i="36"/>
  <c r="S292" i="36"/>
  <c r="L292" i="36"/>
  <c r="AM292" i="36"/>
  <c r="K292" i="36"/>
  <c r="Q292" i="36"/>
  <c r="O292" i="36"/>
  <c r="AH292" i="36"/>
  <c r="AP292" i="36"/>
  <c r="AF292" i="36"/>
  <c r="AI292" i="36"/>
  <c r="AQ292" i="36"/>
  <c r="W292" i="36"/>
  <c r="N292" i="36"/>
  <c r="AA292" i="36"/>
  <c r="R292" i="36"/>
  <c r="AV295" i="36"/>
  <c r="AW295" i="36" s="1"/>
  <c r="A294" i="36"/>
  <c r="F293" i="36"/>
  <c r="I293" i="36"/>
  <c r="D293" i="36"/>
  <c r="G293" i="36"/>
  <c r="J293" i="36"/>
  <c r="E293" i="36"/>
  <c r="H293" i="36"/>
  <c r="C293" i="36"/>
  <c r="B293" i="36"/>
  <c r="D301" i="19"/>
  <c r="G301" i="19"/>
  <c r="H301" i="19"/>
  <c r="AQ301" i="19"/>
  <c r="Y301" i="19"/>
  <c r="AD301" i="19"/>
  <c r="AF301" i="19"/>
  <c r="V301" i="19"/>
  <c r="AE301" i="19"/>
  <c r="AJ301" i="19"/>
  <c r="AT301" i="19"/>
  <c r="AG301" i="19"/>
  <c r="AB301" i="19"/>
  <c r="X301" i="19"/>
  <c r="AK301" i="19"/>
  <c r="N301" i="19"/>
  <c r="O301" i="19"/>
  <c r="AL301" i="19"/>
  <c r="K301" i="19"/>
  <c r="AI301" i="19"/>
  <c r="L301" i="19"/>
  <c r="AS301" i="19"/>
  <c r="T301" i="19"/>
  <c r="P301" i="19"/>
  <c r="R301" i="19"/>
  <c r="AA301" i="19"/>
  <c r="AU301" i="19"/>
  <c r="Q301" i="19"/>
  <c r="AH301" i="19"/>
  <c r="S301" i="19"/>
  <c r="AC301" i="19"/>
  <c r="U301" i="19"/>
  <c r="AP301" i="19"/>
  <c r="M301" i="19"/>
  <c r="AO301" i="19"/>
  <c r="W301" i="19"/>
  <c r="AR301" i="19"/>
  <c r="Z301" i="19"/>
  <c r="AM301" i="19"/>
  <c r="AN301" i="19"/>
  <c r="H302" i="19"/>
  <c r="G302" i="19"/>
  <c r="B302" i="19"/>
  <c r="I302" i="19"/>
  <c r="C302" i="19"/>
  <c r="F302" i="19"/>
  <c r="J302" i="19"/>
  <c r="E302" i="19"/>
  <c r="D302" i="19"/>
  <c r="F301" i="19"/>
  <c r="J301" i="19"/>
  <c r="AV304" i="19"/>
  <c r="AW304" i="19" s="1"/>
  <c r="A303" i="19"/>
  <c r="I301" i="19"/>
  <c r="AI293" i="36" l="1"/>
  <c r="P293" i="36"/>
  <c r="U293" i="36"/>
  <c r="S293" i="36"/>
  <c r="AU293" i="36"/>
  <c r="AO293" i="36"/>
  <c r="AK293" i="36"/>
  <c r="X293" i="36"/>
  <c r="N293" i="36"/>
  <c r="AA293" i="36"/>
  <c r="AB293" i="36"/>
  <c r="AR293" i="36"/>
  <c r="AS293" i="36"/>
  <c r="AD293" i="36"/>
  <c r="K293" i="36"/>
  <c r="T293" i="36"/>
  <c r="AP293" i="36"/>
  <c r="R293" i="36"/>
  <c r="Y293" i="36"/>
  <c r="AG293" i="36"/>
  <c r="AM293" i="36"/>
  <c r="AF293" i="36"/>
  <c r="W293" i="36"/>
  <c r="V293" i="36"/>
  <c r="Q293" i="36"/>
  <c r="Z293" i="36"/>
  <c r="AH293" i="36"/>
  <c r="AQ293" i="36"/>
  <c r="AJ293" i="36"/>
  <c r="AT293" i="36"/>
  <c r="L293" i="36"/>
  <c r="AC293" i="36"/>
  <c r="M293" i="36"/>
  <c r="AN293" i="36"/>
  <c r="AE293" i="36"/>
  <c r="AL293" i="36"/>
  <c r="O293" i="36"/>
  <c r="AV296" i="36"/>
  <c r="AW296" i="36" s="1"/>
  <c r="A295" i="36"/>
  <c r="B294" i="36"/>
  <c r="E294" i="36" s="1"/>
  <c r="C294" i="36"/>
  <c r="AO302" i="19"/>
  <c r="O302" i="19"/>
  <c r="AF302" i="19"/>
  <c r="AI302" i="19"/>
  <c r="K302" i="19"/>
  <c r="AJ302" i="19"/>
  <c r="M302" i="19"/>
  <c r="Y302" i="19"/>
  <c r="AM302" i="19"/>
  <c r="AP302" i="19"/>
  <c r="AS302" i="19"/>
  <c r="AC302" i="19"/>
  <c r="AR302" i="19"/>
  <c r="AL302" i="19"/>
  <c r="AD302" i="19"/>
  <c r="AU302" i="19"/>
  <c r="U302" i="19"/>
  <c r="AK302" i="19"/>
  <c r="R302" i="19"/>
  <c r="T302" i="19"/>
  <c r="AA302" i="19"/>
  <c r="AB302" i="19"/>
  <c r="AH302" i="19"/>
  <c r="AQ302" i="19"/>
  <c r="X302" i="19"/>
  <c r="Q302" i="19"/>
  <c r="N302" i="19"/>
  <c r="V302" i="19"/>
  <c r="AG302" i="19"/>
  <c r="S302" i="19"/>
  <c r="L302" i="19"/>
  <c r="Z302" i="19"/>
  <c r="AT302" i="19"/>
  <c r="P302" i="19"/>
  <c r="AN302" i="19"/>
  <c r="AE302" i="19"/>
  <c r="W302" i="19"/>
  <c r="H303" i="19"/>
  <c r="D303" i="19"/>
  <c r="E303" i="19"/>
  <c r="F303" i="19"/>
  <c r="G303" i="19"/>
  <c r="C303" i="19"/>
  <c r="I303" i="19"/>
  <c r="J303" i="19"/>
  <c r="B303" i="19"/>
  <c r="A304" i="19"/>
  <c r="AV305" i="19"/>
  <c r="AW305" i="19" s="1"/>
  <c r="G294" i="36" l="1"/>
  <c r="D294" i="36"/>
  <c r="H294" i="36"/>
  <c r="J294" i="36"/>
  <c r="F294" i="36"/>
  <c r="I294" i="36"/>
  <c r="S294" i="36"/>
  <c r="K294" i="36"/>
  <c r="AJ294" i="36"/>
  <c r="AA294" i="36"/>
  <c r="T294" i="36"/>
  <c r="AG294" i="36"/>
  <c r="AL294" i="36"/>
  <c r="Z294" i="36"/>
  <c r="V294" i="36"/>
  <c r="AR294" i="36"/>
  <c r="AT294" i="36"/>
  <c r="AQ294" i="36"/>
  <c r="AK294" i="36"/>
  <c r="AD294" i="36"/>
  <c r="AH294" i="36"/>
  <c r="AN294" i="36"/>
  <c r="AU294" i="36"/>
  <c r="W294" i="36"/>
  <c r="AE294" i="36"/>
  <c r="AS294" i="36"/>
  <c r="O294" i="36"/>
  <c r="Q294" i="36"/>
  <c r="AP294" i="36"/>
  <c r="M294" i="36"/>
  <c r="U294" i="36"/>
  <c r="AB294" i="36"/>
  <c r="N294" i="36"/>
  <c r="X294" i="36"/>
  <c r="AI294" i="36"/>
  <c r="L294" i="36"/>
  <c r="AC294" i="36"/>
  <c r="AO294" i="36"/>
  <c r="Y294" i="36"/>
  <c r="AF294" i="36"/>
  <c r="AM294" i="36"/>
  <c r="P294" i="36"/>
  <c r="R294" i="36"/>
  <c r="AV297" i="36"/>
  <c r="AW297" i="36" s="1"/>
  <c r="A296" i="36"/>
  <c r="C295" i="36"/>
  <c r="B295" i="36"/>
  <c r="D295" i="36" s="1"/>
  <c r="A305" i="19"/>
  <c r="AV306" i="19"/>
  <c r="AW306" i="19" s="1"/>
  <c r="O303" i="19"/>
  <c r="U303" i="19"/>
  <c r="AD303" i="19"/>
  <c r="AT303" i="19"/>
  <c r="X303" i="19"/>
  <c r="AS303" i="19"/>
  <c r="M303" i="19"/>
  <c r="AH303" i="19"/>
  <c r="AQ303" i="19"/>
  <c r="AF303" i="19"/>
  <c r="AK303" i="19"/>
  <c r="Q303" i="19"/>
  <c r="P303" i="19"/>
  <c r="AU303" i="19"/>
  <c r="W303" i="19"/>
  <c r="AC303" i="19"/>
  <c r="V303" i="19"/>
  <c r="S303" i="19"/>
  <c r="Y303" i="19"/>
  <c r="R303" i="19"/>
  <c r="AO303" i="19"/>
  <c r="AJ303" i="19"/>
  <c r="K303" i="19"/>
  <c r="AA303" i="19"/>
  <c r="N303" i="19"/>
  <c r="AR303" i="19"/>
  <c r="AL303" i="19"/>
  <c r="L303" i="19"/>
  <c r="AE303" i="19"/>
  <c r="AG303" i="19"/>
  <c r="AN303" i="19"/>
  <c r="AP303" i="19"/>
  <c r="AI303" i="19"/>
  <c r="AM303" i="19"/>
  <c r="Z303" i="19"/>
  <c r="AB303" i="19"/>
  <c r="T303" i="19"/>
  <c r="B304" i="19"/>
  <c r="F304" i="19" s="1"/>
  <c r="C304" i="19"/>
  <c r="F295" i="36" l="1"/>
  <c r="J295" i="36"/>
  <c r="E295" i="36"/>
  <c r="I295" i="36"/>
  <c r="G295" i="36"/>
  <c r="H295" i="36"/>
  <c r="Y295" i="36"/>
  <c r="Q295" i="36"/>
  <c r="AM295" i="36"/>
  <c r="N295" i="36"/>
  <c r="AU295" i="36"/>
  <c r="AJ295" i="36"/>
  <c r="AD295" i="36"/>
  <c r="Z295" i="36"/>
  <c r="AS295" i="36"/>
  <c r="W295" i="36"/>
  <c r="AB295" i="36"/>
  <c r="AO295" i="36"/>
  <c r="V295" i="36"/>
  <c r="AP295" i="36"/>
  <c r="AK295" i="36"/>
  <c r="AC295" i="36"/>
  <c r="AL295" i="36"/>
  <c r="AI295" i="36"/>
  <c r="AE295" i="36"/>
  <c r="S295" i="36"/>
  <c r="AQ295" i="36"/>
  <c r="T295" i="36"/>
  <c r="L295" i="36"/>
  <c r="AR295" i="36"/>
  <c r="U295" i="36"/>
  <c r="O295" i="36"/>
  <c r="P295" i="36"/>
  <c r="M295" i="36"/>
  <c r="AF295" i="36"/>
  <c r="AG295" i="36"/>
  <c r="K295" i="36"/>
  <c r="AT295" i="36"/>
  <c r="AN295" i="36"/>
  <c r="AA295" i="36"/>
  <c r="R295" i="36"/>
  <c r="X295" i="36"/>
  <c r="AH295" i="36"/>
  <c r="B296" i="36"/>
  <c r="D296" i="36" s="1"/>
  <c r="C296" i="36"/>
  <c r="AV298" i="36"/>
  <c r="AW298" i="36" s="1"/>
  <c r="A297" i="36"/>
  <c r="J304" i="19"/>
  <c r="H304" i="19"/>
  <c r="G304" i="19"/>
  <c r="E304" i="19"/>
  <c r="D304" i="19"/>
  <c r="I304" i="19"/>
  <c r="AJ304" i="19"/>
  <c r="AE304" i="19"/>
  <c r="AN304" i="19"/>
  <c r="AC304" i="19"/>
  <c r="AB304" i="19"/>
  <c r="AU304" i="19"/>
  <c r="K304" i="19"/>
  <c r="U304" i="19"/>
  <c r="AI304" i="19"/>
  <c r="AR304" i="19"/>
  <c r="T304" i="19"/>
  <c r="AK304" i="19"/>
  <c r="V304" i="19"/>
  <c r="S304" i="19"/>
  <c r="AD304" i="19"/>
  <c r="Z304" i="19"/>
  <c r="AQ304" i="19"/>
  <c r="N304" i="19"/>
  <c r="AS304" i="19"/>
  <c r="AO304" i="19"/>
  <c r="AF304" i="19"/>
  <c r="O304" i="19"/>
  <c r="AL304" i="19"/>
  <c r="AG304" i="19"/>
  <c r="L304" i="19"/>
  <c r="X304" i="19"/>
  <c r="AP304" i="19"/>
  <c r="AM304" i="19"/>
  <c r="AT304" i="19"/>
  <c r="R304" i="19"/>
  <c r="P304" i="19"/>
  <c r="M304" i="19"/>
  <c r="AA304" i="19"/>
  <c r="Y304" i="19"/>
  <c r="W304" i="19"/>
  <c r="Q304" i="19"/>
  <c r="AH304" i="19"/>
  <c r="AV307" i="19"/>
  <c r="AW307" i="19" s="1"/>
  <c r="A306" i="19"/>
  <c r="C305" i="19"/>
  <c r="B305" i="19"/>
  <c r="G305" i="19" s="1"/>
  <c r="G296" i="36" l="1"/>
  <c r="I296" i="36"/>
  <c r="E296" i="36"/>
  <c r="C297" i="36"/>
  <c r="B297" i="36"/>
  <c r="I297" i="36" s="1"/>
  <c r="J296" i="36"/>
  <c r="F296" i="36"/>
  <c r="AV299" i="36"/>
  <c r="AW299" i="36" s="1"/>
  <c r="A298" i="36"/>
  <c r="H296" i="36"/>
  <c r="AS296" i="36"/>
  <c r="AL296" i="36"/>
  <c r="AF296" i="36"/>
  <c r="R296" i="36"/>
  <c r="W296" i="36"/>
  <c r="AU296" i="36"/>
  <c r="Y296" i="36"/>
  <c r="AQ296" i="36"/>
  <c r="S296" i="36"/>
  <c r="T296" i="36"/>
  <c r="AE296" i="36"/>
  <c r="AT296" i="36"/>
  <c r="L296" i="36"/>
  <c r="AN296" i="36"/>
  <c r="X296" i="36"/>
  <c r="AP296" i="36"/>
  <c r="V296" i="36"/>
  <c r="K296" i="36"/>
  <c r="AO296" i="36"/>
  <c r="M296" i="36"/>
  <c r="AK296" i="36"/>
  <c r="AJ296" i="36"/>
  <c r="O296" i="36"/>
  <c r="AH296" i="36"/>
  <c r="AC296" i="36"/>
  <c r="AI296" i="36"/>
  <c r="AR296" i="36"/>
  <c r="U296" i="36"/>
  <c r="P296" i="36"/>
  <c r="AD296" i="36"/>
  <c r="Z296" i="36"/>
  <c r="AG296" i="36"/>
  <c r="AB296" i="36"/>
  <c r="Q296" i="36"/>
  <c r="N296" i="36"/>
  <c r="AA296" i="36"/>
  <c r="AM296" i="36"/>
  <c r="E305" i="19"/>
  <c r="F305" i="19"/>
  <c r="B306" i="19"/>
  <c r="G306" i="19" s="1"/>
  <c r="C306" i="19"/>
  <c r="D305" i="19"/>
  <c r="I305" i="19"/>
  <c r="AC305" i="19"/>
  <c r="P305" i="19"/>
  <c r="AF305" i="19"/>
  <c r="AE305" i="19"/>
  <c r="AL305" i="19"/>
  <c r="N305" i="19"/>
  <c r="AG305" i="19"/>
  <c r="AT305" i="19"/>
  <c r="AK305" i="19"/>
  <c r="AU305" i="19"/>
  <c r="AR305" i="19"/>
  <c r="AD305" i="19"/>
  <c r="AO305" i="19"/>
  <c r="T305" i="19"/>
  <c r="U305" i="19"/>
  <c r="M305" i="19"/>
  <c r="Q305" i="19"/>
  <c r="R305" i="19"/>
  <c r="W305" i="19"/>
  <c r="AQ305" i="19"/>
  <c r="AB305" i="19"/>
  <c r="AN305" i="19"/>
  <c r="K305" i="19"/>
  <c r="Y305" i="19"/>
  <c r="V305" i="19"/>
  <c r="AI305" i="19"/>
  <c r="AJ305" i="19"/>
  <c r="L305" i="19"/>
  <c r="Z305" i="19"/>
  <c r="AH305" i="19"/>
  <c r="AP305" i="19"/>
  <c r="S305" i="19"/>
  <c r="AS305" i="19"/>
  <c r="X305" i="19"/>
  <c r="O305" i="19"/>
  <c r="AA305" i="19"/>
  <c r="AM305" i="19"/>
  <c r="AV308" i="19"/>
  <c r="AW308" i="19" s="1"/>
  <c r="A307" i="19"/>
  <c r="J305" i="19"/>
  <c r="H305" i="19"/>
  <c r="D297" i="36" l="1"/>
  <c r="J297" i="36"/>
  <c r="F297" i="36"/>
  <c r="H297" i="36"/>
  <c r="G297" i="36"/>
  <c r="C298" i="36"/>
  <c r="B298" i="36"/>
  <c r="F298" i="36" s="1"/>
  <c r="E297" i="36"/>
  <c r="AF297" i="36"/>
  <c r="AK297" i="36"/>
  <c r="K297" i="36"/>
  <c r="AU297" i="36"/>
  <c r="P297" i="36"/>
  <c r="M297" i="36"/>
  <c r="U297" i="36"/>
  <c r="S297" i="36"/>
  <c r="R297" i="36"/>
  <c r="AN297" i="36"/>
  <c r="AA297" i="36"/>
  <c r="O297" i="36"/>
  <c r="AQ297" i="36"/>
  <c r="Q297" i="36"/>
  <c r="AB297" i="36"/>
  <c r="T297" i="36"/>
  <c r="W297" i="36"/>
  <c r="Y297" i="36"/>
  <c r="AG297" i="36"/>
  <c r="AS297" i="36"/>
  <c r="N297" i="36"/>
  <c r="AT297" i="36"/>
  <c r="V297" i="36"/>
  <c r="AR297" i="36"/>
  <c r="Z297" i="36"/>
  <c r="AC297" i="36"/>
  <c r="AH297" i="36"/>
  <c r="AJ297" i="36"/>
  <c r="L297" i="36"/>
  <c r="AI297" i="36"/>
  <c r="AO297" i="36"/>
  <c r="AM297" i="36"/>
  <c r="X297" i="36"/>
  <c r="AE297" i="36"/>
  <c r="AD297" i="36"/>
  <c r="AP297" i="36"/>
  <c r="AL297" i="36"/>
  <c r="AV300" i="36"/>
  <c r="AW300" i="36" s="1"/>
  <c r="A299" i="36"/>
  <c r="J306" i="19"/>
  <c r="I306" i="19"/>
  <c r="H306" i="19"/>
  <c r="D306" i="19"/>
  <c r="E306" i="19"/>
  <c r="F306" i="19"/>
  <c r="B307" i="19"/>
  <c r="F307" i="19" s="1"/>
  <c r="C307" i="19"/>
  <c r="AG306" i="19"/>
  <c r="P306" i="19"/>
  <c r="K306" i="19"/>
  <c r="AL306" i="19"/>
  <c r="AM306" i="19"/>
  <c r="AU306" i="19"/>
  <c r="AF306" i="19"/>
  <c r="Y306" i="19"/>
  <c r="AE306" i="19"/>
  <c r="AB306" i="19"/>
  <c r="AJ306" i="19"/>
  <c r="V306" i="19"/>
  <c r="X306" i="19"/>
  <c r="AR306" i="19"/>
  <c r="AP306" i="19"/>
  <c r="AC306" i="19"/>
  <c r="R306" i="19"/>
  <c r="AS306" i="19"/>
  <c r="Z306" i="19"/>
  <c r="AA306" i="19"/>
  <c r="O306" i="19"/>
  <c r="AO306" i="19"/>
  <c r="W306" i="19"/>
  <c r="AK306" i="19"/>
  <c r="T306" i="19"/>
  <c r="L306" i="19"/>
  <c r="M306" i="19"/>
  <c r="AN306" i="19"/>
  <c r="AD306" i="19"/>
  <c r="AT306" i="19"/>
  <c r="AQ306" i="19"/>
  <c r="U306" i="19"/>
  <c r="Q306" i="19"/>
  <c r="AI306" i="19"/>
  <c r="N306" i="19"/>
  <c r="S306" i="19"/>
  <c r="AH306" i="19"/>
  <c r="AV309" i="19"/>
  <c r="AW309" i="19" s="1"/>
  <c r="A308" i="19"/>
  <c r="E298" i="36" l="1"/>
  <c r="D298" i="36"/>
  <c r="I298" i="36"/>
  <c r="J298" i="36"/>
  <c r="H298" i="36"/>
  <c r="G298" i="36"/>
  <c r="AV301" i="36"/>
  <c r="AW301" i="36" s="1"/>
  <c r="A300" i="36"/>
  <c r="AM298" i="36"/>
  <c r="AO298" i="36"/>
  <c r="L298" i="36"/>
  <c r="AN298" i="36"/>
  <c r="AE298" i="36"/>
  <c r="O298" i="36"/>
  <c r="Z298" i="36"/>
  <c r="AI298" i="36"/>
  <c r="AH298" i="36"/>
  <c r="AA298" i="36"/>
  <c r="Q298" i="36"/>
  <c r="AG298" i="36"/>
  <c r="AB298" i="36"/>
  <c r="AS298" i="36"/>
  <c r="R298" i="36"/>
  <c r="U298" i="36"/>
  <c r="AC298" i="36"/>
  <c r="T298" i="36"/>
  <c r="AU298" i="36"/>
  <c r="M298" i="36"/>
  <c r="AL298" i="36"/>
  <c r="AQ298" i="36"/>
  <c r="AP298" i="36"/>
  <c r="Y298" i="36"/>
  <c r="AK298" i="36"/>
  <c r="N298" i="36"/>
  <c r="W298" i="36"/>
  <c r="S298" i="36"/>
  <c r="AR298" i="36"/>
  <c r="V298" i="36"/>
  <c r="X298" i="36"/>
  <c r="AT298" i="36"/>
  <c r="AJ298" i="36"/>
  <c r="AF298" i="36"/>
  <c r="AD298" i="36"/>
  <c r="K298" i="36"/>
  <c r="P298" i="36"/>
  <c r="B299" i="36"/>
  <c r="F299" i="36" s="1"/>
  <c r="C299" i="36"/>
  <c r="J307" i="19"/>
  <c r="I307" i="19"/>
  <c r="H307" i="19"/>
  <c r="E307" i="19"/>
  <c r="D307" i="19"/>
  <c r="G307" i="19"/>
  <c r="A309" i="19"/>
  <c r="AV310" i="19"/>
  <c r="AW310" i="19" s="1"/>
  <c r="T307" i="19"/>
  <c r="K307" i="19"/>
  <c r="U307" i="19"/>
  <c r="AG307" i="19"/>
  <c r="AD307" i="19"/>
  <c r="AF307" i="19"/>
  <c r="AQ307" i="19"/>
  <c r="Z307" i="19"/>
  <c r="AN307" i="19"/>
  <c r="AO307" i="19"/>
  <c r="AJ307" i="19"/>
  <c r="O307" i="19"/>
  <c r="N307" i="19"/>
  <c r="R307" i="19"/>
  <c r="Y307" i="19"/>
  <c r="AI307" i="19"/>
  <c r="M307" i="19"/>
  <c r="AC307" i="19"/>
  <c r="AL307" i="19"/>
  <c r="AK307" i="19"/>
  <c r="AE307" i="19"/>
  <c r="AU307" i="19"/>
  <c r="AR307" i="19"/>
  <c r="AM307" i="19"/>
  <c r="AT307" i="19"/>
  <c r="AP307" i="19"/>
  <c r="AS307" i="19"/>
  <c r="X307" i="19"/>
  <c r="V307" i="19"/>
  <c r="S307" i="19"/>
  <c r="AH307" i="19"/>
  <c r="W307" i="19"/>
  <c r="AA307" i="19"/>
  <c r="L307" i="19"/>
  <c r="P307" i="19"/>
  <c r="AB307" i="19"/>
  <c r="Q307" i="19"/>
  <c r="C308" i="19"/>
  <c r="B308" i="19"/>
  <c r="F308" i="19" s="1"/>
  <c r="G299" i="36" l="1"/>
  <c r="H299" i="36"/>
  <c r="J299" i="36"/>
  <c r="E299" i="36"/>
  <c r="I299" i="36"/>
  <c r="D299" i="36"/>
  <c r="X299" i="36"/>
  <c r="AE299" i="36"/>
  <c r="AC299" i="36"/>
  <c r="AL299" i="36"/>
  <c r="AQ299" i="36"/>
  <c r="Z299" i="36"/>
  <c r="AD299" i="36"/>
  <c r="O299" i="36"/>
  <c r="AJ299" i="36"/>
  <c r="R299" i="36"/>
  <c r="AK299" i="36"/>
  <c r="AP299" i="36"/>
  <c r="S299" i="36"/>
  <c r="AR299" i="36"/>
  <c r="AS299" i="36"/>
  <c r="AF299" i="36"/>
  <c r="AN299" i="36"/>
  <c r="AG299" i="36"/>
  <c r="AT299" i="36"/>
  <c r="K299" i="36"/>
  <c r="AU299" i="36"/>
  <c r="AO299" i="36"/>
  <c r="P299" i="36"/>
  <c r="AI299" i="36"/>
  <c r="Q299" i="36"/>
  <c r="AB299" i="36"/>
  <c r="T299" i="36"/>
  <c r="U299" i="36"/>
  <c r="W299" i="36"/>
  <c r="N299" i="36"/>
  <c r="AA299" i="36"/>
  <c r="M299" i="36"/>
  <c r="L299" i="36"/>
  <c r="AH299" i="36"/>
  <c r="AM299" i="36"/>
  <c r="Y299" i="36"/>
  <c r="V299" i="36"/>
  <c r="B300" i="36"/>
  <c r="H300" i="36" s="1"/>
  <c r="C300" i="36"/>
  <c r="A301" i="36"/>
  <c r="AV302" i="36"/>
  <c r="AW302" i="36" s="1"/>
  <c r="E308" i="19"/>
  <c r="D308" i="19"/>
  <c r="H308" i="19"/>
  <c r="J308" i="19"/>
  <c r="G308" i="19"/>
  <c r="AF308" i="19"/>
  <c r="S308" i="19"/>
  <c r="AK308" i="19"/>
  <c r="K308" i="19"/>
  <c r="AS308" i="19"/>
  <c r="AE308" i="19"/>
  <c r="AR308" i="19"/>
  <c r="AT308" i="19"/>
  <c r="AI308" i="19"/>
  <c r="AP308" i="19"/>
  <c r="AQ308" i="19"/>
  <c r="AO308" i="19"/>
  <c r="Y308" i="19"/>
  <c r="AM308" i="19"/>
  <c r="P308" i="19"/>
  <c r="T308" i="19"/>
  <c r="O308" i="19"/>
  <c r="AB308" i="19"/>
  <c r="AD308" i="19"/>
  <c r="AJ308" i="19"/>
  <c r="AU308" i="19"/>
  <c r="Q308" i="19"/>
  <c r="AN308" i="19"/>
  <c r="AC308" i="19"/>
  <c r="R308" i="19"/>
  <c r="Z308" i="19"/>
  <c r="N308" i="19"/>
  <c r="X308" i="19"/>
  <c r="U308" i="19"/>
  <c r="W308" i="19"/>
  <c r="AG308" i="19"/>
  <c r="AL308" i="19"/>
  <c r="M308" i="19"/>
  <c r="AA308" i="19"/>
  <c r="V308" i="19"/>
  <c r="AH308" i="19"/>
  <c r="L308" i="19"/>
  <c r="A310" i="19"/>
  <c r="AV311" i="19"/>
  <c r="AW311" i="19" s="1"/>
  <c r="I308" i="19"/>
  <c r="B309" i="19"/>
  <c r="D309" i="19" s="1"/>
  <c r="C309" i="19"/>
  <c r="G300" i="36" l="1"/>
  <c r="I300" i="36"/>
  <c r="D300" i="36"/>
  <c r="J300" i="36"/>
  <c r="E300" i="36"/>
  <c r="H301" i="36"/>
  <c r="I301" i="36"/>
  <c r="C301" i="36"/>
  <c r="D301" i="36"/>
  <c r="F301" i="36"/>
  <c r="J301" i="36"/>
  <c r="E301" i="36"/>
  <c r="G301" i="36"/>
  <c r="B301" i="36"/>
  <c r="F300" i="36"/>
  <c r="AG300" i="36"/>
  <c r="X300" i="36"/>
  <c r="W300" i="36"/>
  <c r="AC300" i="36"/>
  <c r="AR300" i="36"/>
  <c r="AM300" i="36"/>
  <c r="R300" i="36"/>
  <c r="Y300" i="36"/>
  <c r="P300" i="36"/>
  <c r="AQ300" i="36"/>
  <c r="AD300" i="36"/>
  <c r="T300" i="36"/>
  <c r="AE300" i="36"/>
  <c r="K300" i="36"/>
  <c r="Z300" i="36"/>
  <c r="AA300" i="36"/>
  <c r="AP300" i="36"/>
  <c r="AL300" i="36"/>
  <c r="N300" i="36"/>
  <c r="AO300" i="36"/>
  <c r="AF300" i="36"/>
  <c r="V300" i="36"/>
  <c r="AH300" i="36"/>
  <c r="AT300" i="36"/>
  <c r="U300" i="36"/>
  <c r="AN300" i="36"/>
  <c r="O300" i="36"/>
  <c r="S300" i="36"/>
  <c r="AI300" i="36"/>
  <c r="Q300" i="36"/>
  <c r="L300" i="36"/>
  <c r="AK300" i="36"/>
  <c r="AS300" i="36"/>
  <c r="AU300" i="36"/>
  <c r="AJ300" i="36"/>
  <c r="M300" i="36"/>
  <c r="AB300" i="36"/>
  <c r="AV303" i="36"/>
  <c r="AW303" i="36" s="1"/>
  <c r="A302" i="36"/>
  <c r="H309" i="19"/>
  <c r="G309" i="19"/>
  <c r="I309" i="19"/>
  <c r="F309" i="19"/>
  <c r="E309" i="19"/>
  <c r="Z309" i="19"/>
  <c r="R309" i="19"/>
  <c r="X309" i="19"/>
  <c r="AH309" i="19"/>
  <c r="AJ309" i="19"/>
  <c r="AU309" i="19"/>
  <c r="AO309" i="19"/>
  <c r="AK309" i="19"/>
  <c r="W309" i="19"/>
  <c r="AF309" i="19"/>
  <c r="AB309" i="19"/>
  <c r="AC309" i="19"/>
  <c r="V309" i="19"/>
  <c r="AI309" i="19"/>
  <c r="U309" i="19"/>
  <c r="AL309" i="19"/>
  <c r="AR309" i="19"/>
  <c r="L309" i="19"/>
  <c r="M309" i="19"/>
  <c r="O309" i="19"/>
  <c r="AN309" i="19"/>
  <c r="AD309" i="19"/>
  <c r="T309" i="19"/>
  <c r="AA309" i="19"/>
  <c r="P309" i="19"/>
  <c r="S309" i="19"/>
  <c r="AQ309" i="19"/>
  <c r="AT309" i="19"/>
  <c r="Y309" i="19"/>
  <c r="AP309" i="19"/>
  <c r="N309" i="19"/>
  <c r="K309" i="19"/>
  <c r="AG309" i="19"/>
  <c r="AE309" i="19"/>
  <c r="AS309" i="19"/>
  <c r="Q309" i="19"/>
  <c r="AM309" i="19"/>
  <c r="B310" i="19"/>
  <c r="F310" i="19" s="1"/>
  <c r="C310" i="19"/>
  <c r="AV312" i="19"/>
  <c r="AW312" i="19" s="1"/>
  <c r="A311" i="19"/>
  <c r="J309" i="19"/>
  <c r="AV304" i="36" l="1"/>
  <c r="AW304" i="36" s="1"/>
  <c r="A303" i="36"/>
  <c r="H302" i="36"/>
  <c r="B302" i="36"/>
  <c r="D302" i="36"/>
  <c r="C302" i="36"/>
  <c r="E302" i="36"/>
  <c r="F302" i="36"/>
  <c r="J302" i="36"/>
  <c r="G302" i="36"/>
  <c r="I302" i="36"/>
  <c r="AG301" i="36"/>
  <c r="AN301" i="36"/>
  <c r="T301" i="36"/>
  <c r="AO301" i="36"/>
  <c r="AE301" i="36"/>
  <c r="AM301" i="36"/>
  <c r="AR301" i="36"/>
  <c r="N301" i="36"/>
  <c r="L301" i="36"/>
  <c r="AC301" i="36"/>
  <c r="Y301" i="36"/>
  <c r="AF301" i="36"/>
  <c r="AD301" i="36"/>
  <c r="AU301" i="36"/>
  <c r="AP301" i="36"/>
  <c r="W301" i="36"/>
  <c r="U301" i="36"/>
  <c r="AQ301" i="36"/>
  <c r="AI301" i="36"/>
  <c r="V301" i="36"/>
  <c r="P301" i="36"/>
  <c r="AJ301" i="36"/>
  <c r="Z301" i="36"/>
  <c r="AA301" i="36"/>
  <c r="AB301" i="36"/>
  <c r="O301" i="36"/>
  <c r="AK301" i="36"/>
  <c r="AT301" i="36"/>
  <c r="AS301" i="36"/>
  <c r="AH301" i="36"/>
  <c r="M301" i="36"/>
  <c r="S301" i="36"/>
  <c r="K301" i="36"/>
  <c r="AL301" i="36"/>
  <c r="X301" i="36"/>
  <c r="Q301" i="36"/>
  <c r="R301" i="36"/>
  <c r="J310" i="19"/>
  <c r="H310" i="19"/>
  <c r="G310" i="19"/>
  <c r="I310" i="19"/>
  <c r="D310" i="19"/>
  <c r="AV313" i="19"/>
  <c r="AW313" i="19" s="1"/>
  <c r="A312" i="19"/>
  <c r="B311" i="19"/>
  <c r="F311" i="19"/>
  <c r="C311" i="19"/>
  <c r="H311" i="19"/>
  <c r="I311" i="19"/>
  <c r="E311" i="19"/>
  <c r="G311" i="19"/>
  <c r="D311" i="19"/>
  <c r="J311" i="19"/>
  <c r="E310" i="19"/>
  <c r="L310" i="19"/>
  <c r="Q310" i="19"/>
  <c r="Z310" i="19"/>
  <c r="K310" i="19"/>
  <c r="T310" i="19"/>
  <c r="AP310" i="19"/>
  <c r="AO310" i="19"/>
  <c r="AL310" i="19"/>
  <c r="AG310" i="19"/>
  <c r="R310" i="19"/>
  <c r="AA310" i="19"/>
  <c r="AJ310" i="19"/>
  <c r="AE310" i="19"/>
  <c r="AR310" i="19"/>
  <c r="AH310" i="19"/>
  <c r="M310" i="19"/>
  <c r="AB310" i="19"/>
  <c r="P310" i="19"/>
  <c r="AF310" i="19"/>
  <c r="AS310" i="19"/>
  <c r="U310" i="19"/>
  <c r="X310" i="19"/>
  <c r="AM310" i="19"/>
  <c r="S310" i="19"/>
  <c r="AN310" i="19"/>
  <c r="AU310" i="19"/>
  <c r="AI310" i="19"/>
  <c r="AD310" i="19"/>
  <c r="N310" i="19"/>
  <c r="O310" i="19"/>
  <c r="AT310" i="19"/>
  <c r="AQ310" i="19"/>
  <c r="AK310" i="19"/>
  <c r="Y310" i="19"/>
  <c r="V310" i="19"/>
  <c r="AC310" i="19"/>
  <c r="W310" i="19"/>
  <c r="AR302" i="36" l="1"/>
  <c r="AJ302" i="36"/>
  <c r="O302" i="36"/>
  <c r="R302" i="36"/>
  <c r="T302" i="36"/>
  <c r="Z302" i="36"/>
  <c r="AI302" i="36"/>
  <c r="X302" i="36"/>
  <c r="M302" i="36"/>
  <c r="AP302" i="36"/>
  <c r="AN302" i="36"/>
  <c r="S302" i="36"/>
  <c r="U302" i="36"/>
  <c r="K302" i="36"/>
  <c r="AD302" i="36"/>
  <c r="AA302" i="36"/>
  <c r="AO302" i="36"/>
  <c r="AQ302" i="36"/>
  <c r="V302" i="36"/>
  <c r="AS302" i="36"/>
  <c r="AL302" i="36"/>
  <c r="AH302" i="36"/>
  <c r="AE302" i="36"/>
  <c r="AK302" i="36"/>
  <c r="AF302" i="36"/>
  <c r="AM302" i="36"/>
  <c r="P302" i="36"/>
  <c r="AT302" i="36"/>
  <c r="W302" i="36"/>
  <c r="AU302" i="36"/>
  <c r="L302" i="36"/>
  <c r="Q302" i="36"/>
  <c r="N302" i="36"/>
  <c r="AG302" i="36"/>
  <c r="AB302" i="36"/>
  <c r="Y302" i="36"/>
  <c r="AC302" i="36"/>
  <c r="B303" i="36"/>
  <c r="I303" i="36" s="1"/>
  <c r="C303" i="36"/>
  <c r="AV305" i="36"/>
  <c r="AW305" i="36" s="1"/>
  <c r="A304" i="36"/>
  <c r="U311" i="19"/>
  <c r="AA311" i="19"/>
  <c r="AE311" i="19"/>
  <c r="AU311" i="19"/>
  <c r="AH311" i="19"/>
  <c r="AS311" i="19"/>
  <c r="AQ311" i="19"/>
  <c r="T311" i="19"/>
  <c r="L311" i="19"/>
  <c r="N311" i="19"/>
  <c r="P311" i="19"/>
  <c r="X311" i="19"/>
  <c r="AI311" i="19"/>
  <c r="AC311" i="19"/>
  <c r="AJ311" i="19"/>
  <c r="AL311" i="19"/>
  <c r="AO311" i="19"/>
  <c r="S311" i="19"/>
  <c r="Z311" i="19"/>
  <c r="O311" i="19"/>
  <c r="AG311" i="19"/>
  <c r="R311" i="19"/>
  <c r="AK311" i="19"/>
  <c r="M311" i="19"/>
  <c r="AM311" i="19"/>
  <c r="K311" i="19"/>
  <c r="AD311" i="19"/>
  <c r="AB311" i="19"/>
  <c r="AR311" i="19"/>
  <c r="AT311" i="19"/>
  <c r="V311" i="19"/>
  <c r="AN311" i="19"/>
  <c r="Y311" i="19"/>
  <c r="AF311" i="19"/>
  <c r="Q311" i="19"/>
  <c r="AP311" i="19"/>
  <c r="W311" i="19"/>
  <c r="C312" i="19"/>
  <c r="F312" i="19"/>
  <c r="J312" i="19"/>
  <c r="B312" i="19"/>
  <c r="I312" i="19"/>
  <c r="H312" i="19"/>
  <c r="G312" i="19"/>
  <c r="D312" i="19"/>
  <c r="E312" i="19"/>
  <c r="A313" i="19"/>
  <c r="AV314" i="19"/>
  <c r="AW314" i="19" s="1"/>
  <c r="J303" i="36" l="1"/>
  <c r="E303" i="36"/>
  <c r="D303" i="36"/>
  <c r="H303" i="36"/>
  <c r="F303" i="36"/>
  <c r="AV306" i="36"/>
  <c r="AW306" i="36" s="1"/>
  <c r="A305" i="36"/>
  <c r="G303" i="36"/>
  <c r="AI303" i="36"/>
  <c r="R303" i="36"/>
  <c r="T303" i="36"/>
  <c r="W303" i="36"/>
  <c r="Z303" i="36"/>
  <c r="L303" i="36"/>
  <c r="AK303" i="36"/>
  <c r="AB303" i="36"/>
  <c r="Y303" i="36"/>
  <c r="S303" i="36"/>
  <c r="AO303" i="36"/>
  <c r="AE303" i="36"/>
  <c r="K303" i="36"/>
  <c r="AM303" i="36"/>
  <c r="AF303" i="36"/>
  <c r="M303" i="36"/>
  <c r="AN303" i="36"/>
  <c r="O303" i="36"/>
  <c r="Q303" i="36"/>
  <c r="AG303" i="36"/>
  <c r="AD303" i="36"/>
  <c r="AA303" i="36"/>
  <c r="U303" i="36"/>
  <c r="AU303" i="36"/>
  <c r="AL303" i="36"/>
  <c r="AS303" i="36"/>
  <c r="AP303" i="36"/>
  <c r="AT303" i="36"/>
  <c r="X303" i="36"/>
  <c r="AH303" i="36"/>
  <c r="N303" i="36"/>
  <c r="AR303" i="36"/>
  <c r="AC303" i="36"/>
  <c r="P303" i="36"/>
  <c r="AJ303" i="36"/>
  <c r="V303" i="36"/>
  <c r="AQ303" i="36"/>
  <c r="B304" i="36"/>
  <c r="F304" i="36" s="1"/>
  <c r="C304" i="36"/>
  <c r="A314" i="19"/>
  <c r="AV315" i="19"/>
  <c r="AW315" i="19" s="1"/>
  <c r="AC312" i="19"/>
  <c r="L312" i="19"/>
  <c r="AP312" i="19"/>
  <c r="AG312" i="19"/>
  <c r="R312" i="19"/>
  <c r="AR312" i="19"/>
  <c r="AT312" i="19"/>
  <c r="O312" i="19"/>
  <c r="N312" i="19"/>
  <c r="U312" i="19"/>
  <c r="AB312" i="19"/>
  <c r="AI312" i="19"/>
  <c r="AK312" i="19"/>
  <c r="AJ312" i="19"/>
  <c r="AQ312" i="19"/>
  <c r="AN312" i="19"/>
  <c r="AM312" i="19"/>
  <c r="T312" i="19"/>
  <c r="M312" i="19"/>
  <c r="W312" i="19"/>
  <c r="V312" i="19"/>
  <c r="AS312" i="19"/>
  <c r="K312" i="19"/>
  <c r="AA312" i="19"/>
  <c r="AF312" i="19"/>
  <c r="AO312" i="19"/>
  <c r="AL312" i="19"/>
  <c r="P312" i="19"/>
  <c r="S312" i="19"/>
  <c r="Y312" i="19"/>
  <c r="Z312" i="19"/>
  <c r="AE312" i="19"/>
  <c r="AU312" i="19"/>
  <c r="Q312" i="19"/>
  <c r="AD312" i="19"/>
  <c r="AH312" i="19"/>
  <c r="X312" i="19"/>
  <c r="B313" i="19"/>
  <c r="F313" i="19" s="1"/>
  <c r="C313" i="19"/>
  <c r="E304" i="36" l="1"/>
  <c r="G304" i="36"/>
  <c r="J304" i="36"/>
  <c r="D304" i="36"/>
  <c r="I304" i="36"/>
  <c r="H304" i="36"/>
  <c r="B305" i="36"/>
  <c r="H305" i="36" s="1"/>
  <c r="C305" i="36"/>
  <c r="AE304" i="36"/>
  <c r="AL304" i="36"/>
  <c r="R304" i="36"/>
  <c r="Z304" i="36"/>
  <c r="S304" i="36"/>
  <c r="AO304" i="36"/>
  <c r="T304" i="36"/>
  <c r="P304" i="36"/>
  <c r="AU304" i="36"/>
  <c r="AN304" i="36"/>
  <c r="AP304" i="36"/>
  <c r="AG304" i="36"/>
  <c r="V304" i="36"/>
  <c r="U304" i="36"/>
  <c r="AS304" i="36"/>
  <c r="Q304" i="36"/>
  <c r="K304" i="36"/>
  <c r="AJ304" i="36"/>
  <c r="AB304" i="36"/>
  <c r="AR304" i="36"/>
  <c r="Y304" i="36"/>
  <c r="AK304" i="36"/>
  <c r="AM304" i="36"/>
  <c r="AD304" i="36"/>
  <c r="O304" i="36"/>
  <c r="AQ304" i="36"/>
  <c r="AC304" i="36"/>
  <c r="M304" i="36"/>
  <c r="AF304" i="36"/>
  <c r="AH304" i="36"/>
  <c r="X304" i="36"/>
  <c r="AA304" i="36"/>
  <c r="L304" i="36"/>
  <c r="AT304" i="36"/>
  <c r="N304" i="36"/>
  <c r="W304" i="36"/>
  <c r="AI304" i="36"/>
  <c r="AV307" i="36"/>
  <c r="AW307" i="36" s="1"/>
  <c r="A306" i="36"/>
  <c r="J313" i="19"/>
  <c r="H313" i="19"/>
  <c r="E313" i="19"/>
  <c r="I313" i="19"/>
  <c r="D313" i="19"/>
  <c r="G313" i="19"/>
  <c r="AV316" i="19"/>
  <c r="AW316" i="19" s="1"/>
  <c r="A315" i="19"/>
  <c r="S313" i="19"/>
  <c r="L313" i="19"/>
  <c r="AS313" i="19"/>
  <c r="AG313" i="19"/>
  <c r="AB313" i="19"/>
  <c r="U313" i="19"/>
  <c r="P313" i="19"/>
  <c r="AK313" i="19"/>
  <c r="AT313" i="19"/>
  <c r="W313" i="19"/>
  <c r="AP313" i="19"/>
  <c r="AU313" i="19"/>
  <c r="Q313" i="19"/>
  <c r="Z313" i="19"/>
  <c r="AO313" i="19"/>
  <c r="K313" i="19"/>
  <c r="AJ313" i="19"/>
  <c r="O313" i="19"/>
  <c r="T313" i="19"/>
  <c r="V313" i="19"/>
  <c r="AF313" i="19"/>
  <c r="AQ313" i="19"/>
  <c r="AR313" i="19"/>
  <c r="M313" i="19"/>
  <c r="AA313" i="19"/>
  <c r="AL313" i="19"/>
  <c r="AI313" i="19"/>
  <c r="AN313" i="19"/>
  <c r="AH313" i="19"/>
  <c r="AE313" i="19"/>
  <c r="AD313" i="19"/>
  <c r="Y313" i="19"/>
  <c r="N313" i="19"/>
  <c r="AM313" i="19"/>
  <c r="X313" i="19"/>
  <c r="R313" i="19"/>
  <c r="AC313" i="19"/>
  <c r="B314" i="19"/>
  <c r="E314" i="19" s="1"/>
  <c r="C314" i="19"/>
  <c r="D305" i="36" l="1"/>
  <c r="G305" i="36"/>
  <c r="J305" i="36"/>
  <c r="AV308" i="36"/>
  <c r="AW308" i="36" s="1"/>
  <c r="A307" i="36"/>
  <c r="I305" i="36"/>
  <c r="F305" i="36"/>
  <c r="B306" i="36"/>
  <c r="J306" i="36" s="1"/>
  <c r="C306" i="36"/>
  <c r="E305" i="36"/>
  <c r="R305" i="36"/>
  <c r="W305" i="36"/>
  <c r="U305" i="36"/>
  <c r="AC305" i="36"/>
  <c r="AO305" i="36"/>
  <c r="O305" i="36"/>
  <c r="S305" i="36"/>
  <c r="AB305" i="36"/>
  <c r="AN305" i="36"/>
  <c r="AE305" i="36"/>
  <c r="K305" i="36"/>
  <c r="AK305" i="36"/>
  <c r="X305" i="36"/>
  <c r="AU305" i="36"/>
  <c r="AI305" i="36"/>
  <c r="AL305" i="36"/>
  <c r="N305" i="36"/>
  <c r="P305" i="36"/>
  <c r="AT305" i="36"/>
  <c r="Z305" i="36"/>
  <c r="Q305" i="36"/>
  <c r="AF305" i="36"/>
  <c r="AA305" i="36"/>
  <c r="AJ305" i="36"/>
  <c r="AM305" i="36"/>
  <c r="AS305" i="36"/>
  <c r="AQ305" i="36"/>
  <c r="AR305" i="36"/>
  <c r="T305" i="36"/>
  <c r="L305" i="36"/>
  <c r="AD305" i="36"/>
  <c r="Y305" i="36"/>
  <c r="M305" i="36"/>
  <c r="AP305" i="36"/>
  <c r="AH305" i="36"/>
  <c r="AG305" i="36"/>
  <c r="V305" i="36"/>
  <c r="F314" i="19"/>
  <c r="D314" i="19"/>
  <c r="I314" i="19"/>
  <c r="G314" i="19"/>
  <c r="H314" i="19"/>
  <c r="J314" i="19"/>
  <c r="C315" i="19"/>
  <c r="B315" i="19"/>
  <c r="H315" i="19" s="1"/>
  <c r="AR314" i="19"/>
  <c r="X314" i="19"/>
  <c r="P314" i="19"/>
  <c r="AD314" i="19"/>
  <c r="AK314" i="19"/>
  <c r="R314" i="19"/>
  <c r="AI314" i="19"/>
  <c r="U314" i="19"/>
  <c r="AU314" i="19"/>
  <c r="AC314" i="19"/>
  <c r="AL314" i="19"/>
  <c r="S314" i="19"/>
  <c r="AM314" i="19"/>
  <c r="AB314" i="19"/>
  <c r="W314" i="19"/>
  <c r="O314" i="19"/>
  <c r="M314" i="19"/>
  <c r="AT314" i="19"/>
  <c r="K314" i="19"/>
  <c r="Z314" i="19"/>
  <c r="AS314" i="19"/>
  <c r="AJ314" i="19"/>
  <c r="L314" i="19"/>
  <c r="AE314" i="19"/>
  <c r="N314" i="19"/>
  <c r="AQ314" i="19"/>
  <c r="AF314" i="19"/>
  <c r="Q314" i="19"/>
  <c r="AO314" i="19"/>
  <c r="Y314" i="19"/>
  <c r="V314" i="19"/>
  <c r="AP314" i="19"/>
  <c r="T314" i="19"/>
  <c r="AN314" i="19"/>
  <c r="AG314" i="19"/>
  <c r="AH314" i="19"/>
  <c r="AA314" i="19"/>
  <c r="A316" i="19"/>
  <c r="AV317" i="19"/>
  <c r="AW317" i="19" s="1"/>
  <c r="I306" i="36" l="1"/>
  <c r="H306" i="36"/>
  <c r="G306" i="36"/>
  <c r="E306" i="36"/>
  <c r="F306" i="36"/>
  <c r="B307" i="36"/>
  <c r="G307" i="36" s="1"/>
  <c r="C307" i="36"/>
  <c r="D306" i="36"/>
  <c r="AI306" i="36"/>
  <c r="AK306" i="36"/>
  <c r="U306" i="36"/>
  <c r="M306" i="36"/>
  <c r="R306" i="36"/>
  <c r="AN306" i="36"/>
  <c r="AB306" i="36"/>
  <c r="O306" i="36"/>
  <c r="K306" i="36"/>
  <c r="N306" i="36"/>
  <c r="V306" i="36"/>
  <c r="AA306" i="36"/>
  <c r="S306" i="36"/>
  <c r="AO306" i="36"/>
  <c r="W306" i="36"/>
  <c r="X306" i="36"/>
  <c r="AP306" i="36"/>
  <c r="AE306" i="36"/>
  <c r="AC306" i="36"/>
  <c r="AG306" i="36"/>
  <c r="Y306" i="36"/>
  <c r="Q306" i="36"/>
  <c r="AM306" i="36"/>
  <c r="AR306" i="36"/>
  <c r="T306" i="36"/>
  <c r="AF306" i="36"/>
  <c r="AQ306" i="36"/>
  <c r="Z306" i="36"/>
  <c r="AS306" i="36"/>
  <c r="AU306" i="36"/>
  <c r="AJ306" i="36"/>
  <c r="AD306" i="36"/>
  <c r="AL306" i="36"/>
  <c r="AT306" i="36"/>
  <c r="P306" i="36"/>
  <c r="L306" i="36"/>
  <c r="AH306" i="36"/>
  <c r="AV309" i="36"/>
  <c r="AW309" i="36" s="1"/>
  <c r="A308" i="36"/>
  <c r="I315" i="19"/>
  <c r="D315" i="19"/>
  <c r="G315" i="19"/>
  <c r="AV318" i="19"/>
  <c r="AW318" i="19" s="1"/>
  <c r="A317" i="19"/>
  <c r="J315" i="19"/>
  <c r="E315" i="19"/>
  <c r="C316" i="19"/>
  <c r="B316" i="19"/>
  <c r="F316" i="19" s="1"/>
  <c r="AN315" i="19"/>
  <c r="AD315" i="19"/>
  <c r="AF315" i="19"/>
  <c r="AH315" i="19"/>
  <c r="AK315" i="19"/>
  <c r="AQ315" i="19"/>
  <c r="S315" i="19"/>
  <c r="AJ315" i="19"/>
  <c r="U315" i="19"/>
  <c r="AO315" i="19"/>
  <c r="AR315" i="19"/>
  <c r="AG315" i="19"/>
  <c r="AS315" i="19"/>
  <c r="L315" i="19"/>
  <c r="Y315" i="19"/>
  <c r="AC315" i="19"/>
  <c r="AA315" i="19"/>
  <c r="AU315" i="19"/>
  <c r="T315" i="19"/>
  <c r="AP315" i="19"/>
  <c r="R315" i="19"/>
  <c r="K315" i="19"/>
  <c r="M315" i="19"/>
  <c r="Z315" i="19"/>
  <c r="AT315" i="19"/>
  <c r="AB315" i="19"/>
  <c r="P315" i="19"/>
  <c r="Q315" i="19"/>
  <c r="AE315" i="19"/>
  <c r="AI315" i="19"/>
  <c r="X315" i="19"/>
  <c r="AL315" i="19"/>
  <c r="W315" i="19"/>
  <c r="N315" i="19"/>
  <c r="AM315" i="19"/>
  <c r="V315" i="19"/>
  <c r="O315" i="19"/>
  <c r="F315" i="19"/>
  <c r="E307" i="36" l="1"/>
  <c r="I307" i="36"/>
  <c r="F307" i="36"/>
  <c r="J307" i="36"/>
  <c r="A309" i="36"/>
  <c r="AV310" i="36"/>
  <c r="AW310" i="36" s="1"/>
  <c r="H307" i="36"/>
  <c r="D307" i="36"/>
  <c r="B308" i="36"/>
  <c r="E308" i="36" s="1"/>
  <c r="C308" i="36"/>
  <c r="S307" i="36"/>
  <c r="AT307" i="36"/>
  <c r="AK307" i="36"/>
  <c r="Y307" i="36"/>
  <c r="AO307" i="36"/>
  <c r="AQ307" i="36"/>
  <c r="AF307" i="36"/>
  <c r="U307" i="36"/>
  <c r="R307" i="36"/>
  <c r="P307" i="36"/>
  <c r="AJ307" i="36"/>
  <c r="AD307" i="36"/>
  <c r="O307" i="36"/>
  <c r="AR307" i="36"/>
  <c r="Z307" i="36"/>
  <c r="AN307" i="36"/>
  <c r="V307" i="36"/>
  <c r="AL307" i="36"/>
  <c r="AA307" i="36"/>
  <c r="AU307" i="36"/>
  <c r="AC307" i="36"/>
  <c r="AB307" i="36"/>
  <c r="W307" i="36"/>
  <c r="N307" i="36"/>
  <c r="AG307" i="36"/>
  <c r="T307" i="36"/>
  <c r="Q307" i="36"/>
  <c r="AH307" i="36"/>
  <c r="M307" i="36"/>
  <c r="AE307" i="36"/>
  <c r="X307" i="36"/>
  <c r="AI307" i="36"/>
  <c r="AS307" i="36"/>
  <c r="AP307" i="36"/>
  <c r="K307" i="36"/>
  <c r="L307" i="36"/>
  <c r="AM307" i="36"/>
  <c r="D316" i="19"/>
  <c r="J316" i="19"/>
  <c r="G316" i="19"/>
  <c r="I316" i="19"/>
  <c r="H316" i="19"/>
  <c r="E316" i="19"/>
  <c r="AN316" i="19"/>
  <c r="AE316" i="19"/>
  <c r="AO316" i="19"/>
  <c r="W316" i="19"/>
  <c r="O316" i="19"/>
  <c r="P316" i="19"/>
  <c r="AC316" i="19"/>
  <c r="AA316" i="19"/>
  <c r="N316" i="19"/>
  <c r="AU316" i="19"/>
  <c r="X316" i="19"/>
  <c r="S316" i="19"/>
  <c r="AH316" i="19"/>
  <c r="AL316" i="19"/>
  <c r="U316" i="19"/>
  <c r="L316" i="19"/>
  <c r="AG316" i="19"/>
  <c r="AS316" i="19"/>
  <c r="AI316" i="19"/>
  <c r="AQ316" i="19"/>
  <c r="K316" i="19"/>
  <c r="AF316" i="19"/>
  <c r="AP316" i="19"/>
  <c r="Y316" i="19"/>
  <c r="Z316" i="19"/>
  <c r="AB316" i="19"/>
  <c r="V316" i="19"/>
  <c r="AT316" i="19"/>
  <c r="R316" i="19"/>
  <c r="T316" i="19"/>
  <c r="M316" i="19"/>
  <c r="Q316" i="19"/>
  <c r="AK316" i="19"/>
  <c r="AR316" i="19"/>
  <c r="AD316" i="19"/>
  <c r="AJ316" i="19"/>
  <c r="AM316" i="19"/>
  <c r="C317" i="19"/>
  <c r="B317" i="19"/>
  <c r="G317" i="19" s="1"/>
  <c r="AV319" i="19"/>
  <c r="AW319" i="19" s="1"/>
  <c r="A318" i="19"/>
  <c r="F308" i="36" l="1"/>
  <c r="G308" i="36"/>
  <c r="I308" i="36"/>
  <c r="J308" i="36"/>
  <c r="H308" i="36"/>
  <c r="AV311" i="36"/>
  <c r="AW311" i="36" s="1"/>
  <c r="A310" i="36"/>
  <c r="D308" i="36"/>
  <c r="AA308" i="36"/>
  <c r="M308" i="36"/>
  <c r="AB308" i="36"/>
  <c r="AK308" i="36"/>
  <c r="L308" i="36"/>
  <c r="V308" i="36"/>
  <c r="O308" i="36"/>
  <c r="Y308" i="36"/>
  <c r="T308" i="36"/>
  <c r="R308" i="36"/>
  <c r="AU308" i="36"/>
  <c r="AQ308" i="36"/>
  <c r="Z308" i="36"/>
  <c r="S308" i="36"/>
  <c r="AD308" i="36"/>
  <c r="AF308" i="36"/>
  <c r="AM308" i="36"/>
  <c r="N308" i="36"/>
  <c r="K308" i="36"/>
  <c r="X308" i="36"/>
  <c r="AP308" i="36"/>
  <c r="AT308" i="36"/>
  <c r="AJ308" i="36"/>
  <c r="AC308" i="36"/>
  <c r="AS308" i="36"/>
  <c r="AH308" i="36"/>
  <c r="Q308" i="36"/>
  <c r="P308" i="36"/>
  <c r="AL308" i="36"/>
  <c r="AE308" i="36"/>
  <c r="AG308" i="36"/>
  <c r="U308" i="36"/>
  <c r="W308" i="36"/>
  <c r="AO308" i="36"/>
  <c r="AR308" i="36"/>
  <c r="AN308" i="36"/>
  <c r="AI308" i="36"/>
  <c r="D309" i="36"/>
  <c r="C309" i="36"/>
  <c r="E309" i="36"/>
  <c r="H309" i="36"/>
  <c r="J309" i="36"/>
  <c r="I309" i="36"/>
  <c r="G309" i="36"/>
  <c r="B309" i="36"/>
  <c r="F309" i="36"/>
  <c r="H317" i="19"/>
  <c r="D317" i="19"/>
  <c r="F317" i="19"/>
  <c r="J317" i="19"/>
  <c r="AN317" i="19"/>
  <c r="AD317" i="19"/>
  <c r="Q317" i="19"/>
  <c r="AE317" i="19"/>
  <c r="X317" i="19"/>
  <c r="AC317" i="19"/>
  <c r="Z317" i="19"/>
  <c r="AB317" i="19"/>
  <c r="AI317" i="19"/>
  <c r="R317" i="19"/>
  <c r="AK317" i="19"/>
  <c r="S317" i="19"/>
  <c r="AM317" i="19"/>
  <c r="Y317" i="19"/>
  <c r="AG317" i="19"/>
  <c r="V317" i="19"/>
  <c r="AR317" i="19"/>
  <c r="W317" i="19"/>
  <c r="AH317" i="19"/>
  <c r="AT317" i="19"/>
  <c r="AJ317" i="19"/>
  <c r="AF317" i="19"/>
  <c r="M317" i="19"/>
  <c r="K317" i="19"/>
  <c r="N317" i="19"/>
  <c r="U317" i="19"/>
  <c r="AQ317" i="19"/>
  <c r="AP317" i="19"/>
  <c r="AS317" i="19"/>
  <c r="L317" i="19"/>
  <c r="O317" i="19"/>
  <c r="AO317" i="19"/>
  <c r="AL317" i="19"/>
  <c r="AU317" i="19"/>
  <c r="P317" i="19"/>
  <c r="T317" i="19"/>
  <c r="AA317" i="19"/>
  <c r="E317" i="19"/>
  <c r="I317" i="19"/>
  <c r="B318" i="19"/>
  <c r="D318" i="19" s="1"/>
  <c r="C318" i="19"/>
  <c r="AV320" i="19"/>
  <c r="AW320" i="19" s="1"/>
  <c r="A319" i="19"/>
  <c r="AQ309" i="36" l="1"/>
  <c r="AB309" i="36"/>
  <c r="AG309" i="36"/>
  <c r="AF309" i="36"/>
  <c r="Y309" i="36"/>
  <c r="AP309" i="36"/>
  <c r="AR309" i="36"/>
  <c r="T309" i="36"/>
  <c r="AA309" i="36"/>
  <c r="Q309" i="36"/>
  <c r="AJ309" i="36"/>
  <c r="AK309" i="36"/>
  <c r="AC309" i="36"/>
  <c r="AS309" i="36"/>
  <c r="AN309" i="36"/>
  <c r="N309" i="36"/>
  <c r="Z309" i="36"/>
  <c r="AO309" i="36"/>
  <c r="X309" i="36"/>
  <c r="AM309" i="36"/>
  <c r="K309" i="36"/>
  <c r="U309" i="36"/>
  <c r="P309" i="36"/>
  <c r="AI309" i="36"/>
  <c r="S309" i="36"/>
  <c r="O309" i="36"/>
  <c r="AD309" i="36"/>
  <c r="AH309" i="36"/>
  <c r="M309" i="36"/>
  <c r="R309" i="36"/>
  <c r="L309" i="36"/>
  <c r="AT309" i="36"/>
  <c r="V309" i="36"/>
  <c r="AE309" i="36"/>
  <c r="AU309" i="36"/>
  <c r="AL309" i="36"/>
  <c r="W309" i="36"/>
  <c r="D310" i="36"/>
  <c r="H310" i="36"/>
  <c r="F310" i="36"/>
  <c r="E310" i="36"/>
  <c r="G310" i="36"/>
  <c r="C310" i="36"/>
  <c r="B310" i="36"/>
  <c r="I310" i="36"/>
  <c r="J310" i="36"/>
  <c r="AV312" i="36"/>
  <c r="AW312" i="36" s="1"/>
  <c r="A311" i="36"/>
  <c r="J318" i="19"/>
  <c r="I318" i="19"/>
  <c r="H318" i="19"/>
  <c r="AR318" i="19"/>
  <c r="AJ318" i="19"/>
  <c r="Y318" i="19"/>
  <c r="AI318" i="19"/>
  <c r="V318" i="19"/>
  <c r="AQ318" i="19"/>
  <c r="AC318" i="19"/>
  <c r="K318" i="19"/>
  <c r="N318" i="19"/>
  <c r="O318" i="19"/>
  <c r="AB318" i="19"/>
  <c r="AE318" i="19"/>
  <c r="AN318" i="19"/>
  <c r="W318" i="19"/>
  <c r="P318" i="19"/>
  <c r="T318" i="19"/>
  <c r="AT318" i="19"/>
  <c r="X318" i="19"/>
  <c r="AG318" i="19"/>
  <c r="AF318" i="19"/>
  <c r="AP318" i="19"/>
  <c r="L318" i="19"/>
  <c r="AA318" i="19"/>
  <c r="AL318" i="19"/>
  <c r="U318" i="19"/>
  <c r="AK318" i="19"/>
  <c r="Z318" i="19"/>
  <c r="AD318" i="19"/>
  <c r="AH318" i="19"/>
  <c r="AM318" i="19"/>
  <c r="AS318" i="19"/>
  <c r="AO318" i="19"/>
  <c r="Q318" i="19"/>
  <c r="R318" i="19"/>
  <c r="AU318" i="19"/>
  <c r="M318" i="19"/>
  <c r="S318" i="19"/>
  <c r="E318" i="19"/>
  <c r="G318" i="19"/>
  <c r="F318" i="19"/>
  <c r="E319" i="19"/>
  <c r="F319" i="19"/>
  <c r="B319" i="19"/>
  <c r="D319" i="19"/>
  <c r="I319" i="19"/>
  <c r="C319" i="19"/>
  <c r="G319" i="19"/>
  <c r="J319" i="19"/>
  <c r="H319" i="19"/>
  <c r="A320" i="19"/>
  <c r="AV321" i="19"/>
  <c r="AW321" i="19" s="1"/>
  <c r="B311" i="36" l="1"/>
  <c r="G311" i="36" s="1"/>
  <c r="C311" i="36"/>
  <c r="AK310" i="36"/>
  <c r="AU310" i="36"/>
  <c r="AG310" i="36"/>
  <c r="Z310" i="36"/>
  <c r="M310" i="36"/>
  <c r="AD310" i="36"/>
  <c r="AB310" i="36"/>
  <c r="Y310" i="36"/>
  <c r="Q310" i="36"/>
  <c r="S310" i="36"/>
  <c r="P310" i="36"/>
  <c r="L310" i="36"/>
  <c r="AA310" i="36"/>
  <c r="W310" i="36"/>
  <c r="R310" i="36"/>
  <c r="AJ310" i="36"/>
  <c r="U310" i="36"/>
  <c r="AH310" i="36"/>
  <c r="AO310" i="36"/>
  <c r="T310" i="36"/>
  <c r="O310" i="36"/>
  <c r="AM310" i="36"/>
  <c r="AI310" i="36"/>
  <c r="X310" i="36"/>
  <c r="AC310" i="36"/>
  <c r="AS310" i="36"/>
  <c r="AR310" i="36"/>
  <c r="AP310" i="36"/>
  <c r="AQ310" i="36"/>
  <c r="AL310" i="36"/>
  <c r="AN310" i="36"/>
  <c r="AT310" i="36"/>
  <c r="AE310" i="36"/>
  <c r="AF310" i="36"/>
  <c r="K310" i="36"/>
  <c r="N310" i="36"/>
  <c r="V310" i="36"/>
  <c r="A312" i="36"/>
  <c r="AV313" i="36"/>
  <c r="AW313" i="36" s="1"/>
  <c r="V319" i="19"/>
  <c r="X319" i="19"/>
  <c r="N319" i="19"/>
  <c r="AD319" i="19"/>
  <c r="L319" i="19"/>
  <c r="AJ319" i="19"/>
  <c r="AI319" i="19"/>
  <c r="AH319" i="19"/>
  <c r="AA319" i="19"/>
  <c r="AQ319" i="19"/>
  <c r="S319" i="19"/>
  <c r="AF319" i="19"/>
  <c r="AR319" i="19"/>
  <c r="O319" i="19"/>
  <c r="P319" i="19"/>
  <c r="AM319" i="19"/>
  <c r="AO319" i="19"/>
  <c r="M319" i="19"/>
  <c r="R319" i="19"/>
  <c r="AB319" i="19"/>
  <c r="AG319" i="19"/>
  <c r="AK319" i="19"/>
  <c r="U319" i="19"/>
  <c r="AP319" i="19"/>
  <c r="T319" i="19"/>
  <c r="AL319" i="19"/>
  <c r="Q319" i="19"/>
  <c r="AS319" i="19"/>
  <c r="Y319" i="19"/>
  <c r="K319" i="19"/>
  <c r="AE319" i="19"/>
  <c r="W319" i="19"/>
  <c r="Z319" i="19"/>
  <c r="AU319" i="19"/>
  <c r="AN319" i="19"/>
  <c r="AT319" i="19"/>
  <c r="AC319" i="19"/>
  <c r="A321" i="19"/>
  <c r="AV322" i="19"/>
  <c r="AW322" i="19" s="1"/>
  <c r="H320" i="19"/>
  <c r="G320" i="19"/>
  <c r="J320" i="19"/>
  <c r="C320" i="19"/>
  <c r="B320" i="19"/>
  <c r="F320" i="19"/>
  <c r="I320" i="19"/>
  <c r="E320" i="19"/>
  <c r="D320" i="19"/>
  <c r="F311" i="36" l="1"/>
  <c r="E311" i="36"/>
  <c r="I311" i="36"/>
  <c r="D311" i="36"/>
  <c r="AV314" i="36"/>
  <c r="AW314" i="36" s="1"/>
  <c r="A313" i="36"/>
  <c r="H311" i="36"/>
  <c r="J311" i="36"/>
  <c r="F312" i="36"/>
  <c r="G312" i="36"/>
  <c r="C312" i="36"/>
  <c r="J312" i="36"/>
  <c r="B312" i="36"/>
  <c r="H312" i="36"/>
  <c r="E312" i="36"/>
  <c r="I312" i="36"/>
  <c r="D312" i="36"/>
  <c r="V311" i="36"/>
  <c r="AS311" i="36"/>
  <c r="AJ311" i="36"/>
  <c r="AA311" i="36"/>
  <c r="T311" i="36"/>
  <c r="L311" i="36"/>
  <c r="AE311" i="36"/>
  <c r="AD311" i="36"/>
  <c r="K311" i="36"/>
  <c r="AK311" i="36"/>
  <c r="AT311" i="36"/>
  <c r="AB311" i="36"/>
  <c r="AR311" i="36"/>
  <c r="AP311" i="36"/>
  <c r="N311" i="36"/>
  <c r="AI311" i="36"/>
  <c r="W311" i="36"/>
  <c r="S311" i="36"/>
  <c r="AF311" i="36"/>
  <c r="M311" i="36"/>
  <c r="AO311" i="36"/>
  <c r="X311" i="36"/>
  <c r="R311" i="36"/>
  <c r="Z311" i="36"/>
  <c r="AN311" i="36"/>
  <c r="AG311" i="36"/>
  <c r="Y311" i="36"/>
  <c r="O311" i="36"/>
  <c r="AQ311" i="36"/>
  <c r="AC311" i="36"/>
  <c r="AU311" i="36"/>
  <c r="AH311" i="36"/>
  <c r="AL311" i="36"/>
  <c r="U311" i="36"/>
  <c r="Q311" i="36"/>
  <c r="P311" i="36"/>
  <c r="AM311" i="36"/>
  <c r="A322" i="19"/>
  <c r="AV323" i="19"/>
  <c r="AW323" i="19" s="1"/>
  <c r="X320" i="19"/>
  <c r="AC320" i="19"/>
  <c r="V320" i="19"/>
  <c r="AF320" i="19"/>
  <c r="O320" i="19"/>
  <c r="AK320" i="19"/>
  <c r="N320" i="19"/>
  <c r="AE320" i="19"/>
  <c r="T320" i="19"/>
  <c r="AA320" i="19"/>
  <c r="AI320" i="19"/>
  <c r="Z320" i="19"/>
  <c r="AP320" i="19"/>
  <c r="AR320" i="19"/>
  <c r="AQ320" i="19"/>
  <c r="AG320" i="19"/>
  <c r="L320" i="19"/>
  <c r="AU320" i="19"/>
  <c r="AM320" i="19"/>
  <c r="W320" i="19"/>
  <c r="AH320" i="19"/>
  <c r="AS320" i="19"/>
  <c r="AD320" i="19"/>
  <c r="M320" i="19"/>
  <c r="AT320" i="19"/>
  <c r="Q320" i="19"/>
  <c r="AO320" i="19"/>
  <c r="AJ320" i="19"/>
  <c r="U320" i="19"/>
  <c r="K320" i="19"/>
  <c r="Y320" i="19"/>
  <c r="S320" i="19"/>
  <c r="AN320" i="19"/>
  <c r="P320" i="19"/>
  <c r="R320" i="19"/>
  <c r="AL320" i="19"/>
  <c r="AB320" i="19"/>
  <c r="C321" i="19"/>
  <c r="B321" i="19"/>
  <c r="G321" i="19" s="1"/>
  <c r="H313" i="36" l="1"/>
  <c r="G313" i="36"/>
  <c r="E313" i="36"/>
  <c r="D313" i="36"/>
  <c r="C313" i="36"/>
  <c r="I313" i="36"/>
  <c r="F313" i="36"/>
  <c r="B313" i="36"/>
  <c r="J313" i="36"/>
  <c r="O312" i="36"/>
  <c r="AI312" i="36"/>
  <c r="AC312" i="36"/>
  <c r="P312" i="36"/>
  <c r="R312" i="36"/>
  <c r="AF312" i="36"/>
  <c r="AJ312" i="36"/>
  <c r="AM312" i="36"/>
  <c r="K312" i="36"/>
  <c r="Z312" i="36"/>
  <c r="AP312" i="36"/>
  <c r="AS312" i="36"/>
  <c r="L312" i="36"/>
  <c r="V312" i="36"/>
  <c r="S312" i="36"/>
  <c r="T312" i="36"/>
  <c r="W312" i="36"/>
  <c r="AD312" i="36"/>
  <c r="AK312" i="36"/>
  <c r="M312" i="36"/>
  <c r="Y312" i="36"/>
  <c r="AT312" i="36"/>
  <c r="AH312" i="36"/>
  <c r="AE312" i="36"/>
  <c r="N312" i="36"/>
  <c r="U312" i="36"/>
  <c r="Q312" i="36"/>
  <c r="AU312" i="36"/>
  <c r="AB312" i="36"/>
  <c r="AA312" i="36"/>
  <c r="AO312" i="36"/>
  <c r="AG312" i="36"/>
  <c r="AL312" i="36"/>
  <c r="AN312" i="36"/>
  <c r="AQ312" i="36"/>
  <c r="AR312" i="36"/>
  <c r="X312" i="36"/>
  <c r="AV315" i="36"/>
  <c r="AW315" i="36" s="1"/>
  <c r="A314" i="36"/>
  <c r="E321" i="19"/>
  <c r="H321" i="19"/>
  <c r="J321" i="19"/>
  <c r="I321" i="19"/>
  <c r="F321" i="19"/>
  <c r="AB321" i="19"/>
  <c r="AI321" i="19"/>
  <c r="R321" i="19"/>
  <c r="O321" i="19"/>
  <c r="X321" i="19"/>
  <c r="AR321" i="19"/>
  <c r="AD321" i="19"/>
  <c r="AP321" i="19"/>
  <c r="T321" i="19"/>
  <c r="P321" i="19"/>
  <c r="AK321" i="19"/>
  <c r="AT321" i="19"/>
  <c r="AC321" i="19"/>
  <c r="Z321" i="19"/>
  <c r="AN321" i="19"/>
  <c r="AA321" i="19"/>
  <c r="AO321" i="19"/>
  <c r="AM321" i="19"/>
  <c r="S321" i="19"/>
  <c r="AL321" i="19"/>
  <c r="AH321" i="19"/>
  <c r="AE321" i="19"/>
  <c r="M321" i="19"/>
  <c r="L321" i="19"/>
  <c r="AJ321" i="19"/>
  <c r="AF321" i="19"/>
  <c r="K321" i="19"/>
  <c r="AG321" i="19"/>
  <c r="U321" i="19"/>
  <c r="AS321" i="19"/>
  <c r="W321" i="19"/>
  <c r="N321" i="19"/>
  <c r="AU321" i="19"/>
  <c r="V321" i="19"/>
  <c r="Q321" i="19"/>
  <c r="Y321" i="19"/>
  <c r="AQ321" i="19"/>
  <c r="A323" i="19"/>
  <c r="AV324" i="19"/>
  <c r="AW324" i="19" s="1"/>
  <c r="D321" i="19"/>
  <c r="E322" i="19"/>
  <c r="C322" i="19"/>
  <c r="H322" i="19"/>
  <c r="D322" i="19"/>
  <c r="G322" i="19"/>
  <c r="J322" i="19"/>
  <c r="F322" i="19"/>
  <c r="B322" i="19"/>
  <c r="I322" i="19"/>
  <c r="B314" i="36" l="1"/>
  <c r="H314" i="36" s="1"/>
  <c r="C314" i="36"/>
  <c r="AK313" i="36"/>
  <c r="Y313" i="36"/>
  <c r="T313" i="36"/>
  <c r="AF313" i="36"/>
  <c r="U313" i="36"/>
  <c r="X313" i="36"/>
  <c r="AB313" i="36"/>
  <c r="AN313" i="36"/>
  <c r="Q313" i="36"/>
  <c r="W313" i="36"/>
  <c r="AU313" i="36"/>
  <c r="AL313" i="36"/>
  <c r="S313" i="36"/>
  <c r="M313" i="36"/>
  <c r="N313" i="36"/>
  <c r="Z313" i="36"/>
  <c r="V313" i="36"/>
  <c r="AA313" i="36"/>
  <c r="L313" i="36"/>
  <c r="AG313" i="36"/>
  <c r="AP313" i="36"/>
  <c r="K313" i="36"/>
  <c r="AI313" i="36"/>
  <c r="AD313" i="36"/>
  <c r="AO313" i="36"/>
  <c r="AM313" i="36"/>
  <c r="O313" i="36"/>
  <c r="AT313" i="36"/>
  <c r="R313" i="36"/>
  <c r="AC313" i="36"/>
  <c r="P313" i="36"/>
  <c r="AH313" i="36"/>
  <c r="AQ313" i="36"/>
  <c r="AJ313" i="36"/>
  <c r="AR313" i="36"/>
  <c r="AS313" i="36"/>
  <c r="AE313" i="36"/>
  <c r="AV316" i="36"/>
  <c r="AW316" i="36" s="1"/>
  <c r="A315" i="36"/>
  <c r="G323" i="19"/>
  <c r="I323" i="19"/>
  <c r="J323" i="19"/>
  <c r="C323" i="19"/>
  <c r="B323" i="19"/>
  <c r="F323" i="19"/>
  <c r="E323" i="19"/>
  <c r="D323" i="19"/>
  <c r="H323" i="19"/>
  <c r="AV325" i="19"/>
  <c r="AW325" i="19" s="1"/>
  <c r="A324" i="19"/>
  <c r="AL322" i="19"/>
  <c r="AS322" i="19"/>
  <c r="V322" i="19"/>
  <c r="N322" i="19"/>
  <c r="U322" i="19"/>
  <c r="Z322" i="19"/>
  <c r="AT322" i="19"/>
  <c r="AJ322" i="19"/>
  <c r="S322" i="19"/>
  <c r="AE322" i="19"/>
  <c r="AD322" i="19"/>
  <c r="M322" i="19"/>
  <c r="AC322" i="19"/>
  <c r="Q322" i="19"/>
  <c r="AK322" i="19"/>
  <c r="AA322" i="19"/>
  <c r="L322" i="19"/>
  <c r="AH322" i="19"/>
  <c r="W322" i="19"/>
  <c r="P322" i="19"/>
  <c r="AR322" i="19"/>
  <c r="K322" i="19"/>
  <c r="AU322" i="19"/>
  <c r="AI322" i="19"/>
  <c r="AP322" i="19"/>
  <c r="AN322" i="19"/>
  <c r="AM322" i="19"/>
  <c r="Y322" i="19"/>
  <c r="T322" i="19"/>
  <c r="AQ322" i="19"/>
  <c r="AF322" i="19"/>
  <c r="X322" i="19"/>
  <c r="R322" i="19"/>
  <c r="AG322" i="19"/>
  <c r="AO322" i="19"/>
  <c r="O322" i="19"/>
  <c r="AB322" i="19"/>
  <c r="G314" i="36" l="1"/>
  <c r="D314" i="36"/>
  <c r="J314" i="36"/>
  <c r="E314" i="36"/>
  <c r="B315" i="36"/>
  <c r="E315" i="36" s="1"/>
  <c r="C315" i="36"/>
  <c r="I314" i="36"/>
  <c r="F314" i="36"/>
  <c r="AV317" i="36"/>
  <c r="AW317" i="36" s="1"/>
  <c r="A316" i="36"/>
  <c r="AU314" i="36"/>
  <c r="R314" i="36"/>
  <c r="AQ314" i="36"/>
  <c r="AN314" i="36"/>
  <c r="K314" i="36"/>
  <c r="M314" i="36"/>
  <c r="AM314" i="36"/>
  <c r="V314" i="36"/>
  <c r="AL314" i="36"/>
  <c r="Z314" i="36"/>
  <c r="AF314" i="36"/>
  <c r="T314" i="36"/>
  <c r="AJ314" i="36"/>
  <c r="AS314" i="36"/>
  <c r="AO314" i="36"/>
  <c r="AK314" i="36"/>
  <c r="Y314" i="36"/>
  <c r="X314" i="36"/>
  <c r="AB314" i="36"/>
  <c r="AA314" i="36"/>
  <c r="O314" i="36"/>
  <c r="AD314" i="36"/>
  <c r="AT314" i="36"/>
  <c r="Q314" i="36"/>
  <c r="S314" i="36"/>
  <c r="AH314" i="36"/>
  <c r="W314" i="36"/>
  <c r="L314" i="36"/>
  <c r="AE314" i="36"/>
  <c r="AG314" i="36"/>
  <c r="N314" i="36"/>
  <c r="AI314" i="36"/>
  <c r="AC314" i="36"/>
  <c r="U314" i="36"/>
  <c r="AP314" i="36"/>
  <c r="AR314" i="36"/>
  <c r="P314" i="36"/>
  <c r="AQ323" i="19"/>
  <c r="AU323" i="19"/>
  <c r="AG323" i="19"/>
  <c r="AT323" i="19"/>
  <c r="Z323" i="19"/>
  <c r="AJ323" i="19"/>
  <c r="M323" i="19"/>
  <c r="U323" i="19"/>
  <c r="AE323" i="19"/>
  <c r="Q323" i="19"/>
  <c r="AI323" i="19"/>
  <c r="R323" i="19"/>
  <c r="K323" i="19"/>
  <c r="AN323" i="19"/>
  <c r="N323" i="19"/>
  <c r="W323" i="19"/>
  <c r="AD323" i="19"/>
  <c r="AK323" i="19"/>
  <c r="X323" i="19"/>
  <c r="O323" i="19"/>
  <c r="AB323" i="19"/>
  <c r="AP323" i="19"/>
  <c r="AH323" i="19"/>
  <c r="Y323" i="19"/>
  <c r="AC323" i="19"/>
  <c r="AL323" i="19"/>
  <c r="AO323" i="19"/>
  <c r="AS323" i="19"/>
  <c r="L323" i="19"/>
  <c r="AM323" i="19"/>
  <c r="AA323" i="19"/>
  <c r="S323" i="19"/>
  <c r="P323" i="19"/>
  <c r="T323" i="19"/>
  <c r="AR323" i="19"/>
  <c r="V323" i="19"/>
  <c r="AF323" i="19"/>
  <c r="A325" i="19"/>
  <c r="AV326" i="19"/>
  <c r="AW326" i="19" s="1"/>
  <c r="B324" i="19"/>
  <c r="D324" i="19" s="1"/>
  <c r="C324" i="19"/>
  <c r="D315" i="36" l="1"/>
  <c r="F315" i="36"/>
  <c r="G315" i="36"/>
  <c r="C316" i="36"/>
  <c r="B316" i="36"/>
  <c r="D316" i="36" s="1"/>
  <c r="J315" i="36"/>
  <c r="I315" i="36"/>
  <c r="AV318" i="36"/>
  <c r="AW318" i="36" s="1"/>
  <c r="A317" i="36"/>
  <c r="H315" i="36"/>
  <c r="AB315" i="36"/>
  <c r="AR315" i="36"/>
  <c r="AJ315" i="36"/>
  <c r="AN315" i="36"/>
  <c r="P315" i="36"/>
  <c r="R315" i="36"/>
  <c r="AT315" i="36"/>
  <c r="AK315" i="36"/>
  <c r="S315" i="36"/>
  <c r="AF315" i="36"/>
  <c r="AE315" i="36"/>
  <c r="L315" i="36"/>
  <c r="AH315" i="36"/>
  <c r="AC315" i="36"/>
  <c r="M315" i="36"/>
  <c r="AU315" i="36"/>
  <c r="AQ315" i="36"/>
  <c r="X315" i="36"/>
  <c r="T315" i="36"/>
  <c r="Q315" i="36"/>
  <c r="AI315" i="36"/>
  <c r="K315" i="36"/>
  <c r="V315" i="36"/>
  <c r="W315" i="36"/>
  <c r="AM315" i="36"/>
  <c r="AO315" i="36"/>
  <c r="Y315" i="36"/>
  <c r="AD315" i="36"/>
  <c r="N315" i="36"/>
  <c r="AG315" i="36"/>
  <c r="U315" i="36"/>
  <c r="AL315" i="36"/>
  <c r="O315" i="36"/>
  <c r="AS315" i="36"/>
  <c r="Z315" i="36"/>
  <c r="AP315" i="36"/>
  <c r="AA315" i="36"/>
  <c r="J324" i="19"/>
  <c r="F324" i="19"/>
  <c r="G324" i="19"/>
  <c r="I324" i="19"/>
  <c r="H324" i="19"/>
  <c r="AV327" i="19"/>
  <c r="AW327" i="19" s="1"/>
  <c r="A326" i="19"/>
  <c r="E324" i="19"/>
  <c r="AF324" i="19"/>
  <c r="V324" i="19"/>
  <c r="M324" i="19"/>
  <c r="AK324" i="19"/>
  <c r="AA324" i="19"/>
  <c r="AJ324" i="19"/>
  <c r="N324" i="19"/>
  <c r="AR324" i="19"/>
  <c r="P324" i="19"/>
  <c r="AD324" i="19"/>
  <c r="U324" i="19"/>
  <c r="AB324" i="19"/>
  <c r="S324" i="19"/>
  <c r="W324" i="19"/>
  <c r="AG324" i="19"/>
  <c r="AP324" i="19"/>
  <c r="AL324" i="19"/>
  <c r="R324" i="19"/>
  <c r="AT324" i="19"/>
  <c r="X324" i="19"/>
  <c r="Y324" i="19"/>
  <c r="AO324" i="19"/>
  <c r="O324" i="19"/>
  <c r="AC324" i="19"/>
  <c r="AI324" i="19"/>
  <c r="AE324" i="19"/>
  <c r="T324" i="19"/>
  <c r="AQ324" i="19"/>
  <c r="K324" i="19"/>
  <c r="AH324" i="19"/>
  <c r="AM324" i="19"/>
  <c r="AS324" i="19"/>
  <c r="Q324" i="19"/>
  <c r="AU324" i="19"/>
  <c r="AN324" i="19"/>
  <c r="Z324" i="19"/>
  <c r="L324" i="19"/>
  <c r="B325" i="19"/>
  <c r="F325" i="19" s="1"/>
  <c r="C325" i="19"/>
  <c r="I316" i="36" l="1"/>
  <c r="J316" i="36"/>
  <c r="F316" i="36"/>
  <c r="G316" i="36"/>
  <c r="H316" i="36"/>
  <c r="B317" i="36"/>
  <c r="E317" i="36" s="1"/>
  <c r="C317" i="36"/>
  <c r="E316" i="36"/>
  <c r="AN316" i="36"/>
  <c r="T316" i="36"/>
  <c r="AH316" i="36"/>
  <c r="AI316" i="36"/>
  <c r="R316" i="36"/>
  <c r="AA316" i="36"/>
  <c r="AK316" i="36"/>
  <c r="L316" i="36"/>
  <c r="O316" i="36"/>
  <c r="AP316" i="36"/>
  <c r="W316" i="36"/>
  <c r="AT316" i="36"/>
  <c r="U316" i="36"/>
  <c r="N316" i="36"/>
  <c r="AG316" i="36"/>
  <c r="K316" i="36"/>
  <c r="X316" i="36"/>
  <c r="AJ316" i="36"/>
  <c r="AR316" i="36"/>
  <c r="V316" i="36"/>
  <c r="AC316" i="36"/>
  <c r="AU316" i="36"/>
  <c r="Q316" i="36"/>
  <c r="M316" i="36"/>
  <c r="AM316" i="36"/>
  <c r="Y316" i="36"/>
  <c r="AD316" i="36"/>
  <c r="AB316" i="36"/>
  <c r="AF316" i="36"/>
  <c r="AL316" i="36"/>
  <c r="AQ316" i="36"/>
  <c r="S316" i="36"/>
  <c r="AS316" i="36"/>
  <c r="P316" i="36"/>
  <c r="AE316" i="36"/>
  <c r="AO316" i="36"/>
  <c r="Z316" i="36"/>
  <c r="AV319" i="36"/>
  <c r="AW319" i="36" s="1"/>
  <c r="A318" i="36"/>
  <c r="H325" i="19"/>
  <c r="E325" i="19"/>
  <c r="I325" i="19"/>
  <c r="D325" i="19"/>
  <c r="G325" i="19"/>
  <c r="B326" i="19"/>
  <c r="G326" i="19" s="1"/>
  <c r="C326" i="19"/>
  <c r="T325" i="19"/>
  <c r="AR325" i="19"/>
  <c r="V325" i="19"/>
  <c r="AQ325" i="19"/>
  <c r="AD325" i="19"/>
  <c r="W325" i="19"/>
  <c r="N325" i="19"/>
  <c r="AE325" i="19"/>
  <c r="AI325" i="19"/>
  <c r="P325" i="19"/>
  <c r="S325" i="19"/>
  <c r="AB325" i="19"/>
  <c r="AH325" i="19"/>
  <c r="O325" i="19"/>
  <c r="M325" i="19"/>
  <c r="AO325" i="19"/>
  <c r="AL325" i="19"/>
  <c r="AU325" i="19"/>
  <c r="AJ325" i="19"/>
  <c r="K325" i="19"/>
  <c r="AK325" i="19"/>
  <c r="AN325" i="19"/>
  <c r="AG325" i="19"/>
  <c r="AC325" i="19"/>
  <c r="AM325" i="19"/>
  <c r="AT325" i="19"/>
  <c r="Q325" i="19"/>
  <c r="Y325" i="19"/>
  <c r="R325" i="19"/>
  <c r="L325" i="19"/>
  <c r="AP325" i="19"/>
  <c r="X325" i="19"/>
  <c r="AS325" i="19"/>
  <c r="AA325" i="19"/>
  <c r="Z325" i="19"/>
  <c r="AF325" i="19"/>
  <c r="U325" i="19"/>
  <c r="J325" i="19"/>
  <c r="AV328" i="19"/>
  <c r="AW328" i="19" s="1"/>
  <c r="A327" i="19"/>
  <c r="I317" i="36" l="1"/>
  <c r="G317" i="36"/>
  <c r="J317" i="36"/>
  <c r="H317" i="36"/>
  <c r="AV320" i="36"/>
  <c r="AW320" i="36" s="1"/>
  <c r="A319" i="36"/>
  <c r="D317" i="36"/>
  <c r="F317" i="36"/>
  <c r="C318" i="36"/>
  <c r="B318" i="36"/>
  <c r="G318" i="36" s="1"/>
  <c r="AR317" i="36"/>
  <c r="M317" i="36"/>
  <c r="AB317" i="36"/>
  <c r="AD317" i="36"/>
  <c r="AO317" i="36"/>
  <c r="X317" i="36"/>
  <c r="AC317" i="36"/>
  <c r="Y317" i="36"/>
  <c r="L317" i="36"/>
  <c r="U317" i="36"/>
  <c r="AQ317" i="36"/>
  <c r="AP317" i="36"/>
  <c r="AU317" i="36"/>
  <c r="AS317" i="36"/>
  <c r="AT317" i="36"/>
  <c r="AG317" i="36"/>
  <c r="W317" i="36"/>
  <c r="AE317" i="36"/>
  <c r="N317" i="36"/>
  <c r="Q317" i="36"/>
  <c r="T317" i="36"/>
  <c r="AJ317" i="36"/>
  <c r="AH317" i="36"/>
  <c r="AI317" i="36"/>
  <c r="AN317" i="36"/>
  <c r="V317" i="36"/>
  <c r="P317" i="36"/>
  <c r="Z317" i="36"/>
  <c r="AK317" i="36"/>
  <c r="K317" i="36"/>
  <c r="R317" i="36"/>
  <c r="AL317" i="36"/>
  <c r="O317" i="36"/>
  <c r="AA317" i="36"/>
  <c r="AF317" i="36"/>
  <c r="AM317" i="36"/>
  <c r="S317" i="36"/>
  <c r="J326" i="19"/>
  <c r="H326" i="19"/>
  <c r="E326" i="19"/>
  <c r="I326" i="19"/>
  <c r="D326" i="19"/>
  <c r="F326" i="19"/>
  <c r="M326" i="19"/>
  <c r="V326" i="19"/>
  <c r="N326" i="19"/>
  <c r="K326" i="19"/>
  <c r="AS326" i="19"/>
  <c r="AP326" i="19"/>
  <c r="AU326" i="19"/>
  <c r="AT326" i="19"/>
  <c r="R326" i="19"/>
  <c r="AM326" i="19"/>
  <c r="O326" i="19"/>
  <c r="AG326" i="19"/>
  <c r="AR326" i="19"/>
  <c r="U326" i="19"/>
  <c r="AD326" i="19"/>
  <c r="AA326" i="19"/>
  <c r="P326" i="19"/>
  <c r="X326" i="19"/>
  <c r="AJ326" i="19"/>
  <c r="W326" i="19"/>
  <c r="AE326" i="19"/>
  <c r="AI326" i="19"/>
  <c r="AN326" i="19"/>
  <c r="S326" i="19"/>
  <c r="Y326" i="19"/>
  <c r="AB326" i="19"/>
  <c r="AQ326" i="19"/>
  <c r="AC326" i="19"/>
  <c r="Q326" i="19"/>
  <c r="AO326" i="19"/>
  <c r="Z326" i="19"/>
  <c r="AL326" i="19"/>
  <c r="AH326" i="19"/>
  <c r="L326" i="19"/>
  <c r="AF326" i="19"/>
  <c r="T326" i="19"/>
  <c r="AK326" i="19"/>
  <c r="AV329" i="19"/>
  <c r="AW329" i="19" s="1"/>
  <c r="A328" i="19"/>
  <c r="C327" i="19"/>
  <c r="B327" i="19"/>
  <c r="I327" i="19" s="1"/>
  <c r="F318" i="36" l="1"/>
  <c r="J318" i="36"/>
  <c r="I318" i="36"/>
  <c r="H318" i="36"/>
  <c r="E318" i="36"/>
  <c r="D318" i="36"/>
  <c r="AE318" i="36"/>
  <c r="K318" i="36"/>
  <c r="AR318" i="36"/>
  <c r="Z318" i="36"/>
  <c r="L318" i="36"/>
  <c r="Y318" i="36"/>
  <c r="AC318" i="36"/>
  <c r="AB318" i="36"/>
  <c r="O318" i="36"/>
  <c r="AN318" i="36"/>
  <c r="P318" i="36"/>
  <c r="AG318" i="36"/>
  <c r="AI318" i="36"/>
  <c r="AL318" i="36"/>
  <c r="Q318" i="36"/>
  <c r="W318" i="36"/>
  <c r="S318" i="36"/>
  <c r="AO318" i="36"/>
  <c r="R318" i="36"/>
  <c r="AJ318" i="36"/>
  <c r="AK318" i="36"/>
  <c r="AA318" i="36"/>
  <c r="M318" i="36"/>
  <c r="AM318" i="36"/>
  <c r="U318" i="36"/>
  <c r="AQ318" i="36"/>
  <c r="AH318" i="36"/>
  <c r="AP318" i="36"/>
  <c r="AU318" i="36"/>
  <c r="X318" i="36"/>
  <c r="V318" i="36"/>
  <c r="AT318" i="36"/>
  <c r="AD318" i="36"/>
  <c r="AF318" i="36"/>
  <c r="AS318" i="36"/>
  <c r="N318" i="36"/>
  <c r="T318" i="36"/>
  <c r="C319" i="36"/>
  <c r="B319" i="36"/>
  <c r="I319" i="36" s="1"/>
  <c r="AV321" i="36"/>
  <c r="AW321" i="36" s="1"/>
  <c r="A320" i="36"/>
  <c r="E327" i="19"/>
  <c r="G327" i="19"/>
  <c r="D327" i="19"/>
  <c r="F327" i="19"/>
  <c r="W327" i="19"/>
  <c r="N327" i="19"/>
  <c r="AQ327" i="19"/>
  <c r="O327" i="19"/>
  <c r="AM327" i="19"/>
  <c r="S327" i="19"/>
  <c r="T327" i="19"/>
  <c r="P327" i="19"/>
  <c r="AI327" i="19"/>
  <c r="Y327" i="19"/>
  <c r="AF327" i="19"/>
  <c r="AB327" i="19"/>
  <c r="L327" i="19"/>
  <c r="AK327" i="19"/>
  <c r="AO327" i="19"/>
  <c r="K327" i="19"/>
  <c r="R327" i="19"/>
  <c r="M327" i="19"/>
  <c r="Q327" i="19"/>
  <c r="AE327" i="19"/>
  <c r="AH327" i="19"/>
  <c r="AL327" i="19"/>
  <c r="Z327" i="19"/>
  <c r="AT327" i="19"/>
  <c r="AN327" i="19"/>
  <c r="AP327" i="19"/>
  <c r="AC327" i="19"/>
  <c r="AR327" i="19"/>
  <c r="X327" i="19"/>
  <c r="AG327" i="19"/>
  <c r="AS327" i="19"/>
  <c r="V327" i="19"/>
  <c r="AJ327" i="19"/>
  <c r="U327" i="19"/>
  <c r="AD327" i="19"/>
  <c r="AA327" i="19"/>
  <c r="AU327" i="19"/>
  <c r="AV330" i="19"/>
  <c r="AW330" i="19" s="1"/>
  <c r="A329" i="19"/>
  <c r="C328" i="19"/>
  <c r="B328" i="19"/>
  <c r="G328" i="19" s="1"/>
  <c r="J327" i="19"/>
  <c r="H327" i="19"/>
  <c r="G319" i="36" l="1"/>
  <c r="E319" i="36"/>
  <c r="J319" i="36"/>
  <c r="F319" i="36"/>
  <c r="D319" i="36"/>
  <c r="B320" i="36"/>
  <c r="H320" i="36" s="1"/>
  <c r="C320" i="36"/>
  <c r="H319" i="36"/>
  <c r="S319" i="36"/>
  <c r="AT319" i="36"/>
  <c r="X319" i="36"/>
  <c r="AA319" i="36"/>
  <c r="AB319" i="36"/>
  <c r="AJ319" i="36"/>
  <c r="AE319" i="36"/>
  <c r="O319" i="36"/>
  <c r="AD319" i="36"/>
  <c r="N319" i="36"/>
  <c r="Q319" i="36"/>
  <c r="AI319" i="36"/>
  <c r="AN319" i="36"/>
  <c r="P319" i="36"/>
  <c r="AG319" i="36"/>
  <c r="U319" i="36"/>
  <c r="AO319" i="36"/>
  <c r="AQ319" i="36"/>
  <c r="R319" i="36"/>
  <c r="AM319" i="36"/>
  <c r="Y319" i="36"/>
  <c r="AL319" i="36"/>
  <c r="L319" i="36"/>
  <c r="T319" i="36"/>
  <c r="AF319" i="36"/>
  <c r="K319" i="36"/>
  <c r="W319" i="36"/>
  <c r="Z319" i="36"/>
  <c r="AP319" i="36"/>
  <c r="AC319" i="36"/>
  <c r="AS319" i="36"/>
  <c r="M319" i="36"/>
  <c r="V319" i="36"/>
  <c r="AU319" i="36"/>
  <c r="AR319" i="36"/>
  <c r="AH319" i="36"/>
  <c r="AK319" i="36"/>
  <c r="AV322" i="36"/>
  <c r="AW322" i="36" s="1"/>
  <c r="A321" i="36"/>
  <c r="J328" i="19"/>
  <c r="F328" i="19"/>
  <c r="H328" i="19"/>
  <c r="D328" i="19"/>
  <c r="E328" i="19"/>
  <c r="I328" i="19"/>
  <c r="C329" i="19"/>
  <c r="B329" i="19"/>
  <c r="H329" i="19" s="1"/>
  <c r="AG328" i="19"/>
  <c r="U328" i="19"/>
  <c r="S328" i="19"/>
  <c r="R328" i="19"/>
  <c r="X328" i="19"/>
  <c r="V328" i="19"/>
  <c r="AM328" i="19"/>
  <c r="W328" i="19"/>
  <c r="AA328" i="19"/>
  <c r="Z328" i="19"/>
  <c r="P328" i="19"/>
  <c r="AF328" i="19"/>
  <c r="AR328" i="19"/>
  <c r="L328" i="19"/>
  <c r="AS328" i="19"/>
  <c r="AC328" i="19"/>
  <c r="AN328" i="19"/>
  <c r="AB328" i="19"/>
  <c r="AQ328" i="19"/>
  <c r="AL328" i="19"/>
  <c r="AH328" i="19"/>
  <c r="AP328" i="19"/>
  <c r="AU328" i="19"/>
  <c r="AI328" i="19"/>
  <c r="AT328" i="19"/>
  <c r="M328" i="19"/>
  <c r="AD328" i="19"/>
  <c r="Q328" i="19"/>
  <c r="N328" i="19"/>
  <c r="O328" i="19"/>
  <c r="AJ328" i="19"/>
  <c r="K328" i="19"/>
  <c r="Y328" i="19"/>
  <c r="AK328" i="19"/>
  <c r="T328" i="19"/>
  <c r="AE328" i="19"/>
  <c r="AO328" i="19"/>
  <c r="A330" i="19"/>
  <c r="AV331" i="19"/>
  <c r="AW331" i="19" s="1"/>
  <c r="I320" i="36" l="1"/>
  <c r="D320" i="36"/>
  <c r="F320" i="36"/>
  <c r="I321" i="36"/>
  <c r="J321" i="36"/>
  <c r="E321" i="36"/>
  <c r="D321" i="36"/>
  <c r="B321" i="36"/>
  <c r="H321" i="36"/>
  <c r="F321" i="36"/>
  <c r="C321" i="36"/>
  <c r="G321" i="36"/>
  <c r="J320" i="36"/>
  <c r="G320" i="36"/>
  <c r="AV323" i="36"/>
  <c r="AW323" i="36" s="1"/>
  <c r="A322" i="36"/>
  <c r="E320" i="36"/>
  <c r="AO320" i="36"/>
  <c r="AR320" i="36"/>
  <c r="AM320" i="36"/>
  <c r="K320" i="36"/>
  <c r="AU320" i="36"/>
  <c r="AJ320" i="36"/>
  <c r="AA320" i="36"/>
  <c r="AB320" i="36"/>
  <c r="Z320" i="36"/>
  <c r="AH320" i="36"/>
  <c r="AE320" i="36"/>
  <c r="W320" i="36"/>
  <c r="AK320" i="36"/>
  <c r="L320" i="36"/>
  <c r="Y320" i="36"/>
  <c r="O320" i="36"/>
  <c r="Q320" i="36"/>
  <c r="T320" i="36"/>
  <c r="AP320" i="36"/>
  <c r="AF320" i="36"/>
  <c r="AQ320" i="36"/>
  <c r="V320" i="36"/>
  <c r="AC320" i="36"/>
  <c r="R320" i="36"/>
  <c r="M320" i="36"/>
  <c r="P320" i="36"/>
  <c r="S320" i="36"/>
  <c r="AN320" i="36"/>
  <c r="X320" i="36"/>
  <c r="AL320" i="36"/>
  <c r="AS320" i="36"/>
  <c r="AD320" i="36"/>
  <c r="AT320" i="36"/>
  <c r="AG320" i="36"/>
  <c r="U320" i="36"/>
  <c r="AI320" i="36"/>
  <c r="N320" i="36"/>
  <c r="J329" i="19"/>
  <c r="I329" i="19"/>
  <c r="E329" i="19"/>
  <c r="F329" i="19"/>
  <c r="G329" i="19"/>
  <c r="AQ329" i="19"/>
  <c r="Z329" i="19"/>
  <c r="W329" i="19"/>
  <c r="P329" i="19"/>
  <c r="T329" i="19"/>
  <c r="AJ329" i="19"/>
  <c r="X329" i="19"/>
  <c r="AD329" i="19"/>
  <c r="AE329" i="19"/>
  <c r="AA329" i="19"/>
  <c r="AG329" i="19"/>
  <c r="L329" i="19"/>
  <c r="AL329" i="19"/>
  <c r="AP329" i="19"/>
  <c r="AS329" i="19"/>
  <c r="AN329" i="19"/>
  <c r="AB329" i="19"/>
  <c r="AU329" i="19"/>
  <c r="U329" i="19"/>
  <c r="M329" i="19"/>
  <c r="S329" i="19"/>
  <c r="Y329" i="19"/>
  <c r="AT329" i="19"/>
  <c r="AH329" i="19"/>
  <c r="O329" i="19"/>
  <c r="N329" i="19"/>
  <c r="AK329" i="19"/>
  <c r="AI329" i="19"/>
  <c r="AM329" i="19"/>
  <c r="AR329" i="19"/>
  <c r="K329" i="19"/>
  <c r="AO329" i="19"/>
  <c r="AC329" i="19"/>
  <c r="Q329" i="19"/>
  <c r="V329" i="19"/>
  <c r="R329" i="19"/>
  <c r="AF329" i="19"/>
  <c r="A331" i="19"/>
  <c r="AV332" i="19"/>
  <c r="AW332" i="19" s="1"/>
  <c r="D329" i="19"/>
  <c r="C330" i="19"/>
  <c r="B330" i="19"/>
  <c r="H330" i="19" s="1"/>
  <c r="AV324" i="36" l="1"/>
  <c r="AW324" i="36" s="1"/>
  <c r="A323" i="36"/>
  <c r="J322" i="36"/>
  <c r="C322" i="36"/>
  <c r="B322" i="36"/>
  <c r="F322" i="36"/>
  <c r="I322" i="36"/>
  <c r="H322" i="36"/>
  <c r="D322" i="36"/>
  <c r="E322" i="36"/>
  <c r="G322" i="36"/>
  <c r="AA321" i="36"/>
  <c r="V321" i="36"/>
  <c r="AS321" i="36"/>
  <c r="U321" i="36"/>
  <c r="AO321" i="36"/>
  <c r="AH321" i="36"/>
  <c r="AM321" i="36"/>
  <c r="Q321" i="36"/>
  <c r="L321" i="36"/>
  <c r="AN321" i="36"/>
  <c r="O321" i="36"/>
  <c r="AG321" i="36"/>
  <c r="AI321" i="36"/>
  <c r="AK321" i="36"/>
  <c r="X321" i="36"/>
  <c r="AQ321" i="36"/>
  <c r="R321" i="36"/>
  <c r="Y321" i="36"/>
  <c r="P321" i="36"/>
  <c r="AB321" i="36"/>
  <c r="Z321" i="36"/>
  <c r="AJ321" i="36"/>
  <c r="T321" i="36"/>
  <c r="AL321" i="36"/>
  <c r="AC321" i="36"/>
  <c r="AD321" i="36"/>
  <c r="N321" i="36"/>
  <c r="AT321" i="36"/>
  <c r="W321" i="36"/>
  <c r="AP321" i="36"/>
  <c r="S321" i="36"/>
  <c r="AU321" i="36"/>
  <c r="AF321" i="36"/>
  <c r="AR321" i="36"/>
  <c r="AE321" i="36"/>
  <c r="M321" i="36"/>
  <c r="K321" i="36"/>
  <c r="G330" i="19"/>
  <c r="D330" i="19"/>
  <c r="F330" i="19"/>
  <c r="I330" i="19"/>
  <c r="AN330" i="19"/>
  <c r="AK330" i="19"/>
  <c r="L330" i="19"/>
  <c r="Q330" i="19"/>
  <c r="U330" i="19"/>
  <c r="N330" i="19"/>
  <c r="R330" i="19"/>
  <c r="AR330" i="19"/>
  <c r="Y330" i="19"/>
  <c r="AH330" i="19"/>
  <c r="K330" i="19"/>
  <c r="AB330" i="19"/>
  <c r="AP330" i="19"/>
  <c r="AC330" i="19"/>
  <c r="AO330" i="19"/>
  <c r="S330" i="19"/>
  <c r="X330" i="19"/>
  <c r="P330" i="19"/>
  <c r="V330" i="19"/>
  <c r="T330" i="19"/>
  <c r="AG330" i="19"/>
  <c r="Z330" i="19"/>
  <c r="AJ330" i="19"/>
  <c r="AS330" i="19"/>
  <c r="AF330" i="19"/>
  <c r="AL330" i="19"/>
  <c r="AI330" i="19"/>
  <c r="M330" i="19"/>
  <c r="AQ330" i="19"/>
  <c r="AM330" i="19"/>
  <c r="AU330" i="19"/>
  <c r="AA330" i="19"/>
  <c r="AE330" i="19"/>
  <c r="AT330" i="19"/>
  <c r="W330" i="19"/>
  <c r="AD330" i="19"/>
  <c r="O330" i="19"/>
  <c r="AV333" i="19"/>
  <c r="AW333" i="19" s="1"/>
  <c r="A332" i="19"/>
  <c r="J330" i="19"/>
  <c r="I331" i="19"/>
  <c r="B331" i="19"/>
  <c r="F331" i="19"/>
  <c r="J331" i="19"/>
  <c r="H331" i="19"/>
  <c r="E331" i="19"/>
  <c r="C331" i="19"/>
  <c r="G331" i="19"/>
  <c r="D331" i="19"/>
  <c r="E330" i="19"/>
  <c r="B323" i="36" l="1"/>
  <c r="I323" i="36" s="1"/>
  <c r="C323" i="36"/>
  <c r="AL322" i="36"/>
  <c r="AK322" i="36"/>
  <c r="V322" i="36"/>
  <c r="AH322" i="36"/>
  <c r="AM322" i="36"/>
  <c r="P322" i="36"/>
  <c r="AG322" i="36"/>
  <c r="Y322" i="36"/>
  <c r="S322" i="36"/>
  <c r="AS322" i="36"/>
  <c r="O322" i="36"/>
  <c r="W322" i="36"/>
  <c r="AN322" i="36"/>
  <c r="AD322" i="36"/>
  <c r="AP322" i="36"/>
  <c r="AE322" i="36"/>
  <c r="AU322" i="36"/>
  <c r="AA322" i="36"/>
  <c r="AI322" i="36"/>
  <c r="Q322" i="36"/>
  <c r="T322" i="36"/>
  <c r="AO322" i="36"/>
  <c r="K322" i="36"/>
  <c r="AF322" i="36"/>
  <c r="AJ322" i="36"/>
  <c r="AB322" i="36"/>
  <c r="AR322" i="36"/>
  <c r="M322" i="36"/>
  <c r="Z322" i="36"/>
  <c r="R322" i="36"/>
  <c r="AQ322" i="36"/>
  <c r="U322" i="36"/>
  <c r="AC322" i="36"/>
  <c r="L322" i="36"/>
  <c r="N322" i="36"/>
  <c r="X322" i="36"/>
  <c r="AT322" i="36"/>
  <c r="AV325" i="36"/>
  <c r="AW325" i="36" s="1"/>
  <c r="A324" i="36"/>
  <c r="AI331" i="19"/>
  <c r="Q331" i="19"/>
  <c r="AN331" i="19"/>
  <c r="P331" i="19"/>
  <c r="W331" i="19"/>
  <c r="AR331" i="19"/>
  <c r="AP331" i="19"/>
  <c r="X331" i="19"/>
  <c r="AM331" i="19"/>
  <c r="AF331" i="19"/>
  <c r="AB331" i="19"/>
  <c r="AK331" i="19"/>
  <c r="U331" i="19"/>
  <c r="K331" i="19"/>
  <c r="V331" i="19"/>
  <c r="Z331" i="19"/>
  <c r="AD331" i="19"/>
  <c r="AS331" i="19"/>
  <c r="S331" i="19"/>
  <c r="M331" i="19"/>
  <c r="AT331" i="19"/>
  <c r="AG331" i="19"/>
  <c r="AJ331" i="19"/>
  <c r="AH331" i="19"/>
  <c r="Y331" i="19"/>
  <c r="AL331" i="19"/>
  <c r="AO331" i="19"/>
  <c r="AU331" i="19"/>
  <c r="O331" i="19"/>
  <c r="L331" i="19"/>
  <c r="AE331" i="19"/>
  <c r="N331" i="19"/>
  <c r="AA331" i="19"/>
  <c r="T331" i="19"/>
  <c r="R331" i="19"/>
  <c r="AQ331" i="19"/>
  <c r="AC331" i="19"/>
  <c r="A333" i="19"/>
  <c r="AV334" i="19"/>
  <c r="AW334" i="19" s="1"/>
  <c r="C332" i="19"/>
  <c r="H332" i="19"/>
  <c r="J332" i="19"/>
  <c r="I332" i="19"/>
  <c r="D332" i="19"/>
  <c r="G332" i="19"/>
  <c r="E332" i="19"/>
  <c r="B332" i="19"/>
  <c r="F332" i="19"/>
  <c r="J323" i="36" l="1"/>
  <c r="F323" i="36"/>
  <c r="E323" i="36"/>
  <c r="B324" i="36"/>
  <c r="I324" i="36" s="1"/>
  <c r="C324" i="36"/>
  <c r="H323" i="36"/>
  <c r="G323" i="36"/>
  <c r="D323" i="36"/>
  <c r="AV326" i="36"/>
  <c r="AW326" i="36" s="1"/>
  <c r="A325" i="36"/>
  <c r="U323" i="36"/>
  <c r="AK323" i="36"/>
  <c r="N323" i="36"/>
  <c r="AQ323" i="36"/>
  <c r="AO323" i="36"/>
  <c r="AA323" i="36"/>
  <c r="AB323" i="36"/>
  <c r="L323" i="36"/>
  <c r="AG323" i="36"/>
  <c r="AT323" i="36"/>
  <c r="V323" i="36"/>
  <c r="AN323" i="36"/>
  <c r="AL323" i="36"/>
  <c r="AI323" i="36"/>
  <c r="Q323" i="36"/>
  <c r="T323" i="36"/>
  <c r="M323" i="36"/>
  <c r="Y323" i="36"/>
  <c r="S323" i="36"/>
  <c r="AP323" i="36"/>
  <c r="R323" i="36"/>
  <c r="O323" i="36"/>
  <c r="AJ323" i="36"/>
  <c r="AF323" i="36"/>
  <c r="W323" i="36"/>
  <c r="AC323" i="36"/>
  <c r="AH323" i="36"/>
  <c r="AM323" i="36"/>
  <c r="AE323" i="36"/>
  <c r="P323" i="36"/>
  <c r="AR323" i="36"/>
  <c r="K323" i="36"/>
  <c r="AS323" i="36"/>
  <c r="AU323" i="36"/>
  <c r="Z323" i="36"/>
  <c r="X323" i="36"/>
  <c r="AD323" i="36"/>
  <c r="AV335" i="19"/>
  <c r="AW335" i="19" s="1"/>
  <c r="A334" i="19"/>
  <c r="AU332" i="19"/>
  <c r="S332" i="19"/>
  <c r="AR332" i="19"/>
  <c r="AG332" i="19"/>
  <c r="AD332" i="19"/>
  <c r="K332" i="19"/>
  <c r="AS332" i="19"/>
  <c r="AH332" i="19"/>
  <c r="R332" i="19"/>
  <c r="U332" i="19"/>
  <c r="L332" i="19"/>
  <c r="O332" i="19"/>
  <c r="AC332" i="19"/>
  <c r="Z332" i="19"/>
  <c r="AJ332" i="19"/>
  <c r="AF332" i="19"/>
  <c r="AM332" i="19"/>
  <c r="AI332" i="19"/>
  <c r="AA332" i="19"/>
  <c r="AO332" i="19"/>
  <c r="AK332" i="19"/>
  <c r="M332" i="19"/>
  <c r="N332" i="19"/>
  <c r="W332" i="19"/>
  <c r="AT332" i="19"/>
  <c r="AE332" i="19"/>
  <c r="AB332" i="19"/>
  <c r="V332" i="19"/>
  <c r="T332" i="19"/>
  <c r="AN332" i="19"/>
  <c r="Y332" i="19"/>
  <c r="AP332" i="19"/>
  <c r="AQ332" i="19"/>
  <c r="P332" i="19"/>
  <c r="Q332" i="19"/>
  <c r="X332" i="19"/>
  <c r="AL332" i="19"/>
  <c r="B333" i="19"/>
  <c r="C333" i="19"/>
  <c r="R333" i="19" l="1"/>
  <c r="S333" i="19"/>
  <c r="U333" i="19"/>
  <c r="W333" i="19"/>
  <c r="Y333" i="19"/>
  <c r="AA333" i="19"/>
  <c r="AC333" i="19"/>
  <c r="T333" i="19"/>
  <c r="V333" i="19"/>
  <c r="X333" i="19"/>
  <c r="Z333" i="19"/>
  <c r="AB333" i="19"/>
  <c r="AD333" i="19"/>
  <c r="G333" i="19"/>
  <c r="Q333" i="19"/>
  <c r="O333" i="19"/>
  <c r="E324" i="36"/>
  <c r="F324" i="36"/>
  <c r="AV327" i="36"/>
  <c r="AW327" i="36" s="1"/>
  <c r="A326" i="36"/>
  <c r="J324" i="36"/>
  <c r="H324" i="36"/>
  <c r="G324" i="36"/>
  <c r="B325" i="36"/>
  <c r="F325" i="36" s="1"/>
  <c r="C325" i="36"/>
  <c r="D324" i="36"/>
  <c r="AG324" i="36"/>
  <c r="Y324" i="36"/>
  <c r="P324" i="36"/>
  <c r="AJ324" i="36"/>
  <c r="AQ324" i="36"/>
  <c r="N324" i="36"/>
  <c r="AA324" i="36"/>
  <c r="AT324" i="36"/>
  <c r="AF324" i="36"/>
  <c r="AK324" i="36"/>
  <c r="V324" i="36"/>
  <c r="AL324" i="36"/>
  <c r="AP324" i="36"/>
  <c r="AR324" i="36"/>
  <c r="AM324" i="36"/>
  <c r="Z324" i="36"/>
  <c r="O324" i="36"/>
  <c r="U324" i="36"/>
  <c r="T324" i="36"/>
  <c r="AS324" i="36"/>
  <c r="AO324" i="36"/>
  <c r="R324" i="36"/>
  <c r="X324" i="36"/>
  <c r="AD324" i="36"/>
  <c r="W324" i="36"/>
  <c r="S324" i="36"/>
  <c r="AE324" i="36"/>
  <c r="AI324" i="36"/>
  <c r="L324" i="36"/>
  <c r="Q324" i="36"/>
  <c r="AN324" i="36"/>
  <c r="AB324" i="36"/>
  <c r="AU324" i="36"/>
  <c r="K324" i="36"/>
  <c r="AC324" i="36"/>
  <c r="AH324" i="36"/>
  <c r="M324" i="36"/>
  <c r="E333" i="19"/>
  <c r="I333" i="19"/>
  <c r="J333" i="19"/>
  <c r="D333" i="19"/>
  <c r="H333" i="19"/>
  <c r="AH333" i="19"/>
  <c r="AM333" i="19"/>
  <c r="AO333" i="19"/>
  <c r="AR333" i="19"/>
  <c r="L333" i="19"/>
  <c r="AF333" i="19"/>
  <c r="AG333" i="19"/>
  <c r="AL333" i="19"/>
  <c r="AU333" i="19"/>
  <c r="M333" i="19"/>
  <c r="P333" i="19"/>
  <c r="AP333" i="19"/>
  <c r="AE333" i="19"/>
  <c r="AK333" i="19"/>
  <c r="AJ333" i="19"/>
  <c r="AT333" i="19"/>
  <c r="AQ333" i="19"/>
  <c r="AI333" i="19"/>
  <c r="K333" i="19"/>
  <c r="N333" i="19"/>
  <c r="AN333" i="19"/>
  <c r="AS333" i="19"/>
  <c r="B334" i="19"/>
  <c r="C334" i="19"/>
  <c r="F333" i="19"/>
  <c r="A335" i="19"/>
  <c r="AV336" i="19"/>
  <c r="AW336" i="19" s="1"/>
  <c r="I334" i="19" l="1"/>
  <c r="R334" i="19"/>
  <c r="T334" i="19"/>
  <c r="V334" i="19"/>
  <c r="X334" i="19"/>
  <c r="Z334" i="19"/>
  <c r="AB334" i="19"/>
  <c r="AD334" i="19"/>
  <c r="S334" i="19"/>
  <c r="U334" i="19"/>
  <c r="W334" i="19"/>
  <c r="Y334" i="19"/>
  <c r="AA334" i="19"/>
  <c r="AC334" i="19"/>
  <c r="O334" i="19"/>
  <c r="E325" i="36"/>
  <c r="J325" i="36"/>
  <c r="D325" i="36"/>
  <c r="G325" i="36"/>
  <c r="I325" i="36"/>
  <c r="H325" i="36"/>
  <c r="AB325" i="36"/>
  <c r="O325" i="36"/>
  <c r="AQ325" i="36"/>
  <c r="AO325" i="36"/>
  <c r="P325" i="36"/>
  <c r="W325" i="36"/>
  <c r="AR325" i="36"/>
  <c r="V325" i="36"/>
  <c r="M325" i="36"/>
  <c r="U325" i="36"/>
  <c r="AN325" i="36"/>
  <c r="AK325" i="36"/>
  <c r="AH325" i="36"/>
  <c r="N325" i="36"/>
  <c r="AJ325" i="36"/>
  <c r="AA325" i="36"/>
  <c r="AS325" i="36"/>
  <c r="AM325" i="36"/>
  <c r="AE325" i="36"/>
  <c r="AC325" i="36"/>
  <c r="AF325" i="36"/>
  <c r="AT325" i="36"/>
  <c r="S325" i="36"/>
  <c r="AI325" i="36"/>
  <c r="L325" i="36"/>
  <c r="AL325" i="36"/>
  <c r="AP325" i="36"/>
  <c r="AU325" i="36"/>
  <c r="R325" i="36"/>
  <c r="K325" i="36"/>
  <c r="Q325" i="36"/>
  <c r="T325" i="36"/>
  <c r="AG325" i="36"/>
  <c r="Y325" i="36"/>
  <c r="AD325" i="36"/>
  <c r="Z325" i="36"/>
  <c r="X325" i="36"/>
  <c r="B326" i="36"/>
  <c r="E326" i="36" s="1"/>
  <c r="C326" i="36"/>
  <c r="AV328" i="36"/>
  <c r="AW328" i="36" s="1"/>
  <c r="A327" i="36"/>
  <c r="G334" i="19"/>
  <c r="D334" i="19"/>
  <c r="F334" i="19"/>
  <c r="H334" i="19"/>
  <c r="E334" i="19"/>
  <c r="J334" i="19"/>
  <c r="B335" i="19"/>
  <c r="C335" i="19"/>
  <c r="AJ334" i="19"/>
  <c r="AG334" i="19"/>
  <c r="P334" i="19"/>
  <c r="AI334" i="19"/>
  <c r="AR334" i="19"/>
  <c r="AM334" i="19"/>
  <c r="AT334" i="19"/>
  <c r="AO334" i="19"/>
  <c r="AH334" i="19"/>
  <c r="AL334" i="19"/>
  <c r="K334" i="19"/>
  <c r="AE334" i="19"/>
  <c r="M334" i="19"/>
  <c r="N334" i="19"/>
  <c r="AS334" i="19"/>
  <c r="AN334" i="19"/>
  <c r="AF334" i="19"/>
  <c r="AP334" i="19"/>
  <c r="AK334" i="19"/>
  <c r="AU334" i="19"/>
  <c r="AQ334" i="19"/>
  <c r="L334" i="19"/>
  <c r="AV337" i="19"/>
  <c r="AW337" i="19" s="1"/>
  <c r="A336" i="19"/>
  <c r="D335" i="19" l="1"/>
  <c r="S335" i="19"/>
  <c r="U335" i="19"/>
  <c r="W335" i="19"/>
  <c r="Y335" i="19"/>
  <c r="AA335" i="19"/>
  <c r="AC335" i="19"/>
  <c r="R335" i="19"/>
  <c r="T335" i="19"/>
  <c r="V335" i="19"/>
  <c r="X335" i="19"/>
  <c r="Z335" i="19"/>
  <c r="AB335" i="19"/>
  <c r="AD335" i="19"/>
  <c r="O335" i="19"/>
  <c r="H326" i="36"/>
  <c r="D326" i="36"/>
  <c r="J326" i="36"/>
  <c r="I326" i="36"/>
  <c r="G326" i="36"/>
  <c r="AV329" i="36"/>
  <c r="AW329" i="36" s="1"/>
  <c r="A328" i="36"/>
  <c r="F326" i="36"/>
  <c r="AJ326" i="36"/>
  <c r="O326" i="36"/>
  <c r="AC326" i="36"/>
  <c r="AE326" i="36"/>
  <c r="R326" i="36"/>
  <c r="AK326" i="36"/>
  <c r="M326" i="36"/>
  <c r="AN326" i="36"/>
  <c r="AU326" i="36"/>
  <c r="K326" i="36"/>
  <c r="V326" i="36"/>
  <c r="AG326" i="36"/>
  <c r="AB326" i="36"/>
  <c r="AI326" i="36"/>
  <c r="AS326" i="36"/>
  <c r="AD326" i="36"/>
  <c r="Y326" i="36"/>
  <c r="L326" i="36"/>
  <c r="AH326" i="36"/>
  <c r="P326" i="36"/>
  <c r="AF326" i="36"/>
  <c r="AO326" i="36"/>
  <c r="AP326" i="36"/>
  <c r="AA326" i="36"/>
  <c r="AT326" i="36"/>
  <c r="AQ326" i="36"/>
  <c r="U326" i="36"/>
  <c r="AM326" i="36"/>
  <c r="Q326" i="36"/>
  <c r="AL326" i="36"/>
  <c r="S326" i="36"/>
  <c r="X326" i="36"/>
  <c r="W326" i="36"/>
  <c r="N326" i="36"/>
  <c r="AR326" i="36"/>
  <c r="T326" i="36"/>
  <c r="Z326" i="36"/>
  <c r="B327" i="36"/>
  <c r="G327" i="36" s="1"/>
  <c r="C327" i="36"/>
  <c r="G335" i="19"/>
  <c r="E335" i="19"/>
  <c r="J335" i="19"/>
  <c r="H335" i="19"/>
  <c r="I335" i="19"/>
  <c r="F335" i="19"/>
  <c r="AV338" i="19"/>
  <c r="AW338" i="19" s="1"/>
  <c r="A337" i="19"/>
  <c r="B336" i="19"/>
  <c r="C336" i="19"/>
  <c r="K335" i="19"/>
  <c r="AH335" i="19"/>
  <c r="AN335" i="19"/>
  <c r="AQ335" i="19"/>
  <c r="AJ335" i="19"/>
  <c r="AL335" i="19"/>
  <c r="AO335" i="19"/>
  <c r="AF335" i="19"/>
  <c r="AT335" i="19"/>
  <c r="AP335" i="19"/>
  <c r="AG335" i="19"/>
  <c r="AS335" i="19"/>
  <c r="M335" i="19"/>
  <c r="AE335" i="19"/>
  <c r="AK335" i="19"/>
  <c r="AU335" i="19"/>
  <c r="AI335" i="19"/>
  <c r="P335" i="19"/>
  <c r="AR335" i="19"/>
  <c r="L335" i="19"/>
  <c r="N335" i="19"/>
  <c r="AM335" i="19"/>
  <c r="J336" i="19" l="1"/>
  <c r="R336" i="19"/>
  <c r="T336" i="19"/>
  <c r="V336" i="19"/>
  <c r="X336" i="19"/>
  <c r="Z336" i="19"/>
  <c r="AB336" i="19"/>
  <c r="AD336" i="19"/>
  <c r="S336" i="19"/>
  <c r="U336" i="19"/>
  <c r="W336" i="19"/>
  <c r="Y336" i="19"/>
  <c r="AA336" i="19"/>
  <c r="AC336" i="19"/>
  <c r="O336" i="19"/>
  <c r="E327" i="36"/>
  <c r="H327" i="36"/>
  <c r="J327" i="36"/>
  <c r="D327" i="36"/>
  <c r="F327" i="36"/>
  <c r="I327" i="36"/>
  <c r="B328" i="36"/>
  <c r="D328" i="36" s="1"/>
  <c r="C328" i="36"/>
  <c r="AM327" i="36"/>
  <c r="AR327" i="36"/>
  <c r="Z327" i="36"/>
  <c r="W327" i="36"/>
  <c r="AD327" i="36"/>
  <c r="AS327" i="36"/>
  <c r="AP327" i="36"/>
  <c r="R327" i="36"/>
  <c r="AH327" i="36"/>
  <c r="P327" i="36"/>
  <c r="N327" i="36"/>
  <c r="AQ327" i="36"/>
  <c r="V327" i="36"/>
  <c r="AL327" i="36"/>
  <c r="L327" i="36"/>
  <c r="U327" i="36"/>
  <c r="AK327" i="36"/>
  <c r="AN327" i="36"/>
  <c r="AF327" i="36"/>
  <c r="AO327" i="36"/>
  <c r="T327" i="36"/>
  <c r="AJ327" i="36"/>
  <c r="X327" i="36"/>
  <c r="AC327" i="36"/>
  <c r="O327" i="36"/>
  <c r="AT327" i="36"/>
  <c r="K327" i="36"/>
  <c r="AG327" i="36"/>
  <c r="AA327" i="36"/>
  <c r="Y327" i="36"/>
  <c r="Q327" i="36"/>
  <c r="AB327" i="36"/>
  <c r="S327" i="36"/>
  <c r="AE327" i="36"/>
  <c r="AU327" i="36"/>
  <c r="M327" i="36"/>
  <c r="AI327" i="36"/>
  <c r="AV330" i="36"/>
  <c r="AW330" i="36" s="1"/>
  <c r="A329" i="36"/>
  <c r="E336" i="19"/>
  <c r="G336" i="19"/>
  <c r="D336" i="19"/>
  <c r="H336" i="19"/>
  <c r="I336" i="19"/>
  <c r="F336" i="19"/>
  <c r="AR336" i="19"/>
  <c r="AE336" i="19"/>
  <c r="AK336" i="19"/>
  <c r="K336" i="19"/>
  <c r="AL336" i="19"/>
  <c r="AH336" i="19"/>
  <c r="AP336" i="19"/>
  <c r="AT336" i="19"/>
  <c r="AS336" i="19"/>
  <c r="AG336" i="19"/>
  <c r="AN336" i="19"/>
  <c r="AF336" i="19"/>
  <c r="N336" i="19"/>
  <c r="AQ336" i="19"/>
  <c r="AO336" i="19"/>
  <c r="AM336" i="19"/>
  <c r="P336" i="19"/>
  <c r="AJ336" i="19"/>
  <c r="L336" i="19"/>
  <c r="M336" i="19"/>
  <c r="AU336" i="19"/>
  <c r="AI336" i="19"/>
  <c r="B337" i="19"/>
  <c r="C337" i="19"/>
  <c r="A338" i="19"/>
  <c r="AV339" i="19"/>
  <c r="AW339" i="19" s="1"/>
  <c r="J337" i="19" l="1"/>
  <c r="S337" i="19"/>
  <c r="U337" i="19"/>
  <c r="W337" i="19"/>
  <c r="Y337" i="19"/>
  <c r="AA337" i="19"/>
  <c r="AC337" i="19"/>
  <c r="R337" i="19"/>
  <c r="T337" i="19"/>
  <c r="V337" i="19"/>
  <c r="X337" i="19"/>
  <c r="Z337" i="19"/>
  <c r="AB337" i="19"/>
  <c r="AD337" i="19"/>
  <c r="O337" i="19"/>
  <c r="E328" i="36"/>
  <c r="J328" i="36"/>
  <c r="F328" i="36"/>
  <c r="I328" i="36"/>
  <c r="F329" i="36"/>
  <c r="G329" i="36"/>
  <c r="H329" i="36"/>
  <c r="E329" i="36"/>
  <c r="C329" i="36"/>
  <c r="J329" i="36"/>
  <c r="D329" i="36"/>
  <c r="B329" i="36"/>
  <c r="I329" i="36"/>
  <c r="G328" i="36"/>
  <c r="H328" i="36"/>
  <c r="AV331" i="36"/>
  <c r="AW331" i="36" s="1"/>
  <c r="A330" i="36"/>
  <c r="AJ328" i="36"/>
  <c r="AB328" i="36"/>
  <c r="AR328" i="36"/>
  <c r="AM328" i="36"/>
  <c r="AA328" i="36"/>
  <c r="AN328" i="36"/>
  <c r="S328" i="36"/>
  <c r="AF328" i="36"/>
  <c r="AT328" i="36"/>
  <c r="L328" i="36"/>
  <c r="Z328" i="36"/>
  <c r="AH328" i="36"/>
  <c r="V328" i="36"/>
  <c r="T328" i="36"/>
  <c r="AE328" i="36"/>
  <c r="X328" i="36"/>
  <c r="AL328" i="36"/>
  <c r="AS328" i="36"/>
  <c r="O328" i="36"/>
  <c r="K328" i="36"/>
  <c r="AC328" i="36"/>
  <c r="N328" i="36"/>
  <c r="M328" i="36"/>
  <c r="AU328" i="36"/>
  <c r="AK328" i="36"/>
  <c r="AP328" i="36"/>
  <c r="P328" i="36"/>
  <c r="AD328" i="36"/>
  <c r="W328" i="36"/>
  <c r="Y328" i="36"/>
  <c r="AQ328" i="36"/>
  <c r="U328" i="36"/>
  <c r="AG328" i="36"/>
  <c r="AO328" i="36"/>
  <c r="Q328" i="36"/>
  <c r="AI328" i="36"/>
  <c r="R328" i="36"/>
  <c r="I337" i="19"/>
  <c r="G337" i="19"/>
  <c r="E337" i="19"/>
  <c r="F337" i="19"/>
  <c r="H337" i="19"/>
  <c r="D337" i="19"/>
  <c r="AM337" i="19"/>
  <c r="AS337" i="19"/>
  <c r="AQ337" i="19"/>
  <c r="AE337" i="19"/>
  <c r="AO337" i="19"/>
  <c r="AR337" i="19"/>
  <c r="M337" i="19"/>
  <c r="AF337" i="19"/>
  <c r="AT337" i="19"/>
  <c r="K337" i="19"/>
  <c r="AN337" i="19"/>
  <c r="AL337" i="19"/>
  <c r="AJ337" i="19"/>
  <c r="N337" i="19"/>
  <c r="AG337" i="19"/>
  <c r="AI337" i="19"/>
  <c r="AU337" i="19"/>
  <c r="P337" i="19"/>
  <c r="L337" i="19"/>
  <c r="AH337" i="19"/>
  <c r="AP337" i="19"/>
  <c r="AK337" i="19"/>
  <c r="A339" i="19"/>
  <c r="O339" i="19" s="1"/>
  <c r="AV340" i="19"/>
  <c r="AW340" i="19" s="1"/>
  <c r="B338" i="19"/>
  <c r="C338" i="19"/>
  <c r="H338" i="19" l="1"/>
  <c r="R338" i="19"/>
  <c r="T338" i="19"/>
  <c r="V338" i="19"/>
  <c r="X338" i="19"/>
  <c r="Z338" i="19"/>
  <c r="AB338" i="19"/>
  <c r="AD338" i="19"/>
  <c r="S338" i="19"/>
  <c r="U338" i="19"/>
  <c r="W338" i="19"/>
  <c r="Y338" i="19"/>
  <c r="AA338" i="19"/>
  <c r="AC338" i="19"/>
  <c r="O338" i="19"/>
  <c r="AV332" i="36"/>
  <c r="AW332" i="36" s="1"/>
  <c r="A331" i="36"/>
  <c r="AU329" i="36"/>
  <c r="AD329" i="36"/>
  <c r="AK329" i="36"/>
  <c r="M329" i="36"/>
  <c r="L329" i="36"/>
  <c r="AC329" i="36"/>
  <c r="AT329" i="36"/>
  <c r="X329" i="36"/>
  <c r="P329" i="36"/>
  <c r="AI329" i="36"/>
  <c r="S329" i="36"/>
  <c r="AP329" i="36"/>
  <c r="K329" i="36"/>
  <c r="AB329" i="36"/>
  <c r="O329" i="36"/>
  <c r="N329" i="36"/>
  <c r="AR329" i="36"/>
  <c r="AM329" i="36"/>
  <c r="AH329" i="36"/>
  <c r="V329" i="36"/>
  <c r="AE329" i="36"/>
  <c r="Y329" i="36"/>
  <c r="Q329" i="36"/>
  <c r="AG329" i="36"/>
  <c r="Z329" i="36"/>
  <c r="AO329" i="36"/>
  <c r="AQ329" i="36"/>
  <c r="AL329" i="36"/>
  <c r="W329" i="36"/>
  <c r="AA329" i="36"/>
  <c r="R329" i="36"/>
  <c r="AF329" i="36"/>
  <c r="AS329" i="36"/>
  <c r="AN329" i="36"/>
  <c r="AJ329" i="36"/>
  <c r="U329" i="36"/>
  <c r="T329" i="36"/>
  <c r="B330" i="36"/>
  <c r="F330" i="36"/>
  <c r="C330" i="36"/>
  <c r="H330" i="36"/>
  <c r="J330" i="36"/>
  <c r="E330" i="36"/>
  <c r="I330" i="36"/>
  <c r="G330" i="36"/>
  <c r="D330" i="36"/>
  <c r="J338" i="19"/>
  <c r="E338" i="19"/>
  <c r="D338" i="19"/>
  <c r="G338" i="19"/>
  <c r="F338" i="19"/>
  <c r="A340" i="19"/>
  <c r="O340" i="19" s="1"/>
  <c r="AV341" i="19"/>
  <c r="AW341" i="19" s="1"/>
  <c r="AR338" i="19"/>
  <c r="P338" i="19"/>
  <c r="AO338" i="19"/>
  <c r="AT338" i="19"/>
  <c r="AI338" i="19"/>
  <c r="AP338" i="19"/>
  <c r="K338" i="19"/>
  <c r="L338" i="19"/>
  <c r="AU338" i="19"/>
  <c r="AK338" i="19"/>
  <c r="AN338" i="19"/>
  <c r="AE338" i="19"/>
  <c r="AM338" i="19"/>
  <c r="AH338" i="19"/>
  <c r="AJ338" i="19"/>
  <c r="AG338" i="19"/>
  <c r="M338" i="19"/>
  <c r="AQ338" i="19"/>
  <c r="AF338" i="19"/>
  <c r="N338" i="19"/>
  <c r="AL338" i="19"/>
  <c r="AS338" i="19"/>
  <c r="B339" i="19"/>
  <c r="C339" i="19"/>
  <c r="E339" i="19"/>
  <c r="G339" i="19"/>
  <c r="I339" i="19"/>
  <c r="H339" i="19"/>
  <c r="J339" i="19"/>
  <c r="F339" i="19"/>
  <c r="D339" i="19"/>
  <c r="I338" i="19"/>
  <c r="S339" i="19" l="1"/>
  <c r="U339" i="19"/>
  <c r="W339" i="19"/>
  <c r="Y339" i="19"/>
  <c r="AA339" i="19"/>
  <c r="AC339" i="19"/>
  <c r="R339" i="19"/>
  <c r="T339" i="19"/>
  <c r="V339" i="19"/>
  <c r="X339" i="19"/>
  <c r="Z339" i="19"/>
  <c r="AB339" i="19"/>
  <c r="AD339" i="19"/>
  <c r="U330" i="36"/>
  <c r="AF330" i="36"/>
  <c r="V330" i="36"/>
  <c r="AL330" i="36"/>
  <c r="AJ330" i="36"/>
  <c r="AG330" i="36"/>
  <c r="AT330" i="36"/>
  <c r="X330" i="36"/>
  <c r="AH330" i="36"/>
  <c r="AR330" i="36"/>
  <c r="P330" i="36"/>
  <c r="K330" i="36"/>
  <c r="AA330" i="36"/>
  <c r="AE330" i="36"/>
  <c r="L330" i="36"/>
  <c r="AP330" i="36"/>
  <c r="T330" i="36"/>
  <c r="AN330" i="36"/>
  <c r="AC330" i="36"/>
  <c r="AQ330" i="36"/>
  <c r="AD330" i="36"/>
  <c r="Y330" i="36"/>
  <c r="N330" i="36"/>
  <c r="R330" i="36"/>
  <c r="AB330" i="36"/>
  <c r="O330" i="36"/>
  <c r="M330" i="36"/>
  <c r="AM330" i="36"/>
  <c r="AU330" i="36"/>
  <c r="Q330" i="36"/>
  <c r="AK330" i="36"/>
  <c r="W330" i="36"/>
  <c r="AS330" i="36"/>
  <c r="AO330" i="36"/>
  <c r="AI330" i="36"/>
  <c r="S330" i="36"/>
  <c r="Z330" i="36"/>
  <c r="C331" i="36"/>
  <c r="B331" i="36"/>
  <c r="G331" i="36" s="1"/>
  <c r="AV333" i="36"/>
  <c r="AW333" i="36" s="1"/>
  <c r="A332" i="36"/>
  <c r="AH339" i="19"/>
  <c r="K339" i="19"/>
  <c r="P339" i="19"/>
  <c r="AP339" i="19"/>
  <c r="AT339" i="19"/>
  <c r="AS339" i="19"/>
  <c r="AU339" i="19"/>
  <c r="AM339" i="19"/>
  <c r="AN339" i="19"/>
  <c r="AL339" i="19"/>
  <c r="AR339" i="19"/>
  <c r="M339" i="19"/>
  <c r="AF339" i="19"/>
  <c r="L339" i="19"/>
  <c r="AK339" i="19"/>
  <c r="AJ339" i="19"/>
  <c r="AG339" i="19"/>
  <c r="AO339" i="19"/>
  <c r="AQ339" i="19"/>
  <c r="AI339" i="19"/>
  <c r="N339" i="19"/>
  <c r="AE339" i="19"/>
  <c r="AV342" i="19"/>
  <c r="AW342" i="19" s="1"/>
  <c r="A341" i="19"/>
  <c r="G340" i="19"/>
  <c r="F340" i="19"/>
  <c r="E340" i="19"/>
  <c r="I340" i="19"/>
  <c r="H340" i="19"/>
  <c r="B340" i="19"/>
  <c r="C340" i="19"/>
  <c r="D340" i="19"/>
  <c r="J340" i="19"/>
  <c r="R340" i="19" l="1"/>
  <c r="T340" i="19"/>
  <c r="V340" i="19"/>
  <c r="X340" i="19"/>
  <c r="Z340" i="19"/>
  <c r="AB340" i="19"/>
  <c r="AD340" i="19"/>
  <c r="S340" i="19"/>
  <c r="U340" i="19"/>
  <c r="W340" i="19"/>
  <c r="Y340" i="19"/>
  <c r="AA340" i="19"/>
  <c r="AC340" i="19"/>
  <c r="F331" i="36"/>
  <c r="D331" i="36"/>
  <c r="H331" i="36"/>
  <c r="AV334" i="36"/>
  <c r="AW334" i="36" s="1"/>
  <c r="A333" i="36"/>
  <c r="E331" i="36"/>
  <c r="J331" i="36"/>
  <c r="C332" i="36"/>
  <c r="B332" i="36"/>
  <c r="E332" i="36" s="1"/>
  <c r="I331" i="36"/>
  <c r="AC331" i="36"/>
  <c r="N331" i="36"/>
  <c r="W331" i="36"/>
  <c r="AP331" i="36"/>
  <c r="AK331" i="36"/>
  <c r="AQ331" i="36"/>
  <c r="X331" i="36"/>
  <c r="K331" i="36"/>
  <c r="AB331" i="36"/>
  <c r="Y331" i="36"/>
  <c r="AU331" i="36"/>
  <c r="Q331" i="36"/>
  <c r="AA331" i="36"/>
  <c r="L331" i="36"/>
  <c r="AF331" i="36"/>
  <c r="AG331" i="36"/>
  <c r="U331" i="36"/>
  <c r="AE331" i="36"/>
  <c r="S331" i="36"/>
  <c r="AL331" i="36"/>
  <c r="P331" i="36"/>
  <c r="AT331" i="36"/>
  <c r="M331" i="36"/>
  <c r="AI331" i="36"/>
  <c r="AS331" i="36"/>
  <c r="AO331" i="36"/>
  <c r="O331" i="36"/>
  <c r="AR331" i="36"/>
  <c r="AM331" i="36"/>
  <c r="AJ331" i="36"/>
  <c r="AH331" i="36"/>
  <c r="V331" i="36"/>
  <c r="AN331" i="36"/>
  <c r="Z331" i="36"/>
  <c r="R331" i="36"/>
  <c r="T331" i="36"/>
  <c r="AD331" i="36"/>
  <c r="AU340" i="19"/>
  <c r="AR340" i="19"/>
  <c r="AJ340" i="19"/>
  <c r="AI340" i="19"/>
  <c r="AO340" i="19"/>
  <c r="AE340" i="19"/>
  <c r="P340" i="19"/>
  <c r="AH340" i="19"/>
  <c r="AK340" i="19"/>
  <c r="AM340" i="19"/>
  <c r="AL340" i="19"/>
  <c r="AT340" i="19"/>
  <c r="L340" i="19"/>
  <c r="AF340" i="19"/>
  <c r="M340" i="19"/>
  <c r="K340" i="19"/>
  <c r="AN340" i="19"/>
  <c r="AP340" i="19"/>
  <c r="N340" i="19"/>
  <c r="AS340" i="19"/>
  <c r="AQ340" i="19"/>
  <c r="AG340" i="19"/>
  <c r="C341" i="19"/>
  <c r="B341" i="19"/>
  <c r="AV343" i="19"/>
  <c r="AW343" i="19" s="1"/>
  <c r="A342" i="19"/>
  <c r="G341" i="19" l="1"/>
  <c r="S341" i="19"/>
  <c r="U341" i="19"/>
  <c r="W341" i="19"/>
  <c r="Y341" i="19"/>
  <c r="AA341" i="19"/>
  <c r="AC341" i="19"/>
  <c r="R341" i="19"/>
  <c r="T341" i="19"/>
  <c r="V341" i="19"/>
  <c r="X341" i="19"/>
  <c r="Z341" i="19"/>
  <c r="AB341" i="19"/>
  <c r="AD341" i="19"/>
  <c r="O341" i="19"/>
  <c r="D332" i="36"/>
  <c r="J332" i="36"/>
  <c r="H332" i="36"/>
  <c r="AJ332" i="36"/>
  <c r="AA332" i="36"/>
  <c r="AD332" i="36"/>
  <c r="AE332" i="36"/>
  <c r="O332" i="36"/>
  <c r="X332" i="36"/>
  <c r="U332" i="36"/>
  <c r="AR332" i="36"/>
  <c r="S332" i="36"/>
  <c r="N332" i="36"/>
  <c r="Q332" i="36"/>
  <c r="AS332" i="36"/>
  <c r="AH332" i="36"/>
  <c r="AT332" i="36"/>
  <c r="AP332" i="36"/>
  <c r="W332" i="36"/>
  <c r="L332" i="36"/>
  <c r="AI332" i="36"/>
  <c r="Y332" i="36"/>
  <c r="V332" i="36"/>
  <c r="AQ332" i="36"/>
  <c r="AG332" i="36"/>
  <c r="AU332" i="36"/>
  <c r="R332" i="36"/>
  <c r="AL332" i="36"/>
  <c r="AK332" i="36"/>
  <c r="AM332" i="36"/>
  <c r="M332" i="36"/>
  <c r="AN332" i="36"/>
  <c r="T332" i="36"/>
  <c r="AO332" i="36"/>
  <c r="AC332" i="36"/>
  <c r="Z332" i="36"/>
  <c r="P332" i="36"/>
  <c r="AF332" i="36"/>
  <c r="K332" i="36"/>
  <c r="AB332" i="36"/>
  <c r="C333" i="36"/>
  <c r="B333" i="36"/>
  <c r="D333" i="36" s="1"/>
  <c r="F332" i="36"/>
  <c r="G332" i="36"/>
  <c r="I332" i="36"/>
  <c r="AV335" i="36"/>
  <c r="AW335" i="36" s="1"/>
  <c r="A334" i="36"/>
  <c r="J341" i="19"/>
  <c r="E341" i="19"/>
  <c r="I341" i="19"/>
  <c r="AV344" i="19"/>
  <c r="AW344" i="19" s="1"/>
  <c r="A343" i="19"/>
  <c r="D341" i="19"/>
  <c r="AL341" i="19"/>
  <c r="AP341" i="19"/>
  <c r="AG341" i="19"/>
  <c r="L341" i="19"/>
  <c r="AR341" i="19"/>
  <c r="AO341" i="19"/>
  <c r="AM341" i="19"/>
  <c r="AS341" i="19"/>
  <c r="AF341" i="19"/>
  <c r="AQ341" i="19"/>
  <c r="AT341" i="19"/>
  <c r="AK341" i="19"/>
  <c r="M341" i="19"/>
  <c r="AN341" i="19"/>
  <c r="AI341" i="19"/>
  <c r="N341" i="19"/>
  <c r="AE341" i="19"/>
  <c r="AU341" i="19"/>
  <c r="P341" i="19"/>
  <c r="AH341" i="19"/>
  <c r="AJ341" i="19"/>
  <c r="K341" i="19"/>
  <c r="B342" i="19"/>
  <c r="C342" i="19"/>
  <c r="F341" i="19"/>
  <c r="H341" i="19"/>
  <c r="G342" i="19" l="1"/>
  <c r="R342" i="19"/>
  <c r="T342" i="19"/>
  <c r="V342" i="19"/>
  <c r="X342" i="19"/>
  <c r="Z342" i="19"/>
  <c r="AB342" i="19"/>
  <c r="AD342" i="19"/>
  <c r="S342" i="19"/>
  <c r="U342" i="19"/>
  <c r="W342" i="19"/>
  <c r="Y342" i="19"/>
  <c r="AA342" i="19"/>
  <c r="AC342" i="19"/>
  <c r="O342" i="19"/>
  <c r="H333" i="36"/>
  <c r="E333" i="36"/>
  <c r="G333" i="36"/>
  <c r="I333" i="36"/>
  <c r="J333" i="36"/>
  <c r="AV336" i="36"/>
  <c r="AW336" i="36" s="1"/>
  <c r="A335" i="36"/>
  <c r="F333" i="36"/>
  <c r="L333" i="36"/>
  <c r="AK333" i="36"/>
  <c r="AA333" i="36"/>
  <c r="X333" i="36"/>
  <c r="K333" i="36"/>
  <c r="AD333" i="36"/>
  <c r="AP333" i="36"/>
  <c r="AS333" i="36"/>
  <c r="P333" i="36"/>
  <c r="AO333" i="36"/>
  <c r="R333" i="36"/>
  <c r="U333" i="36"/>
  <c r="AH333" i="36"/>
  <c r="AM333" i="36"/>
  <c r="AQ333" i="36"/>
  <c r="N333" i="36"/>
  <c r="V333" i="36"/>
  <c r="Q333" i="36"/>
  <c r="AI333" i="36"/>
  <c r="W333" i="36"/>
  <c r="AF333" i="36"/>
  <c r="Y333" i="36"/>
  <c r="AG333" i="36"/>
  <c r="AJ333" i="36"/>
  <c r="AR333" i="36"/>
  <c r="AC333" i="36"/>
  <c r="AE333" i="36"/>
  <c r="AT333" i="36"/>
  <c r="AN333" i="36"/>
  <c r="AB333" i="36"/>
  <c r="AL333" i="36"/>
  <c r="T333" i="36"/>
  <c r="S333" i="36"/>
  <c r="AU333" i="36"/>
  <c r="Z333" i="36"/>
  <c r="M333" i="36"/>
  <c r="O333" i="36"/>
  <c r="B334" i="36"/>
  <c r="D334" i="36" s="1"/>
  <c r="C334" i="36"/>
  <c r="J342" i="19"/>
  <c r="F342" i="19"/>
  <c r="I342" i="19"/>
  <c r="H342" i="19"/>
  <c r="D342" i="19"/>
  <c r="AM342" i="19"/>
  <c r="M342" i="19"/>
  <c r="AE342" i="19"/>
  <c r="AK342" i="19"/>
  <c r="AH342" i="19"/>
  <c r="AF342" i="19"/>
  <c r="AQ342" i="19"/>
  <c r="AN342" i="19"/>
  <c r="AS342" i="19"/>
  <c r="AR342" i="19"/>
  <c r="AT342" i="19"/>
  <c r="N342" i="19"/>
  <c r="P342" i="19"/>
  <c r="L342" i="19"/>
  <c r="AJ342" i="19"/>
  <c r="AL342" i="19"/>
  <c r="AU342" i="19"/>
  <c r="AP342" i="19"/>
  <c r="K342" i="19"/>
  <c r="AG342" i="19"/>
  <c r="AI342" i="19"/>
  <c r="AO342" i="19"/>
  <c r="B343" i="19"/>
  <c r="C343" i="19"/>
  <c r="A344" i="19"/>
  <c r="AV345" i="19"/>
  <c r="AW345" i="19" s="1"/>
  <c r="E342" i="19"/>
  <c r="J343" i="19" l="1"/>
  <c r="S343" i="19"/>
  <c r="U343" i="19"/>
  <c r="W343" i="19"/>
  <c r="Y343" i="19"/>
  <c r="AA343" i="19"/>
  <c r="AC343" i="19"/>
  <c r="R343" i="19"/>
  <c r="T343" i="19"/>
  <c r="V343" i="19"/>
  <c r="X343" i="19"/>
  <c r="Z343" i="19"/>
  <c r="AB343" i="19"/>
  <c r="AD343" i="19"/>
  <c r="O343" i="19"/>
  <c r="J334" i="36"/>
  <c r="H334" i="36"/>
  <c r="I334" i="36"/>
  <c r="E334" i="36"/>
  <c r="F334" i="36"/>
  <c r="B335" i="36"/>
  <c r="F335" i="36" s="1"/>
  <c r="C335" i="36"/>
  <c r="G334" i="36"/>
  <c r="AG334" i="36"/>
  <c r="W334" i="36"/>
  <c r="AB334" i="36"/>
  <c r="L334" i="36"/>
  <c r="AQ334" i="36"/>
  <c r="P334" i="36"/>
  <c r="AT334" i="36"/>
  <c r="V334" i="36"/>
  <c r="N334" i="36"/>
  <c r="S334" i="36"/>
  <c r="AK334" i="36"/>
  <c r="AM334" i="36"/>
  <c r="X334" i="36"/>
  <c r="Q334" i="36"/>
  <c r="AJ334" i="36"/>
  <c r="AH334" i="36"/>
  <c r="AA334" i="36"/>
  <c r="AI334" i="36"/>
  <c r="AF334" i="36"/>
  <c r="AS334" i="36"/>
  <c r="AD334" i="36"/>
  <c r="AR334" i="36"/>
  <c r="K334" i="36"/>
  <c r="AP334" i="36"/>
  <c r="AO334" i="36"/>
  <c r="Z334" i="36"/>
  <c r="Y334" i="36"/>
  <c r="U334" i="36"/>
  <c r="AN334" i="36"/>
  <c r="AL334" i="36"/>
  <c r="M334" i="36"/>
  <c r="R334" i="36"/>
  <c r="T334" i="36"/>
  <c r="AC334" i="36"/>
  <c r="O334" i="36"/>
  <c r="AE334" i="36"/>
  <c r="AU334" i="36"/>
  <c r="AV337" i="36"/>
  <c r="AW337" i="36" s="1"/>
  <c r="A336" i="36"/>
  <c r="G343" i="19"/>
  <c r="F343" i="19"/>
  <c r="D343" i="19"/>
  <c r="H343" i="19"/>
  <c r="E343" i="19"/>
  <c r="I343" i="19"/>
  <c r="C344" i="19"/>
  <c r="B344" i="19"/>
  <c r="AG343" i="19"/>
  <c r="AF343" i="19"/>
  <c r="AP343" i="19"/>
  <c r="L343" i="19"/>
  <c r="AN343" i="19"/>
  <c r="AL343" i="19"/>
  <c r="AE343" i="19"/>
  <c r="AS343" i="19"/>
  <c r="AO343" i="19"/>
  <c r="AI343" i="19"/>
  <c r="AM343" i="19"/>
  <c r="AK343" i="19"/>
  <c r="K343" i="19"/>
  <c r="AR343" i="19"/>
  <c r="AT343" i="19"/>
  <c r="AJ343" i="19"/>
  <c r="AU343" i="19"/>
  <c r="N343" i="19"/>
  <c r="P343" i="19"/>
  <c r="AH343" i="19"/>
  <c r="AQ343" i="19"/>
  <c r="M343" i="19"/>
  <c r="AV346" i="19"/>
  <c r="AW346" i="19" s="1"/>
  <c r="A345" i="19"/>
  <c r="I344" i="19" l="1"/>
  <c r="R344" i="19"/>
  <c r="T344" i="19"/>
  <c r="V344" i="19"/>
  <c r="X344" i="19"/>
  <c r="Z344" i="19"/>
  <c r="AB344" i="19"/>
  <c r="AD344" i="19"/>
  <c r="S344" i="19"/>
  <c r="U344" i="19"/>
  <c r="W344" i="19"/>
  <c r="Y344" i="19"/>
  <c r="AA344" i="19"/>
  <c r="AC344" i="19"/>
  <c r="O344" i="19"/>
  <c r="E335" i="36"/>
  <c r="G335" i="36"/>
  <c r="D335" i="36"/>
  <c r="H335" i="36"/>
  <c r="AV338" i="36"/>
  <c r="AW338" i="36" s="1"/>
  <c r="A337" i="36"/>
  <c r="J335" i="36"/>
  <c r="I335" i="36"/>
  <c r="D336" i="36"/>
  <c r="F336" i="36"/>
  <c r="B336" i="36"/>
  <c r="G336" i="36"/>
  <c r="E336" i="36"/>
  <c r="C336" i="36"/>
  <c r="I336" i="36"/>
  <c r="J336" i="36"/>
  <c r="H336" i="36"/>
  <c r="X335" i="36"/>
  <c r="L335" i="36"/>
  <c r="AN335" i="36"/>
  <c r="AD335" i="36"/>
  <c r="Y335" i="36"/>
  <c r="AQ335" i="36"/>
  <c r="AM335" i="36"/>
  <c r="AL335" i="36"/>
  <c r="AO335" i="36"/>
  <c r="AH335" i="36"/>
  <c r="AG335" i="36"/>
  <c r="AE335" i="36"/>
  <c r="AP335" i="36"/>
  <c r="T335" i="36"/>
  <c r="K335" i="36"/>
  <c r="AB335" i="36"/>
  <c r="U335" i="36"/>
  <c r="AU335" i="36"/>
  <c r="R335" i="36"/>
  <c r="W335" i="36"/>
  <c r="AS335" i="36"/>
  <c r="P335" i="36"/>
  <c r="AJ335" i="36"/>
  <c r="N335" i="36"/>
  <c r="AI335" i="36"/>
  <c r="AF335" i="36"/>
  <c r="AR335" i="36"/>
  <c r="S335" i="36"/>
  <c r="Z335" i="36"/>
  <c r="AT335" i="36"/>
  <c r="O335" i="36"/>
  <c r="AA335" i="36"/>
  <c r="V335" i="36"/>
  <c r="AK335" i="36"/>
  <c r="Q335" i="36"/>
  <c r="M335" i="36"/>
  <c r="AC335" i="36"/>
  <c r="F344" i="19"/>
  <c r="G344" i="19"/>
  <c r="D344" i="19"/>
  <c r="E344" i="19"/>
  <c r="H344" i="19"/>
  <c r="J344" i="19"/>
  <c r="AV347" i="19"/>
  <c r="AW347" i="19" s="1"/>
  <c r="A346" i="19"/>
  <c r="O346" i="19" s="1"/>
  <c r="C345" i="19"/>
  <c r="B345" i="19"/>
  <c r="AT344" i="19"/>
  <c r="AK344" i="19"/>
  <c r="L344" i="19"/>
  <c r="AQ344" i="19"/>
  <c r="AU344" i="19"/>
  <c r="M344" i="19"/>
  <c r="N344" i="19"/>
  <c r="AH344" i="19"/>
  <c r="AN344" i="19"/>
  <c r="AO344" i="19"/>
  <c r="AP344" i="19"/>
  <c r="K344" i="19"/>
  <c r="AF344" i="19"/>
  <c r="AE344" i="19"/>
  <c r="AR344" i="19"/>
  <c r="AJ344" i="19"/>
  <c r="AM344" i="19"/>
  <c r="AL344" i="19"/>
  <c r="P344" i="19"/>
  <c r="AI344" i="19"/>
  <c r="AS344" i="19"/>
  <c r="AG344" i="19"/>
  <c r="F345" i="19" l="1"/>
  <c r="S345" i="19"/>
  <c r="U345" i="19"/>
  <c r="W345" i="19"/>
  <c r="Y345" i="19"/>
  <c r="AA345" i="19"/>
  <c r="AC345" i="19"/>
  <c r="R345" i="19"/>
  <c r="T345" i="19"/>
  <c r="V345" i="19"/>
  <c r="X345" i="19"/>
  <c r="Z345" i="19"/>
  <c r="AB345" i="19"/>
  <c r="AD345" i="19"/>
  <c r="O345" i="19"/>
  <c r="B337" i="36"/>
  <c r="H337" i="36"/>
  <c r="J337" i="36"/>
  <c r="G337" i="36"/>
  <c r="I337" i="36"/>
  <c r="F337" i="36"/>
  <c r="E337" i="36"/>
  <c r="C337" i="36"/>
  <c r="D337" i="36"/>
  <c r="P336" i="36"/>
  <c r="AL336" i="36"/>
  <c r="M336" i="36"/>
  <c r="AI336" i="36"/>
  <c r="AU336" i="36"/>
  <c r="AG336" i="36"/>
  <c r="X336" i="36"/>
  <c r="AJ336" i="36"/>
  <c r="AD336" i="36"/>
  <c r="AK336" i="36"/>
  <c r="AC336" i="36"/>
  <c r="O336" i="36"/>
  <c r="AB336" i="36"/>
  <c r="AO336" i="36"/>
  <c r="T336" i="36"/>
  <c r="K336" i="36"/>
  <c r="AR336" i="36"/>
  <c r="AT336" i="36"/>
  <c r="V336" i="36"/>
  <c r="W336" i="36"/>
  <c r="Q336" i="36"/>
  <c r="AM336" i="36"/>
  <c r="AH336" i="36"/>
  <c r="AN336" i="36"/>
  <c r="R336" i="36"/>
  <c r="N336" i="36"/>
  <c r="Z336" i="36"/>
  <c r="AA336" i="36"/>
  <c r="AS336" i="36"/>
  <c r="AQ336" i="36"/>
  <c r="AP336" i="36"/>
  <c r="AF336" i="36"/>
  <c r="S336" i="36"/>
  <c r="Y336" i="36"/>
  <c r="U336" i="36"/>
  <c r="AE336" i="36"/>
  <c r="L336" i="36"/>
  <c r="AV339" i="36"/>
  <c r="AW339" i="36" s="1"/>
  <c r="A338" i="36"/>
  <c r="H345" i="19"/>
  <c r="E345" i="19"/>
  <c r="G345" i="19"/>
  <c r="J345" i="19"/>
  <c r="D345" i="19"/>
  <c r="I345" i="19"/>
  <c r="AL345" i="19"/>
  <c r="AP345" i="19"/>
  <c r="AI345" i="19"/>
  <c r="AT345" i="19"/>
  <c r="AF345" i="19"/>
  <c r="AJ345" i="19"/>
  <c r="K345" i="19"/>
  <c r="N345" i="19"/>
  <c r="AQ345" i="19"/>
  <c r="P345" i="19"/>
  <c r="AG345" i="19"/>
  <c r="AK345" i="19"/>
  <c r="AR345" i="19"/>
  <c r="AS345" i="19"/>
  <c r="AU345" i="19"/>
  <c r="AO345" i="19"/>
  <c r="AN345" i="19"/>
  <c r="M345" i="19"/>
  <c r="AH345" i="19"/>
  <c r="AM345" i="19"/>
  <c r="AE345" i="19"/>
  <c r="L345" i="19"/>
  <c r="I346" i="19"/>
  <c r="J346" i="19"/>
  <c r="H346" i="19"/>
  <c r="E346" i="19"/>
  <c r="G346" i="19"/>
  <c r="B346" i="19"/>
  <c r="C346" i="19"/>
  <c r="D346" i="19"/>
  <c r="F346" i="19"/>
  <c r="A347" i="19"/>
  <c r="O347" i="19" s="1"/>
  <c r="AV348" i="19"/>
  <c r="AW348" i="19" s="1"/>
  <c r="R346" i="19" l="1"/>
  <c r="T346" i="19"/>
  <c r="V346" i="19"/>
  <c r="X346" i="19"/>
  <c r="Z346" i="19"/>
  <c r="AB346" i="19"/>
  <c r="AD346" i="19"/>
  <c r="S346" i="19"/>
  <c r="U346" i="19"/>
  <c r="W346" i="19"/>
  <c r="Y346" i="19"/>
  <c r="AA346" i="19"/>
  <c r="AC346" i="19"/>
  <c r="B338" i="36"/>
  <c r="F338" i="36" s="1"/>
  <c r="C338" i="36"/>
  <c r="AV340" i="36"/>
  <c r="AW340" i="36" s="1"/>
  <c r="A339" i="36"/>
  <c r="AS337" i="36"/>
  <c r="AO337" i="36"/>
  <c r="AJ337" i="36"/>
  <c r="AM337" i="36"/>
  <c r="O337" i="36"/>
  <c r="AN337" i="36"/>
  <c r="AP337" i="36"/>
  <c r="AI337" i="36"/>
  <c r="AU337" i="36"/>
  <c r="AR337" i="36"/>
  <c r="W337" i="36"/>
  <c r="L337" i="36"/>
  <c r="AQ337" i="36"/>
  <c r="AF337" i="36"/>
  <c r="P337" i="36"/>
  <c r="AT337" i="36"/>
  <c r="T337" i="36"/>
  <c r="V337" i="36"/>
  <c r="AC337" i="36"/>
  <c r="U337" i="36"/>
  <c r="AL337" i="36"/>
  <c r="N337" i="36"/>
  <c r="AA337" i="36"/>
  <c r="AB337" i="36"/>
  <c r="AK337" i="36"/>
  <c r="R337" i="36"/>
  <c r="Q337" i="36"/>
  <c r="AG337" i="36"/>
  <c r="Z337" i="36"/>
  <c r="K337" i="36"/>
  <c r="AE337" i="36"/>
  <c r="M337" i="36"/>
  <c r="AD337" i="36"/>
  <c r="Y337" i="36"/>
  <c r="AH337" i="36"/>
  <c r="X337" i="36"/>
  <c r="S337" i="36"/>
  <c r="B347" i="19"/>
  <c r="G347" i="19"/>
  <c r="J347" i="19"/>
  <c r="C347" i="19"/>
  <c r="I347" i="19"/>
  <c r="H347" i="19"/>
  <c r="E347" i="19"/>
  <c r="F347" i="19"/>
  <c r="D347" i="19"/>
  <c r="AL346" i="19"/>
  <c r="N346" i="19"/>
  <c r="K346" i="19"/>
  <c r="AE346" i="19"/>
  <c r="AM346" i="19"/>
  <c r="AN346" i="19"/>
  <c r="AJ346" i="19"/>
  <c r="AQ346" i="19"/>
  <c r="AS346" i="19"/>
  <c r="AG346" i="19"/>
  <c r="AU346" i="19"/>
  <c r="L346" i="19"/>
  <c r="AF346" i="19"/>
  <c r="AI346" i="19"/>
  <c r="AT346" i="19"/>
  <c r="AH346" i="19"/>
  <c r="AP346" i="19"/>
  <c r="AK346" i="19"/>
  <c r="AO346" i="19"/>
  <c r="AR346" i="19"/>
  <c r="M346" i="19"/>
  <c r="P346" i="19"/>
  <c r="AV349" i="19"/>
  <c r="AW349" i="19" s="1"/>
  <c r="A348" i="19"/>
  <c r="R347" i="19" l="1"/>
  <c r="S347" i="19"/>
  <c r="U347" i="19"/>
  <c r="W347" i="19"/>
  <c r="Y347" i="19"/>
  <c r="AA347" i="19"/>
  <c r="AC347" i="19"/>
  <c r="T347" i="19"/>
  <c r="V347" i="19"/>
  <c r="X347" i="19"/>
  <c r="Z347" i="19"/>
  <c r="AB347" i="19"/>
  <c r="AD347" i="19"/>
  <c r="I338" i="36"/>
  <c r="H338" i="36"/>
  <c r="J338" i="36"/>
  <c r="G338" i="36"/>
  <c r="AV341" i="36"/>
  <c r="AW341" i="36" s="1"/>
  <c r="A340" i="36"/>
  <c r="E338" i="36"/>
  <c r="D338" i="36"/>
  <c r="B339" i="36"/>
  <c r="F339" i="36" s="1"/>
  <c r="C339" i="36"/>
  <c r="AM338" i="36"/>
  <c r="T338" i="36"/>
  <c r="AP338" i="36"/>
  <c r="AB338" i="36"/>
  <c r="AR338" i="36"/>
  <c r="S338" i="36"/>
  <c r="L338" i="36"/>
  <c r="AO338" i="36"/>
  <c r="AE338" i="36"/>
  <c r="Z338" i="36"/>
  <c r="AT338" i="36"/>
  <c r="AQ338" i="36"/>
  <c r="AA338" i="36"/>
  <c r="W338" i="36"/>
  <c r="AN338" i="36"/>
  <c r="AJ338" i="36"/>
  <c r="AI338" i="36"/>
  <c r="X338" i="36"/>
  <c r="AF338" i="36"/>
  <c r="AH338" i="36"/>
  <c r="AU338" i="36"/>
  <c r="N338" i="36"/>
  <c r="Q338" i="36"/>
  <c r="U338" i="36"/>
  <c r="K338" i="36"/>
  <c r="R338" i="36"/>
  <c r="V338" i="36"/>
  <c r="M338" i="36"/>
  <c r="AC338" i="36"/>
  <c r="P338" i="36"/>
  <c r="Y338" i="36"/>
  <c r="AL338" i="36"/>
  <c r="AK338" i="36"/>
  <c r="O338" i="36"/>
  <c r="AD338" i="36"/>
  <c r="AS338" i="36"/>
  <c r="AG338" i="36"/>
  <c r="B348" i="19"/>
  <c r="C348" i="19"/>
  <c r="A349" i="19"/>
  <c r="AV350" i="19"/>
  <c r="AW350" i="19" s="1"/>
  <c r="AU347" i="19"/>
  <c r="K347" i="19"/>
  <c r="AL347" i="19"/>
  <c r="AJ347" i="19"/>
  <c r="AM347" i="19"/>
  <c r="P347" i="19"/>
  <c r="AP347" i="19"/>
  <c r="AN347" i="19"/>
  <c r="AR347" i="19"/>
  <c r="AT347" i="19"/>
  <c r="L347" i="19"/>
  <c r="AI347" i="19"/>
  <c r="AS347" i="19"/>
  <c r="AE347" i="19"/>
  <c r="AH347" i="19"/>
  <c r="N347" i="19"/>
  <c r="AO347" i="19"/>
  <c r="AK347" i="19"/>
  <c r="AF347" i="19"/>
  <c r="AG347" i="19"/>
  <c r="AQ347" i="19"/>
  <c r="M347" i="19"/>
  <c r="I348" i="19" l="1"/>
  <c r="R348" i="19"/>
  <c r="T348" i="19"/>
  <c r="V348" i="19"/>
  <c r="X348" i="19"/>
  <c r="Z348" i="19"/>
  <c r="AB348" i="19"/>
  <c r="AD348" i="19"/>
  <c r="S348" i="19"/>
  <c r="U348" i="19"/>
  <c r="W348" i="19"/>
  <c r="Y348" i="19"/>
  <c r="AA348" i="19"/>
  <c r="AC348" i="19"/>
  <c r="O348" i="19"/>
  <c r="I339" i="36"/>
  <c r="G339" i="36"/>
  <c r="E339" i="36"/>
  <c r="J339" i="36"/>
  <c r="H339" i="36"/>
  <c r="B340" i="36"/>
  <c r="J340" i="36" s="1"/>
  <c r="C340" i="36"/>
  <c r="D339" i="36"/>
  <c r="U339" i="36"/>
  <c r="AM339" i="36"/>
  <c r="Q339" i="36"/>
  <c r="R339" i="36"/>
  <c r="S339" i="36"/>
  <c r="AQ339" i="36"/>
  <c r="P339" i="36"/>
  <c r="AF339" i="36"/>
  <c r="AB339" i="36"/>
  <c r="AL339" i="36"/>
  <c r="AN339" i="36"/>
  <c r="AE339" i="36"/>
  <c r="AK339" i="36"/>
  <c r="K339" i="36"/>
  <c r="AP339" i="36"/>
  <c r="AA339" i="36"/>
  <c r="W339" i="36"/>
  <c r="AO339" i="36"/>
  <c r="Z339" i="36"/>
  <c r="AU339" i="36"/>
  <c r="L339" i="36"/>
  <c r="O339" i="36"/>
  <c r="AG339" i="36"/>
  <c r="AJ339" i="36"/>
  <c r="AR339" i="36"/>
  <c r="Y339" i="36"/>
  <c r="AI339" i="36"/>
  <c r="N339" i="36"/>
  <c r="AC339" i="36"/>
  <c r="X339" i="36"/>
  <c r="AH339" i="36"/>
  <c r="T339" i="36"/>
  <c r="M339" i="36"/>
  <c r="AT339" i="36"/>
  <c r="AD339" i="36"/>
  <c r="AS339" i="36"/>
  <c r="V339" i="36"/>
  <c r="AV342" i="36"/>
  <c r="AW342" i="36" s="1"/>
  <c r="A341" i="36"/>
  <c r="D348" i="19"/>
  <c r="J348" i="19"/>
  <c r="G348" i="19"/>
  <c r="E348" i="19"/>
  <c r="F348" i="19"/>
  <c r="B349" i="19"/>
  <c r="C349" i="19"/>
  <c r="A350" i="19"/>
  <c r="AV351" i="19"/>
  <c r="AW351" i="19" s="1"/>
  <c r="H348" i="19"/>
  <c r="AF348" i="19"/>
  <c r="AR348" i="19"/>
  <c r="AM348" i="19"/>
  <c r="AI348" i="19"/>
  <c r="AN348" i="19"/>
  <c r="AT348" i="19"/>
  <c r="K348" i="19"/>
  <c r="AQ348" i="19"/>
  <c r="AH348" i="19"/>
  <c r="AL348" i="19"/>
  <c r="AK348" i="19"/>
  <c r="AO348" i="19"/>
  <c r="AG348" i="19"/>
  <c r="AU348" i="19"/>
  <c r="N348" i="19"/>
  <c r="M348" i="19"/>
  <c r="AJ348" i="19"/>
  <c r="P348" i="19"/>
  <c r="AS348" i="19"/>
  <c r="AE348" i="19"/>
  <c r="L348" i="19"/>
  <c r="AP348" i="19"/>
  <c r="E349" i="19" l="1"/>
  <c r="S349" i="19"/>
  <c r="U349" i="19"/>
  <c r="W349" i="19"/>
  <c r="Y349" i="19"/>
  <c r="AA349" i="19"/>
  <c r="AC349" i="19"/>
  <c r="R349" i="19"/>
  <c r="T349" i="19"/>
  <c r="V349" i="19"/>
  <c r="X349" i="19"/>
  <c r="Z349" i="19"/>
  <c r="AB349" i="19"/>
  <c r="AD349" i="19"/>
  <c r="O349" i="19"/>
  <c r="E340" i="36"/>
  <c r="D340" i="36"/>
  <c r="I340" i="36"/>
  <c r="H340" i="36"/>
  <c r="AV343" i="36"/>
  <c r="AW343" i="36" s="1"/>
  <c r="A342" i="36"/>
  <c r="F340" i="36"/>
  <c r="G340" i="36"/>
  <c r="C341" i="36"/>
  <c r="E341" i="36"/>
  <c r="D341" i="36"/>
  <c r="B341" i="36"/>
  <c r="H341" i="36"/>
  <c r="G341" i="36"/>
  <c r="J341" i="36"/>
  <c r="I341" i="36"/>
  <c r="F341" i="36"/>
  <c r="Z340" i="36"/>
  <c r="AD340" i="36"/>
  <c r="AB340" i="36"/>
  <c r="L340" i="36"/>
  <c r="AH340" i="36"/>
  <c r="AE340" i="36"/>
  <c r="AK340" i="36"/>
  <c r="AG340" i="36"/>
  <c r="P340" i="36"/>
  <c r="Y340" i="36"/>
  <c r="AI340" i="36"/>
  <c r="AC340" i="36"/>
  <c r="W340" i="36"/>
  <c r="M340" i="36"/>
  <c r="O340" i="36"/>
  <c r="AL340" i="36"/>
  <c r="S340" i="36"/>
  <c r="AM340" i="36"/>
  <c r="AO340" i="36"/>
  <c r="AR340" i="36"/>
  <c r="V340" i="36"/>
  <c r="N340" i="36"/>
  <c r="T340" i="36"/>
  <c r="AU340" i="36"/>
  <c r="X340" i="36"/>
  <c r="AT340" i="36"/>
  <c r="AA340" i="36"/>
  <c r="AJ340" i="36"/>
  <c r="AQ340" i="36"/>
  <c r="U340" i="36"/>
  <c r="Q340" i="36"/>
  <c r="AN340" i="36"/>
  <c r="AS340" i="36"/>
  <c r="R340" i="36"/>
  <c r="K340" i="36"/>
  <c r="AP340" i="36"/>
  <c r="AF340" i="36"/>
  <c r="H349" i="19"/>
  <c r="D349" i="19"/>
  <c r="I349" i="19"/>
  <c r="F349" i="19"/>
  <c r="G349" i="19"/>
  <c r="J349" i="19"/>
  <c r="C350" i="19"/>
  <c r="B350" i="19"/>
  <c r="AV352" i="19"/>
  <c r="AW352" i="19" s="1"/>
  <c r="A351" i="19"/>
  <c r="O351" i="19" s="1"/>
  <c r="AT349" i="19"/>
  <c r="AK349" i="19"/>
  <c r="AS349" i="19"/>
  <c r="AI349" i="19"/>
  <c r="AP349" i="19"/>
  <c r="P349" i="19"/>
  <c r="K349" i="19"/>
  <c r="L349" i="19"/>
  <c r="AF349" i="19"/>
  <c r="AU349" i="19"/>
  <c r="AJ349" i="19"/>
  <c r="AN349" i="19"/>
  <c r="AH349" i="19"/>
  <c r="AE349" i="19"/>
  <c r="AO349" i="19"/>
  <c r="AL349" i="19"/>
  <c r="AQ349" i="19"/>
  <c r="AG349" i="19"/>
  <c r="M349" i="19"/>
  <c r="AR349" i="19"/>
  <c r="N349" i="19"/>
  <c r="AM349" i="19"/>
  <c r="F350" i="19" l="1"/>
  <c r="R350" i="19"/>
  <c r="T350" i="19"/>
  <c r="V350" i="19"/>
  <c r="X350" i="19"/>
  <c r="Z350" i="19"/>
  <c r="AB350" i="19"/>
  <c r="AD350" i="19"/>
  <c r="S350" i="19"/>
  <c r="U350" i="19"/>
  <c r="W350" i="19"/>
  <c r="Y350" i="19"/>
  <c r="AA350" i="19"/>
  <c r="AC350" i="19"/>
  <c r="O350" i="19"/>
  <c r="AJ341" i="36"/>
  <c r="AG341" i="36"/>
  <c r="AL341" i="36"/>
  <c r="AU341" i="36"/>
  <c r="U341" i="36"/>
  <c r="K341" i="36"/>
  <c r="AP341" i="36"/>
  <c r="AM341" i="36"/>
  <c r="AF341" i="36"/>
  <c r="O341" i="36"/>
  <c r="AR341" i="36"/>
  <c r="W341" i="36"/>
  <c r="AA341" i="36"/>
  <c r="AN341" i="36"/>
  <c r="AI341" i="36"/>
  <c r="Z341" i="36"/>
  <c r="AO341" i="36"/>
  <c r="N341" i="36"/>
  <c r="X341" i="36"/>
  <c r="AB341" i="36"/>
  <c r="AS341" i="36"/>
  <c r="V341" i="36"/>
  <c r="P341" i="36"/>
  <c r="R341" i="36"/>
  <c r="AE341" i="36"/>
  <c r="AK341" i="36"/>
  <c r="AT341" i="36"/>
  <c r="AH341" i="36"/>
  <c r="AD341" i="36"/>
  <c r="AQ341" i="36"/>
  <c r="AC341" i="36"/>
  <c r="T341" i="36"/>
  <c r="Q341" i="36"/>
  <c r="S341" i="36"/>
  <c r="L341" i="36"/>
  <c r="M341" i="36"/>
  <c r="Y341" i="36"/>
  <c r="F342" i="36"/>
  <c r="I342" i="36"/>
  <c r="H342" i="36"/>
  <c r="D342" i="36"/>
  <c r="B342" i="36"/>
  <c r="E342" i="36"/>
  <c r="G342" i="36"/>
  <c r="J342" i="36"/>
  <c r="C342" i="36"/>
  <c r="AV344" i="36"/>
  <c r="AW344" i="36" s="1"/>
  <c r="A343" i="36"/>
  <c r="H350" i="19"/>
  <c r="J350" i="19"/>
  <c r="I350" i="19"/>
  <c r="G350" i="19"/>
  <c r="A352" i="19"/>
  <c r="O352" i="19" s="1"/>
  <c r="AV353" i="19"/>
  <c r="AW353" i="19" s="1"/>
  <c r="D350" i="19"/>
  <c r="H351" i="19"/>
  <c r="G351" i="19"/>
  <c r="C351" i="19"/>
  <c r="D351" i="19"/>
  <c r="E351" i="19"/>
  <c r="F351" i="19"/>
  <c r="I351" i="19"/>
  <c r="B351" i="19"/>
  <c r="J351" i="19"/>
  <c r="E350" i="19"/>
  <c r="AU350" i="19"/>
  <c r="AJ350" i="19"/>
  <c r="P350" i="19"/>
  <c r="AH350" i="19"/>
  <c r="AG350" i="19"/>
  <c r="AK350" i="19"/>
  <c r="L350" i="19"/>
  <c r="AS350" i="19"/>
  <c r="M350" i="19"/>
  <c r="AF350" i="19"/>
  <c r="AP350" i="19"/>
  <c r="AI350" i="19"/>
  <c r="AR350" i="19"/>
  <c r="AE350" i="19"/>
  <c r="AL350" i="19"/>
  <c r="AQ350" i="19"/>
  <c r="N350" i="19"/>
  <c r="AO350" i="19"/>
  <c r="AM350" i="19"/>
  <c r="AT350" i="19"/>
  <c r="AN350" i="19"/>
  <c r="K350" i="19"/>
  <c r="S351" i="19" l="1"/>
  <c r="U351" i="19"/>
  <c r="W351" i="19"/>
  <c r="Y351" i="19"/>
  <c r="AA351" i="19"/>
  <c r="AC351" i="19"/>
  <c r="R351" i="19"/>
  <c r="T351" i="19"/>
  <c r="V351" i="19"/>
  <c r="X351" i="19"/>
  <c r="Z351" i="19"/>
  <c r="AB351" i="19"/>
  <c r="AD351" i="19"/>
  <c r="C343" i="36"/>
  <c r="B343" i="36"/>
  <c r="H343" i="36" s="1"/>
  <c r="AE342" i="36"/>
  <c r="AC342" i="36"/>
  <c r="R342" i="36"/>
  <c r="AG342" i="36"/>
  <c r="AP342" i="36"/>
  <c r="AA342" i="36"/>
  <c r="U342" i="36"/>
  <c r="AN342" i="36"/>
  <c r="AJ342" i="36"/>
  <c r="AS342" i="36"/>
  <c r="AR342" i="36"/>
  <c r="M342" i="36"/>
  <c r="AL342" i="36"/>
  <c r="X342" i="36"/>
  <c r="O342" i="36"/>
  <c r="AF342" i="36"/>
  <c r="P342" i="36"/>
  <c r="T342" i="36"/>
  <c r="AB342" i="36"/>
  <c r="AO342" i="36"/>
  <c r="Q342" i="36"/>
  <c r="Z342" i="36"/>
  <c r="L342" i="36"/>
  <c r="W342" i="36"/>
  <c r="AM342" i="36"/>
  <c r="V342" i="36"/>
  <c r="N342" i="36"/>
  <c r="AK342" i="36"/>
  <c r="AD342" i="36"/>
  <c r="AH342" i="36"/>
  <c r="Y342" i="36"/>
  <c r="K342" i="36"/>
  <c r="S342" i="36"/>
  <c r="AU342" i="36"/>
  <c r="AI342" i="36"/>
  <c r="AT342" i="36"/>
  <c r="AQ342" i="36"/>
  <c r="AV345" i="36"/>
  <c r="AW345" i="36" s="1"/>
  <c r="A344" i="36"/>
  <c r="AH351" i="19"/>
  <c r="AL351" i="19"/>
  <c r="AS351" i="19"/>
  <c r="M351" i="19"/>
  <c r="N351" i="19"/>
  <c r="AN351" i="19"/>
  <c r="AK351" i="19"/>
  <c r="K351" i="19"/>
  <c r="AG351" i="19"/>
  <c r="AR351" i="19"/>
  <c r="AT351" i="19"/>
  <c r="AF351" i="19"/>
  <c r="AI351" i="19"/>
  <c r="AU351" i="19"/>
  <c r="AO351" i="19"/>
  <c r="P351" i="19"/>
  <c r="AJ351" i="19"/>
  <c r="L351" i="19"/>
  <c r="AE351" i="19"/>
  <c r="AP351" i="19"/>
  <c r="AM351" i="19"/>
  <c r="AQ351" i="19"/>
  <c r="A353" i="19"/>
  <c r="AV354" i="19"/>
  <c r="AW354" i="19" s="1"/>
  <c r="C352" i="19"/>
  <c r="F352" i="19"/>
  <c r="D352" i="19"/>
  <c r="G352" i="19"/>
  <c r="I352" i="19"/>
  <c r="H352" i="19"/>
  <c r="J352" i="19"/>
  <c r="E352" i="19"/>
  <c r="B352" i="19"/>
  <c r="R352" i="19" l="1"/>
  <c r="T352" i="19"/>
  <c r="V352" i="19"/>
  <c r="X352" i="19"/>
  <c r="Z352" i="19"/>
  <c r="AB352" i="19"/>
  <c r="AD352" i="19"/>
  <c r="S352" i="19"/>
  <c r="U352" i="19"/>
  <c r="W352" i="19"/>
  <c r="Y352" i="19"/>
  <c r="AA352" i="19"/>
  <c r="AC352" i="19"/>
  <c r="F343" i="36"/>
  <c r="D343" i="36"/>
  <c r="E343" i="36"/>
  <c r="J343" i="36"/>
  <c r="I343" i="36"/>
  <c r="AV346" i="36"/>
  <c r="AW346" i="36" s="1"/>
  <c r="A345" i="36"/>
  <c r="G343" i="36"/>
  <c r="K343" i="36"/>
  <c r="M343" i="36"/>
  <c r="AB343" i="36"/>
  <c r="X343" i="36"/>
  <c r="AL343" i="36"/>
  <c r="AN343" i="36"/>
  <c r="AG343" i="36"/>
  <c r="W343" i="36"/>
  <c r="AP343" i="36"/>
  <c r="Y343" i="36"/>
  <c r="AK343" i="36"/>
  <c r="AA343" i="36"/>
  <c r="P343" i="36"/>
  <c r="AQ343" i="36"/>
  <c r="AI343" i="36"/>
  <c r="AE343" i="36"/>
  <c r="N343" i="36"/>
  <c r="AD343" i="36"/>
  <c r="AH343" i="36"/>
  <c r="R343" i="36"/>
  <c r="AM343" i="36"/>
  <c r="AO343" i="36"/>
  <c r="Z343" i="36"/>
  <c r="AF343" i="36"/>
  <c r="AC343" i="36"/>
  <c r="AJ343" i="36"/>
  <c r="T343" i="36"/>
  <c r="S343" i="36"/>
  <c r="U343" i="36"/>
  <c r="AS343" i="36"/>
  <c r="AR343" i="36"/>
  <c r="L343" i="36"/>
  <c r="V343" i="36"/>
  <c r="Q343" i="36"/>
  <c r="O343" i="36"/>
  <c r="AU343" i="36"/>
  <c r="AT343" i="36"/>
  <c r="B344" i="36"/>
  <c r="F344" i="36" s="1"/>
  <c r="C344" i="36"/>
  <c r="P352" i="19"/>
  <c r="AO352" i="19"/>
  <c r="AL352" i="19"/>
  <c r="AK352" i="19"/>
  <c r="L352" i="19"/>
  <c r="AQ352" i="19"/>
  <c r="AR352" i="19"/>
  <c r="N352" i="19"/>
  <c r="AH352" i="19"/>
  <c r="AG352" i="19"/>
  <c r="AP352" i="19"/>
  <c r="AM352" i="19"/>
  <c r="AI352" i="19"/>
  <c r="AJ352" i="19"/>
  <c r="M352" i="19"/>
  <c r="AU352" i="19"/>
  <c r="AT352" i="19"/>
  <c r="AE352" i="19"/>
  <c r="AF352" i="19"/>
  <c r="AN352" i="19"/>
  <c r="AS352" i="19"/>
  <c r="A354" i="19"/>
  <c r="AV355" i="19"/>
  <c r="AW355" i="19" s="1"/>
  <c r="B353" i="19"/>
  <c r="C353" i="19"/>
  <c r="I353" i="19" l="1"/>
  <c r="S353" i="19"/>
  <c r="U353" i="19"/>
  <c r="W353" i="19"/>
  <c r="Y353" i="19"/>
  <c r="AA353" i="19"/>
  <c r="AC353" i="19"/>
  <c r="R353" i="19"/>
  <c r="T353" i="19"/>
  <c r="V353" i="19"/>
  <c r="X353" i="19"/>
  <c r="Z353" i="19"/>
  <c r="AB353" i="19"/>
  <c r="AD353" i="19"/>
  <c r="O353" i="19"/>
  <c r="J344" i="36"/>
  <c r="E344" i="36"/>
  <c r="D344" i="36"/>
  <c r="H344" i="36"/>
  <c r="G344" i="36"/>
  <c r="B345" i="36"/>
  <c r="D345" i="36" s="1"/>
  <c r="C345" i="36"/>
  <c r="I344" i="36"/>
  <c r="AC344" i="36"/>
  <c r="AF344" i="36"/>
  <c r="AN344" i="36"/>
  <c r="AU344" i="36"/>
  <c r="Q344" i="36"/>
  <c r="W344" i="36"/>
  <c r="AG344" i="36"/>
  <c r="S344" i="36"/>
  <c r="U344" i="36"/>
  <c r="AR344" i="36"/>
  <c r="P344" i="36"/>
  <c r="AO344" i="36"/>
  <c r="AL344" i="36"/>
  <c r="AB344" i="36"/>
  <c r="AP344" i="36"/>
  <c r="O344" i="36"/>
  <c r="AT344" i="36"/>
  <c r="Y344" i="36"/>
  <c r="AM344" i="36"/>
  <c r="X344" i="36"/>
  <c r="R344" i="36"/>
  <c r="M344" i="36"/>
  <c r="AS344" i="36"/>
  <c r="AQ344" i="36"/>
  <c r="AD344" i="36"/>
  <c r="V344" i="36"/>
  <c r="AE344" i="36"/>
  <c r="T344" i="36"/>
  <c r="AJ344" i="36"/>
  <c r="N344" i="36"/>
  <c r="AK344" i="36"/>
  <c r="Z344" i="36"/>
  <c r="K344" i="36"/>
  <c r="AI344" i="36"/>
  <c r="AH344" i="36"/>
  <c r="L344" i="36"/>
  <c r="AA344" i="36"/>
  <c r="AV347" i="36"/>
  <c r="AW347" i="36" s="1"/>
  <c r="A346" i="36"/>
  <c r="J353" i="19"/>
  <c r="D353" i="19"/>
  <c r="E353" i="19"/>
  <c r="F353" i="19"/>
  <c r="G353" i="19"/>
  <c r="H353" i="19"/>
  <c r="A355" i="19"/>
  <c r="AV356" i="19"/>
  <c r="AW356" i="19" s="1"/>
  <c r="B354" i="19"/>
  <c r="C354" i="19"/>
  <c r="AG353" i="19"/>
  <c r="AF353" i="19"/>
  <c r="AO353" i="19"/>
  <c r="AM353" i="19"/>
  <c r="AS353" i="19"/>
  <c r="AJ353" i="19"/>
  <c r="AE353" i="19"/>
  <c r="AN353" i="19"/>
  <c r="AI353" i="19"/>
  <c r="AU353" i="19"/>
  <c r="AT353" i="19"/>
  <c r="P353" i="19"/>
  <c r="AR353" i="19"/>
  <c r="AL353" i="19"/>
  <c r="AH353" i="19"/>
  <c r="AQ353" i="19"/>
  <c r="AK353" i="19"/>
  <c r="AP353" i="19"/>
  <c r="I354" i="19" l="1"/>
  <c r="R354" i="19"/>
  <c r="T354" i="19"/>
  <c r="V354" i="19"/>
  <c r="X354" i="19"/>
  <c r="Z354" i="19"/>
  <c r="AB354" i="19"/>
  <c r="AD354" i="19"/>
  <c r="S354" i="19"/>
  <c r="U354" i="19"/>
  <c r="W354" i="19"/>
  <c r="Y354" i="19"/>
  <c r="AA354" i="19"/>
  <c r="AC354" i="19"/>
  <c r="O354" i="19"/>
  <c r="I345" i="36"/>
  <c r="E345" i="36"/>
  <c r="F345" i="36"/>
  <c r="C346" i="36"/>
  <c r="B346" i="36"/>
  <c r="G346" i="36" s="1"/>
  <c r="G345" i="36"/>
  <c r="J345" i="36"/>
  <c r="AV348" i="36"/>
  <c r="AW348" i="36" s="1"/>
  <c r="A347" i="36"/>
  <c r="H345" i="36"/>
  <c r="W345" i="36"/>
  <c r="L345" i="36"/>
  <c r="R345" i="36"/>
  <c r="AN345" i="36"/>
  <c r="S345" i="36"/>
  <c r="P345" i="36"/>
  <c r="AB345" i="36"/>
  <c r="O345" i="36"/>
  <c r="AG345" i="36"/>
  <c r="N345" i="36"/>
  <c r="K345" i="36"/>
  <c r="AA345" i="36"/>
  <c r="AH345" i="36"/>
  <c r="AE345" i="36"/>
  <c r="AF345" i="36"/>
  <c r="AM345" i="36"/>
  <c r="V345" i="36"/>
  <c r="U345" i="36"/>
  <c r="AQ345" i="36"/>
  <c r="T345" i="36"/>
  <c r="AU345" i="36"/>
  <c r="Y345" i="36"/>
  <c r="AC345" i="36"/>
  <c r="AO345" i="36"/>
  <c r="AS345" i="36"/>
  <c r="Q345" i="36"/>
  <c r="AR345" i="36"/>
  <c r="AT345" i="36"/>
  <c r="AL345" i="36"/>
  <c r="AI345" i="36"/>
  <c r="AD345" i="36"/>
  <c r="X345" i="36"/>
  <c r="AK345" i="36"/>
  <c r="M345" i="36"/>
  <c r="AP345" i="36"/>
  <c r="AJ345" i="36"/>
  <c r="Z345" i="36"/>
  <c r="J354" i="19"/>
  <c r="E354" i="19"/>
  <c r="D354" i="19"/>
  <c r="G354" i="19"/>
  <c r="H354" i="19"/>
  <c r="F354" i="19"/>
  <c r="AQ354" i="19"/>
  <c r="AI354" i="19"/>
  <c r="AP354" i="19"/>
  <c r="AO354" i="19"/>
  <c r="P354" i="19"/>
  <c r="AS354" i="19"/>
  <c r="AF354" i="19"/>
  <c r="AK354" i="19"/>
  <c r="AT354" i="19"/>
  <c r="AN354" i="19"/>
  <c r="AR354" i="19"/>
  <c r="AM354" i="19"/>
  <c r="AL354" i="19"/>
  <c r="AJ354" i="19"/>
  <c r="AG354" i="19"/>
  <c r="AH354" i="19"/>
  <c r="AU354" i="19"/>
  <c r="AE354" i="19"/>
  <c r="AV357" i="19"/>
  <c r="AW357" i="19" s="1"/>
  <c r="A356" i="19"/>
  <c r="B355" i="19"/>
  <c r="C355" i="19"/>
  <c r="F355" i="19" l="1"/>
  <c r="S355" i="19"/>
  <c r="U355" i="19"/>
  <c r="W355" i="19"/>
  <c r="Y355" i="19"/>
  <c r="AA355" i="19"/>
  <c r="AC355" i="19"/>
  <c r="R355" i="19"/>
  <c r="T355" i="19"/>
  <c r="V355" i="19"/>
  <c r="X355" i="19"/>
  <c r="Z355" i="19"/>
  <c r="AB355" i="19"/>
  <c r="AD355" i="19"/>
  <c r="O355" i="19"/>
  <c r="I346" i="36"/>
  <c r="F346" i="36"/>
  <c r="H346" i="36"/>
  <c r="J346" i="36"/>
  <c r="D346" i="36"/>
  <c r="B347" i="36"/>
  <c r="F347" i="36" s="1"/>
  <c r="C347" i="36"/>
  <c r="E346" i="36"/>
  <c r="N346" i="36"/>
  <c r="AM346" i="36"/>
  <c r="AN346" i="36"/>
  <c r="X346" i="36"/>
  <c r="AC346" i="36"/>
  <c r="AS346" i="36"/>
  <c r="AD346" i="36"/>
  <c r="AU346" i="36"/>
  <c r="AA346" i="36"/>
  <c r="AR346" i="36"/>
  <c r="W346" i="36"/>
  <c r="AQ346" i="36"/>
  <c r="AP346" i="36"/>
  <c r="O346" i="36"/>
  <c r="R346" i="36"/>
  <c r="K346" i="36"/>
  <c r="AJ346" i="36"/>
  <c r="P346" i="36"/>
  <c r="Y346" i="36"/>
  <c r="AL346" i="36"/>
  <c r="AI346" i="36"/>
  <c r="AH346" i="36"/>
  <c r="AK346" i="36"/>
  <c r="AE346" i="36"/>
  <c r="AG346" i="36"/>
  <c r="M346" i="36"/>
  <c r="Z346" i="36"/>
  <c r="T346" i="36"/>
  <c r="AB346" i="36"/>
  <c r="Q346" i="36"/>
  <c r="AO346" i="36"/>
  <c r="AT346" i="36"/>
  <c r="AF346" i="36"/>
  <c r="L346" i="36"/>
  <c r="V346" i="36"/>
  <c r="S346" i="36"/>
  <c r="U346" i="36"/>
  <c r="AV349" i="36"/>
  <c r="AW349" i="36" s="1"/>
  <c r="A348" i="36"/>
  <c r="I355" i="19"/>
  <c r="G355" i="19"/>
  <c r="D355" i="19"/>
  <c r="E355" i="19"/>
  <c r="H355" i="19"/>
  <c r="AJ355" i="19"/>
  <c r="P355" i="19"/>
  <c r="AQ355" i="19"/>
  <c r="AH355" i="19"/>
  <c r="AO355" i="19"/>
  <c r="AM355" i="19"/>
  <c r="AR355" i="19"/>
  <c r="AF355" i="19"/>
  <c r="AP355" i="19"/>
  <c r="AL355" i="19"/>
  <c r="AS355" i="19"/>
  <c r="AN355" i="19"/>
  <c r="AU355" i="19"/>
  <c r="AT355" i="19"/>
  <c r="AK355" i="19"/>
  <c r="AE355" i="19"/>
  <c r="AG355" i="19"/>
  <c r="AI355" i="19"/>
  <c r="B356" i="19"/>
  <c r="C356" i="19"/>
  <c r="AV358" i="19"/>
  <c r="AW358" i="19" s="1"/>
  <c r="A357" i="19"/>
  <c r="J355" i="19"/>
  <c r="H356" i="19" l="1"/>
  <c r="R356" i="19"/>
  <c r="T356" i="19"/>
  <c r="V356" i="19"/>
  <c r="X356" i="19"/>
  <c r="Z356" i="19"/>
  <c r="AB356" i="19"/>
  <c r="AD356" i="19"/>
  <c r="S356" i="19"/>
  <c r="U356" i="19"/>
  <c r="W356" i="19"/>
  <c r="Y356" i="19"/>
  <c r="AA356" i="19"/>
  <c r="AC356" i="19"/>
  <c r="O356" i="19"/>
  <c r="I347" i="36"/>
  <c r="D347" i="36"/>
  <c r="J347" i="36"/>
  <c r="H347" i="36"/>
  <c r="AV350" i="36"/>
  <c r="AW350" i="36" s="1"/>
  <c r="A349" i="36"/>
  <c r="G347" i="36"/>
  <c r="E347" i="36"/>
  <c r="B348" i="36"/>
  <c r="I348" i="36" s="1"/>
  <c r="C348" i="36"/>
  <c r="R347" i="36"/>
  <c r="V347" i="36"/>
  <c r="AU347" i="36"/>
  <c r="L347" i="36"/>
  <c r="AT347" i="36"/>
  <c r="AG347" i="36"/>
  <c r="AJ347" i="36"/>
  <c r="AR347" i="36"/>
  <c r="AA347" i="36"/>
  <c r="W347" i="36"/>
  <c r="AN347" i="36"/>
  <c r="Z347" i="36"/>
  <c r="T347" i="36"/>
  <c r="AI347" i="36"/>
  <c r="AC347" i="36"/>
  <c r="AF347" i="36"/>
  <c r="Y347" i="36"/>
  <c r="AL347" i="36"/>
  <c r="AE347" i="36"/>
  <c r="AS347" i="36"/>
  <c r="M347" i="36"/>
  <c r="Q347" i="36"/>
  <c r="AK347" i="36"/>
  <c r="AM347" i="36"/>
  <c r="X347" i="36"/>
  <c r="AO347" i="36"/>
  <c r="AD347" i="36"/>
  <c r="AQ347" i="36"/>
  <c r="N347" i="36"/>
  <c r="O347" i="36"/>
  <c r="AB347" i="36"/>
  <c r="AP347" i="36"/>
  <c r="U347" i="36"/>
  <c r="S347" i="36"/>
  <c r="AH347" i="36"/>
  <c r="P347" i="36"/>
  <c r="K347" i="36"/>
  <c r="J356" i="19"/>
  <c r="F356" i="19"/>
  <c r="E356" i="19"/>
  <c r="I356" i="19"/>
  <c r="AV359" i="19"/>
  <c r="AW359" i="19" s="1"/>
  <c r="A358" i="19"/>
  <c r="D356" i="19"/>
  <c r="G356" i="19"/>
  <c r="C357" i="19"/>
  <c r="B357" i="19"/>
  <c r="AE356" i="19"/>
  <c r="AJ356" i="19"/>
  <c r="AL356" i="19"/>
  <c r="AR356" i="19"/>
  <c r="AT356" i="19"/>
  <c r="AS356" i="19"/>
  <c r="AQ356" i="19"/>
  <c r="AP356" i="19"/>
  <c r="AI356" i="19"/>
  <c r="AG356" i="19"/>
  <c r="AM356" i="19"/>
  <c r="AO356" i="19"/>
  <c r="AF356" i="19"/>
  <c r="P356" i="19"/>
  <c r="AN356" i="19"/>
  <c r="AH356" i="19"/>
  <c r="AU356" i="19"/>
  <c r="AK356" i="19"/>
  <c r="D357" i="19" l="1"/>
  <c r="S357" i="19"/>
  <c r="U357" i="19"/>
  <c r="W357" i="19"/>
  <c r="Y357" i="19"/>
  <c r="AA357" i="19"/>
  <c r="AC357" i="19"/>
  <c r="R357" i="19"/>
  <c r="T357" i="19"/>
  <c r="V357" i="19"/>
  <c r="X357" i="19"/>
  <c r="Z357" i="19"/>
  <c r="AB357" i="19"/>
  <c r="AD357" i="19"/>
  <c r="F348" i="36"/>
  <c r="G348" i="36"/>
  <c r="H348" i="36"/>
  <c r="D348" i="36"/>
  <c r="E348" i="36"/>
  <c r="G349" i="36"/>
  <c r="C349" i="36"/>
  <c r="H349" i="36"/>
  <c r="I349" i="36"/>
  <c r="J349" i="36"/>
  <c r="E349" i="36"/>
  <c r="B349" i="36"/>
  <c r="D349" i="36"/>
  <c r="F349" i="36"/>
  <c r="J348" i="36"/>
  <c r="AT348" i="36"/>
  <c r="AH348" i="36"/>
  <c r="R348" i="36"/>
  <c r="AP348" i="36"/>
  <c r="Y348" i="36"/>
  <c r="AS348" i="36"/>
  <c r="M348" i="36"/>
  <c r="O348" i="36"/>
  <c r="W348" i="36"/>
  <c r="Z348" i="36"/>
  <c r="P348" i="36"/>
  <c r="AC348" i="36"/>
  <c r="AD348" i="36"/>
  <c r="V348" i="36"/>
  <c r="AO348" i="36"/>
  <c r="AU348" i="36"/>
  <c r="AN348" i="36"/>
  <c r="AI348" i="36"/>
  <c r="AB348" i="36"/>
  <c r="AQ348" i="36"/>
  <c r="L348" i="36"/>
  <c r="AM348" i="36"/>
  <c r="AJ348" i="36"/>
  <c r="AL348" i="36"/>
  <c r="K348" i="36"/>
  <c r="X348" i="36"/>
  <c r="AE348" i="36"/>
  <c r="AK348" i="36"/>
  <c r="AG348" i="36"/>
  <c r="AF348" i="36"/>
  <c r="T348" i="36"/>
  <c r="N348" i="36"/>
  <c r="S348" i="36"/>
  <c r="AR348" i="36"/>
  <c r="AA348" i="36"/>
  <c r="U348" i="36"/>
  <c r="Q348" i="36"/>
  <c r="AV351" i="36"/>
  <c r="AW351" i="36" s="1"/>
  <c r="A350" i="36"/>
  <c r="F357" i="19"/>
  <c r="E357" i="19"/>
  <c r="G357" i="19"/>
  <c r="H357" i="19"/>
  <c r="I357" i="19"/>
  <c r="AQ357" i="19"/>
  <c r="AI357" i="19"/>
  <c r="AF357" i="19"/>
  <c r="AP357" i="19"/>
  <c r="AM357" i="19"/>
  <c r="AT357" i="19"/>
  <c r="AL357" i="19"/>
  <c r="AJ357" i="19"/>
  <c r="AE357" i="19"/>
  <c r="AG357" i="19"/>
  <c r="AS357" i="19"/>
  <c r="AU357" i="19"/>
  <c r="AO357" i="19"/>
  <c r="AN357" i="19"/>
  <c r="AK357" i="19"/>
  <c r="AH357" i="19"/>
  <c r="AR357" i="19"/>
  <c r="P357" i="19"/>
  <c r="B358" i="19"/>
  <c r="C358" i="19"/>
  <c r="J357" i="19"/>
  <c r="A359" i="19"/>
  <c r="O359" i="19" s="1"/>
  <c r="AV360" i="19"/>
  <c r="AW360" i="19" s="1"/>
  <c r="F358" i="19" l="1"/>
  <c r="R358" i="19"/>
  <c r="T358" i="19"/>
  <c r="V358" i="19"/>
  <c r="X358" i="19"/>
  <c r="Z358" i="19"/>
  <c r="AB358" i="19"/>
  <c r="AD358" i="19"/>
  <c r="S358" i="19"/>
  <c r="U358" i="19"/>
  <c r="W358" i="19"/>
  <c r="Y358" i="19"/>
  <c r="AA358" i="19"/>
  <c r="AC358" i="19"/>
  <c r="O358" i="19"/>
  <c r="AV352" i="36"/>
  <c r="AW352" i="36" s="1"/>
  <c r="A351" i="36"/>
  <c r="J350" i="36"/>
  <c r="G350" i="36"/>
  <c r="H350" i="36"/>
  <c r="I350" i="36"/>
  <c r="E350" i="36"/>
  <c r="D350" i="36"/>
  <c r="C350" i="36"/>
  <c r="B350" i="36"/>
  <c r="F350" i="36"/>
  <c r="L349" i="36"/>
  <c r="AF349" i="36"/>
  <c r="K349" i="36"/>
  <c r="Z349" i="36"/>
  <c r="AO349" i="36"/>
  <c r="M349" i="36"/>
  <c r="P349" i="36"/>
  <c r="AD349" i="36"/>
  <c r="AI349" i="36"/>
  <c r="AS349" i="36"/>
  <c r="U349" i="36"/>
  <c r="AA349" i="36"/>
  <c r="AN349" i="36"/>
  <c r="N349" i="36"/>
  <c r="AK349" i="36"/>
  <c r="R349" i="36"/>
  <c r="T349" i="36"/>
  <c r="AQ349" i="36"/>
  <c r="AL349" i="36"/>
  <c r="S349" i="36"/>
  <c r="AB349" i="36"/>
  <c r="AG349" i="36"/>
  <c r="V349" i="36"/>
  <c r="AR349" i="36"/>
  <c r="AJ349" i="36"/>
  <c r="AM349" i="36"/>
  <c r="Q349" i="36"/>
  <c r="AT349" i="36"/>
  <c r="AC349" i="36"/>
  <c r="W349" i="36"/>
  <c r="X349" i="36"/>
  <c r="AP349" i="36"/>
  <c r="AH349" i="36"/>
  <c r="Y349" i="36"/>
  <c r="AE349" i="36"/>
  <c r="O349" i="36"/>
  <c r="AU349" i="36"/>
  <c r="H358" i="19"/>
  <c r="E358" i="19"/>
  <c r="I358" i="19"/>
  <c r="J358" i="19"/>
  <c r="G359" i="19"/>
  <c r="E359" i="19"/>
  <c r="D359" i="19"/>
  <c r="I359" i="19"/>
  <c r="J359" i="19"/>
  <c r="B359" i="19"/>
  <c r="C359" i="19"/>
  <c r="H359" i="19"/>
  <c r="F359" i="19"/>
  <c r="G358" i="19"/>
  <c r="D358" i="19"/>
  <c r="AM358" i="19"/>
  <c r="AL358" i="19"/>
  <c r="AK358" i="19"/>
  <c r="AN358" i="19"/>
  <c r="AT358" i="19"/>
  <c r="AU358" i="19"/>
  <c r="AS358" i="19"/>
  <c r="AP358" i="19"/>
  <c r="AE358" i="19"/>
  <c r="AI358" i="19"/>
  <c r="AO358" i="19"/>
  <c r="AR358" i="19"/>
  <c r="AQ358" i="19"/>
  <c r="AH358" i="19"/>
  <c r="AJ358" i="19"/>
  <c r="AF358" i="19"/>
  <c r="AG358" i="19"/>
  <c r="P358" i="19"/>
  <c r="AV361" i="19"/>
  <c r="AW361" i="19" s="1"/>
  <c r="A360" i="19"/>
  <c r="O360" i="19" s="1"/>
  <c r="S359" i="19" l="1"/>
  <c r="U359" i="19"/>
  <c r="W359" i="19"/>
  <c r="Y359" i="19"/>
  <c r="AA359" i="19"/>
  <c r="AC359" i="19"/>
  <c r="R359" i="19"/>
  <c r="T359" i="19"/>
  <c r="V359" i="19"/>
  <c r="X359" i="19"/>
  <c r="Z359" i="19"/>
  <c r="AB359" i="19"/>
  <c r="AD359" i="19"/>
  <c r="AF350" i="36"/>
  <c r="W350" i="36"/>
  <c r="AC350" i="36"/>
  <c r="AB350" i="36"/>
  <c r="O350" i="36"/>
  <c r="AH350" i="36"/>
  <c r="S350" i="36"/>
  <c r="N350" i="36"/>
  <c r="AN350" i="36"/>
  <c r="AG350" i="36"/>
  <c r="AL350" i="36"/>
  <c r="AO350" i="36"/>
  <c r="AA350" i="36"/>
  <c r="R350" i="36"/>
  <c r="AE350" i="36"/>
  <c r="AK350" i="36"/>
  <c r="AT350" i="36"/>
  <c r="AI350" i="36"/>
  <c r="Y350" i="36"/>
  <c r="X350" i="36"/>
  <c r="AU350" i="36"/>
  <c r="AS350" i="36"/>
  <c r="AR350" i="36"/>
  <c r="P350" i="36"/>
  <c r="Z350" i="36"/>
  <c r="T350" i="36"/>
  <c r="AD350" i="36"/>
  <c r="AP350" i="36"/>
  <c r="AM350" i="36"/>
  <c r="L350" i="36"/>
  <c r="V350" i="36"/>
  <c r="Q350" i="36"/>
  <c r="M350" i="36"/>
  <c r="K350" i="36"/>
  <c r="AJ350" i="36"/>
  <c r="U350" i="36"/>
  <c r="AQ350" i="36"/>
  <c r="C351" i="36"/>
  <c r="B351" i="36"/>
  <c r="J351" i="36" s="1"/>
  <c r="AV353" i="36"/>
  <c r="AW353" i="36" s="1"/>
  <c r="A352" i="36"/>
  <c r="AJ359" i="19"/>
  <c r="AG359" i="19"/>
  <c r="AS359" i="19"/>
  <c r="AL359" i="19"/>
  <c r="AI359" i="19"/>
  <c r="AP359" i="19"/>
  <c r="L359" i="19"/>
  <c r="AQ359" i="19"/>
  <c r="AU359" i="19"/>
  <c r="AN359" i="19"/>
  <c r="K359" i="19"/>
  <c r="AT359" i="19"/>
  <c r="AH359" i="19"/>
  <c r="AF359" i="19"/>
  <c r="AK359" i="19"/>
  <c r="N359" i="19"/>
  <c r="P359" i="19"/>
  <c r="AE359" i="19"/>
  <c r="AM359" i="19"/>
  <c r="AR359" i="19"/>
  <c r="AO359" i="19"/>
  <c r="F360" i="19"/>
  <c r="H360" i="19"/>
  <c r="C360" i="19"/>
  <c r="G360" i="19"/>
  <c r="D360" i="19"/>
  <c r="I360" i="19"/>
  <c r="B360" i="19"/>
  <c r="J360" i="19"/>
  <c r="E360" i="19"/>
  <c r="AV362" i="19"/>
  <c r="AW362" i="19" s="1"/>
  <c r="A361" i="19"/>
  <c r="R360" i="19" l="1"/>
  <c r="T360" i="19"/>
  <c r="S360" i="19"/>
  <c r="U360" i="19"/>
  <c r="W360" i="19"/>
  <c r="Y360" i="19"/>
  <c r="AA360" i="19"/>
  <c r="AC360" i="19"/>
  <c r="V360" i="19"/>
  <c r="X360" i="19"/>
  <c r="Z360" i="19"/>
  <c r="AB360" i="19"/>
  <c r="AD360" i="19"/>
  <c r="D351" i="36"/>
  <c r="H351" i="36"/>
  <c r="F351" i="36"/>
  <c r="C352" i="36"/>
  <c r="B352" i="36"/>
  <c r="D352" i="36" s="1"/>
  <c r="E351" i="36"/>
  <c r="G351" i="36"/>
  <c r="I351" i="36"/>
  <c r="AV354" i="36"/>
  <c r="AW354" i="36" s="1"/>
  <c r="A353" i="36"/>
  <c r="U351" i="36"/>
  <c r="AU351" i="36"/>
  <c r="V351" i="36"/>
  <c r="AK351" i="36"/>
  <c r="S351" i="36"/>
  <c r="X351" i="36"/>
  <c r="AB351" i="36"/>
  <c r="AM351" i="36"/>
  <c r="AD351" i="36"/>
  <c r="AQ351" i="36"/>
  <c r="AF351" i="36"/>
  <c r="K351" i="36"/>
  <c r="L351" i="36"/>
  <c r="T351" i="36"/>
  <c r="R351" i="36"/>
  <c r="Z351" i="36"/>
  <c r="AE351" i="36"/>
  <c r="AA351" i="36"/>
  <c r="AS351" i="36"/>
  <c r="AP351" i="36"/>
  <c r="AL351" i="36"/>
  <c r="M351" i="36"/>
  <c r="AN351" i="36"/>
  <c r="AI351" i="36"/>
  <c r="AG351" i="36"/>
  <c r="AR351" i="36"/>
  <c r="W351" i="36"/>
  <c r="AT351" i="36"/>
  <c r="AJ351" i="36"/>
  <c r="O351" i="36"/>
  <c r="P351" i="36"/>
  <c r="Q351" i="36"/>
  <c r="N351" i="36"/>
  <c r="AH351" i="36"/>
  <c r="AO351" i="36"/>
  <c r="AC351" i="36"/>
  <c r="Y351" i="36"/>
  <c r="C361" i="19"/>
  <c r="B361" i="19"/>
  <c r="AN360" i="19"/>
  <c r="AT360" i="19"/>
  <c r="AP360" i="19"/>
  <c r="AJ360" i="19"/>
  <c r="AS360" i="19"/>
  <c r="AK360" i="19"/>
  <c r="AR360" i="19"/>
  <c r="L353" i="19"/>
  <c r="AF360" i="19"/>
  <c r="AH360" i="19"/>
  <c r="AE360" i="19"/>
  <c r="AU360" i="19"/>
  <c r="AO360" i="19"/>
  <c r="N353" i="19"/>
  <c r="AI360" i="19"/>
  <c r="AG360" i="19"/>
  <c r="P360" i="19"/>
  <c r="K353" i="19"/>
  <c r="AQ360" i="19"/>
  <c r="AM360" i="19"/>
  <c r="AL360" i="19"/>
  <c r="A362" i="19"/>
  <c r="AV363" i="19"/>
  <c r="AW363" i="19" s="1"/>
  <c r="G361" i="19" l="1"/>
  <c r="R361" i="19"/>
  <c r="T361" i="19"/>
  <c r="V361" i="19"/>
  <c r="X361" i="19"/>
  <c r="Z361" i="19"/>
  <c r="AB361" i="19"/>
  <c r="AD361" i="19"/>
  <c r="S361" i="19"/>
  <c r="U361" i="19"/>
  <c r="W361" i="19"/>
  <c r="Y361" i="19"/>
  <c r="AA361" i="19"/>
  <c r="AC361" i="19"/>
  <c r="O361" i="19"/>
  <c r="J352" i="36"/>
  <c r="H352" i="36"/>
  <c r="G352" i="36"/>
  <c r="E352" i="36"/>
  <c r="F352" i="36"/>
  <c r="I352" i="36"/>
  <c r="C353" i="36"/>
  <c r="D353" i="36"/>
  <c r="F353" i="36"/>
  <c r="H353" i="36"/>
  <c r="E353" i="36"/>
  <c r="B353" i="36"/>
  <c r="J353" i="36"/>
  <c r="I353" i="36"/>
  <c r="G353" i="36"/>
  <c r="AE352" i="36"/>
  <c r="AG352" i="36"/>
  <c r="U352" i="36"/>
  <c r="Y352" i="36"/>
  <c r="Z352" i="36"/>
  <c r="T352" i="36"/>
  <c r="AF352" i="36"/>
  <c r="N352" i="36"/>
  <c r="S352" i="36"/>
  <c r="AP352" i="36"/>
  <c r="P352" i="36"/>
  <c r="L352" i="36"/>
  <c r="AR352" i="36"/>
  <c r="AA352" i="36"/>
  <c r="AC352" i="36"/>
  <c r="AT352" i="36"/>
  <c r="W352" i="36"/>
  <c r="AK352" i="36"/>
  <c r="AL352" i="36"/>
  <c r="AO352" i="36"/>
  <c r="AD352" i="36"/>
  <c r="X352" i="36"/>
  <c r="AI352" i="36"/>
  <c r="AQ352" i="36"/>
  <c r="K352" i="36"/>
  <c r="AN352" i="36"/>
  <c r="O352" i="36"/>
  <c r="V352" i="36"/>
  <c r="AB352" i="36"/>
  <c r="AM352" i="36"/>
  <c r="AH352" i="36"/>
  <c r="AJ352" i="36"/>
  <c r="R352" i="36"/>
  <c r="AU352" i="36"/>
  <c r="Q352" i="36"/>
  <c r="M352" i="36"/>
  <c r="AS352" i="36"/>
  <c r="AV355" i="36"/>
  <c r="AW355" i="36" s="1"/>
  <c r="A354" i="36"/>
  <c r="F361" i="19"/>
  <c r="I361" i="19"/>
  <c r="E361" i="19"/>
  <c r="D361" i="19"/>
  <c r="J361" i="19"/>
  <c r="A363" i="19"/>
  <c r="O363" i="19" s="1"/>
  <c r="AV364" i="19"/>
  <c r="AW364" i="19" s="1"/>
  <c r="H361" i="19"/>
  <c r="AI361" i="19"/>
  <c r="L354" i="19"/>
  <c r="AM361" i="19"/>
  <c r="AF361" i="19"/>
  <c r="AE361" i="19"/>
  <c r="AJ361" i="19"/>
  <c r="AN361" i="19"/>
  <c r="K354" i="19"/>
  <c r="AO361" i="19"/>
  <c r="N354" i="19"/>
  <c r="AS361" i="19"/>
  <c r="AQ361" i="19"/>
  <c r="P361" i="19"/>
  <c r="AH361" i="19"/>
  <c r="AG361" i="19"/>
  <c r="AT361" i="19"/>
  <c r="AU361" i="19"/>
  <c r="AP361" i="19"/>
  <c r="AR361" i="19"/>
  <c r="AL361" i="19"/>
  <c r="AK361" i="19"/>
  <c r="B362" i="19"/>
  <c r="C362" i="19"/>
  <c r="J362" i="19" l="1"/>
  <c r="S362" i="19"/>
  <c r="U362" i="19"/>
  <c r="W362" i="19"/>
  <c r="Y362" i="19"/>
  <c r="AA362" i="19"/>
  <c r="AC362" i="19"/>
  <c r="R362" i="19"/>
  <c r="T362" i="19"/>
  <c r="V362" i="19"/>
  <c r="X362" i="19"/>
  <c r="Z362" i="19"/>
  <c r="AB362" i="19"/>
  <c r="AD362" i="19"/>
  <c r="O362" i="19"/>
  <c r="D354" i="36"/>
  <c r="E354" i="36"/>
  <c r="F354" i="36"/>
  <c r="C354" i="36"/>
  <c r="I354" i="36"/>
  <c r="H354" i="36"/>
  <c r="G354" i="36"/>
  <c r="B354" i="36"/>
  <c r="J354" i="36"/>
  <c r="AO353" i="36"/>
  <c r="AJ353" i="36"/>
  <c r="S353" i="36"/>
  <c r="AC353" i="36"/>
  <c r="AH353" i="36"/>
  <c r="AK353" i="36"/>
  <c r="AL353" i="36"/>
  <c r="M353" i="36"/>
  <c r="AR353" i="36"/>
  <c r="W353" i="36"/>
  <c r="X353" i="36"/>
  <c r="O353" i="36"/>
  <c r="AI353" i="36"/>
  <c r="AG353" i="36"/>
  <c r="AS353" i="36"/>
  <c r="P353" i="36"/>
  <c r="AM353" i="36"/>
  <c r="AA353" i="36"/>
  <c r="R353" i="36"/>
  <c r="Z353" i="36"/>
  <c r="K353" i="36"/>
  <c r="AF353" i="36"/>
  <c r="AE353" i="36"/>
  <c r="AN353" i="36"/>
  <c r="AP353" i="36"/>
  <c r="N353" i="36"/>
  <c r="U353" i="36"/>
  <c r="Q353" i="36"/>
  <c r="AU353" i="36"/>
  <c r="AB353" i="36"/>
  <c r="AQ353" i="36"/>
  <c r="Y353" i="36"/>
  <c r="V353" i="36"/>
  <c r="AT353" i="36"/>
  <c r="L353" i="36"/>
  <c r="AD353" i="36"/>
  <c r="T353" i="36"/>
  <c r="AV356" i="36"/>
  <c r="AW356" i="36" s="1"/>
  <c r="A355" i="36"/>
  <c r="G362" i="19"/>
  <c r="H362" i="19"/>
  <c r="I362" i="19"/>
  <c r="E362" i="19"/>
  <c r="F362" i="19"/>
  <c r="AM362" i="19"/>
  <c r="AP362" i="19"/>
  <c r="AO362" i="19"/>
  <c r="AI362" i="19"/>
  <c r="AR362" i="19"/>
  <c r="N355" i="19"/>
  <c r="AN362" i="19"/>
  <c r="AQ362" i="19"/>
  <c r="AU362" i="19"/>
  <c r="AE362" i="19"/>
  <c r="AG362" i="19"/>
  <c r="AS362" i="19"/>
  <c r="AK362" i="19"/>
  <c r="AL362" i="19"/>
  <c r="L355" i="19"/>
  <c r="AT362" i="19"/>
  <c r="AH362" i="19"/>
  <c r="K355" i="19"/>
  <c r="AJ362" i="19"/>
  <c r="P362" i="19"/>
  <c r="AF362" i="19"/>
  <c r="AV365" i="19"/>
  <c r="AW365" i="19" s="1"/>
  <c r="A364" i="19"/>
  <c r="O364" i="19" s="1"/>
  <c r="D362" i="19"/>
  <c r="F363" i="19"/>
  <c r="H363" i="19"/>
  <c r="E363" i="19"/>
  <c r="J363" i="19"/>
  <c r="C363" i="19"/>
  <c r="D363" i="19"/>
  <c r="B363" i="19"/>
  <c r="G363" i="19"/>
  <c r="I363" i="19"/>
  <c r="R363" i="19" l="1"/>
  <c r="T363" i="19"/>
  <c r="V363" i="19"/>
  <c r="X363" i="19"/>
  <c r="Z363" i="19"/>
  <c r="AB363" i="19"/>
  <c r="AD363" i="19"/>
  <c r="S363" i="19"/>
  <c r="U363" i="19"/>
  <c r="W363" i="19"/>
  <c r="Y363" i="19"/>
  <c r="AA363" i="19"/>
  <c r="AC363" i="19"/>
  <c r="C355" i="36"/>
  <c r="B355" i="36"/>
  <c r="H355" i="36" s="1"/>
  <c r="AI354" i="36"/>
  <c r="AJ354" i="36"/>
  <c r="AM354" i="36"/>
  <c r="K354" i="36"/>
  <c r="W354" i="36"/>
  <c r="AB354" i="36"/>
  <c r="AD354" i="36"/>
  <c r="AL354" i="36"/>
  <c r="L354" i="36"/>
  <c r="AU354" i="36"/>
  <c r="AN354" i="36"/>
  <c r="AG354" i="36"/>
  <c r="N354" i="36"/>
  <c r="V354" i="36"/>
  <c r="AC354" i="36"/>
  <c r="Y354" i="36"/>
  <c r="Z354" i="36"/>
  <c r="AT354" i="36"/>
  <c r="X354" i="36"/>
  <c r="AS354" i="36"/>
  <c r="U354" i="36"/>
  <c r="AO354" i="36"/>
  <c r="AH354" i="36"/>
  <c r="AK354" i="36"/>
  <c r="M354" i="36"/>
  <c r="T354" i="36"/>
  <c r="R354" i="36"/>
  <c r="P354" i="36"/>
  <c r="AE354" i="36"/>
  <c r="Q354" i="36"/>
  <c r="S354" i="36"/>
  <c r="AA354" i="36"/>
  <c r="O354" i="36"/>
  <c r="AQ354" i="36"/>
  <c r="AP354" i="36"/>
  <c r="AF354" i="36"/>
  <c r="AR354" i="36"/>
  <c r="AV357" i="36"/>
  <c r="AW357" i="36" s="1"/>
  <c r="A356" i="36"/>
  <c r="AG363" i="19"/>
  <c r="L356" i="19"/>
  <c r="AF363" i="19"/>
  <c r="AH363" i="19"/>
  <c r="AL363" i="19"/>
  <c r="N356" i="19"/>
  <c r="AN363" i="19"/>
  <c r="AO363" i="19"/>
  <c r="AK363" i="19"/>
  <c r="AQ363" i="19"/>
  <c r="AU363" i="19"/>
  <c r="P363" i="19"/>
  <c r="AJ363" i="19"/>
  <c r="AP363" i="19"/>
  <c r="K356" i="19"/>
  <c r="AI363" i="19"/>
  <c r="AM363" i="19"/>
  <c r="AE363" i="19"/>
  <c r="AR363" i="19"/>
  <c r="AT363" i="19"/>
  <c r="AS363" i="19"/>
  <c r="E364" i="19"/>
  <c r="F364" i="19"/>
  <c r="H364" i="19"/>
  <c r="J364" i="19"/>
  <c r="I364" i="19"/>
  <c r="B364" i="19"/>
  <c r="C364" i="19"/>
  <c r="D364" i="19"/>
  <c r="G364" i="19"/>
  <c r="A365" i="19"/>
  <c r="AV366" i="19"/>
  <c r="AW366" i="19" s="1"/>
  <c r="S364" i="19" l="1"/>
  <c r="U364" i="19"/>
  <c r="W364" i="19"/>
  <c r="Y364" i="19"/>
  <c r="AA364" i="19"/>
  <c r="AC364" i="19"/>
  <c r="R364" i="19"/>
  <c r="T364" i="19"/>
  <c r="V364" i="19"/>
  <c r="X364" i="19"/>
  <c r="Z364" i="19"/>
  <c r="AB364" i="19"/>
  <c r="AD364" i="19"/>
  <c r="E355" i="36"/>
  <c r="I355" i="36"/>
  <c r="F355" i="36"/>
  <c r="D355" i="36"/>
  <c r="J355" i="36"/>
  <c r="AV358" i="36"/>
  <c r="AW358" i="36" s="1"/>
  <c r="A357" i="36"/>
  <c r="G355" i="36"/>
  <c r="Z355" i="36"/>
  <c r="AQ355" i="36"/>
  <c r="AU355" i="36"/>
  <c r="AK355" i="36"/>
  <c r="M355" i="36"/>
  <c r="Y355" i="36"/>
  <c r="AM355" i="36"/>
  <c r="AT355" i="36"/>
  <c r="AD355" i="36"/>
  <c r="AO355" i="36"/>
  <c r="U355" i="36"/>
  <c r="S355" i="36"/>
  <c r="AH355" i="36"/>
  <c r="L355" i="36"/>
  <c r="X355" i="36"/>
  <c r="AE355" i="36"/>
  <c r="AJ355" i="36"/>
  <c r="O355" i="36"/>
  <c r="K355" i="36"/>
  <c r="AC355" i="36"/>
  <c r="AS355" i="36"/>
  <c r="Q355" i="36"/>
  <c r="T355" i="36"/>
  <c r="W355" i="36"/>
  <c r="N355" i="36"/>
  <c r="AP355" i="36"/>
  <c r="R355" i="36"/>
  <c r="AN355" i="36"/>
  <c r="P355" i="36"/>
  <c r="AB355" i="36"/>
  <c r="AG355" i="36"/>
  <c r="AL355" i="36"/>
  <c r="AR355" i="36"/>
  <c r="AF355" i="36"/>
  <c r="AA355" i="36"/>
  <c r="AI355" i="36"/>
  <c r="V355" i="36"/>
  <c r="B356" i="36"/>
  <c r="D356" i="36" s="1"/>
  <c r="C356" i="36"/>
  <c r="B365" i="19"/>
  <c r="C365" i="19"/>
  <c r="A366" i="19"/>
  <c r="AV367" i="19"/>
  <c r="AW367" i="19" s="1"/>
  <c r="K357" i="19"/>
  <c r="AM364" i="19"/>
  <c r="AQ364" i="19"/>
  <c r="N357" i="19"/>
  <c r="AN364" i="19"/>
  <c r="AK364" i="19"/>
  <c r="P364" i="19"/>
  <c r="AF364" i="19"/>
  <c r="AS364" i="19"/>
  <c r="AU364" i="19"/>
  <c r="AL364" i="19"/>
  <c r="AE364" i="19"/>
  <c r="AT364" i="19"/>
  <c r="AP364" i="19"/>
  <c r="AI364" i="19"/>
  <c r="AG364" i="19"/>
  <c r="AH364" i="19"/>
  <c r="AJ364" i="19"/>
  <c r="L357" i="19"/>
  <c r="AR364" i="19"/>
  <c r="AO364" i="19"/>
  <c r="I365" i="19" l="1"/>
  <c r="R365" i="19"/>
  <c r="T365" i="19"/>
  <c r="V365" i="19"/>
  <c r="X365" i="19"/>
  <c r="Z365" i="19"/>
  <c r="AB365" i="19"/>
  <c r="AD365" i="19"/>
  <c r="S365" i="19"/>
  <c r="U365" i="19"/>
  <c r="W365" i="19"/>
  <c r="Y365" i="19"/>
  <c r="AA365" i="19"/>
  <c r="AC365" i="19"/>
  <c r="O365" i="19"/>
  <c r="H356" i="36"/>
  <c r="E356" i="36"/>
  <c r="F356" i="36"/>
  <c r="J356" i="36"/>
  <c r="I356" i="36"/>
  <c r="B357" i="36"/>
  <c r="H357" i="36" s="1"/>
  <c r="C357" i="36"/>
  <c r="G356" i="36"/>
  <c r="X356" i="36"/>
  <c r="O356" i="36"/>
  <c r="V356" i="36"/>
  <c r="AB356" i="36"/>
  <c r="AC356" i="36"/>
  <c r="AN356" i="36"/>
  <c r="AM356" i="36"/>
  <c r="AI356" i="36"/>
  <c r="AE356" i="36"/>
  <c r="W356" i="36"/>
  <c r="AO356" i="36"/>
  <c r="AR356" i="36"/>
  <c r="AF356" i="36"/>
  <c r="S356" i="36"/>
  <c r="T356" i="36"/>
  <c r="AL356" i="36"/>
  <c r="Q356" i="36"/>
  <c r="AP356" i="36"/>
  <c r="L356" i="36"/>
  <c r="AK356" i="36"/>
  <c r="P356" i="36"/>
  <c r="AJ356" i="36"/>
  <c r="U356" i="36"/>
  <c r="AD356" i="36"/>
  <c r="Y356" i="36"/>
  <c r="AH356" i="36"/>
  <c r="AU356" i="36"/>
  <c r="AT356" i="36"/>
  <c r="M356" i="36"/>
  <c r="N356" i="36"/>
  <c r="AQ356" i="36"/>
  <c r="AG356" i="36"/>
  <c r="R356" i="36"/>
  <c r="K356" i="36"/>
  <c r="AA356" i="36"/>
  <c r="AS356" i="36"/>
  <c r="Z356" i="36"/>
  <c r="AV359" i="36"/>
  <c r="AW359" i="36" s="1"/>
  <c r="A358" i="36"/>
  <c r="J365" i="19"/>
  <c r="H365" i="19"/>
  <c r="E365" i="19"/>
  <c r="D365" i="19"/>
  <c r="G365" i="19"/>
  <c r="F365" i="19"/>
  <c r="A367" i="19"/>
  <c r="AV368" i="19"/>
  <c r="AW368" i="19" s="1"/>
  <c r="C366" i="19"/>
  <c r="B366" i="19"/>
  <c r="AQ365" i="19"/>
  <c r="AP365" i="19"/>
  <c r="AH365" i="19"/>
  <c r="N358" i="19"/>
  <c r="AF365" i="19"/>
  <c r="AR365" i="19"/>
  <c r="AM365" i="19"/>
  <c r="AU365" i="19"/>
  <c r="AT365" i="19"/>
  <c r="AN365" i="19"/>
  <c r="AE365" i="19"/>
  <c r="L358" i="19"/>
  <c r="AK365" i="19"/>
  <c r="AO365" i="19"/>
  <c r="AI365" i="19"/>
  <c r="AL365" i="19"/>
  <c r="AJ365" i="19"/>
  <c r="P365" i="19"/>
  <c r="AG365" i="19"/>
  <c r="K358" i="19"/>
  <c r="AS365" i="19"/>
  <c r="D366" i="19" l="1"/>
  <c r="S366" i="19"/>
  <c r="U366" i="19"/>
  <c r="W366" i="19"/>
  <c r="Y366" i="19"/>
  <c r="AA366" i="19"/>
  <c r="AC366" i="19"/>
  <c r="R366" i="19"/>
  <c r="T366" i="19"/>
  <c r="V366" i="19"/>
  <c r="X366" i="19"/>
  <c r="Z366" i="19"/>
  <c r="AB366" i="19"/>
  <c r="AD366" i="19"/>
  <c r="I357" i="36"/>
  <c r="O366" i="19"/>
  <c r="E357" i="36"/>
  <c r="F357" i="36"/>
  <c r="C358" i="36"/>
  <c r="B358" i="36"/>
  <c r="J358" i="36" s="1"/>
  <c r="J357" i="36"/>
  <c r="G357" i="36"/>
  <c r="AV360" i="36"/>
  <c r="AW360" i="36" s="1"/>
  <c r="A359" i="36"/>
  <c r="D357" i="36"/>
  <c r="AG357" i="36"/>
  <c r="R357" i="36"/>
  <c r="AA357" i="36"/>
  <c r="AP357" i="36"/>
  <c r="AM357" i="36"/>
  <c r="AF357" i="36"/>
  <c r="K357" i="36"/>
  <c r="Z357" i="36"/>
  <c r="AT357" i="36"/>
  <c r="AO357" i="36"/>
  <c r="AB357" i="36"/>
  <c r="O357" i="36"/>
  <c r="AI357" i="36"/>
  <c r="X357" i="36"/>
  <c r="AJ357" i="36"/>
  <c r="P357" i="36"/>
  <c r="U357" i="36"/>
  <c r="W357" i="36"/>
  <c r="AC357" i="36"/>
  <c r="Q357" i="36"/>
  <c r="AN357" i="36"/>
  <c r="T357" i="36"/>
  <c r="V357" i="36"/>
  <c r="AK357" i="36"/>
  <c r="AH357" i="36"/>
  <c r="AE357" i="36"/>
  <c r="S357" i="36"/>
  <c r="M357" i="36"/>
  <c r="Y357" i="36"/>
  <c r="AS357" i="36"/>
  <c r="AD357" i="36"/>
  <c r="L357" i="36"/>
  <c r="AQ357" i="36"/>
  <c r="N357" i="36"/>
  <c r="AL357" i="36"/>
  <c r="AU357" i="36"/>
  <c r="AR357" i="36"/>
  <c r="J366" i="19"/>
  <c r="I366" i="19"/>
  <c r="F366" i="19"/>
  <c r="G366" i="19"/>
  <c r="E366" i="19"/>
  <c r="H366" i="19"/>
  <c r="AE366" i="19"/>
  <c r="AK366" i="19"/>
  <c r="AO366" i="19"/>
  <c r="AU366" i="19"/>
  <c r="N366" i="19"/>
  <c r="AM366" i="19"/>
  <c r="AF366" i="19"/>
  <c r="K366" i="19"/>
  <c r="AL366" i="19"/>
  <c r="AT366" i="19"/>
  <c r="AI366" i="19"/>
  <c r="AH366" i="19"/>
  <c r="AJ366" i="19"/>
  <c r="AN366" i="19"/>
  <c r="P366" i="19"/>
  <c r="AQ366" i="19"/>
  <c r="AS366" i="19"/>
  <c r="L366" i="19"/>
  <c r="AR366" i="19"/>
  <c r="AP366" i="19"/>
  <c r="AG366" i="19"/>
  <c r="AV369" i="19"/>
  <c r="AW369" i="19" s="1"/>
  <c r="A368" i="19"/>
  <c r="C367" i="19"/>
  <c r="B367" i="19"/>
  <c r="F367" i="19" l="1"/>
  <c r="R367" i="19"/>
  <c r="T367" i="19"/>
  <c r="V367" i="19"/>
  <c r="X367" i="19"/>
  <c r="Z367" i="19"/>
  <c r="AB367" i="19"/>
  <c r="AD367" i="19"/>
  <c r="S367" i="19"/>
  <c r="U367" i="19"/>
  <c r="W367" i="19"/>
  <c r="Y367" i="19"/>
  <c r="AA367" i="19"/>
  <c r="AC367" i="19"/>
  <c r="O367" i="19"/>
  <c r="D358" i="36"/>
  <c r="I358" i="36"/>
  <c r="G358" i="36"/>
  <c r="F358" i="36"/>
  <c r="E358" i="36"/>
  <c r="C359" i="36"/>
  <c r="B359" i="36"/>
  <c r="H359" i="36" s="1"/>
  <c r="H358" i="36"/>
  <c r="W358" i="36"/>
  <c r="S358" i="36"/>
  <c r="AD358" i="36"/>
  <c r="Q358" i="36"/>
  <c r="R358" i="36"/>
  <c r="O358" i="36"/>
  <c r="AE358" i="36"/>
  <c r="AF358" i="36"/>
  <c r="M358" i="36"/>
  <c r="K358" i="36"/>
  <c r="Y358" i="36"/>
  <c r="AQ358" i="36"/>
  <c r="L358" i="36"/>
  <c r="AA358" i="36"/>
  <c r="AM358" i="36"/>
  <c r="AH358" i="36"/>
  <c r="T358" i="36"/>
  <c r="AP358" i="36"/>
  <c r="Z358" i="36"/>
  <c r="AC358" i="36"/>
  <c r="AU358" i="36"/>
  <c r="AT358" i="36"/>
  <c r="AG358" i="36"/>
  <c r="N358" i="36"/>
  <c r="X358" i="36"/>
  <c r="U358" i="36"/>
  <c r="AR358" i="36"/>
  <c r="AK358" i="36"/>
  <c r="AJ358" i="36"/>
  <c r="AN358" i="36"/>
  <c r="P358" i="36"/>
  <c r="V358" i="36"/>
  <c r="AS358" i="36"/>
  <c r="AB358" i="36"/>
  <c r="AO358" i="36"/>
  <c r="AI358" i="36"/>
  <c r="AL358" i="36"/>
  <c r="AV361" i="36"/>
  <c r="AW361" i="36" s="1"/>
  <c r="A360" i="36"/>
  <c r="H367" i="19"/>
  <c r="G367" i="19"/>
  <c r="D367" i="19"/>
  <c r="J367" i="19"/>
  <c r="E367" i="19"/>
  <c r="AJ367" i="19"/>
  <c r="AL367" i="19"/>
  <c r="AK367" i="19"/>
  <c r="N367" i="19"/>
  <c r="AU367" i="19"/>
  <c r="AO367" i="19"/>
  <c r="AT367" i="19"/>
  <c r="AH367" i="19"/>
  <c r="AF367" i="19"/>
  <c r="K367" i="19"/>
  <c r="AS367" i="19"/>
  <c r="AP367" i="19"/>
  <c r="AQ367" i="19"/>
  <c r="AM367" i="19"/>
  <c r="AI367" i="19"/>
  <c r="AR367" i="19"/>
  <c r="P367" i="19"/>
  <c r="L367" i="19"/>
  <c r="AE367" i="19"/>
  <c r="AG367" i="19"/>
  <c r="AN367" i="19"/>
  <c r="I367" i="19"/>
  <c r="C368" i="19"/>
  <c r="B368" i="19"/>
  <c r="AV370" i="19"/>
  <c r="AW370" i="19" s="1"/>
  <c r="A369" i="19"/>
  <c r="I368" i="19" l="1"/>
  <c r="S368" i="19"/>
  <c r="U368" i="19"/>
  <c r="W368" i="19"/>
  <c r="Y368" i="19"/>
  <c r="AA368" i="19"/>
  <c r="AC368" i="19"/>
  <c r="R368" i="19"/>
  <c r="T368" i="19"/>
  <c r="V368" i="19"/>
  <c r="X368" i="19"/>
  <c r="Z368" i="19"/>
  <c r="AB368" i="19"/>
  <c r="AD368" i="19"/>
  <c r="O368" i="19"/>
  <c r="E359" i="36"/>
  <c r="I359" i="36"/>
  <c r="J359" i="36"/>
  <c r="D359" i="36"/>
  <c r="F359" i="36"/>
  <c r="G359" i="36"/>
  <c r="AV362" i="36"/>
  <c r="AW362" i="36" s="1"/>
  <c r="A361" i="36"/>
  <c r="Q359" i="36"/>
  <c r="AG359" i="36"/>
  <c r="AS359" i="36"/>
  <c r="R359" i="36"/>
  <c r="V359" i="36"/>
  <c r="AQ359" i="36"/>
  <c r="AR359" i="36"/>
  <c r="AF359" i="36"/>
  <c r="AB359" i="36"/>
  <c r="AE359" i="36"/>
  <c r="S359" i="36"/>
  <c r="AC359" i="36"/>
  <c r="P359" i="36"/>
  <c r="AL359" i="36"/>
  <c r="AH359" i="36"/>
  <c r="AN359" i="36"/>
  <c r="W359" i="36"/>
  <c r="Z359" i="36"/>
  <c r="AU359" i="36"/>
  <c r="AM359" i="36"/>
  <c r="O359" i="36"/>
  <c r="AO359" i="36"/>
  <c r="AK359" i="36"/>
  <c r="M359" i="36"/>
  <c r="T359" i="36"/>
  <c r="K359" i="36"/>
  <c r="AD359" i="36"/>
  <c r="AP359" i="36"/>
  <c r="AJ359" i="36"/>
  <c r="Y359" i="36"/>
  <c r="AI359" i="36"/>
  <c r="X359" i="36"/>
  <c r="L359" i="36"/>
  <c r="U359" i="36"/>
  <c r="N359" i="36"/>
  <c r="AA359" i="36"/>
  <c r="AT359" i="36"/>
  <c r="C360" i="36"/>
  <c r="B360" i="36"/>
  <c r="I360" i="36" s="1"/>
  <c r="E368" i="19"/>
  <c r="J368" i="19"/>
  <c r="H368" i="19"/>
  <c r="F368" i="19"/>
  <c r="G368" i="19"/>
  <c r="B369" i="19"/>
  <c r="C369" i="19"/>
  <c r="AV371" i="19"/>
  <c r="AW371" i="19" s="1"/>
  <c r="A370" i="19"/>
  <c r="D368" i="19"/>
  <c r="AO368" i="19"/>
  <c r="AI368" i="19"/>
  <c r="AN368" i="19"/>
  <c r="AT368" i="19"/>
  <c r="AF368" i="19"/>
  <c r="AJ368" i="19"/>
  <c r="N368" i="19"/>
  <c r="AP368" i="19"/>
  <c r="AU368" i="19"/>
  <c r="AK368" i="19"/>
  <c r="AR368" i="19"/>
  <c r="AH368" i="19"/>
  <c r="AQ368" i="19"/>
  <c r="L368" i="19"/>
  <c r="AS368" i="19"/>
  <c r="AM368" i="19"/>
  <c r="P368" i="19"/>
  <c r="AG368" i="19"/>
  <c r="K368" i="19"/>
  <c r="AE368" i="19"/>
  <c r="AL368" i="19"/>
  <c r="F369" i="19" l="1"/>
  <c r="R369" i="19"/>
  <c r="T369" i="19"/>
  <c r="V369" i="19"/>
  <c r="X369" i="19"/>
  <c r="Z369" i="19"/>
  <c r="AB369" i="19"/>
  <c r="AD369" i="19"/>
  <c r="S369" i="19"/>
  <c r="U369" i="19"/>
  <c r="W369" i="19"/>
  <c r="Y369" i="19"/>
  <c r="AA369" i="19"/>
  <c r="AC369" i="19"/>
  <c r="O369" i="19"/>
  <c r="G360" i="36"/>
  <c r="H360" i="36"/>
  <c r="F360" i="36"/>
  <c r="E360" i="36"/>
  <c r="D360" i="36"/>
  <c r="B361" i="36"/>
  <c r="D361" i="36" s="1"/>
  <c r="C361" i="36"/>
  <c r="J360" i="36"/>
  <c r="AC360" i="36"/>
  <c r="X360" i="36"/>
  <c r="K360" i="36"/>
  <c r="L360" i="36"/>
  <c r="M360" i="36"/>
  <c r="AJ360" i="36"/>
  <c r="AF360" i="36"/>
  <c r="N360" i="36"/>
  <c r="AS360" i="36"/>
  <c r="AD360" i="36"/>
  <c r="AN360" i="36"/>
  <c r="AE360" i="36"/>
  <c r="AB360" i="36"/>
  <c r="V360" i="36"/>
  <c r="R360" i="36"/>
  <c r="S360" i="36"/>
  <c r="AU360" i="36"/>
  <c r="AT360" i="36"/>
  <c r="AI360" i="36"/>
  <c r="AK360" i="36"/>
  <c r="AL360" i="36"/>
  <c r="Q360" i="36"/>
  <c r="Y360" i="36"/>
  <c r="AH360" i="36"/>
  <c r="O360" i="36"/>
  <c r="AM360" i="36"/>
  <c r="AA360" i="36"/>
  <c r="AO360" i="36"/>
  <c r="AP360" i="36"/>
  <c r="Z360" i="36"/>
  <c r="AQ360" i="36"/>
  <c r="P360" i="36"/>
  <c r="T360" i="36"/>
  <c r="AG360" i="36"/>
  <c r="W360" i="36"/>
  <c r="AR360" i="36"/>
  <c r="U360" i="36"/>
  <c r="AV363" i="36"/>
  <c r="AW363" i="36" s="1"/>
  <c r="A362" i="36"/>
  <c r="J369" i="19"/>
  <c r="H369" i="19"/>
  <c r="G369" i="19"/>
  <c r="E369" i="19"/>
  <c r="I369" i="19"/>
  <c r="D369" i="19"/>
  <c r="C370" i="19"/>
  <c r="B370" i="19"/>
  <c r="A371" i="19"/>
  <c r="AV372" i="19"/>
  <c r="AW372" i="19" s="1"/>
  <c r="AQ369" i="19"/>
  <c r="AP369" i="19"/>
  <c r="AI369" i="19"/>
  <c r="AN369" i="19"/>
  <c r="AH369" i="19"/>
  <c r="AF369" i="19"/>
  <c r="AM369" i="19"/>
  <c r="L369" i="19"/>
  <c r="AT369" i="19"/>
  <c r="AS369" i="19"/>
  <c r="AK369" i="19"/>
  <c r="AO369" i="19"/>
  <c r="AR369" i="19"/>
  <c r="AU369" i="19"/>
  <c r="AG369" i="19"/>
  <c r="AE369" i="19"/>
  <c r="AJ369" i="19"/>
  <c r="P369" i="19"/>
  <c r="N369" i="19"/>
  <c r="K369" i="19"/>
  <c r="AL369" i="19"/>
  <c r="D370" i="19" l="1"/>
  <c r="S370" i="19"/>
  <c r="U370" i="19"/>
  <c r="W370" i="19"/>
  <c r="Y370" i="19"/>
  <c r="AA370" i="19"/>
  <c r="AC370" i="19"/>
  <c r="R370" i="19"/>
  <c r="T370" i="19"/>
  <c r="V370" i="19"/>
  <c r="X370" i="19"/>
  <c r="Z370" i="19"/>
  <c r="AB370" i="19"/>
  <c r="AD370" i="19"/>
  <c r="I361" i="36"/>
  <c r="O370" i="19"/>
  <c r="H361" i="36"/>
  <c r="G361" i="36"/>
  <c r="C362" i="36"/>
  <c r="E362" i="36"/>
  <c r="I362" i="36"/>
  <c r="J362" i="36"/>
  <c r="H362" i="36"/>
  <c r="D362" i="36"/>
  <c r="B362" i="36"/>
  <c r="F362" i="36"/>
  <c r="G362" i="36"/>
  <c r="F361" i="36"/>
  <c r="J361" i="36"/>
  <c r="AV364" i="36"/>
  <c r="AW364" i="36" s="1"/>
  <c r="A363" i="36"/>
  <c r="E361" i="36"/>
  <c r="R361" i="36"/>
  <c r="AU361" i="36"/>
  <c r="AG361" i="36"/>
  <c r="X361" i="36"/>
  <c r="AM361" i="36"/>
  <c r="AB361" i="36"/>
  <c r="AO361" i="36"/>
  <c r="AK361" i="36"/>
  <c r="L361" i="36"/>
  <c r="AT361" i="36"/>
  <c r="Z361" i="36"/>
  <c r="AI361" i="36"/>
  <c r="AQ361" i="36"/>
  <c r="AS361" i="36"/>
  <c r="P361" i="36"/>
  <c r="N361" i="36"/>
  <c r="S361" i="36"/>
  <c r="AE361" i="36"/>
  <c r="AA361" i="36"/>
  <c r="Q361" i="36"/>
  <c r="M361" i="36"/>
  <c r="W361" i="36"/>
  <c r="Y361" i="36"/>
  <c r="T361" i="36"/>
  <c r="U361" i="36"/>
  <c r="AH361" i="36"/>
  <c r="AC361" i="36"/>
  <c r="AR361" i="36"/>
  <c r="AL361" i="36"/>
  <c r="K361" i="36"/>
  <c r="AF361" i="36"/>
  <c r="AP361" i="36"/>
  <c r="AD361" i="36"/>
  <c r="AN361" i="36"/>
  <c r="AJ361" i="36"/>
  <c r="V361" i="36"/>
  <c r="O361" i="36"/>
  <c r="H370" i="19"/>
  <c r="F370" i="19"/>
  <c r="I370" i="19"/>
  <c r="J370" i="19"/>
  <c r="A372" i="19"/>
  <c r="O372" i="19" s="1"/>
  <c r="AV373" i="19"/>
  <c r="AW373" i="19" s="1"/>
  <c r="E370" i="19"/>
  <c r="B371" i="19"/>
  <c r="C371" i="19"/>
  <c r="G370" i="19"/>
  <c r="AS370" i="19"/>
  <c r="AI370" i="19"/>
  <c r="AJ370" i="19"/>
  <c r="P370" i="19"/>
  <c r="AO370" i="19"/>
  <c r="AH370" i="19"/>
  <c r="AM370" i="19"/>
  <c r="K370" i="19"/>
  <c r="AN370" i="19"/>
  <c r="N370" i="19"/>
  <c r="AE370" i="19"/>
  <c r="AK370" i="19"/>
  <c r="AP370" i="19"/>
  <c r="L370" i="19"/>
  <c r="AF370" i="19"/>
  <c r="AQ370" i="19"/>
  <c r="AU370" i="19"/>
  <c r="AR370" i="19"/>
  <c r="AL370" i="19"/>
  <c r="AT370" i="19"/>
  <c r="AG370" i="19"/>
  <c r="J371" i="19" l="1"/>
  <c r="R371" i="19"/>
  <c r="T371" i="19"/>
  <c r="V371" i="19"/>
  <c r="X371" i="19"/>
  <c r="Z371" i="19"/>
  <c r="AB371" i="19"/>
  <c r="AD371" i="19"/>
  <c r="S371" i="19"/>
  <c r="U371" i="19"/>
  <c r="W371" i="19"/>
  <c r="Y371" i="19"/>
  <c r="AA371" i="19"/>
  <c r="AC371" i="19"/>
  <c r="O371" i="19"/>
  <c r="AV365" i="36"/>
  <c r="AW365" i="36" s="1"/>
  <c r="A364" i="36"/>
  <c r="G363" i="36"/>
  <c r="C363" i="36"/>
  <c r="F363" i="36"/>
  <c r="J363" i="36"/>
  <c r="D363" i="36"/>
  <c r="H363" i="36"/>
  <c r="B363" i="36"/>
  <c r="E363" i="36"/>
  <c r="I363" i="36"/>
  <c r="O362" i="36"/>
  <c r="N362" i="36"/>
  <c r="V362" i="36"/>
  <c r="AT362" i="36"/>
  <c r="Y362" i="36"/>
  <c r="R362" i="36"/>
  <c r="AM362" i="36"/>
  <c r="K362" i="36"/>
  <c r="AL362" i="36"/>
  <c r="AE362" i="36"/>
  <c r="S362" i="36"/>
  <c r="AF362" i="36"/>
  <c r="AO362" i="36"/>
  <c r="T362" i="36"/>
  <c r="AQ362" i="36"/>
  <c r="AR362" i="36"/>
  <c r="AJ362" i="36"/>
  <c r="W362" i="36"/>
  <c r="AG362" i="36"/>
  <c r="X362" i="36"/>
  <c r="AK362" i="36"/>
  <c r="M362" i="36"/>
  <c r="AP362" i="36"/>
  <c r="AH362" i="36"/>
  <c r="AC362" i="36"/>
  <c r="AB362" i="36"/>
  <c r="AA362" i="36"/>
  <c r="U362" i="36"/>
  <c r="AN362" i="36"/>
  <c r="L362" i="36"/>
  <c r="AD362" i="36"/>
  <c r="P362" i="36"/>
  <c r="AU362" i="36"/>
  <c r="Z362" i="36"/>
  <c r="AS362" i="36"/>
  <c r="AI362" i="36"/>
  <c r="Q362" i="36"/>
  <c r="H371" i="19"/>
  <c r="F371" i="19"/>
  <c r="D371" i="19"/>
  <c r="I371" i="19"/>
  <c r="G371" i="19"/>
  <c r="E371" i="19"/>
  <c r="N371" i="19"/>
  <c r="AG371" i="19"/>
  <c r="AM371" i="19"/>
  <c r="AU371" i="19"/>
  <c r="AI371" i="19"/>
  <c r="AO371" i="19"/>
  <c r="AP371" i="19"/>
  <c r="AN371" i="19"/>
  <c r="L371" i="19"/>
  <c r="P371" i="19"/>
  <c r="AJ371" i="19"/>
  <c r="AH371" i="19"/>
  <c r="AQ371" i="19"/>
  <c r="AE371" i="19"/>
  <c r="AK371" i="19"/>
  <c r="AT371" i="19"/>
  <c r="AL371" i="19"/>
  <c r="AR371" i="19"/>
  <c r="AF371" i="19"/>
  <c r="K371" i="19"/>
  <c r="AS371" i="19"/>
  <c r="AV374" i="19"/>
  <c r="AW374" i="19" s="1"/>
  <c r="A373" i="19"/>
  <c r="O373" i="19" s="1"/>
  <c r="E372" i="19"/>
  <c r="D372" i="19"/>
  <c r="J372" i="19"/>
  <c r="H372" i="19"/>
  <c r="B372" i="19"/>
  <c r="C372" i="19"/>
  <c r="F372" i="19"/>
  <c r="I372" i="19"/>
  <c r="G372" i="19"/>
  <c r="S372" i="19" l="1"/>
  <c r="U372" i="19"/>
  <c r="W372" i="19"/>
  <c r="Y372" i="19"/>
  <c r="AA372" i="19"/>
  <c r="AC372" i="19"/>
  <c r="R372" i="19"/>
  <c r="T372" i="19"/>
  <c r="V372" i="19"/>
  <c r="X372" i="19"/>
  <c r="Z372" i="19"/>
  <c r="AB372" i="19"/>
  <c r="AD372" i="19"/>
  <c r="B364" i="36"/>
  <c r="H364" i="36" s="1"/>
  <c r="C364" i="36"/>
  <c r="AE363" i="36"/>
  <c r="AU363" i="36"/>
  <c r="AR363" i="36"/>
  <c r="AJ363" i="36"/>
  <c r="K363" i="36"/>
  <c r="Q363" i="36"/>
  <c r="AF363" i="36"/>
  <c r="AB363" i="36"/>
  <c r="Z363" i="36"/>
  <c r="T363" i="36"/>
  <c r="AN363" i="36"/>
  <c r="AP363" i="36"/>
  <c r="AC363" i="36"/>
  <c r="AK363" i="36"/>
  <c r="W363" i="36"/>
  <c r="AO363" i="36"/>
  <c r="AD363" i="36"/>
  <c r="S363" i="36"/>
  <c r="X363" i="36"/>
  <c r="N363" i="36"/>
  <c r="AM363" i="36"/>
  <c r="L363" i="36"/>
  <c r="AQ363" i="36"/>
  <c r="R363" i="36"/>
  <c r="AT363" i="36"/>
  <c r="V363" i="36"/>
  <c r="AG363" i="36"/>
  <c r="AH363" i="36"/>
  <c r="M363" i="36"/>
  <c r="P363" i="36"/>
  <c r="AS363" i="36"/>
  <c r="U363" i="36"/>
  <c r="AA363" i="36"/>
  <c r="AI363" i="36"/>
  <c r="O363" i="36"/>
  <c r="Y363" i="36"/>
  <c r="AL363" i="36"/>
  <c r="AV366" i="36"/>
  <c r="AW366" i="36" s="1"/>
  <c r="A365" i="36"/>
  <c r="AQ372" i="19"/>
  <c r="N372" i="19"/>
  <c r="AT372" i="19"/>
  <c r="AO372" i="19"/>
  <c r="K372" i="19"/>
  <c r="AP372" i="19"/>
  <c r="AF372" i="19"/>
  <c r="P372" i="19"/>
  <c r="AL372" i="19"/>
  <c r="AU372" i="19"/>
  <c r="AK372" i="19"/>
  <c r="AN372" i="19"/>
  <c r="L372" i="19"/>
  <c r="AE372" i="19"/>
  <c r="AG372" i="19"/>
  <c r="AM372" i="19"/>
  <c r="AS372" i="19"/>
  <c r="AH372" i="19"/>
  <c r="AI372" i="19"/>
  <c r="AJ372" i="19"/>
  <c r="AR372" i="19"/>
  <c r="I373" i="19"/>
  <c r="J373" i="19"/>
  <c r="B373" i="19"/>
  <c r="F373" i="19"/>
  <c r="C373" i="19"/>
  <c r="D373" i="19"/>
  <c r="H373" i="19"/>
  <c r="E373" i="19"/>
  <c r="G373" i="19"/>
  <c r="AV375" i="19"/>
  <c r="AW375" i="19" s="1"/>
  <c r="A374" i="19"/>
  <c r="R373" i="19" l="1"/>
  <c r="T373" i="19"/>
  <c r="V373" i="19"/>
  <c r="X373" i="19"/>
  <c r="Z373" i="19"/>
  <c r="AB373" i="19"/>
  <c r="AD373" i="19"/>
  <c r="S373" i="19"/>
  <c r="U373" i="19"/>
  <c r="W373" i="19"/>
  <c r="Y373" i="19"/>
  <c r="AA373" i="19"/>
  <c r="AC373" i="19"/>
  <c r="E364" i="36"/>
  <c r="G364" i="36"/>
  <c r="J364" i="36"/>
  <c r="AV367" i="36"/>
  <c r="AW367" i="36" s="1"/>
  <c r="A366" i="36"/>
  <c r="I364" i="36"/>
  <c r="D364" i="36"/>
  <c r="B365" i="36"/>
  <c r="E365" i="36" s="1"/>
  <c r="C365" i="36"/>
  <c r="F364" i="36"/>
  <c r="AA364" i="36"/>
  <c r="P364" i="36"/>
  <c r="N364" i="36"/>
  <c r="AP364" i="36"/>
  <c r="Q364" i="36"/>
  <c r="AJ364" i="36"/>
  <c r="AF364" i="36"/>
  <c r="O364" i="36"/>
  <c r="U364" i="36"/>
  <c r="AQ364" i="36"/>
  <c r="S364" i="36"/>
  <c r="M364" i="36"/>
  <c r="AS364" i="36"/>
  <c r="W364" i="36"/>
  <c r="AD364" i="36"/>
  <c r="X364" i="36"/>
  <c r="AT364" i="36"/>
  <c r="AO364" i="36"/>
  <c r="AN364" i="36"/>
  <c r="AU364" i="36"/>
  <c r="AL364" i="36"/>
  <c r="AI364" i="36"/>
  <c r="Z364" i="36"/>
  <c r="AE364" i="36"/>
  <c r="Y364" i="36"/>
  <c r="AB364" i="36"/>
  <c r="T364" i="36"/>
  <c r="V364" i="36"/>
  <c r="AH364" i="36"/>
  <c r="AG364" i="36"/>
  <c r="K364" i="36"/>
  <c r="L364" i="36"/>
  <c r="R364" i="36"/>
  <c r="AR364" i="36"/>
  <c r="AK364" i="36"/>
  <c r="AC364" i="36"/>
  <c r="AM364" i="36"/>
  <c r="AV376" i="19"/>
  <c r="AW376" i="19" s="1"/>
  <c r="A375" i="19"/>
  <c r="C374" i="19"/>
  <c r="B374" i="19"/>
  <c r="AO373" i="19"/>
  <c r="AP373" i="19"/>
  <c r="AN373" i="19"/>
  <c r="AF373" i="19"/>
  <c r="AT373" i="19"/>
  <c r="AL373" i="19"/>
  <c r="AS373" i="19"/>
  <c r="L373" i="19"/>
  <c r="K373" i="19"/>
  <c r="AI373" i="19"/>
  <c r="AR373" i="19"/>
  <c r="AU373" i="19"/>
  <c r="AJ373" i="19"/>
  <c r="AQ373" i="19"/>
  <c r="AM373" i="19"/>
  <c r="AH373" i="19"/>
  <c r="AG373" i="19"/>
  <c r="AE373" i="19"/>
  <c r="N373" i="19"/>
  <c r="AK373" i="19"/>
  <c r="P373" i="19"/>
  <c r="J374" i="19" l="1"/>
  <c r="S374" i="19"/>
  <c r="U374" i="19"/>
  <c r="W374" i="19"/>
  <c r="Y374" i="19"/>
  <c r="AA374" i="19"/>
  <c r="AC374" i="19"/>
  <c r="R374" i="19"/>
  <c r="T374" i="19"/>
  <c r="V374" i="19"/>
  <c r="X374" i="19"/>
  <c r="Z374" i="19"/>
  <c r="AB374" i="19"/>
  <c r="AD374" i="19"/>
  <c r="O374" i="19"/>
  <c r="G365" i="36"/>
  <c r="I365" i="36"/>
  <c r="J365" i="36"/>
  <c r="F365" i="36"/>
  <c r="D365" i="36"/>
  <c r="C366" i="36"/>
  <c r="B366" i="36"/>
  <c r="F366" i="36" s="1"/>
  <c r="H365" i="36"/>
  <c r="AE365" i="36"/>
  <c r="V365" i="36"/>
  <c r="Q365" i="36"/>
  <c r="AF365" i="36"/>
  <c r="AI365" i="36"/>
  <c r="AK365" i="36"/>
  <c r="AS365" i="36"/>
  <c r="Y365" i="36"/>
  <c r="AB365" i="36"/>
  <c r="W365" i="36"/>
  <c r="AJ365" i="36"/>
  <c r="AA365" i="36"/>
  <c r="S365" i="36"/>
  <c r="K365" i="36"/>
  <c r="AT365" i="36"/>
  <c r="AC365" i="36"/>
  <c r="R365" i="36"/>
  <c r="AU365" i="36"/>
  <c r="Z365" i="36"/>
  <c r="O365" i="36"/>
  <c r="AL365" i="36"/>
  <c r="X365" i="36"/>
  <c r="AR365" i="36"/>
  <c r="AQ365" i="36"/>
  <c r="U365" i="36"/>
  <c r="AD365" i="36"/>
  <c r="P365" i="36"/>
  <c r="L365" i="36"/>
  <c r="AO365" i="36"/>
  <c r="AN365" i="36"/>
  <c r="AH365" i="36"/>
  <c r="T365" i="36"/>
  <c r="M365" i="36"/>
  <c r="AM365" i="36"/>
  <c r="AG365" i="36"/>
  <c r="N365" i="36"/>
  <c r="AP365" i="36"/>
  <c r="AV368" i="36"/>
  <c r="AW368" i="36" s="1"/>
  <c r="A367" i="36"/>
  <c r="D374" i="19"/>
  <c r="F374" i="19"/>
  <c r="G374" i="19"/>
  <c r="I374" i="19"/>
  <c r="E374" i="19"/>
  <c r="H374" i="19"/>
  <c r="AF374" i="19"/>
  <c r="AT374" i="19"/>
  <c r="L374" i="19"/>
  <c r="AU374" i="19"/>
  <c r="N374" i="19"/>
  <c r="AH374" i="19"/>
  <c r="AN374" i="19"/>
  <c r="AQ374" i="19"/>
  <c r="AK374" i="19"/>
  <c r="AI374" i="19"/>
  <c r="AS374" i="19"/>
  <c r="AE374" i="19"/>
  <c r="AP374" i="19"/>
  <c r="AJ374" i="19"/>
  <c r="AR374" i="19"/>
  <c r="AM374" i="19"/>
  <c r="AG374" i="19"/>
  <c r="P374" i="19"/>
  <c r="AO374" i="19"/>
  <c r="K374" i="19"/>
  <c r="AL374" i="19"/>
  <c r="B375" i="19"/>
  <c r="C375" i="19"/>
  <c r="AV377" i="19"/>
  <c r="AW377" i="19" s="1"/>
  <c r="A376" i="19"/>
  <c r="J375" i="19" l="1"/>
  <c r="R375" i="19"/>
  <c r="T375" i="19"/>
  <c r="V375" i="19"/>
  <c r="X375" i="19"/>
  <c r="Z375" i="19"/>
  <c r="AB375" i="19"/>
  <c r="AD375" i="19"/>
  <c r="S375" i="19"/>
  <c r="U375" i="19"/>
  <c r="W375" i="19"/>
  <c r="Y375" i="19"/>
  <c r="AA375" i="19"/>
  <c r="AC375" i="19"/>
  <c r="O375" i="19"/>
  <c r="D366" i="36"/>
  <c r="E366" i="36"/>
  <c r="G366" i="36"/>
  <c r="H366" i="36"/>
  <c r="I366" i="36"/>
  <c r="B367" i="36"/>
  <c r="D367" i="36" s="1"/>
  <c r="C367" i="36"/>
  <c r="J366" i="36"/>
  <c r="V366" i="36"/>
  <c r="AT366" i="36"/>
  <c r="M366" i="36"/>
  <c r="AD366" i="36"/>
  <c r="P366" i="36"/>
  <c r="AL366" i="36"/>
  <c r="AB366" i="36"/>
  <c r="O366" i="36"/>
  <c r="Q366" i="36"/>
  <c r="AI366" i="36"/>
  <c r="AE366" i="36"/>
  <c r="AF366" i="36"/>
  <c r="AO366" i="36"/>
  <c r="AP366" i="36"/>
  <c r="AM366" i="36"/>
  <c r="AQ366" i="36"/>
  <c r="S366" i="36"/>
  <c r="AA366" i="36"/>
  <c r="L366" i="36"/>
  <c r="AK366" i="36"/>
  <c r="Y366" i="36"/>
  <c r="AG366" i="36"/>
  <c r="U366" i="36"/>
  <c r="AR366" i="36"/>
  <c r="W366" i="36"/>
  <c r="AU366" i="36"/>
  <c r="AJ366" i="36"/>
  <c r="N366" i="36"/>
  <c r="R366" i="36"/>
  <c r="T366" i="36"/>
  <c r="AN366" i="36"/>
  <c r="Z366" i="36"/>
  <c r="K366" i="36"/>
  <c r="AH366" i="36"/>
  <c r="AC366" i="36"/>
  <c r="AS366" i="36"/>
  <c r="X366" i="36"/>
  <c r="AV369" i="36"/>
  <c r="AW369" i="36" s="1"/>
  <c r="A368" i="36"/>
  <c r="I375" i="19"/>
  <c r="D375" i="19"/>
  <c r="G375" i="19"/>
  <c r="H375" i="19"/>
  <c r="E375" i="19"/>
  <c r="F375" i="19"/>
  <c r="B376" i="19"/>
  <c r="C376" i="19"/>
  <c r="A377" i="19"/>
  <c r="AV378" i="19"/>
  <c r="AW378" i="19" s="1"/>
  <c r="K375" i="19"/>
  <c r="AN375" i="19"/>
  <c r="AQ375" i="19"/>
  <c r="AK375" i="19"/>
  <c r="AU375" i="19"/>
  <c r="N375" i="19"/>
  <c r="AJ375" i="19"/>
  <c r="AH375" i="19"/>
  <c r="AL375" i="19"/>
  <c r="P375" i="19"/>
  <c r="AF375" i="19"/>
  <c r="AM375" i="19"/>
  <c r="AS375" i="19"/>
  <c r="AG375" i="19"/>
  <c r="L375" i="19"/>
  <c r="AT375" i="19"/>
  <c r="AE375" i="19"/>
  <c r="AI375" i="19"/>
  <c r="AR375" i="19"/>
  <c r="AO375" i="19"/>
  <c r="AP375" i="19"/>
  <c r="J376" i="19" l="1"/>
  <c r="S376" i="19"/>
  <c r="U376" i="19"/>
  <c r="W376" i="19"/>
  <c r="Y376" i="19"/>
  <c r="AA376" i="19"/>
  <c r="AC376" i="19"/>
  <c r="R376" i="19"/>
  <c r="T376" i="19"/>
  <c r="V376" i="19"/>
  <c r="X376" i="19"/>
  <c r="Z376" i="19"/>
  <c r="AB376" i="19"/>
  <c r="AD376" i="19"/>
  <c r="O376" i="19"/>
  <c r="I367" i="36"/>
  <c r="G367" i="36"/>
  <c r="E367" i="36"/>
  <c r="C368" i="36"/>
  <c r="B368" i="36"/>
  <c r="J368" i="36" s="1"/>
  <c r="F367" i="36"/>
  <c r="J367" i="36"/>
  <c r="AV370" i="36"/>
  <c r="AW370" i="36" s="1"/>
  <c r="A369" i="36"/>
  <c r="H367" i="36"/>
  <c r="AA367" i="36"/>
  <c r="AB367" i="36"/>
  <c r="N367" i="36"/>
  <c r="Y367" i="36"/>
  <c r="AK367" i="36"/>
  <c r="AC367" i="36"/>
  <c r="AR367" i="36"/>
  <c r="AT367" i="36"/>
  <c r="AI367" i="36"/>
  <c r="M367" i="36"/>
  <c r="AF367" i="36"/>
  <c r="AN367" i="36"/>
  <c r="Z367" i="36"/>
  <c r="AH367" i="36"/>
  <c r="T367" i="36"/>
  <c r="AL367" i="36"/>
  <c r="AD367" i="36"/>
  <c r="O367" i="36"/>
  <c r="AG367" i="36"/>
  <c r="L367" i="36"/>
  <c r="AP367" i="36"/>
  <c r="V367" i="36"/>
  <c r="R367" i="36"/>
  <c r="P367" i="36"/>
  <c r="U367" i="36"/>
  <c r="S367" i="36"/>
  <c r="AE367" i="36"/>
  <c r="W367" i="36"/>
  <c r="X367" i="36"/>
  <c r="AO367" i="36"/>
  <c r="AU367" i="36"/>
  <c r="K367" i="36"/>
  <c r="AM367" i="36"/>
  <c r="AQ367" i="36"/>
  <c r="AS367" i="36"/>
  <c r="Q367" i="36"/>
  <c r="AJ367" i="36"/>
  <c r="D376" i="19"/>
  <c r="I376" i="19"/>
  <c r="F376" i="19"/>
  <c r="E376" i="19"/>
  <c r="G376" i="19"/>
  <c r="H376" i="19"/>
  <c r="B377" i="19"/>
  <c r="C377" i="19"/>
  <c r="AV379" i="19"/>
  <c r="AW379" i="19" s="1"/>
  <c r="A378" i="19"/>
  <c r="N376" i="19"/>
  <c r="AL376" i="19"/>
  <c r="P376" i="19"/>
  <c r="AH376" i="19"/>
  <c r="AJ376" i="19"/>
  <c r="AG376" i="19"/>
  <c r="AI376" i="19"/>
  <c r="AF376" i="19"/>
  <c r="AM376" i="19"/>
  <c r="AN376" i="19"/>
  <c r="AR376" i="19"/>
  <c r="AS376" i="19"/>
  <c r="AO376" i="19"/>
  <c r="AT376" i="19"/>
  <c r="AU376" i="19"/>
  <c r="AQ376" i="19"/>
  <c r="AK376" i="19"/>
  <c r="K376" i="19"/>
  <c r="AE376" i="19"/>
  <c r="L376" i="19"/>
  <c r="AP376" i="19"/>
  <c r="E377" i="19" l="1"/>
  <c r="R377" i="19"/>
  <c r="T377" i="19"/>
  <c r="V377" i="19"/>
  <c r="X377" i="19"/>
  <c r="Z377" i="19"/>
  <c r="AB377" i="19"/>
  <c r="AD377" i="19"/>
  <c r="S377" i="19"/>
  <c r="U377" i="19"/>
  <c r="W377" i="19"/>
  <c r="Y377" i="19"/>
  <c r="AA377" i="19"/>
  <c r="AC377" i="19"/>
  <c r="O377" i="19"/>
  <c r="I368" i="36"/>
  <c r="D368" i="36"/>
  <c r="C369" i="36"/>
  <c r="B369" i="36"/>
  <c r="I369" i="36" s="1"/>
  <c r="E368" i="36"/>
  <c r="AN368" i="36"/>
  <c r="AD368" i="36"/>
  <c r="AR368" i="36"/>
  <c r="Q368" i="36"/>
  <c r="AA368" i="36"/>
  <c r="L368" i="36"/>
  <c r="AK368" i="36"/>
  <c r="AO368" i="36"/>
  <c r="Z368" i="36"/>
  <c r="AC368" i="36"/>
  <c r="AJ368" i="36"/>
  <c r="X368" i="36"/>
  <c r="V368" i="36"/>
  <c r="O368" i="36"/>
  <c r="AP368" i="36"/>
  <c r="AH368" i="36"/>
  <c r="Y368" i="36"/>
  <c r="AB368" i="36"/>
  <c r="AG368" i="36"/>
  <c r="P368" i="36"/>
  <c r="AL368" i="36"/>
  <c r="R368" i="36"/>
  <c r="K368" i="36"/>
  <c r="AM368" i="36"/>
  <c r="AF368" i="36"/>
  <c r="AT368" i="36"/>
  <c r="S368" i="36"/>
  <c r="U368" i="36"/>
  <c r="AS368" i="36"/>
  <c r="AU368" i="36"/>
  <c r="N368" i="36"/>
  <c r="AQ368" i="36"/>
  <c r="AI368" i="36"/>
  <c r="AE368" i="36"/>
  <c r="M368" i="36"/>
  <c r="T368" i="36"/>
  <c r="W368" i="36"/>
  <c r="AV371" i="36"/>
  <c r="AW371" i="36" s="1"/>
  <c r="A370" i="36"/>
  <c r="H368" i="36"/>
  <c r="G368" i="36"/>
  <c r="F368" i="36"/>
  <c r="H377" i="19"/>
  <c r="J377" i="19"/>
  <c r="F377" i="19"/>
  <c r="I377" i="19"/>
  <c r="G377" i="19"/>
  <c r="D377" i="19"/>
  <c r="C378" i="19"/>
  <c r="B378" i="19"/>
  <c r="A379" i="19"/>
  <c r="AV380" i="19"/>
  <c r="AW380" i="19" s="1"/>
  <c r="AI377" i="19"/>
  <c r="AF377" i="19"/>
  <c r="AS377" i="19"/>
  <c r="AO377" i="19"/>
  <c r="AU377" i="19"/>
  <c r="AL377" i="19"/>
  <c r="AE377" i="19"/>
  <c r="AR377" i="19"/>
  <c r="AH377" i="19"/>
  <c r="N377" i="19"/>
  <c r="L377" i="19"/>
  <c r="AM377" i="19"/>
  <c r="P377" i="19"/>
  <c r="AP377" i="19"/>
  <c r="AN377" i="19"/>
  <c r="AJ377" i="19"/>
  <c r="AT377" i="19"/>
  <c r="AK377" i="19"/>
  <c r="K377" i="19"/>
  <c r="AQ377" i="19"/>
  <c r="AG377" i="19"/>
  <c r="H378" i="19" l="1"/>
  <c r="S378" i="19"/>
  <c r="U378" i="19"/>
  <c r="W378" i="19"/>
  <c r="Y378" i="19"/>
  <c r="AA378" i="19"/>
  <c r="AC378" i="19"/>
  <c r="R378" i="19"/>
  <c r="T378" i="19"/>
  <c r="V378" i="19"/>
  <c r="X378" i="19"/>
  <c r="Z378" i="19"/>
  <c r="AB378" i="19"/>
  <c r="AD378" i="19"/>
  <c r="O378" i="19"/>
  <c r="E369" i="36"/>
  <c r="J369" i="36"/>
  <c r="H369" i="36"/>
  <c r="D369" i="36"/>
  <c r="G369" i="36"/>
  <c r="I370" i="36"/>
  <c r="G370" i="36"/>
  <c r="C370" i="36"/>
  <c r="F370" i="36"/>
  <c r="H370" i="36"/>
  <c r="D370" i="36"/>
  <c r="E370" i="36"/>
  <c r="B370" i="36"/>
  <c r="J370" i="36"/>
  <c r="F369" i="36"/>
  <c r="AB369" i="36"/>
  <c r="AC369" i="36"/>
  <c r="V369" i="36"/>
  <c r="X369" i="36"/>
  <c r="Z369" i="36"/>
  <c r="AL369" i="36"/>
  <c r="AN369" i="36"/>
  <c r="AP369" i="36"/>
  <c r="AT369" i="36"/>
  <c r="O369" i="36"/>
  <c r="AE369" i="36"/>
  <c r="AH369" i="36"/>
  <c r="AI369" i="36"/>
  <c r="AF369" i="36"/>
  <c r="W369" i="36"/>
  <c r="K369" i="36"/>
  <c r="S369" i="36"/>
  <c r="R369" i="36"/>
  <c r="AD369" i="36"/>
  <c r="AS369" i="36"/>
  <c r="AK369" i="36"/>
  <c r="M369" i="36"/>
  <c r="Q369" i="36"/>
  <c r="AM369" i="36"/>
  <c r="AG369" i="36"/>
  <c r="L369" i="36"/>
  <c r="AO369" i="36"/>
  <c r="AQ369" i="36"/>
  <c r="Y369" i="36"/>
  <c r="T369" i="36"/>
  <c r="P369" i="36"/>
  <c r="N369" i="36"/>
  <c r="AJ369" i="36"/>
  <c r="AA369" i="36"/>
  <c r="AR369" i="36"/>
  <c r="AU369" i="36"/>
  <c r="U369" i="36"/>
  <c r="AV372" i="36"/>
  <c r="AW372" i="36" s="1"/>
  <c r="A371" i="36"/>
  <c r="J378" i="19"/>
  <c r="E378" i="19"/>
  <c r="I378" i="19"/>
  <c r="F378" i="19"/>
  <c r="AV381" i="19"/>
  <c r="AW381" i="19" s="1"/>
  <c r="A380" i="19"/>
  <c r="O380" i="19" s="1"/>
  <c r="B379" i="19"/>
  <c r="C379" i="19"/>
  <c r="D378" i="19"/>
  <c r="G378" i="19"/>
  <c r="AN378" i="19"/>
  <c r="L378" i="19"/>
  <c r="P378" i="19"/>
  <c r="AF378" i="19"/>
  <c r="AP378" i="19"/>
  <c r="AO378" i="19"/>
  <c r="AU378" i="19"/>
  <c r="AQ378" i="19"/>
  <c r="AT378" i="19"/>
  <c r="AJ378" i="19"/>
  <c r="AR378" i="19"/>
  <c r="AH378" i="19"/>
  <c r="AL378" i="19"/>
  <c r="AM378" i="19"/>
  <c r="AE378" i="19"/>
  <c r="N378" i="19"/>
  <c r="AI378" i="19"/>
  <c r="AS378" i="19"/>
  <c r="AK378" i="19"/>
  <c r="K378" i="19"/>
  <c r="AG378" i="19"/>
  <c r="J379" i="19" l="1"/>
  <c r="R379" i="19"/>
  <c r="T379" i="19"/>
  <c r="V379" i="19"/>
  <c r="X379" i="19"/>
  <c r="Z379" i="19"/>
  <c r="AB379" i="19"/>
  <c r="AD379" i="19"/>
  <c r="S379" i="19"/>
  <c r="U379" i="19"/>
  <c r="W379" i="19"/>
  <c r="Y379" i="19"/>
  <c r="AA379" i="19"/>
  <c r="AC379" i="19"/>
  <c r="O379" i="19"/>
  <c r="AV373" i="36"/>
  <c r="AW373" i="36" s="1"/>
  <c r="A372" i="36"/>
  <c r="AT370" i="36"/>
  <c r="AF370" i="36"/>
  <c r="Y370" i="36"/>
  <c r="AN370" i="36"/>
  <c r="AP370" i="36"/>
  <c r="N370" i="36"/>
  <c r="AO370" i="36"/>
  <c r="AI370" i="36"/>
  <c r="M370" i="36"/>
  <c r="AL370" i="36"/>
  <c r="AJ370" i="36"/>
  <c r="P370" i="36"/>
  <c r="AC370" i="36"/>
  <c r="AR370" i="36"/>
  <c r="V370" i="36"/>
  <c r="AK370" i="36"/>
  <c r="R370" i="36"/>
  <c r="AH370" i="36"/>
  <c r="W370" i="36"/>
  <c r="Q370" i="36"/>
  <c r="AS370" i="36"/>
  <c r="AM370" i="36"/>
  <c r="AD370" i="36"/>
  <c r="AA370" i="36"/>
  <c r="T370" i="36"/>
  <c r="K370" i="36"/>
  <c r="AQ370" i="36"/>
  <c r="X370" i="36"/>
  <c r="AU370" i="36"/>
  <c r="O370" i="36"/>
  <c r="S370" i="36"/>
  <c r="Z370" i="36"/>
  <c r="AG370" i="36"/>
  <c r="AE370" i="36"/>
  <c r="L370" i="36"/>
  <c r="AB370" i="36"/>
  <c r="U370" i="36"/>
  <c r="I371" i="36"/>
  <c r="C371" i="36"/>
  <c r="J371" i="36"/>
  <c r="G371" i="36"/>
  <c r="F371" i="36"/>
  <c r="E371" i="36"/>
  <c r="H371" i="36"/>
  <c r="D371" i="36"/>
  <c r="B371" i="36"/>
  <c r="D379" i="19"/>
  <c r="E379" i="19"/>
  <c r="G379" i="19"/>
  <c r="F379" i="19"/>
  <c r="I379" i="19"/>
  <c r="H379" i="19"/>
  <c r="AO379" i="19"/>
  <c r="AM379" i="19"/>
  <c r="AS379" i="19"/>
  <c r="AE379" i="19"/>
  <c r="AJ379" i="19"/>
  <c r="AU379" i="19"/>
  <c r="P379" i="19"/>
  <c r="AN379" i="19"/>
  <c r="K379" i="19"/>
  <c r="AK379" i="19"/>
  <c r="AG379" i="19"/>
  <c r="AI379" i="19"/>
  <c r="AH379" i="19"/>
  <c r="AT379" i="19"/>
  <c r="AQ379" i="19"/>
  <c r="L379" i="19"/>
  <c r="AF379" i="19"/>
  <c r="N379" i="19"/>
  <c r="AP379" i="19"/>
  <c r="AL379" i="19"/>
  <c r="AR379" i="19"/>
  <c r="B380" i="19"/>
  <c r="D380" i="19"/>
  <c r="I380" i="19"/>
  <c r="G380" i="19"/>
  <c r="E380" i="19"/>
  <c r="C380" i="19"/>
  <c r="H380" i="19"/>
  <c r="F380" i="19"/>
  <c r="J380" i="19"/>
  <c r="A381" i="19"/>
  <c r="O381" i="19" s="1"/>
  <c r="AV382" i="19"/>
  <c r="AW382" i="19" s="1"/>
  <c r="S380" i="19" l="1"/>
  <c r="U380" i="19"/>
  <c r="W380" i="19"/>
  <c r="Y380" i="19"/>
  <c r="AA380" i="19"/>
  <c r="AC380" i="19"/>
  <c r="R380" i="19"/>
  <c r="T380" i="19"/>
  <c r="V380" i="19"/>
  <c r="X380" i="19"/>
  <c r="Z380" i="19"/>
  <c r="AB380" i="19"/>
  <c r="AD380" i="19"/>
  <c r="AD371" i="36"/>
  <c r="AE371" i="36"/>
  <c r="AN371" i="36"/>
  <c r="AJ371" i="36"/>
  <c r="AT371" i="36"/>
  <c r="AL371" i="36"/>
  <c r="O371" i="36"/>
  <c r="AO371" i="36"/>
  <c r="P371" i="36"/>
  <c r="AU371" i="36"/>
  <c r="AH371" i="36"/>
  <c r="V371" i="36"/>
  <c r="Y371" i="36"/>
  <c r="U371" i="36"/>
  <c r="M371" i="36"/>
  <c r="T371" i="36"/>
  <c r="AS371" i="36"/>
  <c r="AC371" i="36"/>
  <c r="N371" i="36"/>
  <c r="Z371" i="36"/>
  <c r="AM371" i="36"/>
  <c r="Q371" i="36"/>
  <c r="W371" i="36"/>
  <c r="AK371" i="36"/>
  <c r="AR371" i="36"/>
  <c r="S371" i="36"/>
  <c r="L371" i="36"/>
  <c r="AA371" i="36"/>
  <c r="AQ371" i="36"/>
  <c r="AB371" i="36"/>
  <c r="AF371" i="36"/>
  <c r="AI371" i="36"/>
  <c r="K371" i="36"/>
  <c r="AG371" i="36"/>
  <c r="R371" i="36"/>
  <c r="X371" i="36"/>
  <c r="AP371" i="36"/>
  <c r="B372" i="36"/>
  <c r="F372" i="36" s="1"/>
  <c r="C372" i="36"/>
  <c r="AV374" i="36"/>
  <c r="AW374" i="36" s="1"/>
  <c r="A373" i="36"/>
  <c r="G381" i="19"/>
  <c r="E381" i="19"/>
  <c r="B381" i="19"/>
  <c r="C381" i="19"/>
  <c r="H381" i="19"/>
  <c r="D381" i="19"/>
  <c r="F381" i="19"/>
  <c r="J381" i="19"/>
  <c r="I381" i="19"/>
  <c r="AQ380" i="19"/>
  <c r="AI380" i="19"/>
  <c r="AU380" i="19"/>
  <c r="AT380" i="19"/>
  <c r="N380" i="19"/>
  <c r="AL380" i="19"/>
  <c r="AK380" i="19"/>
  <c r="AP380" i="19"/>
  <c r="AH380" i="19"/>
  <c r="AJ380" i="19"/>
  <c r="AO380" i="19"/>
  <c r="AE380" i="19"/>
  <c r="AG380" i="19"/>
  <c r="AM380" i="19"/>
  <c r="AN380" i="19"/>
  <c r="L380" i="19"/>
  <c r="P380" i="19"/>
  <c r="K380" i="19"/>
  <c r="AS380" i="19"/>
  <c r="AF380" i="19"/>
  <c r="AR380" i="19"/>
  <c r="AV383" i="19"/>
  <c r="AW383" i="19" s="1"/>
  <c r="A382" i="19"/>
  <c r="R381" i="19" l="1"/>
  <c r="T381" i="19"/>
  <c r="V381" i="19"/>
  <c r="X381" i="19"/>
  <c r="Z381" i="19"/>
  <c r="AB381" i="19"/>
  <c r="AD381" i="19"/>
  <c r="S381" i="19"/>
  <c r="U381" i="19"/>
  <c r="W381" i="19"/>
  <c r="Y381" i="19"/>
  <c r="AA381" i="19"/>
  <c r="AC381" i="19"/>
  <c r="D372" i="36"/>
  <c r="G372" i="36"/>
  <c r="H372" i="36"/>
  <c r="E372" i="36"/>
  <c r="I372" i="36"/>
  <c r="AV375" i="36"/>
  <c r="AW375" i="36" s="1"/>
  <c r="A374" i="36"/>
  <c r="J372" i="36"/>
  <c r="AM372" i="36"/>
  <c r="P372" i="36"/>
  <c r="M372" i="36"/>
  <c r="X372" i="36"/>
  <c r="AL372" i="36"/>
  <c r="AG372" i="36"/>
  <c r="AF372" i="36"/>
  <c r="Z372" i="36"/>
  <c r="T372" i="36"/>
  <c r="S372" i="36"/>
  <c r="AO372" i="36"/>
  <c r="O372" i="36"/>
  <c r="R372" i="36"/>
  <c r="V372" i="36"/>
  <c r="AN372" i="36"/>
  <c r="AS372" i="36"/>
  <c r="N372" i="36"/>
  <c r="AH372" i="36"/>
  <c r="AI372" i="36"/>
  <c r="AC372" i="36"/>
  <c r="Y372" i="36"/>
  <c r="AA372" i="36"/>
  <c r="AR372" i="36"/>
  <c r="AK372" i="36"/>
  <c r="AD372" i="36"/>
  <c r="AT372" i="36"/>
  <c r="AP372" i="36"/>
  <c r="AB372" i="36"/>
  <c r="AJ372" i="36"/>
  <c r="AU372" i="36"/>
  <c r="K372" i="36"/>
  <c r="W372" i="36"/>
  <c r="Q372" i="36"/>
  <c r="U372" i="36"/>
  <c r="L372" i="36"/>
  <c r="AE372" i="36"/>
  <c r="AQ372" i="36"/>
  <c r="B373" i="36"/>
  <c r="E373" i="36"/>
  <c r="J373" i="36"/>
  <c r="G373" i="36"/>
  <c r="F373" i="36"/>
  <c r="D373" i="36"/>
  <c r="I373" i="36"/>
  <c r="C373" i="36"/>
  <c r="H373" i="36"/>
  <c r="C382" i="19"/>
  <c r="B382" i="19"/>
  <c r="AJ381" i="19"/>
  <c r="AQ381" i="19"/>
  <c r="N381" i="19"/>
  <c r="AF381" i="19"/>
  <c r="AS381" i="19"/>
  <c r="AM381" i="19"/>
  <c r="AL381" i="19"/>
  <c r="AH381" i="19"/>
  <c r="AI381" i="19"/>
  <c r="AR381" i="19"/>
  <c r="AO381" i="19"/>
  <c r="AE381" i="19"/>
  <c r="AU381" i="19"/>
  <c r="AT381" i="19"/>
  <c r="P381" i="19"/>
  <c r="AG381" i="19"/>
  <c r="AK381" i="19"/>
  <c r="M381" i="19"/>
  <c r="AP381" i="19"/>
  <c r="L381" i="19"/>
  <c r="K381" i="19"/>
  <c r="AN381" i="19"/>
  <c r="AV384" i="19"/>
  <c r="AW384" i="19" s="1"/>
  <c r="A383" i="19"/>
  <c r="O383" i="19" s="1"/>
  <c r="F382" i="19" l="1"/>
  <c r="S382" i="19"/>
  <c r="U382" i="19"/>
  <c r="W382" i="19"/>
  <c r="Y382" i="19"/>
  <c r="AA382" i="19"/>
  <c r="AC382" i="19"/>
  <c r="R382" i="19"/>
  <c r="T382" i="19"/>
  <c r="V382" i="19"/>
  <c r="X382" i="19"/>
  <c r="Z382" i="19"/>
  <c r="AB382" i="19"/>
  <c r="AD382" i="19"/>
  <c r="O382" i="19"/>
  <c r="J374" i="36"/>
  <c r="E374" i="36"/>
  <c r="D374" i="36"/>
  <c r="G374" i="36"/>
  <c r="H374" i="36"/>
  <c r="I374" i="36"/>
  <c r="F374" i="36"/>
  <c r="B374" i="36"/>
  <c r="C374" i="36"/>
  <c r="AC373" i="36"/>
  <c r="N373" i="36"/>
  <c r="AU373" i="36"/>
  <c r="AS373" i="36"/>
  <c r="AA373" i="36"/>
  <c r="AN373" i="36"/>
  <c r="O373" i="36"/>
  <c r="Z373" i="36"/>
  <c r="AL373" i="36"/>
  <c r="P373" i="36"/>
  <c r="AD373" i="36"/>
  <c r="AQ373" i="36"/>
  <c r="M373" i="36"/>
  <c r="L373" i="36"/>
  <c r="U373" i="36"/>
  <c r="Q373" i="36"/>
  <c r="R373" i="36"/>
  <c r="AM373" i="36"/>
  <c r="AT373" i="36"/>
  <c r="AB373" i="36"/>
  <c r="AF373" i="36"/>
  <c r="AJ373" i="36"/>
  <c r="AP373" i="36"/>
  <c r="AG373" i="36"/>
  <c r="V373" i="36"/>
  <c r="AO373" i="36"/>
  <c r="AR373" i="36"/>
  <c r="AI373" i="36"/>
  <c r="K373" i="36"/>
  <c r="AE373" i="36"/>
  <c r="S373" i="36"/>
  <c r="X373" i="36"/>
  <c r="W373" i="36"/>
  <c r="T373" i="36"/>
  <c r="Y373" i="36"/>
  <c r="AK373" i="36"/>
  <c r="AH373" i="36"/>
  <c r="AV376" i="36"/>
  <c r="AW376" i="36" s="1"/>
  <c r="A375" i="36"/>
  <c r="J382" i="19"/>
  <c r="I382" i="19"/>
  <c r="G382" i="19"/>
  <c r="H382" i="19"/>
  <c r="E382" i="19"/>
  <c r="J383" i="19"/>
  <c r="G383" i="19"/>
  <c r="E383" i="19"/>
  <c r="D383" i="19"/>
  <c r="I383" i="19"/>
  <c r="H383" i="19"/>
  <c r="C383" i="19"/>
  <c r="F383" i="19"/>
  <c r="B383" i="19"/>
  <c r="AV385" i="19"/>
  <c r="AW385" i="19" s="1"/>
  <c r="A384" i="19"/>
  <c r="O384" i="19" s="1"/>
  <c r="D382" i="19"/>
  <c r="P382" i="19"/>
  <c r="AK382" i="19"/>
  <c r="AF382" i="19"/>
  <c r="AH382" i="19"/>
  <c r="AR382" i="19"/>
  <c r="N382" i="19"/>
  <c r="AT382" i="19"/>
  <c r="AN382" i="19"/>
  <c r="AQ382" i="19"/>
  <c r="AS382" i="19"/>
  <c r="AU382" i="19"/>
  <c r="AE382" i="19"/>
  <c r="K382" i="19"/>
  <c r="L382" i="19"/>
  <c r="AP382" i="19"/>
  <c r="AG382" i="19"/>
  <c r="AM382" i="19"/>
  <c r="AJ382" i="19"/>
  <c r="M382" i="19"/>
  <c r="AL382" i="19"/>
  <c r="AO382" i="19"/>
  <c r="AI382" i="19"/>
  <c r="R383" i="19" l="1"/>
  <c r="T383" i="19"/>
  <c r="V383" i="19"/>
  <c r="X383" i="19"/>
  <c r="Z383" i="19"/>
  <c r="AB383" i="19"/>
  <c r="AD383" i="19"/>
  <c r="S383" i="19"/>
  <c r="U383" i="19"/>
  <c r="W383" i="19"/>
  <c r="Y383" i="19"/>
  <c r="AA383" i="19"/>
  <c r="AC383" i="19"/>
  <c r="B375" i="36"/>
  <c r="F375" i="36" s="1"/>
  <c r="C375" i="36"/>
  <c r="Q374" i="36"/>
  <c r="AK374" i="36"/>
  <c r="AM374" i="36"/>
  <c r="W374" i="36"/>
  <c r="N374" i="36"/>
  <c r="Z374" i="36"/>
  <c r="L374" i="36"/>
  <c r="AP374" i="36"/>
  <c r="AQ374" i="36"/>
  <c r="AD374" i="36"/>
  <c r="U374" i="36"/>
  <c r="AS374" i="36"/>
  <c r="AG374" i="36"/>
  <c r="AH374" i="36"/>
  <c r="AL374" i="36"/>
  <c r="AT374" i="36"/>
  <c r="S374" i="36"/>
  <c r="AA374" i="36"/>
  <c r="AN374" i="36"/>
  <c r="M374" i="36"/>
  <c r="AO374" i="36"/>
  <c r="AJ374" i="36"/>
  <c r="AI374" i="36"/>
  <c r="AR374" i="36"/>
  <c r="AB374" i="36"/>
  <c r="P374" i="36"/>
  <c r="X374" i="36"/>
  <c r="AE374" i="36"/>
  <c r="K374" i="36"/>
  <c r="AU374" i="36"/>
  <c r="O374" i="36"/>
  <c r="AF374" i="36"/>
  <c r="Y374" i="36"/>
  <c r="V374" i="36"/>
  <c r="T374" i="36"/>
  <c r="AC374" i="36"/>
  <c r="R374" i="36"/>
  <c r="AV377" i="36"/>
  <c r="AW377" i="36" s="1"/>
  <c r="A376" i="36"/>
  <c r="J384" i="19"/>
  <c r="I384" i="19"/>
  <c r="F384" i="19"/>
  <c r="D384" i="19"/>
  <c r="C384" i="19"/>
  <c r="H384" i="19"/>
  <c r="G384" i="19"/>
  <c r="E384" i="19"/>
  <c r="B384" i="19"/>
  <c r="P383" i="19"/>
  <c r="AQ383" i="19"/>
  <c r="AJ383" i="19"/>
  <c r="AH383" i="19"/>
  <c r="AO383" i="19"/>
  <c r="AU383" i="19"/>
  <c r="AR383" i="19"/>
  <c r="K383" i="19"/>
  <c r="N383" i="19"/>
  <c r="AF383" i="19"/>
  <c r="AM383" i="19"/>
  <c r="AI383" i="19"/>
  <c r="AK383" i="19"/>
  <c r="AP383" i="19"/>
  <c r="AS383" i="19"/>
  <c r="AL383" i="19"/>
  <c r="AN383" i="19"/>
  <c r="L383" i="19"/>
  <c r="AE383" i="19"/>
  <c r="AT383" i="19"/>
  <c r="AG383" i="19"/>
  <c r="M383" i="19"/>
  <c r="A385" i="19"/>
  <c r="AV386" i="19"/>
  <c r="AW386" i="19" s="1"/>
  <c r="S384" i="19" l="1"/>
  <c r="U384" i="19"/>
  <c r="W384" i="19"/>
  <c r="Y384" i="19"/>
  <c r="AA384" i="19"/>
  <c r="AC384" i="19"/>
  <c r="R384" i="19"/>
  <c r="T384" i="19"/>
  <c r="V384" i="19"/>
  <c r="X384" i="19"/>
  <c r="Z384" i="19"/>
  <c r="AB384" i="19"/>
  <c r="AD384" i="19"/>
  <c r="D375" i="36"/>
  <c r="J375" i="36"/>
  <c r="I375" i="36"/>
  <c r="G375" i="36"/>
  <c r="H375" i="36"/>
  <c r="E375" i="36"/>
  <c r="C376" i="36"/>
  <c r="B376" i="36"/>
  <c r="D376" i="36" s="1"/>
  <c r="AV378" i="36"/>
  <c r="AW378" i="36" s="1"/>
  <c r="A377" i="36"/>
  <c r="AM375" i="36"/>
  <c r="N375" i="36"/>
  <c r="S375" i="36"/>
  <c r="M375" i="36"/>
  <c r="AG375" i="36"/>
  <c r="AA375" i="36"/>
  <c r="AC375" i="36"/>
  <c r="AK375" i="36"/>
  <c r="Y375" i="36"/>
  <c r="AI375" i="36"/>
  <c r="AQ375" i="36"/>
  <c r="AL375" i="36"/>
  <c r="AB375" i="36"/>
  <c r="O375" i="36"/>
  <c r="V375" i="36"/>
  <c r="AU375" i="36"/>
  <c r="AE375" i="36"/>
  <c r="AS375" i="36"/>
  <c r="W375" i="36"/>
  <c r="AR375" i="36"/>
  <c r="AD375" i="36"/>
  <c r="T375" i="36"/>
  <c r="K375" i="36"/>
  <c r="Z375" i="36"/>
  <c r="AH375" i="36"/>
  <c r="Q375" i="36"/>
  <c r="U375" i="36"/>
  <c r="AN375" i="36"/>
  <c r="R375" i="36"/>
  <c r="P375" i="36"/>
  <c r="X375" i="36"/>
  <c r="AP375" i="36"/>
  <c r="AO375" i="36"/>
  <c r="AJ375" i="36"/>
  <c r="AF375" i="36"/>
  <c r="AT375" i="36"/>
  <c r="L375" i="36"/>
  <c r="AV387" i="19"/>
  <c r="AW387" i="19" s="1"/>
  <c r="A386" i="19"/>
  <c r="C385" i="19"/>
  <c r="B385" i="19"/>
  <c r="M384" i="19"/>
  <c r="AK384" i="19"/>
  <c r="P384" i="19"/>
  <c r="AF384" i="19"/>
  <c r="AR384" i="19"/>
  <c r="L384" i="19"/>
  <c r="AN384" i="19"/>
  <c r="AP384" i="19"/>
  <c r="AI384" i="19"/>
  <c r="AH384" i="19"/>
  <c r="AE384" i="19"/>
  <c r="AT384" i="19"/>
  <c r="AO384" i="19"/>
  <c r="AM384" i="19"/>
  <c r="AU384" i="19"/>
  <c r="AQ384" i="19"/>
  <c r="AS384" i="19"/>
  <c r="AG384" i="19"/>
  <c r="AL384" i="19"/>
  <c r="N384" i="19"/>
  <c r="K384" i="19"/>
  <c r="AJ384" i="19"/>
  <c r="H385" i="19" l="1"/>
  <c r="R385" i="19"/>
  <c r="T385" i="19"/>
  <c r="V385" i="19"/>
  <c r="X385" i="19"/>
  <c r="Z385" i="19"/>
  <c r="AB385" i="19"/>
  <c r="AD385" i="19"/>
  <c r="S385" i="19"/>
  <c r="U385" i="19"/>
  <c r="W385" i="19"/>
  <c r="Y385" i="19"/>
  <c r="AA385" i="19"/>
  <c r="AC385" i="19"/>
  <c r="O385" i="19"/>
  <c r="F376" i="36"/>
  <c r="J376" i="36"/>
  <c r="AV379" i="36"/>
  <c r="AW379" i="36" s="1"/>
  <c r="A378" i="36"/>
  <c r="AR376" i="36"/>
  <c r="Q376" i="36"/>
  <c r="P376" i="36"/>
  <c r="V376" i="36"/>
  <c r="AJ376" i="36"/>
  <c r="AK376" i="36"/>
  <c r="AL376" i="36"/>
  <c r="AC376" i="36"/>
  <c r="R376" i="36"/>
  <c r="AO376" i="36"/>
  <c r="U376" i="36"/>
  <c r="AP376" i="36"/>
  <c r="AG376" i="36"/>
  <c r="AM376" i="36"/>
  <c r="K376" i="36"/>
  <c r="AF376" i="36"/>
  <c r="AU376" i="36"/>
  <c r="AI376" i="36"/>
  <c r="Y376" i="36"/>
  <c r="AE376" i="36"/>
  <c r="O376" i="36"/>
  <c r="N376" i="36"/>
  <c r="Z376" i="36"/>
  <c r="AH376" i="36"/>
  <c r="L376" i="36"/>
  <c r="AT376" i="36"/>
  <c r="W376" i="36"/>
  <c r="AA376" i="36"/>
  <c r="AS376" i="36"/>
  <c r="AN376" i="36"/>
  <c r="AB376" i="36"/>
  <c r="X376" i="36"/>
  <c r="M376" i="36"/>
  <c r="S376" i="36"/>
  <c r="AQ376" i="36"/>
  <c r="T376" i="36"/>
  <c r="AD376" i="36"/>
  <c r="B377" i="36"/>
  <c r="H377" i="36" s="1"/>
  <c r="C377" i="36"/>
  <c r="I376" i="36"/>
  <c r="H376" i="36"/>
  <c r="G376" i="36"/>
  <c r="E376" i="36"/>
  <c r="J385" i="19"/>
  <c r="F385" i="19"/>
  <c r="E385" i="19"/>
  <c r="G385" i="19"/>
  <c r="I385" i="19"/>
  <c r="D385" i="19"/>
  <c r="P385" i="19"/>
  <c r="AQ385" i="19"/>
  <c r="AT385" i="19"/>
  <c r="AH385" i="19"/>
  <c r="L385" i="19"/>
  <c r="AE385" i="19"/>
  <c r="AU385" i="19"/>
  <c r="AJ385" i="19"/>
  <c r="M385" i="19"/>
  <c r="AG385" i="19"/>
  <c r="AO385" i="19"/>
  <c r="AP385" i="19"/>
  <c r="AI385" i="19"/>
  <c r="N385" i="19"/>
  <c r="AL385" i="19"/>
  <c r="AS385" i="19"/>
  <c r="AF385" i="19"/>
  <c r="AR385" i="19"/>
  <c r="AM385" i="19"/>
  <c r="AN385" i="19"/>
  <c r="AK385" i="19"/>
  <c r="K385" i="19"/>
  <c r="C386" i="19"/>
  <c r="B386" i="19"/>
  <c r="AV388" i="19"/>
  <c r="AW388" i="19" s="1"/>
  <c r="A387" i="19"/>
  <c r="F386" i="19" l="1"/>
  <c r="S386" i="19"/>
  <c r="U386" i="19"/>
  <c r="R386" i="19"/>
  <c r="T386" i="19"/>
  <c r="V386" i="19"/>
  <c r="W386" i="19"/>
  <c r="Y386" i="19"/>
  <c r="AA386" i="19"/>
  <c r="AC386" i="19"/>
  <c r="X386" i="19"/>
  <c r="Z386" i="19"/>
  <c r="AB386" i="19"/>
  <c r="AD386" i="19"/>
  <c r="O386" i="19"/>
  <c r="J377" i="36"/>
  <c r="E377" i="36"/>
  <c r="I377" i="36"/>
  <c r="Z377" i="36"/>
  <c r="AS377" i="36"/>
  <c r="AT377" i="36"/>
  <c r="K377" i="36"/>
  <c r="AG377" i="36"/>
  <c r="AQ377" i="36"/>
  <c r="P377" i="36"/>
  <c r="AL377" i="36"/>
  <c r="AB377" i="36"/>
  <c r="AE377" i="36"/>
  <c r="W377" i="36"/>
  <c r="Y377" i="36"/>
  <c r="AO377" i="36"/>
  <c r="AK377" i="36"/>
  <c r="Q377" i="36"/>
  <c r="U377" i="36"/>
  <c r="AJ377" i="36"/>
  <c r="AP377" i="36"/>
  <c r="AU377" i="36"/>
  <c r="AR377" i="36"/>
  <c r="N377" i="36"/>
  <c r="AN377" i="36"/>
  <c r="R377" i="36"/>
  <c r="AM377" i="36"/>
  <c r="S377" i="36"/>
  <c r="AD377" i="36"/>
  <c r="AH377" i="36"/>
  <c r="O377" i="36"/>
  <c r="AI377" i="36"/>
  <c r="AA377" i="36"/>
  <c r="V377" i="36"/>
  <c r="AC377" i="36"/>
  <c r="T377" i="36"/>
  <c r="AF377" i="36"/>
  <c r="M377" i="36"/>
  <c r="X377" i="36"/>
  <c r="L377" i="36"/>
  <c r="B378" i="36"/>
  <c r="G378" i="36" s="1"/>
  <c r="C378" i="36"/>
  <c r="G377" i="36"/>
  <c r="F377" i="36"/>
  <c r="D377" i="36"/>
  <c r="AV380" i="36"/>
  <c r="AW380" i="36" s="1"/>
  <c r="A379" i="36"/>
  <c r="G386" i="19"/>
  <c r="D386" i="19"/>
  <c r="E386" i="19"/>
  <c r="J386" i="19"/>
  <c r="B387" i="19"/>
  <c r="C387" i="19"/>
  <c r="AV389" i="19"/>
  <c r="AW389" i="19" s="1"/>
  <c r="A388" i="19"/>
  <c r="I386" i="19"/>
  <c r="H386" i="19"/>
  <c r="AH386" i="19"/>
  <c r="AF386" i="19"/>
  <c r="AI386" i="19"/>
  <c r="AS386" i="19"/>
  <c r="AN386" i="19"/>
  <c r="K386" i="19"/>
  <c r="N386" i="19"/>
  <c r="P386" i="19"/>
  <c r="AP386" i="19"/>
  <c r="AJ386" i="19"/>
  <c r="AQ386" i="19"/>
  <c r="AK386" i="19"/>
  <c r="AO386" i="19"/>
  <c r="AL386" i="19"/>
  <c r="AE386" i="19"/>
  <c r="AU386" i="19"/>
  <c r="L386" i="19"/>
  <c r="AG386" i="19"/>
  <c r="AR386" i="19"/>
  <c r="M386" i="19"/>
  <c r="AM386" i="19"/>
  <c r="AT386" i="19"/>
  <c r="I387" i="19" l="1"/>
  <c r="R387" i="19"/>
  <c r="T387" i="19"/>
  <c r="V387" i="19"/>
  <c r="X387" i="19"/>
  <c r="Z387" i="19"/>
  <c r="AB387" i="19"/>
  <c r="AD387" i="19"/>
  <c r="S387" i="19"/>
  <c r="U387" i="19"/>
  <c r="W387" i="19"/>
  <c r="Y387" i="19"/>
  <c r="AA387" i="19"/>
  <c r="AC387" i="19"/>
  <c r="O387" i="19"/>
  <c r="D378" i="36"/>
  <c r="I378" i="36"/>
  <c r="F378" i="36"/>
  <c r="J378" i="36"/>
  <c r="H378" i="36"/>
  <c r="E378" i="36"/>
  <c r="C379" i="36"/>
  <c r="B379" i="36"/>
  <c r="E379" i="36" s="1"/>
  <c r="AV381" i="36"/>
  <c r="AW381" i="36" s="1"/>
  <c r="A380" i="36"/>
  <c r="AR378" i="36"/>
  <c r="S378" i="36"/>
  <c r="AO378" i="36"/>
  <c r="AT378" i="36"/>
  <c r="O378" i="36"/>
  <c r="AH378" i="36"/>
  <c r="AA378" i="36"/>
  <c r="L378" i="36"/>
  <c r="V378" i="36"/>
  <c r="AL378" i="36"/>
  <c r="R378" i="36"/>
  <c r="AJ378" i="36"/>
  <c r="AU378" i="36"/>
  <c r="AF378" i="36"/>
  <c r="U378" i="36"/>
  <c r="AK378" i="36"/>
  <c r="N378" i="36"/>
  <c r="M378" i="36"/>
  <c r="Z378" i="36"/>
  <c r="T378" i="36"/>
  <c r="X378" i="36"/>
  <c r="AG378" i="36"/>
  <c r="P378" i="36"/>
  <c r="AE378" i="36"/>
  <c r="Y378" i="36"/>
  <c r="K378" i="36"/>
  <c r="AI378" i="36"/>
  <c r="Q378" i="36"/>
  <c r="AN378" i="36"/>
  <c r="AM378" i="36"/>
  <c r="W378" i="36"/>
  <c r="AS378" i="36"/>
  <c r="AP378" i="36"/>
  <c r="AD378" i="36"/>
  <c r="AC378" i="36"/>
  <c r="AB378" i="36"/>
  <c r="AQ378" i="36"/>
  <c r="F387" i="19"/>
  <c r="G387" i="19"/>
  <c r="E387" i="19"/>
  <c r="D387" i="19"/>
  <c r="H387" i="19"/>
  <c r="J387" i="19"/>
  <c r="B388" i="19"/>
  <c r="C388" i="19"/>
  <c r="A389" i="19"/>
  <c r="AV390" i="19"/>
  <c r="AW390" i="19" s="1"/>
  <c r="AE387" i="19"/>
  <c r="AK387" i="19"/>
  <c r="AR387" i="19"/>
  <c r="M387" i="19"/>
  <c r="AF387" i="19"/>
  <c r="AN387" i="19"/>
  <c r="AT387" i="19"/>
  <c r="AU387" i="19"/>
  <c r="AG387" i="19"/>
  <c r="P387" i="19"/>
  <c r="AL387" i="19"/>
  <c r="K387" i="19"/>
  <c r="AI387" i="19"/>
  <c r="AQ387" i="19"/>
  <c r="AO387" i="19"/>
  <c r="N387" i="19"/>
  <c r="AS387" i="19"/>
  <c r="AH387" i="19"/>
  <c r="L387" i="19"/>
  <c r="AM387" i="19"/>
  <c r="AP387" i="19"/>
  <c r="AJ387" i="19"/>
  <c r="H388" i="19" l="1"/>
  <c r="S388" i="19"/>
  <c r="U388" i="19"/>
  <c r="W388" i="19"/>
  <c r="Y388" i="19"/>
  <c r="AA388" i="19"/>
  <c r="AC388" i="19"/>
  <c r="R388" i="19"/>
  <c r="T388" i="19"/>
  <c r="V388" i="19"/>
  <c r="X388" i="19"/>
  <c r="Z388" i="19"/>
  <c r="AB388" i="19"/>
  <c r="AD388" i="19"/>
  <c r="O388" i="19"/>
  <c r="D379" i="36"/>
  <c r="G379" i="36"/>
  <c r="J379" i="36"/>
  <c r="H379" i="36"/>
  <c r="I379" i="36"/>
  <c r="F379" i="36"/>
  <c r="AV382" i="36"/>
  <c r="AW382" i="36" s="1"/>
  <c r="A381" i="36"/>
  <c r="S379" i="36"/>
  <c r="L379" i="36"/>
  <c r="AD379" i="36"/>
  <c r="AS379" i="36"/>
  <c r="T379" i="36"/>
  <c r="Z379" i="36"/>
  <c r="U379" i="36"/>
  <c r="R379" i="36"/>
  <c r="AF379" i="36"/>
  <c r="P379" i="36"/>
  <c r="N379" i="36"/>
  <c r="Q379" i="36"/>
  <c r="O379" i="36"/>
  <c r="M379" i="36"/>
  <c r="AA379" i="36"/>
  <c r="AP379" i="36"/>
  <c r="AE379" i="36"/>
  <c r="AH379" i="36"/>
  <c r="AR379" i="36"/>
  <c r="AN379" i="36"/>
  <c r="AB379" i="36"/>
  <c r="AU379" i="36"/>
  <c r="AG379" i="36"/>
  <c r="AT379" i="36"/>
  <c r="AQ379" i="36"/>
  <c r="AM379" i="36"/>
  <c r="W379" i="36"/>
  <c r="K379" i="36"/>
  <c r="AK379" i="36"/>
  <c r="AO379" i="36"/>
  <c r="V379" i="36"/>
  <c r="AI379" i="36"/>
  <c r="AJ379" i="36"/>
  <c r="Y379" i="36"/>
  <c r="X379" i="36"/>
  <c r="AL379" i="36"/>
  <c r="AC379" i="36"/>
  <c r="C380" i="36"/>
  <c r="B380" i="36"/>
  <c r="H380" i="36" s="1"/>
  <c r="J388" i="19"/>
  <c r="G388" i="19"/>
  <c r="D388" i="19"/>
  <c r="I388" i="19"/>
  <c r="E388" i="19"/>
  <c r="B389" i="19"/>
  <c r="C389" i="19"/>
  <c r="F388" i="19"/>
  <c r="AV391" i="19"/>
  <c r="AW391" i="19" s="1"/>
  <c r="A390" i="19"/>
  <c r="AJ388" i="19"/>
  <c r="AM388" i="19"/>
  <c r="AU388" i="19"/>
  <c r="K388" i="19"/>
  <c r="AE388" i="19"/>
  <c r="AG388" i="19"/>
  <c r="AT388" i="19"/>
  <c r="P388" i="19"/>
  <c r="N388" i="19"/>
  <c r="AS388" i="19"/>
  <c r="L388" i="19"/>
  <c r="AR388" i="19"/>
  <c r="AO388" i="19"/>
  <c r="AK388" i="19"/>
  <c r="AN388" i="19"/>
  <c r="AH388" i="19"/>
  <c r="AQ388" i="19"/>
  <c r="AL388" i="19"/>
  <c r="AP388" i="19"/>
  <c r="M388" i="19"/>
  <c r="AF388" i="19"/>
  <c r="AI388" i="19"/>
  <c r="G389" i="19" l="1"/>
  <c r="R389" i="19"/>
  <c r="T389" i="19"/>
  <c r="V389" i="19"/>
  <c r="X389" i="19"/>
  <c r="Z389" i="19"/>
  <c r="AB389" i="19"/>
  <c r="AD389" i="19"/>
  <c r="S389" i="19"/>
  <c r="U389" i="19"/>
  <c r="W389" i="19"/>
  <c r="Y389" i="19"/>
  <c r="AA389" i="19"/>
  <c r="AC389" i="19"/>
  <c r="O389" i="19"/>
  <c r="G380" i="36"/>
  <c r="E380" i="36"/>
  <c r="D380" i="36"/>
  <c r="J380" i="36"/>
  <c r="I380" i="36"/>
  <c r="B381" i="36"/>
  <c r="F381" i="36" s="1"/>
  <c r="C381" i="36"/>
  <c r="F380" i="36"/>
  <c r="AB380" i="36"/>
  <c r="AJ380" i="36"/>
  <c r="AF380" i="36"/>
  <c r="AM380" i="36"/>
  <c r="AA380" i="36"/>
  <c r="S380" i="36"/>
  <c r="X380" i="36"/>
  <c r="AD380" i="36"/>
  <c r="P380" i="36"/>
  <c r="AE380" i="36"/>
  <c r="AH380" i="36"/>
  <c r="U380" i="36"/>
  <c r="AQ380" i="36"/>
  <c r="R380" i="36"/>
  <c r="V380" i="36"/>
  <c r="AG380" i="36"/>
  <c r="AK380" i="36"/>
  <c r="M380" i="36"/>
  <c r="T380" i="36"/>
  <c r="Q380" i="36"/>
  <c r="O380" i="36"/>
  <c r="AT380" i="36"/>
  <c r="W380" i="36"/>
  <c r="AL380" i="36"/>
  <c r="AR380" i="36"/>
  <c r="AN380" i="36"/>
  <c r="Y380" i="36"/>
  <c r="AI380" i="36"/>
  <c r="N380" i="36"/>
  <c r="Z380" i="36"/>
  <c r="AP380" i="36"/>
  <c r="L380" i="36"/>
  <c r="K380" i="36"/>
  <c r="AO380" i="36"/>
  <c r="AC380" i="36"/>
  <c r="AS380" i="36"/>
  <c r="AU380" i="36"/>
  <c r="AV383" i="36"/>
  <c r="AW383" i="36" s="1"/>
  <c r="A383" i="36" s="1"/>
  <c r="A382" i="36"/>
  <c r="J389" i="19"/>
  <c r="F389" i="19"/>
  <c r="D389" i="19"/>
  <c r="H389" i="19"/>
  <c r="E389" i="19"/>
  <c r="B390" i="19"/>
  <c r="C390" i="19"/>
  <c r="A391" i="19"/>
  <c r="AV392" i="19"/>
  <c r="AW392" i="19" s="1"/>
  <c r="I389" i="19"/>
  <c r="M389" i="19"/>
  <c r="AM389" i="19"/>
  <c r="AH389" i="19"/>
  <c r="AJ389" i="19"/>
  <c r="AL389" i="19"/>
  <c r="AI389" i="19"/>
  <c r="AF389" i="19"/>
  <c r="AG389" i="19"/>
  <c r="AS389" i="19"/>
  <c r="AN389" i="19"/>
  <c r="AT389" i="19"/>
  <c r="AU389" i="19"/>
  <c r="P389" i="19"/>
  <c r="K389" i="19"/>
  <c r="AR389" i="19"/>
  <c r="AQ389" i="19"/>
  <c r="AK389" i="19"/>
  <c r="AO389" i="19"/>
  <c r="AE389" i="19"/>
  <c r="L389" i="19"/>
  <c r="AP389" i="19"/>
  <c r="N389" i="19"/>
  <c r="F390" i="19" l="1"/>
  <c r="S390" i="19"/>
  <c r="U390" i="19"/>
  <c r="W390" i="19"/>
  <c r="Y390" i="19"/>
  <c r="AA390" i="19"/>
  <c r="AC390" i="19"/>
  <c r="R390" i="19"/>
  <c r="T390" i="19"/>
  <c r="V390" i="19"/>
  <c r="X390" i="19"/>
  <c r="Z390" i="19"/>
  <c r="AB390" i="19"/>
  <c r="AD390" i="19"/>
  <c r="O390" i="19"/>
  <c r="G381" i="36"/>
  <c r="D381" i="36"/>
  <c r="E381" i="36"/>
  <c r="I381" i="36"/>
  <c r="H383" i="36"/>
  <c r="I383" i="36"/>
  <c r="G383" i="36"/>
  <c r="E383" i="36"/>
  <c r="F383" i="36"/>
  <c r="D383" i="36"/>
  <c r="J383" i="36"/>
  <c r="C383" i="36"/>
  <c r="B383" i="36"/>
  <c r="H381" i="36"/>
  <c r="J381" i="36"/>
  <c r="I382" i="36"/>
  <c r="J382" i="36"/>
  <c r="D382" i="36"/>
  <c r="B382" i="36"/>
  <c r="G382" i="36"/>
  <c r="E382" i="36"/>
  <c r="C382" i="36"/>
  <c r="H382" i="36"/>
  <c r="F382" i="36"/>
  <c r="L381" i="36"/>
  <c r="AH381" i="36"/>
  <c r="AU381" i="36"/>
  <c r="AB381" i="36"/>
  <c r="R381" i="36"/>
  <c r="AO381" i="36"/>
  <c r="N381" i="36"/>
  <c r="AS381" i="36"/>
  <c r="AR381" i="36"/>
  <c r="AP381" i="36"/>
  <c r="AG381" i="36"/>
  <c r="K381" i="36"/>
  <c r="O381" i="36"/>
  <c r="U381" i="36"/>
  <c r="AJ381" i="36"/>
  <c r="AT381" i="36"/>
  <c r="AE381" i="36"/>
  <c r="AN381" i="36"/>
  <c r="P381" i="36"/>
  <c r="S381" i="36"/>
  <c r="AI381" i="36"/>
  <c r="Z381" i="36"/>
  <c r="T381" i="36"/>
  <c r="X381" i="36"/>
  <c r="AM381" i="36"/>
  <c r="AK381" i="36"/>
  <c r="Y381" i="36"/>
  <c r="AL381" i="36"/>
  <c r="AA381" i="36"/>
  <c r="V381" i="36"/>
  <c r="M381" i="36"/>
  <c r="AC381" i="36"/>
  <c r="AD381" i="36"/>
  <c r="Q381" i="36"/>
  <c r="W381" i="36"/>
  <c r="AF381" i="36"/>
  <c r="AQ381" i="36"/>
  <c r="G390" i="19"/>
  <c r="D390" i="19"/>
  <c r="J390" i="19"/>
  <c r="E390" i="19"/>
  <c r="H390" i="19"/>
  <c r="B391" i="19"/>
  <c r="C391" i="19"/>
  <c r="AV393" i="19"/>
  <c r="AW393" i="19" s="1"/>
  <c r="A393" i="19" s="1"/>
  <c r="A392" i="19"/>
  <c r="I390" i="19"/>
  <c r="P390" i="19"/>
  <c r="AN390" i="19"/>
  <c r="L390" i="19"/>
  <c r="AL390" i="19"/>
  <c r="AH390" i="19"/>
  <c r="AI390" i="19"/>
  <c r="AO390" i="19"/>
  <c r="AF390" i="19"/>
  <c r="AU390" i="19"/>
  <c r="AQ390" i="19"/>
  <c r="M390" i="19"/>
  <c r="AM390" i="19"/>
  <c r="AP390" i="19"/>
  <c r="K390" i="19"/>
  <c r="AS390" i="19"/>
  <c r="AK390" i="19"/>
  <c r="AG390" i="19"/>
  <c r="AE390" i="19"/>
  <c r="N390" i="19"/>
  <c r="AR390" i="19"/>
  <c r="AT390" i="19"/>
  <c r="AJ390" i="19"/>
  <c r="D391" i="19" l="1"/>
  <c r="R391" i="19"/>
  <c r="T391" i="19"/>
  <c r="V391" i="19"/>
  <c r="X391" i="19"/>
  <c r="Z391" i="19"/>
  <c r="AB391" i="19"/>
  <c r="AD391" i="19"/>
  <c r="S391" i="19"/>
  <c r="U391" i="19"/>
  <c r="W391" i="19"/>
  <c r="Y391" i="19"/>
  <c r="AA391" i="19"/>
  <c r="AC391" i="19"/>
  <c r="O391" i="19"/>
  <c r="N382" i="36"/>
  <c r="AG382" i="36"/>
  <c r="AO382" i="36"/>
  <c r="AS382" i="36"/>
  <c r="X382" i="36"/>
  <c r="AA382" i="36"/>
  <c r="M382" i="36"/>
  <c r="AJ382" i="36"/>
  <c r="AU382" i="36"/>
  <c r="AN382" i="36"/>
  <c r="P382" i="36"/>
  <c r="K382" i="36"/>
  <c r="Q382" i="36"/>
  <c r="U382" i="36"/>
  <c r="AL382" i="36"/>
  <c r="S382" i="36"/>
  <c r="AE382" i="36"/>
  <c r="T382" i="36"/>
  <c r="Y382" i="36"/>
  <c r="AF382" i="36"/>
  <c r="O382" i="36"/>
  <c r="AI382" i="36"/>
  <c r="V382" i="36"/>
  <c r="AB382" i="36"/>
  <c r="AP382" i="36"/>
  <c r="W382" i="36"/>
  <c r="AC382" i="36"/>
  <c r="L382" i="36"/>
  <c r="Z382" i="36"/>
  <c r="AH382" i="36"/>
  <c r="AT382" i="36"/>
  <c r="AR382" i="36"/>
  <c r="AK382" i="36"/>
  <c r="R382" i="36"/>
  <c r="AM382" i="36"/>
  <c r="AD382" i="36"/>
  <c r="AQ382" i="36"/>
  <c r="AU383" i="36"/>
  <c r="Z383" i="36"/>
  <c r="T383" i="36"/>
  <c r="AR383" i="36"/>
  <c r="AA383" i="36"/>
  <c r="Y383" i="36"/>
  <c r="U383" i="36"/>
  <c r="L383" i="36"/>
  <c r="P383" i="36"/>
  <c r="AI383" i="36"/>
  <c r="AL383" i="36"/>
  <c r="M383" i="36"/>
  <c r="K383" i="36"/>
  <c r="AQ383" i="36"/>
  <c r="V383" i="36"/>
  <c r="O383" i="36"/>
  <c r="AF383" i="36"/>
  <c r="AC383" i="36"/>
  <c r="AS383" i="36"/>
  <c r="AT383" i="36"/>
  <c r="AJ383" i="36"/>
  <c r="AE383" i="36"/>
  <c r="W383" i="36"/>
  <c r="AD383" i="36"/>
  <c r="X383" i="36"/>
  <c r="AG383" i="36"/>
  <c r="AO383" i="36"/>
  <c r="S383" i="36"/>
  <c r="AP383" i="36"/>
  <c r="AM383" i="36"/>
  <c r="AH383" i="36"/>
  <c r="Q383" i="36"/>
  <c r="AN383" i="36"/>
  <c r="AK383" i="36"/>
  <c r="AB383" i="36"/>
  <c r="R383" i="36"/>
  <c r="N383" i="36"/>
  <c r="F391" i="19"/>
  <c r="I391" i="19"/>
  <c r="G391" i="19"/>
  <c r="J391" i="19"/>
  <c r="E391" i="19"/>
  <c r="H391" i="19"/>
  <c r="J392" i="19"/>
  <c r="D392" i="19"/>
  <c r="B392" i="19"/>
  <c r="I392" i="19"/>
  <c r="C392" i="19"/>
  <c r="H392" i="19"/>
  <c r="G392" i="19"/>
  <c r="E392" i="19"/>
  <c r="F392" i="19"/>
  <c r="J393" i="19"/>
  <c r="G393" i="19"/>
  <c r="C393" i="19"/>
  <c r="H393" i="19"/>
  <c r="B393" i="19"/>
  <c r="F393" i="19"/>
  <c r="I393" i="19"/>
  <c r="E393" i="19"/>
  <c r="D393" i="19"/>
  <c r="AU391" i="19"/>
  <c r="AQ391" i="19"/>
  <c r="AK391" i="19"/>
  <c r="AT391" i="19"/>
  <c r="N391" i="19"/>
  <c r="AS391" i="19"/>
  <c r="AM391" i="19"/>
  <c r="AJ391" i="19"/>
  <c r="AF391" i="19"/>
  <c r="P391" i="19"/>
  <c r="AG391" i="19"/>
  <c r="AR391" i="19"/>
  <c r="AN391" i="19"/>
  <c r="M391" i="19"/>
  <c r="L391" i="19"/>
  <c r="AL391" i="19"/>
  <c r="AP391" i="19"/>
  <c r="AI391" i="19"/>
  <c r="AH391" i="19"/>
  <c r="AO391" i="19"/>
  <c r="AE391" i="19"/>
  <c r="K391" i="19"/>
  <c r="P392" i="19" l="1"/>
  <c r="AO392" i="19"/>
  <c r="V392" i="19"/>
  <c r="N392" i="19"/>
  <c r="AP392" i="19"/>
  <c r="AN392" i="19"/>
  <c r="W392" i="19"/>
  <c r="AU392" i="19"/>
  <c r="AF392" i="19"/>
  <c r="Q392" i="19"/>
  <c r="AB392" i="19"/>
  <c r="T392" i="19"/>
  <c r="AT392" i="19"/>
  <c r="X392" i="19"/>
  <c r="M392" i="19"/>
  <c r="O392" i="19"/>
  <c r="AL392" i="19"/>
  <c r="AH392" i="19"/>
  <c r="Y392" i="19"/>
  <c r="AR392" i="19"/>
  <c r="AQ392" i="19"/>
  <c r="AS392" i="19"/>
  <c r="AK392" i="19"/>
  <c r="AD392" i="19"/>
  <c r="AM392" i="19"/>
  <c r="S392" i="19"/>
  <c r="K392" i="19"/>
  <c r="L392" i="19"/>
  <c r="AA392" i="19"/>
  <c r="U392" i="19"/>
  <c r="AI392" i="19"/>
  <c r="AJ392" i="19"/>
  <c r="R392" i="19"/>
  <c r="AC392" i="19"/>
  <c r="Z392" i="19"/>
  <c r="AG392" i="19"/>
  <c r="AE392" i="19"/>
  <c r="L393" i="19"/>
  <c r="AG393" i="19"/>
  <c r="AF393" i="19"/>
  <c r="N393" i="19"/>
  <c r="S393" i="19"/>
  <c r="AH393" i="19"/>
  <c r="AA393" i="19"/>
  <c r="AI393" i="19"/>
  <c r="AC393" i="19"/>
  <c r="AJ393" i="19"/>
  <c r="AU393" i="19"/>
  <c r="AO393" i="19"/>
  <c r="AR393" i="19"/>
  <c r="U393" i="19"/>
  <c r="AQ393" i="19"/>
  <c r="W393" i="19"/>
  <c r="AT393" i="19"/>
  <c r="AL393" i="19"/>
  <c r="AD393" i="19"/>
  <c r="M393" i="19"/>
  <c r="R393" i="19"/>
  <c r="AP393" i="19"/>
  <c r="O393" i="19"/>
  <c r="T393" i="19"/>
  <c r="Q393" i="19"/>
  <c r="AK393" i="19"/>
  <c r="AE393" i="19"/>
  <c r="AM393" i="19"/>
  <c r="Z393" i="19"/>
  <c r="AS393" i="19"/>
  <c r="X393" i="19"/>
  <c r="AN393" i="19"/>
  <c r="Y393" i="19"/>
  <c r="AB393" i="19"/>
  <c r="P393" i="19"/>
  <c r="K393" i="19"/>
  <c r="V393" i="19"/>
  <c r="O13" i="22"/>
  <c r="N87" i="66"/>
  <c r="M87" i="66"/>
  <c r="C16" i="66" s="1"/>
  <c r="D16" i="66"/>
  <c r="R86" i="66"/>
  <c r="R84" i="66"/>
  <c r="X84" i="66" s="1"/>
  <c r="AM36" i="32" s="1"/>
  <c r="R83" i="66"/>
  <c r="Y83" i="66" s="1"/>
  <c r="AN35" i="32" s="1"/>
  <c r="R82" i="66"/>
  <c r="AC82" i="66" s="1"/>
  <c r="R81" i="66"/>
  <c r="L87" i="66"/>
  <c r="I102" i="66"/>
  <c r="J102" i="66" s="1"/>
  <c r="R85" i="66"/>
  <c r="H85" i="66"/>
  <c r="R87" i="66" l="1"/>
  <c r="X87" i="66" s="1"/>
  <c r="J16" i="66"/>
  <c r="AC84" i="66"/>
  <c r="AE84" i="66" s="1"/>
  <c r="W97" i="32" s="1"/>
  <c r="G16" i="66"/>
  <c r="L46" i="66"/>
  <c r="M46" i="66" s="1"/>
  <c r="H16" i="66"/>
  <c r="I16" i="66"/>
  <c r="E16" i="66"/>
  <c r="AC85" i="66"/>
  <c r="AD85" i="66" s="1"/>
  <c r="R98" i="32" s="1"/>
  <c r="S98" i="32" s="1"/>
  <c r="T98" i="32" s="1"/>
  <c r="U98" i="32" s="1"/>
  <c r="V98" i="32" s="1"/>
  <c r="S85" i="66"/>
  <c r="R37" i="32" s="1"/>
  <c r="S37" i="32" s="1"/>
  <c r="T37" i="32" s="1"/>
  <c r="U37" i="32" s="1"/>
  <c r="V37" i="32" s="1"/>
  <c r="AC81" i="66"/>
  <c r="AD81" i="66" s="1"/>
  <c r="R94" i="32" s="1"/>
  <c r="AC83" i="66"/>
  <c r="AH83" i="66" s="1"/>
  <c r="AL96" i="32" s="1"/>
  <c r="AM98" i="32"/>
  <c r="AE82" i="66"/>
  <c r="W95" i="32" s="1"/>
  <c r="AG82" i="66"/>
  <c r="AG95" i="32" s="1"/>
  <c r="AI82" i="66"/>
  <c r="AM95" i="32" s="1"/>
  <c r="AD82" i="66"/>
  <c r="R95" i="32" s="1"/>
  <c r="AF82" i="66"/>
  <c r="AB95" i="32" s="1"/>
  <c r="AH82" i="66"/>
  <c r="AL95" i="32" s="1"/>
  <c r="AL98" i="32"/>
  <c r="AH98" i="32" s="1"/>
  <c r="AI98" i="32" s="1"/>
  <c r="AJ98" i="32" s="1"/>
  <c r="AK98" i="32" s="1"/>
  <c r="X86" i="66"/>
  <c r="AM38" i="32" s="1"/>
  <c r="S86" i="66"/>
  <c r="R38" i="32" s="1"/>
  <c r="V86" i="66"/>
  <c r="AG38" i="32" s="1"/>
  <c r="W86" i="66"/>
  <c r="AL38" i="32" s="1"/>
  <c r="U86" i="66"/>
  <c r="AB38" i="32" s="1"/>
  <c r="T86" i="66"/>
  <c r="W38" i="32" s="1"/>
  <c r="Y86" i="66"/>
  <c r="AN38" i="32" s="1"/>
  <c r="AC86" i="66"/>
  <c r="AM37" i="32"/>
  <c r="AL37" i="32"/>
  <c r="AH37" i="32" s="1"/>
  <c r="AI37" i="32" s="1"/>
  <c r="AJ37" i="32" s="1"/>
  <c r="AK37" i="32" s="1"/>
  <c r="AN37" i="32"/>
  <c r="T81" i="66"/>
  <c r="W33" i="32" s="1"/>
  <c r="V81" i="66"/>
  <c r="AG33" i="32" s="1"/>
  <c r="S81" i="66"/>
  <c r="R33" i="32" s="1"/>
  <c r="X81" i="66"/>
  <c r="AM33" i="32" s="1"/>
  <c r="U81" i="66"/>
  <c r="AB33" i="32" s="1"/>
  <c r="Y81" i="66"/>
  <c r="AN33" i="32" s="1"/>
  <c r="W81" i="66"/>
  <c r="AL33" i="32" s="1"/>
  <c r="T82" i="66"/>
  <c r="W34" i="32" s="1"/>
  <c r="U82" i="66"/>
  <c r="AB34" i="32" s="1"/>
  <c r="S82" i="66"/>
  <c r="R34" i="32" s="1"/>
  <c r="Y82" i="66"/>
  <c r="AN34" i="32" s="1"/>
  <c r="W82" i="66"/>
  <c r="AL34" i="32" s="1"/>
  <c r="X82" i="66"/>
  <c r="AM34" i="32" s="1"/>
  <c r="V82" i="66"/>
  <c r="AG34" i="32" s="1"/>
  <c r="R81" i="67"/>
  <c r="O357" i="19"/>
  <c r="F16" i="66"/>
  <c r="Y84" i="66"/>
  <c r="AN36" i="32" s="1"/>
  <c r="U84" i="66"/>
  <c r="AB36" i="32" s="1"/>
  <c r="W84" i="66"/>
  <c r="AL36" i="32" s="1"/>
  <c r="V84" i="66"/>
  <c r="AG36" i="32" s="1"/>
  <c r="S84" i="66"/>
  <c r="R36" i="32" s="1"/>
  <c r="T84" i="66"/>
  <c r="W36" i="32" s="1"/>
  <c r="W83" i="66"/>
  <c r="AL35" i="32" s="1"/>
  <c r="T83" i="66"/>
  <c r="W35" i="32" s="1"/>
  <c r="U83" i="66"/>
  <c r="AB35" i="32" s="1"/>
  <c r="X83" i="66"/>
  <c r="AM35" i="32" s="1"/>
  <c r="S83" i="66"/>
  <c r="R35" i="32" s="1"/>
  <c r="V83" i="66"/>
  <c r="AG35" i="32" s="1"/>
  <c r="AH84" i="66" l="1"/>
  <c r="AL97" i="32" s="1"/>
  <c r="AI84" i="66"/>
  <c r="AM97" i="32" s="1"/>
  <c r="Y87" i="66"/>
  <c r="AI81" i="66"/>
  <c r="AM94" i="32" s="1"/>
  <c r="T87" i="66"/>
  <c r="AE83" i="66"/>
  <c r="W96" i="32" s="1"/>
  <c r="AF83" i="66"/>
  <c r="AB96" i="32" s="1"/>
  <c r="AD83" i="66"/>
  <c r="R96" i="32" s="1"/>
  <c r="S87" i="66"/>
  <c r="W87" i="66"/>
  <c r="U87" i="66"/>
  <c r="AC87" i="66"/>
  <c r="AF87" i="66" s="1"/>
  <c r="V87" i="66"/>
  <c r="AI83" i="66"/>
  <c r="AM96" i="32" s="1"/>
  <c r="AG81" i="66"/>
  <c r="AG94" i="32" s="1"/>
  <c r="AF84" i="66"/>
  <c r="AB97" i="32" s="1"/>
  <c r="AE81" i="66"/>
  <c r="W94" i="32" s="1"/>
  <c r="S94" i="32" s="1"/>
  <c r="T94" i="32" s="1"/>
  <c r="U94" i="32" s="1"/>
  <c r="V94" i="32" s="1"/>
  <c r="AD84" i="66"/>
  <c r="R97" i="32" s="1"/>
  <c r="S97" i="32" s="1"/>
  <c r="T97" i="32" s="1"/>
  <c r="U97" i="32" s="1"/>
  <c r="V97" i="32" s="1"/>
  <c r="AG84" i="66"/>
  <c r="AG97" i="32" s="1"/>
  <c r="AH81" i="66"/>
  <c r="AL94" i="32" s="1"/>
  <c r="AG83" i="66"/>
  <c r="AG96" i="32" s="1"/>
  <c r="AH96" i="32" s="1"/>
  <c r="AI96" i="32" s="1"/>
  <c r="AJ96" i="32" s="1"/>
  <c r="AK96" i="32" s="1"/>
  <c r="AF81" i="66"/>
  <c r="AB94" i="32" s="1"/>
  <c r="AH95" i="32"/>
  <c r="AI95" i="32" s="1"/>
  <c r="AJ95" i="32" s="1"/>
  <c r="AK95" i="32" s="1"/>
  <c r="AC38" i="32"/>
  <c r="AD38" i="32" s="1"/>
  <c r="AE38" i="32" s="1"/>
  <c r="AF38" i="32" s="1"/>
  <c r="S34" i="32"/>
  <c r="T34" i="32" s="1"/>
  <c r="U34" i="32" s="1"/>
  <c r="V34" i="32" s="1"/>
  <c r="S33" i="32"/>
  <c r="T33" i="32" s="1"/>
  <c r="U33" i="32" s="1"/>
  <c r="V33" i="32" s="1"/>
  <c r="X36" i="32"/>
  <c r="Y36" i="32" s="1"/>
  <c r="Z36" i="32" s="1"/>
  <c r="AA36" i="32" s="1"/>
  <c r="AH33" i="32"/>
  <c r="AI33" i="32" s="1"/>
  <c r="AJ33" i="32" s="1"/>
  <c r="AK33" i="32" s="1"/>
  <c r="S35" i="32"/>
  <c r="T35" i="32" s="1"/>
  <c r="U35" i="32" s="1"/>
  <c r="V35" i="32" s="1"/>
  <c r="S36" i="32"/>
  <c r="T36" i="32" s="1"/>
  <c r="U36" i="32" s="1"/>
  <c r="V36" i="32" s="1"/>
  <c r="AH36" i="32"/>
  <c r="AI36" i="32" s="1"/>
  <c r="AJ36" i="32" s="1"/>
  <c r="AK36" i="32" s="1"/>
  <c r="X34" i="32"/>
  <c r="Y34" i="32" s="1"/>
  <c r="Z34" i="32" s="1"/>
  <c r="AA34" i="32" s="1"/>
  <c r="X38" i="32"/>
  <c r="Y38" i="32" s="1"/>
  <c r="Z38" i="32" s="1"/>
  <c r="AA38" i="32" s="1"/>
  <c r="AH38" i="32"/>
  <c r="AI38" i="32" s="1"/>
  <c r="AJ38" i="32" s="1"/>
  <c r="AK38" i="32" s="1"/>
  <c r="AC95" i="32"/>
  <c r="AD95" i="32" s="1"/>
  <c r="AE95" i="32" s="1"/>
  <c r="AF95" i="32" s="1"/>
  <c r="X35" i="32"/>
  <c r="Y35" i="32" s="1"/>
  <c r="Z35" i="32" s="1"/>
  <c r="AA35" i="32" s="1"/>
  <c r="AC36" i="32"/>
  <c r="AD36" i="32" s="1"/>
  <c r="AE36" i="32" s="1"/>
  <c r="AF36" i="32" s="1"/>
  <c r="AC34" i="32"/>
  <c r="AD34" i="32" s="1"/>
  <c r="AE34" i="32" s="1"/>
  <c r="AF34" i="32" s="1"/>
  <c r="AC33" i="32"/>
  <c r="AD33" i="32" s="1"/>
  <c r="AE33" i="32" s="1"/>
  <c r="AF33" i="32" s="1"/>
  <c r="X33" i="32"/>
  <c r="Y33" i="32" s="1"/>
  <c r="Z33" i="32" s="1"/>
  <c r="AA33" i="32" s="1"/>
  <c r="S95" i="32"/>
  <c r="T95" i="32" s="1"/>
  <c r="U95" i="32" s="1"/>
  <c r="V95" i="32" s="1"/>
  <c r="AC35" i="32"/>
  <c r="AD35" i="32" s="1"/>
  <c r="AE35" i="32" s="1"/>
  <c r="AF35" i="32" s="1"/>
  <c r="AH35" i="32"/>
  <c r="AI35" i="32" s="1"/>
  <c r="AJ35" i="32" s="1"/>
  <c r="AK35" i="32" s="1"/>
  <c r="AH34" i="32"/>
  <c r="AI34" i="32" s="1"/>
  <c r="AJ34" i="32" s="1"/>
  <c r="AK34" i="32" s="1"/>
  <c r="S38" i="32"/>
  <c r="T38" i="32" s="1"/>
  <c r="U38" i="32" s="1"/>
  <c r="V38" i="32" s="1"/>
  <c r="X95" i="32"/>
  <c r="Y95" i="32" s="1"/>
  <c r="Z95" i="32" s="1"/>
  <c r="AA95" i="32" s="1"/>
  <c r="AF86" i="66"/>
  <c r="AB99" i="32" s="1"/>
  <c r="AD86" i="66"/>
  <c r="R99" i="32" s="1"/>
  <c r="AG86" i="66"/>
  <c r="AG99" i="32" s="1"/>
  <c r="AI86" i="66"/>
  <c r="AM99" i="32" s="1"/>
  <c r="AE86" i="66"/>
  <c r="W99" i="32" s="1"/>
  <c r="AH86" i="66"/>
  <c r="AL99" i="32" s="1"/>
  <c r="W81" i="67"/>
  <c r="AL33" i="37" s="1"/>
  <c r="X81" i="67"/>
  <c r="AM33" i="37" s="1"/>
  <c r="Y81" i="67"/>
  <c r="AN33" i="37" s="1"/>
  <c r="U81" i="67"/>
  <c r="AB33" i="37" s="1"/>
  <c r="V81" i="67"/>
  <c r="AG33" i="37" s="1"/>
  <c r="T81" i="67"/>
  <c r="W33" i="37" s="1"/>
  <c r="AC81" i="67"/>
  <c r="O33" i="37"/>
  <c r="S81" i="67"/>
  <c r="R33" i="37" s="1"/>
  <c r="AH97" i="32" l="1"/>
  <c r="AI97" i="32" s="1"/>
  <c r="AJ97" i="32" s="1"/>
  <c r="AK97" i="32" s="1"/>
  <c r="X96" i="32"/>
  <c r="Y96" i="32" s="1"/>
  <c r="Z96" i="32" s="1"/>
  <c r="AA96" i="32" s="1"/>
  <c r="S96" i="32"/>
  <c r="T96" i="32" s="1"/>
  <c r="U96" i="32" s="1"/>
  <c r="V96" i="32" s="1"/>
  <c r="AD87" i="66"/>
  <c r="AH87" i="66"/>
  <c r="AC96" i="32"/>
  <c r="AD96" i="32" s="1"/>
  <c r="AE96" i="32" s="1"/>
  <c r="AF96" i="32" s="1"/>
  <c r="AC97" i="32"/>
  <c r="AD97" i="32" s="1"/>
  <c r="AE97" i="32" s="1"/>
  <c r="AF97" i="32" s="1"/>
  <c r="AG87" i="66"/>
  <c r="AI87" i="66"/>
  <c r="AE87" i="66"/>
  <c r="AC94" i="32"/>
  <c r="AD94" i="32" s="1"/>
  <c r="AE94" i="32" s="1"/>
  <c r="AF94" i="32" s="1"/>
  <c r="X97" i="32"/>
  <c r="Y97" i="32" s="1"/>
  <c r="Z97" i="32" s="1"/>
  <c r="AA97" i="32" s="1"/>
  <c r="AH94" i="32"/>
  <c r="AI94" i="32" s="1"/>
  <c r="AJ94" i="32" s="1"/>
  <c r="AK94" i="32" s="1"/>
  <c r="X94" i="32"/>
  <c r="Y94" i="32" s="1"/>
  <c r="Z94" i="32" s="1"/>
  <c r="AA94" i="32" s="1"/>
  <c r="X99" i="32"/>
  <c r="Y99" i="32" s="1"/>
  <c r="Z99" i="32" s="1"/>
  <c r="AA99" i="32" s="1"/>
  <c r="AH99" i="32"/>
  <c r="AI99" i="32" s="1"/>
  <c r="AJ99" i="32" s="1"/>
  <c r="AK99" i="32" s="1"/>
  <c r="AC99" i="32"/>
  <c r="AD99" i="32" s="1"/>
  <c r="AE99" i="32" s="1"/>
  <c r="AF99" i="32" s="1"/>
  <c r="S99" i="32"/>
  <c r="T99" i="32" s="1"/>
  <c r="U99" i="32" s="1"/>
  <c r="V99" i="32" s="1"/>
  <c r="AJ81" i="67"/>
  <c r="AN94" i="37" s="1"/>
  <c r="AH81" i="67"/>
  <c r="AL94" i="37" s="1"/>
  <c r="AD81" i="67"/>
  <c r="R94" i="37" s="1"/>
  <c r="AG81" i="67"/>
  <c r="AG94" i="37" s="1"/>
  <c r="AE81" i="67"/>
  <c r="W94" i="37" s="1"/>
  <c r="AF81" i="67"/>
  <c r="AB94" i="37" s="1"/>
  <c r="AI81" i="67"/>
  <c r="AM94" i="37" s="1"/>
  <c r="O94" i="37"/>
  <c r="C47" i="56" l="1"/>
  <c r="P8" i="15" s="1"/>
  <c r="P13" i="15" s="1"/>
  <c r="P23" i="15" l="1"/>
  <c r="P22" i="15"/>
  <c r="P25" i="15"/>
  <c r="P17" i="15"/>
  <c r="P12" i="15"/>
  <c r="P14" i="15"/>
  <c r="P15" i="15"/>
  <c r="P16" i="15"/>
  <c r="P27" i="15"/>
  <c r="P24" i="15"/>
  <c r="P11" i="15"/>
  <c r="P26" i="15"/>
  <c r="P21" i="15"/>
  <c r="C48" i="56"/>
  <c r="P28" i="15" l="1"/>
  <c r="P18" i="15"/>
  <c r="C49" i="56"/>
  <c r="Q8" i="15"/>
  <c r="Q11" i="15" l="1"/>
  <c r="Q14" i="15"/>
  <c r="Q27" i="15"/>
  <c r="Q12" i="15"/>
  <c r="Q21" i="15"/>
  <c r="Q13" i="15"/>
  <c r="Q25" i="15"/>
  <c r="Q26" i="15"/>
  <c r="Q22" i="15"/>
  <c r="Q15" i="15"/>
  <c r="Q16" i="15"/>
  <c r="Q24" i="15"/>
  <c r="Q23" i="15"/>
  <c r="Q17" i="15"/>
  <c r="R8" i="15"/>
  <c r="Q28" i="15" l="1"/>
  <c r="Q18" i="15"/>
  <c r="R21" i="15"/>
  <c r="R22" i="15"/>
  <c r="R27" i="15"/>
  <c r="R15" i="15"/>
  <c r="R16" i="15"/>
  <c r="R23" i="15"/>
  <c r="R12" i="15"/>
  <c r="R13" i="15"/>
  <c r="R24" i="15"/>
  <c r="R14" i="15"/>
  <c r="R11" i="15"/>
  <c r="R17" i="15"/>
  <c r="R26" i="15"/>
  <c r="R25" i="15"/>
  <c r="C50" i="56"/>
  <c r="S8" i="15" s="1"/>
  <c r="R18" i="15" l="1"/>
  <c r="R28" i="15"/>
  <c r="S27" i="15"/>
  <c r="S22" i="15"/>
  <c r="S13" i="15"/>
  <c r="S12" i="15"/>
  <c r="S25" i="15"/>
  <c r="S23" i="15"/>
  <c r="S15" i="15"/>
  <c r="S21" i="15"/>
  <c r="S17" i="15"/>
  <c r="S24" i="15"/>
  <c r="S26" i="15"/>
  <c r="S11" i="15"/>
  <c r="S16" i="15"/>
  <c r="S14" i="15"/>
  <c r="S28" i="15" l="1"/>
  <c r="S18" i="15"/>
  <c r="I35" i="59"/>
  <c r="H35" i="59" l="1"/>
  <c r="B51" i="56" s="1" a="1"/>
  <c r="B51" i="56" s="1"/>
  <c r="C51" i="56" s="1"/>
  <c r="I36" i="59"/>
  <c r="I37" i="59"/>
  <c r="T8" i="15" l="1"/>
  <c r="H37" i="59"/>
  <c r="B53" i="56" s="1"/>
  <c r="I38" i="59"/>
  <c r="H36" i="59"/>
  <c r="B52" i="56" s="1" a="1"/>
  <c r="B52" i="56" s="1"/>
  <c r="C52" i="56" s="1"/>
  <c r="C53" i="56" l="1"/>
  <c r="U8" i="15"/>
  <c r="H38" i="59"/>
  <c r="B54" i="56" s="1" a="1"/>
  <c r="B54" i="56" s="1"/>
  <c r="I39" i="59"/>
  <c r="T27" i="15"/>
  <c r="T11" i="15"/>
  <c r="T15" i="15"/>
  <c r="T24" i="15"/>
  <c r="T16" i="15"/>
  <c r="T21" i="15"/>
  <c r="T25" i="15"/>
  <c r="T17" i="15"/>
  <c r="T23" i="15"/>
  <c r="T14" i="15"/>
  <c r="T22" i="15"/>
  <c r="T13" i="15"/>
  <c r="T26" i="15"/>
  <c r="T12" i="15"/>
  <c r="T28" i="15" l="1"/>
  <c r="H39" i="59"/>
  <c r="B55" i="56" s="1" a="1"/>
  <c r="B55" i="56" s="1"/>
  <c r="U21" i="15"/>
  <c r="U26" i="15"/>
  <c r="U24" i="15"/>
  <c r="U11" i="15"/>
  <c r="U25" i="15"/>
  <c r="U27" i="15"/>
  <c r="U13" i="15"/>
  <c r="U22" i="15"/>
  <c r="U17" i="15"/>
  <c r="U16" i="15"/>
  <c r="U14" i="15"/>
  <c r="U15" i="15"/>
  <c r="U12" i="15"/>
  <c r="U23" i="15"/>
  <c r="I40" i="59"/>
  <c r="T18" i="15"/>
  <c r="V8" i="15"/>
  <c r="C54" i="56"/>
  <c r="H40" i="59" l="1"/>
  <c r="B56" i="56" s="1" a="1"/>
  <c r="B56" i="56" s="1"/>
  <c r="U18" i="15"/>
  <c r="I41" i="59"/>
  <c r="I42" i="59" s="1"/>
  <c r="C55" i="56"/>
  <c r="W8" i="15"/>
  <c r="V26" i="15"/>
  <c r="V16" i="15"/>
  <c r="V23" i="15"/>
  <c r="V12" i="15"/>
  <c r="V25" i="15"/>
  <c r="V21" i="15"/>
  <c r="V11" i="15"/>
  <c r="V14" i="15"/>
  <c r="V17" i="15"/>
  <c r="V15" i="15"/>
  <c r="V13" i="15"/>
  <c r="V22" i="15"/>
  <c r="V24" i="15"/>
  <c r="V27" i="15"/>
  <c r="U28" i="15"/>
  <c r="H42" i="59" l="1"/>
  <c r="B58" i="56" s="1" a="1"/>
  <c r="B58" i="56" s="1"/>
  <c r="I43" i="59"/>
  <c r="C56" i="56"/>
  <c r="X8" i="15"/>
  <c r="H41" i="59"/>
  <c r="B57" i="56" s="1" a="1"/>
  <c r="B57" i="56" s="1"/>
  <c r="W21" i="15"/>
  <c r="W17" i="15"/>
  <c r="W25" i="15"/>
  <c r="W16" i="15"/>
  <c r="W11" i="15"/>
  <c r="W12" i="15"/>
  <c r="W24" i="15"/>
  <c r="W23" i="15"/>
  <c r="W13" i="15"/>
  <c r="W14" i="15"/>
  <c r="W26" i="15"/>
  <c r="W27" i="15"/>
  <c r="W22" i="15"/>
  <c r="W15" i="15"/>
  <c r="V18" i="15"/>
  <c r="V28" i="15"/>
  <c r="W28" i="15" l="1"/>
  <c r="X15" i="15"/>
  <c r="X27" i="15"/>
  <c r="X21" i="15"/>
  <c r="X26" i="15"/>
  <c r="X22" i="15"/>
  <c r="X12" i="15"/>
  <c r="X17" i="15"/>
  <c r="X24" i="15"/>
  <c r="X11" i="15"/>
  <c r="X14" i="15"/>
  <c r="X25" i="15"/>
  <c r="X23" i="15"/>
  <c r="X16" i="15"/>
  <c r="X13" i="15"/>
  <c r="W18" i="15"/>
  <c r="C57" i="56"/>
  <c r="Y8" i="15"/>
  <c r="H43" i="59"/>
  <c r="B59" i="56" s="1" a="1"/>
  <c r="B59" i="56" s="1"/>
  <c r="I44" i="59"/>
  <c r="X18" i="15" l="1"/>
  <c r="Y25" i="15"/>
  <c r="Y22" i="15"/>
  <c r="Y24" i="15"/>
  <c r="Y13" i="15"/>
  <c r="Y16" i="15"/>
  <c r="Y11" i="15"/>
  <c r="Y26" i="15"/>
  <c r="Y12" i="15"/>
  <c r="Y17" i="15"/>
  <c r="Y14" i="15"/>
  <c r="Y21" i="15"/>
  <c r="Y15" i="15"/>
  <c r="Y23" i="15"/>
  <c r="Y27" i="15"/>
  <c r="C58" i="56"/>
  <c r="Z8" i="15"/>
  <c r="H44" i="59"/>
  <c r="B60" i="56" s="1" a="1"/>
  <c r="B60" i="56" s="1"/>
  <c r="I45" i="59"/>
  <c r="X28" i="15"/>
  <c r="Y28" i="15" l="1"/>
  <c r="Z11" i="15"/>
  <c r="Z26" i="15"/>
  <c r="Z24" i="15"/>
  <c r="Z21" i="15"/>
  <c r="Z13" i="15"/>
  <c r="Z15" i="15"/>
  <c r="Z16" i="15"/>
  <c r="Z14" i="15"/>
  <c r="Z12" i="15"/>
  <c r="Z17" i="15"/>
  <c r="Z27" i="15"/>
  <c r="Z23" i="15"/>
  <c r="Z25" i="15"/>
  <c r="Z22" i="15"/>
  <c r="C59" i="56"/>
  <c r="AA8" i="15"/>
  <c r="Y18" i="15"/>
  <c r="H45" i="59"/>
  <c r="B61" i="56" s="1" a="1"/>
  <c r="B61" i="56" s="1"/>
  <c r="I46" i="59"/>
  <c r="Z18" i="15" l="1"/>
  <c r="AA26" i="15"/>
  <c r="AA12" i="15"/>
  <c r="AA17" i="15"/>
  <c r="AA14" i="15"/>
  <c r="AA24" i="15"/>
  <c r="AA11" i="15"/>
  <c r="AA25" i="15"/>
  <c r="AA23" i="15"/>
  <c r="AA13" i="15"/>
  <c r="AA16" i="15"/>
  <c r="AA15" i="15"/>
  <c r="AA21" i="15"/>
  <c r="AA22" i="15"/>
  <c r="AA27" i="15"/>
  <c r="AB8" i="15"/>
  <c r="C60" i="56"/>
  <c r="H46" i="59"/>
  <c r="B62" i="56" s="1" a="1"/>
  <c r="B62" i="56" s="1"/>
  <c r="I47" i="59"/>
  <c r="Z28" i="15"/>
  <c r="C61" i="56" l="1"/>
  <c r="AC8" i="15"/>
  <c r="H47" i="59"/>
  <c r="B63" i="56" s="1" a="1"/>
  <c r="B63" i="56" s="1"/>
  <c r="AB25" i="15"/>
  <c r="AB23" i="15"/>
  <c r="AB17" i="15"/>
  <c r="AB22" i="15"/>
  <c r="AB27" i="15"/>
  <c r="AB15" i="15"/>
  <c r="AB11" i="15"/>
  <c r="AB14" i="15"/>
  <c r="AB26" i="15"/>
  <c r="AB13" i="15"/>
  <c r="AB21" i="15"/>
  <c r="AB24" i="15"/>
  <c r="AB12" i="15"/>
  <c r="AB16" i="15"/>
  <c r="AA18" i="15"/>
  <c r="I48" i="59"/>
  <c r="AA28" i="15"/>
  <c r="AB28" i="15" l="1"/>
  <c r="H48" i="59"/>
  <c r="B64" i="56" s="1" a="1"/>
  <c r="B64" i="56" s="1"/>
  <c r="I49" i="59"/>
  <c r="I50" i="59" s="1"/>
  <c r="I51" i="59" s="1"/>
  <c r="AB18" i="15"/>
  <c r="AC26" i="15"/>
  <c r="AC25" i="15"/>
  <c r="AC22" i="15"/>
  <c r="AC15" i="15"/>
  <c r="AC24" i="15"/>
  <c r="AC21" i="15"/>
  <c r="AC27" i="15"/>
  <c r="AC23" i="15"/>
  <c r="AC12" i="15"/>
  <c r="AC13" i="15"/>
  <c r="AC14" i="15"/>
  <c r="AC16" i="15"/>
  <c r="AC17" i="15"/>
  <c r="AC11" i="15"/>
  <c r="AD8" i="15"/>
  <c r="C62" i="56"/>
  <c r="H51" i="59" l="1"/>
  <c r="B67" i="56" s="1" a="1"/>
  <c r="B67" i="56" s="1"/>
  <c r="I52" i="59"/>
  <c r="I53" i="59" s="1"/>
  <c r="I54" i="59" s="1"/>
  <c r="AC18" i="15"/>
  <c r="AE8" i="15"/>
  <c r="C63" i="56"/>
  <c r="AD25" i="15"/>
  <c r="AD23" i="15"/>
  <c r="AD21" i="15"/>
  <c r="AD22" i="15"/>
  <c r="AD26" i="15"/>
  <c r="AD16" i="15"/>
  <c r="AD24" i="15"/>
  <c r="AD14" i="15"/>
  <c r="AD12" i="15"/>
  <c r="AD13" i="15"/>
  <c r="AD15" i="15"/>
  <c r="AD27" i="15"/>
  <c r="AD17" i="15"/>
  <c r="AD11" i="15"/>
  <c r="AC28" i="15"/>
  <c r="H49" i="59"/>
  <c r="B65" i="56" s="1" a="1"/>
  <c r="B65" i="56" s="1"/>
  <c r="H50" i="59"/>
  <c r="B66" i="56" s="1"/>
  <c r="AE17" i="15" l="1"/>
  <c r="AE21" i="15"/>
  <c r="AE26" i="15"/>
  <c r="AE13" i="15"/>
  <c r="AE27" i="15"/>
  <c r="AE11" i="15"/>
  <c r="AE14" i="15"/>
  <c r="AE12" i="15"/>
  <c r="AE23" i="15"/>
  <c r="AE25" i="15"/>
  <c r="AE24" i="15"/>
  <c r="AE22" i="15"/>
  <c r="AE15" i="15"/>
  <c r="AE16" i="15"/>
  <c r="AD18" i="15"/>
  <c r="H53" i="59"/>
  <c r="B69" i="56" s="1" a="1"/>
  <c r="B69" i="56" s="1"/>
  <c r="H54" i="59"/>
  <c r="B70" i="56" s="1" a="1"/>
  <c r="B70" i="56" s="1"/>
  <c r="AF8" i="15"/>
  <c r="C64" i="56"/>
  <c r="H52" i="59"/>
  <c r="B68" i="56" s="1" a="1"/>
  <c r="B68" i="56" s="1"/>
  <c r="I55" i="59"/>
  <c r="AD28" i="15"/>
  <c r="I56" i="59"/>
  <c r="C65" i="56" l="1"/>
  <c r="AG8" i="15"/>
  <c r="H55" i="59"/>
  <c r="B71" i="56" s="1" a="1"/>
  <c r="B71" i="56" s="1"/>
  <c r="I57" i="59"/>
  <c r="AE18" i="15"/>
  <c r="AF14" i="15"/>
  <c r="AF21" i="15"/>
  <c r="AF17" i="15"/>
  <c r="AF22" i="15"/>
  <c r="AF13" i="15"/>
  <c r="AF11" i="15"/>
  <c r="AF27" i="15"/>
  <c r="AF26" i="15"/>
  <c r="AF15" i="15"/>
  <c r="AF25" i="15"/>
  <c r="AF23" i="15"/>
  <c r="AF12" i="15"/>
  <c r="AF16" i="15"/>
  <c r="AF24" i="15"/>
  <c r="H56" i="59"/>
  <c r="B72" i="56" s="1" a="1"/>
  <c r="B72" i="56" s="1"/>
  <c r="AE28" i="15"/>
  <c r="I58" i="59"/>
  <c r="H58" i="59" s="1"/>
  <c r="B74" i="56" s="1" a="1"/>
  <c r="B74" i="56" s="1"/>
  <c r="AF28" i="15" l="1"/>
  <c r="I59" i="59"/>
  <c r="H59" i="59" s="1"/>
  <c r="B75" i="56" s="1" a="1"/>
  <c r="B75" i="56" s="1"/>
  <c r="AH8" i="15"/>
  <c r="C66" i="56"/>
  <c r="H57" i="59"/>
  <c r="B73" i="56" s="1" a="1"/>
  <c r="B73" i="56" s="1"/>
  <c r="AF18" i="15"/>
  <c r="AG13" i="15"/>
  <c r="AG11" i="15"/>
  <c r="AG17" i="15"/>
  <c r="AG23" i="15"/>
  <c r="AG16" i="15"/>
  <c r="AG21" i="15"/>
  <c r="AG24" i="15"/>
  <c r="AG14" i="15"/>
  <c r="AG26" i="15"/>
  <c r="AG27" i="15"/>
  <c r="AG22" i="15"/>
  <c r="AG15" i="15"/>
  <c r="AG12" i="15"/>
  <c r="AG25" i="15"/>
  <c r="C67" i="56" l="1"/>
  <c r="AI8" i="15"/>
  <c r="AH21" i="15"/>
  <c r="AH23" i="15"/>
  <c r="AH17" i="15"/>
  <c r="AH24" i="15"/>
  <c r="AH11" i="15"/>
  <c r="AH27" i="15"/>
  <c r="AH22" i="15"/>
  <c r="AH16" i="15"/>
  <c r="AH26" i="15"/>
  <c r="AH13" i="15"/>
  <c r="AH15" i="15"/>
  <c r="AH14" i="15"/>
  <c r="AH12" i="15"/>
  <c r="AH25" i="15"/>
  <c r="AG28" i="15"/>
  <c r="AG18" i="15"/>
  <c r="I60" i="59"/>
  <c r="AH18" i="15" l="1"/>
  <c r="AH28" i="15"/>
  <c r="H60" i="59"/>
  <c r="B76" i="56" s="1" a="1"/>
  <c r="B76" i="56" s="1"/>
  <c r="I61" i="59"/>
  <c r="H61" i="59" s="1"/>
  <c r="B77" i="56" s="1" a="1"/>
  <c r="B77" i="56" s="1"/>
  <c r="AI12" i="15"/>
  <c r="AI27" i="15"/>
  <c r="AI23" i="15"/>
  <c r="AI25" i="15"/>
  <c r="AI13" i="15"/>
  <c r="AI24" i="15"/>
  <c r="AI15" i="15"/>
  <c r="AI14" i="15"/>
  <c r="AI16" i="15"/>
  <c r="AI22" i="15"/>
  <c r="AI21" i="15"/>
  <c r="AI11" i="15"/>
  <c r="AI17" i="15"/>
  <c r="AI26" i="15"/>
  <c r="C68" i="56"/>
  <c r="AJ8" i="15"/>
  <c r="AI18" i="15" l="1"/>
  <c r="AJ22" i="15"/>
  <c r="AJ13" i="15"/>
  <c r="AJ17" i="15"/>
  <c r="AJ15" i="15"/>
  <c r="AJ24" i="15"/>
  <c r="AJ14" i="15"/>
  <c r="AJ11" i="15"/>
  <c r="AJ21" i="15"/>
  <c r="AJ23" i="15"/>
  <c r="AJ12" i="15"/>
  <c r="AJ27" i="15"/>
  <c r="AJ26" i="15"/>
  <c r="AJ16" i="15"/>
  <c r="AJ25" i="15"/>
  <c r="AI28" i="15"/>
  <c r="AK8" i="15"/>
  <c r="C69" i="56"/>
  <c r="I62" i="59"/>
  <c r="H62" i="59" s="1"/>
  <c r="B78" i="56" s="1" a="1"/>
  <c r="B78" i="56" s="1"/>
  <c r="C70" i="56" l="1"/>
  <c r="AL8" i="15"/>
  <c r="AK17" i="15"/>
  <c r="AK23" i="15"/>
  <c r="AK21" i="15"/>
  <c r="AK11" i="15"/>
  <c r="AK27" i="15"/>
  <c r="AK25" i="15"/>
  <c r="AK13" i="15"/>
  <c r="AK22" i="15"/>
  <c r="AK24" i="15"/>
  <c r="AK15" i="15"/>
  <c r="AK12" i="15"/>
  <c r="AK14" i="15"/>
  <c r="AK16" i="15"/>
  <c r="AK26" i="15"/>
  <c r="AJ28" i="15"/>
  <c r="AJ18" i="15"/>
  <c r="AL21" i="15" l="1"/>
  <c r="AL11" i="15"/>
  <c r="AL13" i="15"/>
  <c r="AL14" i="15"/>
  <c r="AL16" i="15"/>
  <c r="AL25" i="15"/>
  <c r="AL17" i="15"/>
  <c r="AL15" i="15"/>
  <c r="AL22" i="15"/>
  <c r="AL27" i="15"/>
  <c r="AL24" i="15"/>
  <c r="AL12" i="15"/>
  <c r="AL26" i="15"/>
  <c r="AL23" i="15"/>
  <c r="AK18" i="15"/>
  <c r="C71" i="56"/>
  <c r="AM8" i="15"/>
  <c r="AK28" i="15"/>
  <c r="AL18" i="15" l="1"/>
  <c r="C72" i="56"/>
  <c r="AN8" i="15"/>
  <c r="AM12" i="15"/>
  <c r="AM27" i="15"/>
  <c r="AM17" i="15"/>
  <c r="AM25" i="15"/>
  <c r="AM15" i="15"/>
  <c r="AM24" i="15"/>
  <c r="AM16" i="15"/>
  <c r="AM23" i="15"/>
  <c r="AM14" i="15"/>
  <c r="AM11" i="15"/>
  <c r="AM21" i="15"/>
  <c r="AM13" i="15"/>
  <c r="AM22" i="15"/>
  <c r="AM26" i="15"/>
  <c r="AL28" i="15"/>
  <c r="AN17" i="15" l="1"/>
  <c r="AN14" i="15"/>
  <c r="AN24" i="15"/>
  <c r="AN26" i="15"/>
  <c r="AN16" i="15"/>
  <c r="AN13" i="15"/>
  <c r="AN11" i="15"/>
  <c r="AN21" i="15"/>
  <c r="AN27" i="15"/>
  <c r="AN25" i="15"/>
  <c r="AN15" i="15"/>
  <c r="AN23" i="15"/>
  <c r="AN12" i="15"/>
  <c r="AN22" i="15"/>
  <c r="AM28" i="15"/>
  <c r="AM18" i="15"/>
  <c r="C73" i="56"/>
  <c r="AO8" i="15"/>
  <c r="AN28" i="15" l="1"/>
  <c r="AP8" i="15"/>
  <c r="C74" i="56"/>
  <c r="AN18" i="15"/>
  <c r="AO22" i="15"/>
  <c r="AO14" i="15"/>
  <c r="AO11" i="15"/>
  <c r="AO16" i="15"/>
  <c r="AO25" i="15"/>
  <c r="AO17" i="15"/>
  <c r="AO21" i="15"/>
  <c r="AO12" i="15"/>
  <c r="AO27" i="15"/>
  <c r="AO15" i="15"/>
  <c r="AO26" i="15"/>
  <c r="AO24" i="15"/>
  <c r="AO23" i="15"/>
  <c r="AO13" i="15"/>
  <c r="AO28" i="15" l="1"/>
  <c r="C75" i="56"/>
  <c r="AQ8" i="15"/>
  <c r="AO18" i="15"/>
  <c r="AP11" i="15"/>
  <c r="AP21" i="15"/>
  <c r="AP16" i="15"/>
  <c r="AP23" i="15"/>
  <c r="AP15" i="15"/>
  <c r="AP13" i="15"/>
  <c r="AP24" i="15"/>
  <c r="AP17" i="15"/>
  <c r="AP22" i="15"/>
  <c r="AP27" i="15"/>
  <c r="AP25" i="15"/>
  <c r="AP14" i="15"/>
  <c r="AP12" i="15"/>
  <c r="AP26" i="15"/>
  <c r="AP28" i="15" l="1"/>
  <c r="AP18" i="15"/>
  <c r="AQ25" i="15"/>
  <c r="AQ22" i="15"/>
  <c r="AQ24" i="15"/>
  <c r="AQ23" i="15"/>
  <c r="AQ14" i="15"/>
  <c r="AQ12" i="15"/>
  <c r="AQ15" i="15"/>
  <c r="AQ26" i="15"/>
  <c r="AQ13" i="15"/>
  <c r="AQ11" i="15"/>
  <c r="AQ21" i="15"/>
  <c r="AQ16" i="15"/>
  <c r="AQ27" i="15"/>
  <c r="AQ17" i="15"/>
  <c r="C76" i="56"/>
  <c r="AR8" i="15"/>
  <c r="AQ28" i="15" l="1"/>
  <c r="AQ18" i="15"/>
  <c r="AR27" i="15"/>
  <c r="AR26" i="15"/>
  <c r="AR12" i="15"/>
  <c r="AR14" i="15"/>
  <c r="AR23" i="15"/>
  <c r="AR22" i="15"/>
  <c r="AR11" i="15"/>
  <c r="AR21" i="15"/>
  <c r="AR17" i="15"/>
  <c r="AR24" i="15"/>
  <c r="AR16" i="15"/>
  <c r="AR25" i="15"/>
  <c r="AR13" i="15"/>
  <c r="AR15" i="15"/>
  <c r="AS8" i="15"/>
  <c r="C77" i="56"/>
  <c r="AR18" i="15" l="1"/>
  <c r="AS27" i="15"/>
  <c r="AS25" i="15"/>
  <c r="AS11" i="15"/>
  <c r="AS24" i="15"/>
  <c r="AS13" i="15"/>
  <c r="AS16" i="15"/>
  <c r="AS21" i="15"/>
  <c r="AS15" i="15"/>
  <c r="AS17" i="15"/>
  <c r="AS14" i="15"/>
  <c r="AS22" i="15"/>
  <c r="AS26" i="15"/>
  <c r="AS23" i="15"/>
  <c r="AS12" i="15"/>
  <c r="AT8" i="15"/>
  <c r="C78" i="56"/>
  <c r="AU8" i="15" s="1"/>
  <c r="AR28" i="15"/>
  <c r="AU17" i="15" l="1"/>
  <c r="AU25" i="15"/>
  <c r="AU14" i="15"/>
  <c r="AU21" i="15"/>
  <c r="AU27" i="15"/>
  <c r="AU12" i="15"/>
  <c r="AU23" i="15"/>
  <c r="AU24" i="15"/>
  <c r="AU15" i="15"/>
  <c r="AU13" i="15"/>
  <c r="AU26" i="15"/>
  <c r="AU11" i="15"/>
  <c r="AU22" i="15"/>
  <c r="AU16" i="15"/>
  <c r="AS28" i="15"/>
  <c r="AT21" i="15"/>
  <c r="AT25" i="15"/>
  <c r="AT13" i="15"/>
  <c r="AT27" i="15"/>
  <c r="AT16" i="15"/>
  <c r="AT11" i="15"/>
  <c r="AT14" i="15"/>
  <c r="AT24" i="15"/>
  <c r="AT22" i="15"/>
  <c r="AT15" i="15"/>
  <c r="AT23" i="15"/>
  <c r="AT12" i="15"/>
  <c r="AT26" i="15"/>
  <c r="AT17" i="15"/>
  <c r="AS18" i="15"/>
  <c r="AT28" i="15" l="1"/>
  <c r="AT18" i="15"/>
  <c r="AU18" i="15"/>
  <c r="AU28" i="15"/>
  <c r="AN73" i="6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Maurizio Gargiulo</author>
    <author>Gary Goldstein</author>
    <author>Amit Kanudia</author>
    <author>tc={362938B8-621B-4034-8FA9-C297EA166DD9}</author>
    <author>Bruno Merven</author>
    <author>tc={30EBB3F2-E02F-41B0-B4FF-82A69717D64E}</author>
    <author>Bryce McCall</author>
  </authors>
  <commentList>
    <comment ref="Q51" authorId="0" shapeId="0" xr:uid="{6A241EBC-FD5E-4591-BB97-72BB06C92C20}">
      <text>
        <r>
          <rPr>
            <b/>
            <sz val="9"/>
            <color indexed="81"/>
            <rFont val="Tahoma"/>
            <family val="2"/>
          </rPr>
          <t>Admin:</t>
        </r>
        <r>
          <rPr>
            <sz val="9"/>
            <color indexed="81"/>
            <rFont val="Tahoma"/>
            <family val="2"/>
          </rPr>
          <t xml:space="preserve">
changed from 2010 to 2015</t>
        </r>
      </text>
    </comment>
    <comment ref="AV56" authorId="1" shapeId="0" xr:uid="{8366361E-A3EC-42E4-8D94-01EAE748D0E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W56" authorId="1" shapeId="0" xr:uid="{62C9E120-CA7E-42B3-B14C-D874196654F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Z56" authorId="2" shapeId="0" xr:uid="{F86FDD3B-15F0-43FC-B634-1D69BF8E73D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E56" authorId="3" shapeId="0" xr:uid="{D327F5AD-F109-43A0-9AAD-99DB393EE209}">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F56" authorId="1" shapeId="0" xr:uid="{2CA4D4E1-7FAF-4BCE-B95B-2933E1E819C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BG56" authorId="1" shapeId="0" xr:uid="{BB4207BC-09BF-42D0-A291-91FF04B4217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BH56" authorId="1" shapeId="0" xr:uid="{91FE203D-0D95-468A-BB95-997B5245605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57" authorId="4" shapeId="0" xr:uid="{362938B8-621B-4034-8FA9-C297EA166DD9}">
      <text>
        <t>[Threaded comment]
Your version of Excel allows you to read this threaded comment; however, any edits to it will get removed if the file is opened in a newer version of Excel. Learn more: https://go.microsoft.com/fwlink/?linkid=870924
Comment:
    Ncap cost</t>
      </text>
    </comment>
    <comment ref="AQ57" authorId="1" shapeId="0" xr:uid="{0F3D7926-E6F2-45C4-9F93-677747015F03}">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61" authorId="5" shapeId="0" xr:uid="{C3028AF8-7E2A-4999-A839-5537B7B199B9}">
      <text>
        <r>
          <rPr>
            <b/>
            <sz val="8"/>
            <color indexed="81"/>
            <rFont val="Tahoma"/>
            <family val="2"/>
          </rPr>
          <t>Bruno Merven:</t>
        </r>
        <r>
          <rPr>
            <sz val="8"/>
            <color indexed="81"/>
            <rFont val="Tahoma"/>
            <family val="2"/>
          </rPr>
          <t xml:space="preserve">
From load curve data</t>
        </r>
      </text>
    </comment>
    <comment ref="I71" authorId="0" shapeId="0" xr:uid="{4E465A72-5C79-4DAC-A1A6-4C32B274B267}">
      <text>
        <r>
          <rPr>
            <b/>
            <sz val="9"/>
            <color indexed="81"/>
            <rFont val="Tahoma"/>
            <family val="2"/>
          </rPr>
          <t>Admin:</t>
        </r>
        <r>
          <rPr>
            <sz val="9"/>
            <color indexed="81"/>
            <rFont val="Tahoma"/>
            <family val="2"/>
          </rPr>
          <t xml:space="preserve">
Set equal to new</t>
        </r>
      </text>
    </comment>
    <comment ref="I73" authorId="6" shapeId="0" xr:uid="{30EBB3F2-E02F-41B0-B4FF-82A69717D64E}">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7" shapeId="0" xr:uid="{F5103692-147B-4705-A00A-E13C7A5796F4}">
      <text>
        <r>
          <rPr>
            <b/>
            <sz val="9"/>
            <color indexed="81"/>
            <rFont val="Tahoma"/>
            <family val="2"/>
          </rPr>
          <t>Bryce McCall:</t>
        </r>
        <r>
          <rPr>
            <sz val="9"/>
            <color indexed="81"/>
            <rFont val="Tahoma"/>
            <family val="2"/>
          </rPr>
          <t xml:space="preserve">
from RES</t>
        </r>
      </text>
    </comment>
    <comment ref="J99" authorId="7" shapeId="0" xr:uid="{A6B39391-8487-4958-B9B3-F4CAF5C2E8D2}">
      <text>
        <r>
          <rPr>
            <b/>
            <sz val="9"/>
            <color indexed="81"/>
            <rFont val="Tahoma"/>
            <family val="2"/>
          </rPr>
          <t>Bryce McCall:</t>
        </r>
        <r>
          <rPr>
            <sz val="9"/>
            <color indexed="81"/>
            <rFont val="Tahoma"/>
            <family val="2"/>
          </rPr>
          <t xml:space="preserve">
Same assumption as RES</t>
        </r>
      </text>
    </comment>
    <comment ref="I110" authorId="7" shapeId="0" xr:uid="{30ABE3F6-7D32-4D7C-B56B-5F97F2734857}">
      <text>
        <r>
          <rPr>
            <b/>
            <sz val="9"/>
            <color indexed="81"/>
            <rFont val="Tahoma"/>
            <family val="2"/>
          </rPr>
          <t>Bryce McCall:</t>
        </r>
        <r>
          <rPr>
            <sz val="9"/>
            <color indexed="81"/>
            <rFont val="Tahoma"/>
            <family val="2"/>
          </rPr>
          <t xml:space="preserve">
Just a dummy data value.</t>
        </r>
      </text>
    </comment>
    <comment ref="AJ115" authorId="7" shapeId="0" xr:uid="{929090B3-E89C-4463-ABA5-F7BCA2925A0E}">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Mamahloko</author>
    <author>Maurizio Gargiulo</author>
    <author>Gary Goldstein</author>
    <author>Amit Kanudia</author>
    <author>Bryce McCall</author>
    <author>Bruno Merven</author>
    <author>Admin</author>
    <author>tc={A3E042F7-4502-40CD-A76D-03829B63EB92}</author>
  </authors>
  <commentList>
    <comment ref="E45" authorId="0" shapeId="0" xr:uid="{AAA2EA42-4720-448E-B239-61EE9C3554AB}">
      <text>
        <r>
          <rPr>
            <b/>
            <sz val="8"/>
            <color indexed="81"/>
            <rFont val="Tahoma"/>
            <family val="2"/>
          </rPr>
          <t>Mamahloko:</t>
        </r>
        <r>
          <rPr>
            <sz val="8"/>
            <color indexed="81"/>
            <rFont val="Tahoma"/>
            <family val="2"/>
          </rPr>
          <t xml:space="preserve">
The value is inserted to deal with 0% in cooking end use. </t>
        </r>
      </text>
    </comment>
    <comment ref="AW56" authorId="1" shapeId="0" xr:uid="{12020AFD-9701-42C1-8EE0-528F990E105A}">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X56" authorId="1" shapeId="0" xr:uid="{1B6E4ECD-40DC-4157-8AF2-A06E62927ABD}">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A56" authorId="2" shapeId="0" xr:uid="{FB01249D-96FE-4D8C-9B49-C3777A05855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BF56" authorId="3" shapeId="0" xr:uid="{3677190D-9657-4391-8341-D50F77929304}">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BG56" authorId="1" shapeId="0" xr:uid="{5140E8D6-2D8C-4159-AD4E-6F6A7320524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R57" authorId="1" shapeId="0" xr:uid="{9E217375-A9FC-445C-9589-C63929655C9D}">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P59" authorId="4" shapeId="0" xr:uid="{3D34BDB9-6FA5-42A5-B6CF-B9753C12783B}">
      <text>
        <r>
          <rPr>
            <b/>
            <sz val="9"/>
            <color indexed="81"/>
            <rFont val="Tahoma"/>
            <family val="2"/>
          </rPr>
          <t>Bryce McCall:</t>
        </r>
        <r>
          <rPr>
            <sz val="9"/>
            <color indexed="81"/>
            <rFont val="Tahoma"/>
            <family val="2"/>
          </rPr>
          <t xml:space="preserve">
Need to update these numbers
</t>
        </r>
      </text>
    </comment>
    <comment ref="F61" authorId="5" shapeId="0" xr:uid="{E13C1E7A-2ECC-4988-9A8A-2D075F46CCA0}">
      <text>
        <r>
          <rPr>
            <b/>
            <sz val="8"/>
            <color indexed="81"/>
            <rFont val="Tahoma"/>
            <family val="2"/>
          </rPr>
          <t>Bruno Merven:</t>
        </r>
        <r>
          <rPr>
            <sz val="8"/>
            <color indexed="81"/>
            <rFont val="Tahoma"/>
            <family val="2"/>
          </rPr>
          <t xml:space="preserve">
From load curve data</t>
        </r>
      </text>
    </comment>
    <comment ref="I71" authorId="6" shapeId="0" xr:uid="{AE1BD138-56D9-4C26-8964-439A6195A1AC}">
      <text>
        <r>
          <rPr>
            <b/>
            <sz val="9"/>
            <color indexed="81"/>
            <rFont val="Tahoma"/>
            <family val="2"/>
          </rPr>
          <t>Admin:</t>
        </r>
        <r>
          <rPr>
            <sz val="9"/>
            <color indexed="81"/>
            <rFont val="Tahoma"/>
            <family val="2"/>
          </rPr>
          <t xml:space="preserve">
Set equal to new</t>
        </r>
      </text>
    </comment>
    <comment ref="I73" authorId="7" shapeId="0" xr:uid="{A3E042F7-4502-40CD-A76D-03829B63EB92}">
      <text>
        <t>[Threaded comment]
Your version of Excel allows you to read this threaded comment; however, any edits to it will get removed if the file is opened in a newer version of Excel. Learn more: https://go.microsoft.com/fwlink/?linkid=870924
Comment:
    Purple cells have been manually price adjusted</t>
      </text>
    </comment>
    <comment ref="E99" authorId="4" shapeId="0" xr:uid="{E4FFEBC9-72BD-4D8E-B386-510FEFE25D3D}">
      <text>
        <r>
          <rPr>
            <b/>
            <sz val="9"/>
            <color indexed="81"/>
            <rFont val="Tahoma"/>
            <family val="2"/>
          </rPr>
          <t>Bryce McCall:</t>
        </r>
        <r>
          <rPr>
            <sz val="9"/>
            <color indexed="81"/>
            <rFont val="Tahoma"/>
            <family val="2"/>
          </rPr>
          <t xml:space="preserve">
from RES</t>
        </r>
      </text>
    </comment>
    <comment ref="J99" authorId="4" shapeId="0" xr:uid="{9897AFCF-85C4-4F73-8502-53923604DFB7}">
      <text>
        <r>
          <rPr>
            <b/>
            <sz val="9"/>
            <color indexed="81"/>
            <rFont val="Tahoma"/>
            <family val="2"/>
          </rPr>
          <t>Bryce McCall:</t>
        </r>
        <r>
          <rPr>
            <sz val="9"/>
            <color indexed="81"/>
            <rFont val="Tahoma"/>
            <family val="2"/>
          </rPr>
          <t xml:space="preserve">
Same assumption as RES</t>
        </r>
      </text>
    </comment>
    <comment ref="I110" authorId="4" shapeId="0" xr:uid="{B68639EF-5D38-43BA-8824-C3F62AC7EB6D}">
      <text>
        <r>
          <rPr>
            <b/>
            <sz val="9"/>
            <color indexed="81"/>
            <rFont val="Tahoma"/>
            <family val="2"/>
          </rPr>
          <t>Bryce McCall:</t>
        </r>
        <r>
          <rPr>
            <sz val="9"/>
            <color indexed="81"/>
            <rFont val="Tahoma"/>
            <family val="2"/>
          </rPr>
          <t xml:space="preserve">
Just a dummy data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Faaiqa</author>
    <author>Mamahloko</author>
  </authors>
  <commentList>
    <comment ref="F6" authorId="0" shapeId="0" xr:uid="{00000000-0006-0000-0900-000001000000}">
      <text>
        <r>
          <rPr>
            <b/>
            <sz val="9"/>
            <color indexed="81"/>
            <rFont val="Tahoma"/>
            <family val="2"/>
          </rPr>
          <t>Faaiqa:</t>
        </r>
        <r>
          <rPr>
            <sz val="9"/>
            <color indexed="81"/>
            <rFont val="Tahoma"/>
            <family val="2"/>
          </rPr>
          <t xml:space="preserve">
Converted costs from 2005 $ to 2005 R then to 2015 R. </t>
        </r>
      </text>
    </comment>
    <comment ref="D7" authorId="1" shapeId="0" xr:uid="{00000000-0006-0000-0900-000002000000}">
      <text>
        <r>
          <rPr>
            <b/>
            <sz val="8"/>
            <color indexed="81"/>
            <rFont val="Tahoma"/>
            <family val="2"/>
          </rPr>
          <t>Mamahloko:</t>
        </r>
        <r>
          <rPr>
            <sz val="8"/>
            <color indexed="81"/>
            <rFont val="Tahoma"/>
            <family val="2"/>
          </rPr>
          <t xml:space="preserve">
H21</t>
        </r>
      </text>
    </comment>
    <comment ref="D8" authorId="1" shapeId="0" xr:uid="{00000000-0006-0000-0900-000003000000}">
      <text>
        <r>
          <rPr>
            <b/>
            <sz val="8"/>
            <color indexed="81"/>
            <rFont val="Tahoma"/>
            <family val="2"/>
          </rPr>
          <t>Mamahloko:</t>
        </r>
        <r>
          <rPr>
            <sz val="8"/>
            <color indexed="81"/>
            <rFont val="Tahoma"/>
            <family val="2"/>
          </rPr>
          <t xml:space="preserve">
H16</t>
        </r>
      </text>
    </comment>
    <comment ref="D9" authorId="1" shapeId="0" xr:uid="{00000000-0006-0000-0900-000004000000}">
      <text>
        <r>
          <rPr>
            <b/>
            <sz val="8"/>
            <color indexed="81"/>
            <rFont val="Tahoma"/>
            <family val="2"/>
          </rPr>
          <t>Mamahloko:</t>
        </r>
        <r>
          <rPr>
            <sz val="8"/>
            <color indexed="81"/>
            <rFont val="Tahoma"/>
            <family val="2"/>
          </rPr>
          <t xml:space="preserve">
H94</t>
        </r>
      </text>
    </comment>
    <comment ref="D10" authorId="1" shapeId="0" xr:uid="{00000000-0006-0000-0900-000005000000}">
      <text>
        <r>
          <rPr>
            <b/>
            <sz val="8"/>
            <color indexed="81"/>
            <rFont val="Tahoma"/>
            <family val="2"/>
          </rPr>
          <t>Mamahloko:</t>
        </r>
        <r>
          <rPr>
            <sz val="8"/>
            <color indexed="81"/>
            <rFont val="Tahoma"/>
            <family val="2"/>
          </rPr>
          <t xml:space="preserve">
H84</t>
        </r>
      </text>
    </comment>
    <comment ref="F11" authorId="1" shapeId="0" xr:uid="{00000000-0006-0000-09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0900-000007000000}">
      <text>
        <r>
          <rPr>
            <b/>
            <sz val="8"/>
            <color indexed="81"/>
            <rFont val="Tahoma"/>
            <family val="2"/>
          </rPr>
          <t>Mamahloko:</t>
        </r>
        <r>
          <rPr>
            <sz val="8"/>
            <color indexed="81"/>
            <rFont val="Tahoma"/>
            <family val="2"/>
          </rPr>
          <t xml:space="preserve">
H143</t>
        </r>
      </text>
    </comment>
    <comment ref="F13" authorId="1" shapeId="0" xr:uid="{00000000-0006-0000-09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0900-000009000000}">
      <text>
        <r>
          <rPr>
            <b/>
            <sz val="8"/>
            <color indexed="81"/>
            <rFont val="Tahoma"/>
            <family val="2"/>
          </rPr>
          <t>Mamahloko:</t>
        </r>
        <r>
          <rPr>
            <sz val="8"/>
            <color indexed="81"/>
            <rFont val="Tahoma"/>
            <family val="2"/>
          </rPr>
          <t xml:space="preserve">
H157</t>
        </r>
      </text>
    </comment>
    <comment ref="D15" authorId="1" shapeId="0" xr:uid="{00000000-0006-0000-0900-00000A000000}">
      <text>
        <r>
          <rPr>
            <b/>
            <sz val="8"/>
            <color indexed="81"/>
            <rFont val="Tahoma"/>
            <family val="2"/>
          </rPr>
          <t>Mamahloko:</t>
        </r>
        <r>
          <rPr>
            <sz val="8"/>
            <color indexed="81"/>
            <rFont val="Tahoma"/>
            <family val="2"/>
          </rPr>
          <t xml:space="preserve">
H153</t>
        </r>
      </text>
    </comment>
    <comment ref="D16" authorId="1" shapeId="0" xr:uid="{00000000-0006-0000-0900-00000B000000}">
      <text>
        <r>
          <rPr>
            <b/>
            <sz val="8"/>
            <color indexed="81"/>
            <rFont val="Tahoma"/>
            <family val="2"/>
          </rPr>
          <t>Mamahloko:</t>
        </r>
        <r>
          <rPr>
            <sz val="8"/>
            <color indexed="81"/>
            <rFont val="Tahoma"/>
            <family val="2"/>
          </rPr>
          <t xml:space="preserve">
H148</t>
        </r>
      </text>
    </comment>
    <comment ref="D17" authorId="1" shapeId="0" xr:uid="{00000000-0006-0000-0900-00000C000000}">
      <text>
        <r>
          <rPr>
            <b/>
            <sz val="8"/>
            <color indexed="81"/>
            <rFont val="Tahoma"/>
            <family val="2"/>
          </rPr>
          <t>Mamahloko:</t>
        </r>
        <r>
          <rPr>
            <sz val="8"/>
            <color indexed="81"/>
            <rFont val="Tahoma"/>
            <family val="2"/>
          </rPr>
          <t xml:space="preserve">
H151 from NEMS </t>
        </r>
      </text>
    </comment>
    <comment ref="D18" authorId="1" shapeId="0" xr:uid="{00000000-0006-0000-0900-00000D000000}">
      <text>
        <r>
          <rPr>
            <b/>
            <sz val="8"/>
            <color indexed="81"/>
            <rFont val="Tahoma"/>
            <family val="2"/>
          </rPr>
          <t>Mamahloko:</t>
        </r>
        <r>
          <rPr>
            <sz val="8"/>
            <color indexed="81"/>
            <rFont val="Tahoma"/>
            <family val="2"/>
          </rPr>
          <t xml:space="preserve">
H168 NEMS costs</t>
        </r>
      </text>
    </comment>
    <comment ref="D19" authorId="1" shapeId="0" xr:uid="{00000000-0006-0000-0900-00000E000000}">
      <text>
        <r>
          <rPr>
            <b/>
            <sz val="8"/>
            <color indexed="81"/>
            <rFont val="Tahoma"/>
            <family val="2"/>
          </rPr>
          <t>Mamahloko:</t>
        </r>
        <r>
          <rPr>
            <sz val="8"/>
            <color indexed="81"/>
            <rFont val="Tahoma"/>
            <family val="2"/>
          </rPr>
          <t xml:space="preserve">
H244</t>
        </r>
      </text>
    </comment>
    <comment ref="D20" authorId="1" shapeId="0" xr:uid="{00000000-0006-0000-0900-00000F000000}">
      <text>
        <r>
          <rPr>
            <b/>
            <sz val="8"/>
            <color indexed="81"/>
            <rFont val="Tahoma"/>
            <family val="2"/>
          </rPr>
          <t>Mamahloko:</t>
        </r>
        <r>
          <rPr>
            <sz val="8"/>
            <color indexed="81"/>
            <rFont val="Tahoma"/>
            <family val="2"/>
          </rPr>
          <t xml:space="preserve">
H307</t>
        </r>
      </text>
    </comment>
    <comment ref="F21" authorId="1" shapeId="0" xr:uid="{00000000-0006-0000-0900-000010000000}">
      <text>
        <r>
          <rPr>
            <b/>
            <sz val="8"/>
            <color indexed="81"/>
            <rFont val="Tahoma"/>
            <family val="2"/>
          </rPr>
          <t>Mamahloko:</t>
        </r>
        <r>
          <rPr>
            <sz val="8"/>
            <color indexed="81"/>
            <rFont val="Tahoma"/>
            <family val="2"/>
          </rPr>
          <t xml:space="preserve">
comes from Previous LTMS, J21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Bryce McCall</author>
  </authors>
  <commentList>
    <comment ref="E10" authorId="0" shapeId="0" xr:uid="{00000000-0006-0000-0000-000001000000}">
      <text>
        <r>
          <rPr>
            <b/>
            <sz val="10"/>
            <rFont val="Arial"/>
            <family val="2"/>
          </rPr>
          <t xml:space="preserve">Caroline Martin:
</t>
        </r>
        <r>
          <rPr>
            <sz val="10"/>
            <rFont val="Arial"/>
            <family val="2"/>
          </rPr>
          <t xml:space="preserve">From average end use shares </t>
        </r>
      </text>
    </comment>
    <comment ref="L10" authorId="0" shapeId="0" xr:uid="{00000000-0006-0000-0000-000002000000}">
      <text>
        <r>
          <rPr>
            <sz val="10"/>
            <rFont val="Arial"/>
            <family val="2"/>
          </rPr>
          <t xml:space="preserve">Also called output energy
</t>
        </r>
      </text>
    </comment>
    <comment ref="L19" authorId="0" shapeId="0" xr:uid="{00000000-0006-0000-0000-000003000000}">
      <text>
        <r>
          <rPr>
            <sz val="10"/>
            <rFont val="Arial"/>
            <family val="2"/>
          </rPr>
          <t xml:space="preserve">Also called output energy
</t>
        </r>
      </text>
    </comment>
    <comment ref="L28" authorId="0" shapeId="0" xr:uid="{00000000-0006-0000-0000-000004000000}">
      <text>
        <r>
          <rPr>
            <sz val="10"/>
            <rFont val="Arial"/>
            <family val="2"/>
          </rPr>
          <t xml:space="preserve">Also called output energy
</t>
        </r>
      </text>
    </comment>
    <comment ref="L34" authorId="0" shapeId="0" xr:uid="{00000000-0006-0000-0000-000005000000}">
      <text>
        <r>
          <rPr>
            <sz val="10"/>
            <rFont val="Arial"/>
            <family val="2"/>
          </rPr>
          <t xml:space="preserve">Also called output energy
</t>
        </r>
      </text>
    </comment>
    <comment ref="J40" authorId="1" shapeId="0" xr:uid="{00000000-0006-0000-0000-000006000000}">
      <text>
        <r>
          <rPr>
            <b/>
            <sz val="9"/>
            <color indexed="81"/>
            <rFont val="Tahoma"/>
            <family val="2"/>
          </rPr>
          <t>Bryce McCall:</t>
        </r>
        <r>
          <rPr>
            <sz val="9"/>
            <color indexed="81"/>
            <rFont val="Tahoma"/>
            <family val="2"/>
          </rPr>
          <t xml:space="preserve">
Assumption for now</t>
        </r>
      </text>
    </comment>
    <comment ref="L45" authorId="0" shapeId="0" xr:uid="{00000000-0006-0000-0000-000007000000}">
      <text>
        <r>
          <rPr>
            <sz val="10"/>
            <rFont val="Arial"/>
            <family val="2"/>
          </rPr>
          <t xml:space="preserve">Also called output energy
</t>
        </r>
      </text>
    </comment>
    <comment ref="L52" authorId="0" shapeId="0" xr:uid="{00000000-0006-0000-0000-000008000000}">
      <text>
        <r>
          <rPr>
            <sz val="10"/>
            <rFont val="Arial"/>
            <family val="2"/>
          </rPr>
          <t xml:space="preserve">Also called output energy
</t>
        </r>
      </text>
    </comment>
    <comment ref="L57" authorId="0" shapeId="0" xr:uid="{00000000-0006-0000-0000-000009000000}">
      <text>
        <r>
          <rPr>
            <sz val="10"/>
            <rFont val="Arial"/>
            <family val="2"/>
          </rPr>
          <t xml:space="preserve">Also called output energy
</t>
        </r>
      </text>
    </comment>
    <comment ref="A64" authorId="1" shapeId="0" xr:uid="{00000000-0006-0000-0000-00000A000000}">
      <text>
        <r>
          <rPr>
            <b/>
            <sz val="9"/>
            <color indexed="81"/>
            <rFont val="Tahoma"/>
            <family val="2"/>
          </rPr>
          <t>Bryce McCall:</t>
        </r>
        <r>
          <rPr>
            <sz val="9"/>
            <color indexed="81"/>
            <rFont val="Tahoma"/>
            <family val="2"/>
          </rPr>
          <t xml:space="preserve">
Lamp types from CoCT maintenance expenditure sheet.
</t>
        </r>
      </text>
    </comment>
    <comment ref="AB68" authorId="1" shapeId="0" xr:uid="{00000000-0006-0000-0000-00000B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75" authorId="0" shapeId="0" xr:uid="{00000000-0006-0000-0000-00000C000000}">
      <text>
        <r>
          <rPr>
            <sz val="10"/>
            <rFont val="Arial"/>
            <family val="2"/>
          </rPr>
          <t>This method do
esnt seem right, surely the demand should equal the sales data</t>
        </r>
      </text>
    </comment>
    <comment ref="C92" authorId="0" shapeId="0" xr:uid="{00000000-0006-0000-0000-00000D000000}">
      <text>
        <r>
          <rPr>
            <b/>
            <sz val="10"/>
            <rFont val="Arial"/>
            <family val="2"/>
          </rPr>
          <t xml:space="preserve">Caroline Martin: </t>
        </r>
        <r>
          <rPr>
            <sz val="10"/>
            <rFont val="Arial"/>
            <family val="2"/>
          </rPr>
          <t>Not clear where theses figures come from</t>
        </r>
        <r>
          <rPr>
            <sz val="8"/>
            <rFont val="Arial"/>
            <family val="2"/>
          </rPr>
          <t>.</t>
        </r>
      </text>
    </comment>
    <comment ref="D92" authorId="0" shapeId="0" xr:uid="{00000000-0006-0000-0000-00000E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8AAAB44-9692-429F-B0F6-5237FCC0B0D3}">
      <text>
        <r>
          <rPr>
            <b/>
            <sz val="10"/>
            <rFont val="Arial"/>
            <family val="2"/>
          </rPr>
          <t xml:space="preserve">Caroline Martin:
</t>
        </r>
        <r>
          <rPr>
            <sz val="10"/>
            <rFont val="Arial"/>
            <family val="2"/>
          </rPr>
          <t xml:space="preserve">From average end use shares </t>
        </r>
      </text>
    </comment>
    <comment ref="L10" authorId="0" shapeId="0" xr:uid="{BD999515-E6B1-4EE8-8965-64ED5E666B8D}">
      <text>
        <r>
          <rPr>
            <sz val="10"/>
            <rFont val="Arial"/>
            <family val="2"/>
          </rPr>
          <t xml:space="preserve">Also called output energy
</t>
        </r>
      </text>
    </comment>
    <comment ref="L21" authorId="0" shapeId="0" xr:uid="{97ED5BA9-EEC2-4C49-BBC7-A4507FA8EC7C}">
      <text>
        <r>
          <rPr>
            <sz val="10"/>
            <rFont val="Arial"/>
            <family val="2"/>
          </rPr>
          <t xml:space="preserve">Also called output energy
</t>
        </r>
      </text>
    </comment>
    <comment ref="L32" authorId="0" shapeId="0" xr:uid="{59452B90-668B-4987-8322-C53B15302741}">
      <text>
        <r>
          <rPr>
            <sz val="10"/>
            <rFont val="Arial"/>
            <family val="2"/>
          </rPr>
          <t xml:space="preserve">Also called output energy
</t>
        </r>
      </text>
    </comment>
    <comment ref="L44" authorId="0" shapeId="0" xr:uid="{9D3625A6-4EC3-40EE-B979-C7052491D4C6}">
      <text>
        <r>
          <rPr>
            <sz val="10"/>
            <rFont val="Arial"/>
            <family val="2"/>
          </rPr>
          <t xml:space="preserve">Also called output energy
</t>
        </r>
      </text>
    </comment>
    <comment ref="J50" authorId="1" shapeId="0" xr:uid="{D9B7A555-3C4C-4E1E-8F3E-1A035FEA0F92}">
      <text>
        <r>
          <rPr>
            <b/>
            <sz val="9"/>
            <color indexed="81"/>
            <rFont val="Tahoma"/>
            <family val="2"/>
          </rPr>
          <t>Bryce McCall:</t>
        </r>
        <r>
          <rPr>
            <sz val="9"/>
            <color indexed="81"/>
            <rFont val="Tahoma"/>
            <family val="2"/>
          </rPr>
          <t xml:space="preserve">
Assumption for now</t>
        </r>
      </text>
    </comment>
    <comment ref="L55" authorId="0" shapeId="0" xr:uid="{6AA4D560-CBCD-40A8-8A93-8F2EFAEECCB5}">
      <text>
        <r>
          <rPr>
            <sz val="10"/>
            <rFont val="Arial"/>
            <family val="2"/>
          </rPr>
          <t xml:space="preserve">Also called output energy
</t>
        </r>
      </text>
    </comment>
    <comment ref="L62" authorId="0" shapeId="0" xr:uid="{D7E92915-1DF4-414C-9182-8CFDDEB47198}">
      <text>
        <r>
          <rPr>
            <sz val="10"/>
            <rFont val="Arial"/>
            <family val="2"/>
          </rPr>
          <t xml:space="preserve">Also called output energy
</t>
        </r>
      </text>
    </comment>
    <comment ref="L67" authorId="0" shapeId="0" xr:uid="{B41A4191-89D9-42AD-914B-4ED63DF1B994}">
      <text>
        <r>
          <rPr>
            <sz val="10"/>
            <rFont val="Arial"/>
            <family val="2"/>
          </rPr>
          <t xml:space="preserve">Also called output energy
</t>
        </r>
      </text>
    </comment>
    <comment ref="A74" authorId="1" shapeId="0" xr:uid="{86067944-CB48-4EB9-8C16-5E6E22942CD4}">
      <text>
        <r>
          <rPr>
            <b/>
            <sz val="9"/>
            <color indexed="81"/>
            <rFont val="Tahoma"/>
            <family val="2"/>
          </rPr>
          <t>Bryce McCall:</t>
        </r>
        <r>
          <rPr>
            <sz val="9"/>
            <color indexed="81"/>
            <rFont val="Tahoma"/>
            <family val="2"/>
          </rPr>
          <t xml:space="preserve">
Lamp types from CoCT maintenance expenditure sheet.
</t>
        </r>
      </text>
    </comment>
    <comment ref="AA78" authorId="2" shapeId="0" xr:uid="{84C4B84F-7659-4329-B548-7CBEC19857EA}">
      <text>
        <r>
          <rPr>
            <b/>
            <sz val="9"/>
            <color indexed="81"/>
            <rFont val="Tahoma"/>
            <family val="2"/>
          </rPr>
          <t>Admin:</t>
        </r>
        <r>
          <rPr>
            <sz val="9"/>
            <color indexed="81"/>
            <rFont val="Tahoma"/>
            <family val="2"/>
          </rPr>
          <t xml:space="preserve">
Change to ensure sum 100. Original formula =9.9/2/100</t>
        </r>
      </text>
    </comment>
    <comment ref="AB78" authorId="1" shapeId="0" xr:uid="{DE146699-3A4C-404C-9276-6FE05A1A4A7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C116C3B0-B701-424F-BE9A-9CE1B8CFFCFC}">
      <text>
        <r>
          <rPr>
            <sz val="10"/>
            <rFont val="Arial"/>
            <family val="2"/>
          </rPr>
          <t>This method do
esnt seem right, surely the demand should equal the sales data</t>
        </r>
      </text>
    </comment>
    <comment ref="C102" authorId="0" shapeId="0" xr:uid="{6FCB25B3-1D97-4A74-8447-1F26C7E475E4}">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69B8487A-69D4-4D6A-81D3-C45D5883FFF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Bryce McCall</author>
    <author>Admin</author>
  </authors>
  <commentList>
    <comment ref="E10" authorId="0" shapeId="0" xr:uid="{00000000-0006-0000-0B00-000001000000}">
      <text>
        <r>
          <rPr>
            <b/>
            <sz val="10"/>
            <rFont val="Arial"/>
            <family val="2"/>
          </rPr>
          <t xml:space="preserve">Caroline Martin:
</t>
        </r>
        <r>
          <rPr>
            <sz val="10"/>
            <rFont val="Arial"/>
            <family val="2"/>
          </rPr>
          <t xml:space="preserve">From average end use shares </t>
        </r>
      </text>
    </comment>
    <comment ref="L10" authorId="0" shapeId="0" xr:uid="{00000000-0006-0000-0B00-000002000000}">
      <text>
        <r>
          <rPr>
            <sz val="10"/>
            <rFont val="Arial"/>
            <family val="2"/>
          </rPr>
          <t xml:space="preserve">Also called output energy
</t>
        </r>
      </text>
    </comment>
    <comment ref="L21" authorId="0" shapeId="0" xr:uid="{00000000-0006-0000-0B00-000003000000}">
      <text>
        <r>
          <rPr>
            <sz val="10"/>
            <rFont val="Arial"/>
            <family val="2"/>
          </rPr>
          <t xml:space="preserve">Also called output energy
</t>
        </r>
      </text>
    </comment>
    <comment ref="L32" authorId="0" shapeId="0" xr:uid="{00000000-0006-0000-0B00-000004000000}">
      <text>
        <r>
          <rPr>
            <sz val="10"/>
            <rFont val="Arial"/>
            <family val="2"/>
          </rPr>
          <t xml:space="preserve">Also called output energy
</t>
        </r>
      </text>
    </comment>
    <comment ref="L44" authorId="0" shapeId="0" xr:uid="{00000000-0006-0000-0B00-000005000000}">
      <text>
        <r>
          <rPr>
            <sz val="10"/>
            <rFont val="Arial"/>
            <family val="2"/>
          </rPr>
          <t xml:space="preserve">Also called output energy
</t>
        </r>
      </text>
    </comment>
    <comment ref="J50" authorId="1" shapeId="0" xr:uid="{00000000-0006-0000-0B00-000006000000}">
      <text>
        <r>
          <rPr>
            <b/>
            <sz val="9"/>
            <color indexed="81"/>
            <rFont val="Tahoma"/>
            <family val="2"/>
          </rPr>
          <t>Bryce McCall:</t>
        </r>
        <r>
          <rPr>
            <sz val="9"/>
            <color indexed="81"/>
            <rFont val="Tahoma"/>
            <family val="2"/>
          </rPr>
          <t xml:space="preserve">
Assumption for now</t>
        </r>
      </text>
    </comment>
    <comment ref="L55" authorId="0" shapeId="0" xr:uid="{00000000-0006-0000-0B00-000007000000}">
      <text>
        <r>
          <rPr>
            <sz val="10"/>
            <rFont val="Arial"/>
            <family val="2"/>
          </rPr>
          <t xml:space="preserve">Also called output energy
</t>
        </r>
      </text>
    </comment>
    <comment ref="L62" authorId="0" shapeId="0" xr:uid="{00000000-0006-0000-0B00-000008000000}">
      <text>
        <r>
          <rPr>
            <sz val="10"/>
            <rFont val="Arial"/>
            <family val="2"/>
          </rPr>
          <t xml:space="preserve">Also called output energy
</t>
        </r>
      </text>
    </comment>
    <comment ref="L67" authorId="0" shapeId="0" xr:uid="{00000000-0006-0000-0B00-000009000000}">
      <text>
        <r>
          <rPr>
            <sz val="10"/>
            <rFont val="Arial"/>
            <family val="2"/>
          </rPr>
          <t xml:space="preserve">Also called output energy
</t>
        </r>
      </text>
    </comment>
    <comment ref="A74" authorId="1" shapeId="0" xr:uid="{00000000-0006-0000-0B00-00000A000000}">
      <text>
        <r>
          <rPr>
            <b/>
            <sz val="9"/>
            <color indexed="81"/>
            <rFont val="Tahoma"/>
            <family val="2"/>
          </rPr>
          <t>Bryce McCall:</t>
        </r>
        <r>
          <rPr>
            <sz val="9"/>
            <color indexed="81"/>
            <rFont val="Tahoma"/>
            <family val="2"/>
          </rPr>
          <t xml:space="preserve">
Lamp types from CoCT maintenance expenditure sheet.
</t>
        </r>
      </text>
    </comment>
    <comment ref="AA78" authorId="2" shapeId="0" xr:uid="{00000000-0006-0000-0B00-00000B000000}">
      <text>
        <r>
          <rPr>
            <b/>
            <sz val="9"/>
            <color indexed="81"/>
            <rFont val="Tahoma"/>
            <family val="2"/>
          </rPr>
          <t>Admin:</t>
        </r>
        <r>
          <rPr>
            <sz val="9"/>
            <color indexed="81"/>
            <rFont val="Tahoma"/>
            <family val="2"/>
          </rPr>
          <t xml:space="preserve">
Change to ensure sum 100. Original formula =9.9/2/100</t>
        </r>
      </text>
    </comment>
    <comment ref="AB78" authorId="1" shapeId="0" xr:uid="{00000000-0006-0000-0B00-00000C000000}">
      <text>
        <r>
          <rPr>
            <b/>
            <sz val="9"/>
            <color indexed="81"/>
            <rFont val="Tahoma"/>
            <family val="2"/>
          </rPr>
          <t>Bryce McCall:</t>
        </r>
        <r>
          <rPr>
            <sz val="9"/>
            <color indexed="81"/>
            <rFont val="Tahoma"/>
            <family val="2"/>
          </rPr>
          <t xml:space="preserve">
Street lights make up 90% while remaining is traffic lights which are incandescent or halogen. 
</t>
        </r>
      </text>
    </comment>
    <comment ref="G85" authorId="0" shapeId="0" xr:uid="{00000000-0006-0000-0B00-00000D000000}">
      <text>
        <r>
          <rPr>
            <sz val="10"/>
            <rFont val="Arial"/>
            <family val="2"/>
          </rPr>
          <t>This method do
esnt seem right, surely the demand should equal the sales data</t>
        </r>
      </text>
    </comment>
    <comment ref="C102" authorId="0" shapeId="0" xr:uid="{00000000-0006-0000-0B00-00000E000000}">
      <text>
        <r>
          <rPr>
            <b/>
            <sz val="10"/>
            <rFont val="Arial"/>
            <family val="2"/>
          </rPr>
          <t xml:space="preserve">Caroline Martin: </t>
        </r>
        <r>
          <rPr>
            <sz val="10"/>
            <rFont val="Arial"/>
            <family val="2"/>
          </rPr>
          <t>Not clear where theses figures come from</t>
        </r>
        <r>
          <rPr>
            <sz val="8"/>
            <rFont val="Arial"/>
            <family val="2"/>
          </rPr>
          <t>.</t>
        </r>
      </text>
    </comment>
    <comment ref="D102" authorId="0" shapeId="0" xr:uid="{00000000-0006-0000-0B00-00000F000000}">
      <text>
        <r>
          <rPr>
            <b/>
            <sz val="10"/>
            <rFont val="Arial"/>
            <family val="2"/>
          </rPr>
          <t xml:space="preserve">Caroline Martin: </t>
        </r>
        <r>
          <rPr>
            <sz val="10"/>
            <rFont val="Arial"/>
            <family val="2"/>
          </rPr>
          <t>Not clear where theses figures come from</t>
        </r>
        <r>
          <rPr>
            <sz val="8"/>
            <rFont val="Arial"/>
            <family val="2"/>
          </rPr>
          <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EA1449A9-1B61-4C86-9984-9DB5339D34FB}">
      <text>
        <r>
          <rPr>
            <b/>
            <sz val="9"/>
            <color indexed="81"/>
            <rFont val="Tahoma"/>
            <family val="2"/>
          </rPr>
          <t>Bryce McCall:</t>
        </r>
        <r>
          <rPr>
            <sz val="9"/>
            <color indexed="81"/>
            <rFont val="Tahoma"/>
            <family val="2"/>
          </rPr>
          <t xml:space="preserve">
Assuming equal use amongst the 3 space types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L56" authorId="0" shapeId="0" xr:uid="{00000000-0006-0000-0C00-000001000000}">
      <text>
        <r>
          <rPr>
            <b/>
            <sz val="9"/>
            <color indexed="81"/>
            <rFont val="Tahoma"/>
            <family val="2"/>
          </rPr>
          <t>Bryce McCall:</t>
        </r>
        <r>
          <rPr>
            <sz val="9"/>
            <color indexed="81"/>
            <rFont val="Tahoma"/>
            <family val="2"/>
          </rPr>
          <t xml:space="preserve">
Assuming equal use amongst the 3 space types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465726E0-A3B9-41FE-85C1-20312D9A823F}">
      <text>
        <r>
          <rPr>
            <b/>
            <sz val="9"/>
            <color indexed="81"/>
            <rFont val="Tahoma"/>
            <family val="2"/>
          </rPr>
          <t>Admin:</t>
        </r>
        <r>
          <rPr>
            <sz val="9"/>
            <color indexed="81"/>
            <rFont val="Tahoma"/>
            <family val="2"/>
          </rPr>
          <t xml:space="preserve">
changed from 2010 to 2015</t>
        </r>
      </text>
    </comment>
    <comment ref="F61" authorId="1" shapeId="0" xr:uid="{B356E794-A75E-443B-81D5-2E7EA16182E7}">
      <text>
        <r>
          <rPr>
            <b/>
            <sz val="8"/>
            <color indexed="81"/>
            <rFont val="Tahoma"/>
            <family val="2"/>
          </rPr>
          <t>Bruno Merven:</t>
        </r>
        <r>
          <rPr>
            <sz val="8"/>
            <color indexed="81"/>
            <rFont val="Tahoma"/>
            <family val="2"/>
          </rPr>
          <t xml:space="preserve">
From load curve data</t>
        </r>
      </text>
    </comment>
    <comment ref="I71" authorId="0" shapeId="0" xr:uid="{20E0FE1B-824B-4FE4-8426-B797951E3547}">
      <text>
        <r>
          <rPr>
            <b/>
            <sz val="9"/>
            <color indexed="81"/>
            <rFont val="Tahoma"/>
            <family val="2"/>
          </rPr>
          <t>Admin:</t>
        </r>
        <r>
          <rPr>
            <sz val="9"/>
            <color indexed="81"/>
            <rFont val="Tahoma"/>
            <family val="2"/>
          </rPr>
          <t xml:space="preserve">
Set equal to new</t>
        </r>
      </text>
    </comment>
    <comment ref="E99" authorId="2" shapeId="0" xr:uid="{CF74D0E1-CD60-44D7-8E93-2397CDCE0C0B}">
      <text>
        <r>
          <rPr>
            <b/>
            <sz val="9"/>
            <color indexed="81"/>
            <rFont val="Tahoma"/>
            <family val="2"/>
          </rPr>
          <t>Bryce McCall:</t>
        </r>
        <r>
          <rPr>
            <sz val="9"/>
            <color indexed="81"/>
            <rFont val="Tahoma"/>
            <family val="2"/>
          </rPr>
          <t xml:space="preserve">
from RES</t>
        </r>
      </text>
    </comment>
    <comment ref="J99" authorId="2" shapeId="0" xr:uid="{00CC8A00-48F8-4544-991F-84C59E4D57A5}">
      <text>
        <r>
          <rPr>
            <b/>
            <sz val="9"/>
            <color indexed="81"/>
            <rFont val="Tahoma"/>
            <family val="2"/>
          </rPr>
          <t>Bryce McCall:</t>
        </r>
        <r>
          <rPr>
            <sz val="9"/>
            <color indexed="81"/>
            <rFont val="Tahoma"/>
            <family val="2"/>
          </rPr>
          <t xml:space="preserve">
Same assumption as RES</t>
        </r>
      </text>
    </comment>
    <comment ref="I110" authorId="2" shapeId="0" xr:uid="{65AD4C8F-78A7-4C09-A58D-666204F744D3}">
      <text>
        <r>
          <rPr>
            <b/>
            <sz val="9"/>
            <color indexed="81"/>
            <rFont val="Tahoma"/>
            <family val="2"/>
          </rPr>
          <t>Bryce McCall:</t>
        </r>
        <r>
          <rPr>
            <sz val="9"/>
            <color indexed="81"/>
            <rFont val="Tahoma"/>
            <family val="2"/>
          </rPr>
          <t xml:space="preserve">
Just a dummy data value.</t>
        </r>
      </text>
    </comment>
    <comment ref="AJ115" authorId="2" shapeId="0" xr:uid="{4B0CA23F-9411-4E6F-8BF7-DF8A910298F3}">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Admin</author>
    <author>Bruno Merven</author>
    <author>Bryce McCall</author>
  </authors>
  <commentList>
    <comment ref="Q53" authorId="0" shapeId="0" xr:uid="{00000000-0006-0000-0D00-000001000000}">
      <text>
        <r>
          <rPr>
            <b/>
            <sz val="9"/>
            <color indexed="81"/>
            <rFont val="Tahoma"/>
            <family val="2"/>
          </rPr>
          <t>Admin:</t>
        </r>
        <r>
          <rPr>
            <sz val="9"/>
            <color indexed="81"/>
            <rFont val="Tahoma"/>
            <family val="2"/>
          </rPr>
          <t xml:space="preserve">
changed from 2010 to 2015</t>
        </r>
      </text>
    </comment>
    <comment ref="F61" authorId="1" shapeId="0" xr:uid="{00000000-0006-0000-0D00-000002000000}">
      <text>
        <r>
          <rPr>
            <b/>
            <sz val="8"/>
            <color indexed="81"/>
            <rFont val="Tahoma"/>
            <family val="2"/>
          </rPr>
          <t>Bruno Merven:</t>
        </r>
        <r>
          <rPr>
            <sz val="8"/>
            <color indexed="81"/>
            <rFont val="Tahoma"/>
            <family val="2"/>
          </rPr>
          <t xml:space="preserve">
From load curve data</t>
        </r>
      </text>
    </comment>
    <comment ref="I71" authorId="0" shapeId="0" xr:uid="{00000000-0006-0000-0D00-000003000000}">
      <text>
        <r>
          <rPr>
            <b/>
            <sz val="9"/>
            <color indexed="81"/>
            <rFont val="Tahoma"/>
            <family val="2"/>
          </rPr>
          <t>Admin:</t>
        </r>
        <r>
          <rPr>
            <sz val="9"/>
            <color indexed="81"/>
            <rFont val="Tahoma"/>
            <family val="2"/>
          </rPr>
          <t xml:space="preserve">
Set equal to new</t>
        </r>
      </text>
    </comment>
    <comment ref="E99" authorId="2" shapeId="0" xr:uid="{00000000-0006-0000-0D00-000004000000}">
      <text>
        <r>
          <rPr>
            <b/>
            <sz val="9"/>
            <color indexed="81"/>
            <rFont val="Tahoma"/>
            <family val="2"/>
          </rPr>
          <t>Bryce McCall:</t>
        </r>
        <r>
          <rPr>
            <sz val="9"/>
            <color indexed="81"/>
            <rFont val="Tahoma"/>
            <family val="2"/>
          </rPr>
          <t xml:space="preserve">
from RES</t>
        </r>
      </text>
    </comment>
    <comment ref="J99" authorId="2" shapeId="0" xr:uid="{00000000-0006-0000-0D00-000005000000}">
      <text>
        <r>
          <rPr>
            <b/>
            <sz val="9"/>
            <color indexed="81"/>
            <rFont val="Tahoma"/>
            <family val="2"/>
          </rPr>
          <t>Bryce McCall:</t>
        </r>
        <r>
          <rPr>
            <sz val="9"/>
            <color indexed="81"/>
            <rFont val="Tahoma"/>
            <family val="2"/>
          </rPr>
          <t xml:space="preserve">
Same assumption as RES</t>
        </r>
      </text>
    </comment>
    <comment ref="I110" authorId="2" shapeId="0" xr:uid="{00000000-0006-0000-0D00-000006000000}">
      <text>
        <r>
          <rPr>
            <b/>
            <sz val="9"/>
            <color indexed="81"/>
            <rFont val="Tahoma"/>
            <family val="2"/>
          </rPr>
          <t>Bryce McCall:</t>
        </r>
        <r>
          <rPr>
            <sz val="9"/>
            <color indexed="81"/>
            <rFont val="Tahoma"/>
            <family val="2"/>
          </rPr>
          <t xml:space="preserve">
Just a dummy data value.</t>
        </r>
      </text>
    </comment>
    <comment ref="AH115" authorId="2" shapeId="0" xr:uid="{00000000-0006-0000-0D00-000007000000}">
      <text>
        <r>
          <rPr>
            <b/>
            <sz val="9"/>
            <color indexed="81"/>
            <rFont val="Tahoma"/>
            <family val="2"/>
          </rPr>
          <t>Bryce McCall:</t>
        </r>
        <r>
          <rPr>
            <sz val="9"/>
            <color indexed="81"/>
            <rFont val="Tahoma"/>
            <family val="2"/>
          </rPr>
          <t xml:space="preserve">
Model was building too much fossil fuels. Need to keep electricity at least the same proportion as BY for things like computors and office equipment as you cant have coal powered computors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Mamahloko</author>
    <author>Bryce McCall</author>
    <author>Bruno Merven</author>
    <author>Admin</author>
  </authors>
  <commentList>
    <comment ref="E45" authorId="0" shapeId="0" xr:uid="{00000000-0006-0000-0E00-000001000000}">
      <text>
        <r>
          <rPr>
            <b/>
            <sz val="8"/>
            <color indexed="81"/>
            <rFont val="Tahoma"/>
            <family val="2"/>
          </rPr>
          <t>Mamahloko:</t>
        </r>
        <r>
          <rPr>
            <sz val="8"/>
            <color indexed="81"/>
            <rFont val="Tahoma"/>
            <family val="2"/>
          </rPr>
          <t xml:space="preserve">
The value is inserted to deal with 0% in cooking end use. </t>
        </r>
      </text>
    </comment>
    <comment ref="P59" authorId="1" shapeId="0" xr:uid="{00000000-0006-0000-0E00-000002000000}">
      <text>
        <r>
          <rPr>
            <b/>
            <sz val="9"/>
            <color indexed="81"/>
            <rFont val="Tahoma"/>
            <family val="2"/>
          </rPr>
          <t>Bryce McCall:</t>
        </r>
        <r>
          <rPr>
            <sz val="9"/>
            <color indexed="81"/>
            <rFont val="Tahoma"/>
            <family val="2"/>
          </rPr>
          <t xml:space="preserve">
Need to update these numbers
</t>
        </r>
      </text>
    </comment>
    <comment ref="F61" authorId="2" shapeId="0" xr:uid="{00000000-0006-0000-0E00-000003000000}">
      <text>
        <r>
          <rPr>
            <b/>
            <sz val="8"/>
            <color indexed="81"/>
            <rFont val="Tahoma"/>
            <family val="2"/>
          </rPr>
          <t>Bruno Merven:</t>
        </r>
        <r>
          <rPr>
            <sz val="8"/>
            <color indexed="81"/>
            <rFont val="Tahoma"/>
            <family val="2"/>
          </rPr>
          <t xml:space="preserve">
From load curve data</t>
        </r>
      </text>
    </comment>
    <comment ref="I71" authorId="3" shapeId="0" xr:uid="{00000000-0006-0000-0E00-000004000000}">
      <text>
        <r>
          <rPr>
            <b/>
            <sz val="9"/>
            <color indexed="81"/>
            <rFont val="Tahoma"/>
            <family val="2"/>
          </rPr>
          <t>Admin:</t>
        </r>
        <r>
          <rPr>
            <sz val="9"/>
            <color indexed="81"/>
            <rFont val="Tahoma"/>
            <family val="2"/>
          </rPr>
          <t xml:space="preserve">
Set equal to new</t>
        </r>
      </text>
    </comment>
    <comment ref="E99" authorId="1" shapeId="0" xr:uid="{00000000-0006-0000-0E00-000005000000}">
      <text>
        <r>
          <rPr>
            <b/>
            <sz val="9"/>
            <color indexed="81"/>
            <rFont val="Tahoma"/>
            <family val="2"/>
          </rPr>
          <t>Bryce McCall:</t>
        </r>
        <r>
          <rPr>
            <sz val="9"/>
            <color indexed="81"/>
            <rFont val="Tahoma"/>
            <family val="2"/>
          </rPr>
          <t xml:space="preserve">
from 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H18" authorId="0" shapeId="0" xr:uid="{00000000-0006-0000-2300-000001000000}">
      <text>
        <r>
          <rPr>
            <b/>
            <sz val="9"/>
            <color indexed="81"/>
            <rFont val="Tahoma"/>
            <family val="2"/>
          </rPr>
          <t>Bryce McCall:</t>
        </r>
        <r>
          <rPr>
            <sz val="9"/>
            <color indexed="81"/>
            <rFont val="Tahoma"/>
            <family val="2"/>
          </rPr>
          <t xml:space="preserve">
Assuming they are used during the day and to some extent into the early evening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tc={BE13FECF-B362-43CE-8920-917D019738B0}</author>
  </authors>
  <commentList>
    <comment ref="C379" authorId="0" shapeId="0" xr:uid="{BE13FECF-B362-43CE-8920-917D019738B0}">
      <text>
        <t>[Threaded comment]
Your version of Excel allows you to read this threaded comment; however, any edits to it will get removed if the file is opened in a newer version of Excel. Learn more: https://go.microsoft.com/fwlink/?linkid=870924
Comment:
    Use Table 19 onwards – Buildings reported as *completed* to larger municipalities at *current prices* by type of building: South Africa
Check the province and buildings COMPLETED table is in use!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tc={1B627C60-B383-40BC-9058-9681C6A32F94}</author>
    <author>tc={7FDE02D7-5A37-4FB9-A257-3FDACCF9CA40}</author>
  </authors>
  <commentList>
    <comment ref="B34" authorId="0" shapeId="0" xr:uid="{1B627C60-B383-40BC-9058-9681C6A32F94}">
      <text>
        <t>[Threaded comment]
Your version of Excel allows you to read this threaded comment; however, any edits to it will get removed if the file is opened in a newer version of Excel. Learn more: https://go.microsoft.com/fwlink/?linkid=870924
Comment:
    2017 onwards: Source: Statssa P5041.3 2023</t>
      </text>
    </comment>
    <comment ref="E35" authorId="1" shapeId="0" xr:uid="{7FDE02D7-5A37-4FB9-A257-3FDACCF9CA40}">
      <text>
        <t>[Threaded comment]
Your version of Excel allows you to read this threaded comment; however, any edits to it will get removed if the file is opened in a newer version of Excel. Learn more: https://go.microsoft.com/fwlink/?linkid=870924
Comment:
    Other="all other" + schools etc + churches etc. Source: Statssa P5041.3 2023</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tc={2ADFB143-28BB-49F4-9ECD-7F6C659D960C}</author>
    <author>tc={A0636DCC-86E6-44A8-9AC0-E9103CEE36C6}</author>
    <author>tc={B17263F2-8DD3-4D3E-9C00-319CA0E7D4B9}</author>
    <author>tc={82DD3A0B-FA0C-4A64-863F-2B1D84927B3C}</author>
    <author>tc={C0A69B4B-2680-460B-A22E-3E5D8E1BE187}</author>
  </authors>
  <commentList>
    <comment ref="D24" authorId="0" shapeId="0" xr:uid="{2ADFB143-28BB-49F4-9ECD-7F6C659D960C}">
      <text>
        <t>[Threaded comment]
Your version of Excel allows you to read this threaded comment; however, any edits to it will get removed if the file is opened in a newer version of Excel. Learn more: https://go.microsoft.com/fwlink/?linkid=870924
Comment:
    Source: Table 2, P0441</t>
      </text>
    </comment>
    <comment ref="D28" authorId="1" shapeId="0" xr:uid="{A0636DCC-86E6-44A8-9AC0-E9103CEE36C6}">
      <text>
        <t>[Threaded comment]
Your version of Excel allows you to read this threaded comment; however, any edits to it will get removed if the file is opened in a newer version of Excel. Learn more: https://go.microsoft.com/fwlink/?linkid=870924
Comment:
Reply:
    Was 43.5 with the change from 2010 to 2015 constant prices for annualization/seasonal adj.</t>
      </text>
    </comment>
    <comment ref="C30" authorId="2" shapeId="0" xr:uid="{B17263F2-8DD3-4D3E-9C00-319CA0E7D4B9}">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L30" authorId="3" shapeId="0" xr:uid="{82DD3A0B-FA0C-4A64-863F-2B1D84927B3C}">
      <text>
        <t>[Threaded comment]
Your version of Excel allows you to read this threaded comment; however, any edits to it will get removed if the file is opened in a newer version of Excel. Learn more: https://go.microsoft.com/fwlink/?linkid=870924
Comment:
    @ constant 2015 prices, prior to these cells 2010 prices used.
Seasonally adjusted and annualised value added by industry at constant 2015 prices: GDP at market prices (Unit: R million, SA; Source: P0441 - Table 1 4th quarter 2022
Reply:
    Average of the 4 quarterly values</t>
      </text>
    </comment>
    <comment ref="G35" authorId="4" shapeId="0" xr:uid="{C0A69B4B-2680-460B-A22E-3E5D8E1BE187}">
      <text>
        <t>[Threaded comment]
Your version of Excel allows you to read this threaded comment; however, any edits to it will get removed if the file is opened in a newer version of Excel. Learn more: https://go.microsoft.com/fwlink/?linkid=870924
Comment:
    Source: pg19 Domestic Outlook https://www.treasury.gov.za/documents/national%20budget/2023/review/Chapter%202.pdf</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Faaiqa</author>
    <author>tc={2EAE6E87-FD47-495E-8980-80FBDAD83AF4}</author>
  </authors>
  <commentList>
    <comment ref="F11" authorId="0" shapeId="0" xr:uid="{00000000-0006-0000-2800-000001000000}">
      <text>
        <r>
          <rPr>
            <b/>
            <sz val="9"/>
            <color indexed="81"/>
            <rFont val="Tahoma"/>
            <family val="2"/>
          </rPr>
          <t>Faaiqa:</t>
        </r>
        <r>
          <rPr>
            <sz val="9"/>
            <color indexed="81"/>
            <rFont val="Tahoma"/>
            <family val="2"/>
          </rPr>
          <t xml:space="preserve">
check</t>
        </r>
      </text>
    </comment>
    <comment ref="B51" authorId="1" shapeId="0" xr:uid="{2EAE6E87-FD47-495E-8980-80FBDAD83AF4}">
      <text>
        <t>[Threaded comment]
Your version of Excel allows you to read this threaded comment; however, any edits to it will get removed if the file is opened in a newer version of Excel. Learn more: https://go.microsoft.com/fwlink/?linkid=870924
Comment:
    Array for years in which we do not yet have data</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tc={383F41FC-D134-4219-8B60-9738184ADD50}</author>
    <author>tc={DADD73C9-2FC4-44BE-B978-506A582D8C81}</author>
  </authors>
  <commentList>
    <comment ref="M36" authorId="0" shapeId="0" xr:uid="{383F41FC-D134-4219-8B60-9738184ADD50}">
      <text>
        <t>[Threaded comment]
Your version of Excel allows you to read this threaded comment; however, any edits to it will get removed if the file is opened in a newer version of Excel. Learn more: https://go.microsoft.com/fwlink/?linkid=870924
Comment:
    149PJ from SATIM</t>
      </text>
    </comment>
    <comment ref="M40" authorId="1" shapeId="0" xr:uid="{DADD73C9-2FC4-44BE-B978-506A582D8C81}">
      <text>
        <t>[Threaded comment]
Your version of Excel allows you to read this threaded comment; however, any edits to it will get removed if the file is opened in a newer version of Excel. Learn more: https://go.microsoft.com/fwlink/?linkid=870924
Comment:
    this doesn't look right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Bruno Merven</author>
    <author/>
  </authors>
  <commentList>
    <comment ref="A11" authorId="0" shapeId="0" xr:uid="{00000000-0006-0000-2F00-000001000000}">
      <text>
        <r>
          <rPr>
            <b/>
            <sz val="8"/>
            <color indexed="81"/>
            <rFont val="Tahoma"/>
            <family val="2"/>
          </rPr>
          <t>Bruno Merven:</t>
        </r>
        <r>
          <rPr>
            <sz val="8"/>
            <color indexed="81"/>
            <rFont val="Tahoma"/>
            <family val="2"/>
          </rPr>
          <t xml:space="preserve">
+'C:\Users\alison\Documents\work directory\papers books etc\DME energy balances\balances 1992 to today\[1992-2005 Disaggregated Balance v1.xls]2006'!$BD$77-'C:\AnswerTIMESv6\Answer_Databases\LEP\[TCH_RES_SATIM.xls]RES'!$C$7*1000-[TCH_AGR.xls]AGR!$E$7*1000</t>
        </r>
      </text>
    </comment>
    <comment ref="A17" authorId="1" shapeId="0" xr:uid="{00000000-0006-0000-2F00-000002000000}">
      <text>
        <r>
          <rPr>
            <b/>
            <sz val="8"/>
            <color indexed="8"/>
            <rFont val="Tahoma"/>
            <family val="2"/>
          </rPr>
          <t xml:space="preserve">Mary Haw:
</t>
        </r>
        <r>
          <rPr>
            <sz val="8"/>
            <color indexed="8"/>
            <rFont val="Tahoma"/>
            <family val="2"/>
          </rPr>
          <t>16 July: added these three as requested by DME but what do we use petrol for in the commercial sector?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Bryce McCall</author>
    <author>Mamahloko</author>
  </authors>
  <commentList>
    <comment ref="F6" authorId="0" shapeId="0" xr:uid="{00000000-0006-0000-3200-000001000000}">
      <text>
        <r>
          <rPr>
            <b/>
            <sz val="9"/>
            <color indexed="81"/>
            <rFont val="Tahoma"/>
            <family val="2"/>
          </rPr>
          <t>Bryce McCall:</t>
        </r>
        <r>
          <rPr>
            <sz val="9"/>
            <color indexed="81"/>
            <rFont val="Tahoma"/>
            <family val="2"/>
          </rPr>
          <t xml:space="preserve">
Converted costs from 2005 $ to 2005 R then to 2010 R. 
</t>
        </r>
      </text>
    </comment>
    <comment ref="D7" authorId="1" shapeId="0" xr:uid="{00000000-0006-0000-3200-000002000000}">
      <text>
        <r>
          <rPr>
            <b/>
            <sz val="8"/>
            <color indexed="81"/>
            <rFont val="Tahoma"/>
            <family val="2"/>
          </rPr>
          <t>Mamahloko:</t>
        </r>
        <r>
          <rPr>
            <sz val="8"/>
            <color indexed="81"/>
            <rFont val="Tahoma"/>
            <family val="2"/>
          </rPr>
          <t xml:space="preserve">
H21</t>
        </r>
      </text>
    </comment>
    <comment ref="D8" authorId="1" shapeId="0" xr:uid="{00000000-0006-0000-3200-000003000000}">
      <text>
        <r>
          <rPr>
            <b/>
            <sz val="8"/>
            <color indexed="81"/>
            <rFont val="Tahoma"/>
            <family val="2"/>
          </rPr>
          <t>Mamahloko:</t>
        </r>
        <r>
          <rPr>
            <sz val="8"/>
            <color indexed="81"/>
            <rFont val="Tahoma"/>
            <family val="2"/>
          </rPr>
          <t xml:space="preserve">
H16</t>
        </r>
      </text>
    </comment>
    <comment ref="D9" authorId="1" shapeId="0" xr:uid="{00000000-0006-0000-3200-000004000000}">
      <text>
        <r>
          <rPr>
            <b/>
            <sz val="8"/>
            <color indexed="81"/>
            <rFont val="Tahoma"/>
            <family val="2"/>
          </rPr>
          <t>Mamahloko:</t>
        </r>
        <r>
          <rPr>
            <sz val="8"/>
            <color indexed="81"/>
            <rFont val="Tahoma"/>
            <family val="2"/>
          </rPr>
          <t xml:space="preserve">
H94</t>
        </r>
      </text>
    </comment>
    <comment ref="D10" authorId="1" shapeId="0" xr:uid="{00000000-0006-0000-3200-000005000000}">
      <text>
        <r>
          <rPr>
            <b/>
            <sz val="8"/>
            <color indexed="81"/>
            <rFont val="Tahoma"/>
            <family val="2"/>
          </rPr>
          <t>Mamahloko:</t>
        </r>
        <r>
          <rPr>
            <sz val="8"/>
            <color indexed="81"/>
            <rFont val="Tahoma"/>
            <family val="2"/>
          </rPr>
          <t xml:space="preserve">
H84</t>
        </r>
      </text>
    </comment>
    <comment ref="F11" authorId="1" shapeId="0" xr:uid="{00000000-0006-0000-3200-000006000000}">
      <text>
        <r>
          <rPr>
            <b/>
            <sz val="8"/>
            <color indexed="81"/>
            <rFont val="Tahoma"/>
            <family val="2"/>
          </rPr>
          <t>Mamahloko:</t>
        </r>
        <r>
          <rPr>
            <sz val="8"/>
            <color indexed="81"/>
            <rFont val="Tahoma"/>
            <family val="2"/>
          </rPr>
          <t xml:space="preserve">
It comes from the previous LTMS, J11</t>
        </r>
      </text>
    </comment>
    <comment ref="D12" authorId="1" shapeId="0" xr:uid="{00000000-0006-0000-3200-000007000000}">
      <text>
        <r>
          <rPr>
            <b/>
            <sz val="8"/>
            <color indexed="81"/>
            <rFont val="Tahoma"/>
            <family val="2"/>
          </rPr>
          <t>Mamahloko:</t>
        </r>
        <r>
          <rPr>
            <sz val="8"/>
            <color indexed="81"/>
            <rFont val="Tahoma"/>
            <family val="2"/>
          </rPr>
          <t xml:space="preserve">
H143</t>
        </r>
      </text>
    </comment>
    <comment ref="F13" authorId="1" shapeId="0" xr:uid="{00000000-0006-0000-3200-000008000000}">
      <text>
        <r>
          <rPr>
            <b/>
            <sz val="8"/>
            <color indexed="81"/>
            <rFont val="Tahoma"/>
            <family val="2"/>
          </rPr>
          <t>Mamahloko:</t>
        </r>
        <r>
          <rPr>
            <sz val="8"/>
            <color indexed="81"/>
            <rFont val="Tahoma"/>
            <family val="2"/>
          </rPr>
          <t xml:space="preserve">
This is just a number, it is the refrigertion number</t>
        </r>
      </text>
    </comment>
    <comment ref="D14" authorId="1" shapeId="0" xr:uid="{00000000-0006-0000-3200-000009000000}">
      <text>
        <r>
          <rPr>
            <b/>
            <sz val="8"/>
            <color indexed="81"/>
            <rFont val="Tahoma"/>
            <family val="2"/>
          </rPr>
          <t>Mamahloko:</t>
        </r>
        <r>
          <rPr>
            <sz val="8"/>
            <color indexed="81"/>
            <rFont val="Tahoma"/>
            <family val="2"/>
          </rPr>
          <t xml:space="preserve">
H157</t>
        </r>
      </text>
    </comment>
    <comment ref="D15" authorId="1" shapeId="0" xr:uid="{00000000-0006-0000-3200-00000A000000}">
      <text>
        <r>
          <rPr>
            <b/>
            <sz val="8"/>
            <color indexed="81"/>
            <rFont val="Tahoma"/>
            <family val="2"/>
          </rPr>
          <t>Mamahloko:</t>
        </r>
        <r>
          <rPr>
            <sz val="8"/>
            <color indexed="81"/>
            <rFont val="Tahoma"/>
            <family val="2"/>
          </rPr>
          <t xml:space="preserve">
H153</t>
        </r>
      </text>
    </comment>
    <comment ref="D16" authorId="1" shapeId="0" xr:uid="{00000000-0006-0000-3200-00000B000000}">
      <text>
        <r>
          <rPr>
            <b/>
            <sz val="8"/>
            <color indexed="81"/>
            <rFont val="Tahoma"/>
            <family val="2"/>
          </rPr>
          <t>Mamahloko:</t>
        </r>
        <r>
          <rPr>
            <sz val="8"/>
            <color indexed="81"/>
            <rFont val="Tahoma"/>
            <family val="2"/>
          </rPr>
          <t xml:space="preserve">
H148</t>
        </r>
      </text>
    </comment>
    <comment ref="D17" authorId="1" shapeId="0" xr:uid="{00000000-0006-0000-3200-00000C000000}">
      <text>
        <r>
          <rPr>
            <b/>
            <sz val="8"/>
            <color indexed="81"/>
            <rFont val="Tahoma"/>
            <family val="2"/>
          </rPr>
          <t>Mamahloko:</t>
        </r>
        <r>
          <rPr>
            <sz val="8"/>
            <color indexed="81"/>
            <rFont val="Tahoma"/>
            <family val="2"/>
          </rPr>
          <t xml:space="preserve">
H151 from NEMS </t>
        </r>
      </text>
    </comment>
    <comment ref="D18" authorId="1" shapeId="0" xr:uid="{00000000-0006-0000-3200-00000D000000}">
      <text>
        <r>
          <rPr>
            <b/>
            <sz val="8"/>
            <color indexed="81"/>
            <rFont val="Tahoma"/>
            <family val="2"/>
          </rPr>
          <t>Mamahloko:</t>
        </r>
        <r>
          <rPr>
            <sz val="8"/>
            <color indexed="81"/>
            <rFont val="Tahoma"/>
            <family val="2"/>
          </rPr>
          <t xml:space="preserve">
H168 NEMS costs</t>
        </r>
      </text>
    </comment>
    <comment ref="D19" authorId="1" shapeId="0" xr:uid="{00000000-0006-0000-3200-00000E000000}">
      <text>
        <r>
          <rPr>
            <b/>
            <sz val="8"/>
            <color indexed="81"/>
            <rFont val="Tahoma"/>
            <family val="2"/>
          </rPr>
          <t>Mamahloko:</t>
        </r>
        <r>
          <rPr>
            <sz val="8"/>
            <color indexed="81"/>
            <rFont val="Tahoma"/>
            <family val="2"/>
          </rPr>
          <t xml:space="preserve">
H244</t>
        </r>
      </text>
    </comment>
    <comment ref="D20" authorId="1" shapeId="0" xr:uid="{00000000-0006-0000-3200-00000F000000}">
      <text>
        <r>
          <rPr>
            <b/>
            <sz val="8"/>
            <color indexed="81"/>
            <rFont val="Tahoma"/>
            <family val="2"/>
          </rPr>
          <t>Mamahloko:</t>
        </r>
        <r>
          <rPr>
            <sz val="8"/>
            <color indexed="81"/>
            <rFont val="Tahoma"/>
            <family val="2"/>
          </rPr>
          <t xml:space="preserve">
H307</t>
        </r>
      </text>
    </comment>
    <comment ref="F21" authorId="1" shapeId="0" xr:uid="{00000000-0006-0000-3200-000010000000}">
      <text>
        <r>
          <rPr>
            <b/>
            <sz val="8"/>
            <color indexed="81"/>
            <rFont val="Tahoma"/>
            <family val="2"/>
          </rPr>
          <t>Mamahloko:</t>
        </r>
        <r>
          <rPr>
            <sz val="8"/>
            <color indexed="81"/>
            <rFont val="Tahoma"/>
            <family val="2"/>
          </rPr>
          <t xml:space="preserve">
comes from Previous LTMS, J21</t>
        </r>
      </text>
    </comment>
  </commentList>
</comments>
</file>

<file path=xl/sharedStrings.xml><?xml version="1.0" encoding="utf-8"?>
<sst xmlns="http://schemas.openxmlformats.org/spreadsheetml/2006/main" count="9405" uniqueCount="1676">
  <si>
    <t>To calculate floor area of commercial sector</t>
  </si>
  <si>
    <t>Key assumptions:</t>
  </si>
  <si>
    <t>De Villiers:</t>
  </si>
  <si>
    <t>Base floor area value for 1990 assumed to be 65 million sqm from de villiers calculations</t>
  </si>
  <si>
    <t>Project sales output of the commercial sub-sectors (sales output measured in rands).</t>
  </si>
  <si>
    <t>Share of floor area by building activity taken from de villiers calculations</t>
  </si>
  <si>
    <t>Use commercial sub-sector output projections to project floor-space for different types of buildings (floor-space measured in square metres).</t>
  </si>
  <si>
    <t>Updated floor area data used between 1993 &amp; 2007</t>
  </si>
  <si>
    <t>The output variable used for the commercial sector was annual sales, since the Industrial Development Corporation (1999) provides sales growth projections for the period 1999 to 2015 for the following commercial sub-sectors:</t>
  </si>
  <si>
    <t>Updated GDP data used between 2000 &amp; 2009</t>
  </si>
  <si>
    <t>Trade, catering and accommodation (SIC 6).</t>
  </si>
  <si>
    <t xml:space="preserve">Floor area growth from 2007 onwards predicted from GDP growth projections from stats SA </t>
  </si>
  <si>
    <t>Finance, Property and Business Services (SIC 8).</t>
  </si>
  <si>
    <t>Floor area growth in 1991 &amp; 1992  calculated from GDP growth for each sector:</t>
  </si>
  <si>
    <t>Community, Social and Personal Services (SIC 9).</t>
  </si>
  <si>
    <t xml:space="preserve">Based on updated floor and GDP data floor space grows at 20% of GDP growth </t>
  </si>
  <si>
    <t>Sales growth for 2015 to 2030 was taken to be the average growth projected for 2010 to 2015.</t>
  </si>
  <si>
    <t>– Note devilliers assumption of 70% seems high</t>
  </si>
  <si>
    <t xml:space="preserve">Energy consumption in the commercial sector is usually related to floor-space. </t>
  </si>
  <si>
    <t>Floor-space for each type of building was estimated for 1990 based on the floor-space of buildings completed in South Africa over the last 45 years (Statistics South Africa, 1946-1990).</t>
  </si>
  <si>
    <t xml:space="preserve">Floor-space for each building type was projected using annual sales growth in a related commercial sub-sector. </t>
  </si>
  <si>
    <t xml:space="preserve">Due to increasing efficiencies of floor-space use and an increasing number of people working from home, it was assumed that floor-space will grow at 70% of sales growth. </t>
  </si>
  <si>
    <t>Price (1999) calculated commercial floor space in South Africa to be 80 million square metres in 1996 compared with the 71 million square metres calculated in this study.</t>
  </si>
  <si>
    <t>To calculate the energy intensity in MJ/m2 for each end use:</t>
  </si>
  <si>
    <t>Method 6b</t>
  </si>
  <si>
    <t>Electricity:</t>
  </si>
  <si>
    <t>Obtain energy consumption by end use and building activity from CBECS 2003in MJ/m2</t>
  </si>
  <si>
    <t>Calculate weighted average for each end use by multiplying energy consumption MJ/m2 by total floor area of particular building activity for each building activity and adding together and dividing by total floor area of commercial sector</t>
  </si>
  <si>
    <t xml:space="preserve">Calculate the share of fuel by end use by calculating the percentage that each weighted average is of the total weighted average </t>
  </si>
  <si>
    <t xml:space="preserve">Multiply the total electricity consumed in 2006 by the end use percentage and divide by total commercial floor area. </t>
  </si>
  <si>
    <t>Diesel:</t>
  </si>
  <si>
    <t xml:space="preserve">Multiply the total diesel consumed in 2006 by the end use percentages calculated for electricity and divide by total commercial floor area (assumes all diesel is used for back up electrical generators) </t>
  </si>
  <si>
    <t>Other fuels:</t>
  </si>
  <si>
    <t>Obtain energy consumption by end use and building activity from De Villiers 1994 data in MJ/m2</t>
  </si>
  <si>
    <t>Interventions:</t>
  </si>
  <si>
    <t>New build meet SANS 10004XA targets</t>
  </si>
  <si>
    <t>Annual kWh/m2</t>
  </si>
  <si>
    <t>Reduced floor area growth on new build to represent EE measures from meeting SANS 204 targets?</t>
  </si>
  <si>
    <t xml:space="preserve">Existing: </t>
  </si>
  <si>
    <t>Heating</t>
  </si>
  <si>
    <t>Cooling</t>
  </si>
  <si>
    <t xml:space="preserve">Hot water </t>
  </si>
  <si>
    <t xml:space="preserve">Lighting </t>
  </si>
  <si>
    <t xml:space="preserve">Other </t>
  </si>
  <si>
    <t>operational improvements</t>
  </si>
  <si>
    <t xml:space="preserve">Insulation </t>
  </si>
  <si>
    <t xml:space="preserve">Glazing spec </t>
  </si>
  <si>
    <t xml:space="preserve">insulation </t>
  </si>
  <si>
    <t>automatic controls</t>
  </si>
  <si>
    <t xml:space="preserve">Double glazing </t>
  </si>
  <si>
    <t>Shading</t>
  </si>
  <si>
    <t xml:space="preserve">efficient central boiler </t>
  </si>
  <si>
    <t>efficient central chiller</t>
  </si>
  <si>
    <t>efficient geyser</t>
  </si>
  <si>
    <t>efficient lamps</t>
  </si>
  <si>
    <t xml:space="preserve">more efficient appliances </t>
  </si>
  <si>
    <t>efficient heat emitter</t>
  </si>
  <si>
    <t>efficient room unit</t>
  </si>
  <si>
    <t xml:space="preserve">inefficient systems: </t>
  </si>
  <si>
    <t>Split DX system COP  2.75</t>
  </si>
  <si>
    <t>Conventional electric geyser (200L, no insulation)</t>
  </si>
  <si>
    <t xml:space="preserve">two 40W fluorescent tube lights with magnetic ballast  </t>
  </si>
  <si>
    <t xml:space="preserve">Efficient systems: </t>
  </si>
  <si>
    <t>VRV system COP of 4  (32% more efficient)</t>
  </si>
  <si>
    <t>Solar Water Heater (200L with back-up element and timer) - RETROFIT</t>
  </si>
  <si>
    <t>two 32W fluorescent tube lights with electronic ballast</t>
  </si>
  <si>
    <t>SANS 10004 XA</t>
  </si>
  <si>
    <t>De Villiers (from old CBECS?)</t>
  </si>
  <si>
    <t>Stats SA floor areas</t>
  </si>
  <si>
    <t>Places of instruction</t>
  </si>
  <si>
    <t>Education facilities</t>
  </si>
  <si>
    <t>Large shop (including shopping malls)</t>
  </si>
  <si>
    <t>Shops</t>
  </si>
  <si>
    <t>Shopping space</t>
  </si>
  <si>
    <t>Offices</t>
  </si>
  <si>
    <t xml:space="preserve">Office &amp; banking
</t>
  </si>
  <si>
    <t>Hotel</t>
  </si>
  <si>
    <t>Accommodation</t>
  </si>
  <si>
    <t>Healthcare facilities</t>
  </si>
  <si>
    <t>Catering</t>
  </si>
  <si>
    <t>Warehouses</t>
  </si>
  <si>
    <t>Industrial &amp; warehouses</t>
  </si>
  <si>
    <t xml:space="preserve">Worship </t>
  </si>
  <si>
    <t>Other</t>
  </si>
  <si>
    <t>Entertainment and public assembly</t>
  </si>
  <si>
    <t>Theatrical and indoor sport</t>
  </si>
  <si>
    <t>Commercial sector.rev2 -”Toms spreadsheet”</t>
  </si>
  <si>
    <t>2010_11_22  LTMS - 2007 MARKAL inputs - “Mary's spreadsheet”</t>
  </si>
  <si>
    <t>Winkler, Harald et al 2006 "Energy Policies for sustainable Development in South Africa - Options for the Future"</t>
  </si>
  <si>
    <t>Energy Research Centre, University of Cape Town</t>
  </si>
  <si>
    <t>Mark De Villiers – calcs incorporated into ref 1, accompanying report: De Villiers, M., 2000. Greenhouse gas baseline and mitigation options
for the commercial sector. Cape Town, Energy &amp; Development Research
Centre</t>
  </si>
  <si>
    <t xml:space="preserve">4a </t>
  </si>
  <si>
    <t>Mark Devillier appendix D – references Anderssen et al (1995), Energy Information Agency (1994), Spoormaker (1993), and Piani (1995).</t>
  </si>
  <si>
    <t>Anderssen J.J, Venter H., le Roux C. and Oosthuizen K (1995). Cape Town electrical load study and end-use segmentation. Department of Mineral and Energy Affairs. Report number ED9006.</t>
  </si>
  <si>
    <t>Piani C.B. (1995). Establishing the energy savings potential for office buildings in South Africa. Master’s Dissertation, Department of Mechanical Engineering, University of Pretoria, November.</t>
  </si>
  <si>
    <t>Energy Information Agency (1994). Energy end-use intensities in commercial buildings. DOE/IEA-0555(94)/2. United States.</t>
  </si>
  <si>
    <t xml:space="preserve">CBECS Proportion of energy consumed by each end use for commercial buildings within climate zone &lt;4000HDD &amp; &lt;2000CDD (EIA, 2003b: Table E1A) </t>
  </si>
  <si>
    <t>6a</t>
  </si>
  <si>
    <t>Ref CBECS table E6A. Electricity Consumption (kWh) Intensities by End Use for All Buildings,
2003</t>
  </si>
  <si>
    <t>Under 2,000 CDD and --</t>
  </si>
  <si>
    <t xml:space="preserve">South Africa Degree days </t>
  </si>
  <si>
    <t xml:space="preserve">  Fewer than 4,000 HDD .......</t>
  </si>
  <si>
    <t xml:space="preserve">6 year average </t>
  </si>
  <si>
    <t>HDD @15.5dC</t>
  </si>
  <si>
    <t>CDD @18dC</t>
  </si>
  <si>
    <t>6b</t>
  </si>
  <si>
    <t>by building activity</t>
  </si>
  <si>
    <t>green book?</t>
  </si>
  <si>
    <t>IEA?</t>
  </si>
  <si>
    <t>terajoule</t>
  </si>
  <si>
    <t>TJ</t>
  </si>
  <si>
    <t>joules</t>
  </si>
  <si>
    <t>gigajoule</t>
  </si>
  <si>
    <t>GJ</t>
  </si>
  <si>
    <t>megajoule</t>
  </si>
  <si>
    <t>MJ</t>
  </si>
  <si>
    <t>kilojoule</t>
  </si>
  <si>
    <t>kJ</t>
  </si>
  <si>
    <t>hectojoule</t>
  </si>
  <si>
    <t>hJ</t>
  </si>
  <si>
    <t>decajoule</t>
  </si>
  <si>
    <t>daJ</t>
  </si>
  <si>
    <t>joule</t>
  </si>
  <si>
    <t>J</t>
  </si>
  <si>
    <t>10a</t>
  </si>
  <si>
    <t xml:space="preserve"> DME energy balance 2001</t>
  </si>
  <si>
    <t xml:space="preserve">10b </t>
  </si>
  <si>
    <t>DME energy balance 2006</t>
  </si>
  <si>
    <t>Floor space projections</t>
  </si>
  <si>
    <t>COMMERCIAL BUILDINGS</t>
  </si>
  <si>
    <t xml:space="preserve">Energy efficient equipment &amp; appliance:
</t>
  </si>
  <si>
    <t>Energy Demand / kWh/m2</t>
  </si>
  <si>
    <t>Energy Output / kWh/m2</t>
  </si>
  <si>
    <t>Renewable power station</t>
  </si>
  <si>
    <t>Nuclear power station</t>
  </si>
  <si>
    <t>Coal power station</t>
  </si>
  <si>
    <t>Diesel generators</t>
  </si>
  <si>
    <t>Electricity</t>
  </si>
  <si>
    <t>LPG</t>
  </si>
  <si>
    <t>Paraffin</t>
  </si>
  <si>
    <t>Wood</t>
  </si>
  <si>
    <t>Coal</t>
  </si>
  <si>
    <t>HFO</t>
  </si>
  <si>
    <t xml:space="preserve">Coal gas </t>
  </si>
  <si>
    <t xml:space="preserve">Solar thermal </t>
  </si>
  <si>
    <t>Technology (efficiency)</t>
  </si>
  <si>
    <t>Space heating</t>
  </si>
  <si>
    <t>Water heating</t>
  </si>
  <si>
    <t>Lighting</t>
  </si>
  <si>
    <t>Cooking</t>
  </si>
  <si>
    <t>Refrigeration</t>
  </si>
  <si>
    <t>Heater 1 (electric)</t>
  </si>
  <si>
    <t>Heater 2 (LPG)</t>
  </si>
  <si>
    <t>Heater 3 (Wood)</t>
  </si>
  <si>
    <t>Heater 4 (coal)</t>
  </si>
  <si>
    <t>Heater 5 (oil)</t>
  </si>
  <si>
    <t>Heater 6 (coal gas)</t>
  </si>
  <si>
    <t>Cooling system 1 (Air cooled chiller)</t>
  </si>
  <si>
    <t>Cooling system 2 (Heat pump)</t>
  </si>
  <si>
    <t>Cooling system 3 (Room air chiller)</t>
  </si>
  <si>
    <t>Cooling system 4 (Central AC)</t>
  </si>
  <si>
    <t>Geyser 1 (electric)</t>
  </si>
  <si>
    <t>Geyser 1a (heat pump)</t>
  </si>
  <si>
    <t>Geyser 1 (solar)</t>
  </si>
  <si>
    <t>Geyser 2 (LPG)</t>
  </si>
  <si>
    <t>Geyser 3 (Paraffin)</t>
  </si>
  <si>
    <t>Geyser 4 (coal)</t>
  </si>
  <si>
    <t>Geyser 5 (oil)</t>
  </si>
  <si>
    <t>Geyser 6 (coal gas)</t>
  </si>
  <si>
    <t>Lamp 1 (CFL)</t>
  </si>
  <si>
    <t>Lamp 2 (Fluorescents)</t>
  </si>
  <si>
    <t>Lamp 3 (Halogen)</t>
  </si>
  <si>
    <t>Lamp 4 (HID's)</t>
  </si>
  <si>
    <t>Lamp 5 (Incandescent)</t>
  </si>
  <si>
    <t>Stove 1 (electric)</t>
  </si>
  <si>
    <t>Stove 2 (gas)</t>
  </si>
  <si>
    <t>Stove 3 (paraffin)</t>
  </si>
  <si>
    <t>Refrigeration 1</t>
  </si>
  <si>
    <t>Other appliances</t>
  </si>
  <si>
    <t>Key</t>
  </si>
  <si>
    <t>Blue -  value calculated in cell</t>
  </si>
  <si>
    <t>Red – value from external source</t>
  </si>
  <si>
    <t>Black – value linked to another cell or spreadsheet</t>
  </si>
  <si>
    <t>unreferenced data – from previous LTMS</t>
  </si>
  <si>
    <t>Floor area data</t>
  </si>
  <si>
    <t>Source</t>
  </si>
  <si>
    <t>Average growth</t>
  </si>
  <si>
    <t>Floor area growth million m2</t>
  </si>
  <si>
    <t>Stats SA 2010 building data</t>
  </si>
  <si>
    <t>Total Floor area million m2</t>
  </si>
  <si>
    <t>Floor area annualised percentage change</t>
  </si>
  <si>
    <t>GDP data used to determine floorspace to growth ratio</t>
  </si>
  <si>
    <t>GDP-E/ZAR - SIC sectors  6, 8 &amp; 9</t>
  </si>
  <si>
    <r>
      <t>Stats SA 2009 4</t>
    </r>
    <r>
      <rPr>
        <vertAlign val="superscript"/>
        <sz val="10"/>
        <rFont val="Arial"/>
        <family val="2"/>
      </rPr>
      <t>th</t>
    </r>
    <r>
      <rPr>
        <sz val="10"/>
        <rFont val="Arial"/>
        <family val="2"/>
      </rPr>
      <t xml:space="preserve"> quarterly report GDP, Table 5</t>
    </r>
  </si>
  <si>
    <t>GDP percentage change %</t>
  </si>
  <si>
    <t>1994-2007</t>
  </si>
  <si>
    <t>2000-2007</t>
  </si>
  <si>
    <t xml:space="preserve">Average GDP Growth for commercial sector </t>
  </si>
  <si>
    <t>Average Floorspace percentage change</t>
  </si>
  <si>
    <t>Floorspace to growth ratio</t>
  </si>
  <si>
    <t>GDP percentage change to estimate floor area growth where floor area data not available</t>
  </si>
  <si>
    <t>Annualised percentage change SIC (6) Trade, catering &amp; accommodation</t>
  </si>
  <si>
    <r>
      <t>Stats SA 2009 4</t>
    </r>
    <r>
      <rPr>
        <vertAlign val="superscript"/>
        <sz val="10"/>
        <rFont val="Arial"/>
        <family val="2"/>
      </rPr>
      <t>th</t>
    </r>
    <r>
      <rPr>
        <sz val="10"/>
        <rFont val="Arial"/>
        <family val="2"/>
      </rPr>
      <t xml:space="preserve"> quarterly report GDP, Table 4</t>
    </r>
  </si>
  <si>
    <t>Annualised percentage change SIC (8) Finance, Property &amp; Business Services</t>
  </si>
  <si>
    <t>Annualised percentage change SIC (9) Community, Social &amp; Personal Services</t>
  </si>
  <si>
    <t>Floor area predictions</t>
  </si>
  <si>
    <t xml:space="preserve">Assumption: 1991- 1992 Floor space grows at  </t>
  </si>
  <si>
    <t>of GDP growth</t>
  </si>
  <si>
    <t xml:space="preserve">Calculation: 1993- 2010 Floor space grows at  </t>
  </si>
  <si>
    <t xml:space="preserve">based on real floor area </t>
  </si>
  <si>
    <t>Floor area / Million square meters</t>
  </si>
  <si>
    <t>SIC sector</t>
  </si>
  <si>
    <t>Percentage share of floor area (REF?)</t>
  </si>
  <si>
    <t>Total [Million square meter]</t>
  </si>
  <si>
    <t>Comparison with GDP method @ 70% growth ratio</t>
  </si>
  <si>
    <t>Comparison with GDP method @ 24% growth ratio</t>
  </si>
  <si>
    <t xml:space="preserve">Comparison with GDP method @ regression equation growth </t>
  </si>
  <si>
    <t>f(x) = 5.346E-5 X + 57.12</t>
  </si>
  <si>
    <t>m</t>
  </si>
  <si>
    <t>C</t>
  </si>
  <si>
    <t>Buildings reported completed to municipalities by type of building</t>
  </si>
  <si>
    <t>Excludes additions &amp; alterations</t>
  </si>
  <si>
    <t>SOUTH AFRICA</t>
  </si>
  <si>
    <t>type</t>
  </si>
  <si>
    <t xml:space="preserve">Total </t>
  </si>
  <si>
    <t>share</t>
  </si>
  <si>
    <t>Office and banking space</t>
  </si>
  <si>
    <t>Other non-residential space</t>
  </si>
  <si>
    <t>MO011993</t>
  </si>
  <si>
    <t>MO021993</t>
  </si>
  <si>
    <t>MO031993</t>
  </si>
  <si>
    <t>MO041993</t>
  </si>
  <si>
    <t>MO051993</t>
  </si>
  <si>
    <t>MO061993</t>
  </si>
  <si>
    <t>MO071993</t>
  </si>
  <si>
    <t>MO081993</t>
  </si>
  <si>
    <t>MO091993</t>
  </si>
  <si>
    <t>MO101993</t>
  </si>
  <si>
    <t>MO111993</t>
  </si>
  <si>
    <t>MO121993</t>
  </si>
  <si>
    <t>MO011994</t>
  </si>
  <si>
    <t>MO021994</t>
  </si>
  <si>
    <t>MO031994</t>
  </si>
  <si>
    <t>MO041994</t>
  </si>
  <si>
    <t>MO051994</t>
  </si>
  <si>
    <t>MO061994</t>
  </si>
  <si>
    <t>MO071994</t>
  </si>
  <si>
    <t>MO081994</t>
  </si>
  <si>
    <t>MO091994</t>
  </si>
  <si>
    <t>MO101994</t>
  </si>
  <si>
    <t>MO111994</t>
  </si>
  <si>
    <t>MO121994</t>
  </si>
  <si>
    <t>MO011995</t>
  </si>
  <si>
    <t>MO021995</t>
  </si>
  <si>
    <t>MO031995</t>
  </si>
  <si>
    <t>MO041995</t>
  </si>
  <si>
    <t>MO051995</t>
  </si>
  <si>
    <t>MO061995</t>
  </si>
  <si>
    <t>MO071995</t>
  </si>
  <si>
    <t>MO081995</t>
  </si>
  <si>
    <t>MO091995</t>
  </si>
  <si>
    <t>MO101995</t>
  </si>
  <si>
    <t>MO111995</t>
  </si>
  <si>
    <t>MO121995</t>
  </si>
  <si>
    <t>MO011996</t>
  </si>
  <si>
    <t>MO021996</t>
  </si>
  <si>
    <t>MO031996</t>
  </si>
  <si>
    <t>MO041996</t>
  </si>
  <si>
    <t>MO051996</t>
  </si>
  <si>
    <t>MO061996</t>
  </si>
  <si>
    <t>MO071996</t>
  </si>
  <si>
    <t>MO081996</t>
  </si>
  <si>
    <t>MO091996</t>
  </si>
  <si>
    <t>MO101996</t>
  </si>
  <si>
    <t>MO111996</t>
  </si>
  <si>
    <t>MO121996</t>
  </si>
  <si>
    <t>MO011997</t>
  </si>
  <si>
    <t>MO021997</t>
  </si>
  <si>
    <t>MO031997</t>
  </si>
  <si>
    <t>MO041997</t>
  </si>
  <si>
    <t>MO051997</t>
  </si>
  <si>
    <t>MO061997</t>
  </si>
  <si>
    <t>MO071997</t>
  </si>
  <si>
    <t>MO081997</t>
  </si>
  <si>
    <t>MO091997</t>
  </si>
  <si>
    <t>MO101997</t>
  </si>
  <si>
    <t>MO111997</t>
  </si>
  <si>
    <t>MO121997</t>
  </si>
  <si>
    <t>MO011998</t>
  </si>
  <si>
    <t>MO021998</t>
  </si>
  <si>
    <t>MO031998</t>
  </si>
  <si>
    <t>MO041998</t>
  </si>
  <si>
    <t>MO051998</t>
  </si>
  <si>
    <t>MO061998</t>
  </si>
  <si>
    <t>MO071998</t>
  </si>
  <si>
    <t>MO081998</t>
  </si>
  <si>
    <t>MO091998</t>
  </si>
  <si>
    <t>MO101998</t>
  </si>
  <si>
    <t>MO111998</t>
  </si>
  <si>
    <t>MO121998</t>
  </si>
  <si>
    <t>MO011999</t>
  </si>
  <si>
    <t>MO021999</t>
  </si>
  <si>
    <t>MO031999</t>
  </si>
  <si>
    <t>MO041999</t>
  </si>
  <si>
    <t>MO051999</t>
  </si>
  <si>
    <t>MO061999</t>
  </si>
  <si>
    <t>MO071999</t>
  </si>
  <si>
    <t>MO081999</t>
  </si>
  <si>
    <t>MO091999</t>
  </si>
  <si>
    <t>MO101999</t>
  </si>
  <si>
    <t>MO111999</t>
  </si>
  <si>
    <t>MO121999</t>
  </si>
  <si>
    <t>MO012000</t>
  </si>
  <si>
    <t>MO022000</t>
  </si>
  <si>
    <t>MO032000</t>
  </si>
  <si>
    <t>MO042000</t>
  </si>
  <si>
    <t>MO052000</t>
  </si>
  <si>
    <t>MO062000</t>
  </si>
  <si>
    <t>MO072000</t>
  </si>
  <si>
    <t>MO082000</t>
  </si>
  <si>
    <t>MO092000</t>
  </si>
  <si>
    <t>MO102000</t>
  </si>
  <si>
    <t>MO112000</t>
  </si>
  <si>
    <t>MO122000</t>
  </si>
  <si>
    <t>MO012001</t>
  </si>
  <si>
    <t>MO022001</t>
  </si>
  <si>
    <t>MO032001</t>
  </si>
  <si>
    <t>MO042001</t>
  </si>
  <si>
    <t>MO052001</t>
  </si>
  <si>
    <t>MO062001</t>
  </si>
  <si>
    <t>MO072001</t>
  </si>
  <si>
    <t>MO082001</t>
  </si>
  <si>
    <t>MO092001</t>
  </si>
  <si>
    <t>MO102001</t>
  </si>
  <si>
    <t>MO112001</t>
  </si>
  <si>
    <t>MO122001</t>
  </si>
  <si>
    <t>MO012002</t>
  </si>
  <si>
    <t>MO022002</t>
  </si>
  <si>
    <t>MO032002</t>
  </si>
  <si>
    <t>MO042002</t>
  </si>
  <si>
    <t>MO052002</t>
  </si>
  <si>
    <t>MO062002</t>
  </si>
  <si>
    <t>MO072002</t>
  </si>
  <si>
    <t>MO082002</t>
  </si>
  <si>
    <t>MO092002</t>
  </si>
  <si>
    <t>MO102002</t>
  </si>
  <si>
    <t>MO112002</t>
  </si>
  <si>
    <t>MO122002</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</si>
  <si>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</si>
  <si>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</si>
  <si>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</si>
  <si>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</si>
  <si>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</si>
  <si>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</si>
  <si>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</si>
  <si>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</si>
  <si>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</si>
  <si>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</si>
  <si>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</si>
  <si>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</si>
  <si>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</si>
  <si>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</si>
  <si>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</si>
  <si>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</si>
  <si>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</si>
  <si>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</si>
  <si>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</si>
  <si>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</si>
  <si>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</si>
  <si>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</si>
  <si>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</si>
  <si>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</si>
  <si>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</si>
  <si>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</si>
  <si>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</si>
  <si>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</si>
  <si>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</si>
  <si>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</si>
  <si>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</si>
  <si>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</si>
  <si>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</si>
  <si>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</si>
  <si>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</si>
  <si>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</si>
  <si>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</si>
  <si>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</si>
  <si>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</si>
  <si>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</si>
  <si>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</si>
  <si>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</si>
  <si>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</si>
  <si>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</si>
  <si>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</si>
  <si>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</si>
  <si>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</si>
  <si>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</si>
  <si>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</si>
  <si>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</si>
  <si>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</si>
  <si>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</si>
  <si>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</si>
  <si>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</si>
  <si>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</si>
  <si>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</si>
  <si>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</si>
  <si>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</si>
  <si>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</si>
  <si>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</si>
  <si>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</si>
  <si>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</si>
  <si>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</si>
  <si>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</si>
  <si>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</si>
  <si>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</si>
  <si>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</si>
  <si>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</si>
  <si>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</si>
  <si>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</si>
  <si>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</si>
  <si>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</si>
  <si>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</si>
  <si>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</si>
  <si>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</si>
  <si>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</si>
  <si>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</si>
  <si>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</si>
  <si>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</si>
  <si>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</si>
  <si>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</si>
  <si>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</si>
  <si>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</si>
  <si>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</si>
  <si>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</si>
  <si>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Devilliers 2000 unreferenced data</t>
  </si>
  <si>
    <t>Blue = calculated value</t>
  </si>
  <si>
    <t>Red = value from external source</t>
  </si>
  <si>
    <t>Updated from latest stats SA data</t>
  </si>
  <si>
    <t xml:space="preserve">Calculated from GDP growth </t>
  </si>
  <si>
    <t>Percentage share of floor area</t>
  </si>
  <si>
    <t>1992 excluding warehouse</t>
  </si>
  <si>
    <t>Floor space 1993 – 2006</t>
  </si>
  <si>
    <t>South Africa</t>
  </si>
  <si>
    <t>Year</t>
  </si>
  <si>
    <t>Floor area growth million m2 SOUTH AFRICA</t>
  </si>
  <si>
    <t>Total Floor area SA</t>
  </si>
  <si>
    <t>Energy use in the commercial sector by fuel:</t>
  </si>
  <si>
    <t>Fuel</t>
  </si>
  <si>
    <t>2006/ TJ</t>
  </si>
  <si>
    <t xml:space="preserve">Ref </t>
  </si>
  <si>
    <t>electricity</t>
  </si>
  <si>
    <t>1992-2006 Disaggregated Balance v1.xls</t>
  </si>
  <si>
    <t>as previous LTMS</t>
  </si>
  <si>
    <t>paraffin</t>
  </si>
  <si>
    <t>coal</t>
  </si>
  <si>
    <t>bitumous coal</t>
  </si>
  <si>
    <t>residual fuel</t>
  </si>
  <si>
    <t>methane rich gas</t>
  </si>
  <si>
    <t>gas works gas (coal gas)</t>
  </si>
  <si>
    <t>Petrol</t>
  </si>
  <si>
    <t>motor gasoline</t>
  </si>
  <si>
    <t>Diesel</t>
  </si>
  <si>
    <t>gas diesel</t>
  </si>
  <si>
    <t>Renewables</t>
  </si>
  <si>
    <t>-</t>
  </si>
  <si>
    <t>Residual oil</t>
  </si>
  <si>
    <t>Gas</t>
  </si>
  <si>
    <t>1994 Weighted average by fuel and end use ref 4a</t>
  </si>
  <si>
    <t>MJ/m2</t>
  </si>
  <si>
    <t xml:space="preserve">Space heating </t>
  </si>
  <si>
    <t xml:space="preserve">Water heating </t>
  </si>
  <si>
    <t xml:space="preserve">Cooling &amp; ventilation </t>
  </si>
  <si>
    <t xml:space="preserve">Refrigeration </t>
  </si>
  <si>
    <t xml:space="preserve">Cooking </t>
  </si>
  <si>
    <t>Town gas</t>
  </si>
  <si>
    <t xml:space="preserve">weighted average by end use </t>
  </si>
  <si>
    <t>1994 Data by building activity &amp; end use ref 4a</t>
  </si>
  <si>
    <t xml:space="preserve">Million m2 </t>
  </si>
  <si>
    <t xml:space="preserve">Weighted Average </t>
  </si>
  <si>
    <t>1994 Data by building activity &amp; fuel ref 4a</t>
  </si>
  <si>
    <t>Electricity MJ/m2</t>
  </si>
  <si>
    <t>Residual Oil</t>
  </si>
  <si>
    <t>Town Gas</t>
  </si>
  <si>
    <t>2001 Energy Data REF 10a</t>
  </si>
  <si>
    <t>2001 Floor area Data  ref 11</t>
  </si>
  <si>
    <t xml:space="preserve">Total commercial floor area </t>
  </si>
  <si>
    <t>million sqm</t>
  </si>
  <si>
    <t xml:space="preserve">2001 weighted average by fuel and end use </t>
  </si>
  <si>
    <t xml:space="preserve">Total  </t>
  </si>
  <si>
    <t>1994 data used as basis for above calculation ref 4a</t>
  </si>
  <si>
    <t xml:space="preserve">Electricity </t>
  </si>
  <si>
    <t xml:space="preserve">Paraffin </t>
  </si>
  <si>
    <t xml:space="preserve">Coal </t>
  </si>
  <si>
    <t xml:space="preserve">HFO </t>
  </si>
  <si>
    <t xml:space="preserve">Wood </t>
  </si>
  <si>
    <t xml:space="preserve">Diesel </t>
  </si>
  <si>
    <t>All fuels</t>
  </si>
  <si>
    <t>Total MJ/m2</t>
  </si>
  <si>
    <t>kWh/m2</t>
  </si>
  <si>
    <t>Total  MJ/m2</t>
  </si>
  <si>
    <t>2006 AQD</t>
  </si>
  <si>
    <t>Share of floor area by building activity – source stats SA 1993-2007</t>
  </si>
  <si>
    <t>Devilliers</t>
  </si>
  <si>
    <t>Stats SA 1993-2006</t>
  </si>
  <si>
    <t xml:space="preserve">Electricity MJ/m2 </t>
  </si>
  <si>
    <t xml:space="preserve">Weighted Electricity MJ/m2 </t>
  </si>
  <si>
    <t>weighted average</t>
  </si>
  <si>
    <t xml:space="preserve">weighted averager as share of total </t>
  </si>
  <si>
    <t>2006 calculation for other fuels from AQD data 2006 for Cape Town</t>
  </si>
  <si>
    <t>Total  GJ</t>
  </si>
  <si>
    <t>space heating</t>
  </si>
  <si>
    <t>water heating</t>
  </si>
  <si>
    <t>From Cape Town AQD</t>
  </si>
  <si>
    <t>retail</t>
  </si>
  <si>
    <t>accommodation</t>
  </si>
  <si>
    <t>office</t>
  </si>
  <si>
    <t>Education</t>
  </si>
  <si>
    <t>healthcare</t>
  </si>
  <si>
    <t>other</t>
  </si>
  <si>
    <t xml:space="preserve">Energy consumption for building activity group by end use </t>
  </si>
  <si>
    <t xml:space="preserve">share of fuel consumed </t>
  </si>
  <si>
    <t>heating</t>
  </si>
  <si>
    <t>Conversion factors</t>
  </si>
  <si>
    <t>Convert MJ to kWh divide by</t>
  </si>
  <si>
    <t>Convert C to CO2 divide by</t>
  </si>
  <si>
    <t>End use comparison between years</t>
  </si>
  <si>
    <t>Comments</t>
  </si>
  <si>
    <t>Updated total energy consumption &amp; total floor area to 2001 values</t>
  </si>
  <si>
    <t>2006c</t>
  </si>
  <si>
    <t>Based on Tom's spreadsheet ref 1</t>
  </si>
  <si>
    <t>Efficiency</t>
  </si>
  <si>
    <t>Site</t>
  </si>
  <si>
    <t>Space Heating</t>
  </si>
  <si>
    <t xml:space="preserve">Appliance Description </t>
  </si>
  <si>
    <t xml:space="preserve">Fuel </t>
  </si>
  <si>
    <t>Total fuel consumption in 2006/TJ</t>
  </si>
  <si>
    <t>Share  of total fuel consumption</t>
  </si>
  <si>
    <t>Share of fuel used by appliance</t>
  </si>
  <si>
    <t>Efficiency 2000</t>
  </si>
  <si>
    <t>Efficiency 2008</t>
  </si>
  <si>
    <t>% annual improvement</t>
  </si>
  <si>
    <t>Efficiency 2006</t>
  </si>
  <si>
    <t>Energy Demand/ TJ/annum</t>
  </si>
  <si>
    <t>Useful energy  TJ/annum</t>
  </si>
  <si>
    <t>Heating system 1</t>
  </si>
  <si>
    <t>Heating system 2</t>
  </si>
  <si>
    <t>Heating system 3</t>
  </si>
  <si>
    <t>Heating system 4</t>
  </si>
  <si>
    <t>Heating system 5</t>
  </si>
  <si>
    <t>oil</t>
  </si>
  <si>
    <t>Heating system 6</t>
  </si>
  <si>
    <t>natural gas</t>
  </si>
  <si>
    <t>Water Heating</t>
  </si>
  <si>
    <t>Geyser 1</t>
  </si>
  <si>
    <t>Geyser 2</t>
  </si>
  <si>
    <t>Geyser 3</t>
  </si>
  <si>
    <t>Geyser 4</t>
  </si>
  <si>
    <t>Geyser 5</t>
  </si>
  <si>
    <t>Geyser 6</t>
  </si>
  <si>
    <t>Stove 1</t>
  </si>
  <si>
    <t>Stove 2</t>
  </si>
  <si>
    <t>Stove 3</t>
  </si>
  <si>
    <t>Appliance 1</t>
  </si>
  <si>
    <t>Computers</t>
  </si>
  <si>
    <t>Appliance 2</t>
  </si>
  <si>
    <t>Appliance 3</t>
  </si>
  <si>
    <t>residual oil</t>
  </si>
  <si>
    <t>COP</t>
  </si>
  <si>
    <t>Toms calcs</t>
  </si>
  <si>
    <t>COP 2000</t>
  </si>
  <si>
    <t>COP 2008</t>
  </si>
  <si>
    <t>COP 2006</t>
  </si>
  <si>
    <t>weighted average COP</t>
  </si>
  <si>
    <t>Consumption [TJ]</t>
  </si>
  <si>
    <t>Output [Index]</t>
  </si>
  <si>
    <t>Cooling system 1</t>
  </si>
  <si>
    <t>Air Cooled chiller</t>
  </si>
  <si>
    <t>Cooling system 2</t>
  </si>
  <si>
    <t>Central</t>
  </si>
  <si>
    <t>Cooling system 3</t>
  </si>
  <si>
    <t>Heat pump air</t>
  </si>
  <si>
    <t>Cooling system 4</t>
  </si>
  <si>
    <t>Room</t>
  </si>
  <si>
    <t>Electric  fridge</t>
  </si>
  <si>
    <t>Relative efficiency</t>
  </si>
  <si>
    <t>Relative Efficiency 2000</t>
  </si>
  <si>
    <t>Relative Efficiency 2008</t>
  </si>
  <si>
    <t>Relative Efficiency 2006</t>
  </si>
  <si>
    <t>Lamp 1</t>
  </si>
  <si>
    <t>CFL</t>
  </si>
  <si>
    <t>Lamp 2</t>
  </si>
  <si>
    <t>Fluorescent</t>
  </si>
  <si>
    <t>Lamp 3</t>
  </si>
  <si>
    <t>Halogen</t>
  </si>
  <si>
    <t>Lamp 4</t>
  </si>
  <si>
    <t>HID</t>
  </si>
  <si>
    <t>Lamp 5</t>
  </si>
  <si>
    <t>Incandescent</t>
  </si>
  <si>
    <t>Summary</t>
  </si>
  <si>
    <t>1994 (de villiers) energy demand</t>
  </si>
  <si>
    <t xml:space="preserve">2001 (Tom) energy demand </t>
  </si>
  <si>
    <t>2006 energy demand from sales data</t>
  </si>
  <si>
    <t>2006 energy demand from above calcs</t>
  </si>
  <si>
    <t xml:space="preserve">2006 useful energy from above calcs </t>
  </si>
  <si>
    <t>2006 energy demand toms method</t>
  </si>
  <si>
    <t>2006 useful energy toms method</t>
  </si>
  <si>
    <t>MJ/M2</t>
  </si>
  <si>
    <t>OLD assumptions for efficiencies</t>
  </si>
  <si>
    <t>Note: for cooling and refrigeration this is COP: coefficient of performance - ratio of output heat to supplied work</t>
  </si>
  <si>
    <t>Note: efficiencies for lighting are relative to incandescent lights.  Ie assume 100% for incandescent and calculate the other efficiencies relative to that</t>
  </si>
  <si>
    <t>fuel consumed</t>
  </si>
  <si>
    <t>device</t>
  </si>
  <si>
    <t>base year 2001</t>
  </si>
  <si>
    <t>Ref 1</t>
  </si>
  <si>
    <t>Ref 2</t>
  </si>
  <si>
    <t>air cooled chillers</t>
  </si>
  <si>
    <t>central air conditioners</t>
  </si>
  <si>
    <t>heat pumps</t>
  </si>
  <si>
    <t>room air chillers</t>
  </si>
  <si>
    <t>lighting</t>
  </si>
  <si>
    <t>Fluorescents</t>
  </si>
  <si>
    <t>HID's</t>
  </si>
  <si>
    <t>refrigeration</t>
  </si>
  <si>
    <t>heaters</t>
  </si>
  <si>
    <t>heaters/boilers</t>
  </si>
  <si>
    <t>Methane rich gas</t>
  </si>
  <si>
    <t>boilers</t>
  </si>
  <si>
    <t>Heat pump</t>
  </si>
  <si>
    <t>Solar water heater</t>
  </si>
  <si>
    <t>Other appliances?</t>
  </si>
  <si>
    <t>appliances</t>
  </si>
  <si>
    <t>elec</t>
  </si>
  <si>
    <t xml:space="preserve">Year </t>
  </si>
  <si>
    <t>Reduction factor</t>
  </si>
  <si>
    <t>Floor area[Million square meters]</t>
  </si>
  <si>
    <t>Energy demand [TJ]</t>
  </si>
  <si>
    <t>Useful energy [TJ]</t>
  </si>
  <si>
    <t>REGIONS</t>
  </si>
  <si>
    <t>_GLOBAL,REGION1</t>
  </si>
  <si>
    <t>Base Year Energy Balance</t>
  </si>
  <si>
    <t>Commerce</t>
  </si>
  <si>
    <t>Base-year final energy aggregated by sector fuel</t>
  </si>
  <si>
    <t>Entry #</t>
  </si>
  <si>
    <t>Fuel #</t>
  </si>
  <si>
    <t>Commercial</t>
  </si>
  <si>
    <t>Total</t>
  </si>
  <si>
    <t>Sectoral Fuel Names</t>
  </si>
  <si>
    <t>COM</t>
  </si>
  <si>
    <t>PJ</t>
  </si>
  <si>
    <t>Emission Factors</t>
  </si>
  <si>
    <t>kt/PJ</t>
  </si>
  <si>
    <t>Carbon Dioxide</t>
  </si>
  <si>
    <t>CO2</t>
  </si>
  <si>
    <t>Methane</t>
  </si>
  <si>
    <t>CH4</t>
  </si>
  <si>
    <t>Nitrous Oxide</t>
  </si>
  <si>
    <t>N2O</t>
  </si>
  <si>
    <t>Sulphur Gases</t>
  </si>
  <si>
    <t>SOX</t>
  </si>
  <si>
    <t>Nitrogen Gases</t>
  </si>
  <si>
    <t>NOX</t>
  </si>
  <si>
    <t>Distribution Losses</t>
  </si>
  <si>
    <t>Distribution Capacity (estimate)</t>
  </si>
  <si>
    <t>PJa</t>
  </si>
  <si>
    <t>End use demands</t>
  </si>
  <si>
    <t>Demand</t>
  </si>
  <si>
    <t>H</t>
  </si>
  <si>
    <t>K</t>
  </si>
  <si>
    <t>L</t>
  </si>
  <si>
    <t>R</t>
  </si>
  <si>
    <t>W</t>
  </si>
  <si>
    <t>O</t>
  </si>
  <si>
    <t>End-use Shares by Fuel - All sourced from Interim report (other than LPG)</t>
  </si>
  <si>
    <t>End-use Fractional Shares by Sub-sector</t>
  </si>
  <si>
    <t>Demand ID</t>
  </si>
  <si>
    <t>End-use Final Energy Consumption by Sub-sector (PJ)</t>
  </si>
  <si>
    <t>~FI_T</t>
  </si>
  <si>
    <t>TechDesc</t>
  </si>
  <si>
    <t>TechName</t>
  </si>
  <si>
    <t>Comm-IN</t>
  </si>
  <si>
    <t>Comm-Out</t>
  </si>
  <si>
    <t>EFF</t>
  </si>
  <si>
    <t>AFA</t>
  </si>
  <si>
    <t>Life</t>
  </si>
  <si>
    <t>STOCK</t>
  </si>
  <si>
    <t xml:space="preserve"> \I:Technology Description</t>
  </si>
  <si>
    <t>Technology Name</t>
  </si>
  <si>
    <t>Input Commodity</t>
  </si>
  <si>
    <t>Useful Energy Service</t>
  </si>
  <si>
    <t>Utlisation</t>
  </si>
  <si>
    <t>Lifetime</t>
  </si>
  <si>
    <t>Existing Installed Cap.</t>
  </si>
  <si>
    <t>Base Year Technology Share</t>
  </si>
  <si>
    <t>Final Energy</t>
  </si>
  <si>
    <t>Useful Energy</t>
  </si>
  <si>
    <t>Tech Data Source</t>
  </si>
  <si>
    <t>Row #</t>
  </si>
  <si>
    <t>\I: Units</t>
  </si>
  <si>
    <t>(sum OUT/IN)</t>
  </si>
  <si>
    <t>(Fraction)</t>
  </si>
  <si>
    <t>(Years)</t>
  </si>
  <si>
    <t>(PJa)</t>
  </si>
  <si>
    <t>(%)</t>
  </si>
  <si>
    <t>(PJ)</t>
  </si>
  <si>
    <t>\I:</t>
  </si>
  <si>
    <t>\I: Share Check &amp; sub-totals</t>
  </si>
  <si>
    <t>\I: Total number of tech entries</t>
  </si>
  <si>
    <t>ITEMS</t>
  </si>
  <si>
    <t>REGION1</t>
  </si>
  <si>
    <t>* Fuel #</t>
  </si>
  <si>
    <t>*</t>
  </si>
  <si>
    <t>Comp</t>
  </si>
  <si>
    <t>Name</t>
  </si>
  <si>
    <t>Description</t>
  </si>
  <si>
    <t>Unit(s)</t>
  </si>
  <si>
    <t>Set Memberships</t>
  </si>
  <si>
    <t>Comment</t>
  </si>
  <si>
    <t>Sector Fuels</t>
  </si>
  <si>
    <t>Demand Techs</t>
  </si>
  <si>
    <t>TS DATA</t>
  </si>
  <si>
    <t>Parameter #</t>
  </si>
  <si>
    <t>row #</t>
  </si>
  <si>
    <t>Col #</t>
  </si>
  <si>
    <t>Parameter</t>
  </si>
  <si>
    <t>Arg1</t>
  </si>
  <si>
    <t>Arg2</t>
  </si>
  <si>
    <t>Arg3</t>
  </si>
  <si>
    <t>Arg4</t>
  </si>
  <si>
    <t>Arg5</t>
  </si>
  <si>
    <t>Arg6</t>
  </si>
  <si>
    <t>I/E Opt
or Value</t>
  </si>
  <si>
    <t>*1</t>
  </si>
  <si>
    <t>ACT_EFF</t>
  </si>
  <si>
    <t>Process</t>
  </si>
  <si>
    <t>ACTGRP</t>
  </si>
  <si>
    <t>ANNUAL</t>
  </si>
  <si>
    <t>*2</t>
  </si>
  <si>
    <t>NCAP_AFA</t>
  </si>
  <si>
    <t>UP</t>
  </si>
  <si>
    <t>*3</t>
  </si>
  <si>
    <t>NCAP_BND</t>
  </si>
  <si>
    <t>*4</t>
  </si>
  <si>
    <t>NCAP_TLIFE</t>
  </si>
  <si>
    <t>*5</t>
  </si>
  <si>
    <t>PRC_RESID</t>
  </si>
  <si>
    <t>TID DATA</t>
  </si>
  <si>
    <t>Value</t>
  </si>
  <si>
    <t>PRC_ACTUNT</t>
  </si>
  <si>
    <t>CommGroup</t>
  </si>
  <si>
    <t>PRC_CAPACT</t>
  </si>
  <si>
    <t>TOP-OUT</t>
  </si>
  <si>
    <t>Commodity</t>
  </si>
  <si>
    <t>TOP-IN</t>
  </si>
  <si>
    <t>* Entry #</t>
  </si>
  <si>
    <t>Demand Commodities</t>
  </si>
  <si>
    <t>E</t>
  </si>
  <si>
    <t>COM,DEM,DAYNITE,RES</t>
  </si>
  <si>
    <t>Fuel Commodities</t>
  </si>
  <si>
    <t>COM,NRG,DAYNITE,ELC</t>
  </si>
  <si>
    <t>Emission Commodities</t>
  </si>
  <si>
    <t>KT</t>
  </si>
  <si>
    <t>COM,ENV,ANNUAL,GHG</t>
  </si>
  <si>
    <t>COM_PROJ</t>
  </si>
  <si>
    <t>NCAP_COST</t>
  </si>
  <si>
    <t>eps</t>
  </si>
  <si>
    <t>COA</t>
  </si>
  <si>
    <t>ELC</t>
  </si>
  <si>
    <t>GAS</t>
  </si>
  <si>
    <t>COM_FR</t>
  </si>
  <si>
    <t>TimeSlice</t>
  </si>
  <si>
    <t>INVCOST</t>
  </si>
  <si>
    <t>FIXOM</t>
  </si>
  <si>
    <t>Investment Cost</t>
  </si>
  <si>
    <t>Fixed O&amp;M Cost</t>
  </si>
  <si>
    <t>2005R/PJa</t>
  </si>
  <si>
    <t>2005R/PJ-a</t>
  </si>
  <si>
    <t>*6</t>
  </si>
  <si>
    <t>NCAP_FOM</t>
  </si>
  <si>
    <t>Source:</t>
  </si>
  <si>
    <t>Inv Cost (US$)</t>
  </si>
  <si>
    <t>CPI Index</t>
  </si>
  <si>
    <t>OLD LTMS Check</t>
  </si>
  <si>
    <t>US NEMS costs</t>
  </si>
  <si>
    <t>2001 Rand value</t>
  </si>
  <si>
    <t>2007 Rand value</t>
  </si>
  <si>
    <t>no cooking</t>
  </si>
  <si>
    <t>no cost</t>
  </si>
  <si>
    <t>Inv cost</t>
  </si>
  <si>
    <t>margin on stock</t>
  </si>
  <si>
    <t>Base Year Tech Share</t>
  </si>
  <si>
    <t>Upper Limit</t>
  </si>
  <si>
    <t>Lower Limit</t>
  </si>
  <si>
    <t>All</t>
  </si>
  <si>
    <t>Import Options [All or Limits only?]</t>
  </si>
  <si>
    <t>Default Upper Limits</t>
  </si>
  <si>
    <t>Default Lower Limits</t>
  </si>
  <si>
    <t>FLO_MARK</t>
  </si>
  <si>
    <t>U</t>
  </si>
  <si>
    <t>LO</t>
  </si>
  <si>
    <t>Oil Diesel</t>
  </si>
  <si>
    <t>ODS</t>
  </si>
  <si>
    <t>Oil Gasoline</t>
  </si>
  <si>
    <t>OGS</t>
  </si>
  <si>
    <t>Oil HFO</t>
  </si>
  <si>
    <t>OHF</t>
  </si>
  <si>
    <t>Oil LPG</t>
  </si>
  <si>
    <t>OLP</t>
  </si>
  <si>
    <t>Oil Paraffin</t>
  </si>
  <si>
    <t>OKE</t>
  </si>
  <si>
    <t>Commerce takes remainder in balance after res and ag subtracted</t>
  </si>
  <si>
    <t>BRYCE - Lights + water</t>
  </si>
  <si>
    <t>Public Lighting</t>
  </si>
  <si>
    <t xml:space="preserve">H </t>
  </si>
  <si>
    <t>Public water</t>
  </si>
  <si>
    <t>old lighting</t>
  </si>
  <si>
    <t>old other</t>
  </si>
  <si>
    <t>Public lighting</t>
  </si>
  <si>
    <t>pubic water</t>
  </si>
  <si>
    <t>Public lights</t>
  </si>
  <si>
    <t>public water</t>
  </si>
  <si>
    <t>Public Lights</t>
  </si>
  <si>
    <t>Public Water</t>
  </si>
  <si>
    <t>T</t>
  </si>
  <si>
    <t>G</t>
  </si>
  <si>
    <t>Lamp 6</t>
  </si>
  <si>
    <t>Lamp 7</t>
  </si>
  <si>
    <t>Lamp 8</t>
  </si>
  <si>
    <t>Lamp 9</t>
  </si>
  <si>
    <t>Lamp 11</t>
  </si>
  <si>
    <t>LED</t>
  </si>
  <si>
    <t>Lamp 12</t>
  </si>
  <si>
    <t>Public lighting tech shares</t>
  </si>
  <si>
    <t>HPS</t>
  </si>
  <si>
    <t>MV</t>
  </si>
  <si>
    <t>45 -130</t>
  </si>
  <si>
    <t>13 -48</t>
  </si>
  <si>
    <t>Lm/W</t>
  </si>
  <si>
    <t>Incand</t>
  </si>
  <si>
    <t>11 -20</t>
  </si>
  <si>
    <t>60-100</t>
  </si>
  <si>
    <t>MH</t>
  </si>
  <si>
    <t>SEA efficient public lighting guide</t>
  </si>
  <si>
    <t>Assumptions loosly on</t>
  </si>
  <si>
    <t>CT budget for public lights</t>
  </si>
  <si>
    <t>Fuel shares</t>
  </si>
  <si>
    <t>Pumps 1</t>
  </si>
  <si>
    <t>Pumps 2</t>
  </si>
  <si>
    <t>Reticulation</t>
  </si>
  <si>
    <t>R/kW</t>
  </si>
  <si>
    <t>From SEA: cost of luminaire is almost twice HPS</t>
  </si>
  <si>
    <t>Country Name</t>
  </si>
  <si>
    <t>Multiplier</t>
  </si>
  <si>
    <t>GDP deflator (annual change %) for South Africa from "The World Bank"</t>
  </si>
  <si>
    <t>http://search.worldbank.org/data?qterm=gdp%20deflator%20%22south%20africa%22&amp;language=EN</t>
  </si>
  <si>
    <t>updated November 2012</t>
  </si>
  <si>
    <t>Year to Convert from</t>
  </si>
  <si>
    <t>Rands</t>
  </si>
  <si>
    <t>Year to Convert to</t>
  </si>
  <si>
    <t>Conversion factor</t>
  </si>
  <si>
    <t>multipy by</t>
  </si>
  <si>
    <t>or divide by</t>
  </si>
  <si>
    <t>Minister of Energy</t>
  </si>
  <si>
    <t>2012R</t>
  </si>
  <si>
    <t>R per connection</t>
  </si>
  <si>
    <t>urban</t>
  </si>
  <si>
    <t>GDP deflator (annual change %) for US from "The World Bank"</t>
  </si>
  <si>
    <t>rural</t>
  </si>
  <si>
    <t>2010R</t>
  </si>
  <si>
    <t>United States</t>
  </si>
  <si>
    <t>2010$</t>
  </si>
  <si>
    <t>kW/con.</t>
  </si>
  <si>
    <t xml:space="preserve">Official Exchange Rate (LCU per US$, period average) </t>
  </si>
  <si>
    <t>$/kW</t>
  </si>
  <si>
    <t>Real effective exchange rate index (2005 = 100)</t>
  </si>
  <si>
    <t>Conversion example</t>
  </si>
  <si>
    <t>Initial exchange rate</t>
  </si>
  <si>
    <t>2010 R/2010$</t>
  </si>
  <si>
    <t>New Exchange rate</t>
  </si>
  <si>
    <t>2012 R/2012$</t>
  </si>
  <si>
    <t>Share of local content (2010)</t>
  </si>
  <si>
    <t>Nuclear IRP</t>
  </si>
  <si>
    <t>2010 R/kW</t>
  </si>
  <si>
    <t>CPI</t>
  </si>
  <si>
    <t>2010 $/kW</t>
  </si>
  <si>
    <t>Cost of local content</t>
  </si>
  <si>
    <t>Cost of imported content</t>
  </si>
  <si>
    <t>Method 1</t>
  </si>
  <si>
    <t>New Nuclear</t>
  </si>
  <si>
    <t>2012 $/kW</t>
  </si>
  <si>
    <t>Cost of domestic content</t>
  </si>
  <si>
    <t>2012 R/kW</t>
  </si>
  <si>
    <t xml:space="preserve">Total Cost </t>
  </si>
  <si>
    <t>MYPD Nuclear</t>
  </si>
  <si>
    <t>2012$/kW</t>
  </si>
  <si>
    <t>IDC</t>
  </si>
  <si>
    <t>Overnight</t>
  </si>
  <si>
    <t>2010$/kW</t>
  </si>
  <si>
    <t>2010R/kW</t>
  </si>
  <si>
    <t>MHL</t>
  </si>
  <si>
    <t>INCandescent</t>
  </si>
  <si>
    <t>HALogen</t>
  </si>
  <si>
    <t>CN</t>
  </si>
  <si>
    <t>CE</t>
  </si>
  <si>
    <t>CEH</t>
  </si>
  <si>
    <t>CEK</t>
  </si>
  <si>
    <t>CEL</t>
  </si>
  <si>
    <t>CER</t>
  </si>
  <si>
    <t>CEW</t>
  </si>
  <si>
    <t>CEG</t>
  </si>
  <si>
    <t>CET</t>
  </si>
  <si>
    <t>CEO</t>
  </si>
  <si>
    <t>CEC</t>
  </si>
  <si>
    <t>CNC</t>
  </si>
  <si>
    <t>CNK</t>
  </si>
  <si>
    <t>CNL</t>
  </si>
  <si>
    <t>CNR</t>
  </si>
  <si>
    <t>CNW</t>
  </si>
  <si>
    <t>CNG</t>
  </si>
  <si>
    <t>CNT</t>
  </si>
  <si>
    <t>CNO</t>
  </si>
  <si>
    <t>2010 Rands</t>
  </si>
  <si>
    <t>ZAR</t>
  </si>
  <si>
    <t xml:space="preserve"> </t>
  </si>
  <si>
    <t xml:space="preserve">added in new building profiles in here. They are just the same as existing building profiles. </t>
  </si>
  <si>
    <t xml:space="preserve"> 2005 $1 =</t>
  </si>
  <si>
    <t>million rand</t>
  </si>
  <si>
    <t>hospitals</t>
  </si>
  <si>
    <t>per hospital</t>
  </si>
  <si>
    <t>refurb coal boiler for either gas or diesel</t>
  </si>
  <si>
    <t>Study by iGas suggests:</t>
  </si>
  <si>
    <t>billion rand</t>
  </si>
  <si>
    <t xml:space="preserve">for </t>
  </si>
  <si>
    <t xml:space="preserve">km of pipeline to </t>
  </si>
  <si>
    <t>Hospitals in GP.</t>
  </si>
  <si>
    <t>Rm/km</t>
  </si>
  <si>
    <t>http://www.iol.co.za/news/south-africa/gauteng/gauteng-budgets-r300m-for-hospital-boilers-1.1525200#.UwNfafmSwSU</t>
  </si>
  <si>
    <t>1.068MWe</t>
  </si>
  <si>
    <t>2 x ICE</t>
  </si>
  <si>
    <t>MW</t>
  </si>
  <si>
    <t>3x chillers</t>
  </si>
  <si>
    <t>kWth</t>
  </si>
  <si>
    <t>Fuel consumed:</t>
  </si>
  <si>
    <t>Million m3/yr</t>
  </si>
  <si>
    <t>chilled water energy output</t>
  </si>
  <si>
    <t>MWh(th)/yr</t>
  </si>
  <si>
    <t>CF</t>
  </si>
  <si>
    <t>Project design document form (CDM-SSC-PDD) version 03</t>
  </si>
  <si>
    <t>Clean development mechanism project design document form</t>
  </si>
  <si>
    <t>"Trigeneration at moble tephone networks (MTN), 14th avenuse commercial site south africa. 01 31 2012</t>
  </si>
  <si>
    <t>By electricity</t>
  </si>
  <si>
    <t>MWh/yr</t>
  </si>
  <si>
    <t>Cost</t>
  </si>
  <si>
    <t>Chris hani hospital</t>
  </si>
  <si>
    <t>m2 floor area</t>
  </si>
  <si>
    <t>http://www.cylex.co.za/company/chris-hani-baragwanath-hospital-17300449.html</t>
  </si>
  <si>
    <t>Gauteng refurb programme</t>
  </si>
  <si>
    <t>refurbed by 2013/14</t>
  </si>
  <si>
    <t>by 2016/17</t>
  </si>
  <si>
    <t>http://www.sanews.gov.za/south-africa/gauteng-roll-out-r11bn-solar-panel-project</t>
  </si>
  <si>
    <t>CNH</t>
  </si>
  <si>
    <t>COSTS AND TECHNICALS</t>
  </si>
  <si>
    <t>Efficiency thermal</t>
  </si>
  <si>
    <t>Investment cost</t>
  </si>
  <si>
    <t>Output</t>
  </si>
  <si>
    <t>kg/hr</t>
  </si>
  <si>
    <t>steam</t>
  </si>
  <si>
    <t>fuel consumption</t>
  </si>
  <si>
    <t>Nm3/h</t>
  </si>
  <si>
    <t>Natural gas</t>
  </si>
  <si>
    <t>or</t>
  </si>
  <si>
    <t>Horse Power</t>
  </si>
  <si>
    <t>HP</t>
  </si>
  <si>
    <t>Output in heat</t>
  </si>
  <si>
    <t>http://www.alibaba.com/product-gs/1069479349/500_6000kg_h_Gas_Fired_Steam.html?s=p</t>
  </si>
  <si>
    <t>MJ/m3 for Nat gas</t>
  </si>
  <si>
    <t>wiki</t>
  </si>
  <si>
    <t>MJ/hr</t>
  </si>
  <si>
    <t>total</t>
  </si>
  <si>
    <t>---&gt;</t>
  </si>
  <si>
    <t>Start row</t>
  </si>
  <si>
    <t>U2012</t>
  </si>
  <si>
    <t>L2012</t>
  </si>
  <si>
    <t>From SEA eThekwini LEAP model methodology. According to a municipal study:</t>
  </si>
  <si>
    <t>MV lamp</t>
  </si>
  <si>
    <t>HPS lamp</t>
  </si>
  <si>
    <t>MH lamp</t>
  </si>
  <si>
    <t>HPMV</t>
  </si>
  <si>
    <t>assum</t>
  </si>
  <si>
    <t>Traffic INC</t>
  </si>
  <si>
    <t>Traffic HAL</t>
  </si>
  <si>
    <t>D</t>
  </si>
  <si>
    <t>COMTHRM_SWITCH-E-G</t>
  </si>
  <si>
    <t>PCG for COMTHRM_SWITCH-E (Switch for com - existing for thermal energy to Space heating or chiller i</t>
  </si>
  <si>
    <t>COM_GRP,COM_GRPTRU</t>
  </si>
  <si>
    <t>COMTHRM_SWITCH-N-G</t>
  </si>
  <si>
    <t>PCG for COMTHRM_SWITCH-N (Switch for com - new for thermal energy to Space heating or chiller input)</t>
  </si>
  <si>
    <t>COMTRI_1-E-G</t>
  </si>
  <si>
    <t>PCG for COMTRI_1-E (Commercial - Existing - Stage 1 of trigeneration)</t>
  </si>
  <si>
    <t>COMTRI_1-N-G</t>
  </si>
  <si>
    <t>PCG for COMTRI_1-N (Commercial - New - Stage 1 of trigeneration module)</t>
  </si>
  <si>
    <t>COM_CHILLERHEAT-E</t>
  </si>
  <si>
    <t>Heat energy for chiller input existing</t>
  </si>
  <si>
    <t>COM,NRG,DAYNITE,HTHEAT</t>
  </si>
  <si>
    <t>COM_CHILLERHEAT-N</t>
  </si>
  <si>
    <t>Heat energy for chiller input new</t>
  </si>
  <si>
    <t>COM_HEAT-E</t>
  </si>
  <si>
    <t>Heat energy for commercial sector heating from switch</t>
  </si>
  <si>
    <t>COM_HEAT-N</t>
  </si>
  <si>
    <t>Heat energy for commercial new sector heating from switch</t>
  </si>
  <si>
    <t>COMTHRM-E</t>
  </si>
  <si>
    <t>Commercial sector - existing -  thermal energy for HVAC</t>
  </si>
  <si>
    <t>COMTHRM-N</t>
  </si>
  <si>
    <t>Commercial sector - new -thermal energy for HVAC</t>
  </si>
  <si>
    <t>COM_ACHILLER-E</t>
  </si>
  <si>
    <t>Commercial sector Absorption chiller</t>
  </si>
  <si>
    <t>PJ,PJa</t>
  </si>
  <si>
    <t>PRC,DMD,DAYNITE</t>
  </si>
  <si>
    <t>COM_ACHILLER-N</t>
  </si>
  <si>
    <t>Commercial sector - new - Absorption chiller</t>
  </si>
  <si>
    <t>COM_HEATER-E</t>
  </si>
  <si>
    <t>Commercial - existing - use heat from switch for heating space</t>
  </si>
  <si>
    <t>COM_HEATER-N</t>
  </si>
  <si>
    <t>Commercial - new - use heat from switch for heating space</t>
  </si>
  <si>
    <t>COMTHRM_SWITCH-E</t>
  </si>
  <si>
    <t>Switch for com - existing for thermal energy to Space heating or chiller input</t>
  </si>
  <si>
    <t>PRC,PRE,DAYNITE</t>
  </si>
  <si>
    <t>COMTHRM_SWITCH-N</t>
  </si>
  <si>
    <t>Switch for com - new for thermal energy to Space heating or chiller input</t>
  </si>
  <si>
    <t>COMTRI_1-E</t>
  </si>
  <si>
    <t>Commercial - Existing - Stage 1 of trigeneration</t>
  </si>
  <si>
    <t>PJ,GW</t>
  </si>
  <si>
    <t>PRC,CHP,DAYNITE</t>
  </si>
  <si>
    <t>COMTRI_1-N</t>
  </si>
  <si>
    <t>Commercial - New - Stage 1 of trigeneration module</t>
  </si>
  <si>
    <t>ACT_COST</t>
  </si>
  <si>
    <t>COMGAS</t>
  </si>
  <si>
    <t>NCAP_AF</t>
  </si>
  <si>
    <t>NCAP_CHPR</t>
  </si>
  <si>
    <t>FX</t>
  </si>
  <si>
    <t>PRC_ACTFLO</t>
  </si>
  <si>
    <t>COM_GMAP</t>
  </si>
  <si>
    <t>COMELC</t>
  </si>
  <si>
    <t>from</t>
  </si>
  <si>
    <t xml:space="preserve">john thompson boilers are about 89% efficient according to their website. </t>
  </si>
  <si>
    <t>cost</t>
  </si>
  <si>
    <t>from email conversation * refer to ref 1.1 'references' folder in commercial work folder</t>
  </si>
  <si>
    <t>doubled the 500kg consumption</t>
  </si>
  <si>
    <t>R/R</t>
  </si>
  <si>
    <t>Million R/PJa</t>
  </si>
  <si>
    <t>THIS SHEET IS FOR SHORTENED TIMESLICE RUNS</t>
  </si>
  <si>
    <t>Short timeslices ?</t>
  </si>
  <si>
    <t>20 Timeslices</t>
  </si>
  <si>
    <t>shortened tiemslices</t>
  </si>
  <si>
    <t>number of bulbs</t>
  </si>
  <si>
    <t>total electricity:</t>
  </si>
  <si>
    <t>PJ in 2006</t>
  </si>
  <si>
    <t>Assumptions</t>
  </si>
  <si>
    <t>T5</t>
  </si>
  <si>
    <t>T8</t>
  </si>
  <si>
    <t>% of end use demand</t>
  </si>
  <si>
    <t>avg wattage - 0.5m values from wiki</t>
  </si>
  <si>
    <t>total electricity</t>
  </si>
  <si>
    <t>Avg operating hours per work day</t>
  </si>
  <si>
    <t>Total Hours</t>
  </si>
  <si>
    <t>kWh/bulb/year</t>
  </si>
  <si>
    <t>GJ/bulb/year</t>
  </si>
  <si>
    <t>lamps/person</t>
  </si>
  <si>
    <t>SANS2011 on lightign</t>
  </si>
  <si>
    <t>avg</t>
  </si>
  <si>
    <t>Million m2</t>
  </si>
  <si>
    <t>Lumens</t>
  </si>
  <si>
    <t>lux for office spaces (lumens/m2)</t>
  </si>
  <si>
    <t>avg ceiling</t>
  </si>
  <si>
    <t>m high</t>
  </si>
  <si>
    <t>reduction in lumens/m2 at this height</t>
  </si>
  <si>
    <t>lumens</t>
  </si>
  <si>
    <t>http://sizes.com/home/fluorescents.htm</t>
  </si>
  <si>
    <t>bulbs/person</t>
  </si>
  <si>
    <t xml:space="preserve">total </t>
  </si>
  <si>
    <t>BULBS</t>
  </si>
  <si>
    <t>for 4ft</t>
  </si>
  <si>
    <t>a bit high. See below</t>
  </si>
  <si>
    <t>TimeSlice Version</t>
  </si>
  <si>
    <t>Short 8</t>
  </si>
  <si>
    <t>Long 20</t>
  </si>
  <si>
    <t>Variable</t>
  </si>
  <si>
    <t>Commodity - End use of energy</t>
  </si>
  <si>
    <t>- Spaceheating</t>
  </si>
  <si>
    <t>- Cooking</t>
  </si>
  <si>
    <t>- Lighting</t>
  </si>
  <si>
    <t>- Refrigeration</t>
  </si>
  <si>
    <t>- Public Lights</t>
  </si>
  <si>
    <t>- Water Heating</t>
  </si>
  <si>
    <t>- Public Water</t>
  </si>
  <si>
    <t>- Other</t>
  </si>
  <si>
    <t>Commercial Existing - Cooling</t>
  </si>
  <si>
    <t>Commercial New - Cooling</t>
  </si>
  <si>
    <t>COMCOA</t>
  </si>
  <si>
    <t>Commercial - Coal</t>
  </si>
  <si>
    <t>COMODS</t>
  </si>
  <si>
    <t>COMOGS</t>
  </si>
  <si>
    <t>COMOHF</t>
  </si>
  <si>
    <t>COMOKE</t>
  </si>
  <si>
    <t>COMOLP</t>
  </si>
  <si>
    <t>COMCO2</t>
  </si>
  <si>
    <t>Commercial - Carbon Dioxide</t>
  </si>
  <si>
    <t>COMCH4</t>
  </si>
  <si>
    <t>COMN2O</t>
  </si>
  <si>
    <t>COMSOX</t>
  </si>
  <si>
    <t>COMNOX</t>
  </si>
  <si>
    <t>Fuel Type</t>
  </si>
  <si>
    <t>- Oil Diesel</t>
  </si>
  <si>
    <t>- Electricity</t>
  </si>
  <si>
    <t>- Gas</t>
  </si>
  <si>
    <t>- Oil Gasoline</t>
  </si>
  <si>
    <t>- Oil HFO</t>
  </si>
  <si>
    <t>- Oil Paraffin</t>
  </si>
  <si>
    <t>- Oil LPG</t>
  </si>
  <si>
    <t>- Methane</t>
  </si>
  <si>
    <t>- Nitrous Oxide</t>
  </si>
  <si>
    <t>- Sulphur Gases</t>
  </si>
  <si>
    <t>- Nitrogen Gases</t>
  </si>
  <si>
    <t>Activity efficiency for a process</t>
  </si>
  <si>
    <t>Process-wise market share in total commodity production</t>
  </si>
  <si>
    <t>Bound on level of investment in new capacity in a period</t>
  </si>
  <si>
    <t>Technical lifetime of a process</t>
  </si>
  <si>
    <t>Investment cost of new capacity</t>
  </si>
  <si>
    <t>Residual capacity of a process</t>
  </si>
  <si>
    <t>Fixed operating and maintenance cost</t>
  </si>
  <si>
    <t>Parameters</t>
  </si>
  <si>
    <t>Annual availability of capacity</t>
  </si>
  <si>
    <t>TOP_OUT</t>
  </si>
  <si>
    <t>Primary commodity group for a process</t>
  </si>
  <si>
    <t>Capacity-to-activity conversion factor</t>
  </si>
  <si>
    <t>Output commodity for process</t>
  </si>
  <si>
    <t>Input commodity for process</t>
  </si>
  <si>
    <t>Commodity projections (values)</t>
  </si>
  <si>
    <t>?</t>
  </si>
  <si>
    <t>Seasonal distribution of a commodity</t>
  </si>
  <si>
    <t>Commodity and commodity group</t>
  </si>
  <si>
    <t>Availability of capacity</t>
  </si>
  <si>
    <t>Heat-to-power ratio of a CHP process</t>
  </si>
  <si>
    <t>Convert from process activity to particular commodity flow</t>
  </si>
  <si>
    <t>Code</t>
  </si>
  <si>
    <t>Buildings reported as completed by larger municipalities: South Africa - Non-residential buildings: Office and banking space - Total square metres (Unit: Square metres; Source: P5041.1 - Table 19)</t>
  </si>
  <si>
    <t>Buildings reported as completed by larger municipalities: South Africa - Non-residential buildings: Shopping space - Total square metres (Unit: Square metres; Source: P5041.1 - Table 19)</t>
  </si>
  <si>
    <t>Buildings reported as completed by larger municipalities: South Africa - Non-residential buildings: Industrial and warehouse space - Total square metres (Unit: Square metres; Source: P5041.1 - Table 19)</t>
  </si>
  <si>
    <t>Buildings reported as completed by larger municipalities: South Africa - Non-residential buildings: Other non-residential buildings - Total square metres (Unit: Square metres; Source: P5041.1 - Table 19)</t>
  </si>
  <si>
    <t>Buildings reported as completed by larger municipalities: Western Cape - Non-residential buildings: Office and banking space - Total square metres (Unit: Square metres; Source: P5041.1 - Table 20)</t>
  </si>
  <si>
    <t>Buildings reported as completed by larger municipalities: Western Cape - Non-residential buildings: Shopping space - Total square metres (Unit: Square metres; Source: P5041.1 - Table 20)</t>
  </si>
  <si>
    <t>Buildings reported as completed by larger municipalities: Western Cape - Non-residential buildings: Industrial and warehouse space - Total square metres (Unit: Square metres; Source: P5041.1 - Table 20)</t>
  </si>
  <si>
    <t>Buildings reported as completed by larger municipalities: Eastern Cape - Non-residential buildings: Office and banking space - Total square metres (Unit: Square metres; Source: P5041.1 - Table 21)</t>
  </si>
  <si>
    <t>Buildings reported as completed by larger municipalities: Eastern Cape - Non-residential buildings: Shopping space - Total square metres (Unit: Square metres; Source: P5041.1 - Table 21)</t>
  </si>
  <si>
    <t>Buildings reported as completed by larger municipalities: Eastern Cape - Non-residential buildings: Industrial and warehouse space - Total square metres (Unit: Square metres; Source: P5041.1 - Table 21)</t>
  </si>
  <si>
    <t>Buildings reported as completed by larger municipalities: Eastern Cape - Non-residential buildings: Other non-residential buildings - Total square metres (Unit: Square metres; Source: P5041.1 - Table 21)</t>
  </si>
  <si>
    <t>Buildings reported as completed by larger municipalities: Northern Cape - Non-residential buildings: Office and banking space - Total square metres (Unit: Square metres; Source: P5041.1 - Table 22)</t>
  </si>
  <si>
    <t>Buildings reported as completed by larger municipalities: Northern Cape - Non-residential buildings: Shopping space - Total square metres (Unit: Square metres; Source: P5041.1 - Table 22)</t>
  </si>
  <si>
    <t>Buildings reported as completed by larger municipalities: Northern Cape - Non-residential buildings: Industrial and warehouse space - Total square metres (Unit: Square metres; Source: P5041.1 - Table 22)</t>
  </si>
  <si>
    <t>Buildings reported as completed by larger municipalities: Northern Cape - Non-residential buildings: Other non-residential buildings - Total square metres (Unit: Square metres; Source: P5041.1 - Table 22)</t>
  </si>
  <si>
    <t>Buildings reported as completed by larger municipalities: Free State - Non-residential buildings: Shopping space - Total square metres (Unit: Square metres; Source: P5041.1 - Table 23)</t>
  </si>
  <si>
    <t>Buildings reported as completed by larger municipalities: Free State - Non-residential buildings: Industrial and warehouse space - Total square metres (Unit: Square metres; Source: P5041.1 - Table 23)</t>
  </si>
  <si>
    <t>Buildings reported as completed by larger municipalities: Free State - Non-residential buildings: Other non-residential buildings - Total square metres (Unit: Square metres; Source: P5041.1 - Table 23)</t>
  </si>
  <si>
    <t>Buildings reported as completed by larger municipalities: Free State - Non-residential buildings: Office and banking space - Total square metres (Unit: Square metres; Source: P5041.1 - Table 23)</t>
  </si>
  <si>
    <t>Buildings reported as completed by larger municipalities: Kwazulu-Natal - Non-residential buildings: Office and banking space - Total square metres (Unit: Square metres; Source: P5041.1 - Table 24)</t>
  </si>
  <si>
    <t>Buildings reported as completed by larger municipalities: Kwazulu-Natal - Non-residential buildings: Shopping space - Total square metres (Unit: Square metres; Source: P5041.1 - Table 24)</t>
  </si>
  <si>
    <t>Buildings reported as completed by larger municipalities: Kwazulu-Natal - Non-residential buildings: Industrial and warehouse space - Total square metres (Unit: Square metres; Source: P5041.1 - Table 24)</t>
  </si>
  <si>
    <t>Buildings reported as completed by larger municipalities: KwaZulu-Natal - Non-residential buildings: Other non-residential buildings - Total square metres (Unit: Square metres; Source: P5041.1 - Table 24)</t>
  </si>
  <si>
    <t>Buildings reported as completed by larger municipalities: North West - Non-residential buildings: Office and banking space - Total square metres (Unit: Square metres; Source: P5041.1 - Table 25)</t>
  </si>
  <si>
    <t>Buildings reported as completed by larger municipalities: North West - Non-residential buildings: Shopping space - Total square metres (Unit: Square metres; Source: P5041.1 - Table 25)</t>
  </si>
  <si>
    <t>Buildings reported as completed by larger municipalities: North West - Non-residential buildings: Industrial and warehouse space - Total square metres (Unit: Square metres; Source: P5041.1 - Table 25)</t>
  </si>
  <si>
    <t>Buildings reported as completed by larger municipalities: North West - Non-residential buildings: Other non-residential buildings - Total square metres (Unit: Square metres; Source: P5041.1 - Table 25)</t>
  </si>
  <si>
    <t>Buildings reported as completed by larger municipalities: Gauteng - Non-residential buildings: Office and banking space - Total square metres (Unit: Square metres; Source: P5041.1 - Table 26)</t>
  </si>
  <si>
    <t>Buildings reported as completed by larger municipalities: Gauteng - Non-residential buildings: Shopping space - Total square metres (Unit: Square metres; Source: P5041.1 - Table 26)</t>
  </si>
  <si>
    <t>Buildings reported as completed by larger municipalities: Gauteng - Non-residential buildings: Industrial and warehouse space - Total square metres (Unit: Square metres; Source: P5041.1 - Table 26)</t>
  </si>
  <si>
    <t>Buildings reported as completed by larger municipalities: Gauteng - Non-residential buildings: Other non-residential buildings - Total square metres (Unit: Square metres; Source: P5041.1 - Table 26)</t>
  </si>
  <si>
    <t>Buildings reported as completed by larger municipalities: Mpumalanga - Non-residential buildings: Office and banking space - Total square metres (Unit: Square metres; Source: P5041.1 - Table 27)</t>
  </si>
  <si>
    <t>Buildings reported as completed by larger municipalities: Mpumalanga - Non-residential buildings: Shopping space - Total square metres (Unit: Square metres; Source: P5041.1 - Table 27)</t>
  </si>
  <si>
    <t>Buildings reported as completed by larger municipalities: Mpumalanga - Non-residential buildings: Industrial and warehouse space - Total square metres (Unit: Square metres; Source: P5041.1 - Table 27)</t>
  </si>
  <si>
    <t>Buildings reported as completed by larger municipalities: Mpumalanga - Non-residential buildings: Other non-residential buildings - Total square metres (Unit: Square metres; Source: P5041.1 - Table 27)</t>
  </si>
  <si>
    <t>Buildings reported as completed by larger municipalities: Limpopo - Non-residential buildings: Office and banking space - Total square metres (Unit: Square metres; Source: P5041.1 - Table 28)</t>
  </si>
  <si>
    <t>Buildings reported as completed by larger municipalities: Limpopo - Non-residential buildings: Shopping space - Total square metres (Unit: Square metres; Source: P5041.1 - Table 28)</t>
  </si>
  <si>
    <t>Buildings reported as completed by larger municipalities: Limpopo - Non-residential buildings: Industrial and warehouse space - Total square metres (Unit: Square metres; Source: P5041.1 - Table 28)</t>
  </si>
  <si>
    <t>Buildings reported as completed by larger municipalities: Limpopo - Non-residential buildings: Other non-residential buildings - Total square metres (Unit: Square metres; Source: P5041.1 - Table 28)</t>
  </si>
  <si>
    <t>Western Cape</t>
  </si>
  <si>
    <t>Eastern Cape</t>
  </si>
  <si>
    <t>Northern Cape</t>
  </si>
  <si>
    <t>Free State</t>
  </si>
  <si>
    <t>KwaZulu Natal</t>
  </si>
  <si>
    <t>North West</t>
  </si>
  <si>
    <t>Gauteng</t>
  </si>
  <si>
    <t>Mpumalanga</t>
  </si>
  <si>
    <t>Limpopo</t>
  </si>
  <si>
    <t>Buildings reported as completed by larger municipalities: Western Cape - Non-residential buildings: Other non-residential buildings - Total square metres (Unit: Square metres; Source: P5041.1 - Table 20)</t>
  </si>
  <si>
    <t>Office &amp; Banking</t>
  </si>
  <si>
    <t xml:space="preserve">Shopping </t>
  </si>
  <si>
    <t>Industrial &amp; Warehouse</t>
  </si>
  <si>
    <t>2015 Rands</t>
  </si>
  <si>
    <t>2015 Rand value</t>
  </si>
  <si>
    <t>2015R/PJa</t>
  </si>
  <si>
    <t>2015R/PJ-a</t>
  </si>
  <si>
    <t>Floor space 1993 and on</t>
  </si>
  <si>
    <t>Total Floor area WC</t>
  </si>
  <si>
    <t>Floor area growth million m2 WC</t>
  </si>
  <si>
    <t>WC</t>
  </si>
  <si>
    <t>Forecasted demand</t>
  </si>
  <si>
    <t>Instructions to updating forecast</t>
  </si>
  <si>
    <t>css;v002d002</t>
  </si>
  <si>
    <t>css;v002e002</t>
  </si>
  <si>
    <t>css;v002f002</t>
  </si>
  <si>
    <t>css;v002l002</t>
  </si>
  <si>
    <t>css;v002dr02</t>
  </si>
  <si>
    <t>css;v002er02</t>
  </si>
  <si>
    <t>css;v002fr02</t>
  </si>
  <si>
    <t>css;v002lr02</t>
  </si>
  <si>
    <t>css;v002ds02</t>
  </si>
  <si>
    <t>css;v002es02</t>
  </si>
  <si>
    <t>css;v002fs02</t>
  </si>
  <si>
    <t>css;v002ls02</t>
  </si>
  <si>
    <t>css;v002dt02</t>
  </si>
  <si>
    <t>css;v002et02</t>
  </si>
  <si>
    <t>css;v002ft02</t>
  </si>
  <si>
    <t>css;v002lt02</t>
  </si>
  <si>
    <t>css;v002du02</t>
  </si>
  <si>
    <t>css;v002eu02</t>
  </si>
  <si>
    <t>css;v002fu02</t>
  </si>
  <si>
    <t>css;v002lu02</t>
  </si>
  <si>
    <t>css;v002dv02</t>
  </si>
  <si>
    <t>css;v002ev02</t>
  </si>
  <si>
    <t>css;v002fv02</t>
  </si>
  <si>
    <t>css;v002lv02</t>
  </si>
  <si>
    <t>css;v002dw02</t>
  </si>
  <si>
    <t>css;v002ew02</t>
  </si>
  <si>
    <t>css;v002fw02</t>
  </si>
  <si>
    <t>css;v002lw02</t>
  </si>
  <si>
    <t>css;v002dx02</t>
  </si>
  <si>
    <t>css;v002ex02</t>
  </si>
  <si>
    <t>css;v002fx02</t>
  </si>
  <si>
    <t>css;v002lx02</t>
  </si>
  <si>
    <t>css;v002dy02</t>
  </si>
  <si>
    <t>css;v002ey02</t>
  </si>
  <si>
    <t>css;v002fy02</t>
  </si>
  <si>
    <t>css;v002ly02</t>
  </si>
  <si>
    <t>css;v002dz02</t>
  </si>
  <si>
    <t>css;v002ez02</t>
  </si>
  <si>
    <t>css;v002fz02</t>
  </si>
  <si>
    <t>css;v002lz02</t>
  </si>
  <si>
    <t>CSS;GDPT30014</t>
  </si>
  <si>
    <t>Seasonally adjusted and annualised value added by industry at constant 2010 prices: GDP at market prices (Unit: R million, SA; Source: P0441 - Table 1)</t>
  </si>
  <si>
    <t>GDP</t>
  </si>
  <si>
    <t>calc</t>
  </si>
  <si>
    <t>chng in floor space</t>
  </si>
  <si>
    <t>2 year lag with GDP</t>
  </si>
  <si>
    <t>NT Forecast</t>
  </si>
  <si>
    <t>Update GDP data in 'SA GDP'. Drag down formula.</t>
  </si>
  <si>
    <t>Make an assumption on remaining years.</t>
  </si>
  <si>
    <t>Include NT latest real GDP forecast.</t>
  </si>
  <si>
    <t>Check that data in 'StatsSA_annual' is updated to the most recent year.</t>
  </si>
  <si>
    <t>Update 'StatsSA_monthly' with latest data.</t>
  </si>
  <si>
    <t>Check formulae.</t>
  </si>
  <si>
    <t>Base year</t>
  </si>
  <si>
    <t>Commercial - Public Lights</t>
  </si>
  <si>
    <t>Commercial - Public Water</t>
  </si>
  <si>
    <t>Factor</t>
  </si>
  <si>
    <t>2012 Energy Data Cape Town</t>
  </si>
  <si>
    <t>x</t>
  </si>
  <si>
    <t>Stats SA 2012</t>
  </si>
  <si>
    <t>Stats SA 2012 adj</t>
  </si>
  <si>
    <t>Estimated - Useful</t>
  </si>
  <si>
    <t>Actual - Useful</t>
  </si>
  <si>
    <t>2012 Floor area Data Cape Town</t>
  </si>
  <si>
    <t>2012 consumption of each fuel by end use</t>
  </si>
  <si>
    <t>Heating system 7</t>
  </si>
  <si>
    <t>Heating system 8</t>
  </si>
  <si>
    <t>Total fuel consumption in 2012/TJ</t>
  </si>
  <si>
    <t>Geyser 7</t>
  </si>
  <si>
    <t>Geyser 8</t>
  </si>
  <si>
    <t>Unsure</t>
  </si>
  <si>
    <t>Stove 4</t>
  </si>
  <si>
    <t>Stove 5</t>
  </si>
  <si>
    <t>Stove 6</t>
  </si>
  <si>
    <t>Stove 7</t>
  </si>
  <si>
    <t>Stove 8</t>
  </si>
  <si>
    <t>Check</t>
  </si>
  <si>
    <t>2006  consumption of each fuel by end use percentage share</t>
  </si>
  <si>
    <t>start here</t>
  </si>
  <si>
    <t>2012 energy demand from sales data</t>
  </si>
  <si>
    <t>2012 energy demand from above calcs</t>
  </si>
  <si>
    <t xml:space="preserve">2012 useful energy from above calcs </t>
  </si>
  <si>
    <t>2012 energy demand toms method</t>
  </si>
  <si>
    <t>2012 useful energy toms method</t>
  </si>
  <si>
    <t>http://www.engineeringnews.co.za/article/mtn-unveils-r22m-trigeneration-power-plant-2010-08-02/rep_id:4136</t>
  </si>
  <si>
    <t>Million Rand 2010</t>
  </si>
  <si>
    <t xml:space="preserve">convert to </t>
  </si>
  <si>
    <t>2012 to 2015</t>
  </si>
  <si>
    <t>taken from DECC carbon calculator for CHP gas turbine</t>
  </si>
  <si>
    <t>TRIGEN</t>
  </si>
  <si>
    <t>Rm/GW'</t>
  </si>
  <si>
    <t>FLO_MRKPRD</t>
  </si>
  <si>
    <t>CEHCOA-E</t>
  </si>
  <si>
    <t>Commercial - Space Heating - Coal - Existing</t>
  </si>
  <si>
    <t>CEHELC-E</t>
  </si>
  <si>
    <t>Commercial - Space Heating - Electricity - Existing</t>
  </si>
  <si>
    <t>CEHGAS-E</t>
  </si>
  <si>
    <t>Commercial - Space Heating - Gas - Existing</t>
  </si>
  <si>
    <t>CEHELC-N</t>
  </si>
  <si>
    <t>Commercial - Space Heating - Electricity - New</t>
  </si>
  <si>
    <t>CEHGAS-N</t>
  </si>
  <si>
    <t>Commercial - Space Heating - Gas - New</t>
  </si>
  <si>
    <t>CEKOLP-E</t>
  </si>
  <si>
    <t>Commercial - Cooking - Oil LPG - Existing</t>
  </si>
  <si>
    <t>CEKELC-E</t>
  </si>
  <si>
    <t>Commercial - Cooking - Electricity - Existing</t>
  </si>
  <si>
    <t>CEKCOA-E</t>
  </si>
  <si>
    <t>Commercial - Cooking - Coal - Existing</t>
  </si>
  <si>
    <t>CEWELC-E</t>
  </si>
  <si>
    <t>Commercial - Water Heating - Electricity - Existing</t>
  </si>
  <si>
    <t>CEWCOA-E</t>
  </si>
  <si>
    <t>Commercial - Water Heating - Coal - Existing</t>
  </si>
  <si>
    <t>CEWOLP-E</t>
  </si>
  <si>
    <t>Commercial - Water Heating - Oil LPG - Existing</t>
  </si>
  <si>
    <t>CEWGAS-E</t>
  </si>
  <si>
    <t>Commercial - Water Heating - Gas - Existing</t>
  </si>
  <si>
    <t>CEWOKE-E</t>
  </si>
  <si>
    <t>Commercial - Water Heating - Oil Paraffin - Existing</t>
  </si>
  <si>
    <t>CEWELC-N</t>
  </si>
  <si>
    <t>Commercial - Water Heating - Electricity - New</t>
  </si>
  <si>
    <t>CEWELCHP-N</t>
  </si>
  <si>
    <t>Commercial - Water Heating - Electricity - HP - New</t>
  </si>
  <si>
    <t>CEOCOA-E</t>
  </si>
  <si>
    <t>Commercial - Other - Coal - Existing</t>
  </si>
  <si>
    <t>CEOODS-E</t>
  </si>
  <si>
    <t>Commercial - Other - Oil Diesel - Existing</t>
  </si>
  <si>
    <t>CEOELC-E</t>
  </si>
  <si>
    <t>Commercial - Other - Electricity - Existing</t>
  </si>
  <si>
    <t>CEOGAS-E</t>
  </si>
  <si>
    <t>Commercial - Other - Gas - Existing</t>
  </si>
  <si>
    <t>CEOOGS-E</t>
  </si>
  <si>
    <t>Commercial - Other - Oil Gasoline - Existing</t>
  </si>
  <si>
    <t>CEOOHF-E</t>
  </si>
  <si>
    <t>Commercial - Other - Oil HFO - Existing</t>
  </si>
  <si>
    <t>CEOOKE-E</t>
  </si>
  <si>
    <t>Commercial - Other - Oil Paraffin - Existing</t>
  </si>
  <si>
    <t>demand</t>
  </si>
  <si>
    <t>duration</t>
  </si>
  <si>
    <t>CNHCOA-E</t>
  </si>
  <si>
    <t>CNHELC-E</t>
  </si>
  <si>
    <t>CNHGAS-E</t>
  </si>
  <si>
    <t>CNHELC-N</t>
  </si>
  <si>
    <t>CNHGAS-N</t>
  </si>
  <si>
    <t>CNKOLP-E</t>
  </si>
  <si>
    <t>CNKELC-E</t>
  </si>
  <si>
    <t>CNKCOA-E</t>
  </si>
  <si>
    <t>CNWELC-E</t>
  </si>
  <si>
    <t>CNWCOA-E</t>
  </si>
  <si>
    <t>CNWOLP-E</t>
  </si>
  <si>
    <t>CNWGAS-E</t>
  </si>
  <si>
    <t>CNWOKE-E</t>
  </si>
  <si>
    <t>CNWELC-N</t>
  </si>
  <si>
    <t>CNWELCHP-N</t>
  </si>
  <si>
    <t>COM,NRG,DAYNITE,FOSSIL</t>
  </si>
  <si>
    <t>2012 calculation for electricity from CBECS 2012 table E6</t>
  </si>
  <si>
    <t>2012 CBECS</t>
  </si>
  <si>
    <t>CECELCCHIL-E</t>
  </si>
  <si>
    <t>Commercial - Cooling - Electricity - Chiller - Existing</t>
  </si>
  <si>
    <t>CECELCCEN-E</t>
  </si>
  <si>
    <t>Commercial - Cooling - Electricity - Central - Existing</t>
  </si>
  <si>
    <t>CECELCHP-E</t>
  </si>
  <si>
    <t>Commercial - Cooling - Electricity - Heat Pump - Existing</t>
  </si>
  <si>
    <t>CECELCROOM-E</t>
  </si>
  <si>
    <t>Commercial - Cooling - Electricity - Room - Existing</t>
  </si>
  <si>
    <t>CECELCCEN-N</t>
  </si>
  <si>
    <t>Commercial - Cooling - Electricity - Central - New</t>
  </si>
  <si>
    <t>CECELCHP-N</t>
  </si>
  <si>
    <t>Commercial - Cooling - Electricity - Heat Pump - New</t>
  </si>
  <si>
    <t>CELELCCFL-E</t>
  </si>
  <si>
    <t>Commercial - Lighting - Electricity - CFL - Existing</t>
  </si>
  <si>
    <t>CELELCFLU-E</t>
  </si>
  <si>
    <t>Commercial - Lighting - Electricity - FLU - Existing</t>
  </si>
  <si>
    <t>CELELCHAL-E</t>
  </si>
  <si>
    <t>Commercial - Lighting - Electricity - HAL - Existing</t>
  </si>
  <si>
    <t>CELELCHID-E</t>
  </si>
  <si>
    <t>Commercial - Lighting - Electricity - HID - Existing</t>
  </si>
  <si>
    <t>CELELCINC-E</t>
  </si>
  <si>
    <t>Commercial - Lighting - Electricity - INC - Existing</t>
  </si>
  <si>
    <t>CELELCLED-N</t>
  </si>
  <si>
    <t>Commercial - Lighting - Electricity - LED - New</t>
  </si>
  <si>
    <t>CERELC-E</t>
  </si>
  <si>
    <t>Commercial - Refrigeration - Electricity - Existing</t>
  </si>
  <si>
    <t>CERELC-N</t>
  </si>
  <si>
    <t>Commercial - Refrigeration - Electricity - New</t>
  </si>
  <si>
    <t>CEGELCINC-E</t>
  </si>
  <si>
    <t>Commercial - Public Lights - Electricity - INC - Existing</t>
  </si>
  <si>
    <t>CEGELCHAL-E</t>
  </si>
  <si>
    <t>Commercial - Public Lights - Electricity - HAL - Existing</t>
  </si>
  <si>
    <t>CEGELCHPM-E</t>
  </si>
  <si>
    <t>Commercial - Public Lights - Electricity - HPM - Existing</t>
  </si>
  <si>
    <t>CEGELCHPS-E</t>
  </si>
  <si>
    <t>Commercial - Public Lights - Electricity - HPS - Existing</t>
  </si>
  <si>
    <t>CEGELCMHL-E</t>
  </si>
  <si>
    <t>Commercial - Public Lights - Electricity - MHL - Existing</t>
  </si>
  <si>
    <t>CEGELCLED-N</t>
  </si>
  <si>
    <t>Commercial - Public Lights - Electricity - LED - New</t>
  </si>
  <si>
    <t>CETELC-E</t>
  </si>
  <si>
    <t>Commercial - Public Water - Electricity -  - Existing</t>
  </si>
  <si>
    <t>CNCELCCHIL-E</t>
  </si>
  <si>
    <t>CNCELCCEN-E</t>
  </si>
  <si>
    <t>CNCELCHP-E</t>
  </si>
  <si>
    <t>CNCELCROOM-E</t>
  </si>
  <si>
    <t>CNCELCCEN-N</t>
  </si>
  <si>
    <t>CNCELCHP-N</t>
  </si>
  <si>
    <t>CNLELCCFL-E</t>
  </si>
  <si>
    <t>CNLELCFLU-E</t>
  </si>
  <si>
    <t>CNLELCHAL-E</t>
  </si>
  <si>
    <t>CNLELCHID-E</t>
  </si>
  <si>
    <t>CNLELCINC-E</t>
  </si>
  <si>
    <t>CNLELCLED-N</t>
  </si>
  <si>
    <t>CNRELC-E</t>
  </si>
  <si>
    <t>CNRELC-N</t>
  </si>
  <si>
    <t>CNGELCINC-E</t>
  </si>
  <si>
    <t>CNGELCHAL-E</t>
  </si>
  <si>
    <t>CNGELCHPM-E</t>
  </si>
  <si>
    <t>CNGELCHPS-E</t>
  </si>
  <si>
    <t>CNGELCMHL-E</t>
  </si>
  <si>
    <t>CNGELCLED-N</t>
  </si>
  <si>
    <t>CNTELC-E</t>
  </si>
  <si>
    <t>CNOCOA-E</t>
  </si>
  <si>
    <t>CNOODS-E</t>
  </si>
  <si>
    <t>CNOELC-E</t>
  </si>
  <si>
    <t>CNOGAS-E</t>
  </si>
  <si>
    <t>CNOOGS-E</t>
  </si>
  <si>
    <t>CNOOHF-E</t>
  </si>
  <si>
    <t>CNOOKE-E</t>
  </si>
  <si>
    <t>ZZZ</t>
  </si>
  <si>
    <t>Commercial - Cooling</t>
  </si>
  <si>
    <t>Commercial - Space Heating</t>
  </si>
  <si>
    <t>Commercial - Cooking</t>
  </si>
  <si>
    <t>Commercial - Lighting</t>
  </si>
  <si>
    <t>Commercial - Refrigeration</t>
  </si>
  <si>
    <t>Commercial - Water Heating</t>
  </si>
  <si>
    <t>Commercial - Other</t>
  </si>
  <si>
    <t>backstop techs</t>
  </si>
  <si>
    <t>UPDATE THIS TO 2017</t>
  </si>
  <si>
    <t>From Devillers</t>
  </si>
  <si>
    <t>Scaled as intensity cannot be explained DeVillers</t>
  </si>
  <si>
    <t>Total Excluding warehousing</t>
  </si>
  <si>
    <t>Total TJ (from DOE)</t>
  </si>
  <si>
    <t>Total TWh</t>
  </si>
  <si>
    <t>Eskom TWh</t>
  </si>
  <si>
    <t>Warehouse est.</t>
  </si>
  <si>
    <t>Eskom-no warehouses</t>
  </si>
  <si>
    <t>kWh/m2 total</t>
  </si>
  <si>
    <t>kWh/m2 excl.warehouses</t>
  </si>
  <si>
    <t>TWh</t>
  </si>
  <si>
    <t>need to subtract elc for warehouses based on Caroline thesis</t>
  </si>
  <si>
    <t>From StatSA</t>
  </si>
  <si>
    <t>Stock Estimate</t>
  </si>
  <si>
    <t>Cape Town</t>
  </si>
  <si>
    <t>Total Commercial excl.Warehouse</t>
  </si>
  <si>
    <t>Dwelling-house (&lt;30m2)</t>
  </si>
  <si>
    <t>Dwelling-house (30-80m2)</t>
  </si>
  <si>
    <t>Dwelling-house (&gt;80m2)</t>
  </si>
  <si>
    <t>Flats</t>
  </si>
  <si>
    <t>Townhouses</t>
  </si>
  <si>
    <t>Other residential</t>
  </si>
  <si>
    <t>Office &amp; banking</t>
  </si>
  <si>
    <t>Shopping</t>
  </si>
  <si>
    <t>Industrial &amp; warehouse</t>
  </si>
  <si>
    <t>Schools, creches &amp; hospitals</t>
  </si>
  <si>
    <t>Churches, sport &amp; recreation</t>
  </si>
  <si>
    <t>Other non-residential</t>
  </si>
  <si>
    <t>A&amp;A dwelling-houses</t>
  </si>
  <si>
    <t>A&amp;A other residential</t>
  </si>
  <si>
    <t>A&amp;A non-residential</t>
  </si>
  <si>
    <t>1993scaled</t>
  </si>
  <si>
    <t>Total New excl.Warehouse</t>
  </si>
  <si>
    <t>Growth</t>
  </si>
  <si>
    <t>Total New Excl. Industrial</t>
  </si>
  <si>
    <t>Total New</t>
  </si>
  <si>
    <t>New Warehouse</t>
  </si>
  <si>
    <t>Bruno update to floor space for NDC model</t>
  </si>
  <si>
    <t>PRC RESID</t>
  </si>
  <si>
    <t>√</t>
  </si>
  <si>
    <t>Total Floor area SA million m2</t>
  </si>
  <si>
    <t>Stats SA 2018</t>
  </si>
  <si>
    <t xml:space="preserve">weighted average as share of total </t>
  </si>
  <si>
    <t>Stats SA 2018 adj</t>
  </si>
  <si>
    <t xml:space="preserve"> Buildings reported as completed by larger municipalities: South Africa - Non-residential buildings: Office and banking space - Total square metres (Unit: Square metres; Source: P5041.1 - Table 21)</t>
  </si>
  <si>
    <t xml:space="preserve"> Buildings reported as completed by larger municipalities: Western Cape - Non-residential buildings: Office and banking space - Total square metres (Unit: Square metres; Source: P5041.1 - Table 21)</t>
  </si>
  <si>
    <t>Total commercial floor area 2018 (RSA)</t>
  </si>
  <si>
    <t>LimType</t>
  </si>
  <si>
    <t>Technology Description</t>
  </si>
  <si>
    <t>~FI_Process</t>
  </si>
  <si>
    <t>Sets</t>
  </si>
  <si>
    <t>Region</t>
  </si>
  <si>
    <t>Tact</t>
  </si>
  <si>
    <t>Tcap</t>
  </si>
  <si>
    <t>Tslvl</t>
  </si>
  <si>
    <t>Vintage</t>
  </si>
  <si>
    <t>*Process Set Membership</t>
  </si>
  <si>
    <t>Region Name</t>
  </si>
  <si>
    <t>Activity Unit</t>
  </si>
  <si>
    <t>Capacity Unit</t>
  </si>
  <si>
    <t>TimeSlice level of Process Activity</t>
  </si>
  <si>
    <t>Vintage Tracking</t>
  </si>
  <si>
    <t>DAYNITE</t>
  </si>
  <si>
    <t>DMD</t>
  </si>
  <si>
    <t>~FI_Comm</t>
  </si>
  <si>
    <t>Csets</t>
  </si>
  <si>
    <t>CommName</t>
  </si>
  <si>
    <t>CommDesc</t>
  </si>
  <si>
    <t>Unit</t>
  </si>
  <si>
    <t>CTSLvl</t>
  </si>
  <si>
    <t>PeakTS</t>
  </si>
  <si>
    <t>Ctype</t>
  </si>
  <si>
    <t>*Commodity Set Membership</t>
  </si>
  <si>
    <t>Commodity Name</t>
  </si>
  <si>
    <t>Commodity Description</t>
  </si>
  <si>
    <t>Sense of the Balance EQN.</t>
  </si>
  <si>
    <t>Timeslice Level</t>
  </si>
  <si>
    <t>Peak Monitoring</t>
  </si>
  <si>
    <t>Electricity Indicator</t>
  </si>
  <si>
    <t>DEM</t>
  </si>
  <si>
    <t>General/Highly useful</t>
  </si>
  <si>
    <t>(i)</t>
  </si>
  <si>
    <r>
      <t xml:space="preserve">Martin, C. (2011). </t>
    </r>
    <r>
      <rPr>
        <i/>
        <sz val="12"/>
        <color theme="1"/>
        <rFont val="Times New Roman"/>
        <family val="1"/>
      </rPr>
      <t xml:space="preserve">Establishing energy benchmarks for commercial buildings in the City of Cape Town </t>
    </r>
    <r>
      <rPr>
        <sz val="12"/>
        <color theme="1"/>
        <rFont val="Times New Roman"/>
        <family val="1"/>
      </rPr>
      <t>. [online] Available at: https://open.uct.ac.za/bitstream/handle/11427/11515/thesis_ebe_2011_martin_c..pdf?sequence=1&amp;isAllowed=y.</t>
    </r>
  </si>
  <si>
    <t>(ii)</t>
  </si>
  <si>
    <r>
      <t xml:space="preserve">de Villiers, M. (2001). </t>
    </r>
    <r>
      <rPr>
        <i/>
        <sz val="12"/>
        <color theme="1"/>
        <rFont val="Times New Roman"/>
        <family val="1"/>
      </rPr>
      <t>Greenhouse gas baseline and mitigation options for the commercial sector</t>
    </r>
    <r>
      <rPr>
        <sz val="12"/>
        <color theme="1"/>
        <rFont val="Times New Roman"/>
        <family val="1"/>
      </rPr>
      <t>. [online] Available at: https://open.uct.ac.za/bitstream/handle/11427/22709/ERC_2000_01_deVilliers_M.pdf?sequence=6&amp;isAllowed=y.</t>
    </r>
  </si>
  <si>
    <t>(iii)</t>
  </si>
  <si>
    <t>ESRG (n.d.). Evolution, Assumptions and Architecture of the South African Energy Systems Model SATIM. [online] Available at: https://ebe.uct.ac.za/sites/default/files/content_migration/ebe_uct_ac_za/1135/files/2020_SATIM.pdf.</t>
  </si>
  <si>
    <t>Sheet:</t>
  </si>
  <si>
    <t>#</t>
  </si>
  <si>
    <t>STATSSA_Monthly</t>
  </si>
  <si>
    <r>
      <t xml:space="preserve">StatsSA (2023). </t>
    </r>
    <r>
      <rPr>
        <i/>
        <sz val="12"/>
        <color theme="1"/>
        <rFont val="Times New Roman"/>
        <family val="1"/>
      </rPr>
      <t>StatsSA P5041 floor space archive</t>
    </r>
    <r>
      <rPr>
        <sz val="12"/>
        <color theme="1"/>
        <rFont val="Times New Roman"/>
        <family val="1"/>
      </rPr>
      <t>. [online] Available at: https://www.statssa.gov.za/?page_id=1866&amp;PPN=P5041.1&amp;SCH=72848&amp;page=1.</t>
    </r>
  </si>
  <si>
    <t>SA_GDP</t>
  </si>
  <si>
    <r>
      <t xml:space="preserve">RSA National Treasury (2023). </t>
    </r>
    <r>
      <rPr>
        <i/>
        <sz val="12"/>
        <color theme="1"/>
        <rFont val="Times New Roman"/>
        <family val="1"/>
      </rPr>
      <t>National Treasury 2023 Economic Outlook (Table 2.2, pg 19)</t>
    </r>
    <r>
      <rPr>
        <sz val="12"/>
        <color theme="1"/>
        <rFont val="Times New Roman"/>
        <family val="1"/>
      </rPr>
      <t>. [online] www.treasury.gov.za. Available at: https://www.treasury.gov.za/documents/national%20budget/2023/review/Chapter%202.pdf.</t>
    </r>
  </si>
  <si>
    <t>STATISTICAL RELEASE P0441 Gross domestic product Fourth quarter 2022. (n.d.). [online] p.(pg. 9, Table 1). Available at: https://www.statssa.gov.za/publications/P0441/P04414thQuarter2022.pdf.</t>
  </si>
  <si>
    <t>End use share 2006c</t>
  </si>
  <si>
    <t xml:space="preserve">External sources:  </t>
  </si>
  <si>
    <t>*Units</t>
  </si>
  <si>
    <t>*Share Check &amp; sub-totals</t>
  </si>
  <si>
    <t>*Commercial Space Heating</t>
  </si>
  <si>
    <t>*Commercial Cooling</t>
  </si>
  <si>
    <t>*Commercial Cooking</t>
  </si>
  <si>
    <t>*Commercial Lighting</t>
  </si>
  <si>
    <t>*Commercial Refigeration</t>
  </si>
  <si>
    <t>*Commercial Water Heating</t>
  </si>
  <si>
    <t>*Commercial Public Lights</t>
  </si>
  <si>
    <t>*Commercial Public Water</t>
  </si>
  <si>
    <t>*Commercial Other</t>
  </si>
  <si>
    <t>*Total number of tech entries</t>
  </si>
  <si>
    <t>Demand Value</t>
  </si>
  <si>
    <t>*Technology Description</t>
  </si>
  <si>
    <t>Nothing</t>
  </si>
  <si>
    <t>NOTHING</t>
  </si>
  <si>
    <t xml:space="preserve"> *Technology Description</t>
  </si>
  <si>
    <t>* Units</t>
  </si>
  <si>
    <t>* Share Check &amp; sub-totals</t>
  </si>
  <si>
    <t>* Total number of tech entries</t>
  </si>
  <si>
    <t>FLO_MARK~UP~2017</t>
  </si>
  <si>
    <t>FLO_MARK~UP~2030</t>
  </si>
  <si>
    <t>FLO_MARK~UP~2040</t>
  </si>
  <si>
    <t>FLO_MARK~UP~2050</t>
  </si>
  <si>
    <t>FLO_MARK~UP~2020</t>
  </si>
  <si>
    <t>FLO_MARK~UP~2025</t>
  </si>
  <si>
    <t>FLO_MARK~UP~2035</t>
  </si>
  <si>
    <t>FLO_MARK~UP~2045</t>
  </si>
  <si>
    <t>FLO_MARK~LO~2017</t>
  </si>
  <si>
    <t>FLO_MARK~LO~2020</t>
  </si>
  <si>
    <t>FLO_MARK~LO~2025</t>
  </si>
  <si>
    <t>FLO_MARK~LO~2030</t>
  </si>
  <si>
    <t>FLO_MARK~LO~2035</t>
  </si>
  <si>
    <t>FLO_MARK~LO~2040</t>
  </si>
  <si>
    <t>FLO_MARK~LO~2045</t>
  </si>
  <si>
    <t>FLO_MARK~LO~2050</t>
  </si>
  <si>
    <t>Pre-existing references:</t>
  </si>
  <si>
    <t>Attribute</t>
  </si>
  <si>
    <t>*Unit</t>
  </si>
  <si>
    <t>Demand Commodity Name</t>
  </si>
  <si>
    <t>Demand Unit</t>
  </si>
  <si>
    <t>Author</t>
  </si>
  <si>
    <t>Date</t>
  </si>
  <si>
    <t>Version</t>
  </si>
  <si>
    <t>Sheet Changed</t>
  </si>
  <si>
    <t>New sheets</t>
  </si>
  <si>
    <t>Change/description</t>
  </si>
  <si>
    <t>Bryce</t>
  </si>
  <si>
    <t>21/11/2013</t>
  </si>
  <si>
    <t xml:space="preserve"> - Changed all costs to 2010 Rands</t>
  </si>
  <si>
    <t xml:space="preserve"> - Changed total elec consumption to match EB for calibration with NERSA 2006 ESI. This comes after electricity consumption in the Carbon Calculator project did not match the nersa, and residential and commercial were both adjusted so the RES diagram </t>
  </si>
  <si>
    <t xml:space="preserve">from the ESI matched with ours. </t>
  </si>
  <si>
    <t>30/01/2014</t>
  </si>
  <si>
    <t>-efficiencies for space heating were linking to the wrong values. Corrected these.</t>
  </si>
  <si>
    <t>20/02/2014</t>
  </si>
  <si>
    <t>-CNH AFA was wrong leading to incorrect utilisation values.</t>
  </si>
  <si>
    <t xml:space="preserve">added Gas boilers for space heating for both new and existing. </t>
  </si>
  <si>
    <t>02/05/2014</t>
  </si>
  <si>
    <t xml:space="preserve">Added in trigen system. See trigen1,2,3 sheets. </t>
  </si>
  <si>
    <t>This also includes HVAC functionality (not complete)</t>
  </si>
  <si>
    <t>20/05/2014</t>
  </si>
  <si>
    <t xml:space="preserve">Added costs to Chillers. </t>
  </si>
  <si>
    <t>23/05/2014</t>
  </si>
  <si>
    <t xml:space="preserve">Added 200MW upper limit for trigen (as per the Deloitte Res+Com gas doc). </t>
  </si>
  <si>
    <t>26/05/2014</t>
  </si>
  <si>
    <t xml:space="preserve">Added a constraint to solar PV upper bound - linked it to the size of the com sector </t>
  </si>
  <si>
    <t xml:space="preserve">Added a constraint for trigeneration capacity to be linked to gas system capcity. 0.2% of gas supply (minus coastal gas pipeline). </t>
  </si>
  <si>
    <t>30/05/2014</t>
  </si>
  <si>
    <t>Removed contradiction new build and build limit for trigen</t>
  </si>
  <si>
    <t>18/06/2014</t>
  </si>
  <si>
    <t>Added extra COMFR sheet for the shortened Timeslices version of Times</t>
  </si>
  <si>
    <t>there is a switch for this on 'index'</t>
  </si>
  <si>
    <t>23/06/2014</t>
  </si>
  <si>
    <t>removed the trigen and solar constraints</t>
  </si>
  <si>
    <t>Faaiqa</t>
  </si>
  <si>
    <t>Technology Costs</t>
  </si>
  <si>
    <t>Change all costs to 2015 Rands</t>
  </si>
  <si>
    <t>StatsSA_Monthly;StatsSA_Annual</t>
  </si>
  <si>
    <t>Update new floor space for SA and regionally</t>
  </si>
  <si>
    <t>floor space (changed from 'floor space 1993-2007')</t>
  </si>
  <si>
    <t>2012 Energy data</t>
  </si>
  <si>
    <t>Update with new CT end use data</t>
  </si>
  <si>
    <t>End use share 2012c</t>
  </si>
  <si>
    <t>Update energy balance in COM with 2012 Energy Balance number</t>
  </si>
  <si>
    <t>Update floor space history and projections</t>
  </si>
  <si>
    <t>Update links to new floor space projections</t>
  </si>
  <si>
    <t>Update End use share 2006c</t>
  </si>
  <si>
    <t>floor size, energy balance numbers -2012</t>
  </si>
  <si>
    <t>Update Appliance sheet</t>
  </si>
  <si>
    <t>floor size, energy balance numbers -2012, expanded fuel types</t>
  </si>
  <si>
    <t>COP numbers</t>
  </si>
  <si>
    <t>COP numbers used in 'Appliances' based on 2006 COP numbers but numbers used in 'COM' based on 2000 COP. Change 'COM' to align with appliance sheet.</t>
  </si>
  <si>
    <t>Adding technologies to COM; Investment costs need to be added - temporarily borrowing from others</t>
  </si>
  <si>
    <t>Missing technologies: 
1. Space heating – gas
2. Cooking – electricity; coal
3. Water heating – gas, oil paraffin</t>
  </si>
  <si>
    <t>TRIGEN-2</t>
  </si>
  <si>
    <t>Updated for 2012 EB update of SATIM and linked cells to data</t>
  </si>
  <si>
    <t>Trigen data MTN + gas boilers</t>
  </si>
  <si>
    <t xml:space="preserve">renamed sheet. Trigen import linked to this data. </t>
  </si>
  <si>
    <t xml:space="preserve">added defaltor for costs </t>
  </si>
  <si>
    <t>Changed cell c69 from Rm/MW to Rm/GW by *1000</t>
  </si>
  <si>
    <t>COM and COM_N</t>
  </si>
  <si>
    <t xml:space="preserve">Coal for cooking shares fixed to very low upper bnd now. </t>
  </si>
  <si>
    <t>Savanha</t>
  </si>
  <si>
    <t xml:space="preserve">Statssa Annual </t>
  </si>
  <si>
    <t>Added floorspace data 2017-2022 for all provinces</t>
  </si>
  <si>
    <t>SA GDP</t>
  </si>
  <si>
    <t>Updated and added GDP data 2016 to 2022, updated NT Real GDP forcasts (2023-2025), sources noted on the relevant cells. Note: base year changed from 2010 to 2015 from 2016 data onwards, adjusted accordingly.</t>
  </si>
  <si>
    <t>Statssa Monthly</t>
  </si>
  <si>
    <t>Statssa Annual</t>
  </si>
  <si>
    <t>updated formulae to run SUMIF from row 3 to row 500 (instead of up to row 400) as Statssa monthly data now exceeds row 400 for columns A to E (not for every province)</t>
  </si>
  <si>
    <t>floorspace forecast SA</t>
  </si>
  <si>
    <t>updated formulae to run from row 3 to row 500 (instead of up to row 400) as Statssa monthly data now exceeds row 400</t>
  </si>
  <si>
    <t>Extended formulae in columns H &amp; I from 2016 to 2022</t>
  </si>
  <si>
    <t>COM_2017</t>
  </si>
  <si>
    <t>Sheet update from Bruno M. (Energy Balance) Sources: energy balance folder in onedrive.
The 137.76 includes on site gen from Kelvin and rooftop PV in 2017.</t>
  </si>
  <si>
    <t>USD</t>
  </si>
  <si>
    <t>Convert from</t>
  </si>
  <si>
    <t>Convert to</t>
  </si>
  <si>
    <t>step 1</t>
  </si>
  <si>
    <t>step 2</t>
  </si>
  <si>
    <t>Method 2</t>
  </si>
  <si>
    <t>Average</t>
  </si>
  <si>
    <t xml:space="preserve">1 2015 ZAR = </t>
  </si>
  <si>
    <t>2022 ZAR</t>
  </si>
  <si>
    <t xml:space="preserve">1 2015 USD = </t>
  </si>
  <si>
    <t>2022 USD</t>
  </si>
  <si>
    <t xml:space="preserve">2015 ZAR = </t>
  </si>
  <si>
    <t xml:space="preserve">2022 USD = </t>
  </si>
  <si>
    <t>2022R/PJa</t>
  </si>
  <si>
    <t>2022R/PJ-a</t>
  </si>
  <si>
    <t>Deflator</t>
  </si>
  <si>
    <t>Included 2015-2022 USD to ZAR conversion</t>
  </si>
  <si>
    <t xml:space="preserve">Added 2022 Investment costs </t>
  </si>
  <si>
    <t>Updated investment costs to 2022R/Pja</t>
  </si>
  <si>
    <t>COM_N_2017</t>
  </si>
  <si>
    <t>Added new Veda ~FI_T, ~FI_Process, ~FI_Comm Tables</t>
  </si>
  <si>
    <t>Reduced the dependance of this sheet on COM_2012 by copying over Base year Tech Share, upper and lower (2015&amp;2012) Colums P,Q,AA &amp;AB into this sheet and adjusting references.</t>
  </si>
  <si>
    <t>NCAP_BND~LO~2017</t>
  </si>
  <si>
    <t>nothing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</si>
</sst>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00_);_(* \(#,##0.00\);_(* &quot;-&quot;??_);_(@_)"/>
    <numFmt numFmtId="165" formatCode="_ * #,##0.00_ ;_ * \-#,##0.00_ ;_ * &quot;-&quot;??_ ;_ @_ "/>
    <numFmt numFmtId="166" formatCode="0.0"/>
    <numFmt numFmtId="167" formatCode="0.000"/>
    <numFmt numFmtId="168" formatCode="0.0000"/>
    <numFmt numFmtId="169" formatCode="#,##0\ "/>
    <numFmt numFmtId="170" formatCode="#,##0.00\ ;&quot; -&quot;#,##0.00\ ;&quot; -&quot;#\ ;@\ "/>
    <numFmt numFmtId="171" formatCode="#,##0\ ;&quot; -&quot;#,##0\ ;&quot; -&quot;#\ ;@\ "/>
    <numFmt numFmtId="172" formatCode="#,##0.0\ ;&quot; -&quot;#,##0.0\ ;&quot; -&quot;#\ ;@\ "/>
    <numFmt numFmtId="173" formatCode="#,##0.0"/>
    <numFmt numFmtId="174" formatCode="0.0%"/>
    <numFmt numFmtId="175" formatCode="0.000%"/>
    <numFmt numFmtId="176" formatCode="0.0_)"/>
    <numFmt numFmtId="177" formatCode="[$-809]General"/>
    <numFmt numFmtId="178" formatCode="#,##0.00&quot; &quot;;&quot; -&quot;#,##0.00&quot; &quot;;&quot; -&quot;#&quot; &quot;;@&quot; &quot;"/>
    <numFmt numFmtId="179" formatCode="[$£-809]#,##0.00;[Red]&quot;-&quot;[$£-809]#,##0.00"/>
    <numFmt numFmtId="180" formatCode="[$£-809]#,##0.000;[Red]&quot;-&quot;[$£-809]#,##0.000"/>
    <numFmt numFmtId="181" formatCode="_(* #,##0_);_(* \(#,##0\);_(* &quot;-&quot;??_);_(@_)"/>
    <numFmt numFmtId="182" formatCode="0.00000"/>
    <numFmt numFmtId="183" formatCode="_-* #,##0_-;\-* #,##0_-;_-* &quot;-&quot;??_-;_-@_-"/>
    <numFmt numFmtId="184" formatCode="dd\-mmm\-yyyy"/>
    <numFmt numFmtId="185" formatCode="#,##0.0\ "/>
    <numFmt numFmtId="186" formatCode="_(* #,##0.00000_);_(* \(#,##0.00000\);_(* &quot;-&quot;??_);_(@_)"/>
    <numFmt numFmtId="187" formatCode="0.0000%"/>
    <numFmt numFmtId="188" formatCode="#,##0.000"/>
  </numFmts>
  <fonts count="12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sz val="12"/>
      <color indexed="9"/>
      <name val="Arial"/>
      <family val="2"/>
    </font>
    <font>
      <b/>
      <sz val="12"/>
      <name val="Arial"/>
      <family val="2"/>
    </font>
    <font>
      <b/>
      <sz val="10"/>
      <name val="Arial"/>
      <family val="2"/>
    </font>
    <font>
      <sz val="12"/>
      <color indexed="10"/>
      <name val="Arial"/>
      <family val="2"/>
    </font>
    <font>
      <sz val="12"/>
      <name val="Times New Roman"/>
      <family val="1"/>
    </font>
    <font>
      <sz val="10"/>
      <name val="Verdana"/>
      <family val="2"/>
    </font>
    <font>
      <b/>
      <u/>
      <sz val="10"/>
      <name val="Arial"/>
      <family val="2"/>
    </font>
    <font>
      <b/>
      <sz val="10"/>
      <color indexed="9"/>
      <name val="Arial"/>
      <family val="2"/>
    </font>
    <font>
      <sz val="10"/>
      <color indexed="9"/>
      <name val="Arial"/>
      <family val="2"/>
    </font>
    <font>
      <b/>
      <sz val="10"/>
      <color indexed="10"/>
      <name val="Arial"/>
      <family val="2"/>
    </font>
    <font>
      <sz val="10"/>
      <color indexed="12"/>
      <name val="Times New Roman"/>
      <family val="1"/>
    </font>
    <font>
      <b/>
      <sz val="10"/>
      <color indexed="9"/>
      <name val="Verdana"/>
      <family val="2"/>
    </font>
    <font>
      <b/>
      <sz val="10"/>
      <name val="Verdana"/>
      <family val="2"/>
    </font>
    <font>
      <b/>
      <sz val="10"/>
      <color indexed="12"/>
      <name val="Arial"/>
      <family val="2"/>
    </font>
    <font>
      <b/>
      <sz val="10"/>
      <color indexed="8"/>
      <name val="Arial"/>
      <family val="2"/>
    </font>
    <font>
      <sz val="10"/>
      <color indexed="8"/>
      <name val="Arial"/>
      <family val="2"/>
    </font>
    <font>
      <sz val="10"/>
      <color indexed="10"/>
      <name val="Arial"/>
      <family val="2"/>
    </font>
    <font>
      <sz val="10"/>
      <color indexed="12"/>
      <name val="Arial"/>
      <family val="2"/>
    </font>
    <font>
      <sz val="10"/>
      <color indexed="60"/>
      <name val="Arial"/>
      <family val="2"/>
    </font>
    <font>
      <vertAlign val="superscript"/>
      <sz val="10"/>
      <name val="Arial"/>
      <family val="2"/>
    </font>
    <font>
      <sz val="12"/>
      <color indexed="18"/>
      <name val="Arial"/>
      <family val="2"/>
    </font>
    <font>
      <b/>
      <sz val="12"/>
      <color indexed="18"/>
      <name val="Arial"/>
      <family val="2"/>
    </font>
    <font>
      <b/>
      <sz val="8"/>
      <name val="Arial"/>
      <family val="2"/>
    </font>
    <font>
      <b/>
      <sz val="8"/>
      <name val="Verdana"/>
      <family val="2"/>
    </font>
    <font>
      <sz val="10"/>
      <name val="Arial Unicode MS"/>
      <family val="2"/>
    </font>
    <font>
      <b/>
      <sz val="8"/>
      <color indexed="8"/>
      <name val="Tahoma"/>
      <family val="2"/>
    </font>
    <font>
      <sz val="8"/>
      <color indexed="8"/>
      <name val="Tahoma"/>
      <family val="2"/>
    </font>
    <font>
      <u/>
      <sz val="10"/>
      <color indexed="8"/>
      <name val="Arial"/>
      <family val="2"/>
    </font>
    <font>
      <b/>
      <i/>
      <sz val="10"/>
      <color indexed="8"/>
      <name val="Arial"/>
      <family val="2"/>
    </font>
    <font>
      <sz val="8"/>
      <name val="Arial"/>
      <family val="2"/>
    </font>
    <font>
      <b/>
      <sz val="10"/>
      <name val="MS Sans Serif"/>
      <family val="2"/>
    </font>
    <font>
      <b/>
      <sz val="9"/>
      <color indexed="8"/>
      <name val="Arial Narrow"/>
      <family val="2"/>
    </font>
    <font>
      <sz val="10"/>
      <name val="MS Sans Serif"/>
      <family val="2"/>
    </font>
    <font>
      <sz val="9"/>
      <name val="Arial"/>
      <family val="2"/>
    </font>
    <font>
      <b/>
      <sz val="10"/>
      <color indexed="8"/>
      <name val="Verdana"/>
      <family val="2"/>
    </font>
    <font>
      <sz val="10"/>
      <color indexed="29"/>
      <name val="Arial"/>
      <family val="2"/>
    </font>
    <font>
      <sz val="10"/>
      <color indexed="63"/>
      <name val="Arial"/>
      <family val="2"/>
    </font>
    <font>
      <i/>
      <sz val="10"/>
      <name val="Arial"/>
      <family val="2"/>
    </font>
    <font>
      <i/>
      <sz val="10"/>
      <color indexed="8"/>
      <name val="Arial"/>
      <family val="2"/>
    </font>
    <font>
      <i/>
      <sz val="10"/>
      <color indexed="10"/>
      <name val="Arial"/>
      <family val="2"/>
    </font>
    <font>
      <i/>
      <sz val="10"/>
      <color indexed="12"/>
      <name val="Arial"/>
      <family val="2"/>
    </font>
    <font>
      <b/>
      <sz val="10"/>
      <color indexed="60"/>
      <name val="Arial"/>
      <family val="2"/>
    </font>
    <font>
      <sz val="10"/>
      <name val="Arial"/>
      <family val="2"/>
    </font>
    <font>
      <b/>
      <sz val="12"/>
      <name val="Arial"/>
      <family val="2"/>
    </font>
    <font>
      <b/>
      <sz val="10"/>
      <name val="Arial"/>
      <family val="2"/>
    </font>
    <font>
      <sz val="10"/>
      <name val="Arial"/>
      <family val="2"/>
    </font>
    <font>
      <sz val="10"/>
      <color indexed="10"/>
      <name val="Arial"/>
      <family val="2"/>
    </font>
    <font>
      <sz val="10"/>
      <color indexed="14"/>
      <name val="Arial"/>
      <family val="2"/>
    </font>
    <font>
      <sz val="10"/>
      <color indexed="14"/>
      <name val="Arial"/>
      <family val="2"/>
    </font>
    <font>
      <b/>
      <sz val="8"/>
      <color indexed="81"/>
      <name val="Tahoma"/>
      <family val="2"/>
    </font>
    <font>
      <sz val="8"/>
      <color indexed="81"/>
      <name val="Tahoma"/>
      <family val="2"/>
    </font>
    <font>
      <b/>
      <sz val="8"/>
      <color indexed="8"/>
      <name val="Arial"/>
      <family val="2"/>
    </font>
    <font>
      <sz val="8"/>
      <color indexed="8"/>
      <name val="Arial"/>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b/>
      <i/>
      <sz val="16"/>
      <color theme="1"/>
      <name val="Arial1"/>
    </font>
    <font>
      <u/>
      <sz val="10"/>
      <color theme="10"/>
      <name val="Arial"/>
      <family val="2"/>
    </font>
    <font>
      <sz val="11"/>
      <color rgb="FF3F3F76"/>
      <name val="Calibri"/>
      <family val="2"/>
      <scheme val="minor"/>
    </font>
    <font>
      <sz val="10"/>
      <color theme="9" tint="-0.24994659260841701"/>
      <name val="Arial"/>
      <family val="2"/>
    </font>
    <font>
      <sz val="11"/>
      <color theme="1"/>
      <name val="Arial1"/>
    </font>
    <font>
      <b/>
      <i/>
      <u/>
      <sz val="11"/>
      <color theme="1"/>
      <name val="Arial1"/>
    </font>
    <font>
      <sz val="10"/>
      <color theme="3"/>
      <name val="Arial"/>
      <family val="2"/>
    </font>
    <font>
      <b/>
      <sz val="10"/>
      <color theme="4"/>
      <name val="Arial"/>
      <family val="2"/>
    </font>
    <font>
      <b/>
      <sz val="10"/>
      <color theme="3"/>
      <name val="Arial"/>
      <family val="2"/>
    </font>
    <font>
      <b/>
      <sz val="8"/>
      <color rgb="FF800080"/>
      <name val="Arial"/>
      <family val="2"/>
    </font>
    <font>
      <sz val="8"/>
      <color rgb="FF800080"/>
      <name val="Arial"/>
      <family val="2"/>
    </font>
    <font>
      <sz val="10"/>
      <color rgb="FFFF0000"/>
      <name val="Arial"/>
      <family val="2"/>
    </font>
    <font>
      <sz val="10"/>
      <color theme="5" tint="-0.249977111117893"/>
      <name val="Arial"/>
      <family val="2"/>
      <charset val="238"/>
    </font>
    <font>
      <sz val="9"/>
      <color indexed="81"/>
      <name val="Tahoma"/>
      <family val="2"/>
    </font>
    <font>
      <b/>
      <sz val="9"/>
      <color indexed="81"/>
      <name val="Tahoma"/>
      <family val="2"/>
    </font>
    <font>
      <u/>
      <sz val="10"/>
      <color theme="10"/>
      <name val="Arial"/>
      <family val="2"/>
    </font>
    <font>
      <sz val="11"/>
      <color rgb="FF006100"/>
      <name val="Calibri"/>
      <family val="2"/>
      <scheme val="minor"/>
    </font>
    <font>
      <sz val="11"/>
      <color rgb="FF9C6500"/>
      <name val="Calibri"/>
      <family val="2"/>
      <scheme val="minor"/>
    </font>
    <font>
      <sz val="9"/>
      <color indexed="63"/>
      <name val="Times New Roman"/>
      <family val="1"/>
    </font>
    <font>
      <sz val="9"/>
      <name val="Times New Roman"/>
      <family val="1"/>
    </font>
    <font>
      <sz val="10"/>
      <color theme="1"/>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sz val="10"/>
      <color theme="1"/>
      <name val="Verdana"/>
      <family val="2"/>
    </font>
    <font>
      <b/>
      <sz val="10"/>
      <color rgb="FFFA7D00"/>
      <name val="Calibri"/>
      <family val="2"/>
      <scheme val="minor"/>
    </font>
    <font>
      <sz val="10"/>
      <color rgb="FF3F3F76"/>
      <name val="Calibri"/>
      <family val="2"/>
      <scheme val="minor"/>
    </font>
    <font>
      <sz val="10"/>
      <color rgb="FF9C0006"/>
      <name val="Calibri"/>
      <family val="2"/>
      <scheme val="minor"/>
    </font>
    <font>
      <sz val="10"/>
      <color theme="3" tint="0.39997558519241921"/>
      <name val="Calibri"/>
      <family val="2"/>
      <scheme val="minor"/>
    </font>
    <font>
      <sz val="9"/>
      <color rgb="FFFF0000"/>
      <name val="Arial"/>
      <family val="2"/>
    </font>
    <font>
      <b/>
      <sz val="9"/>
      <name val="Arial"/>
      <family val="2"/>
    </font>
    <font>
      <sz val="10"/>
      <color theme="5"/>
      <name val="Arial"/>
      <family val="2"/>
    </font>
    <font>
      <sz val="9"/>
      <color theme="3"/>
      <name val="Times New Roman"/>
      <family val="1"/>
    </font>
    <font>
      <b/>
      <sz val="8"/>
      <color rgb="FFFF0000"/>
      <name val="Arial"/>
      <family val="2"/>
    </font>
    <font>
      <sz val="10"/>
      <color rgb="FFFF0000"/>
      <name val="Arial"/>
      <family val="2"/>
      <charset val="238"/>
    </font>
    <font>
      <sz val="11"/>
      <color rgb="FFFF0000"/>
      <name val="Calibri"/>
      <family val="2"/>
      <scheme val="minor"/>
    </font>
    <font>
      <sz val="10"/>
      <name val="Calibri"/>
      <family val="2"/>
    </font>
    <font>
      <sz val="10"/>
      <color theme="1"/>
      <name val="Arial"/>
      <family val="2"/>
    </font>
    <font>
      <b/>
      <sz val="8"/>
      <color theme="1"/>
      <name val="Verdana"/>
      <family val="2"/>
    </font>
    <font>
      <sz val="12"/>
      <color theme="1"/>
      <name val="Times New Roman"/>
      <family val="1"/>
    </font>
    <font>
      <i/>
      <sz val="12"/>
      <color theme="1"/>
      <name val="Times New Roman"/>
      <family val="1"/>
    </font>
    <font>
      <b/>
      <sz val="11"/>
      <color theme="3"/>
      <name val="Calibri"/>
      <family val="2"/>
      <scheme val="minor"/>
    </font>
    <font>
      <sz val="10"/>
      <name val="Verdana"/>
      <family val="2"/>
    </font>
    <font>
      <u/>
      <sz val="10"/>
      <color indexed="12"/>
      <name val="Arial"/>
      <family val="2"/>
    </font>
    <font>
      <sz val="11"/>
      <color indexed="8"/>
      <name val="Calibri"/>
      <family val="2"/>
    </font>
    <font>
      <sz val="10"/>
      <name val="Arial"/>
      <family val="2"/>
      <charset val="238"/>
    </font>
    <font>
      <sz val="12"/>
      <color theme="1"/>
      <name val="Calibri"/>
      <family val="2"/>
      <scheme val="minor"/>
    </font>
    <font>
      <u/>
      <sz val="12"/>
      <color theme="10"/>
      <name val="Calibri"/>
      <family val="2"/>
      <scheme val="minor"/>
    </font>
    <font>
      <sz val="8"/>
      <name val="Arial"/>
      <family val="2"/>
    </font>
  </fonts>
  <fills count="63">
    <fill>
      <patternFill patternType="none"/>
    </fill>
    <fill>
      <patternFill patternType="gray125"/>
    </fill>
    <fill>
      <patternFill patternType="solid">
        <fgColor indexed="23"/>
        <bgColor indexed="55"/>
      </patternFill>
    </fill>
    <fill>
      <patternFill patternType="solid">
        <fgColor indexed="26"/>
        <bgColor indexed="9"/>
      </patternFill>
    </fill>
    <fill>
      <patternFill patternType="solid">
        <fgColor indexed="27"/>
        <bgColor indexed="41"/>
      </patternFill>
    </fill>
    <fill>
      <patternFill patternType="solid">
        <fgColor indexed="47"/>
        <bgColor indexed="42"/>
      </patternFill>
    </fill>
    <fill>
      <patternFill patternType="solid">
        <fgColor indexed="49"/>
        <bgColor indexed="46"/>
      </patternFill>
    </fill>
    <fill>
      <patternFill patternType="solid">
        <fgColor indexed="52"/>
        <bgColor indexed="50"/>
      </patternFill>
    </fill>
    <fill>
      <patternFill patternType="solid">
        <fgColor indexed="8"/>
        <bgColor indexed="58"/>
      </patternFill>
    </fill>
    <fill>
      <patternFill patternType="solid">
        <fgColor indexed="54"/>
        <bgColor indexed="23"/>
      </patternFill>
    </fill>
    <fill>
      <patternFill patternType="solid">
        <fgColor indexed="12"/>
        <bgColor indexed="39"/>
      </patternFill>
    </fill>
    <fill>
      <patternFill patternType="solid">
        <fgColor indexed="25"/>
        <bgColor indexed="16"/>
      </patternFill>
    </fill>
    <fill>
      <patternFill patternType="solid">
        <fgColor indexed="48"/>
        <bgColor indexed="23"/>
      </patternFill>
    </fill>
    <fill>
      <patternFill patternType="solid">
        <fgColor indexed="19"/>
        <bgColor indexed="54"/>
      </patternFill>
    </fill>
    <fill>
      <patternFill patternType="solid">
        <fgColor indexed="55"/>
        <bgColor indexed="23"/>
      </patternFill>
    </fill>
    <fill>
      <patternFill patternType="solid">
        <fgColor indexed="34"/>
        <bgColor indexed="43"/>
      </patternFill>
    </fill>
    <fill>
      <patternFill patternType="solid">
        <fgColor indexed="22"/>
        <bgColor indexed="31"/>
      </patternFill>
    </fill>
    <fill>
      <patternFill patternType="solid">
        <fgColor indexed="30"/>
        <bgColor indexed="21"/>
      </patternFill>
    </fill>
    <fill>
      <patternFill patternType="solid">
        <fgColor indexed="43"/>
        <bgColor indexed="26"/>
      </patternFill>
    </fill>
    <fill>
      <patternFill patternType="solid">
        <fgColor indexed="31"/>
        <bgColor indexed="22"/>
      </patternFill>
    </fill>
    <fill>
      <patternFill patternType="solid">
        <fgColor indexed="13"/>
        <bgColor indexed="34"/>
      </patternFill>
    </fill>
    <fill>
      <patternFill patternType="solid">
        <fgColor indexed="9"/>
        <bgColor indexed="26"/>
      </patternFill>
    </fill>
    <fill>
      <patternFill patternType="solid">
        <fgColor indexed="44"/>
        <bgColor indexed="24"/>
      </patternFill>
    </fill>
    <fill>
      <patternFill patternType="solid">
        <fgColor indexed="61"/>
        <bgColor indexed="63"/>
      </patternFill>
    </fill>
    <fill>
      <patternFill patternType="solid">
        <fgColor indexed="44"/>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C000"/>
        <bgColor indexed="31"/>
      </patternFill>
    </fill>
    <fill>
      <patternFill patternType="solid">
        <fgColor rgb="FFC6EFCE"/>
      </patternFill>
    </fill>
    <fill>
      <patternFill patternType="solid">
        <fgColor rgb="FFFFEB9C"/>
      </patternFill>
    </fill>
    <fill>
      <patternFill patternType="solid">
        <fgColor theme="0" tint="-0.249977111117893"/>
        <bgColor indexed="64"/>
      </patternFill>
    </fill>
    <fill>
      <patternFill patternType="solid">
        <fgColor indexed="61"/>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rgb="FFEAEAEA"/>
        <bgColor indexed="64"/>
      </patternFill>
    </fill>
    <fill>
      <patternFill patternType="solid">
        <fgColor rgb="FFFFEEA7"/>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59999389629810485"/>
        <bgColor indexed="31"/>
      </patternFill>
    </fill>
    <fill>
      <patternFill patternType="solid">
        <fgColor theme="7" tint="0.59999389629810485"/>
        <bgColor indexed="64"/>
      </patternFill>
    </fill>
    <fill>
      <patternFill patternType="solid">
        <fgColor theme="7" tint="0.59999389629810485"/>
        <bgColor indexed="26"/>
      </patternFill>
    </fill>
    <fill>
      <patternFill patternType="solid">
        <fgColor theme="0"/>
        <bgColor indexed="26"/>
      </patternFill>
    </fill>
    <fill>
      <patternFill patternType="solid">
        <fgColor indexed="43"/>
        <bgColor indexed="64"/>
      </patternFill>
    </fill>
    <fill>
      <patternFill patternType="solid">
        <fgColor rgb="FFFFFFCC"/>
      </patternFill>
    </fill>
    <fill>
      <patternFill patternType="solid">
        <fgColor theme="3" tint="0.59999389629810485"/>
        <bgColor indexed="64"/>
      </patternFill>
    </fill>
    <fill>
      <patternFill patternType="solid">
        <fgColor rgb="FF99FFCC"/>
        <bgColor indexed="64"/>
      </patternFill>
    </fill>
  </fills>
  <borders count="53">
    <border>
      <left/>
      <right/>
      <top/>
      <bottom/>
      <diagonal/>
    </border>
    <border>
      <left style="hair">
        <color indexed="8"/>
      </left>
      <right style="hair">
        <color indexed="8"/>
      </right>
      <top style="hair">
        <color indexed="8"/>
      </top>
      <bottom style="hair">
        <color indexed="8"/>
      </bottom>
      <diagonal/>
    </border>
    <border>
      <left style="thin">
        <color indexed="8"/>
      </left>
      <right style="thin">
        <color indexed="8"/>
      </right>
      <top style="thin">
        <color indexed="8"/>
      </top>
      <bottom style="thin">
        <color indexed="8"/>
      </bottom>
      <diagonal/>
    </border>
    <border>
      <left/>
      <right/>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style="thin">
        <color indexed="8"/>
      </right>
      <top style="thin">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hair">
        <color indexed="8"/>
      </left>
      <right/>
      <top style="hair">
        <color indexed="8"/>
      </top>
      <bottom style="hair">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ck">
        <color theme="4" tint="0.499984740745262"/>
      </bottom>
      <diagonal/>
    </border>
    <border>
      <left style="thin">
        <color indexed="62"/>
      </left>
      <right style="thin">
        <color indexed="62"/>
      </right>
      <top style="thin">
        <color indexed="62"/>
      </top>
      <bottom style="thin">
        <color indexed="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right/>
      <top/>
      <bottom style="thick">
        <color indexed="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8"/>
      </left>
      <right style="hair">
        <color indexed="8"/>
      </right>
      <top style="thin">
        <color indexed="8"/>
      </top>
      <bottom style="hair">
        <color indexed="8"/>
      </bottom>
      <diagonal/>
    </border>
    <border>
      <left style="thin">
        <color indexed="64"/>
      </left>
      <right style="hair">
        <color indexed="8"/>
      </right>
      <top style="thin">
        <color indexed="64"/>
      </top>
      <bottom style="hair">
        <color indexed="8"/>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thin">
        <color indexed="64"/>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s>
  <cellStyleXfs count="90">
    <xf numFmtId="0" fontId="0" fillId="0" borderId="0"/>
    <xf numFmtId="0" fontId="66" fillId="26" borderId="0" applyNumberFormat="0" applyBorder="0" applyAlignment="0" applyProtection="0"/>
    <xf numFmtId="0" fontId="66" fillId="26" borderId="0" applyNumberFormat="0" applyBorder="0" applyAlignment="0" applyProtection="0"/>
    <xf numFmtId="0" fontId="67" fillId="0" borderId="0" applyNumberFormat="0" applyFill="0" applyBorder="0" applyAlignment="0" applyProtection="0"/>
    <xf numFmtId="0" fontId="68" fillId="27" borderId="25" applyNumberFormat="0" applyAlignment="0" applyProtection="0"/>
    <xf numFmtId="43" fontId="54" fillId="0" borderId="0" applyFont="0" applyFill="0" applyBorder="0" applyAlignment="0" applyProtection="0"/>
    <xf numFmtId="170" fontId="36" fillId="0" borderId="0" applyFill="0" applyBorder="0" applyAlignment="0" applyProtection="0"/>
    <xf numFmtId="165" fontId="10" fillId="0" borderId="0" applyFont="0" applyFill="0" applyBorder="0" applyAlignment="0" applyProtection="0"/>
    <xf numFmtId="177" fontId="69" fillId="0" borderId="0"/>
    <xf numFmtId="0" fontId="17" fillId="0" borderId="0"/>
    <xf numFmtId="178" fontId="70" fillId="0" borderId="0"/>
    <xf numFmtId="4" fontId="71" fillId="0" borderId="0" applyNumberFormat="0" applyFill="0" applyBorder="0" applyAlignment="0" applyProtection="0">
      <alignment horizontal="center"/>
    </xf>
    <xf numFmtId="0" fontId="72" fillId="0" borderId="0">
      <alignment horizontal="center"/>
    </xf>
    <xf numFmtId="0" fontId="72" fillId="0" borderId="0">
      <alignment horizontal="center" textRotation="90"/>
    </xf>
    <xf numFmtId="0" fontId="73" fillId="0" borderId="0" applyNumberFormat="0" applyFill="0" applyBorder="0" applyAlignment="0" applyProtection="0">
      <alignment vertical="top"/>
      <protection locked="0"/>
    </xf>
    <xf numFmtId="0" fontId="74" fillId="28" borderId="25" applyNumberFormat="0" applyAlignment="0" applyProtection="0"/>
    <xf numFmtId="0" fontId="75" fillId="0" borderId="0" applyNumberFormat="0" applyFill="0" applyBorder="0" applyAlignment="0" applyProtection="0"/>
    <xf numFmtId="0" fontId="76" fillId="0" borderId="0"/>
    <xf numFmtId="0" fontId="10" fillId="0" borderId="0"/>
    <xf numFmtId="0" fontId="10" fillId="0" borderId="0"/>
    <xf numFmtId="0" fontId="65" fillId="0" borderId="0"/>
    <xf numFmtId="0" fontId="65" fillId="0" borderId="0"/>
    <xf numFmtId="9" fontId="54" fillId="0" borderId="0" applyFont="0" applyFill="0" applyBorder="0" applyAlignment="0" applyProtection="0"/>
    <xf numFmtId="9" fontId="17" fillId="0" borderId="0" applyFill="0" applyBorder="0" applyAlignment="0" applyProtection="0"/>
    <xf numFmtId="9" fontId="65" fillId="0" borderId="0" applyFont="0" applyFill="0" applyBorder="0" applyAlignment="0" applyProtection="0"/>
    <xf numFmtId="9" fontId="10" fillId="0" borderId="0" applyFill="0" applyBorder="0" applyAlignment="0" applyProtection="0"/>
    <xf numFmtId="0" fontId="77" fillId="0" borderId="0"/>
    <xf numFmtId="179" fontId="77" fillId="0" borderId="0"/>
    <xf numFmtId="0" fontId="87" fillId="0" borderId="0" applyNumberFormat="0" applyFill="0" applyBorder="0" applyAlignment="0" applyProtection="0"/>
    <xf numFmtId="0" fontId="10" fillId="0" borderId="0"/>
    <xf numFmtId="180" fontId="73" fillId="0" borderId="0" applyNumberFormat="0" applyFill="0" applyBorder="0" applyAlignment="0" applyProtection="0">
      <alignment vertical="top"/>
      <protection locked="0"/>
    </xf>
    <xf numFmtId="0" fontId="74" fillId="28" borderId="25" applyNumberFormat="0" applyAlignment="0" applyProtection="0"/>
    <xf numFmtId="0" fontId="68" fillId="27" borderId="25" applyNumberFormat="0" applyAlignment="0" applyProtection="0"/>
    <xf numFmtId="9" fontId="10" fillId="0" borderId="0" applyFont="0" applyFill="0" applyBorder="0" applyAlignment="0" applyProtection="0"/>
    <xf numFmtId="182" fontId="10" fillId="42" borderId="35" applyNumberFormat="0" applyFont="0" applyAlignment="0"/>
    <xf numFmtId="0" fontId="10" fillId="43" borderId="36" applyNumberFormat="0" applyFont="0" applyAlignment="0"/>
    <xf numFmtId="0" fontId="41" fillId="44" borderId="36" applyNumberFormat="0" applyFont="0" applyAlignment="0"/>
    <xf numFmtId="164" fontId="10"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88" fillId="38" borderId="0" applyNumberFormat="0" applyBorder="0" applyAlignment="0" applyProtection="0"/>
    <xf numFmtId="180" fontId="93" fillId="0" borderId="37" applyNumberFormat="0" applyFill="0" applyAlignment="0" applyProtection="0"/>
    <xf numFmtId="0" fontId="93" fillId="0" borderId="37" applyNumberFormat="0" applyFill="0" applyAlignment="0" applyProtection="0"/>
    <xf numFmtId="180" fontId="94" fillId="0" borderId="33" applyNumberFormat="0" applyFill="0" applyAlignment="0" applyProtection="0"/>
    <xf numFmtId="0" fontId="94" fillId="0" borderId="33" applyNumberFormat="0" applyFill="0" applyAlignment="0" applyProtection="0"/>
    <xf numFmtId="180" fontId="95" fillId="0" borderId="0" applyNumberFormat="0" applyFill="0" applyBorder="0" applyAlignment="0" applyProtection="0"/>
    <xf numFmtId="0" fontId="95" fillId="0" borderId="0" applyNumberFormat="0" applyFill="0" applyBorder="0" applyAlignment="0" applyProtection="0"/>
    <xf numFmtId="180" fontId="74" fillId="28" borderId="25" applyNumberFormat="0" applyAlignment="0" applyProtection="0"/>
    <xf numFmtId="0" fontId="10" fillId="45" borderId="38" applyNumberFormat="0" applyFont="0" applyAlignment="0"/>
    <xf numFmtId="0" fontId="89" fillId="39" borderId="0" applyNumberFormat="0" applyBorder="0" applyAlignment="0" applyProtection="0"/>
    <xf numFmtId="180" fontId="10" fillId="0" borderId="0"/>
    <xf numFmtId="180" fontId="9" fillId="0" borderId="0"/>
    <xf numFmtId="0" fontId="9" fillId="0" borderId="0"/>
    <xf numFmtId="180" fontId="9" fillId="0" borderId="0"/>
    <xf numFmtId="180" fontId="9" fillId="0" borderId="0"/>
    <xf numFmtId="9" fontId="9" fillId="0" borderId="0" applyFont="0" applyFill="0" applyBorder="0" applyAlignment="0" applyProtection="0"/>
    <xf numFmtId="180" fontId="10" fillId="0" borderId="0"/>
    <xf numFmtId="0" fontId="8" fillId="0" borderId="0"/>
    <xf numFmtId="43" fontId="10" fillId="0" borderId="0" applyFont="0" applyFill="0" applyBorder="0" applyAlignment="0" applyProtection="0"/>
    <xf numFmtId="0" fontId="10" fillId="0" borderId="0"/>
    <xf numFmtId="0" fontId="2" fillId="0" borderId="0"/>
    <xf numFmtId="0" fontId="113" fillId="0" borderId="0" applyNumberFormat="0" applyFill="0" applyBorder="0" applyAlignment="0" applyProtection="0"/>
    <xf numFmtId="0" fontId="114" fillId="0" borderId="0"/>
    <xf numFmtId="9" fontId="17" fillId="0" borderId="0" applyFont="0" applyFill="0" applyBorder="0" applyAlignment="0" applyProtection="0"/>
    <xf numFmtId="0" fontId="115" fillId="0" borderId="0" applyNumberFormat="0" applyFill="0" applyBorder="0" applyAlignment="0" applyProtection="0">
      <alignment vertical="top"/>
      <protection locked="0"/>
    </xf>
    <xf numFmtId="164" fontId="17"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0" fontId="1" fillId="0" borderId="0"/>
    <xf numFmtId="9" fontId="1" fillId="0" borderId="0" applyFont="0" applyFill="0" applyBorder="0" applyAlignment="0" applyProtection="0"/>
    <xf numFmtId="9" fontId="10" fillId="0" borderId="0" applyFont="0" applyFill="0" applyBorder="0" applyAlignment="0" applyProtection="0"/>
    <xf numFmtId="0" fontId="10" fillId="0" borderId="0"/>
    <xf numFmtId="0" fontId="1" fillId="0" borderId="0"/>
    <xf numFmtId="164" fontId="116" fillId="0" borderId="0" applyFont="0" applyFill="0" applyBorder="0" applyAlignment="0" applyProtection="0"/>
    <xf numFmtId="43" fontId="10" fillId="0" borderId="0" applyFont="0" applyFill="0" applyBorder="0" applyAlignment="0" applyProtection="0"/>
    <xf numFmtId="9" fontId="116" fillId="0" borderId="0" applyFont="0" applyFill="0" applyBorder="0" applyAlignment="0" applyProtection="0"/>
    <xf numFmtId="0" fontId="10" fillId="0" borderId="0"/>
    <xf numFmtId="0" fontId="10" fillId="60" borderId="52" applyNumberFormat="0" applyFont="0" applyAlignment="0" applyProtection="0"/>
    <xf numFmtId="164" fontId="10" fillId="0" borderId="0" applyFont="0" applyFill="0" applyBorder="0" applyAlignment="0" applyProtection="0"/>
    <xf numFmtId="0" fontId="1" fillId="0" borderId="0"/>
    <xf numFmtId="0" fontId="118" fillId="0" borderId="0"/>
    <xf numFmtId="0" fontId="119" fillId="0" borderId="0" applyNumberFormat="0" applyFill="0" applyBorder="0" applyAlignment="0" applyProtection="0"/>
    <xf numFmtId="165" fontId="118" fillId="0" borderId="0" applyFont="0" applyFill="0" applyBorder="0" applyAlignment="0" applyProtection="0"/>
    <xf numFmtId="0" fontId="1" fillId="0" borderId="0"/>
    <xf numFmtId="0" fontId="17" fillId="0" borderId="0"/>
    <xf numFmtId="9" fontId="17" fillId="0" borderId="0" applyFont="0" applyFill="0" applyBorder="0" applyAlignment="0" applyProtection="0"/>
    <xf numFmtId="0" fontId="1" fillId="0" borderId="0"/>
    <xf numFmtId="0" fontId="1" fillId="0" borderId="0"/>
    <xf numFmtId="0" fontId="10" fillId="0" borderId="0"/>
  </cellStyleXfs>
  <cellXfs count="803">
    <xf numFmtId="0" fontId="0" fillId="0" borderId="0" xfId="0"/>
    <xf numFmtId="0" fontId="10" fillId="0" borderId="0" xfId="19"/>
    <xf numFmtId="0" fontId="11" fillId="0" borderId="0" xfId="19" applyFont="1"/>
    <xf numFmtId="0" fontId="12" fillId="2" borderId="0" xfId="19" applyFont="1" applyFill="1"/>
    <xf numFmtId="0" fontId="10" fillId="2" borderId="0" xfId="19" applyFill="1"/>
    <xf numFmtId="0" fontId="13" fillId="0" borderId="0" xfId="19" applyFont="1"/>
    <xf numFmtId="0" fontId="14" fillId="0" borderId="0" xfId="19" applyFont="1"/>
    <xf numFmtId="0" fontId="15" fillId="0" borderId="0" xfId="19" applyFont="1"/>
    <xf numFmtId="0" fontId="16" fillId="0" borderId="0" xfId="19" applyFont="1"/>
    <xf numFmtId="0" fontId="14" fillId="0" borderId="1" xfId="19" applyFont="1" applyBorder="1"/>
    <xf numFmtId="0" fontId="10" fillId="3" borderId="1" xfId="19" applyFill="1" applyBorder="1"/>
    <xf numFmtId="0" fontId="10" fillId="4" borderId="1" xfId="19" applyFill="1" applyBorder="1"/>
    <xf numFmtId="0" fontId="10" fillId="0" borderId="1" xfId="19" applyBorder="1"/>
    <xf numFmtId="0" fontId="10" fillId="5" borderId="1" xfId="19" applyFill="1" applyBorder="1"/>
    <xf numFmtId="0" fontId="14" fillId="0" borderId="1" xfId="19" applyFont="1" applyBorder="1" applyAlignment="1">
      <alignment horizontal="center"/>
    </xf>
    <xf numFmtId="0" fontId="17" fillId="0" borderId="2" xfId="19" applyFont="1" applyBorder="1" applyAlignment="1">
      <alignment vertical="center" wrapText="1"/>
    </xf>
    <xf numFmtId="0" fontId="18" fillId="0" borderId="0" xfId="19" applyFont="1"/>
    <xf numFmtId="0" fontId="10" fillId="0" borderId="0" xfId="19" applyAlignment="1">
      <alignment horizontal="left"/>
    </xf>
    <xf numFmtId="0" fontId="10" fillId="0" borderId="0" xfId="19" applyAlignment="1">
      <alignment horizontal="left" wrapText="1"/>
    </xf>
    <xf numFmtId="0" fontId="19" fillId="2" borderId="0" xfId="19" applyFont="1" applyFill="1" applyAlignment="1">
      <alignment horizontal="left"/>
    </xf>
    <xf numFmtId="0" fontId="20" fillId="2" borderId="0" xfId="19" applyFont="1" applyFill="1"/>
    <xf numFmtId="0" fontId="21" fillId="0" borderId="0" xfId="19" applyFont="1"/>
    <xf numFmtId="0" fontId="10" fillId="0" borderId="0" xfId="19" applyAlignment="1">
      <alignment wrapText="1"/>
    </xf>
    <xf numFmtId="0" fontId="22" fillId="0" borderId="0" xfId="19" applyFont="1"/>
    <xf numFmtId="3" fontId="10" fillId="0" borderId="0" xfId="19" applyNumberFormat="1"/>
    <xf numFmtId="0" fontId="13" fillId="0" borderId="0" xfId="19" applyFont="1" applyAlignment="1">
      <alignment horizontal="center"/>
    </xf>
    <xf numFmtId="0" fontId="23" fillId="6" borderId="2" xfId="19" applyFont="1" applyFill="1" applyBorder="1" applyAlignment="1">
      <alignment horizontal="center" vertical="center" wrapText="1"/>
    </xf>
    <xf numFmtId="0" fontId="23" fillId="7" borderId="2" xfId="19" applyFont="1" applyFill="1" applyBorder="1" applyAlignment="1">
      <alignment horizontal="center" vertical="center" wrapText="1"/>
    </xf>
    <xf numFmtId="0" fontId="23" fillId="8" borderId="2" xfId="19" applyFont="1" applyFill="1" applyBorder="1" applyAlignment="1">
      <alignment horizontal="center" vertical="center" wrapText="1"/>
    </xf>
    <xf numFmtId="0" fontId="23" fillId="9" borderId="2" xfId="19" applyFont="1" applyFill="1" applyBorder="1" applyAlignment="1">
      <alignment horizontal="center" vertical="center" wrapText="1"/>
    </xf>
    <xf numFmtId="0" fontId="10" fillId="0" borderId="0" xfId="19" applyAlignment="1">
      <alignment horizontal="center" vertical="center"/>
    </xf>
    <xf numFmtId="0" fontId="24" fillId="10" borderId="2" xfId="19" applyFont="1" applyFill="1" applyBorder="1" applyAlignment="1">
      <alignment horizontal="center" vertical="center"/>
    </xf>
    <xf numFmtId="0" fontId="23" fillId="11" borderId="2" xfId="19" applyFont="1" applyFill="1" applyBorder="1" applyAlignment="1">
      <alignment horizontal="center" vertical="center"/>
    </xf>
    <xf numFmtId="0" fontId="23" fillId="12" borderId="2" xfId="19" applyFont="1" applyFill="1" applyBorder="1" applyAlignment="1">
      <alignment horizontal="center" vertical="center"/>
    </xf>
    <xf numFmtId="0" fontId="23" fillId="13" borderId="2" xfId="19" applyFont="1" applyFill="1" applyBorder="1" applyAlignment="1">
      <alignment horizontal="center" vertical="center"/>
    </xf>
    <xf numFmtId="0" fontId="23" fillId="8" borderId="2" xfId="19" applyFont="1" applyFill="1" applyBorder="1" applyAlignment="1">
      <alignment horizontal="center" vertical="center"/>
    </xf>
    <xf numFmtId="0" fontId="23" fillId="9" borderId="2" xfId="19" applyFont="1" applyFill="1" applyBorder="1" applyAlignment="1">
      <alignment horizontal="center" vertical="center"/>
    </xf>
    <xf numFmtId="0" fontId="23" fillId="14" borderId="2" xfId="19" applyFont="1" applyFill="1" applyBorder="1" applyAlignment="1">
      <alignment horizontal="center" vertical="center"/>
    </xf>
    <xf numFmtId="0" fontId="24" fillId="15" borderId="2" xfId="19" applyFont="1" applyFill="1" applyBorder="1" applyAlignment="1">
      <alignment horizontal="center" vertical="center" wrapText="1"/>
    </xf>
    <xf numFmtId="0" fontId="24" fillId="0" borderId="2" xfId="19" applyFont="1" applyBorder="1" applyAlignment="1">
      <alignment horizontal="center" vertical="center" wrapText="1"/>
    </xf>
    <xf numFmtId="0" fontId="24" fillId="0" borderId="2" xfId="19" applyFont="1" applyBorder="1" applyAlignment="1">
      <alignment horizontal="center" vertical="center"/>
    </xf>
    <xf numFmtId="0" fontId="10" fillId="0" borderId="0" xfId="19" applyAlignment="1">
      <alignment horizontal="center"/>
    </xf>
    <xf numFmtId="0" fontId="19" fillId="2" borderId="0" xfId="19" applyFont="1" applyFill="1"/>
    <xf numFmtId="0" fontId="14" fillId="2" borderId="0" xfId="19" applyFont="1" applyFill="1" applyAlignment="1">
      <alignment horizontal="center"/>
    </xf>
    <xf numFmtId="0" fontId="14" fillId="2" borderId="0" xfId="19" applyFont="1" applyFill="1"/>
    <xf numFmtId="0" fontId="25" fillId="0" borderId="0" xfId="19" applyFont="1"/>
    <xf numFmtId="0" fontId="26" fillId="0" borderId="0" xfId="19" applyFont="1"/>
    <xf numFmtId="0" fontId="10" fillId="16" borderId="0" xfId="19" applyFill="1"/>
    <xf numFmtId="0" fontId="23" fillId="0" borderId="0" xfId="19" applyFont="1" applyAlignment="1">
      <alignment horizontal="left"/>
    </xf>
    <xf numFmtId="0" fontId="24" fillId="0" borderId="0" xfId="19" applyFont="1" applyAlignment="1">
      <alignment horizontal="center"/>
    </xf>
    <xf numFmtId="0" fontId="24" fillId="0" borderId="0" xfId="19" applyFont="1" applyAlignment="1">
      <alignment horizontal="center" wrapText="1"/>
    </xf>
    <xf numFmtId="0" fontId="23" fillId="17" borderId="0" xfId="19" applyFont="1" applyFill="1" applyAlignment="1">
      <alignment horizontal="left"/>
    </xf>
    <xf numFmtId="0" fontId="24" fillId="17" borderId="0" xfId="19" applyFont="1" applyFill="1" applyAlignment="1">
      <alignment horizontal="center"/>
    </xf>
    <xf numFmtId="0" fontId="24" fillId="17" borderId="0" xfId="19" applyFont="1" applyFill="1" applyAlignment="1">
      <alignment horizontal="center" wrapText="1"/>
    </xf>
    <xf numFmtId="0" fontId="10" fillId="17" borderId="0" xfId="19" applyFill="1" applyAlignment="1">
      <alignment horizontal="center"/>
    </xf>
    <xf numFmtId="0" fontId="10" fillId="17" borderId="0" xfId="19" applyFill="1"/>
    <xf numFmtId="0" fontId="27" fillId="0" borderId="1" xfId="19" applyFont="1" applyBorder="1"/>
    <xf numFmtId="0" fontId="10" fillId="18" borderId="1" xfId="19" applyFill="1" applyBorder="1" applyAlignment="1">
      <alignment wrapText="1"/>
    </xf>
    <xf numFmtId="0" fontId="10" fillId="0" borderId="1" xfId="19" applyBorder="1" applyAlignment="1">
      <alignment wrapText="1"/>
    </xf>
    <xf numFmtId="0" fontId="10" fillId="0" borderId="1" xfId="19" applyBorder="1" applyAlignment="1">
      <alignment horizontal="center"/>
    </xf>
    <xf numFmtId="166" fontId="28" fillId="18" borderId="1" xfId="19" applyNumberFormat="1" applyFont="1" applyFill="1" applyBorder="1" applyAlignment="1">
      <alignment horizontal="center"/>
    </xf>
    <xf numFmtId="0" fontId="29" fillId="0" borderId="1" xfId="19" applyFont="1" applyBorder="1" applyAlignment="1">
      <alignment horizontal="center" wrapText="1"/>
    </xf>
    <xf numFmtId="0" fontId="10" fillId="16" borderId="1" xfId="19" applyFill="1" applyBorder="1" applyAlignment="1">
      <alignment horizontal="center"/>
    </xf>
    <xf numFmtId="166" fontId="10" fillId="0" borderId="1" xfId="19" applyNumberFormat="1" applyBorder="1" applyAlignment="1">
      <alignment horizontal="center"/>
    </xf>
    <xf numFmtId="166" fontId="29" fillId="0" borderId="1" xfId="19" applyNumberFormat="1" applyFont="1" applyBorder="1" applyAlignment="1">
      <alignment horizontal="center"/>
    </xf>
    <xf numFmtId="10" fontId="29" fillId="0" borderId="1" xfId="19" applyNumberFormat="1" applyFont="1" applyBorder="1" applyAlignment="1">
      <alignment horizontal="center"/>
    </xf>
    <xf numFmtId="0" fontId="30" fillId="0" borderId="1" xfId="19" applyFont="1" applyBorder="1" applyAlignment="1">
      <alignment horizontal="center"/>
    </xf>
    <xf numFmtId="0" fontId="29" fillId="0" borderId="1" xfId="19" applyFont="1" applyBorder="1" applyAlignment="1">
      <alignment horizontal="center"/>
    </xf>
    <xf numFmtId="0" fontId="27" fillId="0" borderId="0" xfId="19" applyFont="1"/>
    <xf numFmtId="10" fontId="29" fillId="0" borderId="0" xfId="19" applyNumberFormat="1" applyFont="1" applyAlignment="1">
      <alignment horizontal="center"/>
    </xf>
    <xf numFmtId="4" fontId="28" fillId="18" borderId="1" xfId="19" applyNumberFormat="1" applyFont="1" applyFill="1" applyBorder="1" applyAlignment="1">
      <alignment horizontal="center"/>
    </xf>
    <xf numFmtId="10" fontId="10" fillId="0" borderId="1" xfId="19" applyNumberFormat="1" applyBorder="1"/>
    <xf numFmtId="0" fontId="10" fillId="0" borderId="1" xfId="19" applyBorder="1" applyAlignment="1">
      <alignment horizontal="left" wrapText="1"/>
    </xf>
    <xf numFmtId="10" fontId="10" fillId="0" borderId="0" xfId="19" applyNumberFormat="1"/>
    <xf numFmtId="0" fontId="10" fillId="0" borderId="1" xfId="19" applyBorder="1" applyAlignment="1">
      <alignment horizontal="left"/>
    </xf>
    <xf numFmtId="10" fontId="28" fillId="16" borderId="1" xfId="19" applyNumberFormat="1" applyFont="1" applyFill="1" applyBorder="1" applyAlignment="1">
      <alignment horizontal="center"/>
    </xf>
    <xf numFmtId="10" fontId="28" fillId="19" borderId="1" xfId="19" applyNumberFormat="1" applyFont="1" applyFill="1" applyBorder="1" applyAlignment="1">
      <alignment horizontal="center"/>
    </xf>
    <xf numFmtId="10" fontId="28" fillId="0" borderId="1" xfId="19" applyNumberFormat="1" applyFont="1" applyBorder="1" applyAlignment="1">
      <alignment horizontal="center"/>
    </xf>
    <xf numFmtId="10" fontId="28" fillId="0" borderId="0" xfId="19" applyNumberFormat="1" applyFont="1" applyAlignment="1">
      <alignment horizontal="center"/>
    </xf>
    <xf numFmtId="10" fontId="29" fillId="0" borderId="0" xfId="19" applyNumberFormat="1" applyFont="1" applyAlignment="1">
      <alignment horizontal="right"/>
    </xf>
    <xf numFmtId="9" fontId="28" fillId="20" borderId="1" xfId="19" applyNumberFormat="1" applyFont="1" applyFill="1" applyBorder="1" applyAlignment="1">
      <alignment horizontal="center"/>
    </xf>
    <xf numFmtId="9" fontId="28" fillId="4" borderId="1" xfId="19" applyNumberFormat="1" applyFont="1" applyFill="1" applyBorder="1" applyAlignment="1">
      <alignment horizontal="center"/>
    </xf>
    <xf numFmtId="0" fontId="14" fillId="16" borderId="1" xfId="19" applyFont="1" applyFill="1" applyBorder="1" applyAlignment="1">
      <alignment horizontal="center" wrapText="1"/>
    </xf>
    <xf numFmtId="0" fontId="14" fillId="16" borderId="1" xfId="19" applyFont="1" applyFill="1" applyBorder="1" applyAlignment="1">
      <alignment horizontal="center"/>
    </xf>
    <xf numFmtId="0" fontId="14" fillId="18" borderId="1" xfId="19" applyFont="1" applyFill="1" applyBorder="1" applyAlignment="1">
      <alignment horizontal="center"/>
    </xf>
    <xf numFmtId="0" fontId="14" fillId="0" borderId="3" xfId="19" applyFont="1" applyBorder="1"/>
    <xf numFmtId="0" fontId="29" fillId="0" borderId="1" xfId="19" applyFont="1" applyBorder="1" applyAlignment="1">
      <alignment horizontal="left"/>
    </xf>
    <xf numFmtId="9" fontId="28" fillId="16" borderId="1" xfId="19" applyNumberFormat="1" applyFont="1" applyFill="1" applyBorder="1" applyAlignment="1">
      <alignment horizontal="center" vertical="center"/>
    </xf>
    <xf numFmtId="167" fontId="29" fillId="16" borderId="1" xfId="19" applyNumberFormat="1" applyFont="1" applyFill="1" applyBorder="1" applyAlignment="1">
      <alignment horizontal="center" vertical="center"/>
    </xf>
    <xf numFmtId="166" fontId="29" fillId="0" borderId="1" xfId="19" applyNumberFormat="1" applyFont="1" applyBorder="1" applyAlignment="1">
      <alignment horizontal="center" vertical="center"/>
    </xf>
    <xf numFmtId="0" fontId="29" fillId="0" borderId="0" xfId="19" applyFont="1"/>
    <xf numFmtId="166" fontId="29" fillId="16" borderId="1" xfId="19" applyNumberFormat="1" applyFont="1" applyFill="1" applyBorder="1" applyAlignment="1">
      <alignment horizontal="center" vertical="center"/>
    </xf>
    <xf numFmtId="0" fontId="25" fillId="0" borderId="1" xfId="19" applyFont="1" applyBorder="1" applyAlignment="1">
      <alignment horizontal="left"/>
    </xf>
    <xf numFmtId="9" fontId="25" fillId="16" borderId="1" xfId="19" applyNumberFormat="1" applyFont="1" applyFill="1" applyBorder="1" applyAlignment="1">
      <alignment horizontal="center" vertical="center"/>
    </xf>
    <xf numFmtId="166" fontId="21" fillId="16" borderId="1" xfId="19" applyNumberFormat="1" applyFont="1" applyFill="1" applyBorder="1" applyAlignment="1">
      <alignment horizontal="center" vertical="center"/>
    </xf>
    <xf numFmtId="166" fontId="25" fillId="0" borderId="1" xfId="19" applyNumberFormat="1" applyFont="1" applyBorder="1" applyAlignment="1">
      <alignment horizontal="center"/>
    </xf>
    <xf numFmtId="0" fontId="25" fillId="16" borderId="1" xfId="19" applyFont="1" applyFill="1" applyBorder="1" applyAlignment="1">
      <alignment horizontal="left"/>
    </xf>
    <xf numFmtId="0" fontId="14" fillId="16" borderId="1" xfId="19" applyFont="1" applyFill="1" applyBorder="1"/>
    <xf numFmtId="166" fontId="25" fillId="16" borderId="1" xfId="19" applyNumberFormat="1" applyFont="1" applyFill="1" applyBorder="1" applyAlignment="1">
      <alignment horizontal="center"/>
    </xf>
    <xf numFmtId="0" fontId="29" fillId="16" borderId="0" xfId="19" applyFont="1" applyFill="1"/>
    <xf numFmtId="1" fontId="29" fillId="0" borderId="1" xfId="19" applyNumberFormat="1" applyFont="1" applyBorder="1" applyAlignment="1">
      <alignment horizontal="center"/>
    </xf>
    <xf numFmtId="1" fontId="25" fillId="0" borderId="1" xfId="19" applyNumberFormat="1" applyFont="1" applyBorder="1" applyAlignment="1">
      <alignment horizontal="center"/>
    </xf>
    <xf numFmtId="1" fontId="29" fillId="16" borderId="1" xfId="19" applyNumberFormat="1" applyFont="1" applyFill="1" applyBorder="1" applyAlignment="1">
      <alignment horizontal="center" vertical="center"/>
    </xf>
    <xf numFmtId="1" fontId="10" fillId="0" borderId="0" xfId="19" applyNumberFormat="1" applyAlignment="1">
      <alignment horizontal="center"/>
    </xf>
    <xf numFmtId="2" fontId="10" fillId="0" borderId="0" xfId="19" applyNumberFormat="1" applyAlignment="1">
      <alignment horizontal="center"/>
    </xf>
    <xf numFmtId="168" fontId="10" fillId="0" borderId="0" xfId="19" applyNumberFormat="1" applyAlignment="1">
      <alignment horizontal="center"/>
    </xf>
    <xf numFmtId="0" fontId="32" fillId="21" borderId="2" xfId="9" applyFont="1" applyFill="1" applyBorder="1" applyAlignment="1">
      <alignment vertical="top"/>
    </xf>
    <xf numFmtId="0" fontId="17" fillId="0" borderId="0" xfId="9"/>
    <xf numFmtId="0" fontId="17" fillId="0" borderId="0" xfId="9" applyAlignment="1">
      <alignment horizontal="center"/>
    </xf>
    <xf numFmtId="0" fontId="33" fillId="21" borderId="4" xfId="9" applyFont="1" applyFill="1" applyBorder="1" applyAlignment="1">
      <alignment horizontal="center" vertical="top" wrapText="1"/>
    </xf>
    <xf numFmtId="0" fontId="33" fillId="21" borderId="5" xfId="9" applyFont="1" applyFill="1" applyBorder="1" applyAlignment="1">
      <alignment horizontal="center" vertical="top" wrapText="1"/>
    </xf>
    <xf numFmtId="0" fontId="33" fillId="21" borderId="5" xfId="19" applyFont="1" applyFill="1" applyBorder="1" applyAlignment="1">
      <alignment horizontal="center" vertical="top" wrapText="1"/>
    </xf>
    <xf numFmtId="0" fontId="32" fillId="21" borderId="2" xfId="9" applyFont="1" applyFill="1" applyBorder="1" applyAlignment="1">
      <alignment vertical="top" wrapText="1"/>
    </xf>
    <xf numFmtId="0" fontId="32" fillId="21" borderId="6" xfId="9" applyFont="1" applyFill="1" applyBorder="1" applyAlignment="1">
      <alignment vertical="top" wrapText="1"/>
    </xf>
    <xf numFmtId="10" fontId="32" fillId="21" borderId="2" xfId="9" applyNumberFormat="1" applyFont="1" applyFill="1" applyBorder="1" applyAlignment="1">
      <alignment vertical="top" wrapText="1"/>
    </xf>
    <xf numFmtId="0" fontId="32" fillId="21" borderId="6" xfId="19" applyFont="1" applyFill="1" applyBorder="1" applyAlignment="1">
      <alignment vertical="top" wrapText="1"/>
    </xf>
    <xf numFmtId="0" fontId="33" fillId="20" borderId="4" xfId="9" applyFont="1" applyFill="1" applyBorder="1" applyAlignment="1">
      <alignment horizontal="center" vertical="top" wrapText="1"/>
    </xf>
    <xf numFmtId="0" fontId="33" fillId="21" borderId="7" xfId="9" applyFont="1" applyFill="1" applyBorder="1" applyAlignment="1">
      <alignment horizontal="center" vertical="top" wrapText="1"/>
    </xf>
    <xf numFmtId="0" fontId="32" fillId="20" borderId="2" xfId="9" applyFont="1" applyFill="1" applyBorder="1" applyAlignment="1">
      <alignment vertical="top" wrapText="1"/>
    </xf>
    <xf numFmtId="0" fontId="32" fillId="21" borderId="2" xfId="9" applyFont="1" applyFill="1" applyBorder="1" applyAlignment="1">
      <alignment horizontal="center" vertical="top" wrapText="1"/>
    </xf>
    <xf numFmtId="0" fontId="32" fillId="21" borderId="8" xfId="9" applyFont="1" applyFill="1" applyBorder="1" applyAlignment="1">
      <alignment vertical="top" wrapText="1"/>
    </xf>
    <xf numFmtId="0" fontId="32" fillId="21" borderId="0" xfId="9" applyFont="1" applyFill="1"/>
    <xf numFmtId="3" fontId="10" fillId="0" borderId="0" xfId="19" applyNumberFormat="1" applyAlignment="1">
      <alignment horizontal="center"/>
    </xf>
    <xf numFmtId="0" fontId="14" fillId="22" borderId="3" xfId="19" applyFont="1" applyFill="1" applyBorder="1"/>
    <xf numFmtId="0" fontId="14" fillId="22" borderId="3" xfId="19" applyFont="1" applyFill="1" applyBorder="1" applyAlignment="1">
      <alignment horizontal="center"/>
    </xf>
    <xf numFmtId="0" fontId="14" fillId="0" borderId="0" xfId="19" applyFont="1" applyAlignment="1">
      <alignment horizontal="center"/>
    </xf>
    <xf numFmtId="0" fontId="28" fillId="0" borderId="0" xfId="19" applyFont="1"/>
    <xf numFmtId="0" fontId="28" fillId="18" borderId="0" xfId="19" applyFont="1" applyFill="1"/>
    <xf numFmtId="0" fontId="29" fillId="4" borderId="0" xfId="19" applyFont="1" applyFill="1"/>
    <xf numFmtId="0" fontId="14" fillId="4" borderId="1" xfId="19" applyFont="1" applyFill="1" applyBorder="1" applyAlignment="1">
      <alignment horizontal="center"/>
    </xf>
    <xf numFmtId="2" fontId="21" fillId="16" borderId="1" xfId="19" applyNumberFormat="1" applyFont="1" applyFill="1" applyBorder="1" applyAlignment="1">
      <alignment horizontal="center" vertical="center"/>
    </xf>
    <xf numFmtId="2" fontId="25" fillId="0" borderId="1" xfId="19" applyNumberFormat="1" applyFont="1" applyBorder="1" applyAlignment="1">
      <alignment horizontal="center"/>
    </xf>
    <xf numFmtId="0" fontId="14" fillId="22" borderId="3" xfId="19" applyFont="1" applyFill="1" applyBorder="1" applyAlignment="1">
      <alignment horizontal="left"/>
    </xf>
    <xf numFmtId="0" fontId="10" fillId="16" borderId="0" xfId="19" applyFill="1" applyAlignment="1">
      <alignment horizontal="left"/>
    </xf>
    <xf numFmtId="0" fontId="29" fillId="0" borderId="0" xfId="19" applyFont="1" applyAlignment="1">
      <alignment horizontal="left"/>
    </xf>
    <xf numFmtId="0" fontId="28" fillId="0" borderId="0" xfId="19" applyFont="1" applyAlignment="1">
      <alignment horizontal="left"/>
    </xf>
    <xf numFmtId="0" fontId="28" fillId="18" borderId="0" xfId="19" applyFont="1" applyFill="1" applyAlignment="1">
      <alignment horizontal="left"/>
    </xf>
    <xf numFmtId="0" fontId="29" fillId="4" borderId="0" xfId="19" applyFont="1" applyFill="1" applyAlignment="1">
      <alignment horizontal="left"/>
    </xf>
    <xf numFmtId="0" fontId="24" fillId="0" borderId="0" xfId="19" applyFont="1" applyAlignment="1">
      <alignment horizontal="left"/>
    </xf>
    <xf numFmtId="0" fontId="24" fillId="0" borderId="1" xfId="19" applyFont="1" applyBorder="1" applyAlignment="1">
      <alignment horizontal="center"/>
    </xf>
    <xf numFmtId="0" fontId="14" fillId="0" borderId="1" xfId="19" applyFont="1" applyBorder="1" applyAlignment="1">
      <alignment horizontal="left" wrapText="1"/>
    </xf>
    <xf numFmtId="169" fontId="34" fillId="0" borderId="1" xfId="19" applyNumberFormat="1" applyFont="1" applyBorder="1" applyAlignment="1">
      <alignment horizontal="left" vertical="top" wrapText="1"/>
    </xf>
    <xf numFmtId="169" fontId="34" fillId="0" borderId="0" xfId="19" applyNumberFormat="1" applyFont="1" applyAlignment="1">
      <alignment horizontal="left" vertical="top" wrapText="1"/>
    </xf>
    <xf numFmtId="0" fontId="14" fillId="0" borderId="1" xfId="19" applyFont="1" applyBorder="1" applyAlignment="1">
      <alignment horizontal="left"/>
    </xf>
    <xf numFmtId="169" fontId="34" fillId="0" borderId="1" xfId="19" applyNumberFormat="1" applyFont="1" applyBorder="1" applyAlignment="1">
      <alignment horizontal="center" vertical="top" wrapText="1"/>
    </xf>
    <xf numFmtId="0" fontId="35" fillId="0" borderId="1" xfId="19" applyFont="1" applyBorder="1" applyAlignment="1">
      <alignment horizontal="center"/>
    </xf>
    <xf numFmtId="10" fontId="10" fillId="0" borderId="0" xfId="19" applyNumberFormat="1" applyAlignment="1">
      <alignment horizontal="left"/>
    </xf>
    <xf numFmtId="0" fontId="20" fillId="2" borderId="0" xfId="19" applyFont="1" applyFill="1" applyAlignment="1">
      <alignment horizontal="center"/>
    </xf>
    <xf numFmtId="0" fontId="14" fillId="0" borderId="2" xfId="19" applyFont="1" applyBorder="1"/>
    <xf numFmtId="0" fontId="14" fillId="0" borderId="2" xfId="19" applyFont="1" applyBorder="1" applyAlignment="1">
      <alignment horizontal="center"/>
    </xf>
    <xf numFmtId="0" fontId="10" fillId="0" borderId="2" xfId="19" applyBorder="1"/>
    <xf numFmtId="1" fontId="28" fillId="0" borderId="2" xfId="19" applyNumberFormat="1" applyFont="1" applyBorder="1" applyAlignment="1">
      <alignment horizontal="center"/>
    </xf>
    <xf numFmtId="0" fontId="28" fillId="20" borderId="2" xfId="19" applyFont="1" applyFill="1" applyBorder="1" applyAlignment="1">
      <alignment horizontal="center"/>
    </xf>
    <xf numFmtId="0" fontId="25" fillId="0" borderId="2" xfId="19" applyFont="1" applyBorder="1" applyAlignment="1">
      <alignment horizontal="center"/>
    </xf>
    <xf numFmtId="171" fontId="0" fillId="0" borderId="0" xfId="6" applyNumberFormat="1" applyFont="1" applyFill="1" applyBorder="1" applyAlignment="1" applyProtection="1"/>
    <xf numFmtId="172" fontId="0" fillId="0" borderId="0" xfId="6" applyNumberFormat="1" applyFont="1" applyFill="1" applyBorder="1" applyAlignment="1" applyProtection="1"/>
    <xf numFmtId="0" fontId="20" fillId="2" borderId="0" xfId="19" applyFont="1" applyFill="1" applyAlignment="1">
      <alignment horizontal="center" vertical="top" wrapText="1"/>
    </xf>
    <xf numFmtId="0" fontId="20" fillId="0" borderId="0" xfId="19" applyFont="1" applyAlignment="1">
      <alignment horizontal="center" vertical="top" wrapText="1"/>
    </xf>
    <xf numFmtId="0" fontId="20" fillId="0" borderId="0" xfId="19" applyFont="1"/>
    <xf numFmtId="0" fontId="39" fillId="0" borderId="0" xfId="19" applyFont="1" applyAlignment="1">
      <alignment horizontal="left" vertical="top" wrapText="1"/>
    </xf>
    <xf numFmtId="0" fontId="27" fillId="0" borderId="1" xfId="19" applyFont="1" applyBorder="1" applyAlignment="1">
      <alignment horizontal="center" vertical="top" wrapText="1"/>
    </xf>
    <xf numFmtId="0" fontId="27" fillId="0" borderId="0" xfId="19" applyFont="1" applyAlignment="1">
      <alignment horizontal="center" vertical="top" wrapText="1"/>
    </xf>
    <xf numFmtId="173" fontId="27" fillId="0" borderId="1" xfId="19" applyNumberFormat="1" applyFont="1" applyBorder="1" applyAlignment="1">
      <alignment horizontal="right" vertical="center"/>
    </xf>
    <xf numFmtId="173" fontId="29" fillId="0" borderId="1" xfId="19" applyNumberFormat="1" applyFont="1" applyBorder="1" applyAlignment="1">
      <alignment horizontal="right" vertical="center"/>
    </xf>
    <xf numFmtId="9" fontId="29" fillId="0" borderId="1" xfId="19" applyNumberFormat="1" applyFont="1" applyBorder="1" applyAlignment="1">
      <alignment horizontal="center"/>
    </xf>
    <xf numFmtId="3" fontId="27" fillId="0" borderId="1" xfId="19" applyNumberFormat="1" applyFont="1" applyBorder="1" applyAlignment="1">
      <alignment horizontal="right" vertical="center"/>
    </xf>
    <xf numFmtId="3" fontId="29" fillId="0" borderId="1" xfId="19" applyNumberFormat="1" applyFont="1" applyBorder="1" applyAlignment="1">
      <alignment horizontal="right" vertical="center"/>
    </xf>
    <xf numFmtId="3" fontId="27" fillId="0" borderId="1" xfId="19" applyNumberFormat="1" applyFont="1" applyBorder="1" applyAlignment="1">
      <alignment horizontal="right"/>
    </xf>
    <xf numFmtId="3" fontId="29" fillId="0" borderId="1" xfId="19" applyNumberFormat="1" applyFont="1" applyBorder="1" applyAlignment="1">
      <alignment horizontal="right"/>
    </xf>
    <xf numFmtId="0" fontId="26" fillId="0" borderId="0" xfId="19" applyFont="1" applyAlignment="1">
      <alignment horizontal="left" vertical="top" wrapText="1"/>
    </xf>
    <xf numFmtId="0" fontId="39" fillId="0" borderId="0" xfId="19" applyFont="1" applyAlignment="1">
      <alignment horizontal="center" wrapText="1"/>
    </xf>
    <xf numFmtId="0" fontId="27" fillId="0" borderId="0" xfId="19" applyFont="1" applyAlignment="1">
      <alignment horizontal="left"/>
    </xf>
    <xf numFmtId="0" fontId="27" fillId="0" borderId="0" xfId="19" applyFont="1" applyAlignment="1">
      <alignment horizontal="center"/>
    </xf>
    <xf numFmtId="0" fontId="27" fillId="16" borderId="1" xfId="19" applyFont="1" applyFill="1" applyBorder="1" applyAlignment="1">
      <alignment horizontal="center" vertical="top" wrapText="1"/>
    </xf>
    <xf numFmtId="3" fontId="28" fillId="0" borderId="1" xfId="19" applyNumberFormat="1" applyFont="1" applyBorder="1" applyAlignment="1">
      <alignment horizontal="right" vertical="center"/>
    </xf>
    <xf numFmtId="0" fontId="28" fillId="0" borderId="1" xfId="19" applyFont="1" applyBorder="1" applyAlignment="1">
      <alignment horizontal="right" vertical="center"/>
    </xf>
    <xf numFmtId="0" fontId="27" fillId="16" borderId="0" xfId="19" applyFont="1" applyFill="1" applyAlignment="1">
      <alignment horizontal="left"/>
    </xf>
    <xf numFmtId="3" fontId="27" fillId="0" borderId="0" xfId="19" applyNumberFormat="1" applyFont="1" applyAlignment="1">
      <alignment horizontal="right" vertical="center"/>
    </xf>
    <xf numFmtId="0" fontId="39" fillId="0" borderId="0" xfId="19" applyFont="1" applyAlignment="1">
      <alignment horizontal="left"/>
    </xf>
    <xf numFmtId="0" fontId="27" fillId="19" borderId="0" xfId="19" applyFont="1" applyFill="1" applyAlignment="1">
      <alignment horizontal="left"/>
    </xf>
    <xf numFmtId="0" fontId="27" fillId="0" borderId="0" xfId="19" applyFont="1" applyAlignment="1">
      <alignment horizontal="right" vertical="center"/>
    </xf>
    <xf numFmtId="1" fontId="28" fillId="0" borderId="1" xfId="19" applyNumberFormat="1" applyFont="1" applyBorder="1" applyAlignment="1">
      <alignment horizontal="center"/>
    </xf>
    <xf numFmtId="0" fontId="10" fillId="0" borderId="0" xfId="19" applyAlignment="1">
      <alignment vertical="top"/>
    </xf>
    <xf numFmtId="0" fontId="28" fillId="0" borderId="1" xfId="19" applyFont="1" applyBorder="1" applyAlignment="1">
      <alignment horizontal="center"/>
    </xf>
    <xf numFmtId="0" fontId="26" fillId="0" borderId="1" xfId="19" applyFont="1" applyBorder="1" applyAlignment="1">
      <alignment horizontal="left" vertical="top" wrapText="1"/>
    </xf>
    <xf numFmtId="0" fontId="40" fillId="0" borderId="0" xfId="19" applyFont="1" applyAlignment="1">
      <alignment horizontal="left" vertical="top" wrapText="1"/>
    </xf>
    <xf numFmtId="9" fontId="27" fillId="0" borderId="1" xfId="19" applyNumberFormat="1" applyFont="1" applyBorder="1" applyAlignment="1">
      <alignment horizontal="center"/>
    </xf>
    <xf numFmtId="0" fontId="14" fillId="0" borderId="0" xfId="19" applyFont="1" applyAlignment="1">
      <alignment horizontal="left"/>
    </xf>
    <xf numFmtId="0" fontId="24" fillId="0" borderId="2" xfId="19" applyFont="1" applyBorder="1" applyAlignment="1">
      <alignment horizontal="left"/>
    </xf>
    <xf numFmtId="3" fontId="17" fillId="18" borderId="2" xfId="23" applyNumberFormat="1" applyFill="1" applyBorder="1" applyAlignment="1" applyProtection="1">
      <alignment horizontal="center"/>
    </xf>
    <xf numFmtId="166" fontId="10" fillId="0" borderId="0" xfId="19" applyNumberFormat="1"/>
    <xf numFmtId="0" fontId="39" fillId="0" borderId="1" xfId="19" applyFont="1" applyBorder="1" applyAlignment="1">
      <alignment horizontal="left" vertical="top" wrapText="1"/>
    </xf>
    <xf numFmtId="3" fontId="29" fillId="0" borderId="1" xfId="19" applyNumberFormat="1" applyFont="1" applyBorder="1" applyAlignment="1">
      <alignment horizontal="center"/>
    </xf>
    <xf numFmtId="166" fontId="29" fillId="0" borderId="1" xfId="19" applyNumberFormat="1" applyFont="1" applyBorder="1"/>
    <xf numFmtId="4" fontId="29" fillId="0" borderId="1" xfId="19" applyNumberFormat="1" applyFont="1" applyBorder="1" applyAlignment="1">
      <alignment horizontal="center"/>
    </xf>
    <xf numFmtId="0" fontId="27" fillId="0" borderId="1" xfId="19" applyFont="1" applyBorder="1" applyAlignment="1">
      <alignment horizontal="left" vertical="top" wrapText="1"/>
    </xf>
    <xf numFmtId="3" fontId="41" fillId="0" borderId="0" xfId="19" applyNumberFormat="1" applyFont="1" applyAlignment="1">
      <alignment horizontal="right"/>
    </xf>
    <xf numFmtId="3" fontId="29" fillId="0" borderId="0" xfId="19" applyNumberFormat="1" applyFont="1" applyAlignment="1">
      <alignment horizontal="right"/>
    </xf>
    <xf numFmtId="9" fontId="29" fillId="0" borderId="0" xfId="19" applyNumberFormat="1" applyFont="1" applyAlignment="1">
      <alignment horizontal="center"/>
    </xf>
    <xf numFmtId="0" fontId="27" fillId="0" borderId="1" xfId="19" applyFont="1" applyBorder="1" applyAlignment="1">
      <alignment horizontal="left"/>
    </xf>
    <xf numFmtId="9" fontId="28" fillId="0" borderId="1" xfId="19" applyNumberFormat="1" applyFont="1" applyBorder="1" applyAlignment="1">
      <alignment horizontal="right"/>
    </xf>
    <xf numFmtId="9" fontId="29" fillId="0" borderId="1" xfId="19" applyNumberFormat="1" applyFont="1" applyBorder="1" applyAlignment="1">
      <alignment horizontal="right"/>
    </xf>
    <xf numFmtId="3" fontId="28" fillId="0" borderId="1" xfId="19" applyNumberFormat="1" applyFont="1" applyBorder="1" applyAlignment="1">
      <alignment horizontal="center" vertical="center"/>
    </xf>
    <xf numFmtId="3" fontId="29" fillId="0" borderId="1" xfId="19" applyNumberFormat="1" applyFont="1" applyBorder="1" applyAlignment="1">
      <alignment horizontal="center" vertical="center"/>
    </xf>
    <xf numFmtId="3" fontId="27" fillId="0" borderId="1" xfId="19" applyNumberFormat="1" applyFont="1" applyBorder="1"/>
    <xf numFmtId="173" fontId="29" fillId="0" borderId="1" xfId="19" applyNumberFormat="1" applyFont="1" applyBorder="1" applyAlignment="1">
      <alignment horizontal="center" vertical="center"/>
    </xf>
    <xf numFmtId="10" fontId="29" fillId="0" borderId="1" xfId="19" applyNumberFormat="1" applyFont="1" applyBorder="1" applyAlignment="1">
      <alignment horizontal="right"/>
    </xf>
    <xf numFmtId="174" fontId="29" fillId="0" borderId="1" xfId="19" applyNumberFormat="1" applyFont="1" applyBorder="1" applyAlignment="1">
      <alignment horizontal="center" vertical="center"/>
    </xf>
    <xf numFmtId="3" fontId="27" fillId="0" borderId="0" xfId="19" applyNumberFormat="1" applyFont="1"/>
    <xf numFmtId="0" fontId="29" fillId="0" borderId="1" xfId="19" applyFont="1" applyBorder="1" applyAlignment="1">
      <alignment horizontal="center" vertical="top" wrapText="1"/>
    </xf>
    <xf numFmtId="166" fontId="10" fillId="0" borderId="1" xfId="19" applyNumberFormat="1" applyBorder="1"/>
    <xf numFmtId="2" fontId="42" fillId="0" borderId="1" xfId="19" applyNumberFormat="1" applyFont="1" applyBorder="1" applyAlignment="1">
      <alignment horizontal="center"/>
    </xf>
    <xf numFmtId="0" fontId="42" fillId="0" borderId="1" xfId="19" applyFont="1" applyBorder="1" applyAlignment="1">
      <alignment horizontal="center"/>
    </xf>
    <xf numFmtId="0" fontId="42" fillId="0" borderId="0" xfId="19" applyFont="1" applyAlignment="1">
      <alignment horizontal="center"/>
    </xf>
    <xf numFmtId="0" fontId="43" fillId="0" borderId="0" xfId="19" applyFont="1" applyAlignment="1">
      <alignment horizontal="center" vertical="center" wrapText="1"/>
    </xf>
    <xf numFmtId="0" fontId="42" fillId="0" borderId="2" xfId="19" applyFont="1" applyBorder="1" applyAlignment="1">
      <alignment horizontal="center"/>
    </xf>
    <xf numFmtId="0" fontId="43" fillId="0" borderId="2" xfId="19" applyFont="1" applyBorder="1" applyAlignment="1">
      <alignment horizontal="center" vertical="center" wrapText="1"/>
    </xf>
    <xf numFmtId="0" fontId="44" fillId="0" borderId="1" xfId="19" applyFont="1" applyBorder="1"/>
    <xf numFmtId="0" fontId="10" fillId="18" borderId="1" xfId="19" applyFill="1" applyBorder="1" applyAlignment="1">
      <alignment horizontal="center"/>
    </xf>
    <xf numFmtId="0" fontId="45" fillId="0" borderId="1" xfId="19" applyFont="1" applyBorder="1"/>
    <xf numFmtId="9" fontId="28" fillId="0" borderId="1" xfId="19" applyNumberFormat="1" applyFont="1" applyBorder="1" applyAlignment="1">
      <alignment horizontal="center"/>
    </xf>
    <xf numFmtId="0" fontId="26" fillId="16" borderId="0" xfId="19" applyFont="1" applyFill="1"/>
    <xf numFmtId="168" fontId="10" fillId="0" borderId="0" xfId="19" applyNumberFormat="1"/>
    <xf numFmtId="0" fontId="26" fillId="0" borderId="1" xfId="19" applyFont="1" applyBorder="1" applyAlignment="1">
      <alignment horizontal="center" vertical="top" wrapText="1"/>
    </xf>
    <xf numFmtId="0" fontId="14" fillId="0" borderId="1" xfId="19" applyFont="1" applyBorder="1" applyAlignment="1">
      <alignment horizontal="right"/>
    </xf>
    <xf numFmtId="0" fontId="26" fillId="0" borderId="1" xfId="19" applyFont="1" applyBorder="1" applyAlignment="1">
      <alignment horizontal="left"/>
    </xf>
    <xf numFmtId="2" fontId="10" fillId="0" borderId="1" xfId="19" applyNumberFormat="1" applyBorder="1" applyAlignment="1">
      <alignment horizontal="center"/>
    </xf>
    <xf numFmtId="0" fontId="24" fillId="17" borderId="0" xfId="19" applyFont="1" applyFill="1" applyAlignment="1">
      <alignment horizontal="left"/>
    </xf>
    <xf numFmtId="0" fontId="46" fillId="17" borderId="0" xfId="19" applyFont="1" applyFill="1" applyAlignment="1">
      <alignment horizontal="center"/>
    </xf>
    <xf numFmtId="0" fontId="23" fillId="23" borderId="0" xfId="19" applyFont="1" applyFill="1" applyAlignment="1">
      <alignment horizontal="left"/>
    </xf>
    <xf numFmtId="0" fontId="24" fillId="23" borderId="0" xfId="19" applyFont="1" applyFill="1" applyAlignment="1">
      <alignment horizontal="left"/>
    </xf>
    <xf numFmtId="0" fontId="46" fillId="23" borderId="0" xfId="19" applyFont="1" applyFill="1" applyAlignment="1">
      <alignment horizontal="center"/>
    </xf>
    <xf numFmtId="0" fontId="24" fillId="23" borderId="0" xfId="19" applyFont="1" applyFill="1" applyAlignment="1">
      <alignment horizontal="center" wrapText="1"/>
    </xf>
    <xf numFmtId="0" fontId="24" fillId="23" borderId="0" xfId="19" applyFont="1" applyFill="1" applyAlignment="1">
      <alignment horizontal="center"/>
    </xf>
    <xf numFmtId="0" fontId="10" fillId="23" borderId="0" xfId="19" applyFill="1"/>
    <xf numFmtId="0" fontId="46" fillId="0" borderId="0" xfId="19" applyFont="1" applyAlignment="1">
      <alignment horizontal="center"/>
    </xf>
    <xf numFmtId="0" fontId="46" fillId="0" borderId="2" xfId="19" applyFont="1" applyBorder="1" applyAlignment="1">
      <alignment horizontal="center" wrapText="1"/>
    </xf>
    <xf numFmtId="0" fontId="24" fillId="0" borderId="2" xfId="19" applyFont="1" applyBorder="1" applyAlignment="1">
      <alignment horizontal="center" wrapText="1"/>
    </xf>
    <xf numFmtId="0" fontId="24" fillId="0" borderId="2" xfId="19" applyFont="1" applyBorder="1" applyAlignment="1">
      <alignment horizontal="center"/>
    </xf>
    <xf numFmtId="0" fontId="27" fillId="0" borderId="1" xfId="19" applyFont="1" applyBorder="1" applyAlignment="1">
      <alignment horizontal="center"/>
    </xf>
    <xf numFmtId="9" fontId="47" fillId="0" borderId="1" xfId="19" applyNumberFormat="1" applyFont="1" applyBorder="1" applyAlignment="1">
      <alignment horizontal="center"/>
    </xf>
    <xf numFmtId="9" fontId="28" fillId="16" borderId="1" xfId="19" applyNumberFormat="1" applyFont="1" applyFill="1" applyBorder="1" applyAlignment="1">
      <alignment horizontal="center"/>
    </xf>
    <xf numFmtId="9" fontId="48" fillId="0" borderId="1" xfId="19" applyNumberFormat="1" applyFont="1" applyBorder="1" applyAlignment="1">
      <alignment horizontal="center"/>
    </xf>
    <xf numFmtId="166" fontId="29" fillId="0" borderId="9" xfId="19" applyNumberFormat="1" applyFont="1" applyBorder="1" applyAlignment="1">
      <alignment horizontal="center"/>
    </xf>
    <xf numFmtId="9" fontId="10" fillId="0" borderId="1" xfId="19" applyNumberFormat="1" applyBorder="1" applyAlignment="1">
      <alignment horizontal="center"/>
    </xf>
    <xf numFmtId="174" fontId="24" fillId="0" borderId="1" xfId="19" applyNumberFormat="1" applyFont="1" applyBorder="1" applyAlignment="1">
      <alignment horizontal="left"/>
    </xf>
    <xf numFmtId="0" fontId="24" fillId="0" borderId="1" xfId="19" applyFont="1" applyBorder="1" applyAlignment="1">
      <alignment horizontal="left"/>
    </xf>
    <xf numFmtId="2" fontId="29" fillId="0" borderId="1" xfId="19" applyNumberFormat="1" applyFont="1" applyBorder="1" applyAlignment="1">
      <alignment horizontal="center"/>
    </xf>
    <xf numFmtId="175" fontId="28" fillId="0" borderId="1" xfId="19" applyNumberFormat="1" applyFont="1" applyBorder="1" applyAlignment="1">
      <alignment horizontal="center"/>
    </xf>
    <xf numFmtId="0" fontId="27" fillId="23" borderId="0" xfId="19" applyFont="1" applyFill="1"/>
    <xf numFmtId="0" fontId="14" fillId="0" borderId="1" xfId="19" applyFont="1" applyBorder="1" applyAlignment="1">
      <alignment horizontal="center" wrapText="1"/>
    </xf>
    <xf numFmtId="2" fontId="28" fillId="16" borderId="1" xfId="19" applyNumberFormat="1" applyFont="1" applyFill="1" applyBorder="1" applyAlignment="1">
      <alignment horizontal="center"/>
    </xf>
    <xf numFmtId="0" fontId="29" fillId="16" borderId="1" xfId="19" applyFont="1" applyFill="1" applyBorder="1" applyAlignment="1">
      <alignment horizontal="center"/>
    </xf>
    <xf numFmtId="1" fontId="29" fillId="16" borderId="1" xfId="19" applyNumberFormat="1" applyFont="1" applyFill="1" applyBorder="1" applyAlignment="1">
      <alignment horizontal="center"/>
    </xf>
    <xf numFmtId="0" fontId="49" fillId="0" borderId="1" xfId="19" applyFont="1" applyBorder="1"/>
    <xf numFmtId="0" fontId="49" fillId="0" borderId="0" xfId="19" applyFont="1"/>
    <xf numFmtId="0" fontId="50" fillId="0" borderId="0" xfId="19" applyFont="1" applyAlignment="1">
      <alignment horizontal="center"/>
    </xf>
    <xf numFmtId="166" fontId="49" fillId="0" borderId="1" xfId="19" applyNumberFormat="1" applyFont="1" applyBorder="1" applyAlignment="1">
      <alignment horizontal="center"/>
    </xf>
    <xf numFmtId="9" fontId="51" fillId="16" borderId="1" xfId="19" applyNumberFormat="1" applyFont="1" applyFill="1" applyBorder="1" applyAlignment="1">
      <alignment horizontal="center"/>
    </xf>
    <xf numFmtId="0" fontId="51" fillId="16" borderId="1" xfId="19" applyFont="1" applyFill="1" applyBorder="1" applyAlignment="1">
      <alignment horizontal="center"/>
    </xf>
    <xf numFmtId="166" fontId="52" fillId="0" borderId="1" xfId="19" applyNumberFormat="1" applyFont="1" applyBorder="1" applyAlignment="1">
      <alignment horizontal="center"/>
    </xf>
    <xf numFmtId="0" fontId="52" fillId="16" borderId="1" xfId="19" applyFont="1" applyFill="1" applyBorder="1" applyAlignment="1">
      <alignment horizontal="center"/>
    </xf>
    <xf numFmtId="1" fontId="52" fillId="16" borderId="1" xfId="19" applyNumberFormat="1" applyFont="1" applyFill="1" applyBorder="1" applyAlignment="1">
      <alignment horizontal="center"/>
    </xf>
    <xf numFmtId="9" fontId="10" fillId="0" borderId="0" xfId="19" applyNumberFormat="1" applyAlignment="1">
      <alignment horizontal="center"/>
    </xf>
    <xf numFmtId="0" fontId="28" fillId="16" borderId="1" xfId="19" applyFont="1" applyFill="1" applyBorder="1" applyAlignment="1">
      <alignment horizontal="center"/>
    </xf>
    <xf numFmtId="9" fontId="28" fillId="0" borderId="0" xfId="19" applyNumberFormat="1" applyFont="1" applyAlignment="1">
      <alignment horizontal="center"/>
    </xf>
    <xf numFmtId="0" fontId="28" fillId="0" borderId="0" xfId="19" applyFont="1" applyAlignment="1">
      <alignment horizontal="center"/>
    </xf>
    <xf numFmtId="0" fontId="29" fillId="0" borderId="0" xfId="19" applyFont="1" applyAlignment="1">
      <alignment horizontal="center"/>
    </xf>
    <xf numFmtId="0" fontId="27" fillId="23" borderId="0" xfId="19" applyFont="1" applyFill="1" applyAlignment="1">
      <alignment horizontal="center"/>
    </xf>
    <xf numFmtId="9" fontId="10" fillId="23" borderId="0" xfId="19" applyNumberFormat="1" applyFill="1" applyAlignment="1">
      <alignment horizontal="center"/>
    </xf>
    <xf numFmtId="9" fontId="28" fillId="23" borderId="0" xfId="19" applyNumberFormat="1" applyFont="1" applyFill="1" applyAlignment="1">
      <alignment horizontal="center"/>
    </xf>
    <xf numFmtId="0" fontId="28" fillId="23" borderId="0" xfId="19" applyFont="1" applyFill="1" applyAlignment="1">
      <alignment horizontal="center"/>
    </xf>
    <xf numFmtId="0" fontId="29" fillId="23" borderId="0" xfId="19" applyFont="1" applyFill="1" applyAlignment="1">
      <alignment horizontal="center"/>
    </xf>
    <xf numFmtId="0" fontId="24" fillId="0" borderId="1" xfId="19" applyFont="1" applyBorder="1" applyAlignment="1">
      <alignment horizontal="center" wrapText="1"/>
    </xf>
    <xf numFmtId="0" fontId="50" fillId="0" borderId="0" xfId="19" applyFont="1"/>
    <xf numFmtId="0" fontId="49" fillId="0" borderId="0" xfId="19" applyFont="1" applyAlignment="1">
      <alignment horizontal="center"/>
    </xf>
    <xf numFmtId="9" fontId="51" fillId="0" borderId="0" xfId="19" applyNumberFormat="1" applyFont="1" applyAlignment="1">
      <alignment horizontal="center"/>
    </xf>
    <xf numFmtId="0" fontId="51" fillId="0" borderId="0" xfId="19" applyFont="1" applyAlignment="1">
      <alignment horizontal="center"/>
    </xf>
    <xf numFmtId="0" fontId="52" fillId="0" borderId="0" xfId="19" applyFont="1" applyAlignment="1">
      <alignment horizontal="center"/>
    </xf>
    <xf numFmtId="0" fontId="26" fillId="0" borderId="1" xfId="19" applyFont="1" applyBorder="1" applyAlignment="1">
      <alignment horizontal="center"/>
    </xf>
    <xf numFmtId="166" fontId="27" fillId="0" borderId="1" xfId="19" applyNumberFormat="1" applyFont="1" applyBorder="1" applyAlignment="1">
      <alignment horizontal="center"/>
    </xf>
    <xf numFmtId="1" fontId="27" fillId="0" borderId="1" xfId="19" applyNumberFormat="1" applyFont="1" applyBorder="1" applyAlignment="1">
      <alignment horizontal="center"/>
    </xf>
    <xf numFmtId="0" fontId="19" fillId="23" borderId="0" xfId="19" applyFont="1" applyFill="1"/>
    <xf numFmtId="0" fontId="10" fillId="23" borderId="0" xfId="19" applyFill="1" applyAlignment="1">
      <alignment horizontal="center"/>
    </xf>
    <xf numFmtId="0" fontId="14" fillId="0" borderId="2" xfId="19" applyFont="1" applyBorder="1" applyAlignment="1">
      <alignment horizontal="left"/>
    </xf>
    <xf numFmtId="0" fontId="26" fillId="0" borderId="2" xfId="19" applyFont="1" applyBorder="1" applyAlignment="1">
      <alignment horizontal="center"/>
    </xf>
    <xf numFmtId="0" fontId="14" fillId="18" borderId="2" xfId="19" applyFont="1" applyFill="1" applyBorder="1" applyAlignment="1">
      <alignment horizontal="center"/>
    </xf>
    <xf numFmtId="0" fontId="26" fillId="18" borderId="2" xfId="19" applyFont="1" applyFill="1" applyBorder="1" applyAlignment="1">
      <alignment horizontal="center"/>
    </xf>
    <xf numFmtId="0" fontId="10" fillId="0" borderId="2" xfId="19" applyBorder="1" applyAlignment="1">
      <alignment horizontal="left"/>
    </xf>
    <xf numFmtId="2" fontId="28" fillId="16" borderId="2" xfId="19" applyNumberFormat="1" applyFont="1" applyFill="1" applyBorder="1" applyAlignment="1">
      <alignment horizontal="center"/>
    </xf>
    <xf numFmtId="0" fontId="28" fillId="16" borderId="0" xfId="19" applyFont="1" applyFill="1" applyAlignment="1">
      <alignment horizontal="center"/>
    </xf>
    <xf numFmtId="0" fontId="14" fillId="0" borderId="10" xfId="19" applyFont="1" applyBorder="1" applyAlignment="1">
      <alignment horizontal="left"/>
    </xf>
    <xf numFmtId="0" fontId="14" fillId="0" borderId="11" xfId="19" applyFont="1" applyBorder="1" applyAlignment="1">
      <alignment horizontal="center"/>
    </xf>
    <xf numFmtId="0" fontId="21" fillId="16" borderId="11" xfId="19" applyFont="1" applyFill="1" applyBorder="1" applyAlignment="1">
      <alignment horizontal="center"/>
    </xf>
    <xf numFmtId="0" fontId="28" fillId="16" borderId="2" xfId="19" applyFont="1" applyFill="1" applyBorder="1" applyAlignment="1">
      <alignment horizontal="center"/>
    </xf>
    <xf numFmtId="0" fontId="21" fillId="16" borderId="10" xfId="19" applyFont="1" applyFill="1" applyBorder="1" applyAlignment="1">
      <alignment horizontal="center"/>
    </xf>
    <xf numFmtId="0" fontId="21" fillId="16" borderId="2" xfId="19" applyFont="1" applyFill="1" applyBorder="1" applyAlignment="1">
      <alignment horizontal="center"/>
    </xf>
    <xf numFmtId="0" fontId="28" fillId="16" borderId="10" xfId="19" applyFont="1" applyFill="1" applyBorder="1" applyAlignment="1">
      <alignment horizontal="center"/>
    </xf>
    <xf numFmtId="166" fontId="28" fillId="16" borderId="2" xfId="19" applyNumberFormat="1" applyFont="1" applyFill="1" applyBorder="1" applyAlignment="1">
      <alignment horizontal="center"/>
    </xf>
    <xf numFmtId="0" fontId="14" fillId="0" borderId="0" xfId="19" applyFont="1" applyAlignment="1">
      <alignment vertical="center"/>
    </xf>
    <xf numFmtId="1" fontId="30" fillId="16" borderId="1" xfId="19" applyNumberFormat="1" applyFont="1" applyFill="1" applyBorder="1"/>
    <xf numFmtId="0" fontId="30" fillId="0" borderId="0" xfId="19" applyFont="1"/>
    <xf numFmtId="0" fontId="53" fillId="0" borderId="3" xfId="19" applyFont="1" applyBorder="1"/>
    <xf numFmtId="0" fontId="34" fillId="0" borderId="0" xfId="0" applyFont="1"/>
    <xf numFmtId="0" fontId="41"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center"/>
    </xf>
    <xf numFmtId="0" fontId="57" fillId="0" borderId="0" xfId="0" applyFont="1" applyAlignment="1" applyProtection="1">
      <alignment horizontal="center"/>
      <protection locked="0"/>
    </xf>
    <xf numFmtId="0" fontId="56" fillId="0" borderId="0" xfId="0" applyFont="1" applyAlignment="1">
      <alignment horizontal="left"/>
    </xf>
    <xf numFmtId="0" fontId="0" fillId="0" borderId="0" xfId="0" applyAlignment="1">
      <alignment horizontal="center"/>
    </xf>
    <xf numFmtId="0" fontId="14" fillId="0" borderId="0" xfId="0" applyFont="1" applyAlignment="1">
      <alignment horizontal="left"/>
    </xf>
    <xf numFmtId="0" fontId="10" fillId="0" borderId="0" xfId="0" applyFont="1" applyAlignment="1">
      <alignment horizontal="center"/>
    </xf>
    <xf numFmtId="0" fontId="10" fillId="0" borderId="0" xfId="0" applyFont="1"/>
    <xf numFmtId="2" fontId="57" fillId="0" borderId="0" xfId="0" applyNumberFormat="1" applyFont="1" applyAlignment="1">
      <alignment horizontal="center"/>
    </xf>
    <xf numFmtId="4" fontId="71" fillId="0" borderId="0" xfId="11">
      <alignment horizontal="center"/>
    </xf>
    <xf numFmtId="2" fontId="58" fillId="0" borderId="0" xfId="0" applyNumberFormat="1" applyFont="1" applyAlignment="1">
      <alignment horizontal="center"/>
    </xf>
    <xf numFmtId="0" fontId="56" fillId="0" borderId="0" xfId="0" applyFont="1" applyAlignment="1">
      <alignment horizontal="center"/>
    </xf>
    <xf numFmtId="9" fontId="71" fillId="0" borderId="0" xfId="22" applyFont="1" applyAlignment="1">
      <alignment horizontal="center"/>
    </xf>
    <xf numFmtId="9" fontId="66" fillId="26" borderId="0" xfId="1" applyNumberFormat="1" applyAlignment="1">
      <alignment horizontal="center"/>
    </xf>
    <xf numFmtId="43" fontId="67" fillId="0" borderId="0" xfId="5" applyFont="1"/>
    <xf numFmtId="0" fontId="56" fillId="0" borderId="12" xfId="0" applyFont="1" applyBorder="1"/>
    <xf numFmtId="0" fontId="56" fillId="0" borderId="12" xfId="0" applyFont="1" applyBorder="1" applyAlignment="1">
      <alignment horizontal="center"/>
    </xf>
    <xf numFmtId="2" fontId="57" fillId="0" borderId="0" xfId="0" applyNumberFormat="1" applyFont="1" applyAlignment="1">
      <alignment horizontal="left"/>
    </xf>
    <xf numFmtId="2" fontId="59" fillId="0" borderId="0" xfId="0" applyNumberFormat="1" applyFont="1" applyAlignment="1">
      <alignment horizontal="center"/>
    </xf>
    <xf numFmtId="0" fontId="78" fillId="0" borderId="12" xfId="0" applyFont="1" applyBorder="1" applyAlignment="1" applyProtection="1">
      <alignment horizontal="center"/>
      <protection locked="0"/>
    </xf>
    <xf numFmtId="9" fontId="75" fillId="0" borderId="0" xfId="16" applyNumberFormat="1" applyAlignment="1">
      <alignment horizontal="center"/>
    </xf>
    <xf numFmtId="9" fontId="75" fillId="0" borderId="0" xfId="16" applyNumberFormat="1" applyFill="1" applyAlignment="1">
      <alignment horizontal="center"/>
    </xf>
    <xf numFmtId="9" fontId="79" fillId="0" borderId="0" xfId="22" applyFont="1" applyAlignment="1">
      <alignment horizontal="center"/>
    </xf>
    <xf numFmtId="43" fontId="79" fillId="0" borderId="0" xfId="5" applyFont="1"/>
    <xf numFmtId="0" fontId="80" fillId="0" borderId="0" xfId="0" applyFont="1" applyAlignment="1" applyProtection="1">
      <alignment horizontal="left"/>
      <protection locked="0"/>
    </xf>
    <xf numFmtId="0" fontId="59" fillId="0" borderId="12" xfId="0" applyFont="1" applyBorder="1"/>
    <xf numFmtId="0" fontId="59" fillId="0" borderId="12" xfId="0" applyFont="1" applyBorder="1" applyAlignment="1">
      <alignment horizontal="center"/>
    </xf>
    <xf numFmtId="2" fontId="59" fillId="0" borderId="12" xfId="0" applyNumberFormat="1" applyFont="1" applyBorder="1" applyAlignment="1">
      <alignment horizontal="center"/>
    </xf>
    <xf numFmtId="0" fontId="14" fillId="24" borderId="0" xfId="0" applyFont="1" applyFill="1" applyAlignment="1">
      <alignment horizontal="center" wrapText="1"/>
    </xf>
    <xf numFmtId="0" fontId="55" fillId="25" borderId="13" xfId="0" applyFont="1" applyFill="1" applyBorder="1"/>
    <xf numFmtId="0" fontId="14" fillId="25" borderId="13" xfId="0" applyFont="1" applyFill="1" applyBorder="1" applyAlignment="1">
      <alignment horizontal="center" wrapText="1"/>
    </xf>
    <xf numFmtId="0" fontId="10" fillId="0" borderId="12" xfId="0" applyFont="1" applyBorder="1"/>
    <xf numFmtId="0" fontId="8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pplyProtection="1">
      <alignment horizontal="center"/>
      <protection locked="0"/>
    </xf>
    <xf numFmtId="0" fontId="10" fillId="0" borderId="12" xfId="0" applyFont="1" applyBorder="1" applyAlignment="1" applyProtection="1">
      <alignment horizontal="left"/>
      <protection locked="0"/>
    </xf>
    <xf numFmtId="0" fontId="78" fillId="0" borderId="0" xfId="0" applyFont="1" applyAlignment="1" applyProtection="1">
      <alignment horizontal="left"/>
      <protection locked="0"/>
    </xf>
    <xf numFmtId="0" fontId="78" fillId="0" borderId="0" xfId="0" applyFont="1" applyAlignment="1">
      <alignment horizontal="center"/>
    </xf>
    <xf numFmtId="174" fontId="60" fillId="0" borderId="0" xfId="22" applyNumberFormat="1" applyFont="1" applyFill="1" applyAlignment="1">
      <alignment horizontal="center"/>
    </xf>
    <xf numFmtId="0" fontId="78" fillId="0" borderId="0" xfId="0" applyFont="1" applyAlignment="1" applyProtection="1">
      <alignment horizontal="center"/>
      <protection locked="0"/>
    </xf>
    <xf numFmtId="166" fontId="75" fillId="0" borderId="0" xfId="16" applyNumberFormat="1" applyAlignment="1">
      <alignment horizontal="center"/>
    </xf>
    <xf numFmtId="1" fontId="75" fillId="0" borderId="0" xfId="16" applyNumberFormat="1" applyAlignment="1">
      <alignment horizontal="center"/>
    </xf>
    <xf numFmtId="2" fontId="67" fillId="0" borderId="0" xfId="3" applyNumberFormat="1" applyAlignment="1">
      <alignment horizontal="center"/>
    </xf>
    <xf numFmtId="9" fontId="75" fillId="0" borderId="0" xfId="16" applyNumberFormat="1" applyFill="1" applyBorder="1" applyAlignment="1" applyProtection="1">
      <alignment horizontal="center"/>
      <protection locked="0"/>
    </xf>
    <xf numFmtId="2" fontId="57" fillId="0" borderId="0" xfId="0" applyNumberFormat="1" applyFont="1"/>
    <xf numFmtId="0" fontId="78" fillId="0" borderId="0" xfId="0" applyFont="1" applyAlignment="1">
      <alignment horizontal="right"/>
    </xf>
    <xf numFmtId="0" fontId="78" fillId="0" borderId="0" xfId="0" applyFont="1"/>
    <xf numFmtId="0" fontId="78" fillId="0" borderId="0" xfId="0" applyFont="1" applyAlignment="1">
      <alignment horizontal="left" indent="1"/>
    </xf>
    <xf numFmtId="9" fontId="78" fillId="0" borderId="0" xfId="22" applyFont="1" applyFill="1" applyBorder="1" applyAlignment="1" applyProtection="1">
      <alignment horizontal="center"/>
      <protection locked="0"/>
    </xf>
    <xf numFmtId="2" fontId="79" fillId="0" borderId="0" xfId="3" applyNumberFormat="1" applyFont="1" applyAlignment="1">
      <alignment horizontal="center"/>
    </xf>
    <xf numFmtId="9" fontId="14" fillId="0" borderId="0" xfId="22" applyFont="1" applyAlignment="1">
      <alignment horizontal="center" wrapText="1"/>
    </xf>
    <xf numFmtId="0" fontId="14" fillId="0" borderId="0" xfId="0" applyFont="1" applyAlignment="1">
      <alignment horizontal="center" wrapText="1"/>
    </xf>
    <xf numFmtId="9" fontId="0" fillId="0" borderId="0" xfId="0" applyNumberFormat="1"/>
    <xf numFmtId="0" fontId="10" fillId="29" borderId="0" xfId="0" applyFont="1" applyFill="1"/>
    <xf numFmtId="0" fontId="0" fillId="29" borderId="0" xfId="0" applyFill="1"/>
    <xf numFmtId="0" fontId="63" fillId="0" borderId="0" xfId="0" applyFont="1"/>
    <xf numFmtId="0" fontId="81" fillId="0" borderId="0" xfId="0" applyFont="1"/>
    <xf numFmtId="0" fontId="64" fillId="0" borderId="0" xfId="0" applyFont="1"/>
    <xf numFmtId="0" fontId="34" fillId="0" borderId="0" xfId="0" applyFont="1" applyAlignment="1">
      <alignment horizontal="center" wrapText="1"/>
    </xf>
    <xf numFmtId="0" fontId="41" fillId="0" borderId="0" xfId="0" applyFont="1" applyAlignment="1">
      <alignment horizontal="center"/>
    </xf>
    <xf numFmtId="0" fontId="41" fillId="0" borderId="0" xfId="0" applyFont="1" applyAlignment="1">
      <alignment horizontal="center" wrapText="1"/>
    </xf>
    <xf numFmtId="0" fontId="81" fillId="0" borderId="0" xfId="0" applyFont="1" applyAlignment="1">
      <alignment horizontal="center" wrapText="1"/>
    </xf>
    <xf numFmtId="0" fontId="82" fillId="0" borderId="0" xfId="0" applyFont="1"/>
    <xf numFmtId="0" fontId="82" fillId="0" borderId="0" xfId="0" applyFont="1" applyAlignment="1">
      <alignment horizontal="center"/>
    </xf>
    <xf numFmtId="11" fontId="0" fillId="0" borderId="0" xfId="0" applyNumberFormat="1"/>
    <xf numFmtId="9" fontId="0" fillId="0" borderId="0" xfId="25" applyFont="1"/>
    <xf numFmtId="9" fontId="0" fillId="0" borderId="12" xfId="25" applyFont="1" applyBorder="1"/>
    <xf numFmtId="0" fontId="10" fillId="0" borderId="12" xfId="19" applyBorder="1"/>
    <xf numFmtId="0" fontId="34" fillId="0" borderId="0" xfId="18" applyFont="1"/>
    <xf numFmtId="0" fontId="41" fillId="0" borderId="0" xfId="18" applyFont="1"/>
    <xf numFmtId="0" fontId="34" fillId="0" borderId="0" xfId="18" applyFont="1" applyAlignment="1">
      <alignment horizontal="center" wrapText="1"/>
    </xf>
    <xf numFmtId="0" fontId="81" fillId="0" borderId="0" xfId="18" applyFont="1"/>
    <xf numFmtId="0" fontId="81" fillId="0" borderId="0" xfId="18" applyFont="1" applyAlignment="1">
      <alignment horizontal="center" wrapText="1"/>
    </xf>
    <xf numFmtId="0" fontId="82" fillId="0" borderId="0" xfId="18" applyFont="1"/>
    <xf numFmtId="43" fontId="67" fillId="30" borderId="0" xfId="5" applyFont="1" applyFill="1"/>
    <xf numFmtId="2" fontId="66" fillId="0" borderId="0" xfId="2" applyNumberFormat="1" applyFill="1" applyBorder="1" applyAlignment="1" applyProtection="1">
      <alignment horizontal="center"/>
      <protection locked="0"/>
    </xf>
    <xf numFmtId="1" fontId="41" fillId="0" borderId="0" xfId="18" applyNumberFormat="1" applyFont="1"/>
    <xf numFmtId="0" fontId="0" fillId="31" borderId="0" xfId="0" applyFill="1"/>
    <xf numFmtId="0" fontId="0" fillId="32" borderId="0" xfId="0" applyFill="1"/>
    <xf numFmtId="0" fontId="0" fillId="33" borderId="0" xfId="0" applyFill="1"/>
    <xf numFmtId="0" fontId="0" fillId="34" borderId="0" xfId="0" applyFill="1"/>
    <xf numFmtId="0" fontId="0" fillId="35" borderId="0" xfId="0" applyFill="1"/>
    <xf numFmtId="2" fontId="0" fillId="0" borderId="0" xfId="0" applyNumberFormat="1"/>
    <xf numFmtId="2" fontId="10" fillId="0" borderId="0" xfId="0" applyNumberFormat="1" applyFont="1"/>
    <xf numFmtId="166" fontId="41" fillId="0" borderId="0" xfId="0" applyNumberFormat="1" applyFont="1"/>
    <xf numFmtId="0" fontId="10" fillId="0" borderId="14" xfId="0" applyFont="1" applyBorder="1"/>
    <xf numFmtId="0" fontId="10" fillId="0" borderId="15" xfId="0" applyFont="1" applyBorder="1"/>
    <xf numFmtId="0" fontId="10" fillId="0" borderId="16" xfId="0" applyFont="1" applyBorder="1"/>
    <xf numFmtId="0" fontId="0" fillId="0" borderId="17" xfId="0" applyBorder="1"/>
    <xf numFmtId="2" fontId="0" fillId="0" borderId="17" xfId="0" applyNumberFormat="1" applyBorder="1"/>
    <xf numFmtId="0" fontId="10" fillId="0" borderId="17" xfId="0" applyFont="1" applyBorder="1"/>
    <xf numFmtId="0" fontId="10" fillId="0" borderId="18" xfId="0" applyFont="1" applyBorder="1"/>
    <xf numFmtId="2" fontId="0" fillId="0" borderId="19" xfId="0" applyNumberFormat="1" applyBorder="1"/>
    <xf numFmtId="0" fontId="66" fillId="26" borderId="20" xfId="1" applyBorder="1"/>
    <xf numFmtId="0" fontId="66" fillId="26" borderId="21" xfId="1" applyBorder="1"/>
    <xf numFmtId="2" fontId="66" fillId="26" borderId="0" xfId="1" applyNumberFormat="1"/>
    <xf numFmtId="0" fontId="83" fillId="0" borderId="0" xfId="0" applyFont="1"/>
    <xf numFmtId="9" fontId="83" fillId="0" borderId="0" xfId="22" applyFont="1" applyFill="1"/>
    <xf numFmtId="1" fontId="66" fillId="26" borderId="0" xfId="1" applyNumberFormat="1" applyAlignment="1">
      <alignment horizontal="center"/>
    </xf>
    <xf numFmtId="0" fontId="74" fillId="28" borderId="25" xfId="15" applyAlignment="1" applyProtection="1">
      <alignment horizontal="center"/>
      <protection locked="0"/>
    </xf>
    <xf numFmtId="0" fontId="68" fillId="27" borderId="25" xfId="4" applyAlignment="1">
      <alignment horizontal="right"/>
    </xf>
    <xf numFmtId="0" fontId="68" fillId="27" borderId="25" xfId="4"/>
    <xf numFmtId="9" fontId="74" fillId="28" borderId="25" xfId="15" applyNumberFormat="1"/>
    <xf numFmtId="9" fontId="67" fillId="0" borderId="0" xfId="22" applyFont="1"/>
    <xf numFmtId="9" fontId="84" fillId="0" borderId="0" xfId="22" applyFont="1"/>
    <xf numFmtId="0" fontId="10" fillId="0" borderId="0" xfId="18"/>
    <xf numFmtId="9" fontId="57" fillId="0" borderId="0" xfId="0" applyNumberFormat="1" applyFont="1"/>
    <xf numFmtId="0" fontId="0" fillId="0" borderId="1" xfId="19" applyFont="1" applyBorder="1"/>
    <xf numFmtId="0" fontId="10" fillId="0" borderId="0" xfId="19" applyAlignment="1">
      <alignment vertical="center"/>
    </xf>
    <xf numFmtId="10" fontId="71" fillId="0" borderId="0" xfId="11" applyNumberFormat="1">
      <alignment horizontal="center"/>
    </xf>
    <xf numFmtId="176" fontId="10" fillId="0" borderId="0" xfId="0" applyNumberFormat="1" applyFont="1" applyAlignment="1" applyProtection="1">
      <alignment horizontal="left"/>
      <protection locked="0"/>
    </xf>
    <xf numFmtId="0" fontId="27" fillId="0" borderId="0" xfId="19" applyFont="1" applyAlignment="1">
      <alignment vertical="top"/>
    </xf>
    <xf numFmtId="0" fontId="10" fillId="31" borderId="0" xfId="19" applyFill="1"/>
    <xf numFmtId="2" fontId="10" fillId="0" borderId="0" xfId="19" applyNumberFormat="1"/>
    <xf numFmtId="0" fontId="83" fillId="0" borderId="0" xfId="19" applyFont="1"/>
    <xf numFmtId="0" fontId="10" fillId="31" borderId="0" xfId="19" applyFill="1" applyAlignment="1">
      <alignment vertical="top"/>
    </xf>
    <xf numFmtId="0" fontId="27" fillId="31" borderId="1" xfId="19" applyFont="1" applyFill="1" applyBorder="1" applyAlignment="1">
      <alignment horizontal="center" vertical="top" wrapText="1"/>
    </xf>
    <xf numFmtId="166" fontId="83" fillId="0" borderId="0" xfId="19" applyNumberFormat="1" applyFont="1"/>
    <xf numFmtId="173" fontId="28" fillId="0" borderId="1" xfId="19" applyNumberFormat="1" applyFont="1" applyBorder="1" applyAlignment="1">
      <alignment horizontal="center" vertical="center"/>
    </xf>
    <xf numFmtId="10" fontId="83" fillId="0" borderId="0" xfId="19" applyNumberFormat="1" applyFont="1"/>
    <xf numFmtId="174" fontId="27" fillId="0" borderId="1" xfId="19" applyNumberFormat="1" applyFont="1" applyBorder="1" applyAlignment="1">
      <alignment horizontal="center"/>
    </xf>
    <xf numFmtId="174" fontId="75" fillId="0" borderId="0" xfId="16" applyNumberFormat="1" applyAlignment="1">
      <alignment vertical="center"/>
    </xf>
    <xf numFmtId="174" fontId="75" fillId="0" borderId="0" xfId="16" applyNumberFormat="1"/>
    <xf numFmtId="0" fontId="0" fillId="0" borderId="0" xfId="0" applyAlignment="1">
      <alignment horizontal="center" vertical="center"/>
    </xf>
    <xf numFmtId="166" fontId="49" fillId="0" borderId="0" xfId="19" applyNumberFormat="1" applyFont="1" applyAlignment="1">
      <alignment horizontal="center"/>
    </xf>
    <xf numFmtId="9" fontId="51" fillId="16" borderId="0" xfId="19" applyNumberFormat="1" applyFont="1" applyFill="1" applyAlignment="1">
      <alignment horizontal="center"/>
    </xf>
    <xf numFmtId="0" fontId="51" fillId="16" borderId="0" xfId="19" applyFont="1" applyFill="1" applyAlignment="1">
      <alignment horizontal="center"/>
    </xf>
    <xf numFmtId="166" fontId="52" fillId="0" borderId="0" xfId="19" applyNumberFormat="1" applyFont="1" applyAlignment="1">
      <alignment horizontal="center"/>
    </xf>
    <xf numFmtId="0" fontId="29" fillId="16" borderId="0" xfId="19" applyFont="1" applyFill="1" applyAlignment="1">
      <alignment horizontal="center"/>
    </xf>
    <xf numFmtId="1" fontId="29" fillId="16" borderId="0" xfId="19" applyNumberFormat="1" applyFont="1" applyFill="1" applyAlignment="1">
      <alignment horizontal="center"/>
    </xf>
    <xf numFmtId="9" fontId="51" fillId="37" borderId="0" xfId="19" applyNumberFormat="1" applyFont="1" applyFill="1" applyAlignment="1">
      <alignment horizontal="center"/>
    </xf>
    <xf numFmtId="9" fontId="51" fillId="36" borderId="0" xfId="19" applyNumberFormat="1" applyFont="1" applyFill="1" applyAlignment="1">
      <alignment horizontal="center"/>
    </xf>
    <xf numFmtId="2" fontId="51" fillId="16" borderId="0" xfId="19" applyNumberFormat="1" applyFont="1" applyFill="1" applyAlignment="1">
      <alignment horizontal="center"/>
    </xf>
    <xf numFmtId="2" fontId="51" fillId="0" borderId="0" xfId="19" applyNumberFormat="1" applyFont="1" applyAlignment="1">
      <alignment horizontal="center"/>
    </xf>
    <xf numFmtId="0" fontId="10" fillId="0" borderId="27" xfId="19" applyBorder="1"/>
    <xf numFmtId="0" fontId="10" fillId="0" borderId="28" xfId="19" applyBorder="1"/>
    <xf numFmtId="0" fontId="10" fillId="0" borderId="29" xfId="19" applyBorder="1"/>
    <xf numFmtId="0" fontId="10" fillId="0" borderId="30" xfId="19" applyBorder="1"/>
    <xf numFmtId="0" fontId="49" fillId="0" borderId="29" xfId="19" applyFont="1" applyBorder="1"/>
    <xf numFmtId="0" fontId="49" fillId="0" borderId="30" xfId="19" applyFont="1" applyBorder="1"/>
    <xf numFmtId="49" fontId="49" fillId="0" borderId="0" xfId="19" applyNumberFormat="1" applyFont="1"/>
    <xf numFmtId="0" fontId="49" fillId="0" borderId="31" xfId="19" applyFont="1" applyBorder="1"/>
    <xf numFmtId="0" fontId="49" fillId="0" borderId="12" xfId="19" applyFont="1" applyBorder="1"/>
    <xf numFmtId="0" fontId="49" fillId="0" borderId="32" xfId="19" applyFont="1" applyBorder="1"/>
    <xf numFmtId="174" fontId="49" fillId="0" borderId="0" xfId="19" applyNumberFormat="1" applyFont="1" applyAlignment="1">
      <alignment horizontal="center" vertical="center"/>
    </xf>
    <xf numFmtId="9" fontId="28" fillId="16" borderId="0" xfId="19" applyNumberFormat="1" applyFont="1" applyFill="1" applyAlignment="1">
      <alignment horizontal="center"/>
    </xf>
    <xf numFmtId="9" fontId="48" fillId="0" borderId="0" xfId="19" applyNumberFormat="1" applyFont="1" applyAlignment="1">
      <alignment horizontal="center"/>
    </xf>
    <xf numFmtId="10" fontId="0" fillId="0" borderId="0" xfId="25" applyNumberFormat="1" applyFont="1"/>
    <xf numFmtId="9" fontId="0" fillId="0" borderId="0" xfId="0" applyNumberFormat="1" applyAlignment="1">
      <alignment horizontal="center"/>
    </xf>
    <xf numFmtId="10" fontId="10" fillId="0" borderId="0" xfId="25" applyNumberFormat="1"/>
    <xf numFmtId="0" fontId="66" fillId="26" borderId="0" xfId="1" applyBorder="1"/>
    <xf numFmtId="0" fontId="87" fillId="0" borderId="0" xfId="28"/>
    <xf numFmtId="165" fontId="57" fillId="0" borderId="0" xfId="0" applyNumberFormat="1" applyFont="1"/>
    <xf numFmtId="0" fontId="90" fillId="40" borderId="34" xfId="29" applyFont="1" applyFill="1" applyBorder="1" applyAlignment="1">
      <alignment horizontal="center" vertical="center" wrapText="1"/>
    </xf>
    <xf numFmtId="0" fontId="10" fillId="0" borderId="0" xfId="29"/>
    <xf numFmtId="0" fontId="91" fillId="0" borderId="34" xfId="29" applyFont="1" applyBorder="1" applyAlignment="1">
      <alignment horizontal="left" vertical="center" wrapText="1"/>
    </xf>
    <xf numFmtId="4" fontId="91" fillId="0" borderId="34" xfId="29" applyNumberFormat="1" applyFont="1" applyBorder="1" applyAlignment="1">
      <alignment horizontal="right" vertical="center" wrapText="1"/>
    </xf>
    <xf numFmtId="4" fontId="66" fillId="26" borderId="34" xfId="2" applyNumberFormat="1" applyBorder="1" applyAlignment="1" applyProtection="1">
      <alignment horizontal="right" vertical="center" wrapText="1"/>
    </xf>
    <xf numFmtId="0" fontId="91" fillId="0" borderId="0" xfId="29" applyFont="1" applyAlignment="1">
      <alignment horizontal="left" vertical="center" wrapText="1"/>
    </xf>
    <xf numFmtId="4" fontId="91" fillId="0" borderId="0" xfId="29" applyNumberFormat="1" applyFont="1" applyAlignment="1">
      <alignment horizontal="left" vertical="center"/>
    </xf>
    <xf numFmtId="180" fontId="73" fillId="0" borderId="0" xfId="30" applyAlignment="1" applyProtection="1"/>
    <xf numFmtId="0" fontId="74" fillId="28" borderId="25" xfId="31"/>
    <xf numFmtId="0" fontId="68" fillId="27" borderId="25" xfId="32"/>
    <xf numFmtId="167" fontId="68" fillId="27" borderId="25" xfId="32" applyNumberFormat="1"/>
    <xf numFmtId="0" fontId="91" fillId="0" borderId="0" xfId="29" applyFont="1" applyAlignment="1">
      <alignment horizontal="left" vertical="center"/>
    </xf>
    <xf numFmtId="9" fontId="10" fillId="0" borderId="0" xfId="29" applyNumberFormat="1"/>
    <xf numFmtId="181" fontId="0" fillId="0" borderId="0" xfId="6" applyNumberFormat="1" applyFont="1" applyFill="1"/>
    <xf numFmtId="0" fontId="90" fillId="41" borderId="34" xfId="29" applyFont="1" applyFill="1" applyBorder="1" applyAlignment="1">
      <alignment horizontal="center" vertical="center" wrapText="1"/>
    </xf>
    <xf numFmtId="181" fontId="10" fillId="0" borderId="0" xfId="29" applyNumberFormat="1"/>
    <xf numFmtId="49" fontId="91" fillId="0" borderId="34" xfId="29" applyNumberFormat="1" applyFont="1" applyBorder="1" applyAlignment="1">
      <alignment horizontal="left" vertical="center" wrapText="1"/>
    </xf>
    <xf numFmtId="174" fontId="92" fillId="0" borderId="0" xfId="33" applyNumberFormat="1" applyFont="1" applyProtection="1">
      <protection locked="0"/>
    </xf>
    <xf numFmtId="174" fontId="10" fillId="0" borderId="0" xfId="33" applyNumberFormat="1" applyFont="1"/>
    <xf numFmtId="175" fontId="67" fillId="0" borderId="0" xfId="22" applyNumberFormat="1" applyFont="1"/>
    <xf numFmtId="0" fontId="10" fillId="0" borderId="0" xfId="0" applyFont="1" applyAlignment="1">
      <alignment horizontal="right"/>
    </xf>
    <xf numFmtId="4" fontId="0" fillId="0" borderId="0" xfId="0" applyNumberFormat="1" applyAlignment="1">
      <alignment horizontal="left"/>
    </xf>
    <xf numFmtId="0" fontId="10" fillId="0" borderId="0" xfId="19" quotePrefix="1"/>
    <xf numFmtId="0" fontId="73" fillId="0" borderId="0" xfId="28" applyNumberFormat="1" applyFont="1"/>
    <xf numFmtId="0" fontId="10" fillId="0" borderId="0" xfId="0" applyFont="1" applyAlignment="1">
      <alignment horizontal="left" indent="1"/>
    </xf>
    <xf numFmtId="0" fontId="14" fillId="0" borderId="0" xfId="0" applyFont="1"/>
    <xf numFmtId="166" fontId="75" fillId="47" borderId="0" xfId="16" applyNumberFormat="1" applyFill="1" applyAlignment="1">
      <alignment horizontal="center"/>
    </xf>
    <xf numFmtId="1" fontId="75" fillId="47" borderId="0" xfId="16" applyNumberFormat="1" applyFill="1" applyAlignment="1">
      <alignment horizontal="center"/>
    </xf>
    <xf numFmtId="2" fontId="67" fillId="47" borderId="0" xfId="3" applyNumberFormat="1" applyFill="1" applyAlignment="1">
      <alignment horizontal="center"/>
    </xf>
    <xf numFmtId="2" fontId="41" fillId="0" borderId="0" xfId="0" applyNumberFormat="1" applyFont="1"/>
    <xf numFmtId="0" fontId="55" fillId="0" borderId="0" xfId="0" applyFont="1" applyAlignment="1">
      <alignment horizontal="center"/>
    </xf>
    <xf numFmtId="0" fontId="41" fillId="0" borderId="0" xfId="0" applyFont="1" applyAlignment="1">
      <alignment horizontal="left"/>
    </xf>
    <xf numFmtId="0" fontId="57" fillId="30" borderId="0" xfId="0" applyFont="1" applyFill="1"/>
    <xf numFmtId="175" fontId="67" fillId="31" borderId="0" xfId="22" applyNumberFormat="1" applyFont="1" applyFill="1"/>
    <xf numFmtId="167" fontId="41" fillId="0" borderId="0" xfId="0" applyNumberFormat="1" applyFont="1"/>
    <xf numFmtId="0" fontId="10" fillId="0" borderId="26" xfId="19" applyBorder="1"/>
    <xf numFmtId="9" fontId="10" fillId="0" borderId="0" xfId="19" applyNumberFormat="1"/>
    <xf numFmtId="9" fontId="49" fillId="0" borderId="0" xfId="19" applyNumberFormat="1" applyFont="1"/>
    <xf numFmtId="10" fontId="49" fillId="0" borderId="0" xfId="19" applyNumberFormat="1" applyFont="1"/>
    <xf numFmtId="174" fontId="51" fillId="0" borderId="0" xfId="19" applyNumberFormat="1" applyFont="1" applyAlignment="1">
      <alignment horizontal="center"/>
    </xf>
    <xf numFmtId="0" fontId="8" fillId="0" borderId="0" xfId="57"/>
    <xf numFmtId="0" fontId="7" fillId="0" borderId="0" xfId="57" applyFont="1"/>
    <xf numFmtId="0" fontId="6" fillId="0" borderId="0" xfId="57" applyFont="1"/>
    <xf numFmtId="0" fontId="5" fillId="0" borderId="0" xfId="57" applyFont="1"/>
    <xf numFmtId="0" fontId="4" fillId="0" borderId="0" xfId="57" applyFont="1"/>
    <xf numFmtId="0" fontId="41" fillId="31" borderId="0" xfId="18" applyFont="1" applyFill="1"/>
    <xf numFmtId="166" fontId="0" fillId="0" borderId="0" xfId="0" applyNumberFormat="1"/>
    <xf numFmtId="1" fontId="0" fillId="0" borderId="0" xfId="0" applyNumberFormat="1"/>
    <xf numFmtId="183" fontId="0" fillId="0" borderId="0" xfId="5" applyNumberFormat="1" applyFont="1"/>
    <xf numFmtId="183" fontId="0" fillId="0" borderId="0" xfId="0" applyNumberFormat="1"/>
    <xf numFmtId="0" fontId="0" fillId="0" borderId="0" xfId="0" applyAlignment="1">
      <alignment horizontal="right"/>
    </xf>
    <xf numFmtId="183" fontId="14" fillId="0" borderId="0" xfId="5" applyNumberFormat="1" applyFont="1"/>
    <xf numFmtId="0" fontId="17" fillId="31" borderId="0" xfId="0" applyFont="1" applyFill="1"/>
    <xf numFmtId="0" fontId="0" fillId="48" borderId="0" xfId="0" applyFill="1"/>
    <xf numFmtId="0" fontId="10" fillId="48" borderId="0" xfId="0" applyFont="1" applyFill="1"/>
    <xf numFmtId="0" fontId="0" fillId="48" borderId="29" xfId="0" applyFill="1" applyBorder="1"/>
    <xf numFmtId="0" fontId="0" fillId="48" borderId="30" xfId="0" applyFill="1" applyBorder="1"/>
    <xf numFmtId="0" fontId="0" fillId="48" borderId="31" xfId="0" applyFill="1" applyBorder="1"/>
    <xf numFmtId="0" fontId="18" fillId="48" borderId="39" xfId="0" applyFont="1" applyFill="1" applyBorder="1"/>
    <xf numFmtId="0" fontId="0" fillId="48" borderId="41" xfId="0" applyFill="1" applyBorder="1"/>
    <xf numFmtId="0" fontId="18" fillId="48" borderId="41" xfId="0" applyFont="1" applyFill="1" applyBorder="1"/>
    <xf numFmtId="0" fontId="0" fillId="48" borderId="40" xfId="0" applyFill="1" applyBorder="1"/>
    <xf numFmtId="0" fontId="10" fillId="48" borderId="30" xfId="0" applyFont="1" applyFill="1" applyBorder="1"/>
    <xf numFmtId="0" fontId="10" fillId="48" borderId="0" xfId="0" quotePrefix="1" applyFont="1" applyFill="1"/>
    <xf numFmtId="0" fontId="10" fillId="48" borderId="30" xfId="0" quotePrefix="1" applyFont="1" applyFill="1" applyBorder="1"/>
    <xf numFmtId="0" fontId="18" fillId="48" borderId="29" xfId="0" applyFont="1" applyFill="1" applyBorder="1"/>
    <xf numFmtId="0" fontId="0" fillId="48" borderId="0" xfId="0" quotePrefix="1" applyFill="1"/>
    <xf numFmtId="0" fontId="0" fillId="48" borderId="12" xfId="0" quotePrefix="1" applyFill="1" applyBorder="1"/>
    <xf numFmtId="0" fontId="0" fillId="48" borderId="12" xfId="0" applyFill="1" applyBorder="1"/>
    <xf numFmtId="0" fontId="18" fillId="48" borderId="0" xfId="0" applyFont="1" applyFill="1"/>
    <xf numFmtId="0" fontId="10" fillId="48" borderId="12" xfId="0" applyFont="1" applyFill="1" applyBorder="1"/>
    <xf numFmtId="0" fontId="10" fillId="48" borderId="32" xfId="0" applyFont="1" applyFill="1" applyBorder="1"/>
    <xf numFmtId="9" fontId="10" fillId="0" borderId="42" xfId="19" applyNumberFormat="1" applyBorder="1" applyAlignment="1">
      <alignment horizontal="center"/>
    </xf>
    <xf numFmtId="9" fontId="10" fillId="36" borderId="1" xfId="19" applyNumberFormat="1" applyFill="1" applyBorder="1" applyAlignment="1">
      <alignment horizontal="center"/>
    </xf>
    <xf numFmtId="174" fontId="24" fillId="0" borderId="43" xfId="19" applyNumberFormat="1" applyFont="1" applyBorder="1" applyAlignment="1">
      <alignment horizontal="left"/>
    </xf>
    <xf numFmtId="0" fontId="10" fillId="0" borderId="44" xfId="19" applyBorder="1"/>
    <xf numFmtId="0" fontId="28" fillId="16" borderId="44" xfId="19" applyFont="1" applyFill="1" applyBorder="1" applyAlignment="1">
      <alignment horizontal="center"/>
    </xf>
    <xf numFmtId="0" fontId="28" fillId="16" borderId="45" xfId="19" applyFont="1" applyFill="1" applyBorder="1" applyAlignment="1">
      <alignment horizontal="center"/>
    </xf>
    <xf numFmtId="0" fontId="10" fillId="0" borderId="46" xfId="19" applyBorder="1"/>
    <xf numFmtId="0" fontId="28" fillId="16" borderId="47" xfId="19" applyFont="1" applyFill="1" applyBorder="1" applyAlignment="1">
      <alignment horizontal="center"/>
    </xf>
    <xf numFmtId="0" fontId="10" fillId="0" borderId="48" xfId="19" applyBorder="1"/>
    <xf numFmtId="0" fontId="10" fillId="0" borderId="49" xfId="19" applyBorder="1"/>
    <xf numFmtId="0" fontId="28" fillId="16" borderId="49" xfId="19" applyFont="1" applyFill="1" applyBorder="1" applyAlignment="1">
      <alignment horizontal="center"/>
    </xf>
    <xf numFmtId="0" fontId="28" fillId="16" borderId="50" xfId="19" applyFont="1" applyFill="1" applyBorder="1" applyAlignment="1">
      <alignment horizontal="center"/>
    </xf>
    <xf numFmtId="1" fontId="10" fillId="0" borderId="0" xfId="0" applyNumberFormat="1" applyFont="1" applyAlignment="1">
      <alignment horizontal="right"/>
    </xf>
    <xf numFmtId="1" fontId="10" fillId="0" borderId="0" xfId="0" applyNumberFormat="1" applyFont="1" applyAlignment="1">
      <alignment horizontal="center" vertical="center" wrapText="1"/>
    </xf>
    <xf numFmtId="0" fontId="10" fillId="0" borderId="0" xfId="0" applyFont="1" applyAlignment="1">
      <alignment horizontal="center" vertical="center" wrapText="1"/>
    </xf>
    <xf numFmtId="1" fontId="10" fillId="0" borderId="0" xfId="0" applyNumberFormat="1" applyFont="1"/>
    <xf numFmtId="2" fontId="66" fillId="26" borderId="20" xfId="1" applyNumberFormat="1" applyBorder="1"/>
    <xf numFmtId="9" fontId="10" fillId="0" borderId="1" xfId="22" applyFont="1" applyBorder="1" applyAlignment="1">
      <alignment horizontal="center"/>
    </xf>
    <xf numFmtId="9" fontId="96" fillId="0" borderId="0" xfId="19" applyNumberFormat="1" applyFont="1" applyAlignment="1">
      <alignment horizontal="center"/>
    </xf>
    <xf numFmtId="0" fontId="14" fillId="0" borderId="0" xfId="0" applyFont="1" applyAlignment="1">
      <alignment horizontal="center"/>
    </xf>
    <xf numFmtId="0" fontId="97" fillId="27" borderId="25" xfId="4" applyFont="1" applyAlignment="1">
      <alignment horizontal="right"/>
    </xf>
    <xf numFmtId="0" fontId="98" fillId="28" borderId="25" xfId="15" applyFont="1" applyAlignment="1" applyProtection="1">
      <alignment horizontal="center"/>
      <protection locked="0"/>
    </xf>
    <xf numFmtId="2" fontId="10" fillId="0" borderId="0" xfId="0" applyNumberFormat="1" applyFont="1" applyAlignment="1">
      <alignment horizontal="center"/>
    </xf>
    <xf numFmtId="2" fontId="28" fillId="0" borderId="0" xfId="0" applyNumberFormat="1" applyFont="1" applyAlignment="1">
      <alignment horizontal="center"/>
    </xf>
    <xf numFmtId="9" fontId="99" fillId="26" borderId="0" xfId="1" applyNumberFormat="1" applyFont="1" applyAlignment="1">
      <alignment horizontal="center"/>
    </xf>
    <xf numFmtId="0" fontId="14" fillId="0" borderId="12" xfId="0" applyFont="1" applyBorder="1"/>
    <xf numFmtId="0" fontId="14" fillId="0" borderId="12" xfId="0" applyFont="1" applyBorder="1" applyAlignment="1">
      <alignment horizontal="center"/>
    </xf>
    <xf numFmtId="2" fontId="10" fillId="0" borderId="0" xfId="0" applyNumberFormat="1" applyFont="1" applyAlignment="1">
      <alignment horizontal="left"/>
    </xf>
    <xf numFmtId="165" fontId="10" fillId="0" borderId="0" xfId="0" applyNumberFormat="1" applyFont="1"/>
    <xf numFmtId="0" fontId="97" fillId="27" borderId="25" xfId="4" applyFont="1"/>
    <xf numFmtId="9" fontId="98" fillId="28" borderId="25" xfId="15" applyNumberFormat="1" applyFont="1"/>
    <xf numFmtId="9" fontId="10" fillId="0" borderId="0" xfId="0" applyNumberFormat="1" applyFont="1"/>
    <xf numFmtId="0" fontId="14" fillId="25" borderId="13" xfId="0" applyFont="1" applyFill="1" applyBorder="1"/>
    <xf numFmtId="174" fontId="59" fillId="0" borderId="0" xfId="22" applyNumberFormat="1" applyFont="1" applyFill="1" applyAlignment="1">
      <alignment horizontal="center"/>
    </xf>
    <xf numFmtId="2" fontId="99" fillId="0" borderId="0" xfId="2" applyNumberFormat="1" applyFont="1" applyFill="1" applyBorder="1" applyAlignment="1" applyProtection="1">
      <alignment horizontal="center"/>
      <protection locked="0"/>
    </xf>
    <xf numFmtId="2" fontId="99" fillId="26" borderId="0" xfId="2" applyNumberFormat="1" applyFont="1" applyAlignment="1">
      <alignment horizontal="center"/>
    </xf>
    <xf numFmtId="2" fontId="99" fillId="47" borderId="0" xfId="2" applyNumberFormat="1" applyFont="1" applyFill="1" applyBorder="1" applyAlignment="1" applyProtection="1">
      <alignment horizontal="center"/>
      <protection locked="0"/>
    </xf>
    <xf numFmtId="2" fontId="100" fillId="0" borderId="0" xfId="2" applyNumberFormat="1" applyFont="1" applyFill="1" applyAlignment="1">
      <alignment horizontal="center"/>
    </xf>
    <xf numFmtId="1" fontId="99" fillId="26" borderId="0" xfId="1" applyNumberFormat="1" applyFont="1" applyAlignment="1">
      <alignment horizontal="center"/>
    </xf>
    <xf numFmtId="0" fontId="10" fillId="0" borderId="0" xfId="0" applyFont="1" applyAlignment="1">
      <alignment horizontal="center" vertical="center"/>
    </xf>
    <xf numFmtId="2" fontId="67" fillId="46" borderId="0" xfId="3" applyNumberFormat="1" applyFill="1" applyAlignment="1">
      <alignment horizontal="center"/>
    </xf>
    <xf numFmtId="9" fontId="10" fillId="0" borderId="0" xfId="0" applyNumberFormat="1" applyFont="1" applyAlignment="1">
      <alignment horizontal="center"/>
    </xf>
    <xf numFmtId="166" fontId="10" fillId="0" borderId="0" xfId="0" applyNumberFormat="1" applyFont="1" applyAlignment="1" applyProtection="1">
      <alignment horizontal="center"/>
      <protection locked="0"/>
    </xf>
    <xf numFmtId="166" fontId="10" fillId="0" borderId="0" xfId="0" applyNumberFormat="1" applyFont="1" applyAlignment="1">
      <alignment horizontal="center"/>
    </xf>
    <xf numFmtId="166" fontId="10" fillId="0" borderId="0" xfId="0" applyNumberFormat="1" applyFont="1"/>
    <xf numFmtId="0" fontId="10" fillId="49" borderId="0" xfId="0" applyFont="1" applyFill="1"/>
    <xf numFmtId="184" fontId="10" fillId="0" borderId="0" xfId="0" applyNumberFormat="1" applyFont="1" applyAlignment="1">
      <alignment horizontal="right"/>
    </xf>
    <xf numFmtId="184" fontId="10" fillId="50" borderId="0" xfId="0" applyNumberFormat="1" applyFont="1" applyFill="1"/>
    <xf numFmtId="0" fontId="10" fillId="50" borderId="0" xfId="0" applyFont="1" applyFill="1"/>
    <xf numFmtId="9" fontId="10" fillId="0" borderId="0" xfId="22" applyFont="1"/>
    <xf numFmtId="43" fontId="10" fillId="0" borderId="0" xfId="5" applyFont="1"/>
    <xf numFmtId="166" fontId="10" fillId="0" borderId="0" xfId="19" applyNumberFormat="1" applyAlignment="1">
      <alignment horizontal="center"/>
    </xf>
    <xf numFmtId="0" fontId="45" fillId="0" borderId="0" xfId="0" applyFont="1"/>
    <xf numFmtId="15" fontId="45" fillId="0" borderId="0" xfId="0" applyNumberFormat="1" applyFont="1"/>
    <xf numFmtId="166" fontId="45" fillId="0" borderId="0" xfId="0" applyNumberFormat="1" applyFont="1"/>
    <xf numFmtId="1" fontId="45" fillId="0" borderId="0" xfId="0" applyNumberFormat="1" applyFont="1"/>
    <xf numFmtId="0" fontId="45" fillId="0" borderId="0" xfId="0" applyFont="1" applyAlignment="1">
      <alignment horizontal="center"/>
    </xf>
    <xf numFmtId="2" fontId="45" fillId="0" borderId="0" xfId="0" applyNumberFormat="1" applyFont="1"/>
    <xf numFmtId="166" fontId="101" fillId="0" borderId="0" xfId="0" applyNumberFormat="1" applyFont="1"/>
    <xf numFmtId="0" fontId="101" fillId="0" borderId="0" xfId="0" applyFont="1"/>
    <xf numFmtId="2" fontId="101" fillId="0" borderId="0" xfId="0" applyNumberFormat="1" applyFont="1"/>
    <xf numFmtId="0" fontId="45" fillId="31" borderId="0" xfId="0" applyFont="1" applyFill="1"/>
    <xf numFmtId="1" fontId="101" fillId="0" borderId="0" xfId="0" applyNumberFormat="1" applyFont="1"/>
    <xf numFmtId="166" fontId="101" fillId="31" borderId="0" xfId="0" applyNumberFormat="1" applyFont="1" applyFill="1"/>
    <xf numFmtId="0" fontId="14" fillId="31" borderId="0" xfId="0" applyFont="1" applyFill="1"/>
    <xf numFmtId="0" fontId="102" fillId="31" borderId="0" xfId="0" applyFont="1" applyFill="1"/>
    <xf numFmtId="0" fontId="14" fillId="2" borderId="0" xfId="19" applyFont="1" applyFill="1" applyAlignment="1">
      <alignment horizontal="right"/>
    </xf>
    <xf numFmtId="0" fontId="10" fillId="0" borderId="0" xfId="19" applyAlignment="1">
      <alignment horizontal="right"/>
    </xf>
    <xf numFmtId="0" fontId="14" fillId="22" borderId="3" xfId="19" applyFont="1" applyFill="1" applyBorder="1" applyAlignment="1">
      <alignment horizontal="right"/>
    </xf>
    <xf numFmtId="1" fontId="14" fillId="0" borderId="0" xfId="19" applyNumberFormat="1" applyFont="1" applyAlignment="1">
      <alignment horizontal="right"/>
    </xf>
    <xf numFmtId="0" fontId="14" fillId="0" borderId="0" xfId="19" applyFont="1" applyAlignment="1">
      <alignment horizontal="right"/>
    </xf>
    <xf numFmtId="0" fontId="14" fillId="0" borderId="3" xfId="19" applyFont="1" applyBorder="1" applyAlignment="1">
      <alignment horizontal="right"/>
    </xf>
    <xf numFmtId="1" fontId="29" fillId="0" borderId="1" xfId="19" applyNumberFormat="1" applyFont="1" applyBorder="1" applyAlignment="1">
      <alignment horizontal="right"/>
    </xf>
    <xf numFmtId="0" fontId="29" fillId="0" borderId="1" xfId="19" applyFont="1" applyBorder="1" applyAlignment="1">
      <alignment horizontal="right"/>
    </xf>
    <xf numFmtId="0" fontId="57" fillId="0" borderId="0" xfId="0" applyFont="1" applyAlignment="1" applyProtection="1">
      <alignment horizontal="right"/>
      <protection locked="0"/>
    </xf>
    <xf numFmtId="0" fontId="57" fillId="0" borderId="0" xfId="0" applyFont="1" applyAlignment="1">
      <alignment horizontal="right"/>
    </xf>
    <xf numFmtId="10" fontId="57" fillId="0" borderId="0" xfId="0" applyNumberFormat="1" applyFont="1" applyAlignment="1">
      <alignment horizontal="right"/>
    </xf>
    <xf numFmtId="9" fontId="57" fillId="0" borderId="0" xfId="0" applyNumberFormat="1" applyFont="1" applyAlignment="1">
      <alignment horizontal="right"/>
    </xf>
    <xf numFmtId="185" fontId="41" fillId="0" borderId="1" xfId="19" applyNumberFormat="1" applyFont="1" applyBorder="1" applyAlignment="1">
      <alignment horizontal="center" vertical="top" wrapText="1"/>
    </xf>
    <xf numFmtId="0" fontId="17" fillId="0" borderId="0" xfId="19" applyFont="1" applyAlignment="1">
      <alignment horizontal="left"/>
    </xf>
    <xf numFmtId="9" fontId="103" fillId="0" borderId="1" xfId="19" applyNumberFormat="1" applyFont="1" applyBorder="1" applyAlignment="1">
      <alignment horizontal="center"/>
    </xf>
    <xf numFmtId="4" fontId="10" fillId="0" borderId="0" xfId="19" applyNumberFormat="1"/>
    <xf numFmtId="1" fontId="10" fillId="0" borderId="0" xfId="19" applyNumberFormat="1"/>
    <xf numFmtId="167" fontId="10" fillId="0" borderId="0" xfId="0" applyNumberFormat="1" applyFont="1"/>
    <xf numFmtId="174" fontId="67" fillId="0" borderId="0" xfId="22" applyNumberFormat="1" applyFont="1"/>
    <xf numFmtId="0" fontId="91" fillId="0" borderId="0" xfId="0" applyFont="1"/>
    <xf numFmtId="1" fontId="91" fillId="0" borderId="0" xfId="0" applyNumberFormat="1" applyFont="1"/>
    <xf numFmtId="2" fontId="91" fillId="0" borderId="0" xfId="0" applyNumberFormat="1" applyFont="1"/>
    <xf numFmtId="0" fontId="104" fillId="0" borderId="0" xfId="0" applyFont="1" applyAlignment="1" applyProtection="1">
      <alignment horizontal="left"/>
      <protection locked="0"/>
    </xf>
    <xf numFmtId="0" fontId="91" fillId="0" borderId="0" xfId="0" applyFont="1" applyAlignment="1">
      <alignment horizontal="center" wrapText="1"/>
    </xf>
    <xf numFmtId="0" fontId="26" fillId="31" borderId="1" xfId="19" applyFont="1" applyFill="1" applyBorder="1" applyAlignment="1">
      <alignment horizontal="center" wrapText="1"/>
    </xf>
    <xf numFmtId="0" fontId="14" fillId="31" borderId="1" xfId="19" applyFont="1" applyFill="1" applyBorder="1" applyAlignment="1">
      <alignment horizontal="center" wrapText="1"/>
    </xf>
    <xf numFmtId="183" fontId="27" fillId="0" borderId="1" xfId="5" applyNumberFormat="1" applyFont="1" applyBorder="1" applyAlignment="1">
      <alignment horizontal="center"/>
    </xf>
    <xf numFmtId="174" fontId="47" fillId="0" borderId="1" xfId="19" applyNumberFormat="1" applyFont="1" applyBorder="1" applyAlignment="1">
      <alignment horizontal="center"/>
    </xf>
    <xf numFmtId="9" fontId="10" fillId="30" borderId="1" xfId="19" applyNumberFormat="1" applyFill="1" applyBorder="1" applyAlignment="1">
      <alignment horizontal="center"/>
    </xf>
    <xf numFmtId="0" fontId="10" fillId="30" borderId="0" xfId="19" applyFill="1" applyAlignment="1">
      <alignment horizontal="center"/>
    </xf>
    <xf numFmtId="183" fontId="29" fillId="0" borderId="9" xfId="5" applyNumberFormat="1" applyFont="1" applyBorder="1" applyAlignment="1">
      <alignment horizontal="center"/>
    </xf>
    <xf numFmtId="183" fontId="29" fillId="0" borderId="1" xfId="5" applyNumberFormat="1" applyFont="1" applyBorder="1" applyAlignment="1">
      <alignment horizontal="center"/>
    </xf>
    <xf numFmtId="0" fontId="10" fillId="30" borderId="1" xfId="19" applyFill="1" applyBorder="1"/>
    <xf numFmtId="0" fontId="14" fillId="30" borderId="0" xfId="19" applyFont="1" applyFill="1"/>
    <xf numFmtId="1" fontId="29" fillId="30" borderId="1" xfId="19" applyNumberFormat="1" applyFont="1" applyFill="1" applyBorder="1" applyAlignment="1">
      <alignment horizontal="center"/>
    </xf>
    <xf numFmtId="166" fontId="91" fillId="0" borderId="0" xfId="0" applyNumberFormat="1" applyFont="1"/>
    <xf numFmtId="186" fontId="10" fillId="0" borderId="0" xfId="0" applyNumberFormat="1" applyFont="1"/>
    <xf numFmtId="174" fontId="49" fillId="0" borderId="0" xfId="19" applyNumberFormat="1" applyFont="1"/>
    <xf numFmtId="187" fontId="49" fillId="0" borderId="0" xfId="19" applyNumberFormat="1" applyFont="1"/>
    <xf numFmtId="0" fontId="105" fillId="0" borderId="0" xfId="0" applyFont="1"/>
    <xf numFmtId="0" fontId="3" fillId="0" borderId="0" xfId="57" applyFont="1"/>
    <xf numFmtId="0" fontId="8" fillId="31" borderId="0" xfId="57" applyFill="1"/>
    <xf numFmtId="0" fontId="0" fillId="0" borderId="12" xfId="0" applyBorder="1"/>
    <xf numFmtId="166" fontId="10" fillId="0" borderId="12" xfId="19" applyNumberFormat="1" applyBorder="1"/>
    <xf numFmtId="0" fontId="27" fillId="0" borderId="12" xfId="19" applyFont="1" applyBorder="1"/>
    <xf numFmtId="9" fontId="106" fillId="0" borderId="0" xfId="22" applyFont="1"/>
    <xf numFmtId="4" fontId="83" fillId="0" borderId="0" xfId="11" applyFont="1">
      <alignment horizontal="center"/>
    </xf>
    <xf numFmtId="3" fontId="0" fillId="0" borderId="0" xfId="0" applyNumberFormat="1"/>
    <xf numFmtId="0" fontId="74" fillId="28" borderId="25" xfId="15"/>
    <xf numFmtId="167" fontId="0" fillId="0" borderId="0" xfId="0" applyNumberFormat="1"/>
    <xf numFmtId="0" fontId="107" fillId="0" borderId="0" xfId="0" applyFont="1"/>
    <xf numFmtId="2" fontId="68" fillId="27" borderId="25" xfId="4" applyNumberFormat="1"/>
    <xf numFmtId="168" fontId="0" fillId="0" borderId="0" xfId="0" applyNumberFormat="1"/>
    <xf numFmtId="10" fontId="0" fillId="0" borderId="0" xfId="33" applyNumberFormat="1" applyFont="1"/>
    <xf numFmtId="188" fontId="0" fillId="0" borderId="0" xfId="0" applyNumberFormat="1"/>
    <xf numFmtId="174" fontId="0" fillId="0" borderId="0" xfId="33" applyNumberFormat="1" applyFont="1"/>
    <xf numFmtId="0" fontId="10" fillId="31" borderId="0" xfId="0" applyFont="1" applyFill="1" applyAlignment="1">
      <alignment horizontal="center" vertical="center" wrapText="1"/>
    </xf>
    <xf numFmtId="174" fontId="10" fillId="0" borderId="0" xfId="0" applyNumberFormat="1" applyFont="1"/>
    <xf numFmtId="0" fontId="14" fillId="25" borderId="0" xfId="0" applyFont="1" applyFill="1" applyAlignment="1">
      <alignment horizontal="center" wrapText="1"/>
    </xf>
    <xf numFmtId="0" fontId="41" fillId="51" borderId="0" xfId="0" applyFont="1" applyFill="1"/>
    <xf numFmtId="0" fontId="82" fillId="51" borderId="0" xfId="0" applyFont="1" applyFill="1"/>
    <xf numFmtId="166" fontId="82" fillId="0" borderId="0" xfId="0" applyNumberFormat="1" applyFont="1"/>
    <xf numFmtId="9" fontId="57" fillId="0" borderId="0" xfId="22" applyFont="1"/>
    <xf numFmtId="3" fontId="10" fillId="0" borderId="0" xfId="0" applyNumberFormat="1" applyFont="1"/>
    <xf numFmtId="0" fontId="45" fillId="52" borderId="0" xfId="0" applyFont="1" applyFill="1"/>
    <xf numFmtId="166" fontId="45" fillId="52" borderId="0" xfId="0" applyNumberFormat="1" applyFont="1" applyFill="1"/>
    <xf numFmtId="0" fontId="108" fillId="0" borderId="0" xfId="0" applyFont="1" applyAlignment="1">
      <alignment horizontal="center"/>
    </xf>
    <xf numFmtId="0" fontId="10" fillId="52" borderId="0" xfId="0" applyFont="1" applyFill="1"/>
    <xf numFmtId="184" fontId="10" fillId="52" borderId="0" xfId="0" applyNumberFormat="1" applyFont="1" applyFill="1"/>
    <xf numFmtId="1" fontId="10" fillId="53" borderId="0" xfId="0" applyNumberFormat="1" applyFont="1" applyFill="1" applyAlignment="1">
      <alignment horizontal="right"/>
    </xf>
    <xf numFmtId="0" fontId="110" fillId="0" borderId="1" xfId="19" applyFont="1" applyBorder="1" applyAlignment="1">
      <alignment horizontal="center"/>
    </xf>
    <xf numFmtId="166" fontId="109" fillId="0" borderId="1" xfId="19" applyNumberFormat="1" applyFont="1" applyBorder="1" applyAlignment="1">
      <alignment horizontal="center"/>
    </xf>
    <xf numFmtId="0" fontId="109" fillId="0" borderId="0" xfId="19" applyFont="1" applyAlignment="1">
      <alignment horizontal="center"/>
    </xf>
    <xf numFmtId="174" fontId="10" fillId="0" borderId="0" xfId="22" applyNumberFormat="1" applyFont="1"/>
    <xf numFmtId="166" fontId="10" fillId="53" borderId="0" xfId="19" applyNumberFormat="1" applyFill="1"/>
    <xf numFmtId="9" fontId="27" fillId="53" borderId="1" xfId="19" applyNumberFormat="1" applyFont="1" applyFill="1" applyBorder="1" applyAlignment="1">
      <alignment horizontal="center"/>
    </xf>
    <xf numFmtId="10" fontId="29" fillId="53" borderId="0" xfId="19" applyNumberFormat="1" applyFont="1" applyFill="1" applyAlignment="1">
      <alignment horizontal="right"/>
    </xf>
    <xf numFmtId="9" fontId="29" fillId="53" borderId="1" xfId="19" applyNumberFormat="1" applyFont="1" applyFill="1" applyBorder="1" applyAlignment="1">
      <alignment horizontal="right"/>
    </xf>
    <xf numFmtId="9" fontId="109" fillId="0" borderId="1" xfId="22" applyFont="1" applyBorder="1" applyAlignment="1">
      <alignment horizontal="center"/>
    </xf>
    <xf numFmtId="166" fontId="10" fillId="54" borderId="0" xfId="19" applyNumberFormat="1" applyFill="1"/>
    <xf numFmtId="0" fontId="14" fillId="55" borderId="1" xfId="19" applyFont="1" applyFill="1" applyBorder="1" applyAlignment="1">
      <alignment horizontal="center" wrapText="1"/>
    </xf>
    <xf numFmtId="10" fontId="29" fillId="54" borderId="0" xfId="19" applyNumberFormat="1" applyFont="1" applyFill="1" applyAlignment="1">
      <alignment horizontal="right"/>
    </xf>
    <xf numFmtId="9" fontId="29" fillId="54" borderId="1" xfId="19" applyNumberFormat="1" applyFont="1" applyFill="1" applyBorder="1" applyAlignment="1">
      <alignment horizontal="right"/>
    </xf>
    <xf numFmtId="9" fontId="27" fillId="56" borderId="1" xfId="19" applyNumberFormat="1" applyFont="1" applyFill="1" applyBorder="1" applyAlignment="1">
      <alignment horizontal="center"/>
    </xf>
    <xf numFmtId="3" fontId="17" fillId="57" borderId="2" xfId="23" applyNumberFormat="1" applyFill="1" applyBorder="1" applyAlignment="1" applyProtection="1">
      <alignment horizontal="center"/>
    </xf>
    <xf numFmtId="174" fontId="29" fillId="56" borderId="1" xfId="19" applyNumberFormat="1" applyFont="1" applyFill="1" applyBorder="1" applyAlignment="1">
      <alignment horizontal="center" vertical="center"/>
    </xf>
    <xf numFmtId="3" fontId="17" fillId="57" borderId="2" xfId="19" applyNumberFormat="1" applyFont="1" applyFill="1" applyBorder="1" applyAlignment="1">
      <alignment horizontal="center"/>
    </xf>
    <xf numFmtId="3" fontId="17" fillId="58" borderId="2" xfId="23" applyNumberFormat="1" applyFill="1" applyBorder="1" applyAlignment="1" applyProtection="1">
      <alignment horizontal="center"/>
    </xf>
    <xf numFmtId="9" fontId="71" fillId="0" borderId="0" xfId="33" applyFont="1" applyAlignment="1">
      <alignment horizontal="center"/>
    </xf>
    <xf numFmtId="43" fontId="67" fillId="0" borderId="0" xfId="58" applyFont="1"/>
    <xf numFmtId="9" fontId="79" fillId="0" borderId="0" xfId="33" applyFont="1" applyAlignment="1">
      <alignment horizontal="center"/>
    </xf>
    <xf numFmtId="43" fontId="79" fillId="0" borderId="0" xfId="58" applyFont="1"/>
    <xf numFmtId="9" fontId="83" fillId="0" borderId="0" xfId="33" applyFont="1" applyFill="1"/>
    <xf numFmtId="9" fontId="10" fillId="0" borderId="0" xfId="33" applyFont="1"/>
    <xf numFmtId="174" fontId="59" fillId="0" borderId="0" xfId="33" applyNumberFormat="1" applyFont="1" applyFill="1" applyAlignment="1">
      <alignment horizontal="center"/>
    </xf>
    <xf numFmtId="174" fontId="67" fillId="0" borderId="0" xfId="33" applyNumberFormat="1" applyFont="1"/>
    <xf numFmtId="9" fontId="84" fillId="0" borderId="0" xfId="33" applyFont="1"/>
    <xf numFmtId="175" fontId="67" fillId="0" borderId="0" xfId="33" applyNumberFormat="1" applyFont="1"/>
    <xf numFmtId="9" fontId="67" fillId="0" borderId="0" xfId="33" applyFont="1"/>
    <xf numFmtId="9" fontId="78" fillId="0" borderId="0" xfId="33" applyFont="1" applyFill="1" applyBorder="1" applyAlignment="1" applyProtection="1">
      <alignment horizontal="center"/>
      <protection locked="0"/>
    </xf>
    <xf numFmtId="9" fontId="14" fillId="0" borderId="0" xfId="33" applyFont="1" applyAlignment="1">
      <alignment horizontal="center" wrapText="1"/>
    </xf>
    <xf numFmtId="9" fontId="106" fillId="0" borderId="0" xfId="33" applyFont="1"/>
    <xf numFmtId="0" fontId="29" fillId="56" borderId="0" xfId="19" applyFont="1" applyFill="1" applyAlignment="1">
      <alignment horizontal="right"/>
    </xf>
    <xf numFmtId="3" fontId="29" fillId="56" borderId="0" xfId="19" applyNumberFormat="1" applyFont="1" applyFill="1" applyAlignment="1">
      <alignment horizontal="right"/>
    </xf>
    <xf numFmtId="1" fontId="27" fillId="56" borderId="0" xfId="19" applyNumberFormat="1" applyFont="1" applyFill="1"/>
    <xf numFmtId="9" fontId="29" fillId="56" borderId="0" xfId="19" applyNumberFormat="1" applyFont="1" applyFill="1" applyAlignment="1">
      <alignment horizontal="center"/>
    </xf>
    <xf numFmtId="0" fontId="27" fillId="56" borderId="0" xfId="19" applyFont="1" applyFill="1"/>
    <xf numFmtId="0" fontId="10" fillId="0" borderId="0" xfId="59"/>
    <xf numFmtId="0" fontId="14" fillId="0" borderId="0" xfId="59" applyFont="1" applyAlignment="1">
      <alignment horizontal="center"/>
    </xf>
    <xf numFmtId="0" fontId="14" fillId="0" borderId="0" xfId="59" applyFont="1"/>
    <xf numFmtId="166" fontId="10" fillId="0" borderId="0" xfId="59" applyNumberFormat="1"/>
    <xf numFmtId="166" fontId="10" fillId="0" borderId="0" xfId="59" applyNumberFormat="1" applyAlignment="1" applyProtection="1">
      <alignment horizontal="center"/>
      <protection locked="0"/>
    </xf>
    <xf numFmtId="166" fontId="10" fillId="0" borderId="0" xfId="59" applyNumberFormat="1" applyAlignment="1">
      <alignment horizontal="center"/>
    </xf>
    <xf numFmtId="0" fontId="10" fillId="0" borderId="0" xfId="59" applyAlignment="1" applyProtection="1">
      <alignment horizontal="center"/>
      <protection locked="0"/>
    </xf>
    <xf numFmtId="0" fontId="10" fillId="0" borderId="0" xfId="59" applyAlignment="1">
      <alignment horizontal="center"/>
    </xf>
    <xf numFmtId="0" fontId="14" fillId="0" borderId="0" xfId="59" applyFont="1" applyAlignment="1">
      <alignment horizontal="left"/>
    </xf>
    <xf numFmtId="2" fontId="10" fillId="0" borderId="0" xfId="59" applyNumberFormat="1" applyAlignment="1">
      <alignment horizontal="center"/>
    </xf>
    <xf numFmtId="2" fontId="28" fillId="0" borderId="0" xfId="59" applyNumberFormat="1" applyFont="1" applyAlignment="1">
      <alignment horizontal="center"/>
    </xf>
    <xf numFmtId="0" fontId="14" fillId="0" borderId="12" xfId="59" applyFont="1" applyBorder="1"/>
    <xf numFmtId="0" fontId="14" fillId="0" borderId="12" xfId="59" applyFont="1" applyBorder="1" applyAlignment="1">
      <alignment horizontal="center"/>
    </xf>
    <xf numFmtId="2" fontId="10" fillId="0" borderId="0" xfId="59" applyNumberFormat="1" applyAlignment="1">
      <alignment horizontal="left"/>
    </xf>
    <xf numFmtId="176" fontId="10" fillId="0" borderId="0" xfId="59" applyNumberFormat="1" applyAlignment="1" applyProtection="1">
      <alignment horizontal="left"/>
      <protection locked="0"/>
    </xf>
    <xf numFmtId="2" fontId="59" fillId="0" borderId="0" xfId="59" applyNumberFormat="1" applyFont="1" applyAlignment="1">
      <alignment horizontal="center"/>
    </xf>
    <xf numFmtId="0" fontId="78" fillId="0" borderId="12" xfId="59" applyFont="1" applyBorder="1" applyAlignment="1" applyProtection="1">
      <alignment horizontal="center"/>
      <protection locked="0"/>
    </xf>
    <xf numFmtId="0" fontId="78" fillId="0" borderId="0" xfId="59" applyFont="1" applyAlignment="1" applyProtection="1">
      <alignment horizontal="left"/>
      <protection locked="0"/>
    </xf>
    <xf numFmtId="0" fontId="78" fillId="0" borderId="0" xfId="59" applyFont="1" applyAlignment="1" applyProtection="1">
      <alignment horizontal="center"/>
      <protection locked="0"/>
    </xf>
    <xf numFmtId="2" fontId="10" fillId="0" borderId="0" xfId="59" applyNumberFormat="1"/>
    <xf numFmtId="186" fontId="10" fillId="0" borderId="0" xfId="59" applyNumberFormat="1"/>
    <xf numFmtId="165" fontId="10" fillId="0" borderId="0" xfId="59" applyNumberFormat="1"/>
    <xf numFmtId="0" fontId="80" fillId="0" borderId="0" xfId="59" applyFont="1" applyAlignment="1" applyProtection="1">
      <alignment horizontal="left"/>
      <protection locked="0"/>
    </xf>
    <xf numFmtId="0" fontId="59" fillId="0" borderId="12" xfId="59" applyFont="1" applyBorder="1"/>
    <xf numFmtId="0" fontId="59" fillId="0" borderId="12" xfId="59" applyFont="1" applyBorder="1" applyAlignment="1">
      <alignment horizontal="center"/>
    </xf>
    <xf numFmtId="2" fontId="59" fillId="0" borderId="12" xfId="59" applyNumberFormat="1" applyFont="1" applyBorder="1" applyAlignment="1">
      <alignment horizontal="center"/>
    </xf>
    <xf numFmtId="0" fontId="83" fillId="0" borderId="0" xfId="59" applyFont="1"/>
    <xf numFmtId="0" fontId="14" fillId="24" borderId="0" xfId="59" applyFont="1" applyFill="1" applyAlignment="1">
      <alignment horizontal="center" wrapText="1"/>
    </xf>
    <xf numFmtId="9" fontId="10" fillId="0" borderId="0" xfId="59" applyNumberFormat="1"/>
    <xf numFmtId="0" fontId="14" fillId="25" borderId="13" xfId="59" applyFont="1" applyFill="1" applyBorder="1"/>
    <xf numFmtId="0" fontId="14" fillId="25" borderId="13" xfId="59" applyFont="1" applyFill="1" applyBorder="1" applyAlignment="1">
      <alignment horizontal="center" wrapText="1"/>
    </xf>
    <xf numFmtId="0" fontId="14" fillId="25" borderId="0" xfId="59" applyFont="1" applyFill="1" applyAlignment="1">
      <alignment horizontal="center" wrapText="1"/>
    </xf>
    <xf numFmtId="0" fontId="10" fillId="0" borderId="12" xfId="59" applyBorder="1"/>
    <xf numFmtId="0" fontId="80" fillId="0" borderId="0" xfId="59" applyFont="1" applyAlignment="1">
      <alignment horizontal="center" wrapText="1"/>
    </xf>
    <xf numFmtId="0" fontId="10" fillId="0" borderId="0" xfId="59" applyAlignment="1">
      <alignment horizontal="center" wrapText="1"/>
    </xf>
    <xf numFmtId="0" fontId="10" fillId="0" borderId="12" xfId="59" applyBorder="1" applyAlignment="1" applyProtection="1">
      <alignment horizontal="left"/>
      <protection locked="0"/>
    </xf>
    <xf numFmtId="0" fontId="78" fillId="0" borderId="0" xfId="59" applyFont="1" applyAlignment="1">
      <alignment horizontal="center"/>
    </xf>
    <xf numFmtId="0" fontId="78" fillId="0" borderId="0" xfId="59" applyFont="1" applyAlignment="1">
      <alignment horizontal="right"/>
    </xf>
    <xf numFmtId="0" fontId="78" fillId="0" borderId="0" xfId="59" applyFont="1"/>
    <xf numFmtId="0" fontId="78" fillId="0" borderId="0" xfId="59" applyFont="1" applyAlignment="1">
      <alignment horizontal="left" indent="1"/>
    </xf>
    <xf numFmtId="0" fontId="14" fillId="0" borderId="0" xfId="59" applyFont="1" applyAlignment="1">
      <alignment horizontal="center" wrapText="1"/>
    </xf>
    <xf numFmtId="0" fontId="10" fillId="0" borderId="0" xfId="59" applyAlignment="1">
      <alignment horizontal="center" vertical="center"/>
    </xf>
    <xf numFmtId="9" fontId="10" fillId="0" borderId="0" xfId="59" applyNumberFormat="1" applyAlignment="1">
      <alignment horizontal="center"/>
    </xf>
    <xf numFmtId="0" fontId="10" fillId="29" borderId="0" xfId="59" applyFill="1"/>
    <xf numFmtId="0" fontId="25" fillId="0" borderId="0" xfId="0" applyFont="1"/>
    <xf numFmtId="0" fontId="14" fillId="59" borderId="51" xfId="0" applyFont="1" applyFill="1" applyBorder="1"/>
    <xf numFmtId="0" fontId="10" fillId="25" borderId="19" xfId="59" applyFill="1" applyBorder="1" applyAlignment="1">
      <alignment horizontal="left" wrapText="1"/>
    </xf>
    <xf numFmtId="0" fontId="10" fillId="25" borderId="0" xfId="59" applyFill="1" applyAlignment="1">
      <alignment horizontal="left" wrapText="1"/>
    </xf>
    <xf numFmtId="0" fontId="10" fillId="25" borderId="13" xfId="59" applyFill="1" applyBorder="1" applyAlignment="1">
      <alignment horizontal="left" wrapText="1"/>
    </xf>
    <xf numFmtId="0" fontId="14" fillId="59" borderId="41" xfId="0" applyFont="1" applyFill="1" applyBorder="1"/>
    <xf numFmtId="0" fontId="14" fillId="59" borderId="41" xfId="0" applyFont="1" applyFill="1" applyBorder="1" applyAlignment="1">
      <alignment horizontal="left"/>
    </xf>
    <xf numFmtId="0" fontId="10" fillId="25" borderId="41" xfId="59" applyFill="1" applyBorder="1" applyAlignment="1">
      <alignment horizontal="left" wrapText="1"/>
    </xf>
    <xf numFmtId="0" fontId="25" fillId="0" borderId="0" xfId="21" applyFont="1" applyAlignment="1">
      <alignment horizontal="left"/>
    </xf>
    <xf numFmtId="0" fontId="111" fillId="0" borderId="0" xfId="60" applyFont="1" applyAlignment="1">
      <alignment vertical="center"/>
    </xf>
    <xf numFmtId="0" fontId="10" fillId="62" borderId="0" xfId="18" applyFill="1"/>
    <xf numFmtId="0" fontId="117" fillId="62" borderId="0" xfId="18" applyFont="1" applyFill="1"/>
    <xf numFmtId="0" fontId="113" fillId="61" borderId="0" xfId="61" applyFill="1"/>
    <xf numFmtId="0" fontId="10" fillId="0" borderId="0" xfId="59" applyAlignment="1">
      <alignment horizontal="left" wrapText="1"/>
    </xf>
    <xf numFmtId="1" fontId="10" fillId="0" borderId="0" xfId="0" applyNumberFormat="1" applyFont="1" applyAlignment="1">
      <alignment horizontal="center"/>
    </xf>
    <xf numFmtId="0" fontId="14" fillId="0" borderId="0" xfId="0" applyFont="1" applyAlignment="1">
      <alignment vertical="center"/>
    </xf>
    <xf numFmtId="0" fontId="78" fillId="0" borderId="0" xfId="59" applyFont="1" applyProtection="1">
      <protection locked="0"/>
    </xf>
    <xf numFmtId="0" fontId="80" fillId="0" borderId="0" xfId="59" applyFont="1" applyAlignment="1">
      <alignment wrapText="1"/>
    </xf>
    <xf numFmtId="0" fontId="14" fillId="0" borderId="0" xfId="0" applyFont="1" applyAlignment="1">
      <alignment horizontal="center" vertical="center"/>
    </xf>
    <xf numFmtId="0" fontId="14" fillId="0" borderId="0" xfId="21" applyFont="1" applyAlignment="1">
      <alignment horizontal="center" vertical="center" wrapText="1"/>
    </xf>
    <xf numFmtId="0" fontId="14" fillId="0" borderId="0" xfId="59" applyFont="1" applyAlignment="1">
      <alignment vertical="center"/>
    </xf>
    <xf numFmtId="0" fontId="14" fillId="0" borderId="0" xfId="21" applyFont="1" applyAlignment="1">
      <alignment vertical="center"/>
    </xf>
    <xf numFmtId="0" fontId="14" fillId="24" borderId="0" xfId="62" applyFont="1" applyFill="1" applyAlignment="1">
      <alignment horizontal="center" wrapText="1"/>
    </xf>
    <xf numFmtId="0" fontId="117" fillId="0" borderId="0" xfId="18" applyFont="1"/>
    <xf numFmtId="0" fontId="113" fillId="0" borderId="0" xfId="61"/>
    <xf numFmtId="2" fontId="10" fillId="0" borderId="0" xfId="18" applyNumberFormat="1"/>
    <xf numFmtId="2" fontId="117" fillId="0" borderId="0" xfId="18" applyNumberFormat="1" applyFont="1"/>
    <xf numFmtId="0" fontId="10" fillId="0" borderId="0" xfId="18" quotePrefix="1"/>
    <xf numFmtId="14" fontId="10" fillId="0" borderId="0" xfId="18" applyNumberFormat="1"/>
    <xf numFmtId="15" fontId="10" fillId="0" borderId="0" xfId="18" applyNumberFormat="1"/>
    <xf numFmtId="0" fontId="10" fillId="0" borderId="0" xfId="18" applyAlignment="1">
      <alignment wrapText="1"/>
    </xf>
    <xf numFmtId="2" fontId="100" fillId="52" borderId="0" xfId="2" applyNumberFormat="1" applyFont="1" applyFill="1" applyAlignment="1">
      <alignment horizontal="center"/>
    </xf>
    <xf numFmtId="166" fontId="75" fillId="52" borderId="0" xfId="16" applyNumberFormat="1" applyFill="1" applyAlignment="1">
      <alignment horizontal="center"/>
    </xf>
    <xf numFmtId="0" fontId="10" fillId="56" borderId="0" xfId="29" applyFill="1"/>
    <xf numFmtId="46" fontId="10" fillId="0" borderId="0" xfId="29" applyNumberFormat="1"/>
    <xf numFmtId="2" fontId="100" fillId="56" borderId="0" xfId="2" applyNumberFormat="1" applyFont="1" applyFill="1" applyAlignment="1">
      <alignment horizontal="center"/>
    </xf>
    <xf numFmtId="166" fontId="75" fillId="56" borderId="0" xfId="16" applyNumberFormat="1" applyFill="1" applyAlignment="1">
      <alignment horizontal="center"/>
    </xf>
    <xf numFmtId="9" fontId="84" fillId="31" borderId="0" xfId="33" applyFont="1" applyFill="1"/>
    <xf numFmtId="0" fontId="10" fillId="0" borderId="0" xfId="19" applyAlignment="1">
      <alignment wrapText="1"/>
    </xf>
    <xf numFmtId="0" fontId="10" fillId="20" borderId="0" xfId="19" applyFill="1" applyAlignment="1">
      <alignment wrapText="1"/>
    </xf>
    <xf numFmtId="0" fontId="13" fillId="0" borderId="0" xfId="19" applyFont="1" applyAlignment="1">
      <alignment wrapText="1"/>
    </xf>
    <xf numFmtId="0" fontId="13" fillId="0" borderId="0" xfId="19" applyFont="1" applyAlignment="1">
      <alignment horizontal="center"/>
    </xf>
    <xf numFmtId="0" fontId="10" fillId="18" borderId="1" xfId="19" applyFill="1" applyBorder="1" applyAlignment="1">
      <alignment vertical="center" wrapText="1"/>
    </xf>
    <xf numFmtId="0" fontId="14" fillId="0" borderId="0" xfId="59" applyFont="1" applyAlignment="1">
      <alignment horizontal="center"/>
    </xf>
    <xf numFmtId="0" fontId="10" fillId="0" borderId="0" xfId="59" applyAlignment="1">
      <alignment horizontal="center" wrapText="1"/>
    </xf>
    <xf numFmtId="0" fontId="55" fillId="0" borderId="0" xfId="0" applyFont="1" applyAlignment="1">
      <alignment horizontal="center"/>
    </xf>
    <xf numFmtId="0" fontId="10" fillId="0" borderId="22" xfId="0" applyFont="1" applyBorder="1" applyAlignment="1">
      <alignment horizontal="center"/>
    </xf>
    <xf numFmtId="0" fontId="10" fillId="0" borderId="23" xfId="0" applyFont="1" applyBorder="1" applyAlignment="1">
      <alignment horizontal="center"/>
    </xf>
    <xf numFmtId="0" fontId="10" fillId="0" borderId="24" xfId="0" applyFont="1" applyBorder="1" applyAlignment="1">
      <alignment horizontal="center"/>
    </xf>
    <xf numFmtId="0" fontId="24" fillId="0" borderId="1" xfId="19" applyFont="1" applyBorder="1" applyAlignment="1">
      <alignment horizontal="center" wrapText="1"/>
    </xf>
    <xf numFmtId="0" fontId="19" fillId="2" borderId="0" xfId="19" applyFont="1" applyFill="1" applyAlignment="1">
      <alignment horizontal="left" vertical="top" wrapText="1"/>
    </xf>
    <xf numFmtId="0" fontId="14" fillId="0" borderId="0" xfId="0" applyFont="1" applyAlignment="1">
      <alignment horizontal="center"/>
    </xf>
    <xf numFmtId="0" fontId="10" fillId="0" borderId="0" xfId="0" applyFont="1" applyAlignment="1">
      <alignment horizontal="center"/>
    </xf>
    <xf numFmtId="0" fontId="10" fillId="0" borderId="1" xfId="19" applyBorder="1" applyAlignment="1">
      <alignment vertical="top"/>
    </xf>
  </cellXfs>
  <cellStyles count="90">
    <cellStyle name="Advanced user input" xfId="34" xr:uid="{00000000-0005-0000-0000-000000000000}"/>
    <cellStyle name="Bad" xfId="1" builtinId="27"/>
    <cellStyle name="Bad 2" xfId="2" xr:uid="{00000000-0005-0000-0000-000002000000}"/>
    <cellStyle name="Basic User Data Input" xfId="35" xr:uid="{00000000-0005-0000-0000-000003000000}"/>
    <cellStyle name="Basic User Selection" xfId="36" xr:uid="{00000000-0005-0000-0000-000004000000}"/>
    <cellStyle name="Calc" xfId="3" xr:uid="{00000000-0005-0000-0000-000005000000}"/>
    <cellStyle name="Calculation" xfId="4" builtinId="22"/>
    <cellStyle name="Calculation 2" xfId="32" xr:uid="{00000000-0005-0000-0000-000007000000}"/>
    <cellStyle name="Comma" xfId="5" builtinId="3"/>
    <cellStyle name="Comma 2" xfId="6" xr:uid="{00000000-0005-0000-0000-000009000000}"/>
    <cellStyle name="Comma 2 2" xfId="37" xr:uid="{00000000-0005-0000-0000-00000A000000}"/>
    <cellStyle name="Comma 2 3" xfId="38" xr:uid="{00000000-0005-0000-0000-00000B000000}"/>
    <cellStyle name="Comma 3" xfId="7" xr:uid="{00000000-0005-0000-0000-00000C000000}"/>
    <cellStyle name="Comma 3 2" xfId="74" xr:uid="{9D81B3B6-1865-4C36-99C2-27637758D868}"/>
    <cellStyle name="Comma 3 3" xfId="68" xr:uid="{19638C50-9BBB-459F-8777-1F5216D6E384}"/>
    <cellStyle name="Comma 4" xfId="39" xr:uid="{00000000-0005-0000-0000-00000D000000}"/>
    <cellStyle name="Comma 4 2" xfId="75" xr:uid="{4925C571-E75B-4C03-8474-793AC469481F}"/>
    <cellStyle name="Comma 5" xfId="58" xr:uid="{7552FA27-5D34-4171-B0D9-B21F2B5E44F0}"/>
    <cellStyle name="Comma 5 2" xfId="79" xr:uid="{D48411C2-6591-4F75-8754-25FC9647E982}"/>
    <cellStyle name="Comma 6" xfId="83" xr:uid="{8DB00C41-E65B-4E2F-BBBE-154AE78C429C}"/>
    <cellStyle name="Comma 7" xfId="65" xr:uid="{911B2D1E-08FA-41A2-A733-F6ADE094A4E9}"/>
    <cellStyle name="Excel Built-in Normal" xfId="8" xr:uid="{00000000-0005-0000-0000-00000E000000}"/>
    <cellStyle name="Excel Built-in Normal 2" xfId="9" xr:uid="{00000000-0005-0000-0000-00000F000000}"/>
    <cellStyle name="Excel_BuiltIn_Comma" xfId="10" xr:uid="{00000000-0005-0000-0000-000010000000}"/>
    <cellStyle name="External" xfId="11" xr:uid="{00000000-0005-0000-0000-000011000000}"/>
    <cellStyle name="Good 2" xfId="40" xr:uid="{00000000-0005-0000-0000-000012000000}"/>
    <cellStyle name="Heading" xfId="12" xr:uid="{00000000-0005-0000-0000-000013000000}"/>
    <cellStyle name="Heading 1 2" xfId="41" xr:uid="{00000000-0005-0000-0000-000014000000}"/>
    <cellStyle name="Heading 1 2 2" xfId="42" xr:uid="{00000000-0005-0000-0000-000015000000}"/>
    <cellStyle name="Heading 2 2" xfId="43" xr:uid="{00000000-0005-0000-0000-000016000000}"/>
    <cellStyle name="Heading 2 2 2" xfId="44" xr:uid="{00000000-0005-0000-0000-000017000000}"/>
    <cellStyle name="Heading 4" xfId="61" builtinId="19"/>
    <cellStyle name="Heading 4 2" xfId="45" xr:uid="{00000000-0005-0000-0000-000018000000}"/>
    <cellStyle name="Heading 4 2 2" xfId="46" xr:uid="{00000000-0005-0000-0000-000019000000}"/>
    <cellStyle name="Heading1" xfId="13" xr:uid="{00000000-0005-0000-0000-00001A000000}"/>
    <cellStyle name="Hyperlink" xfId="28" builtinId="8"/>
    <cellStyle name="Hyperlink 2" xfId="14" xr:uid="{00000000-0005-0000-0000-00001C000000}"/>
    <cellStyle name="Hyperlink 2 2" xfId="30" xr:uid="{00000000-0005-0000-0000-00001D000000}"/>
    <cellStyle name="Hyperlink 3" xfId="82" xr:uid="{51C5EE03-8AB8-4CCE-80CF-9803299DA10C}"/>
    <cellStyle name="Hyperlink 4" xfId="64" xr:uid="{73D0BD64-EC8C-49F9-814F-D7A0FBD59E61}"/>
    <cellStyle name="Input" xfId="15" builtinId="20"/>
    <cellStyle name="Input 2" xfId="47" xr:uid="{00000000-0005-0000-0000-00001F000000}"/>
    <cellStyle name="Input 3" xfId="31" xr:uid="{00000000-0005-0000-0000-000020000000}"/>
    <cellStyle name="Intermediate/scenario user input" xfId="48" xr:uid="{00000000-0005-0000-0000-000021000000}"/>
    <cellStyle name="Linked" xfId="16" xr:uid="{00000000-0005-0000-0000-000022000000}"/>
    <cellStyle name="Neutral 2" xfId="49" xr:uid="{00000000-0005-0000-0000-000023000000}"/>
    <cellStyle name="Normal" xfId="0" builtinId="0"/>
    <cellStyle name="Normal 10" xfId="59" xr:uid="{126DE205-1984-424B-A897-8ED5301968EC}"/>
    <cellStyle name="Normal 10 2" xfId="85" xr:uid="{046BF1D8-70E1-4837-8EB9-AD8E20D65D75}"/>
    <cellStyle name="Normal 11" xfId="87" xr:uid="{C0A85301-E8A4-45CB-B5ED-DCADC2DC0D30}"/>
    <cellStyle name="Normal 12" xfId="88" xr:uid="{B43D4BB3-C10D-4DF7-99D8-C4623CDFF2EA}"/>
    <cellStyle name="Normal 13" xfId="89" xr:uid="{0A74A103-BBE3-411A-9D55-F5EED54415AA}"/>
    <cellStyle name="Normal 14" xfId="62" xr:uid="{93B1EB28-665D-4E90-A127-4140E0602CBF}"/>
    <cellStyle name="Normal 2" xfId="17" xr:uid="{00000000-0005-0000-0000-000025000000}"/>
    <cellStyle name="Normal 2 2" xfId="18" xr:uid="{00000000-0005-0000-0000-000026000000}"/>
    <cellStyle name="Normal 2 2 2" xfId="29" xr:uid="{00000000-0005-0000-0000-000027000000}"/>
    <cellStyle name="Normal 2 3" xfId="50" xr:uid="{00000000-0005-0000-0000-000028000000}"/>
    <cellStyle name="Normal 2 3 2" xfId="84" xr:uid="{AF719BAA-367D-4D69-A764-1DC504A00593}"/>
    <cellStyle name="Normal 3" xfId="19" xr:uid="{00000000-0005-0000-0000-000029000000}"/>
    <cellStyle name="Normal 3 2" xfId="20" xr:uid="{00000000-0005-0000-0000-00002A000000}"/>
    <cellStyle name="Normal 3 2 2" xfId="69" xr:uid="{C89583B1-FC8F-435B-85BC-CC4610DE8B69}"/>
    <cellStyle name="Normal 4" xfId="21" xr:uid="{00000000-0005-0000-0000-00002B000000}"/>
    <cellStyle name="Normal 4 2" xfId="51" xr:uid="{00000000-0005-0000-0000-00002C000000}"/>
    <cellStyle name="Normal 4 3" xfId="52" xr:uid="{00000000-0005-0000-0000-00002D000000}"/>
    <cellStyle name="Normal 4 4" xfId="67" xr:uid="{6053564C-DDDC-49C3-8842-0AB7BDC3B15A}"/>
    <cellStyle name="Normal 5" xfId="53" xr:uid="{00000000-0005-0000-0000-00002E000000}"/>
    <cellStyle name="Normal 5 2" xfId="72" xr:uid="{B9E31448-B610-4B28-A181-D4A5BE1CB8C1}"/>
    <cellStyle name="Normal 6" xfId="54" xr:uid="{00000000-0005-0000-0000-00002F000000}"/>
    <cellStyle name="Normal 6 2" xfId="73" xr:uid="{A73B55A2-09E3-46D9-AA5A-BF9BFCD9D012}"/>
    <cellStyle name="Normal 7" xfId="57" xr:uid="{00000000-0005-0000-0000-000030000000}"/>
    <cellStyle name="Normal 7 2" xfId="77" xr:uid="{033DDE85-849D-43BA-B67F-E83C4F799FE7}"/>
    <cellStyle name="Normal 8" xfId="60" xr:uid="{C08FB967-004C-48EB-99B4-F602E1A55744}"/>
    <cellStyle name="Normal 8 2" xfId="80" xr:uid="{AC3F0BE0-2595-4738-857F-F8ADCB5A0C87}"/>
    <cellStyle name="Normal 9" xfId="81" xr:uid="{534FB0DD-A63C-4F32-A473-07BC41F791A6}"/>
    <cellStyle name="Note 2" xfId="78" xr:uid="{49D98A68-859F-459B-AA32-3C7D42106387}"/>
    <cellStyle name="Percent" xfId="22" builtinId="5"/>
    <cellStyle name="Percent 2" xfId="23" xr:uid="{00000000-0005-0000-0000-000032000000}"/>
    <cellStyle name="Percent 2 2" xfId="24" xr:uid="{00000000-0005-0000-0000-000033000000}"/>
    <cellStyle name="Percent 2 2 2" xfId="70" xr:uid="{DB60BF0D-05B0-4343-8773-D1CFE866F324}"/>
    <cellStyle name="Percent 2 3" xfId="66" xr:uid="{9AEDB8B1-AC5C-47EF-9308-32F50338BC1F}"/>
    <cellStyle name="Percent 3" xfId="25" xr:uid="{00000000-0005-0000-0000-000034000000}"/>
    <cellStyle name="Percent 3 2" xfId="76" xr:uid="{4ED0822D-6936-4CF8-9B6D-2D73F22B3830}"/>
    <cellStyle name="Percent 3 3" xfId="71" xr:uid="{31663509-8073-4263-82B4-C46593E0491D}"/>
    <cellStyle name="Percent 4" xfId="33" xr:uid="{00000000-0005-0000-0000-000035000000}"/>
    <cellStyle name="Percent 4 2" xfId="86" xr:uid="{C213E680-7DCF-4567-923D-B54733770EDD}"/>
    <cellStyle name="Percent 5" xfId="55" xr:uid="{00000000-0005-0000-0000-000036000000}"/>
    <cellStyle name="Percent 6" xfId="63" xr:uid="{78008943-1380-46A5-98B4-083A2D42049D}"/>
    <cellStyle name="Result" xfId="26" xr:uid="{00000000-0005-0000-0000-000037000000}"/>
    <cellStyle name="Result2" xfId="27" xr:uid="{00000000-0005-0000-0000-000038000000}"/>
    <cellStyle name="Standard_Tables  Draft Report" xfId="56" xr:uid="{00000000-0005-0000-0000-000039000000}"/>
  </cellStyles>
  <dxfs count="2">
    <dxf>
      <font>
        <color rgb="FFFF0000"/>
      </font>
    </dxf>
    <dxf>
      <font>
        <color rgb="FFFF0000"/>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3.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_rels/activeX54.xml.rels><?xml version="1.0" encoding="UTF-8" standalone="yes"?>
<Relationships xmlns="http://schemas.openxmlformats.org/package/2006/relationships"><Relationship Id="rId1" Type="http://schemas.microsoft.com/office/2006/relationships/activeXControlBinary" Target="activeX54.bin"/></Relationships>
</file>

<file path=xl/activeX/_rels/activeX55.xml.rels><?xml version="1.0" encoding="UTF-8" standalone="yes"?>
<Relationships xmlns="http://schemas.openxmlformats.org/package/2006/relationships"><Relationship Id="rId1" Type="http://schemas.microsoft.com/office/2006/relationships/activeXControlBinary" Target="activeX55.bin"/></Relationships>
</file>

<file path=xl/activeX/_rels/activeX56.xml.rels><?xml version="1.0" encoding="UTF-8" standalone="yes"?>
<Relationships xmlns="http://schemas.openxmlformats.org/package/2006/relationships"><Relationship Id="rId1" Type="http://schemas.microsoft.com/office/2006/relationships/activeXControlBinary" Target="activeX56.bin"/></Relationships>
</file>

<file path=xl/activeX/_rels/activeX57.xml.rels><?xml version="1.0" encoding="UTF-8" standalone="yes"?>
<Relationships xmlns="http://schemas.openxmlformats.org/package/2006/relationships"><Relationship Id="rId1" Type="http://schemas.microsoft.com/office/2006/relationships/activeXControlBinary" Target="activeX57.bin"/></Relationships>
</file>

<file path=xl/activeX/_rels/activeX58.xml.rels><?xml version="1.0" encoding="UTF-8" standalone="yes"?>
<Relationships xmlns="http://schemas.openxmlformats.org/package/2006/relationships"><Relationship Id="rId1" Type="http://schemas.microsoft.com/office/2006/relationships/activeXControlBinary" Target="activeX58.bin"/></Relationships>
</file>

<file path=xl/activeX/_rels/activeX59.xml.rels><?xml version="1.0" encoding="UTF-8" standalone="yes"?>
<Relationships xmlns="http://schemas.openxmlformats.org/package/2006/relationships"><Relationship Id="rId1" Type="http://schemas.microsoft.com/office/2006/relationships/activeXControlBinary" Target="activeX59.bin"/></Relationships>
</file>

<file path=xl/activeX/_rels/activeX60.xml.rels><?xml version="1.0" encoding="UTF-8" standalone="yes"?>
<Relationships xmlns="http://schemas.openxmlformats.org/package/2006/relationships"><Relationship Id="rId1" Type="http://schemas.microsoft.com/office/2006/relationships/activeXControlBinary" Target="activeX60.bin"/></Relationships>
</file>

<file path=xl/activeX/_rels/activeX61.xml.rels><?xml version="1.0" encoding="UTF-8" standalone="yes"?>
<Relationships xmlns="http://schemas.openxmlformats.org/package/2006/relationships"><Relationship Id="rId1" Type="http://schemas.microsoft.com/office/2006/relationships/activeXControlBinary" Target="activeX61.bin"/></Relationships>
</file>

<file path=xl/activeX/_rels/activeX62.xml.rels><?xml version="1.0" encoding="UTF-8" standalone="yes"?>
<Relationships xmlns="http://schemas.openxmlformats.org/package/2006/relationships"><Relationship Id="rId1" Type="http://schemas.microsoft.com/office/2006/relationships/activeXControlBinary" Target="activeX62.bin"/></Relationships>
</file>

<file path=xl/activeX/_rels/activeX63.xml.rels><?xml version="1.0" encoding="UTF-8" standalone="yes"?>
<Relationships xmlns="http://schemas.openxmlformats.org/package/2006/relationships"><Relationship Id="rId1" Type="http://schemas.microsoft.com/office/2006/relationships/activeXControlBinary" Target="activeX63.bin"/></Relationships>
</file>

<file path=xl/activeX/_rels/activeX64.xml.rels><?xml version="1.0" encoding="UTF-8" standalone="yes"?>
<Relationships xmlns="http://schemas.openxmlformats.org/package/2006/relationships"><Relationship Id="rId1" Type="http://schemas.microsoft.com/office/2006/relationships/activeXControlBinary" Target="activeX64.bin"/></Relationships>
</file>

<file path=xl/activeX/_rels/activeX65.xml.rels><?xml version="1.0" encoding="UTF-8" standalone="yes"?>
<Relationships xmlns="http://schemas.openxmlformats.org/package/2006/relationships"><Relationship Id="rId1" Type="http://schemas.microsoft.com/office/2006/relationships/activeXControlBinary" Target="activeX65.bin"/></Relationships>
</file>

<file path=xl/activeX/_rels/activeX66.xml.rels><?xml version="1.0" encoding="UTF-8" standalone="yes"?>
<Relationships xmlns="http://schemas.openxmlformats.org/package/2006/relationships"><Relationship Id="rId1" Type="http://schemas.microsoft.com/office/2006/relationships/activeXControlBinary" Target="activeX66.bin"/></Relationships>
</file>

<file path=xl/activeX/_rels/activeX67.xml.rels><?xml version="1.0" encoding="UTF-8" standalone="yes"?>
<Relationships xmlns="http://schemas.openxmlformats.org/package/2006/relationships"><Relationship Id="rId1" Type="http://schemas.microsoft.com/office/2006/relationships/activeXControlBinary" Target="activeX67.bin"/></Relationships>
</file>

<file path=xl/activeX/_rels/activeX68.xml.rels><?xml version="1.0" encoding="UTF-8" standalone="yes"?>
<Relationships xmlns="http://schemas.openxmlformats.org/package/2006/relationships"><Relationship Id="rId1" Type="http://schemas.microsoft.com/office/2006/relationships/activeXControlBinary" Target="activeX68.bin"/></Relationships>
</file>

<file path=xl/activeX/_rels/activeX69.xml.rels><?xml version="1.0" encoding="UTF-8" standalone="yes"?>
<Relationships xmlns="http://schemas.openxmlformats.org/package/2006/relationships"><Relationship Id="rId1" Type="http://schemas.microsoft.com/office/2006/relationships/activeXControlBinary" Target="activeX69.bin"/></Relationships>
</file>

<file path=xl/activeX/_rels/activeX70.xml.rels><?xml version="1.0" encoding="UTF-8" standalone="yes"?>
<Relationships xmlns="http://schemas.openxmlformats.org/package/2006/relationships"><Relationship Id="rId1" Type="http://schemas.microsoft.com/office/2006/relationships/activeXControlBinary" Target="activeX70.bin"/></Relationships>
</file>

<file path=xl/activeX/_rels/activeX71.xml.rels><?xml version="1.0" encoding="UTF-8" standalone="yes"?>
<Relationships xmlns="http://schemas.openxmlformats.org/package/2006/relationships"><Relationship Id="rId1" Type="http://schemas.microsoft.com/office/2006/relationships/activeXControlBinary" Target="activeX71.bin"/></Relationships>
</file>

<file path=xl/activeX/_rels/activeX72.xml.rels><?xml version="1.0" encoding="UTF-8" standalone="yes"?>
<Relationships xmlns="http://schemas.openxmlformats.org/package/2006/relationships"><Relationship Id="rId1" Type="http://schemas.microsoft.com/office/2006/relationships/activeXControlBinary" Target="activeX72.bin"/></Relationships>
</file>

<file path=xl/activeX/_rels/activeX73.xml.rels><?xml version="1.0" encoding="UTF-8" standalone="yes"?>
<Relationships xmlns="http://schemas.openxmlformats.org/package/2006/relationships"><Relationship Id="rId1" Type="http://schemas.microsoft.com/office/2006/relationships/activeXControlBinary" Target="activeX73.bin"/></Relationships>
</file>

<file path=xl/activeX/_rels/activeX74.xml.rels><?xml version="1.0" encoding="UTF-8" standalone="yes"?>
<Relationships xmlns="http://schemas.openxmlformats.org/package/2006/relationships"><Relationship Id="rId1" Type="http://schemas.microsoft.com/office/2006/relationships/activeXControlBinary" Target="activeX74.bin"/></Relationships>
</file>

<file path=xl/activeX/_rels/activeX75.xml.rels><?xml version="1.0" encoding="UTF-8" standalone="yes"?>
<Relationships xmlns="http://schemas.openxmlformats.org/package/2006/relationships"><Relationship Id="rId1" Type="http://schemas.microsoft.com/office/2006/relationships/activeXControlBinary" Target="activeX75.bin"/></Relationships>
</file>

<file path=xl/activeX/_rels/activeX76.xml.rels><?xml version="1.0" encoding="UTF-8" standalone="yes"?>
<Relationships xmlns="http://schemas.openxmlformats.org/package/2006/relationships"><Relationship Id="rId1" Type="http://schemas.microsoft.com/office/2006/relationships/activeXControlBinary" Target="activeX76.bin"/></Relationships>
</file>

<file path=xl/activeX/_rels/activeX77.xml.rels><?xml version="1.0" encoding="UTF-8" standalone="yes"?>
<Relationships xmlns="http://schemas.openxmlformats.org/package/2006/relationships"><Relationship Id="rId1" Type="http://schemas.microsoft.com/office/2006/relationships/activeXControlBinary" Target="activeX77.bin"/></Relationships>
</file>

<file path=xl/activeX/_rels/activeX78.xml.rels><?xml version="1.0" encoding="UTF-8" standalone="yes"?>
<Relationships xmlns="http://schemas.openxmlformats.org/package/2006/relationships"><Relationship Id="rId1" Type="http://schemas.microsoft.com/office/2006/relationships/activeXControlBinary" Target="activeX78.bin"/></Relationships>
</file>

<file path=xl/activeX/_rels/activeX79.xml.rels><?xml version="1.0" encoding="UTF-8" standalone="yes"?>
<Relationships xmlns="http://schemas.openxmlformats.org/package/2006/relationships"><Relationship Id="rId1" Type="http://schemas.microsoft.com/office/2006/relationships/activeXControlBinary" Target="activeX79.bin"/></Relationships>
</file>

<file path=xl/activeX/_rels/activeX80.xml.rels><?xml version="1.0" encoding="UTF-8" standalone="yes"?>
<Relationships xmlns="http://schemas.openxmlformats.org/package/2006/relationships"><Relationship Id="rId1" Type="http://schemas.microsoft.com/office/2006/relationships/activeXControlBinary" Target="activeX80.bin"/></Relationships>
</file>

<file path=xl/activeX/_rels/activeX81.xml.rels><?xml version="1.0" encoding="UTF-8" standalone="yes"?>
<Relationships xmlns="http://schemas.openxmlformats.org/package/2006/relationships"><Relationship Id="rId1" Type="http://schemas.microsoft.com/office/2006/relationships/activeXControlBinary" Target="activeX81.bin"/></Relationships>
</file>

<file path=xl/activeX/_rels/activeX82.xml.rels><?xml version="1.0" encoding="UTF-8" standalone="yes"?>
<Relationships xmlns="http://schemas.openxmlformats.org/package/2006/relationships"><Relationship Id="rId1" Type="http://schemas.microsoft.com/office/2006/relationships/activeXControlBinary" Target="activeX82.bin"/></Relationships>
</file>

<file path=xl/activeX/_rels/activeX83.xml.rels><?xml version="1.0" encoding="UTF-8" standalone="yes"?>
<Relationships xmlns="http://schemas.openxmlformats.org/package/2006/relationships"><Relationship Id="rId1" Type="http://schemas.microsoft.com/office/2006/relationships/activeXControlBinary" Target="activeX83.bin"/></Relationships>
</file>

<file path=xl/activeX/_rels/activeX84.xml.rels><?xml version="1.0" encoding="UTF-8" standalone="yes"?>
<Relationships xmlns="http://schemas.openxmlformats.org/package/2006/relationships"><Relationship Id="rId1" Type="http://schemas.microsoft.com/office/2006/relationships/activeXControlBinary" Target="activeX84.bin"/></Relationships>
</file>

<file path=xl/activeX/_rels/activeX85.xml.rels><?xml version="1.0" encoding="UTF-8" standalone="yes"?>
<Relationships xmlns="http://schemas.openxmlformats.org/package/2006/relationships"><Relationship Id="rId1" Type="http://schemas.microsoft.com/office/2006/relationships/activeXControlBinary" Target="activeX85.bin"/></Relationships>
</file>

<file path=xl/activeX/_rels/activeX86.xml.rels><?xml version="1.0" encoding="UTF-8" standalone="yes"?>
<Relationships xmlns="http://schemas.openxmlformats.org/package/2006/relationships"><Relationship Id="rId1" Type="http://schemas.microsoft.com/office/2006/relationships/activeXControlBinary" Target="activeX86.bin"/></Relationships>
</file>

<file path=xl/activeX/_rels/activeX87.xml.rels><?xml version="1.0" encoding="UTF-8" standalone="yes"?>
<Relationships xmlns="http://schemas.openxmlformats.org/package/2006/relationships"><Relationship Id="rId1" Type="http://schemas.microsoft.com/office/2006/relationships/activeXControlBinary" Target="activeX87.bin"/></Relationships>
</file>

<file path=xl/activeX/_rels/activeX88.xml.rels><?xml version="1.0" encoding="UTF-8" standalone="yes"?>
<Relationships xmlns="http://schemas.openxmlformats.org/package/2006/relationships"><Relationship Id="rId1" Type="http://schemas.microsoft.com/office/2006/relationships/activeXControlBinary" Target="activeX88.bin"/></Relationships>
</file>

<file path=xl/activeX/_rels/activeX89.xml.rels><?xml version="1.0" encoding="UTF-8" standalone="yes"?>
<Relationships xmlns="http://schemas.openxmlformats.org/package/2006/relationships"><Relationship Id="rId1" Type="http://schemas.microsoft.com/office/2006/relationships/activeXControlBinary" Target="activeX89.bin"/></Relationships>
</file>

<file path=xl/activeX/_rels/activeX90.xml.rels><?xml version="1.0" encoding="UTF-8" standalone="yes"?>
<Relationships xmlns="http://schemas.openxmlformats.org/package/2006/relationships"><Relationship Id="rId1" Type="http://schemas.microsoft.com/office/2006/relationships/activeXControlBinary" Target="activeX90.bin"/></Relationships>
</file>

<file path=xl/activeX/_rels/activeX91.xml.rels><?xml version="1.0" encoding="UTF-8" standalone="yes"?>
<Relationships xmlns="http://schemas.openxmlformats.org/package/2006/relationships"><Relationship Id="rId1" Type="http://schemas.microsoft.com/office/2006/relationships/activeXControlBinary" Target="activeX91.bin"/></Relationships>
</file>

<file path=xl/activeX/_rels/activeX92.xml.rels><?xml version="1.0" encoding="UTF-8" standalone="yes"?>
<Relationships xmlns="http://schemas.openxmlformats.org/package/2006/relationships"><Relationship Id="rId1" Type="http://schemas.microsoft.com/office/2006/relationships/activeXControlBinary" Target="activeX92.bin"/></Relationships>
</file>

<file path=xl/activeX/_rels/activeX93.xml.rels><?xml version="1.0" encoding="UTF-8" standalone="yes"?>
<Relationships xmlns="http://schemas.openxmlformats.org/package/2006/relationships"><Relationship Id="rId1" Type="http://schemas.microsoft.com/office/2006/relationships/activeXControlBinary" Target="activeX93.bin"/></Relationships>
</file>

<file path=xl/activeX/_rels/activeX94.xml.rels><?xml version="1.0" encoding="UTF-8" standalone="yes"?>
<Relationships xmlns="http://schemas.openxmlformats.org/package/2006/relationships"><Relationship Id="rId1" Type="http://schemas.microsoft.com/office/2006/relationships/activeXControlBinary" Target="activeX94.bin"/></Relationships>
</file>

<file path=xl/activeX/_rels/activeX95.xml.rels><?xml version="1.0" encoding="UTF-8" standalone="yes"?>
<Relationships xmlns="http://schemas.openxmlformats.org/package/2006/relationships"><Relationship Id="rId1" Type="http://schemas.microsoft.com/office/2006/relationships/activeXControlBinary" Target="activeX95.bin"/></Relationships>
</file>

<file path=xl/activeX/_rels/activeX96.xml.rels><?xml version="1.0" encoding="UTF-8" standalone="yes"?>
<Relationships xmlns="http://schemas.openxmlformats.org/package/2006/relationships"><Relationship Id="rId1" Type="http://schemas.microsoft.com/office/2006/relationships/activeXControlBinary" Target="activeX96.bin"/></Relationships>
</file>

<file path=xl/activeX/_rels/activeX97.xml.rels><?xml version="1.0" encoding="UTF-8" standalone="yes"?>
<Relationships xmlns="http://schemas.openxmlformats.org/package/2006/relationships"><Relationship Id="rId1" Type="http://schemas.microsoft.com/office/2006/relationships/activeXControlBinary" Target="activeX97.bin"/></Relationships>
</file>

<file path=xl/activeX/_rels/activeX98.xml.rels><?xml version="1.0" encoding="UTF-8" standalone="yes"?>
<Relationships xmlns="http://schemas.openxmlformats.org/package/2006/relationships"><Relationship Id="rId1" Type="http://schemas.microsoft.com/office/2006/relationships/activeXControlBinary" Target="activeX98.bin"/></Relationships>
</file>

<file path=xl/activeX/_rels/activeX99.xml.rels><?xml version="1.0" encoding="UTF-8" standalone="yes"?>
<Relationships xmlns="http://schemas.openxmlformats.org/package/2006/relationships"><Relationship Id="rId1" Type="http://schemas.microsoft.com/office/2006/relationships/activeXControlBinary" Target="activeX99.bin"/></Relationships>
</file>

<file path=xl/activeX/_rels/activeX100.xml.rels><?xml version="1.0" encoding="UTF-8" standalone="yes"?>
<Relationships xmlns="http://schemas.openxmlformats.org/package/2006/relationships"><Relationship Id="rId1" Type="http://schemas.microsoft.com/office/2006/relationships/activeXControlBinary" Target="activeX10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activeX/activeX11.xml><?xml version="1.0" encoding="utf-8"?>
<ax:ocx xmlns:ax="http://schemas.microsoft.com/office/2006/activeX" xmlns:r="http://schemas.openxmlformats.org/officeDocument/2006/relationships" ax:classid="{D7053240-CE69-11CD-A777-00DD01143C57}" ax:persistence="persistStreamInit" r:id="rId1"/>
</file>

<file path=xl/activeX/activeX12.xml><?xml version="1.0" encoding="utf-8"?>
<ax:ocx xmlns:ax="http://schemas.microsoft.com/office/2006/activeX" xmlns:r="http://schemas.openxmlformats.org/officeDocument/2006/relationships" ax:classid="{D7053240-CE69-11CD-A777-00DD01143C57}" ax:persistence="persistStreamInit" r:id="rId1"/>
</file>

<file path=xl/activeX/activeX13.xml><?xml version="1.0" encoding="utf-8"?>
<ax:ocx xmlns:ax="http://schemas.microsoft.com/office/2006/activeX" xmlns:r="http://schemas.openxmlformats.org/officeDocument/2006/relationships" ax:classid="{D7053240-CE69-11CD-A777-00DD01143C57}" ax:persistence="persistStreamInit" r:id="rId1"/>
</file>

<file path=xl/activeX/activeX14.xml><?xml version="1.0" encoding="utf-8"?>
<ax:ocx xmlns:ax="http://schemas.microsoft.com/office/2006/activeX" xmlns:r="http://schemas.openxmlformats.org/officeDocument/2006/relationships" ax:classid="{D7053240-CE69-11CD-A777-00DD01143C57}" ax:persistence="persistStreamInit" r:id="rId1"/>
</file>

<file path=xl/activeX/activeX15.xml><?xml version="1.0" encoding="utf-8"?>
<ax:ocx xmlns:ax="http://schemas.microsoft.com/office/2006/activeX" xmlns:r="http://schemas.openxmlformats.org/officeDocument/2006/relationships" ax:classid="{D7053240-CE69-11CD-A777-00DD01143C57}" ax:persistence="persistStreamInit" r:id="rId1"/>
</file>

<file path=xl/activeX/activeX16.xml><?xml version="1.0" encoding="utf-8"?>
<ax:ocx xmlns:ax="http://schemas.microsoft.com/office/2006/activeX" xmlns:r="http://schemas.openxmlformats.org/officeDocument/2006/relationships" ax:classid="{D7053240-CE69-11CD-A777-00DD01143C57}" ax:persistence="persistStreamInit" r:id="rId1"/>
</file>

<file path=xl/activeX/activeX17.xml><?xml version="1.0" encoding="utf-8"?>
<ax:ocx xmlns:ax="http://schemas.microsoft.com/office/2006/activeX" xmlns:r="http://schemas.openxmlformats.org/officeDocument/2006/relationships" ax:classid="{D7053240-CE69-11CD-A777-00DD01143C57}" ax:persistence="persistStreamInit" r:id="rId1"/>
</file>

<file path=xl/activeX/activeX18.xml><?xml version="1.0" encoding="utf-8"?>
<ax:ocx xmlns:ax="http://schemas.microsoft.com/office/2006/activeX" xmlns:r="http://schemas.openxmlformats.org/officeDocument/2006/relationships" ax:classid="{D7053240-CE69-11CD-A777-00DD01143C57}" ax:persistence="persistStreamInit" r:id="rId1"/>
</file>

<file path=xl/activeX/activeX19.xml><?xml version="1.0" encoding="utf-8"?>
<ax:ocx xmlns:ax="http://schemas.microsoft.com/office/2006/activeX" xmlns:r="http://schemas.openxmlformats.org/officeDocument/2006/relationships" ax:classid="{D7053240-CE69-11CD-A777-00DD01143C57}" ax:persistence="persistStreamInit" r:id="rId1"/>
</file>

<file path=xl/activeX/activeX20.xml><?xml version="1.0" encoding="utf-8"?>
<ax:ocx xmlns:ax="http://schemas.microsoft.com/office/2006/activeX" xmlns:r="http://schemas.openxmlformats.org/officeDocument/2006/relationships" ax:classid="{D7053240-CE69-11CD-A777-00DD01143C57}" ax:persistence="persistStreamInit" r:id="rId1"/>
</file>

<file path=xl/activeX/activeX21.xml><?xml version="1.0" encoding="utf-8"?>
<ax:ocx xmlns:ax="http://schemas.microsoft.com/office/2006/activeX" xmlns:r="http://schemas.openxmlformats.org/officeDocument/2006/relationships" ax:classid="{D7053240-CE69-11CD-A777-00DD01143C57}" ax:persistence="persistStreamInit" r:id="rId1"/>
</file>

<file path=xl/activeX/activeX22.xml><?xml version="1.0" encoding="utf-8"?>
<ax:ocx xmlns:ax="http://schemas.microsoft.com/office/2006/activeX" xmlns:r="http://schemas.openxmlformats.org/officeDocument/2006/relationships" ax:classid="{D7053240-CE69-11CD-A777-00DD01143C57}" ax:persistence="persistStreamInit" r:id="rId1"/>
</file>

<file path=xl/activeX/activeX23.xml><?xml version="1.0" encoding="utf-8"?>
<ax:ocx xmlns:ax="http://schemas.microsoft.com/office/2006/activeX" xmlns:r="http://schemas.openxmlformats.org/officeDocument/2006/relationships" ax:classid="{D7053240-CE69-11CD-A777-00DD01143C57}" ax:persistence="persistStreamInit" r:id="rId1"/>
</file>

<file path=xl/activeX/activeX24.xml><?xml version="1.0" encoding="utf-8"?>
<ax:ocx xmlns:ax="http://schemas.microsoft.com/office/2006/activeX" xmlns:r="http://schemas.openxmlformats.org/officeDocument/2006/relationships" ax:classid="{D7053240-CE69-11CD-A777-00DD01143C57}" ax:persistence="persistStreamInit" r:id="rId1"/>
</file>

<file path=xl/activeX/activeX25.xml><?xml version="1.0" encoding="utf-8"?>
<ax:ocx xmlns:ax="http://schemas.microsoft.com/office/2006/activeX" xmlns:r="http://schemas.openxmlformats.org/officeDocument/2006/relationships" ax:classid="{D7053240-CE69-11CD-A777-00DD01143C57}" ax:persistence="persistStreamInit" r:id="rId1"/>
</file>

<file path=xl/activeX/activeX26.xml><?xml version="1.0" encoding="utf-8"?>
<ax:ocx xmlns:ax="http://schemas.microsoft.com/office/2006/activeX" xmlns:r="http://schemas.openxmlformats.org/officeDocument/2006/relationships" ax:classid="{D7053240-CE69-11CD-A777-00DD01143C57}" ax:persistence="persistStreamInit" r:id="rId1"/>
</file>

<file path=xl/activeX/activeX27.xml><?xml version="1.0" encoding="utf-8"?>
<ax:ocx xmlns:ax="http://schemas.microsoft.com/office/2006/activeX" xmlns:r="http://schemas.openxmlformats.org/officeDocument/2006/relationships" ax:classid="{D7053240-CE69-11CD-A777-00DD01143C57}" ax:persistence="persistStreamInit" r:id="rId1"/>
</file>

<file path=xl/activeX/activeX28.xml><?xml version="1.0" encoding="utf-8"?>
<ax:ocx xmlns:ax="http://schemas.microsoft.com/office/2006/activeX" xmlns:r="http://schemas.openxmlformats.org/officeDocument/2006/relationships" ax:classid="{D7053240-CE69-11CD-A777-00DD01143C57}" ax:persistence="persistStreamInit" r:id="rId1"/>
</file>

<file path=xl/activeX/activeX29.xml><?xml version="1.0" encoding="utf-8"?>
<ax:ocx xmlns:ax="http://schemas.microsoft.com/office/2006/activeX" xmlns:r="http://schemas.openxmlformats.org/officeDocument/2006/relationships" ax:classid="{D7053240-CE69-11CD-A777-00DD01143C57}" ax:persistence="persistStreamInit" r:id="rId1"/>
</file>

<file path=xl/activeX/activeX30.xml><?xml version="1.0" encoding="utf-8"?>
<ax:ocx xmlns:ax="http://schemas.microsoft.com/office/2006/activeX" xmlns:r="http://schemas.openxmlformats.org/officeDocument/2006/relationships" ax:classid="{D7053240-CE69-11CD-A777-00DD01143C57}" ax:persistence="persistStreamInit" r:id="rId1"/>
</file>

<file path=xl/activeX/activeX31.xml><?xml version="1.0" encoding="utf-8"?>
<ax:ocx xmlns:ax="http://schemas.microsoft.com/office/2006/activeX" xmlns:r="http://schemas.openxmlformats.org/officeDocument/2006/relationships" ax:classid="{D7053240-CE69-11CD-A777-00DD01143C57}" ax:persistence="persistStreamInit" r:id="rId1"/>
</file>

<file path=xl/activeX/activeX32.xml><?xml version="1.0" encoding="utf-8"?>
<ax:ocx xmlns:ax="http://schemas.microsoft.com/office/2006/activeX" xmlns:r="http://schemas.openxmlformats.org/officeDocument/2006/relationships" ax:classid="{D7053240-CE69-11CD-A777-00DD01143C57}" ax:persistence="persistStreamInit" r:id="rId1"/>
</file>

<file path=xl/activeX/activeX33.xml><?xml version="1.0" encoding="utf-8"?>
<ax:ocx xmlns:ax="http://schemas.microsoft.com/office/2006/activeX" xmlns:r="http://schemas.openxmlformats.org/officeDocument/2006/relationships" ax:classid="{D7053240-CE69-11CD-A777-00DD01143C57}" ax:persistence="persistStreamInit" r:id="rId1"/>
</file>

<file path=xl/activeX/activeX34.xml><?xml version="1.0" encoding="utf-8"?>
<ax:ocx xmlns:ax="http://schemas.microsoft.com/office/2006/activeX" xmlns:r="http://schemas.openxmlformats.org/officeDocument/2006/relationships" ax:classid="{D7053240-CE69-11CD-A777-00DD01143C57}" ax:persistence="persistStreamInit" r:id="rId1"/>
</file>

<file path=xl/activeX/activeX35.xml><?xml version="1.0" encoding="utf-8"?>
<ax:ocx xmlns:ax="http://schemas.microsoft.com/office/2006/activeX" xmlns:r="http://schemas.openxmlformats.org/officeDocument/2006/relationships" ax:classid="{D7053240-CE69-11CD-A777-00DD01143C57}" ax:persistence="persistStreamInit" r:id="rId1"/>
</file>

<file path=xl/activeX/activeX36.xml><?xml version="1.0" encoding="utf-8"?>
<ax:ocx xmlns:ax="http://schemas.microsoft.com/office/2006/activeX" xmlns:r="http://schemas.openxmlformats.org/officeDocument/2006/relationships" ax:classid="{D7053240-CE69-11CD-A777-00DD01143C57}" ax:persistence="persistStreamInit" r:id="rId1"/>
</file>

<file path=xl/activeX/activeX37.xml><?xml version="1.0" encoding="utf-8"?>
<ax:ocx xmlns:ax="http://schemas.microsoft.com/office/2006/activeX" xmlns:r="http://schemas.openxmlformats.org/officeDocument/2006/relationships" ax:classid="{D7053240-CE69-11CD-A777-00DD01143C57}" ax:persistence="persistStreamInit" r:id="rId1"/>
</file>

<file path=xl/activeX/activeX38.xml><?xml version="1.0" encoding="utf-8"?>
<ax:ocx xmlns:ax="http://schemas.microsoft.com/office/2006/activeX" xmlns:r="http://schemas.openxmlformats.org/officeDocument/2006/relationships" ax:classid="{D7053240-CE69-11CD-A777-00DD01143C57}" ax:persistence="persistStreamInit" r:id="rId1"/>
</file>

<file path=xl/activeX/activeX39.xml><?xml version="1.0" encoding="utf-8"?>
<ax:ocx xmlns:ax="http://schemas.microsoft.com/office/2006/activeX" xmlns:r="http://schemas.openxmlformats.org/officeDocument/2006/relationships" ax:classid="{D7053240-CE69-11CD-A777-00DD01143C57}" ax:persistence="persistStreamInit" r:id="rId1"/>
</file>

<file path=xl/activeX/activeX40.xml><?xml version="1.0" encoding="utf-8"?>
<ax:ocx xmlns:ax="http://schemas.microsoft.com/office/2006/activeX" xmlns:r="http://schemas.openxmlformats.org/officeDocument/2006/relationships" ax:classid="{D7053240-CE69-11CD-A777-00DD01143C57}" ax:persistence="persistStreamInit" r:id="rId1"/>
</file>

<file path=xl/activeX/activeX41.xml><?xml version="1.0" encoding="utf-8"?>
<ax:ocx xmlns:ax="http://schemas.microsoft.com/office/2006/activeX" xmlns:r="http://schemas.openxmlformats.org/officeDocument/2006/relationships" ax:classid="{D7053240-CE69-11CD-A777-00DD01143C57}" ax:persistence="persistStreamInit" r:id="rId1"/>
</file>

<file path=xl/activeX/activeX42.xml><?xml version="1.0" encoding="utf-8"?>
<ax:ocx xmlns:ax="http://schemas.microsoft.com/office/2006/activeX" xmlns:r="http://schemas.openxmlformats.org/officeDocument/2006/relationships" ax:classid="{D7053240-CE69-11CD-A777-00DD01143C57}" ax:persistence="persistStreamInit" r:id="rId1"/>
</file>

<file path=xl/activeX/activeX43.xml><?xml version="1.0" encoding="utf-8"?>
<ax:ocx xmlns:ax="http://schemas.microsoft.com/office/2006/activeX" xmlns:r="http://schemas.openxmlformats.org/officeDocument/2006/relationships" ax:classid="{D7053240-CE69-11CD-A777-00DD01143C57}" ax:persistence="persistStreamInit" r:id="rId1"/>
</file>

<file path=xl/activeX/activeX44.xml><?xml version="1.0" encoding="utf-8"?>
<ax:ocx xmlns:ax="http://schemas.microsoft.com/office/2006/activeX" xmlns:r="http://schemas.openxmlformats.org/officeDocument/2006/relationships" ax:classid="{D7053240-CE69-11CD-A777-00DD01143C57}" ax:persistence="persistStreamInit" r:id="rId1"/>
</file>

<file path=xl/activeX/activeX45.xml><?xml version="1.0" encoding="utf-8"?>
<ax:ocx xmlns:ax="http://schemas.microsoft.com/office/2006/activeX" xmlns:r="http://schemas.openxmlformats.org/officeDocument/2006/relationships" ax:classid="{D7053240-CE69-11CD-A777-00DD01143C57}" ax:persistence="persistStreamInit" r:id="rId1"/>
</file>

<file path=xl/activeX/activeX46.xml><?xml version="1.0" encoding="utf-8"?>
<ax:ocx xmlns:ax="http://schemas.microsoft.com/office/2006/activeX" xmlns:r="http://schemas.openxmlformats.org/officeDocument/2006/relationships" ax:classid="{D7053240-CE69-11CD-A777-00DD01143C57}" ax:persistence="persistStreamInit" r:id="rId1"/>
</file>

<file path=xl/activeX/activeX47.xml><?xml version="1.0" encoding="utf-8"?>
<ax:ocx xmlns:ax="http://schemas.microsoft.com/office/2006/activeX" xmlns:r="http://schemas.openxmlformats.org/officeDocument/2006/relationships" ax:classid="{D7053240-CE69-11CD-A777-00DD01143C57}" ax:persistence="persistStreamInit" r:id="rId1"/>
</file>

<file path=xl/activeX/activeX48.xml><?xml version="1.0" encoding="utf-8"?>
<ax:ocx xmlns:ax="http://schemas.microsoft.com/office/2006/activeX" xmlns:r="http://schemas.openxmlformats.org/officeDocument/2006/relationships" ax:classid="{D7053240-CE69-11CD-A777-00DD01143C57}" ax:persistence="persistStreamInit" r:id="rId1"/>
</file>

<file path=xl/activeX/activeX49.xml><?xml version="1.0" encoding="utf-8"?>
<ax:ocx xmlns:ax="http://schemas.microsoft.com/office/2006/activeX" xmlns:r="http://schemas.openxmlformats.org/officeDocument/2006/relationships" ax:classid="{D7053240-CE69-11CD-A777-00DD01143C57}" ax:persistence="persistStreamInit" r:id="rId1"/>
</file>

<file path=xl/activeX/activeX50.xml><?xml version="1.0" encoding="utf-8"?>
<ax:ocx xmlns:ax="http://schemas.microsoft.com/office/2006/activeX" xmlns:r="http://schemas.openxmlformats.org/officeDocument/2006/relationships" ax:classid="{D7053240-CE69-11CD-A777-00DD01143C57}" ax:persistence="persistStreamInit" r:id="rId1"/>
</file>

<file path=xl/activeX/activeX51.xml><?xml version="1.0" encoding="utf-8"?>
<ax:ocx xmlns:ax="http://schemas.microsoft.com/office/2006/activeX" xmlns:r="http://schemas.openxmlformats.org/officeDocument/2006/relationships" ax:classid="{D7053240-CE69-11CD-A777-00DD01143C57}" ax:persistence="persistStreamInit" r:id="rId1"/>
</file>

<file path=xl/activeX/activeX52.xml><?xml version="1.0" encoding="utf-8"?>
<ax:ocx xmlns:ax="http://schemas.microsoft.com/office/2006/activeX" xmlns:r="http://schemas.openxmlformats.org/officeDocument/2006/relationships" ax:classid="{D7053240-CE69-11CD-A777-00DD01143C57}" ax:persistence="persistStreamInit" r:id="rId1"/>
</file>

<file path=xl/activeX/activeX53.xml><?xml version="1.0" encoding="utf-8"?>
<ax:ocx xmlns:ax="http://schemas.microsoft.com/office/2006/activeX" xmlns:r="http://schemas.openxmlformats.org/officeDocument/2006/relationships" ax:classid="{D7053240-CE69-11CD-A777-00DD01143C57}" ax:persistence="persistStreamInit" r:id="rId1"/>
</file>

<file path=xl/activeX/activeX54.xml><?xml version="1.0" encoding="utf-8"?>
<ax:ocx xmlns:ax="http://schemas.microsoft.com/office/2006/activeX" xmlns:r="http://schemas.openxmlformats.org/officeDocument/2006/relationships" ax:classid="{D7053240-CE69-11CD-A777-00DD01143C57}" ax:persistence="persistStreamInit" r:id="rId1"/>
</file>

<file path=xl/activeX/activeX55.xml><?xml version="1.0" encoding="utf-8"?>
<ax:ocx xmlns:ax="http://schemas.microsoft.com/office/2006/activeX" xmlns:r="http://schemas.openxmlformats.org/officeDocument/2006/relationships" ax:classid="{D7053240-CE69-11CD-A777-00DD01143C57}" ax:persistence="persistStreamInit" r:id="rId1"/>
</file>

<file path=xl/activeX/activeX56.xml><?xml version="1.0" encoding="utf-8"?>
<ax:ocx xmlns:ax="http://schemas.microsoft.com/office/2006/activeX" xmlns:r="http://schemas.openxmlformats.org/officeDocument/2006/relationships" ax:classid="{D7053240-CE69-11CD-A777-00DD01143C57}" ax:persistence="persistStreamInit" r:id="rId1"/>
</file>

<file path=xl/activeX/activeX57.xml><?xml version="1.0" encoding="utf-8"?>
<ax:ocx xmlns:ax="http://schemas.microsoft.com/office/2006/activeX" xmlns:r="http://schemas.openxmlformats.org/officeDocument/2006/relationships" ax:classid="{D7053240-CE69-11CD-A777-00DD01143C57}" ax:persistence="persistStreamInit" r:id="rId1"/>
</file>

<file path=xl/activeX/activeX58.xml><?xml version="1.0" encoding="utf-8"?>
<ax:ocx xmlns:ax="http://schemas.microsoft.com/office/2006/activeX" xmlns:r="http://schemas.openxmlformats.org/officeDocument/2006/relationships" ax:classid="{D7053240-CE69-11CD-A777-00DD01143C57}" ax:persistence="persistStreamInit" r:id="rId1"/>
</file>

<file path=xl/activeX/activeX59.xml><?xml version="1.0" encoding="utf-8"?>
<ax:ocx xmlns:ax="http://schemas.microsoft.com/office/2006/activeX" xmlns:r="http://schemas.openxmlformats.org/officeDocument/2006/relationships" ax:classid="{D7053240-CE69-11CD-A777-00DD01143C57}" ax:persistence="persistStreamInit" r:id="rId1"/>
</file>

<file path=xl/activeX/activeX60.xml><?xml version="1.0" encoding="utf-8"?>
<ax:ocx xmlns:ax="http://schemas.microsoft.com/office/2006/activeX" xmlns:r="http://schemas.openxmlformats.org/officeDocument/2006/relationships" ax:classid="{D7053240-CE69-11CD-A777-00DD01143C57}" ax:persistence="persistStreamInit" r:id="rId1"/>
</file>

<file path=xl/activeX/activeX61.xml><?xml version="1.0" encoding="utf-8"?>
<ax:ocx xmlns:ax="http://schemas.microsoft.com/office/2006/activeX" xmlns:r="http://schemas.openxmlformats.org/officeDocument/2006/relationships" ax:classid="{D7053240-CE69-11CD-A777-00DD01143C57}" ax:persistence="persistStreamInit" r:id="rId1"/>
</file>

<file path=xl/activeX/activeX62.xml><?xml version="1.0" encoding="utf-8"?>
<ax:ocx xmlns:ax="http://schemas.microsoft.com/office/2006/activeX" xmlns:r="http://schemas.openxmlformats.org/officeDocument/2006/relationships" ax:classid="{D7053240-CE69-11CD-A777-00DD01143C57}" ax:persistence="persistStreamInit" r:id="rId1"/>
</file>

<file path=xl/activeX/activeX63.xml><?xml version="1.0" encoding="utf-8"?>
<ax:ocx xmlns:ax="http://schemas.microsoft.com/office/2006/activeX" xmlns:r="http://schemas.openxmlformats.org/officeDocument/2006/relationships" ax:classid="{D7053240-CE69-11CD-A777-00DD01143C57}" ax:persistence="persistStreamInit" r:id="rId1"/>
</file>

<file path=xl/activeX/activeX64.xml><?xml version="1.0" encoding="utf-8"?>
<ax:ocx xmlns:ax="http://schemas.microsoft.com/office/2006/activeX" xmlns:r="http://schemas.openxmlformats.org/officeDocument/2006/relationships" ax:classid="{D7053240-CE69-11CD-A777-00DD01143C57}" ax:persistence="persistStreamInit" r:id="rId1"/>
</file>

<file path=xl/activeX/activeX65.xml><?xml version="1.0" encoding="utf-8"?>
<ax:ocx xmlns:ax="http://schemas.microsoft.com/office/2006/activeX" xmlns:r="http://schemas.openxmlformats.org/officeDocument/2006/relationships" ax:classid="{D7053240-CE69-11CD-A777-00DD01143C57}" ax:persistence="persistStreamInit" r:id="rId1"/>
</file>

<file path=xl/activeX/activeX66.xml><?xml version="1.0" encoding="utf-8"?>
<ax:ocx xmlns:ax="http://schemas.microsoft.com/office/2006/activeX" xmlns:r="http://schemas.openxmlformats.org/officeDocument/2006/relationships" ax:classid="{D7053240-CE69-11CD-A777-00DD01143C57}" ax:persistence="persistStreamInit" r:id="rId1"/>
</file>

<file path=xl/activeX/activeX67.xml><?xml version="1.0" encoding="utf-8"?>
<ax:ocx xmlns:ax="http://schemas.microsoft.com/office/2006/activeX" xmlns:r="http://schemas.openxmlformats.org/officeDocument/2006/relationships" ax:classid="{D7053240-CE69-11CD-A777-00DD01143C57}" ax:persistence="persistStreamInit" r:id="rId1"/>
</file>

<file path=xl/activeX/activeX68.xml><?xml version="1.0" encoding="utf-8"?>
<ax:ocx xmlns:ax="http://schemas.microsoft.com/office/2006/activeX" xmlns:r="http://schemas.openxmlformats.org/officeDocument/2006/relationships" ax:classid="{D7053240-CE69-11CD-A777-00DD01143C57}" ax:persistence="persistStreamInit" r:id="rId1"/>
</file>

<file path=xl/activeX/activeX69.xml><?xml version="1.0" encoding="utf-8"?>
<ax:ocx xmlns:ax="http://schemas.microsoft.com/office/2006/activeX" xmlns:r="http://schemas.openxmlformats.org/officeDocument/2006/relationships" ax:classid="{D7053240-CE69-11CD-A777-00DD01143C57}" ax:persistence="persistStreamInit" r:id="rId1"/>
</file>

<file path=xl/activeX/activeX70.xml><?xml version="1.0" encoding="utf-8"?>
<ax:ocx xmlns:ax="http://schemas.microsoft.com/office/2006/activeX" xmlns:r="http://schemas.openxmlformats.org/officeDocument/2006/relationships" ax:classid="{D7053240-CE69-11CD-A777-00DD01143C57}" ax:persistence="persistStreamInit" r:id="rId1"/>
</file>

<file path=xl/activeX/activeX71.xml><?xml version="1.0" encoding="utf-8"?>
<ax:ocx xmlns:ax="http://schemas.microsoft.com/office/2006/activeX" xmlns:r="http://schemas.openxmlformats.org/officeDocument/2006/relationships" ax:classid="{D7053240-CE69-11CD-A777-00DD01143C57}" ax:persistence="persistStreamInit" r:id="rId1"/>
</file>

<file path=xl/activeX/activeX72.xml><?xml version="1.0" encoding="utf-8"?>
<ax:ocx xmlns:ax="http://schemas.microsoft.com/office/2006/activeX" xmlns:r="http://schemas.openxmlformats.org/officeDocument/2006/relationships" ax:classid="{D7053240-CE69-11CD-A777-00DD01143C57}" ax:persistence="persistStreamInit" r:id="rId1"/>
</file>

<file path=xl/activeX/activeX73.xml><?xml version="1.0" encoding="utf-8"?>
<ax:ocx xmlns:ax="http://schemas.microsoft.com/office/2006/activeX" xmlns:r="http://schemas.openxmlformats.org/officeDocument/2006/relationships" ax:classid="{D7053240-CE69-11CD-A777-00DD01143C57}" ax:persistence="persistStreamInit" r:id="rId1"/>
</file>

<file path=xl/activeX/activeX74.xml><?xml version="1.0" encoding="utf-8"?>
<ax:ocx xmlns:ax="http://schemas.microsoft.com/office/2006/activeX" xmlns:r="http://schemas.openxmlformats.org/officeDocument/2006/relationships" ax:classid="{D7053240-CE69-11CD-A777-00DD01143C57}" ax:persistence="persistStreamInit" r:id="rId1"/>
</file>

<file path=xl/activeX/activeX75.xml><?xml version="1.0" encoding="utf-8"?>
<ax:ocx xmlns:ax="http://schemas.microsoft.com/office/2006/activeX" xmlns:r="http://schemas.openxmlformats.org/officeDocument/2006/relationships" ax:classid="{D7053240-CE69-11CD-A777-00DD01143C57}" ax:persistence="persistStreamInit" r:id="rId1"/>
</file>

<file path=xl/activeX/activeX76.xml><?xml version="1.0" encoding="utf-8"?>
<ax:ocx xmlns:ax="http://schemas.microsoft.com/office/2006/activeX" xmlns:r="http://schemas.openxmlformats.org/officeDocument/2006/relationships" ax:classid="{D7053240-CE69-11CD-A777-00DD01143C57}" ax:persistence="persistStreamInit" r:id="rId1"/>
</file>

<file path=xl/activeX/activeX77.xml><?xml version="1.0" encoding="utf-8"?>
<ax:ocx xmlns:ax="http://schemas.microsoft.com/office/2006/activeX" xmlns:r="http://schemas.openxmlformats.org/officeDocument/2006/relationships" ax:classid="{D7053240-CE69-11CD-A777-00DD01143C57}" ax:persistence="persistStreamInit" r:id="rId1"/>
</file>

<file path=xl/activeX/activeX78.xml><?xml version="1.0" encoding="utf-8"?>
<ax:ocx xmlns:ax="http://schemas.microsoft.com/office/2006/activeX" xmlns:r="http://schemas.openxmlformats.org/officeDocument/2006/relationships" ax:classid="{D7053240-CE69-11CD-A777-00DD01143C57}" ax:persistence="persistStreamInit" r:id="rId1"/>
</file>

<file path=xl/activeX/activeX79.xml><?xml version="1.0" encoding="utf-8"?>
<ax:ocx xmlns:ax="http://schemas.microsoft.com/office/2006/activeX" xmlns:r="http://schemas.openxmlformats.org/officeDocument/2006/relationships" ax:classid="{D7053240-CE69-11CD-A777-00DD01143C57}" ax:persistence="persistStreamInit" r:id="rId1"/>
</file>

<file path=xl/activeX/activeX80.xml><?xml version="1.0" encoding="utf-8"?>
<ax:ocx xmlns:ax="http://schemas.microsoft.com/office/2006/activeX" xmlns:r="http://schemas.openxmlformats.org/officeDocument/2006/relationships" ax:classid="{D7053240-CE69-11CD-A777-00DD01143C57}" ax:persistence="persistStreamInit" r:id="rId1"/>
</file>

<file path=xl/activeX/activeX81.xml><?xml version="1.0" encoding="utf-8"?>
<ax:ocx xmlns:ax="http://schemas.microsoft.com/office/2006/activeX" xmlns:r="http://schemas.openxmlformats.org/officeDocument/2006/relationships" ax:classid="{D7053240-CE69-11CD-A777-00DD01143C57}" ax:persistence="persistStreamInit" r:id="rId1"/>
</file>

<file path=xl/activeX/activeX82.xml><?xml version="1.0" encoding="utf-8"?>
<ax:ocx xmlns:ax="http://schemas.microsoft.com/office/2006/activeX" xmlns:r="http://schemas.openxmlformats.org/officeDocument/2006/relationships" ax:classid="{D7053240-CE69-11CD-A777-00DD01143C57}" ax:persistence="persistStreamInit" r:id="rId1"/>
</file>

<file path=xl/activeX/activeX83.xml><?xml version="1.0" encoding="utf-8"?>
<ax:ocx xmlns:ax="http://schemas.microsoft.com/office/2006/activeX" xmlns:r="http://schemas.openxmlformats.org/officeDocument/2006/relationships" ax:classid="{D7053240-CE69-11CD-A777-00DD01143C57}" ax:persistence="persistStreamInit" r:id="rId1"/>
</file>

<file path=xl/activeX/activeX84.xml><?xml version="1.0" encoding="utf-8"?>
<ax:ocx xmlns:ax="http://schemas.microsoft.com/office/2006/activeX" xmlns:r="http://schemas.openxmlformats.org/officeDocument/2006/relationships" ax:classid="{D7053240-CE69-11CD-A777-00DD01143C57}" ax:persistence="persistStreamInit" r:id="rId1"/>
</file>

<file path=xl/activeX/activeX85.xml><?xml version="1.0" encoding="utf-8"?>
<ax:ocx xmlns:ax="http://schemas.microsoft.com/office/2006/activeX" xmlns:r="http://schemas.openxmlformats.org/officeDocument/2006/relationships" ax:classid="{D7053240-CE69-11CD-A777-00DD01143C57}" ax:persistence="persistStreamInit" r:id="rId1"/>
</file>

<file path=xl/activeX/activeX86.xml><?xml version="1.0" encoding="utf-8"?>
<ax:ocx xmlns:ax="http://schemas.microsoft.com/office/2006/activeX" xmlns:r="http://schemas.openxmlformats.org/officeDocument/2006/relationships" ax:classid="{D7053240-CE69-11CD-A777-00DD01143C57}" ax:persistence="persistStreamInit" r:id="rId1"/>
</file>

<file path=xl/activeX/activeX87.xml><?xml version="1.0" encoding="utf-8"?>
<ax:ocx xmlns:ax="http://schemas.microsoft.com/office/2006/activeX" xmlns:r="http://schemas.openxmlformats.org/officeDocument/2006/relationships" ax:classid="{D7053240-CE69-11CD-A777-00DD01143C57}" ax:persistence="persistStreamInit" r:id="rId1"/>
</file>

<file path=xl/activeX/activeX88.xml><?xml version="1.0" encoding="utf-8"?>
<ax:ocx xmlns:ax="http://schemas.microsoft.com/office/2006/activeX" xmlns:r="http://schemas.openxmlformats.org/officeDocument/2006/relationships" ax:classid="{D7053240-CE69-11CD-A777-00DD01143C57}" ax:persistence="persistStreamInit" r:id="rId1"/>
</file>

<file path=xl/activeX/activeX89.xml><?xml version="1.0" encoding="utf-8"?>
<ax:ocx xmlns:ax="http://schemas.microsoft.com/office/2006/activeX" xmlns:r="http://schemas.openxmlformats.org/officeDocument/2006/relationships" ax:classid="{D7053240-CE69-11CD-A777-00DD01143C57}" ax:persistence="persistStreamInit" r:id="rId1"/>
</file>

<file path=xl/activeX/activeX90.xml><?xml version="1.0" encoding="utf-8"?>
<ax:ocx xmlns:ax="http://schemas.microsoft.com/office/2006/activeX" xmlns:r="http://schemas.openxmlformats.org/officeDocument/2006/relationships" ax:classid="{D7053240-CE69-11CD-A777-00DD01143C57}" ax:persistence="persistStreamInit" r:id="rId1"/>
</file>

<file path=xl/activeX/activeX91.xml><?xml version="1.0" encoding="utf-8"?>
<ax:ocx xmlns:ax="http://schemas.microsoft.com/office/2006/activeX" xmlns:r="http://schemas.openxmlformats.org/officeDocument/2006/relationships" ax:classid="{D7053240-CE69-11CD-A777-00DD01143C57}" ax:persistence="persistStreamInit" r:id="rId1"/>
</file>

<file path=xl/activeX/activeX92.xml><?xml version="1.0" encoding="utf-8"?>
<ax:ocx xmlns:ax="http://schemas.microsoft.com/office/2006/activeX" xmlns:r="http://schemas.openxmlformats.org/officeDocument/2006/relationships" ax:classid="{D7053240-CE69-11CD-A777-00DD01143C57}" ax:persistence="persistStreamInit" r:id="rId1"/>
</file>

<file path=xl/activeX/activeX93.xml><?xml version="1.0" encoding="utf-8"?>
<ax:ocx xmlns:ax="http://schemas.microsoft.com/office/2006/activeX" xmlns:r="http://schemas.openxmlformats.org/officeDocument/2006/relationships" ax:classid="{D7053240-CE69-11CD-A777-00DD01143C57}" ax:persistence="persistStreamInit" r:id="rId1"/>
</file>

<file path=xl/activeX/activeX94.xml><?xml version="1.0" encoding="utf-8"?>
<ax:ocx xmlns:ax="http://schemas.microsoft.com/office/2006/activeX" xmlns:r="http://schemas.openxmlformats.org/officeDocument/2006/relationships" ax:classid="{D7053240-CE69-11CD-A777-00DD01143C57}" ax:persistence="persistStreamInit" r:id="rId1"/>
</file>

<file path=xl/activeX/activeX95.xml><?xml version="1.0" encoding="utf-8"?>
<ax:ocx xmlns:ax="http://schemas.microsoft.com/office/2006/activeX" xmlns:r="http://schemas.openxmlformats.org/officeDocument/2006/relationships" ax:classid="{D7053240-CE69-11CD-A777-00DD01143C57}" ax:persistence="persistStreamInit" r:id="rId1"/>
</file>

<file path=xl/activeX/activeX96.xml><?xml version="1.0" encoding="utf-8"?>
<ax:ocx xmlns:ax="http://schemas.microsoft.com/office/2006/activeX" xmlns:r="http://schemas.openxmlformats.org/officeDocument/2006/relationships" ax:classid="{D7053240-CE69-11CD-A777-00DD01143C57}" ax:persistence="persistStreamInit" r:id="rId1"/>
</file>

<file path=xl/activeX/activeX97.xml><?xml version="1.0" encoding="utf-8"?>
<ax:ocx xmlns:ax="http://schemas.microsoft.com/office/2006/activeX" xmlns:r="http://schemas.openxmlformats.org/officeDocument/2006/relationships" ax:classid="{D7053240-CE69-11CD-A777-00DD01143C57}" ax:persistence="persistStreamInit" r:id="rId1"/>
</file>

<file path=xl/activeX/activeX98.xml><?xml version="1.0" encoding="utf-8"?>
<ax:ocx xmlns:ax="http://schemas.microsoft.com/office/2006/activeX" xmlns:r="http://schemas.openxmlformats.org/officeDocument/2006/relationships" ax:classid="{D7053240-CE69-11CD-A777-00DD01143C57}" ax:persistence="persistStreamInit" r:id="rId1"/>
</file>

<file path=xl/activeX/activeX99.xml><?xml version="1.0" encoding="utf-8"?>
<ax:ocx xmlns:ax="http://schemas.microsoft.com/office/2006/activeX" xmlns:r="http://schemas.openxmlformats.org/officeDocument/2006/relationships" ax:classid="{D7053240-CE69-11CD-A777-00DD01143C57}" ax:persistence="persistStreamInit" r:id="rId1"/>
</file>

<file path=xl/activeX/activeX100.xml><?xml version="1.0" encoding="utf-8"?>
<ax:ocx xmlns:ax="http://schemas.microsoft.com/office/2006/activeX" xmlns:r="http://schemas.openxmlformats.org/officeDocument/2006/relationships" ax:classid="{D7053240-CE69-11CD-A777-00DD01143C57}"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COM_2017!$AD$51:$AJ$51</c:f>
              <c:numCache>
                <c:formatCode>General</c:formatCode>
                <c:ptCount val="7"/>
                <c:pt idx="0">
                  <c:v>2020</c:v>
                </c:pt>
                <c:pt idx="1">
                  <c:v>2025</c:v>
                </c:pt>
                <c:pt idx="2">
                  <c:v>2030</c:v>
                </c:pt>
                <c:pt idx="3">
                  <c:v>2035</c:v>
                </c:pt>
                <c:pt idx="4">
                  <c:v>2040</c:v>
                </c:pt>
                <c:pt idx="5">
                  <c:v>2045</c:v>
                </c:pt>
                <c:pt idx="6">
                  <c:v>2050</c:v>
                </c:pt>
              </c:numCache>
            </c:numRef>
          </c:xVal>
          <c:yVal>
            <c:numRef>
              <c:f>COM_2017!$AD$52:$AJ$52</c:f>
              <c:numCache>
                <c:formatCode>0%</c:formatCode>
                <c:ptCount val="7"/>
                <c:pt idx="0">
                  <c:v>0.97</c:v>
                </c:pt>
                <c:pt idx="1">
                  <c:v>0.75</c:v>
                </c:pt>
                <c:pt idx="2">
                  <c:v>0</c:v>
                </c:pt>
                <c:pt idx="3">
                  <c:v>0</c:v>
                </c:pt>
                <c:pt idx="4">
                  <c:v>0</c:v>
                </c:pt>
                <c:pt idx="5">
                  <c:v>0</c:v>
                </c:pt>
                <c:pt idx="6">
                  <c:v>0</c:v>
                </c:pt>
              </c:numCache>
            </c:numRef>
          </c:yVal>
          <c:smooth val="0"/>
          <c:extLst>
            <c:ext xmlns:c16="http://schemas.microsoft.com/office/drawing/2014/chart" uri="{C3380CC4-5D6E-409C-BE32-E72D297353CC}">
              <c16:uniqueId val="{00000000-16A5-491B-95D3-D898343657F2}"/>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COM_2017!$S$51:$Y$51</c:f>
              <c:numCache>
                <c:formatCode>General</c:formatCode>
                <c:ptCount val="7"/>
                <c:pt idx="0">
                  <c:v>2020</c:v>
                </c:pt>
                <c:pt idx="1">
                  <c:v>2025</c:v>
                </c:pt>
                <c:pt idx="2">
                  <c:v>2030</c:v>
                </c:pt>
                <c:pt idx="3">
                  <c:v>2035</c:v>
                </c:pt>
                <c:pt idx="4">
                  <c:v>2040</c:v>
                </c:pt>
                <c:pt idx="5">
                  <c:v>2045</c:v>
                </c:pt>
                <c:pt idx="6">
                  <c:v>2050</c:v>
                </c:pt>
              </c:numCache>
            </c:numRef>
          </c:xVal>
          <c:yVal>
            <c:numRef>
              <c:f>COM_2017!$S$52:$Y$52</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8A2E-43C8-ABF0-0459AEAD96C6}"/>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44820295983108"/>
          <c:y val="5.5437157929477121E-2"/>
          <c:w val="0.507399577167019"/>
          <c:h val="0.84861495599738068"/>
        </c:manualLayout>
      </c:layout>
      <c:barChart>
        <c:barDir val="col"/>
        <c:grouping val="percentStacked"/>
        <c:varyColors val="0"/>
        <c:ser>
          <c:idx val="0"/>
          <c:order val="0"/>
          <c:tx>
            <c:strRef>
              <c:f>'End use share comparison of yea'!$B$13</c:f>
              <c:strCache>
                <c:ptCount val="1"/>
                <c:pt idx="0">
                  <c:v>Lighting </c:v>
                </c:pt>
              </c:strCache>
            </c:strRef>
          </c:tx>
          <c:spPr>
            <a:solidFill>
              <a:srgbClr val="004586"/>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yea'!$B$14:$B$15</c:f>
              <c:numCache>
                <c:formatCode>0.0</c:formatCode>
                <c:ptCount val="2"/>
                <c:pt idx="0">
                  <c:v>192.82227918136772</c:v>
                </c:pt>
                <c:pt idx="1">
                  <c:v>218.17943671489073</c:v>
                </c:pt>
              </c:numCache>
            </c:numRef>
          </c:val>
          <c:extLst>
            <c:ext xmlns:c16="http://schemas.microsoft.com/office/drawing/2014/chart" uri="{C3380CC4-5D6E-409C-BE32-E72D297353CC}">
              <c16:uniqueId val="{00000000-369E-41BE-8D1F-88FC6001BCC8}"/>
            </c:ext>
          </c:extLst>
        </c:ser>
        <c:ser>
          <c:idx val="1"/>
          <c:order val="1"/>
          <c:tx>
            <c:strRef>
              <c:f>'End use share comparison of yea'!$C$13</c:f>
              <c:strCache>
                <c:ptCount val="1"/>
                <c:pt idx="0">
                  <c:v>Space heating </c:v>
                </c:pt>
              </c:strCache>
            </c:strRef>
          </c:tx>
          <c:spPr>
            <a:solidFill>
              <a:srgbClr val="FF420E"/>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yea'!$C$14:$C$15</c:f>
              <c:numCache>
                <c:formatCode>0.0</c:formatCode>
                <c:ptCount val="2"/>
                <c:pt idx="0">
                  <c:v>165.62422630478213</c:v>
                </c:pt>
                <c:pt idx="1">
                  <c:v>85.604129326719132</c:v>
                </c:pt>
              </c:numCache>
            </c:numRef>
          </c:val>
          <c:extLst>
            <c:ext xmlns:c16="http://schemas.microsoft.com/office/drawing/2014/chart" uri="{C3380CC4-5D6E-409C-BE32-E72D297353CC}">
              <c16:uniqueId val="{00000001-369E-41BE-8D1F-88FC6001BCC8}"/>
            </c:ext>
          </c:extLst>
        </c:ser>
        <c:ser>
          <c:idx val="2"/>
          <c:order val="2"/>
          <c:tx>
            <c:strRef>
              <c:f>'End use share comparison of yea'!$D$13</c:f>
              <c:strCache>
                <c:ptCount val="1"/>
                <c:pt idx="0">
                  <c:v>Water heating </c:v>
                </c:pt>
              </c:strCache>
            </c:strRef>
          </c:tx>
          <c:spPr>
            <a:solidFill>
              <a:srgbClr val="FFD320"/>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yea'!$D$14:$D$15</c:f>
              <c:numCache>
                <c:formatCode>0.0</c:formatCode>
                <c:ptCount val="2"/>
                <c:pt idx="0">
                  <c:v>121.4395134703916</c:v>
                </c:pt>
                <c:pt idx="1">
                  <c:v>108.96184669609595</c:v>
                </c:pt>
              </c:numCache>
            </c:numRef>
          </c:val>
          <c:extLst>
            <c:ext xmlns:c16="http://schemas.microsoft.com/office/drawing/2014/chart" uri="{C3380CC4-5D6E-409C-BE32-E72D297353CC}">
              <c16:uniqueId val="{00000002-369E-41BE-8D1F-88FC6001BCC8}"/>
            </c:ext>
          </c:extLst>
        </c:ser>
        <c:ser>
          <c:idx val="3"/>
          <c:order val="3"/>
          <c:tx>
            <c:strRef>
              <c:f>'End use share comparison of yea'!$E$13</c:f>
              <c:strCache>
                <c:ptCount val="1"/>
                <c:pt idx="0">
                  <c:v>Cooling &amp; ventilation </c:v>
                </c:pt>
              </c:strCache>
            </c:strRef>
          </c:tx>
          <c:spPr>
            <a:solidFill>
              <a:srgbClr val="579D1C"/>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yea'!$E$14:$E$15</c:f>
              <c:numCache>
                <c:formatCode>0.0</c:formatCode>
                <c:ptCount val="2"/>
                <c:pt idx="0">
                  <c:v>315.44728348051859</c:v>
                </c:pt>
                <c:pt idx="1">
                  <c:v>403.09209017123828</c:v>
                </c:pt>
              </c:numCache>
            </c:numRef>
          </c:val>
          <c:extLst>
            <c:ext xmlns:c16="http://schemas.microsoft.com/office/drawing/2014/chart" uri="{C3380CC4-5D6E-409C-BE32-E72D297353CC}">
              <c16:uniqueId val="{00000003-369E-41BE-8D1F-88FC6001BCC8}"/>
            </c:ext>
          </c:extLst>
        </c:ser>
        <c:ser>
          <c:idx val="4"/>
          <c:order val="4"/>
          <c:tx>
            <c:strRef>
              <c:f>'End use share comparison of yea'!$F$13</c:f>
              <c:strCache>
                <c:ptCount val="1"/>
                <c:pt idx="0">
                  <c:v>Refrigeration </c:v>
                </c:pt>
              </c:strCache>
            </c:strRef>
          </c:tx>
          <c:spPr>
            <a:solidFill>
              <a:srgbClr val="7E0021"/>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yea'!$F$14:$F$15</c:f>
              <c:numCache>
                <c:formatCode>0.0</c:formatCode>
                <c:ptCount val="2"/>
                <c:pt idx="0">
                  <c:v>42.641403448060323</c:v>
                </c:pt>
                <c:pt idx="1">
                  <c:v>241.49231565906314</c:v>
                </c:pt>
              </c:numCache>
            </c:numRef>
          </c:val>
          <c:extLst>
            <c:ext xmlns:c16="http://schemas.microsoft.com/office/drawing/2014/chart" uri="{C3380CC4-5D6E-409C-BE32-E72D297353CC}">
              <c16:uniqueId val="{00000004-369E-41BE-8D1F-88FC6001BCC8}"/>
            </c:ext>
          </c:extLst>
        </c:ser>
        <c:ser>
          <c:idx val="5"/>
          <c:order val="5"/>
          <c:tx>
            <c:strRef>
              <c:f>'End use share comparison of yea'!$G$13</c:f>
              <c:strCache>
                <c:ptCount val="1"/>
                <c:pt idx="0">
                  <c:v>Cooking </c:v>
                </c:pt>
              </c:strCache>
            </c:strRef>
          </c:tx>
          <c:spPr>
            <a:solidFill>
              <a:srgbClr val="83CAFF"/>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yea'!$G$14:$G$15</c:f>
              <c:numCache>
                <c:formatCode>0.0</c:formatCode>
                <c:ptCount val="2"/>
                <c:pt idx="0">
                  <c:v>6.1728212164208811</c:v>
                </c:pt>
                <c:pt idx="1">
                  <c:v>80.903983997986387</c:v>
                </c:pt>
              </c:numCache>
            </c:numRef>
          </c:val>
          <c:extLst>
            <c:ext xmlns:c16="http://schemas.microsoft.com/office/drawing/2014/chart" uri="{C3380CC4-5D6E-409C-BE32-E72D297353CC}">
              <c16:uniqueId val="{00000005-369E-41BE-8D1F-88FC6001BCC8}"/>
            </c:ext>
          </c:extLst>
        </c:ser>
        <c:ser>
          <c:idx val="6"/>
          <c:order val="6"/>
          <c:tx>
            <c:strRef>
              <c:f>'End use share comparison of yea'!$H$13</c:f>
              <c:strCache>
                <c:ptCount val="1"/>
                <c:pt idx="0">
                  <c:v>Other </c:v>
                </c:pt>
              </c:strCache>
            </c:strRef>
          </c:tx>
          <c:spPr>
            <a:solidFill>
              <a:srgbClr val="314004"/>
            </a:solidFill>
            <a:ln w="25400">
              <a:noFill/>
            </a:ln>
          </c:spPr>
          <c:invertIfNegative val="0"/>
          <c:cat>
            <c:numRef>
              <c:f>'End use share comparison of yea'!$A$14:$A$15</c:f>
              <c:numCache>
                <c:formatCode>General</c:formatCode>
                <c:ptCount val="2"/>
                <c:pt idx="0">
                  <c:v>2001</c:v>
                </c:pt>
                <c:pt idx="1">
                  <c:v>2006</c:v>
                </c:pt>
              </c:numCache>
            </c:numRef>
          </c:cat>
          <c:val>
            <c:numRef>
              <c:f>'End use share comparison of yea'!$H$14:$H$15</c:f>
              <c:numCache>
                <c:formatCode>0.0</c:formatCode>
                <c:ptCount val="2"/>
                <c:pt idx="0">
                  <c:v>132.62365359084572</c:v>
                </c:pt>
                <c:pt idx="1">
                  <c:v>201.94204307156565</c:v>
                </c:pt>
              </c:numCache>
            </c:numRef>
          </c:val>
          <c:extLst>
            <c:ext xmlns:c16="http://schemas.microsoft.com/office/drawing/2014/chart" uri="{C3380CC4-5D6E-409C-BE32-E72D297353CC}">
              <c16:uniqueId val="{00000006-369E-41BE-8D1F-88FC6001BCC8}"/>
            </c:ext>
          </c:extLst>
        </c:ser>
        <c:dLbls>
          <c:showLegendKey val="0"/>
          <c:showVal val="0"/>
          <c:showCatName val="0"/>
          <c:showSerName val="0"/>
          <c:showPercent val="0"/>
          <c:showBubbleSize val="0"/>
        </c:dLbls>
        <c:gapWidth val="100"/>
        <c:overlap val="100"/>
        <c:axId val="182461808"/>
        <c:axId val="182414384"/>
      </c:barChart>
      <c:catAx>
        <c:axId val="182461808"/>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14384"/>
        <c:crossesAt val="0"/>
        <c:auto val="1"/>
        <c:lblAlgn val="ctr"/>
        <c:lblOffset val="100"/>
        <c:tickLblSkip val="1"/>
        <c:tickMarkSkip val="1"/>
        <c:noMultiLvlLbl val="0"/>
      </c:catAx>
      <c:valAx>
        <c:axId val="182414384"/>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461808"/>
        <c:crosses val="autoZero"/>
        <c:crossBetween val="between"/>
      </c:valAx>
      <c:spPr>
        <a:noFill/>
        <a:ln w="3175">
          <a:solidFill>
            <a:srgbClr val="C0C0C0"/>
          </a:solidFill>
          <a:prstDash val="solid"/>
        </a:ln>
      </c:spPr>
    </c:plotArea>
    <c:legend>
      <c:legendPos val="r"/>
      <c:layout>
        <c:manualLayout>
          <c:xMode val="edge"/>
          <c:yMode val="edge"/>
          <c:x val="0.69083222806104461"/>
          <c:y val="0.32622646049840781"/>
          <c:w val="0.30063988270122954"/>
          <c:h val="0.31130086351146408"/>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5770378617325962"/>
          <c:y val="5.6277175234153508E-2"/>
          <c:w val="0.44818049769262563"/>
          <c:h val="0.84632213525207833"/>
        </c:manualLayout>
      </c:layout>
      <c:barChart>
        <c:barDir val="col"/>
        <c:grouping val="stacked"/>
        <c:varyColors val="0"/>
        <c:ser>
          <c:idx val="0"/>
          <c:order val="0"/>
          <c:tx>
            <c:strRef>
              <c:f>'End use share comparison of yea'!$A$27</c:f>
              <c:strCache>
                <c:ptCount val="1"/>
                <c:pt idx="0">
                  <c:v>Electricity</c:v>
                </c:pt>
              </c:strCache>
            </c:strRef>
          </c:tx>
          <c:spPr>
            <a:solidFill>
              <a:srgbClr val="004586"/>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yea'!$B$27:$C$27</c:f>
              <c:numCache>
                <c:formatCode>0.00</c:formatCode>
                <c:ptCount val="2"/>
                <c:pt idx="0">
                  <c:v>63509.010807600003</c:v>
                </c:pt>
                <c:pt idx="1">
                  <c:v>134716.5874136934</c:v>
                </c:pt>
              </c:numCache>
            </c:numRef>
          </c:val>
          <c:extLst>
            <c:ext xmlns:c16="http://schemas.microsoft.com/office/drawing/2014/chart" uri="{C3380CC4-5D6E-409C-BE32-E72D297353CC}">
              <c16:uniqueId val="{00000000-F979-45A8-B40B-FCCC060D40FF}"/>
            </c:ext>
          </c:extLst>
        </c:ser>
        <c:ser>
          <c:idx val="1"/>
          <c:order val="1"/>
          <c:tx>
            <c:strRef>
              <c:f>'End use share comparison of yea'!$A$28</c:f>
              <c:strCache>
                <c:ptCount val="1"/>
                <c:pt idx="0">
                  <c:v>LPG</c:v>
                </c:pt>
              </c:strCache>
            </c:strRef>
          </c:tx>
          <c:spPr>
            <a:solidFill>
              <a:srgbClr val="FF420E"/>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yea'!$B$28:$C$28</c:f>
              <c:numCache>
                <c:formatCode>0.00</c:formatCode>
                <c:ptCount val="2"/>
                <c:pt idx="0">
                  <c:v>12</c:v>
                </c:pt>
                <c:pt idx="1">
                  <c:v>12</c:v>
                </c:pt>
              </c:numCache>
            </c:numRef>
          </c:val>
          <c:extLst>
            <c:ext xmlns:c16="http://schemas.microsoft.com/office/drawing/2014/chart" uri="{C3380CC4-5D6E-409C-BE32-E72D297353CC}">
              <c16:uniqueId val="{00000001-F979-45A8-B40B-FCCC060D40FF}"/>
            </c:ext>
          </c:extLst>
        </c:ser>
        <c:ser>
          <c:idx val="2"/>
          <c:order val="2"/>
          <c:tx>
            <c:strRef>
              <c:f>'End use share comparison of yea'!$A$29</c:f>
              <c:strCache>
                <c:ptCount val="1"/>
                <c:pt idx="0">
                  <c:v>Paraffin</c:v>
                </c:pt>
              </c:strCache>
            </c:strRef>
          </c:tx>
          <c:spPr>
            <a:solidFill>
              <a:srgbClr val="FFD320"/>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yea'!$B$29:$C$29</c:f>
              <c:numCache>
                <c:formatCode>0.00</c:formatCode>
                <c:ptCount val="2"/>
                <c:pt idx="0">
                  <c:v>150</c:v>
                </c:pt>
                <c:pt idx="1">
                  <c:v>322</c:v>
                </c:pt>
              </c:numCache>
            </c:numRef>
          </c:val>
          <c:extLst>
            <c:ext xmlns:c16="http://schemas.microsoft.com/office/drawing/2014/chart" uri="{C3380CC4-5D6E-409C-BE32-E72D297353CC}">
              <c16:uniqueId val="{00000002-F979-45A8-B40B-FCCC060D40FF}"/>
            </c:ext>
          </c:extLst>
        </c:ser>
        <c:ser>
          <c:idx val="3"/>
          <c:order val="3"/>
          <c:tx>
            <c:strRef>
              <c:f>'End use share comparison of yea'!$A$30</c:f>
              <c:strCache>
                <c:ptCount val="1"/>
                <c:pt idx="0">
                  <c:v>Coal</c:v>
                </c:pt>
              </c:strCache>
            </c:strRef>
          </c:tx>
          <c:spPr>
            <a:solidFill>
              <a:srgbClr val="579D1C"/>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yea'!$B$30:$C$30</c:f>
              <c:numCache>
                <c:formatCode>0.00</c:formatCode>
                <c:ptCount val="2"/>
                <c:pt idx="0">
                  <c:v>20000</c:v>
                </c:pt>
                <c:pt idx="1">
                  <c:v>74788</c:v>
                </c:pt>
              </c:numCache>
            </c:numRef>
          </c:val>
          <c:extLst>
            <c:ext xmlns:c16="http://schemas.microsoft.com/office/drawing/2014/chart" uri="{C3380CC4-5D6E-409C-BE32-E72D297353CC}">
              <c16:uniqueId val="{00000003-F979-45A8-B40B-FCCC060D40FF}"/>
            </c:ext>
          </c:extLst>
        </c:ser>
        <c:ser>
          <c:idx val="4"/>
          <c:order val="4"/>
          <c:tx>
            <c:strRef>
              <c:f>'End use share comparison of yea'!$A$31</c:f>
              <c:strCache>
                <c:ptCount val="1"/>
                <c:pt idx="0">
                  <c:v>Residual oil</c:v>
                </c:pt>
              </c:strCache>
            </c:strRef>
          </c:tx>
          <c:spPr>
            <a:solidFill>
              <a:srgbClr val="7E0021"/>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yea'!$B$31:$C$31</c:f>
              <c:numCache>
                <c:formatCode>0.00</c:formatCode>
                <c:ptCount val="2"/>
                <c:pt idx="0">
                  <c:v>0</c:v>
                </c:pt>
                <c:pt idx="1">
                  <c:v>17766.61</c:v>
                </c:pt>
              </c:numCache>
            </c:numRef>
          </c:val>
          <c:extLst>
            <c:ext xmlns:c16="http://schemas.microsoft.com/office/drawing/2014/chart" uri="{C3380CC4-5D6E-409C-BE32-E72D297353CC}">
              <c16:uniqueId val="{00000004-F979-45A8-B40B-FCCC060D40FF}"/>
            </c:ext>
          </c:extLst>
        </c:ser>
        <c:ser>
          <c:idx val="5"/>
          <c:order val="5"/>
          <c:tx>
            <c:strRef>
              <c:f>'End use share comparison of yea'!$A$32</c:f>
              <c:strCache>
                <c:ptCount val="1"/>
                <c:pt idx="0">
                  <c:v>Town gas</c:v>
                </c:pt>
              </c:strCache>
            </c:strRef>
          </c:tx>
          <c:spPr>
            <a:solidFill>
              <a:srgbClr val="83CAFF"/>
            </a:solidFill>
            <a:ln w="25400">
              <a:noFill/>
            </a:ln>
          </c:spPr>
          <c:invertIfNegative val="0"/>
          <c:cat>
            <c:numRef>
              <c:f>'End use share comparison of yea'!$B$26:$C$26</c:f>
              <c:numCache>
                <c:formatCode>General</c:formatCode>
                <c:ptCount val="2"/>
                <c:pt idx="0">
                  <c:v>2001</c:v>
                </c:pt>
                <c:pt idx="1">
                  <c:v>2006</c:v>
                </c:pt>
              </c:numCache>
            </c:numRef>
          </c:cat>
          <c:val>
            <c:numRef>
              <c:f>'End use share comparison of yea'!$B$32:$C$32</c:f>
              <c:numCache>
                <c:formatCode>0.00</c:formatCode>
                <c:ptCount val="2"/>
                <c:pt idx="0">
                  <c:v>1160</c:v>
                </c:pt>
                <c:pt idx="1">
                  <c:v>864.23</c:v>
                </c:pt>
              </c:numCache>
            </c:numRef>
          </c:val>
          <c:extLst>
            <c:ext xmlns:c16="http://schemas.microsoft.com/office/drawing/2014/chart" uri="{C3380CC4-5D6E-409C-BE32-E72D297353CC}">
              <c16:uniqueId val="{00000005-F979-45A8-B40B-FCCC060D40FF}"/>
            </c:ext>
          </c:extLst>
        </c:ser>
        <c:dLbls>
          <c:showLegendKey val="0"/>
          <c:showVal val="0"/>
          <c:showCatName val="0"/>
          <c:showSerName val="0"/>
          <c:showPercent val="0"/>
          <c:showBubbleSize val="0"/>
        </c:dLbls>
        <c:gapWidth val="100"/>
        <c:overlap val="100"/>
        <c:axId val="182354496"/>
        <c:axId val="182354880"/>
      </c:barChart>
      <c:catAx>
        <c:axId val="182354496"/>
        <c:scaling>
          <c:orientation val="minMax"/>
        </c:scaling>
        <c:delete val="0"/>
        <c:axPos val="b"/>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880"/>
        <c:crossesAt val="0"/>
        <c:auto val="1"/>
        <c:lblAlgn val="ctr"/>
        <c:lblOffset val="100"/>
        <c:tickLblSkip val="1"/>
        <c:tickMarkSkip val="1"/>
        <c:noMultiLvlLbl val="0"/>
      </c:catAx>
      <c:valAx>
        <c:axId val="182354880"/>
        <c:scaling>
          <c:orientation val="minMax"/>
        </c:scaling>
        <c:delete val="0"/>
        <c:axPos val="l"/>
        <c:majorGridlines>
          <c:spPr>
            <a:ln w="3175">
              <a:solidFill>
                <a:srgbClr val="C0C0C0"/>
              </a:solidFill>
              <a:prstDash val="solid"/>
            </a:ln>
          </c:spPr>
        </c:majorGridlines>
        <c:title>
          <c:tx>
            <c:rich>
              <a:bodyPr/>
              <a:lstStyle/>
              <a:p>
                <a:pPr>
                  <a:defRPr sz="900" b="0" i="0" u="none" strike="noStrike" baseline="0">
                    <a:solidFill>
                      <a:srgbClr val="000000"/>
                    </a:solidFill>
                    <a:latin typeface="Arial"/>
                    <a:ea typeface="Arial"/>
                    <a:cs typeface="Arial"/>
                  </a:defRPr>
                </a:pPr>
                <a:r>
                  <a:rPr lang="en-ZA"/>
                  <a:t>TJ</a:t>
                </a:r>
              </a:p>
            </c:rich>
          </c:tx>
          <c:layout>
            <c:manualLayout>
              <c:xMode val="edge"/>
              <c:yMode val="edge"/>
              <c:x val="4.4817862555912906E-2"/>
              <c:y val="0.46103987001624791"/>
            </c:manualLayout>
          </c:layout>
          <c:overlay val="0"/>
          <c:spPr>
            <a:noFill/>
            <a:ln w="25400">
              <a:noFill/>
            </a:ln>
          </c:spPr>
        </c:title>
        <c:numFmt formatCode="0" sourceLinked="0"/>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2354496"/>
        <c:crosses val="autoZero"/>
        <c:crossBetween val="between"/>
      </c:valAx>
      <c:spPr>
        <a:noFill/>
        <a:ln w="3175">
          <a:solidFill>
            <a:srgbClr val="C0C0C0"/>
          </a:solidFill>
          <a:prstDash val="solid"/>
        </a:ln>
      </c:spPr>
    </c:plotArea>
    <c:legend>
      <c:legendPos val="r"/>
      <c:layout>
        <c:manualLayout>
          <c:xMode val="edge"/>
          <c:yMode val="edge"/>
          <c:x val="0.73521215481867574"/>
          <c:y val="0.34415652588880935"/>
          <c:w val="0.24507071827289195"/>
          <c:h val="0.27272795446023795"/>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44CD-4067-A646-F22ED9425C6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(2)'!$A$75</c:f>
              <c:strCache>
                <c:ptCount val="1"/>
                <c:pt idx="0">
                  <c:v>2006 calculation for other fuels from AQD data 2006 for Cape Town</c:v>
                </c:pt>
              </c:strCache>
            </c:strRef>
          </c:cat>
          <c:val>
            <c:numRef>
              <c:f>'End use share 2006c (2)'!$B$75</c:f>
              <c:numCache>
                <c:formatCode>General</c:formatCode>
                <c:ptCount val="1"/>
              </c:numCache>
            </c:numRef>
          </c:val>
          <c:extLst>
            <c:ext xmlns:c16="http://schemas.microsoft.com/office/drawing/2014/chart" uri="{C3380CC4-5D6E-409C-BE32-E72D297353CC}">
              <c16:uniqueId val="{00000001-44CD-4067-A646-F22ED9425C6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 (2)'!$A$47</c:f>
              <c:strCache>
                <c:ptCount val="1"/>
                <c:pt idx="0">
                  <c:v>Office and banking space</c:v>
                </c:pt>
              </c:strCache>
            </c:strRef>
          </c:tx>
          <c:spPr>
            <a:solidFill>
              <a:srgbClr val="004586"/>
            </a:solidFill>
            <a:ln w="3175">
              <a:solidFill>
                <a:srgbClr val="000000"/>
              </a:solidFill>
              <a:prstDash val="solid"/>
            </a:ln>
          </c:spPr>
          <c:invertIfNegative val="0"/>
          <c:val>
            <c:numRef>
              <c:f>'End use share 2006c (2)'!$D$47</c:f>
              <c:numCache>
                <c:formatCode>0%</c:formatCode>
                <c:ptCount val="1"/>
                <c:pt idx="0">
                  <c:v>0.26860718548373147</c:v>
                </c:pt>
              </c:numCache>
            </c:numRef>
          </c:val>
          <c:extLst>
            <c:ext xmlns:c16="http://schemas.microsoft.com/office/drawing/2014/chart" uri="{C3380CC4-5D6E-409C-BE32-E72D297353CC}">
              <c16:uniqueId val="{00000000-7DEB-40AC-974F-707C03A76B97}"/>
            </c:ext>
          </c:extLst>
        </c:ser>
        <c:ser>
          <c:idx val="1"/>
          <c:order val="1"/>
          <c:tx>
            <c:strRef>
              <c:f>'End use share 2006c (2)'!$A$48</c:f>
              <c:strCache>
                <c:ptCount val="1"/>
                <c:pt idx="0">
                  <c:v>Shopping space</c:v>
                </c:pt>
              </c:strCache>
            </c:strRef>
          </c:tx>
          <c:spPr>
            <a:solidFill>
              <a:srgbClr val="FF420E"/>
            </a:solidFill>
            <a:ln w="3175">
              <a:solidFill>
                <a:srgbClr val="000000"/>
              </a:solidFill>
              <a:prstDash val="solid"/>
            </a:ln>
          </c:spPr>
          <c:invertIfNegative val="0"/>
          <c:val>
            <c:numRef>
              <c:f>'End use share 2006c (2)'!$D$48</c:f>
              <c:numCache>
                <c:formatCode>0%</c:formatCode>
                <c:ptCount val="1"/>
                <c:pt idx="0">
                  <c:v>0.15268461019529156</c:v>
                </c:pt>
              </c:numCache>
            </c:numRef>
          </c:val>
          <c:extLst>
            <c:ext xmlns:c16="http://schemas.microsoft.com/office/drawing/2014/chart" uri="{C3380CC4-5D6E-409C-BE32-E72D297353CC}">
              <c16:uniqueId val="{00000001-7DEB-40AC-974F-707C03A76B97}"/>
            </c:ext>
          </c:extLst>
        </c:ser>
        <c:ser>
          <c:idx val="2"/>
          <c:order val="2"/>
          <c:tx>
            <c:strRef>
              <c:f>'End use share 2006c (2)'!$A$50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 (2)'!$D$50</c:f>
              <c:numCache>
                <c:formatCode>0%</c:formatCode>
                <c:ptCount val="1"/>
                <c:pt idx="0">
                  <c:v>0.57870820432097692</c:v>
                </c:pt>
              </c:numCache>
            </c:numRef>
          </c:val>
          <c:extLst>
            <c:ext xmlns:c16="http://schemas.microsoft.com/office/drawing/2014/chart" uri="{C3380CC4-5D6E-409C-BE32-E72D297353CC}">
              <c16:uniqueId val="{00000002-7DEB-40AC-974F-707C03A76B97}"/>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6239-4E1F-B5F0-15D7A02C7B8D}"/>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6239-4E1F-B5F0-15D7A02C7B8D}"/>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6239-4E1F-B5F0-15D7A02C7B8D}"/>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6239-4E1F-B5F0-15D7A02C7B8D}"/>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6239-4E1F-B5F0-15D7A02C7B8D}"/>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6239-4E1F-B5F0-15D7A02C7B8D}"/>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6239-4E1F-B5F0-15D7A02C7B8D}"/>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 (2)'!$B$20:$J$20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 (2)'!$B$29:$J$29</c:f>
              <c:numCache>
                <c:formatCode>#,##0</c:formatCode>
                <c:ptCount val="9"/>
                <c:pt idx="0">
                  <c:v>205.64553936266159</c:v>
                </c:pt>
                <c:pt idx="1">
                  <c:v>81.5217725123116</c:v>
                </c:pt>
                <c:pt idx="2">
                  <c:v>102.04327724409507</c:v>
                </c:pt>
                <c:pt idx="3">
                  <c:v>392.55009635862098</c:v>
                </c:pt>
                <c:pt idx="4">
                  <c:v>205.81962736215161</c:v>
                </c:pt>
                <c:pt idx="5">
                  <c:v>77.584884878929699</c:v>
                </c:pt>
                <c:pt idx="6">
                  <c:v>22.410240242951268</c:v>
                </c:pt>
                <c:pt idx="7">
                  <c:v>26.45743465936528</c:v>
                </c:pt>
                <c:pt idx="8">
                  <c:v>195.38091376923973</c:v>
                </c:pt>
              </c:numCache>
            </c:numRef>
          </c:val>
          <c:extLst>
            <c:ext xmlns:c16="http://schemas.microsoft.com/office/drawing/2014/chart" uri="{C3380CC4-5D6E-409C-BE32-E72D297353CC}">
              <c16:uniqueId val="{0000000D-6239-4E1F-B5F0-15D7A02C7B8D}"/>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 (2)'!$B$34</c:f>
              <c:strCache>
                <c:ptCount val="1"/>
                <c:pt idx="0">
                  <c:v>Lighting </c:v>
                </c:pt>
              </c:strCache>
            </c:strRef>
          </c:tx>
          <c:spPr>
            <a:solidFill>
              <a:srgbClr val="004586"/>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(2)'!$B$35:$B$41</c:f>
              <c:numCache>
                <c:formatCode>0%</c:formatCode>
                <c:ptCount val="7"/>
                <c:pt idx="0">
                  <c:v>0.17887759521654065</c:v>
                </c:pt>
                <c:pt idx="1">
                  <c:v>0</c:v>
                </c:pt>
                <c:pt idx="2">
                  <c:v>0</c:v>
                </c:pt>
                <c:pt idx="3">
                  <c:v>0</c:v>
                </c:pt>
                <c:pt idx="4">
                  <c:v>0</c:v>
                </c:pt>
                <c:pt idx="5">
                  <c:v>0</c:v>
                </c:pt>
                <c:pt idx="6">
                  <c:v>0</c:v>
                </c:pt>
              </c:numCache>
            </c:numRef>
          </c:val>
          <c:extLst>
            <c:ext xmlns:c16="http://schemas.microsoft.com/office/drawing/2014/chart" uri="{C3380CC4-5D6E-409C-BE32-E72D297353CC}">
              <c16:uniqueId val="{00000000-F349-4719-BEF4-91FC0CAC1279}"/>
            </c:ext>
          </c:extLst>
        </c:ser>
        <c:ser>
          <c:idx val="1"/>
          <c:order val="1"/>
          <c:tx>
            <c:strRef>
              <c:f>'End use share 2006c (2)'!$C$34</c:f>
              <c:strCache>
                <c:ptCount val="1"/>
                <c:pt idx="0">
                  <c:v>Space heating</c:v>
                </c:pt>
              </c:strCache>
            </c:strRef>
          </c:tx>
          <c:spPr>
            <a:solidFill>
              <a:srgbClr val="FF420E"/>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(2)'!$C$35:$C$41</c:f>
              <c:numCache>
                <c:formatCode>0%</c:formatCode>
                <c:ptCount val="7"/>
                <c:pt idx="0">
                  <c:v>2.0634815664426903E-2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F349-4719-BEF4-91FC0CAC1279}"/>
            </c:ext>
          </c:extLst>
        </c:ser>
        <c:ser>
          <c:idx val="2"/>
          <c:order val="2"/>
          <c:tx>
            <c:strRef>
              <c:f>'End use share 2006c (2)'!$D$34</c:f>
              <c:strCache>
                <c:ptCount val="1"/>
                <c:pt idx="0">
                  <c:v>Water heating </c:v>
                </c:pt>
              </c:strCache>
            </c:strRef>
          </c:tx>
          <c:spPr>
            <a:solidFill>
              <a:srgbClr val="FFD320"/>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(2)'!$D$35:$D$41</c:f>
              <c:numCache>
                <c:formatCode>0%</c:formatCode>
                <c:ptCount val="7"/>
                <c:pt idx="0">
                  <c:v>8.3503037087475657E-3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F349-4719-BEF4-91FC0CAC1279}"/>
            </c:ext>
          </c:extLst>
        </c:ser>
        <c:ser>
          <c:idx val="3"/>
          <c:order val="3"/>
          <c:tx>
            <c:strRef>
              <c:f>'End use share 2006c (2)'!$E$34</c:f>
              <c:strCache>
                <c:ptCount val="1"/>
                <c:pt idx="0">
                  <c:v>Cooling &amp; ventilation </c:v>
                </c:pt>
              </c:strCache>
            </c:strRef>
          </c:tx>
          <c:spPr>
            <a:solidFill>
              <a:srgbClr val="579D1C"/>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(2)'!$E$35:$E$41</c:f>
              <c:numCache>
                <c:formatCode>0%</c:formatCode>
                <c:ptCount val="7"/>
                <c:pt idx="0">
                  <c:v>0.3414536364672579</c:v>
                </c:pt>
                <c:pt idx="1">
                  <c:v>0</c:v>
                </c:pt>
                <c:pt idx="2">
                  <c:v>0</c:v>
                </c:pt>
                <c:pt idx="3">
                  <c:v>0</c:v>
                </c:pt>
                <c:pt idx="4">
                  <c:v>0</c:v>
                </c:pt>
                <c:pt idx="5">
                  <c:v>0</c:v>
                </c:pt>
                <c:pt idx="6">
                  <c:v>0</c:v>
                </c:pt>
              </c:numCache>
            </c:numRef>
          </c:val>
          <c:extLst>
            <c:ext xmlns:c16="http://schemas.microsoft.com/office/drawing/2014/chart" uri="{C3380CC4-5D6E-409C-BE32-E72D297353CC}">
              <c16:uniqueId val="{00000003-F349-4719-BEF4-91FC0CAC1279}"/>
            </c:ext>
          </c:extLst>
        </c:ser>
        <c:ser>
          <c:idx val="4"/>
          <c:order val="4"/>
          <c:tx>
            <c:strRef>
              <c:f>'End use share 2006c (2)'!$F$34</c:f>
              <c:strCache>
                <c:ptCount val="1"/>
                <c:pt idx="0">
                  <c:v>Refrigeration </c:v>
                </c:pt>
              </c:strCache>
            </c:strRef>
          </c:tx>
          <c:spPr>
            <a:solidFill>
              <a:srgbClr val="7E0021"/>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(2)'!$F$35:$F$41</c:f>
              <c:numCache>
                <c:formatCode>0%</c:formatCode>
                <c:ptCount val="7"/>
                <c:pt idx="0">
                  <c:v>0.17902902297325907</c:v>
                </c:pt>
                <c:pt idx="1">
                  <c:v>0</c:v>
                </c:pt>
                <c:pt idx="2">
                  <c:v>0</c:v>
                </c:pt>
                <c:pt idx="3">
                  <c:v>0</c:v>
                </c:pt>
                <c:pt idx="4">
                  <c:v>0</c:v>
                </c:pt>
                <c:pt idx="5">
                  <c:v>0</c:v>
                </c:pt>
                <c:pt idx="6">
                  <c:v>0</c:v>
                </c:pt>
              </c:numCache>
            </c:numRef>
          </c:val>
          <c:extLst>
            <c:ext xmlns:c16="http://schemas.microsoft.com/office/drawing/2014/chart" uri="{C3380CC4-5D6E-409C-BE32-E72D297353CC}">
              <c16:uniqueId val="{00000004-F349-4719-BEF4-91FC0CAC1279}"/>
            </c:ext>
          </c:extLst>
        </c:ser>
        <c:ser>
          <c:idx val="5"/>
          <c:order val="5"/>
          <c:tx>
            <c:strRef>
              <c:f>'End use share 2006c (2)'!$G$34</c:f>
              <c:strCache>
                <c:ptCount val="1"/>
                <c:pt idx="0">
                  <c:v>Cooking </c:v>
                </c:pt>
              </c:strCache>
            </c:strRef>
          </c:tx>
          <c:spPr>
            <a:solidFill>
              <a:srgbClr val="83CAFF"/>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(2)'!$G$35:$G$41</c:f>
              <c:numCache>
                <c:formatCode>0%</c:formatCode>
                <c:ptCount val="7"/>
                <c:pt idx="0">
                  <c:v>6.4911953395352745E-2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F349-4719-BEF4-91FC0CAC1279}"/>
            </c:ext>
          </c:extLst>
        </c:ser>
        <c:ser>
          <c:idx val="6"/>
          <c:order val="6"/>
          <c:tx>
            <c:strRef>
              <c:f>'End use share 2006c (2)'!$J$34</c:f>
              <c:strCache>
                <c:ptCount val="1"/>
                <c:pt idx="0">
                  <c:v>Other </c:v>
                </c:pt>
              </c:strCache>
            </c:strRef>
          </c:tx>
          <c:spPr>
            <a:solidFill>
              <a:srgbClr val="314004"/>
            </a:solidFill>
            <a:ln w="25400">
              <a:noFill/>
            </a:ln>
          </c:spPr>
          <c:invertIfNegative val="0"/>
          <c:cat>
            <c:strRef>
              <c:f>'End use share 2006c (2)'!$A$35:$A$41</c:f>
              <c:strCache>
                <c:ptCount val="7"/>
                <c:pt idx="0">
                  <c:v>Electricity </c:v>
                </c:pt>
                <c:pt idx="1">
                  <c:v>Paraffin </c:v>
                </c:pt>
                <c:pt idx="2">
                  <c:v>Wood </c:v>
                </c:pt>
                <c:pt idx="3">
                  <c:v>Coal </c:v>
                </c:pt>
                <c:pt idx="4">
                  <c:v>Diesel </c:v>
                </c:pt>
                <c:pt idx="5">
                  <c:v>HFO </c:v>
                </c:pt>
                <c:pt idx="6">
                  <c:v>LPG</c:v>
                </c:pt>
              </c:strCache>
            </c:strRef>
          </c:cat>
          <c:val>
            <c:numRef>
              <c:f>'End use share 2006c (2)'!$J$35:$J$41</c:f>
              <c:numCache>
                <c:formatCode>0%</c:formatCode>
                <c:ptCount val="7"/>
                <c:pt idx="0">
                  <c:v>0.16423588056014987</c:v>
                </c:pt>
                <c:pt idx="1">
                  <c:v>0</c:v>
                </c:pt>
                <c:pt idx="2">
                  <c:v>0</c:v>
                </c:pt>
                <c:pt idx="3">
                  <c:v>0</c:v>
                </c:pt>
                <c:pt idx="4">
                  <c:v>1</c:v>
                </c:pt>
                <c:pt idx="5">
                  <c:v>1</c:v>
                </c:pt>
                <c:pt idx="6">
                  <c:v>0</c:v>
                </c:pt>
              </c:numCache>
            </c:numRef>
          </c:val>
          <c:extLst>
            <c:ext xmlns:c16="http://schemas.microsoft.com/office/drawing/2014/chart" uri="{C3380CC4-5D6E-409C-BE32-E72D297353CC}">
              <c16:uniqueId val="{00000006-F349-4719-BEF4-91FC0CAC1279}"/>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27362500433583"/>
          <c:y val="0.42948762758708503"/>
          <c:w val="0.36065670001040623"/>
          <c:h val="0.1410257881629235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389C-4880-B311-BC6E7E9E7065}"/>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2006c'!$A$75</c:f>
              <c:strCache>
                <c:ptCount val="1"/>
                <c:pt idx="0">
                  <c:v>2006 calculation for other fuels from AQD data 2006 for Cape Town</c:v>
                </c:pt>
              </c:strCache>
            </c:strRef>
          </c:cat>
          <c:val>
            <c:numRef>
              <c:f>'End use share 2006c'!$B$75</c:f>
              <c:numCache>
                <c:formatCode>General</c:formatCode>
                <c:ptCount val="1"/>
              </c:numCache>
            </c:numRef>
          </c:val>
          <c:extLst>
            <c:ext xmlns:c16="http://schemas.microsoft.com/office/drawing/2014/chart" uri="{C3380CC4-5D6E-409C-BE32-E72D297353CC}">
              <c16:uniqueId val="{00000001-389C-4880-B311-BC6E7E9E7065}"/>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63934598339142035"/>
          <c:y val="0.46524064171122997"/>
          <c:w val="0.33060195344434407"/>
          <c:h val="6.6310160427807519E-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1816838995484E-2"/>
          <c:y val="7.7399380804953621E-2"/>
          <c:w val="0.65288035450517079"/>
          <c:h val="0.7244582043343657"/>
        </c:manualLayout>
      </c:layout>
      <c:barChart>
        <c:barDir val="col"/>
        <c:grouping val="percentStacked"/>
        <c:varyColors val="0"/>
        <c:ser>
          <c:idx val="0"/>
          <c:order val="0"/>
          <c:tx>
            <c:strRef>
              <c:f>'End use share 2006c'!$A$47</c:f>
              <c:strCache>
                <c:ptCount val="1"/>
                <c:pt idx="0">
                  <c:v>Office and banking space</c:v>
                </c:pt>
              </c:strCache>
            </c:strRef>
          </c:tx>
          <c:spPr>
            <a:solidFill>
              <a:srgbClr val="004586"/>
            </a:solidFill>
            <a:ln w="3175">
              <a:solidFill>
                <a:srgbClr val="000000"/>
              </a:solidFill>
              <a:prstDash val="solid"/>
            </a:ln>
          </c:spPr>
          <c:invertIfNegative val="0"/>
          <c:val>
            <c:numRef>
              <c:f>'End use share 2006c'!$D$47</c:f>
              <c:numCache>
                <c:formatCode>0%</c:formatCode>
                <c:ptCount val="1"/>
                <c:pt idx="0">
                  <c:v>0.19919767328698165</c:v>
                </c:pt>
              </c:numCache>
            </c:numRef>
          </c:val>
          <c:extLst>
            <c:ext xmlns:c16="http://schemas.microsoft.com/office/drawing/2014/chart" uri="{C3380CC4-5D6E-409C-BE32-E72D297353CC}">
              <c16:uniqueId val="{00000000-DD25-4C11-812C-6DA2B3A9E35D}"/>
            </c:ext>
          </c:extLst>
        </c:ser>
        <c:ser>
          <c:idx val="1"/>
          <c:order val="1"/>
          <c:tx>
            <c:strRef>
              <c:f>'End use share 2006c'!$A$48</c:f>
              <c:strCache>
                <c:ptCount val="1"/>
                <c:pt idx="0">
                  <c:v>Shopping space</c:v>
                </c:pt>
              </c:strCache>
            </c:strRef>
          </c:tx>
          <c:spPr>
            <a:solidFill>
              <a:srgbClr val="FF420E"/>
            </a:solidFill>
            <a:ln w="3175">
              <a:solidFill>
                <a:srgbClr val="000000"/>
              </a:solidFill>
              <a:prstDash val="solid"/>
            </a:ln>
          </c:spPr>
          <c:invertIfNegative val="0"/>
          <c:val>
            <c:numRef>
              <c:f>'End use share 2006c'!$D$48</c:f>
              <c:numCache>
                <c:formatCode>0%</c:formatCode>
                <c:ptCount val="1"/>
                <c:pt idx="0">
                  <c:v>0.22786517879673385</c:v>
                </c:pt>
              </c:numCache>
            </c:numRef>
          </c:val>
          <c:extLst>
            <c:ext xmlns:c16="http://schemas.microsoft.com/office/drawing/2014/chart" uri="{C3380CC4-5D6E-409C-BE32-E72D297353CC}">
              <c16:uniqueId val="{00000001-DD25-4C11-812C-6DA2B3A9E35D}"/>
            </c:ext>
          </c:extLst>
        </c:ser>
        <c:ser>
          <c:idx val="2"/>
          <c:order val="2"/>
          <c:tx>
            <c:strRef>
              <c:f>'End use share 2006c'!$A$50</c:f>
              <c:strCache>
                <c:ptCount val="1"/>
                <c:pt idx="0">
                  <c:v>Other non-residential space</c:v>
                </c:pt>
              </c:strCache>
            </c:strRef>
          </c:tx>
          <c:spPr>
            <a:solidFill>
              <a:srgbClr val="FFD320"/>
            </a:solidFill>
            <a:ln w="3175">
              <a:solidFill>
                <a:srgbClr val="000000"/>
              </a:solidFill>
              <a:prstDash val="solid"/>
            </a:ln>
          </c:spPr>
          <c:invertIfNegative val="0"/>
          <c:val>
            <c:numRef>
              <c:f>'End use share 2006c'!$D$50</c:f>
              <c:numCache>
                <c:formatCode>0%</c:formatCode>
                <c:ptCount val="1"/>
                <c:pt idx="0">
                  <c:v>0.57293714791628447</c:v>
                </c:pt>
              </c:numCache>
            </c:numRef>
          </c:val>
          <c:extLst>
            <c:ext xmlns:c16="http://schemas.microsoft.com/office/drawing/2014/chart" uri="{C3380CC4-5D6E-409C-BE32-E72D297353CC}">
              <c16:uniqueId val="{00000002-DD25-4C11-812C-6DA2B3A9E35D}"/>
            </c:ext>
          </c:extLst>
        </c:ser>
        <c:dLbls>
          <c:showLegendKey val="0"/>
          <c:showVal val="0"/>
          <c:showCatName val="0"/>
          <c:showSerName val="0"/>
          <c:showPercent val="0"/>
          <c:showBubbleSize val="0"/>
        </c:dLbls>
        <c:gapWidth val="100"/>
        <c:overlap val="100"/>
        <c:axId val="182844304"/>
        <c:axId val="182844688"/>
      </c:barChart>
      <c:catAx>
        <c:axId val="182844304"/>
        <c:scaling>
          <c:orientation val="minMax"/>
        </c:scaling>
        <c:delete val="0"/>
        <c:axPos val="b"/>
        <c:title>
          <c:tx>
            <c:rich>
              <a:bodyPr/>
              <a:lstStyle/>
              <a:p>
                <a:pPr>
                  <a:defRPr sz="900" b="0" i="0" u="none" strike="noStrike" baseline="0">
                    <a:solidFill>
                      <a:srgbClr val="000000"/>
                    </a:solidFill>
                    <a:latin typeface="Arial"/>
                    <a:ea typeface="Arial"/>
                    <a:cs typeface="Arial"/>
                  </a:defRPr>
                </a:pPr>
                <a:r>
                  <a:rPr lang="en-ZA"/>
                  <a:t>Share of commercial floor space 1993-2007</a:t>
                </a:r>
              </a:p>
            </c:rich>
          </c:tx>
          <c:layout>
            <c:manualLayout>
              <c:xMode val="edge"/>
              <c:yMode val="edge"/>
              <c:x val="0.24224519940915806"/>
              <c:y val="0.88544891640866874"/>
            </c:manualLayout>
          </c:layout>
          <c:overlay val="0"/>
          <c:spPr>
            <a:noFill/>
            <a:ln w="25400">
              <a:noFill/>
            </a:ln>
          </c:spPr>
        </c:title>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688"/>
        <c:crossesAt val="0"/>
        <c:auto val="1"/>
        <c:lblAlgn val="ctr"/>
        <c:lblOffset val="100"/>
        <c:tickLblSkip val="1"/>
        <c:tickMarkSkip val="1"/>
        <c:noMultiLvlLbl val="0"/>
      </c:catAx>
      <c:valAx>
        <c:axId val="182844688"/>
        <c:scaling>
          <c:orientation val="minMax"/>
        </c:scaling>
        <c:delete val="0"/>
        <c:axPos val="l"/>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82844304"/>
        <c:crosses val="autoZero"/>
        <c:crossBetween val="between"/>
      </c:valAx>
      <c:spPr>
        <a:noFill/>
        <a:ln w="3175">
          <a:solidFill>
            <a:srgbClr val="C0C0C0"/>
          </a:solidFill>
          <a:prstDash val="solid"/>
        </a:ln>
      </c:spPr>
    </c:plotArea>
    <c:legend>
      <c:legendPos val="r"/>
      <c:layout>
        <c:manualLayout>
          <c:xMode val="edge"/>
          <c:yMode val="edge"/>
          <c:x val="0.76661742983751846"/>
          <c:y val="0.36222910216718268"/>
          <c:w val="0.22451994091580507"/>
          <c:h val="0.17956656346749228"/>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38383912072829"/>
          <c:y val="0.16990311398180794"/>
          <c:w val="0.46349783755060031"/>
          <c:h val="0.66262214452905144"/>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0316-4A3D-8E6E-FE0267E0C536}"/>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0316-4A3D-8E6E-FE0267E0C536}"/>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0316-4A3D-8E6E-FE0267E0C536}"/>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0316-4A3D-8E6E-FE0267E0C536}"/>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0316-4A3D-8E6E-FE0267E0C536}"/>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0316-4A3D-8E6E-FE0267E0C536}"/>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0316-4A3D-8E6E-FE0267E0C536}"/>
              </c:ext>
            </c:extLst>
          </c:dPt>
          <c:dLbls>
            <c:numFmt formatCode="0.00%" sourceLinked="0"/>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'End use share 2006c'!$B$20:$J$20</c:f>
              <c:strCache>
                <c:ptCount val="9"/>
                <c:pt idx="0">
                  <c:v>Lighting </c:v>
                </c:pt>
                <c:pt idx="1">
                  <c:v>Space heating</c:v>
                </c:pt>
                <c:pt idx="2">
                  <c:v>Water heating </c:v>
                </c:pt>
                <c:pt idx="3">
                  <c:v>Cooling &amp; ventilation </c:v>
                </c:pt>
                <c:pt idx="4">
                  <c:v>Refrigeration </c:v>
                </c:pt>
                <c:pt idx="5">
                  <c:v>Cooking </c:v>
                </c:pt>
                <c:pt idx="6">
                  <c:v>Public lighting</c:v>
                </c:pt>
                <c:pt idx="7">
                  <c:v>pubic water</c:v>
                </c:pt>
                <c:pt idx="8">
                  <c:v>Other </c:v>
                </c:pt>
              </c:strCache>
            </c:strRef>
          </c:cat>
          <c:val>
            <c:numRef>
              <c:f>'End use share 2006c'!$B$29:$J$29</c:f>
              <c:numCache>
                <c:formatCode>#,##0</c:formatCode>
                <c:ptCount val="9"/>
                <c:pt idx="0">
                  <c:v>218.17943671489073</c:v>
                </c:pt>
                <c:pt idx="1">
                  <c:v>85.604129326719132</c:v>
                </c:pt>
                <c:pt idx="2">
                  <c:v>108.96184669609595</c:v>
                </c:pt>
                <c:pt idx="3">
                  <c:v>403.09209017123828</c:v>
                </c:pt>
                <c:pt idx="4">
                  <c:v>241.49231565906314</c:v>
                </c:pt>
                <c:pt idx="5">
                  <c:v>80.903983997986387</c:v>
                </c:pt>
                <c:pt idx="6">
                  <c:v>24.624909157931629</c:v>
                </c:pt>
                <c:pt idx="7">
                  <c:v>29.072063394934055</c:v>
                </c:pt>
                <c:pt idx="8">
                  <c:v>201.94204307156565</c:v>
                </c:pt>
              </c:numCache>
            </c:numRef>
          </c:val>
          <c:extLst>
            <c:ext xmlns:c16="http://schemas.microsoft.com/office/drawing/2014/chart" uri="{C3380CC4-5D6E-409C-BE32-E72D297353CC}">
              <c16:uniqueId val="{0000000D-0316-4A3D-8E6E-FE0267E0C536}"/>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8098543284805866"/>
          <c:y val="0.33737915042173122"/>
          <c:w val="0.19864194395055457"/>
          <c:h val="0.32281604362561472"/>
        </c:manualLayout>
      </c:layout>
      <c:overlay val="0"/>
      <c:spPr>
        <a:noFill/>
        <a:ln w="25400">
          <a:noFill/>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1230625052469"/>
          <c:y val="4.0871988983721734E-2"/>
          <c:w val="0.52807108016563897"/>
          <c:h val="0.83651337453350461"/>
        </c:manualLayout>
      </c:layout>
      <c:barChart>
        <c:barDir val="bar"/>
        <c:grouping val="percentStacked"/>
        <c:varyColors val="0"/>
        <c:ser>
          <c:idx val="0"/>
          <c:order val="0"/>
          <c:tx>
            <c:strRef>
              <c:f>'End use share 2006c'!$B$34</c:f>
              <c:strCache>
                <c:ptCount val="1"/>
                <c:pt idx="0">
                  <c:v>Lighting </c:v>
                </c:pt>
              </c:strCache>
            </c:strRef>
          </c:tx>
          <c:spPr>
            <a:solidFill>
              <a:srgbClr val="004586"/>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2006c'!$B$35:$B$41</c:f>
              <c:numCache>
                <c:formatCode>0%</c:formatCode>
                <c:ptCount val="7"/>
                <c:pt idx="0">
                  <c:v>0.17828065881507271</c:v>
                </c:pt>
                <c:pt idx="1">
                  <c:v>0</c:v>
                </c:pt>
                <c:pt idx="2">
                  <c:v>0</c:v>
                </c:pt>
                <c:pt idx="3">
                  <c:v>0</c:v>
                </c:pt>
                <c:pt idx="4">
                  <c:v>0</c:v>
                </c:pt>
                <c:pt idx="5">
                  <c:v>0</c:v>
                </c:pt>
                <c:pt idx="6">
                  <c:v>0</c:v>
                </c:pt>
              </c:numCache>
            </c:numRef>
          </c:val>
          <c:extLst>
            <c:ext xmlns:c16="http://schemas.microsoft.com/office/drawing/2014/chart" uri="{C3380CC4-5D6E-409C-BE32-E72D297353CC}">
              <c16:uniqueId val="{00000000-3E19-4086-81D8-A418E5A01DCE}"/>
            </c:ext>
          </c:extLst>
        </c:ser>
        <c:ser>
          <c:idx val="1"/>
          <c:order val="1"/>
          <c:tx>
            <c:strRef>
              <c:f>'End use share 2006c'!$C$34</c:f>
              <c:strCache>
                <c:ptCount val="1"/>
                <c:pt idx="0">
                  <c:v>Space heating</c:v>
                </c:pt>
              </c:strCache>
            </c:strRef>
          </c:tx>
          <c:spPr>
            <a:solidFill>
              <a:srgbClr val="FF420E"/>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2006c'!$C$35:$C$41</c:f>
              <c:numCache>
                <c:formatCode>0%</c:formatCode>
                <c:ptCount val="7"/>
                <c:pt idx="0">
                  <c:v>1.9673944145463536E-2</c:v>
                </c:pt>
                <c:pt idx="1">
                  <c:v>0</c:v>
                </c:pt>
                <c:pt idx="2">
                  <c:v>1.2391573729863693E-3</c:v>
                </c:pt>
                <c:pt idx="3">
                  <c:v>0.54317126346240241</c:v>
                </c:pt>
                <c:pt idx="4">
                  <c:v>0</c:v>
                </c:pt>
                <c:pt idx="5">
                  <c:v>0</c:v>
                </c:pt>
                <c:pt idx="6">
                  <c:v>0</c:v>
                </c:pt>
              </c:numCache>
            </c:numRef>
          </c:val>
          <c:extLst>
            <c:ext xmlns:c16="http://schemas.microsoft.com/office/drawing/2014/chart" uri="{C3380CC4-5D6E-409C-BE32-E72D297353CC}">
              <c16:uniqueId val="{00000001-3E19-4086-81D8-A418E5A01DCE}"/>
            </c:ext>
          </c:extLst>
        </c:ser>
        <c:ser>
          <c:idx val="2"/>
          <c:order val="2"/>
          <c:tx>
            <c:strRef>
              <c:f>'End use share 2006c'!$D$34</c:f>
              <c:strCache>
                <c:ptCount val="1"/>
                <c:pt idx="0">
                  <c:v>Water heating </c:v>
                </c:pt>
              </c:strCache>
            </c:strRef>
          </c:tx>
          <c:spPr>
            <a:solidFill>
              <a:srgbClr val="FFD320"/>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2006c'!$D$35:$D$41</c:f>
              <c:numCache>
                <c:formatCode>0%</c:formatCode>
                <c:ptCount val="7"/>
                <c:pt idx="0">
                  <c:v>8.6253773691933548E-3</c:v>
                </c:pt>
                <c:pt idx="1">
                  <c:v>1</c:v>
                </c:pt>
                <c:pt idx="2">
                  <c:v>0</c:v>
                </c:pt>
                <c:pt idx="3">
                  <c:v>0.45611504726363378</c:v>
                </c:pt>
                <c:pt idx="4">
                  <c:v>0</c:v>
                </c:pt>
                <c:pt idx="5">
                  <c:v>0</c:v>
                </c:pt>
                <c:pt idx="6">
                  <c:v>0.89896529330549124</c:v>
                </c:pt>
              </c:numCache>
            </c:numRef>
          </c:val>
          <c:extLst>
            <c:ext xmlns:c16="http://schemas.microsoft.com/office/drawing/2014/chart" uri="{C3380CC4-5D6E-409C-BE32-E72D297353CC}">
              <c16:uniqueId val="{00000002-3E19-4086-81D8-A418E5A01DCE}"/>
            </c:ext>
          </c:extLst>
        </c:ser>
        <c:ser>
          <c:idx val="3"/>
          <c:order val="3"/>
          <c:tx>
            <c:strRef>
              <c:f>'End use share 2006c'!$E$34</c:f>
              <c:strCache>
                <c:ptCount val="1"/>
                <c:pt idx="0">
                  <c:v>Cooling &amp; ventilation </c:v>
                </c:pt>
              </c:strCache>
            </c:strRef>
          </c:tx>
          <c:spPr>
            <a:solidFill>
              <a:srgbClr val="579D1C"/>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2006c'!$E$35:$E$41</c:f>
              <c:numCache>
                <c:formatCode>0%</c:formatCode>
                <c:ptCount val="7"/>
                <c:pt idx="0">
                  <c:v>0.32937807742524239</c:v>
                </c:pt>
                <c:pt idx="1">
                  <c:v>0</c:v>
                </c:pt>
                <c:pt idx="2">
                  <c:v>0</c:v>
                </c:pt>
                <c:pt idx="3">
                  <c:v>0</c:v>
                </c:pt>
                <c:pt idx="4">
                  <c:v>0</c:v>
                </c:pt>
                <c:pt idx="5">
                  <c:v>0</c:v>
                </c:pt>
                <c:pt idx="6">
                  <c:v>0</c:v>
                </c:pt>
              </c:numCache>
            </c:numRef>
          </c:val>
          <c:extLst>
            <c:ext xmlns:c16="http://schemas.microsoft.com/office/drawing/2014/chart" uri="{C3380CC4-5D6E-409C-BE32-E72D297353CC}">
              <c16:uniqueId val="{00000003-3E19-4086-81D8-A418E5A01DCE}"/>
            </c:ext>
          </c:extLst>
        </c:ser>
        <c:ser>
          <c:idx val="4"/>
          <c:order val="4"/>
          <c:tx>
            <c:strRef>
              <c:f>'End use share 2006c'!$F$34</c:f>
              <c:strCache>
                <c:ptCount val="1"/>
                <c:pt idx="0">
                  <c:v>Refrigeration </c:v>
                </c:pt>
              </c:strCache>
            </c:strRef>
          </c:tx>
          <c:spPr>
            <a:solidFill>
              <a:srgbClr val="7E0021"/>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2006c'!$F$35:$F$41</c:f>
              <c:numCache>
                <c:formatCode>0%</c:formatCode>
                <c:ptCount val="7"/>
                <c:pt idx="0">
                  <c:v>0.19733027907087305</c:v>
                </c:pt>
                <c:pt idx="1">
                  <c:v>0</c:v>
                </c:pt>
                <c:pt idx="2">
                  <c:v>0</c:v>
                </c:pt>
                <c:pt idx="3">
                  <c:v>0</c:v>
                </c:pt>
                <c:pt idx="4">
                  <c:v>0</c:v>
                </c:pt>
                <c:pt idx="5">
                  <c:v>0</c:v>
                </c:pt>
                <c:pt idx="6">
                  <c:v>0</c:v>
                </c:pt>
              </c:numCache>
            </c:numRef>
          </c:val>
          <c:extLst>
            <c:ext xmlns:c16="http://schemas.microsoft.com/office/drawing/2014/chart" uri="{C3380CC4-5D6E-409C-BE32-E72D297353CC}">
              <c16:uniqueId val="{00000004-3E19-4086-81D8-A418E5A01DCE}"/>
            </c:ext>
          </c:extLst>
        </c:ser>
        <c:ser>
          <c:idx val="5"/>
          <c:order val="5"/>
          <c:tx>
            <c:strRef>
              <c:f>'End use share 2006c'!$G$34</c:f>
              <c:strCache>
                <c:ptCount val="1"/>
                <c:pt idx="0">
                  <c:v>Cooking </c:v>
                </c:pt>
              </c:strCache>
            </c:strRef>
          </c:tx>
          <c:spPr>
            <a:solidFill>
              <a:srgbClr val="83CAFF"/>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2006c'!$G$35:$G$41</c:f>
              <c:numCache>
                <c:formatCode>0%</c:formatCode>
                <c:ptCount val="7"/>
                <c:pt idx="0">
                  <c:v>6.3534899562964403E-2</c:v>
                </c:pt>
                <c:pt idx="1">
                  <c:v>0</c:v>
                </c:pt>
                <c:pt idx="2">
                  <c:v>0.99876084262701359</c:v>
                </c:pt>
                <c:pt idx="3">
                  <c:v>7.1368927396390168E-4</c:v>
                </c:pt>
                <c:pt idx="4">
                  <c:v>0</c:v>
                </c:pt>
                <c:pt idx="5">
                  <c:v>0</c:v>
                </c:pt>
                <c:pt idx="6">
                  <c:v>0.10103470669450876</c:v>
                </c:pt>
              </c:numCache>
            </c:numRef>
          </c:val>
          <c:extLst>
            <c:ext xmlns:c16="http://schemas.microsoft.com/office/drawing/2014/chart" uri="{C3380CC4-5D6E-409C-BE32-E72D297353CC}">
              <c16:uniqueId val="{00000005-3E19-4086-81D8-A418E5A01DCE}"/>
            </c:ext>
          </c:extLst>
        </c:ser>
        <c:ser>
          <c:idx val="6"/>
          <c:order val="6"/>
          <c:tx>
            <c:strRef>
              <c:f>'End use share 2006c'!$J$34</c:f>
              <c:strCache>
                <c:ptCount val="1"/>
                <c:pt idx="0">
                  <c:v>Other </c:v>
                </c:pt>
              </c:strCache>
            </c:strRef>
          </c:tx>
          <c:spPr>
            <a:solidFill>
              <a:srgbClr val="314004"/>
            </a:solidFill>
            <a:ln w="25400">
              <a:noFill/>
            </a:ln>
          </c:spPr>
          <c:invertIfNegative val="0"/>
          <c:cat>
            <c:strRef>
              <c:f>'End use share 2006c'!$A$35:$A$41</c:f>
              <c:strCache>
                <c:ptCount val="7"/>
                <c:pt idx="0">
                  <c:v>Electricity </c:v>
                </c:pt>
                <c:pt idx="1">
                  <c:v>Paraffin </c:v>
                </c:pt>
                <c:pt idx="2">
                  <c:v>Wood </c:v>
                </c:pt>
                <c:pt idx="3">
                  <c:v>Coal </c:v>
                </c:pt>
                <c:pt idx="4">
                  <c:v>Diesel </c:v>
                </c:pt>
                <c:pt idx="5">
                  <c:v>HFO </c:v>
                </c:pt>
                <c:pt idx="6">
                  <c:v>LPG</c:v>
                </c:pt>
              </c:strCache>
            </c:strRef>
          </c:cat>
          <c:val>
            <c:numRef>
              <c:f>'End use share 2006c'!$J$35:$J$41</c:f>
              <c:numCache>
                <c:formatCode>0%</c:formatCode>
                <c:ptCount val="7"/>
                <c:pt idx="0">
                  <c:v>0.15929943132341109</c:v>
                </c:pt>
                <c:pt idx="1">
                  <c:v>0</c:v>
                </c:pt>
                <c:pt idx="2">
                  <c:v>0</c:v>
                </c:pt>
                <c:pt idx="3">
                  <c:v>0</c:v>
                </c:pt>
                <c:pt idx="4">
                  <c:v>1</c:v>
                </c:pt>
                <c:pt idx="5">
                  <c:v>1</c:v>
                </c:pt>
                <c:pt idx="6">
                  <c:v>0</c:v>
                </c:pt>
              </c:numCache>
            </c:numRef>
          </c:val>
          <c:extLst>
            <c:ext xmlns:c16="http://schemas.microsoft.com/office/drawing/2014/chart" uri="{C3380CC4-5D6E-409C-BE32-E72D297353CC}">
              <c16:uniqueId val="{00000006-3E19-4086-81D8-A418E5A01DCE}"/>
            </c:ext>
          </c:extLst>
        </c:ser>
        <c:dLbls>
          <c:showLegendKey val="0"/>
          <c:showVal val="0"/>
          <c:showCatName val="0"/>
          <c:showSerName val="0"/>
          <c:showPercent val="0"/>
          <c:showBubbleSize val="0"/>
        </c:dLbls>
        <c:gapWidth val="100"/>
        <c:overlap val="100"/>
        <c:axId val="183348928"/>
        <c:axId val="183349312"/>
      </c:barChart>
      <c:catAx>
        <c:axId val="183348928"/>
        <c:scaling>
          <c:orientation val="minMax"/>
        </c:scaling>
        <c:delete val="0"/>
        <c:axPos val="l"/>
        <c:numFmt formatCode="General"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9312"/>
        <c:crossesAt val="0"/>
        <c:auto val="1"/>
        <c:lblAlgn val="ctr"/>
        <c:lblOffset val="100"/>
        <c:tickLblSkip val="1"/>
        <c:tickMarkSkip val="1"/>
        <c:noMultiLvlLbl val="0"/>
      </c:catAx>
      <c:valAx>
        <c:axId val="183349312"/>
        <c:scaling>
          <c:orientation val="minMax"/>
        </c:scaling>
        <c:delete val="0"/>
        <c:axPos val="b"/>
        <c:majorGridlines>
          <c:spPr>
            <a:ln w="3175">
              <a:solidFill>
                <a:srgbClr val="C0C0C0"/>
              </a:solidFill>
              <a:prstDash val="solid"/>
            </a:ln>
          </c:spPr>
        </c:majorGridlines>
        <c:numFmt formatCode="0%" sourceLinked="1"/>
        <c:majorTickMark val="out"/>
        <c:minorTickMark val="none"/>
        <c:tickLblPos val="nextTo"/>
        <c:spPr>
          <a:ln w="3175">
            <a:solidFill>
              <a:srgbClr val="C0C0C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348928"/>
        <c:crosses val="autoZero"/>
        <c:crossBetween val="between"/>
      </c:valAx>
      <c:spPr>
        <a:noFill/>
        <a:ln w="3175">
          <a:solidFill>
            <a:srgbClr val="C0C0C0"/>
          </a:solidFill>
          <a:prstDash val="solid"/>
        </a:ln>
      </c:spPr>
    </c:plotArea>
    <c:legend>
      <c:legendPos val="r"/>
      <c:layout>
        <c:manualLayout>
          <c:xMode val="edge"/>
          <c:yMode val="edge"/>
          <c:x val="0.74386093843532719"/>
          <c:y val="0.26158066753917342"/>
          <c:w val="0.24736878942763729"/>
          <c:h val="0.39782073562330589"/>
        </c:manualLayout>
      </c:layout>
      <c:overlay val="0"/>
      <c:spPr>
        <a:noFill/>
        <a:ln w="25400">
          <a:noFill/>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lower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COM_2017_old'!$AD$53:$AJ$53</c:f>
              <c:numCache>
                <c:formatCode>General</c:formatCode>
                <c:ptCount val="7"/>
                <c:pt idx="0">
                  <c:v>2020</c:v>
                </c:pt>
                <c:pt idx="1">
                  <c:v>2025</c:v>
                </c:pt>
                <c:pt idx="2">
                  <c:v>2030</c:v>
                </c:pt>
                <c:pt idx="3">
                  <c:v>2035</c:v>
                </c:pt>
                <c:pt idx="4">
                  <c:v>2040</c:v>
                </c:pt>
                <c:pt idx="5">
                  <c:v>2045</c:v>
                </c:pt>
                <c:pt idx="6">
                  <c:v>2050</c:v>
                </c:pt>
              </c:numCache>
            </c:numRef>
          </c:xVal>
          <c:yVal>
            <c:numRef>
              <c:f>' COM_2017_old'!$AD$54:$AJ$54</c:f>
              <c:numCache>
                <c:formatCode>0%</c:formatCode>
                <c:ptCount val="7"/>
                <c:pt idx="0">
                  <c:v>0.97</c:v>
                </c:pt>
                <c:pt idx="1">
                  <c:v>0.9</c:v>
                </c:pt>
                <c:pt idx="2">
                  <c:v>0.7</c:v>
                </c:pt>
                <c:pt idx="3">
                  <c:v>0.45</c:v>
                </c:pt>
                <c:pt idx="4">
                  <c:v>0.15</c:v>
                </c:pt>
                <c:pt idx="5">
                  <c:v>0.05</c:v>
                </c:pt>
                <c:pt idx="6">
                  <c:v>0</c:v>
                </c:pt>
              </c:numCache>
            </c:numRef>
          </c:yVal>
          <c:smooth val="0"/>
          <c:extLst>
            <c:ext xmlns:c16="http://schemas.microsoft.com/office/drawing/2014/chart" uri="{C3380CC4-5D6E-409C-BE32-E72D297353CC}">
              <c16:uniqueId val="{00000000-BF2B-4E2C-B610-BC12A6629CEF}"/>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upper bounds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 COM_2017_old'!$S$53:$Y$53</c:f>
              <c:numCache>
                <c:formatCode>General</c:formatCode>
                <c:ptCount val="7"/>
                <c:pt idx="0">
                  <c:v>2020</c:v>
                </c:pt>
                <c:pt idx="1">
                  <c:v>2025</c:v>
                </c:pt>
                <c:pt idx="2">
                  <c:v>2030</c:v>
                </c:pt>
                <c:pt idx="3">
                  <c:v>2035</c:v>
                </c:pt>
                <c:pt idx="4">
                  <c:v>2040</c:v>
                </c:pt>
                <c:pt idx="5">
                  <c:v>2045</c:v>
                </c:pt>
                <c:pt idx="6">
                  <c:v>2050</c:v>
                </c:pt>
              </c:numCache>
            </c:numRef>
          </c:xVal>
          <c:yVal>
            <c:numRef>
              <c:f>' COM_2017_old'!$S$54:$Y$54</c:f>
              <c:numCache>
                <c:formatCode>0%</c:formatCode>
                <c:ptCount val="7"/>
                <c:pt idx="0">
                  <c:v>0.03</c:v>
                </c:pt>
                <c:pt idx="1">
                  <c:v>0.1</c:v>
                </c:pt>
                <c:pt idx="2">
                  <c:v>0.3</c:v>
                </c:pt>
                <c:pt idx="3">
                  <c:v>0.55000000000000004</c:v>
                </c:pt>
                <c:pt idx="4">
                  <c:v>0.85</c:v>
                </c:pt>
                <c:pt idx="5">
                  <c:v>0.95</c:v>
                </c:pt>
                <c:pt idx="6">
                  <c:v>1</c:v>
                </c:pt>
              </c:numCache>
            </c:numRef>
          </c:yVal>
          <c:smooth val="0"/>
          <c:extLst>
            <c:ext xmlns:c16="http://schemas.microsoft.com/office/drawing/2014/chart" uri="{C3380CC4-5D6E-409C-BE32-E72D297353CC}">
              <c16:uniqueId val="{00000000-F2E0-4475-A3EE-DB2ED2E8AAB0}"/>
            </c:ext>
          </c:extLst>
        </c:ser>
        <c:dLbls>
          <c:showLegendKey val="0"/>
          <c:showVal val="0"/>
          <c:showCatName val="0"/>
          <c:showSerName val="0"/>
          <c:showPercent val="0"/>
          <c:showBubbleSize val="0"/>
        </c:dLbls>
        <c:axId val="886994495"/>
        <c:axId val="886992415"/>
      </c:scatterChart>
      <c:valAx>
        <c:axId val="886994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2415"/>
        <c:crosses val="autoZero"/>
        <c:crossBetween val="midCat"/>
      </c:valAx>
      <c:valAx>
        <c:axId val="886992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9944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r>
              <a:rPr lang="en-US" baseline="0"/>
              <a:t>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COM_N_2012!$C$42</c:f>
              <c:strCache>
                <c:ptCount val="1"/>
                <c:pt idx="0">
                  <c:v>Coal</c:v>
                </c:pt>
              </c:strCache>
            </c:strRef>
          </c:tx>
          <c:spPr>
            <a:solidFill>
              <a:schemeClr val="accent1"/>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COM_N_2012!$C$43:$C$51</c:f>
              <c:numCache>
                <c:formatCode>_(* #,##0.00_);_(* \(#,##0.00\);_(* "-"??_);_(@_)</c:formatCode>
                <c:ptCount val="9"/>
                <c:pt idx="0">
                  <c:v>0</c:v>
                </c:pt>
                <c:pt idx="1">
                  <c:v>8.1616654142914022</c:v>
                </c:pt>
                <c:pt idx="2">
                  <c:v>0</c:v>
                </c:pt>
                <c:pt idx="3">
                  <c:v>0</c:v>
                </c:pt>
                <c:pt idx="4">
                  <c:v>0</c:v>
                </c:pt>
                <c:pt idx="5">
                  <c:v>6.8535628752885334</c:v>
                </c:pt>
                <c:pt idx="6">
                  <c:v>0</c:v>
                </c:pt>
                <c:pt idx="8">
                  <c:v>1.0723860880878214E-2</c:v>
                </c:pt>
              </c:numCache>
            </c:numRef>
          </c:val>
          <c:extLst>
            <c:ext xmlns:c16="http://schemas.microsoft.com/office/drawing/2014/chart" uri="{C3380CC4-5D6E-409C-BE32-E72D297353CC}">
              <c16:uniqueId val="{00000000-ED45-4CD1-B0C3-9A870C2FED0D}"/>
            </c:ext>
          </c:extLst>
        </c:ser>
        <c:ser>
          <c:idx val="1"/>
          <c:order val="1"/>
          <c:tx>
            <c:strRef>
              <c:f>COM_N_2012!$D$42</c:f>
              <c:strCache>
                <c:ptCount val="1"/>
                <c:pt idx="0">
                  <c:v>Oil Diesel</c:v>
                </c:pt>
              </c:strCache>
            </c:strRef>
          </c:tx>
          <c:spPr>
            <a:solidFill>
              <a:schemeClr val="accent2"/>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ED45-4CD1-B0C3-9A870C2FED0D}"/>
            </c:ext>
          </c:extLst>
        </c:ser>
        <c:ser>
          <c:idx val="2"/>
          <c:order val="2"/>
          <c:tx>
            <c:strRef>
              <c:f>COM_N_2012!$E$42</c:f>
              <c:strCache>
                <c:ptCount val="1"/>
                <c:pt idx="0">
                  <c:v>Electricity</c:v>
                </c:pt>
              </c:strCache>
            </c:strRef>
          </c:tx>
          <c:spPr>
            <a:solidFill>
              <a:schemeClr val="accent3"/>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COM_N_2012!$E$43:$E$51</c:f>
              <c:numCache>
                <c:formatCode>_(* #,##0.00_);_(* \(#,##0.00\);_(* "-"??_);_(@_)</c:formatCode>
                <c:ptCount val="9"/>
                <c:pt idx="0">
                  <c:v>49.351376096778914</c:v>
                </c:pt>
                <c:pt idx="1">
                  <c:v>2.9477863992030922</c:v>
                </c:pt>
                <c:pt idx="2">
                  <c:v>0.2</c:v>
                </c:pt>
                <c:pt idx="3">
                  <c:v>26.712147671579974</c:v>
                </c:pt>
                <c:pt idx="4">
                  <c:v>29.566390373747051</c:v>
                </c:pt>
                <c:pt idx="5">
                  <c:v>1.2923575419809787</c:v>
                </c:pt>
                <c:pt idx="6">
                  <c:v>3.0148772025911916</c:v>
                </c:pt>
                <c:pt idx="7">
                  <c:v>3.5593512487513528</c:v>
                </c:pt>
                <c:pt idx="8">
                  <c:v>33.387713465367426</c:v>
                </c:pt>
              </c:numCache>
            </c:numRef>
          </c:val>
          <c:extLst>
            <c:ext xmlns:c16="http://schemas.microsoft.com/office/drawing/2014/chart" uri="{C3380CC4-5D6E-409C-BE32-E72D297353CC}">
              <c16:uniqueId val="{00000002-ED45-4CD1-B0C3-9A870C2FED0D}"/>
            </c:ext>
          </c:extLst>
        </c:ser>
        <c:ser>
          <c:idx val="3"/>
          <c:order val="3"/>
          <c:tx>
            <c:strRef>
              <c:f>COM_N_2012!$F$42</c:f>
              <c:strCache>
                <c:ptCount val="1"/>
                <c:pt idx="0">
                  <c:v>Gas</c:v>
                </c:pt>
              </c:strCache>
            </c:strRef>
          </c:tx>
          <c:spPr>
            <a:solidFill>
              <a:schemeClr val="accent4"/>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COM_N_2012!$F$43:$F$51</c:f>
              <c:numCache>
                <c:formatCode>_(* #,##0.00_);_(* \(#,##0.00\);_(* "-"??_);_(@_)</c:formatCode>
                <c:ptCount val="9"/>
                <c:pt idx="0">
                  <c:v>0</c:v>
                </c:pt>
                <c:pt idx="1">
                  <c:v>0</c:v>
                </c:pt>
                <c:pt idx="2">
                  <c:v>0</c:v>
                </c:pt>
                <c:pt idx="3">
                  <c:v>0</c:v>
                </c:pt>
                <c:pt idx="4">
                  <c:v>0</c:v>
                </c:pt>
                <c:pt idx="5">
                  <c:v>0</c:v>
                </c:pt>
                <c:pt idx="6">
                  <c:v>0</c:v>
                </c:pt>
                <c:pt idx="8">
                  <c:v>3.5000000000000003E-2</c:v>
                </c:pt>
              </c:numCache>
            </c:numRef>
          </c:val>
          <c:extLst>
            <c:ext xmlns:c16="http://schemas.microsoft.com/office/drawing/2014/chart" uri="{C3380CC4-5D6E-409C-BE32-E72D297353CC}">
              <c16:uniqueId val="{00000003-ED45-4CD1-B0C3-9A870C2FED0D}"/>
            </c:ext>
          </c:extLst>
        </c:ser>
        <c:ser>
          <c:idx val="4"/>
          <c:order val="4"/>
          <c:tx>
            <c:strRef>
              <c:f>COM_N_2012!$G$42</c:f>
              <c:strCache>
                <c:ptCount val="1"/>
                <c:pt idx="0">
                  <c:v>Oil Gasoline</c:v>
                </c:pt>
              </c:strCache>
            </c:strRef>
          </c:tx>
          <c:spPr>
            <a:solidFill>
              <a:schemeClr val="accent5"/>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ED45-4CD1-B0C3-9A870C2FED0D}"/>
            </c:ext>
          </c:extLst>
        </c:ser>
        <c:ser>
          <c:idx val="5"/>
          <c:order val="5"/>
          <c:tx>
            <c:strRef>
              <c:f>COM_N_2012!$H$42</c:f>
              <c:strCache>
                <c:ptCount val="1"/>
                <c:pt idx="0">
                  <c:v>Oil HFO</c:v>
                </c:pt>
              </c:strCache>
            </c:strRef>
          </c:tx>
          <c:spPr>
            <a:solidFill>
              <a:schemeClr val="accent6"/>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ED45-4CD1-B0C3-9A870C2FED0D}"/>
            </c:ext>
          </c:extLst>
        </c:ser>
        <c:ser>
          <c:idx val="6"/>
          <c:order val="6"/>
          <c:tx>
            <c:strRef>
              <c:f>COM_N_2012!$I$42</c:f>
              <c:strCache>
                <c:ptCount val="1"/>
                <c:pt idx="0">
                  <c:v>Oil Paraffin</c:v>
                </c:pt>
              </c:strCache>
            </c:strRef>
          </c:tx>
          <c:spPr>
            <a:solidFill>
              <a:schemeClr val="accent1">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COM_N_2012!$I$43:$I$51</c:f>
              <c:numCache>
                <c:formatCode>_(* #,##0.00_);_(* \(#,##0.00\);_(* "-"??_);_(@_)</c:formatCode>
                <c:ptCount val="9"/>
                <c:pt idx="0">
                  <c:v>0</c:v>
                </c:pt>
                <c:pt idx="1">
                  <c:v>0</c:v>
                </c:pt>
                <c:pt idx="2">
                  <c:v>0</c:v>
                </c:pt>
                <c:pt idx="3">
                  <c:v>0</c:v>
                </c:pt>
                <c:pt idx="4">
                  <c:v>0</c:v>
                </c:pt>
                <c:pt idx="5">
                  <c:v>0</c:v>
                </c:pt>
                <c:pt idx="6">
                  <c:v>0</c:v>
                </c:pt>
                <c:pt idx="8">
                  <c:v>2.5641871713843942</c:v>
                </c:pt>
              </c:numCache>
            </c:numRef>
          </c:val>
          <c:extLst>
            <c:ext xmlns:c16="http://schemas.microsoft.com/office/drawing/2014/chart" uri="{C3380CC4-5D6E-409C-BE32-E72D297353CC}">
              <c16:uniqueId val="{00000006-ED45-4CD1-B0C3-9A870C2FED0D}"/>
            </c:ext>
          </c:extLst>
        </c:ser>
        <c:ser>
          <c:idx val="7"/>
          <c:order val="7"/>
          <c:tx>
            <c:strRef>
              <c:f>COM_N_2012!$J$42</c:f>
              <c:strCache>
                <c:ptCount val="1"/>
                <c:pt idx="0">
                  <c:v>Oil LPG</c:v>
                </c:pt>
              </c:strCache>
            </c:strRef>
          </c:tx>
          <c:spPr>
            <a:solidFill>
              <a:schemeClr val="accent2">
                <a:lumMod val="60000"/>
              </a:schemeClr>
            </a:solidFill>
            <a:ln>
              <a:noFill/>
            </a:ln>
            <a:effectLst/>
          </c:spPr>
          <c:invertIfNegative val="0"/>
          <c:cat>
            <c:strRef>
              <c:f>COM_N_2012!$B$43:$B$51</c:f>
              <c:strCache>
                <c:ptCount val="9"/>
                <c:pt idx="0">
                  <c:v>CNC</c:v>
                </c:pt>
                <c:pt idx="1">
                  <c:v>CNH</c:v>
                </c:pt>
                <c:pt idx="2">
                  <c:v>CNK</c:v>
                </c:pt>
                <c:pt idx="3">
                  <c:v>CNL</c:v>
                </c:pt>
                <c:pt idx="4">
                  <c:v>CNR</c:v>
                </c:pt>
                <c:pt idx="5">
                  <c:v>CNW</c:v>
                </c:pt>
                <c:pt idx="6">
                  <c:v>CNG</c:v>
                </c:pt>
                <c:pt idx="7">
                  <c:v>CNT</c:v>
                </c:pt>
                <c:pt idx="8">
                  <c:v>CNO</c:v>
                </c:pt>
              </c:strCache>
            </c:strRef>
          </c:cat>
          <c:val>
            <c:numRef>
              <c:f>COM_N_2012!$J$43:$J$51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A-ED45-4CD1-B0C3-9A870C2FED0D}"/>
            </c:ext>
          </c:extLst>
        </c:ser>
        <c:dLbls>
          <c:showLegendKey val="0"/>
          <c:showVal val="0"/>
          <c:showCatName val="0"/>
          <c:showSerName val="0"/>
          <c:showPercent val="0"/>
          <c:showBubbleSize val="0"/>
        </c:dLbls>
        <c:gapWidth val="219"/>
        <c:overlap val="100"/>
        <c:axId val="1057095328"/>
        <c:axId val="1061606176"/>
      </c:barChart>
      <c:catAx>
        <c:axId val="1057095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06176"/>
        <c:crosses val="autoZero"/>
        <c:auto val="1"/>
        <c:lblAlgn val="ctr"/>
        <c:lblOffset val="100"/>
        <c:noMultiLvlLbl val="0"/>
      </c:catAx>
      <c:valAx>
        <c:axId val="10616061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0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31191712587033E-2"/>
          <c:y val="0.18075048732943469"/>
          <c:w val="0.87717793321727155"/>
          <c:h val="0.55025210664456425"/>
        </c:manualLayout>
      </c:layout>
      <c:barChart>
        <c:barDir val="col"/>
        <c:grouping val="stacked"/>
        <c:varyColors val="0"/>
        <c:ser>
          <c:idx val="0"/>
          <c:order val="0"/>
          <c:spPr>
            <a:solidFill>
              <a:schemeClr val="accent1"/>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COM_2012!$C$43:$C$51</c:f>
              <c:numCache>
                <c:formatCode>_(* #,##0.00_);_(* \(#,##0.00\);_(* "-"??_);_(@_)</c:formatCode>
                <c:ptCount val="9"/>
                <c:pt idx="0">
                  <c:v>0</c:v>
                </c:pt>
                <c:pt idx="1">
                  <c:v>8.1616654142914022</c:v>
                </c:pt>
                <c:pt idx="2">
                  <c:v>1.0723860880878705E-2</c:v>
                </c:pt>
                <c:pt idx="3">
                  <c:v>0</c:v>
                </c:pt>
                <c:pt idx="4">
                  <c:v>0</c:v>
                </c:pt>
                <c:pt idx="5">
                  <c:v>6.8535628752885334</c:v>
                </c:pt>
                <c:pt idx="6">
                  <c:v>0</c:v>
                </c:pt>
                <c:pt idx="8">
                  <c:v>0</c:v>
                </c:pt>
              </c:numCache>
            </c:numRef>
          </c:val>
          <c:extLst>
            <c:ext xmlns:c16="http://schemas.microsoft.com/office/drawing/2014/chart" uri="{C3380CC4-5D6E-409C-BE32-E72D297353CC}">
              <c16:uniqueId val="{00000000-C296-46AE-B7F5-9307FBBEFCD6}"/>
            </c:ext>
          </c:extLst>
        </c:ser>
        <c:ser>
          <c:idx val="1"/>
          <c:order val="1"/>
          <c:spPr>
            <a:solidFill>
              <a:schemeClr val="accent2"/>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COM_2012!$D$43:$D$51</c:f>
              <c:numCache>
                <c:formatCode>_(* #,##0.00_);_(* \(#,##0.00\);_(* "-"??_);_(@_)</c:formatCode>
                <c:ptCount val="9"/>
                <c:pt idx="0">
                  <c:v>0</c:v>
                </c:pt>
                <c:pt idx="1">
                  <c:v>0</c:v>
                </c:pt>
                <c:pt idx="2">
                  <c:v>0</c:v>
                </c:pt>
                <c:pt idx="3">
                  <c:v>0</c:v>
                </c:pt>
                <c:pt idx="4">
                  <c:v>0</c:v>
                </c:pt>
                <c:pt idx="5">
                  <c:v>0</c:v>
                </c:pt>
                <c:pt idx="6">
                  <c:v>0</c:v>
                </c:pt>
                <c:pt idx="8">
                  <c:v>0.69547475469735887</c:v>
                </c:pt>
              </c:numCache>
            </c:numRef>
          </c:val>
          <c:extLst>
            <c:ext xmlns:c16="http://schemas.microsoft.com/office/drawing/2014/chart" uri="{C3380CC4-5D6E-409C-BE32-E72D297353CC}">
              <c16:uniqueId val="{00000001-C296-46AE-B7F5-9307FBBEFCD6}"/>
            </c:ext>
          </c:extLst>
        </c:ser>
        <c:ser>
          <c:idx val="2"/>
          <c:order val="2"/>
          <c:spPr>
            <a:solidFill>
              <a:schemeClr val="accent3"/>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COM_2012!$E$43:$E$51</c:f>
              <c:numCache>
                <c:formatCode>_(* #,##0.00_);_(* \(#,##0.00\);_(* "-"??_);_(@_)</c:formatCode>
                <c:ptCount val="9"/>
                <c:pt idx="0">
                  <c:v>49.351376096778914</c:v>
                </c:pt>
                <c:pt idx="1">
                  <c:v>2.9477863992030922</c:v>
                </c:pt>
                <c:pt idx="2">
                  <c:v>9.5195610713180816</c:v>
                </c:pt>
                <c:pt idx="3">
                  <c:v>26.712147671579974</c:v>
                </c:pt>
                <c:pt idx="4">
                  <c:v>29.566390373747051</c:v>
                </c:pt>
                <c:pt idx="5">
                  <c:v>1.2923575419809787</c:v>
                </c:pt>
                <c:pt idx="6">
                  <c:v>3.0148772025911916</c:v>
                </c:pt>
                <c:pt idx="7">
                  <c:v>3.5593512487513528</c:v>
                </c:pt>
                <c:pt idx="8">
                  <c:v>23.868152394049329</c:v>
                </c:pt>
              </c:numCache>
            </c:numRef>
          </c:val>
          <c:extLst>
            <c:ext xmlns:c16="http://schemas.microsoft.com/office/drawing/2014/chart" uri="{C3380CC4-5D6E-409C-BE32-E72D297353CC}">
              <c16:uniqueId val="{00000002-C296-46AE-B7F5-9307FBBEFCD6}"/>
            </c:ext>
          </c:extLst>
        </c:ser>
        <c:ser>
          <c:idx val="3"/>
          <c:order val="3"/>
          <c:spPr>
            <a:solidFill>
              <a:schemeClr val="accent4"/>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COM_2012!$F$43:$F$51</c:f>
              <c:numCache>
                <c:formatCode>_(* #,##0.00_);_(* \(#,##0.00\);_(* "-"??_);_(@_)</c:formatCode>
                <c:ptCount val="9"/>
                <c:pt idx="0">
                  <c:v>0</c:v>
                </c:pt>
                <c:pt idx="1">
                  <c:v>1.0100376411543287E-2</c:v>
                </c:pt>
                <c:pt idx="2">
                  <c:v>0</c:v>
                </c:pt>
                <c:pt idx="3">
                  <c:v>0</c:v>
                </c:pt>
                <c:pt idx="4">
                  <c:v>0</c:v>
                </c:pt>
                <c:pt idx="5">
                  <c:v>2.4899623588456717E-2</c:v>
                </c:pt>
                <c:pt idx="6">
                  <c:v>0</c:v>
                </c:pt>
                <c:pt idx="8">
                  <c:v>0</c:v>
                </c:pt>
              </c:numCache>
            </c:numRef>
          </c:val>
          <c:extLst>
            <c:ext xmlns:c16="http://schemas.microsoft.com/office/drawing/2014/chart" uri="{C3380CC4-5D6E-409C-BE32-E72D297353CC}">
              <c16:uniqueId val="{00000003-C296-46AE-B7F5-9307FBBEFCD6}"/>
            </c:ext>
          </c:extLst>
        </c:ser>
        <c:ser>
          <c:idx val="4"/>
          <c:order val="4"/>
          <c:spPr>
            <a:solidFill>
              <a:schemeClr val="accent5"/>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COM_2012!$G$43:$G$51</c:f>
              <c:numCache>
                <c:formatCode>_(* #,##0.00_);_(* \(#,##0.00\);_(* "-"??_);_(@_)</c:formatCode>
                <c:ptCount val="9"/>
                <c:pt idx="0">
                  <c:v>0</c:v>
                </c:pt>
                <c:pt idx="1">
                  <c:v>0</c:v>
                </c:pt>
                <c:pt idx="2">
                  <c:v>0</c:v>
                </c:pt>
                <c:pt idx="3">
                  <c:v>0</c:v>
                </c:pt>
                <c:pt idx="4">
                  <c:v>0</c:v>
                </c:pt>
                <c:pt idx="5">
                  <c:v>0</c:v>
                </c:pt>
                <c:pt idx="6">
                  <c:v>0</c:v>
                </c:pt>
                <c:pt idx="8">
                  <c:v>0</c:v>
                </c:pt>
              </c:numCache>
            </c:numRef>
          </c:val>
          <c:extLst>
            <c:ext xmlns:c16="http://schemas.microsoft.com/office/drawing/2014/chart" uri="{C3380CC4-5D6E-409C-BE32-E72D297353CC}">
              <c16:uniqueId val="{00000004-C296-46AE-B7F5-9307FBBEFCD6}"/>
            </c:ext>
          </c:extLst>
        </c:ser>
        <c:ser>
          <c:idx val="5"/>
          <c:order val="5"/>
          <c:spPr>
            <a:solidFill>
              <a:schemeClr val="accent6"/>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COM_2012!$H$43:$H$51</c:f>
              <c:numCache>
                <c:formatCode>_(* #,##0.00_);_(* \(#,##0.00\);_(* "-"??_);_(@_)</c:formatCode>
                <c:ptCount val="9"/>
                <c:pt idx="0">
                  <c:v>0</c:v>
                </c:pt>
                <c:pt idx="1">
                  <c:v>0</c:v>
                </c:pt>
                <c:pt idx="2">
                  <c:v>0</c:v>
                </c:pt>
                <c:pt idx="3">
                  <c:v>0</c:v>
                </c:pt>
                <c:pt idx="4">
                  <c:v>0</c:v>
                </c:pt>
                <c:pt idx="5">
                  <c:v>0</c:v>
                </c:pt>
                <c:pt idx="6">
                  <c:v>0</c:v>
                </c:pt>
                <c:pt idx="8">
                  <c:v>0.23314278231431268</c:v>
                </c:pt>
              </c:numCache>
            </c:numRef>
          </c:val>
          <c:extLst>
            <c:ext xmlns:c16="http://schemas.microsoft.com/office/drawing/2014/chart" uri="{C3380CC4-5D6E-409C-BE32-E72D297353CC}">
              <c16:uniqueId val="{00000005-C296-46AE-B7F5-9307FBBEFCD6}"/>
            </c:ext>
          </c:extLst>
        </c:ser>
        <c:ser>
          <c:idx val="6"/>
          <c:order val="6"/>
          <c:spPr>
            <a:solidFill>
              <a:schemeClr val="accent1">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COM_2012!$I$43:$I$51</c:f>
              <c:numCache>
                <c:formatCode>_(* #,##0.00_);_(* \(#,##0.00\);_(* "-"??_);_(@_)</c:formatCode>
                <c:ptCount val="9"/>
                <c:pt idx="0">
                  <c:v>0</c:v>
                </c:pt>
                <c:pt idx="1">
                  <c:v>0</c:v>
                </c:pt>
                <c:pt idx="2">
                  <c:v>0</c:v>
                </c:pt>
                <c:pt idx="3">
                  <c:v>0</c:v>
                </c:pt>
                <c:pt idx="4">
                  <c:v>0</c:v>
                </c:pt>
                <c:pt idx="5">
                  <c:v>2.5641871713843942</c:v>
                </c:pt>
                <c:pt idx="6">
                  <c:v>0</c:v>
                </c:pt>
                <c:pt idx="8">
                  <c:v>0</c:v>
                </c:pt>
              </c:numCache>
            </c:numRef>
          </c:val>
          <c:extLst>
            <c:ext xmlns:c16="http://schemas.microsoft.com/office/drawing/2014/chart" uri="{C3380CC4-5D6E-409C-BE32-E72D297353CC}">
              <c16:uniqueId val="{00000006-C296-46AE-B7F5-9307FBBEFCD6}"/>
            </c:ext>
          </c:extLst>
        </c:ser>
        <c:ser>
          <c:idx val="7"/>
          <c:order val="7"/>
          <c:spPr>
            <a:solidFill>
              <a:schemeClr val="accent2">
                <a:lumMod val="60000"/>
              </a:schemeClr>
            </a:solidFill>
            <a:ln>
              <a:noFill/>
            </a:ln>
            <a:effectLst/>
          </c:spPr>
          <c:invertIfNegative val="0"/>
          <c:cat>
            <c:strRef>
              <c:f>COM_2012!$B$43:$B$51</c:f>
              <c:strCache>
                <c:ptCount val="9"/>
                <c:pt idx="0">
                  <c:v>CEC</c:v>
                </c:pt>
                <c:pt idx="1">
                  <c:v>CEH</c:v>
                </c:pt>
                <c:pt idx="2">
                  <c:v>CEK</c:v>
                </c:pt>
                <c:pt idx="3">
                  <c:v>CEL</c:v>
                </c:pt>
                <c:pt idx="4">
                  <c:v>CER</c:v>
                </c:pt>
                <c:pt idx="5">
                  <c:v>CEW</c:v>
                </c:pt>
                <c:pt idx="6">
                  <c:v>CEG</c:v>
                </c:pt>
                <c:pt idx="7">
                  <c:v>CET</c:v>
                </c:pt>
                <c:pt idx="8">
                  <c:v>CEO</c:v>
                </c:pt>
              </c:strCache>
            </c:strRef>
          </c:cat>
          <c:val>
            <c:numRef>
              <c:f>COM_2012!$J$43:$J$51</c:f>
              <c:numCache>
                <c:formatCode>_(* #,##0.00_);_(* \(#,##0.00\);_(* "-"??_);_(@_)</c:formatCode>
                <c:ptCount val="9"/>
                <c:pt idx="0">
                  <c:v>0</c:v>
                </c:pt>
                <c:pt idx="1">
                  <c:v>0</c:v>
                </c:pt>
                <c:pt idx="2">
                  <c:v>0.40766198839002638</c:v>
                </c:pt>
                <c:pt idx="3">
                  <c:v>0</c:v>
                </c:pt>
                <c:pt idx="4">
                  <c:v>0</c:v>
                </c:pt>
                <c:pt idx="5">
                  <c:v>3.6272088171703252</c:v>
                </c:pt>
                <c:pt idx="6">
                  <c:v>0</c:v>
                </c:pt>
                <c:pt idx="8">
                  <c:v>0</c:v>
                </c:pt>
              </c:numCache>
            </c:numRef>
          </c:val>
          <c:extLst>
            <c:ext xmlns:c16="http://schemas.microsoft.com/office/drawing/2014/chart" uri="{C3380CC4-5D6E-409C-BE32-E72D297353CC}">
              <c16:uniqueId val="{00000007-C296-46AE-B7F5-9307FBBEFCD6}"/>
            </c:ext>
          </c:extLst>
        </c:ser>
        <c:dLbls>
          <c:showLegendKey val="0"/>
          <c:showVal val="0"/>
          <c:showCatName val="0"/>
          <c:showSerName val="0"/>
          <c:showPercent val="0"/>
          <c:showBubbleSize val="0"/>
        </c:dLbls>
        <c:gapWidth val="150"/>
        <c:overlap val="100"/>
        <c:axId val="1186789664"/>
        <c:axId val="1061649856"/>
      </c:barChart>
      <c:catAx>
        <c:axId val="118678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49856"/>
        <c:crosses val="autoZero"/>
        <c:auto val="1"/>
        <c:lblAlgn val="ctr"/>
        <c:lblOffset val="100"/>
        <c:noMultiLvlLbl val="0"/>
      </c:catAx>
      <c:valAx>
        <c:axId val="10616498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78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502405949256346E-2"/>
          <c:y val="5.1400554097404488E-2"/>
          <c:w val="0.83049387576552935"/>
          <c:h val="0.78403773329071869"/>
        </c:manualLayout>
      </c:layout>
      <c:lineChart>
        <c:grouping val="standard"/>
        <c:varyColors val="0"/>
        <c:ser>
          <c:idx val="1"/>
          <c:order val="1"/>
          <c:tx>
            <c:strRef>
              <c:f>'SA GDP'!$H$5</c:f>
              <c:strCache>
                <c:ptCount val="1"/>
                <c:pt idx="0">
                  <c:v>chng in floor space</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GDP'!$H$6:$H$62</c:f>
              <c:numCache>
                <c:formatCode>0.0</c:formatCode>
                <c:ptCount val="57"/>
                <c:pt idx="0">
                  <c:v>1.6849612109201662</c:v>
                </c:pt>
                <c:pt idx="1">
                  <c:v>1.0326329353739006</c:v>
                </c:pt>
                <c:pt idx="2">
                  <c:v>0.9501450335362982</c:v>
                </c:pt>
                <c:pt idx="3">
                  <c:v>1.3218345354224503</c:v>
                </c:pt>
                <c:pt idx="4">
                  <c:v>1.4752265673133369</c:v>
                </c:pt>
                <c:pt idx="5">
                  <c:v>1.4775611345893225</c:v>
                </c:pt>
                <c:pt idx="6">
                  <c:v>1.0510838735026784</c:v>
                </c:pt>
                <c:pt idx="7">
                  <c:v>1.199981738777689</c:v>
                </c:pt>
                <c:pt idx="8">
                  <c:v>1.3027336429379144</c:v>
                </c:pt>
                <c:pt idx="9">
                  <c:v>0.93963186459988801</c:v>
                </c:pt>
                <c:pt idx="10">
                  <c:v>0.96369159485705236</c:v>
                </c:pt>
                <c:pt idx="11">
                  <c:v>0.8259084040117548</c:v>
                </c:pt>
                <c:pt idx="12">
                  <c:v>0.85364329473200939</c:v>
                </c:pt>
                <c:pt idx="13">
                  <c:v>0.90818575870370566</c:v>
                </c:pt>
                <c:pt idx="14">
                  <c:v>1.2901977810053422</c:v>
                </c:pt>
                <c:pt idx="15">
                  <c:v>2.0458890283015618</c:v>
                </c:pt>
                <c:pt idx="16">
                  <c:v>1.7349366606449923</c:v>
                </c:pt>
                <c:pt idx="17">
                  <c:v>1.0907262893603109</c:v>
                </c:pt>
                <c:pt idx="18">
                  <c:v>0.92067368729218391</c:v>
                </c:pt>
                <c:pt idx="19">
                  <c:v>0.89777555313765856</c:v>
                </c:pt>
                <c:pt idx="20">
                  <c:v>1.1872257507254735</c:v>
                </c:pt>
                <c:pt idx="21">
                  <c:v>1.0290389554997059</c:v>
                </c:pt>
                <c:pt idx="22">
                  <c:v>0.9737783382037124</c:v>
                </c:pt>
                <c:pt idx="23">
                  <c:v>1.3452271595511434</c:v>
                </c:pt>
                <c:pt idx="24">
                  <c:v>0.85114413167675096</c:v>
                </c:pt>
                <c:pt idx="25">
                  <c:v>1.137025124705171</c:v>
                </c:pt>
                <c:pt idx="26">
                  <c:v>0.53985378596301814</c:v>
                </c:pt>
                <c:pt idx="27">
                  <c:v>0.58008052822724476</c:v>
                </c:pt>
                <c:pt idx="28">
                  <c:v>0.54071456538076212</c:v>
                </c:pt>
                <c:pt idx="29">
                  <c:v>4.3026355581673963</c:v>
                </c:pt>
                <c:pt idx="30">
                  <c:v>1.6496092878046134</c:v>
                </c:pt>
                <c:pt idx="31">
                  <c:v>0.6955869105744239</c:v>
                </c:pt>
                <c:pt idx="32">
                  <c:v>1.2847856319772157</c:v>
                </c:pt>
                <c:pt idx="33">
                  <c:v>1.1619400854706488</c:v>
                </c:pt>
                <c:pt idx="34">
                  <c:v>1.4250191524608407</c:v>
                </c:pt>
                <c:pt idx="35">
                  <c:v>1.3947529497683251</c:v>
                </c:pt>
                <c:pt idx="36">
                  <c:v>1.3829257534442643</c:v>
                </c:pt>
                <c:pt idx="37">
                  <c:v>1.3812761399033475</c:v>
                </c:pt>
                <c:pt idx="38">
                  <c:v>1.4990920180105392</c:v>
                </c:pt>
                <c:pt idx="39">
                  <c:v>1.5407015137302804</c:v>
                </c:pt>
                <c:pt idx="40">
                  <c:v>1.5321708937072611</c:v>
                </c:pt>
                <c:pt idx="41">
                  <c:v>1.5286599725001966</c:v>
                </c:pt>
                <c:pt idx="42">
                  <c:v>1.5270751329015102</c:v>
                </c:pt>
                <c:pt idx="43">
                  <c:v>1.5255399061699575</c:v>
                </c:pt>
                <c:pt idx="44">
                  <c:v>1.5308294838018413</c:v>
                </c:pt>
                <c:pt idx="45">
                  <c:v>1.5288550778161534</c:v>
                </c:pt>
                <c:pt idx="46">
                  <c:v>1.5281919146379317</c:v>
                </c:pt>
                <c:pt idx="47">
                  <c:v>1.5280983030654789</c:v>
                </c:pt>
                <c:pt idx="48">
                  <c:v>1.5283029370982724</c:v>
                </c:pt>
                <c:pt idx="49">
                  <c:v>1.5288555432839357</c:v>
                </c:pt>
                <c:pt idx="50">
                  <c:v>1.5284607551803542</c:v>
                </c:pt>
                <c:pt idx="51">
                  <c:v>1.5283818906531945</c:v>
                </c:pt>
                <c:pt idx="52">
                  <c:v>1.528419885856247</c:v>
                </c:pt>
                <c:pt idx="53">
                  <c:v>1.528484202414401</c:v>
                </c:pt>
                <c:pt idx="54">
                  <c:v>1.5285204554776264</c:v>
                </c:pt>
                <c:pt idx="55">
                  <c:v>1.5284534379163648</c:v>
                </c:pt>
                <c:pt idx="56">
                  <c:v>1.5284519744635667</c:v>
                </c:pt>
              </c:numCache>
            </c:numRef>
          </c:val>
          <c:smooth val="0"/>
          <c:extLst>
            <c:ext xmlns:c16="http://schemas.microsoft.com/office/drawing/2014/chart" uri="{C3380CC4-5D6E-409C-BE32-E72D297353CC}">
              <c16:uniqueId val="{00000000-1FFB-40BF-85AA-5BB63179767D}"/>
            </c:ext>
          </c:extLst>
        </c:ser>
        <c:dLbls>
          <c:showLegendKey val="0"/>
          <c:showVal val="0"/>
          <c:showCatName val="0"/>
          <c:showSerName val="0"/>
          <c:showPercent val="0"/>
          <c:showBubbleSize val="0"/>
        </c:dLbls>
        <c:marker val="1"/>
        <c:smooth val="0"/>
        <c:axId val="205846928"/>
        <c:axId val="209359464"/>
      </c:lineChart>
      <c:lineChart>
        <c:grouping val="standard"/>
        <c:varyColors val="0"/>
        <c:ser>
          <c:idx val="0"/>
          <c:order val="0"/>
          <c:tx>
            <c:strRef>
              <c:f>'SA GDP'!$G$5</c:f>
              <c:strCache>
                <c:ptCount val="1"/>
                <c:pt idx="0">
                  <c:v>GDP</c:v>
                </c:pt>
              </c:strCache>
            </c:strRef>
          </c:tx>
          <c:marker>
            <c:symbol val="none"/>
          </c:marker>
          <c:cat>
            <c:numRef>
              <c:f>'SA GDP'!$F$6:$F$62</c:f>
              <c:numCache>
                <c:formatCode>0</c:formatCode>
                <c:ptCount val="57"/>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pt idx="32">
                  <c:v>2026</c:v>
                </c:pt>
                <c:pt idx="33">
                  <c:v>2027</c:v>
                </c:pt>
                <c:pt idx="34">
                  <c:v>2028</c:v>
                </c:pt>
                <c:pt idx="35">
                  <c:v>2029</c:v>
                </c:pt>
                <c:pt idx="36">
                  <c:v>2030</c:v>
                </c:pt>
                <c:pt idx="37">
                  <c:v>2031</c:v>
                </c:pt>
                <c:pt idx="38">
                  <c:v>2032</c:v>
                </c:pt>
                <c:pt idx="39">
                  <c:v>2033</c:v>
                </c:pt>
                <c:pt idx="40">
                  <c:v>2034</c:v>
                </c:pt>
                <c:pt idx="41">
                  <c:v>2035</c:v>
                </c:pt>
                <c:pt idx="42">
                  <c:v>2036</c:v>
                </c:pt>
                <c:pt idx="43">
                  <c:v>2037</c:v>
                </c:pt>
                <c:pt idx="44">
                  <c:v>2038</c:v>
                </c:pt>
                <c:pt idx="45">
                  <c:v>2039</c:v>
                </c:pt>
                <c:pt idx="46">
                  <c:v>2040</c:v>
                </c:pt>
                <c:pt idx="47">
                  <c:v>2041</c:v>
                </c:pt>
                <c:pt idx="48">
                  <c:v>2042</c:v>
                </c:pt>
                <c:pt idx="49">
                  <c:v>2043</c:v>
                </c:pt>
                <c:pt idx="50">
                  <c:v>2044</c:v>
                </c:pt>
                <c:pt idx="51">
                  <c:v>2045</c:v>
                </c:pt>
                <c:pt idx="52">
                  <c:v>2046</c:v>
                </c:pt>
                <c:pt idx="53">
                  <c:v>2047</c:v>
                </c:pt>
                <c:pt idx="54">
                  <c:v>2048</c:v>
                </c:pt>
                <c:pt idx="55">
                  <c:v>2049</c:v>
                </c:pt>
                <c:pt idx="56">
                  <c:v>2050</c:v>
                </c:pt>
              </c:numCache>
            </c:numRef>
          </c:cat>
          <c:val>
            <c:numRef>
              <c:f>'SA GDP'!$G$6:$G$62</c:f>
              <c:numCache>
                <c:formatCode>0.0</c:formatCode>
                <c:ptCount val="57"/>
                <c:pt idx="0">
                  <c:v>3.2000000109930982</c:v>
                </c:pt>
                <c:pt idx="1">
                  <c:v>3.1000000115601001</c:v>
                </c:pt>
                <c:pt idx="2">
                  <c:v>4.2999999847955994</c:v>
                </c:pt>
                <c:pt idx="3">
                  <c:v>2.599999988405477</c:v>
                </c:pt>
                <c:pt idx="4">
                  <c:v>0.50000002907462093</c:v>
                </c:pt>
                <c:pt idx="5">
                  <c:v>2.399999985152923</c:v>
                </c:pt>
                <c:pt idx="6">
                  <c:v>4.2000000142858873</c:v>
                </c:pt>
                <c:pt idx="7">
                  <c:v>2.7000000132496371</c:v>
                </c:pt>
                <c:pt idx="8">
                  <c:v>3.7003743672280986</c:v>
                </c:pt>
                <c:pt idx="9">
                  <c:v>2.9490754871250635</c:v>
                </c:pt>
                <c:pt idx="10">
                  <c:v>4.5545599137926773</c:v>
                </c:pt>
                <c:pt idx="11">
                  <c:v>5.2770519805591887</c:v>
                </c:pt>
                <c:pt idx="12">
                  <c:v>5.6038064477585969</c:v>
                </c:pt>
                <c:pt idx="13">
                  <c:v>5.3604740568681475</c:v>
                </c:pt>
                <c:pt idx="14">
                  <c:v>3.1910438797990048</c:v>
                </c:pt>
                <c:pt idx="15">
                  <c:v>-1.5380891531770247</c:v>
                </c:pt>
                <c:pt idx="16">
                  <c:v>3.0397328781698096</c:v>
                </c:pt>
                <c:pt idx="17">
                  <c:v>3.2841668053207318</c:v>
                </c:pt>
                <c:pt idx="18">
                  <c:v>2.2133536669950216</c:v>
                </c:pt>
                <c:pt idx="19">
                  <c:v>2.4892468016023184</c:v>
                </c:pt>
                <c:pt idx="20">
                  <c:v>1.6995627028685956</c:v>
                </c:pt>
                <c:pt idx="21">
                  <c:v>1.2988608566140369</c:v>
                </c:pt>
                <c:pt idx="22">
                  <c:v>0.7</c:v>
                </c:pt>
                <c:pt idx="23">
                  <c:v>1.1579555032829036</c:v>
                </c:pt>
                <c:pt idx="24">
                  <c:v>1.5223131162391379</c:v>
                </c:pt>
                <c:pt idx="25">
                  <c:v>0.30346380665138284</c:v>
                </c:pt>
                <c:pt idx="26">
                  <c:v>-6.3424758747680272</c:v>
                </c:pt>
                <c:pt idx="27">
                  <c:v>4.9130860465666171</c:v>
                </c:pt>
                <c:pt idx="28">
                  <c:v>2.0423133115211822</c:v>
                </c:pt>
                <c:pt idx="29">
                  <c:v>0.9</c:v>
                </c:pt>
                <c:pt idx="30">
                  <c:v>1.5</c:v>
                </c:pt>
                <c:pt idx="31">
                  <c:v>1.8</c:v>
                </c:pt>
                <c:pt idx="32">
                  <c:v>1.8</c:v>
                </c:pt>
                <c:pt idx="33">
                  <c:v>1.8</c:v>
                </c:pt>
                <c:pt idx="34">
                  <c:v>1.8</c:v>
                </c:pt>
                <c:pt idx="35">
                  <c:v>1.8</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numCache>
            </c:numRef>
          </c:val>
          <c:smooth val="0"/>
          <c:extLst>
            <c:ext xmlns:c16="http://schemas.microsoft.com/office/drawing/2014/chart" uri="{C3380CC4-5D6E-409C-BE32-E72D297353CC}">
              <c16:uniqueId val="{00000001-1FFB-40BF-85AA-5BB63179767D}"/>
            </c:ext>
          </c:extLst>
        </c:ser>
        <c:dLbls>
          <c:showLegendKey val="0"/>
          <c:showVal val="0"/>
          <c:showCatName val="0"/>
          <c:showSerName val="0"/>
          <c:showPercent val="0"/>
          <c:showBubbleSize val="0"/>
        </c:dLbls>
        <c:marker val="1"/>
        <c:smooth val="0"/>
        <c:axId val="209360232"/>
        <c:axId val="209359848"/>
      </c:lineChart>
      <c:catAx>
        <c:axId val="205846928"/>
        <c:scaling>
          <c:orientation val="minMax"/>
        </c:scaling>
        <c:delete val="0"/>
        <c:axPos val="b"/>
        <c:numFmt formatCode="0" sourceLinked="1"/>
        <c:majorTickMark val="out"/>
        <c:minorTickMark val="none"/>
        <c:tickLblPos val="nextTo"/>
        <c:crossAx val="209359464"/>
        <c:crosses val="autoZero"/>
        <c:auto val="1"/>
        <c:lblAlgn val="ctr"/>
        <c:lblOffset val="100"/>
        <c:noMultiLvlLbl val="0"/>
      </c:catAx>
      <c:valAx>
        <c:axId val="209359464"/>
        <c:scaling>
          <c:orientation val="minMax"/>
        </c:scaling>
        <c:delete val="0"/>
        <c:axPos val="l"/>
        <c:numFmt formatCode="0.0" sourceLinked="1"/>
        <c:majorTickMark val="out"/>
        <c:minorTickMark val="none"/>
        <c:tickLblPos val="nextTo"/>
        <c:crossAx val="205846928"/>
        <c:crosses val="autoZero"/>
        <c:crossBetween val="between"/>
      </c:valAx>
      <c:valAx>
        <c:axId val="209359848"/>
        <c:scaling>
          <c:orientation val="minMax"/>
        </c:scaling>
        <c:delete val="1"/>
        <c:axPos val="r"/>
        <c:numFmt formatCode="0.0" sourceLinked="1"/>
        <c:majorTickMark val="out"/>
        <c:minorTickMark val="none"/>
        <c:tickLblPos val="nextTo"/>
        <c:crossAx val="209360232"/>
        <c:crosses val="max"/>
        <c:crossBetween val="between"/>
      </c:valAx>
      <c:catAx>
        <c:axId val="209360232"/>
        <c:scaling>
          <c:orientation val="minMax"/>
        </c:scaling>
        <c:delete val="1"/>
        <c:axPos val="b"/>
        <c:numFmt formatCode="0" sourceLinked="1"/>
        <c:majorTickMark val="out"/>
        <c:minorTickMark val="none"/>
        <c:tickLblPos val="nextTo"/>
        <c:crossAx val="209359848"/>
        <c:crosses val="autoZero"/>
        <c:auto val="1"/>
        <c:lblAlgn val="ctr"/>
        <c:lblOffset val="100"/>
        <c:noMultiLvlLbl val="0"/>
      </c:catAx>
    </c:plotArea>
    <c:legend>
      <c:legendPos val="r"/>
      <c:layout>
        <c:manualLayout>
          <c:xMode val="edge"/>
          <c:yMode val="edge"/>
          <c:x val="0.10810979877515313"/>
          <c:y val="2.7393919510061246E-2"/>
          <c:w val="0.29470667517911614"/>
          <c:h val="0.17793764709300636"/>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00390625E-2"/>
          <c:y val="1.340033500837521E-2"/>
          <c:w val="0.896484375"/>
          <c:h val="0.93802345058626468"/>
        </c:manualLayout>
      </c:layout>
      <c:areaChart>
        <c:grouping val="stacked"/>
        <c:varyColors val="0"/>
        <c:ser>
          <c:idx val="0"/>
          <c:order val="0"/>
          <c:spPr>
            <a:solidFill>
              <a:srgbClr val="004586"/>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0-385C-44C0-9768-C48939AC82E0}"/>
            </c:ext>
          </c:extLst>
        </c:ser>
        <c:ser>
          <c:idx val="1"/>
          <c:order val="1"/>
          <c:spPr>
            <a:solidFill>
              <a:srgbClr val="FFD320"/>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1-385C-44C0-9768-C48939AC82E0}"/>
            </c:ext>
          </c:extLst>
        </c:ser>
        <c:ser>
          <c:idx val="2"/>
          <c:order val="2"/>
          <c:spPr>
            <a:solidFill>
              <a:srgbClr val="7E0021"/>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2-385C-44C0-9768-C48939AC82E0}"/>
            </c:ext>
          </c:extLst>
        </c:ser>
        <c:ser>
          <c:idx val="3"/>
          <c:order val="3"/>
          <c:spPr>
            <a:solidFill>
              <a:srgbClr val="314004"/>
            </a:solidFill>
            <a:ln w="3175">
              <a:solidFill>
                <a:srgbClr val="000000"/>
              </a:solidFill>
              <a:prstDash val="solid"/>
            </a:ln>
          </c:spPr>
          <c:val>
            <c:numLit>
              <c:formatCode>General</c:formatCode>
              <c:ptCount val="1"/>
              <c:pt idx="0">
                <c:v>0</c:v>
              </c:pt>
            </c:numLit>
          </c:val>
          <c:extLst>
            <c:ext xmlns:c16="http://schemas.microsoft.com/office/drawing/2014/chart" uri="{C3380CC4-5D6E-409C-BE32-E72D297353CC}">
              <c16:uniqueId val="{00000003-385C-44C0-9768-C48939AC82E0}"/>
            </c:ext>
          </c:extLst>
        </c:ser>
        <c:ser>
          <c:idx val="4"/>
          <c:order val="4"/>
          <c:spPr>
            <a:solidFill>
              <a:srgbClr val="4B1F6F"/>
            </a:solidFill>
            <a:ln w="25400">
              <a:noFill/>
            </a:ln>
          </c:spPr>
          <c:val>
            <c:numLit>
              <c:formatCode>General</c:formatCode>
              <c:ptCount val="1"/>
              <c:pt idx="0">
                <c:v>0</c:v>
              </c:pt>
            </c:numLit>
          </c:val>
          <c:extLst>
            <c:ext xmlns:c16="http://schemas.microsoft.com/office/drawing/2014/chart" uri="{C3380CC4-5D6E-409C-BE32-E72D297353CC}">
              <c16:uniqueId val="{00000004-385C-44C0-9768-C48939AC82E0}"/>
            </c:ext>
          </c:extLst>
        </c:ser>
        <c:ser>
          <c:idx val="5"/>
          <c:order val="5"/>
          <c:spPr>
            <a:solidFill>
              <a:srgbClr val="C5000B"/>
            </a:solidFill>
            <a:ln w="25400">
              <a:noFill/>
            </a:ln>
          </c:spPr>
          <c:val>
            <c:numLit>
              <c:formatCode>General</c:formatCode>
              <c:ptCount val="1"/>
              <c:pt idx="0">
                <c:v>0</c:v>
              </c:pt>
            </c:numLit>
          </c:val>
          <c:extLst>
            <c:ext xmlns:c16="http://schemas.microsoft.com/office/drawing/2014/chart" uri="{C3380CC4-5D6E-409C-BE32-E72D297353CC}">
              <c16:uniqueId val="{00000005-385C-44C0-9768-C48939AC82E0}"/>
            </c:ext>
          </c:extLst>
        </c:ser>
        <c:ser>
          <c:idx val="6"/>
          <c:order val="6"/>
          <c:spPr>
            <a:solidFill>
              <a:srgbClr val="004586"/>
            </a:solidFill>
            <a:ln w="25400">
              <a:noFill/>
            </a:ln>
          </c:spPr>
          <c:val>
            <c:numLit>
              <c:formatCode>General</c:formatCode>
              <c:ptCount val="1"/>
              <c:pt idx="0">
                <c:v>0</c:v>
              </c:pt>
            </c:numLit>
          </c:val>
          <c:extLst>
            <c:ext xmlns:c16="http://schemas.microsoft.com/office/drawing/2014/chart" uri="{C3380CC4-5D6E-409C-BE32-E72D297353CC}">
              <c16:uniqueId val="{00000006-385C-44C0-9768-C48939AC82E0}"/>
            </c:ext>
          </c:extLst>
        </c:ser>
        <c:ser>
          <c:idx val="7"/>
          <c:order val="7"/>
          <c:spPr>
            <a:solidFill>
              <a:srgbClr val="FFD320"/>
            </a:solidFill>
            <a:ln w="25400">
              <a:noFill/>
            </a:ln>
          </c:spPr>
          <c:val>
            <c:numLit>
              <c:formatCode>General</c:formatCode>
              <c:ptCount val="1"/>
              <c:pt idx="0">
                <c:v>0</c:v>
              </c:pt>
            </c:numLit>
          </c:val>
          <c:extLst>
            <c:ext xmlns:c16="http://schemas.microsoft.com/office/drawing/2014/chart" uri="{C3380CC4-5D6E-409C-BE32-E72D297353CC}">
              <c16:uniqueId val="{00000007-385C-44C0-9768-C48939AC82E0}"/>
            </c:ext>
          </c:extLst>
        </c:ser>
        <c:dLbls>
          <c:showLegendKey val="0"/>
          <c:showVal val="0"/>
          <c:showCatName val="0"/>
          <c:showSerName val="0"/>
          <c:showPercent val="0"/>
          <c:showBubbleSize val="0"/>
        </c:dLbls>
        <c:axId val="209148048"/>
        <c:axId val="209148440"/>
      </c:areaChart>
      <c:catAx>
        <c:axId val="209148048"/>
        <c:scaling>
          <c:orientation val="minMax"/>
        </c:scaling>
        <c:delete val="0"/>
        <c:axPos val="b"/>
        <c:numFmt formatCode="General" sourceLinked="1"/>
        <c:majorTickMark val="out"/>
        <c:minorTickMark val="none"/>
        <c:tickLblPos val="low"/>
        <c:spPr>
          <a:ln w="3175">
            <a:solidFill>
              <a:srgbClr val="C0C0C0"/>
            </a:solidFill>
            <a:prstDash val="solid"/>
          </a:ln>
        </c:spPr>
        <c:txPr>
          <a:bodyPr rot="2760000" vert="horz"/>
          <a:lstStyle/>
          <a:p>
            <a:pPr>
              <a:defRPr sz="600" b="0" i="0" u="none" strike="noStrike" baseline="0">
                <a:solidFill>
                  <a:srgbClr val="000000"/>
                </a:solidFill>
                <a:latin typeface="Arial"/>
                <a:ea typeface="Arial"/>
                <a:cs typeface="Arial"/>
              </a:defRPr>
            </a:pPr>
            <a:endParaRPr lang="en-US"/>
          </a:p>
        </c:txPr>
        <c:crossAx val="209148440"/>
        <c:crossesAt val="0"/>
        <c:auto val="1"/>
        <c:lblAlgn val="ctr"/>
        <c:lblOffset val="100"/>
        <c:tickMarkSkip val="1"/>
        <c:noMultiLvlLbl val="0"/>
      </c:catAx>
      <c:valAx>
        <c:axId val="2091484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ZA"/>
                  <a:t>Million square meters</a:t>
                </a:r>
              </a:p>
            </c:rich>
          </c:tx>
          <c:layout>
            <c:manualLayout>
              <c:xMode val="edge"/>
              <c:yMode val="edge"/>
              <c:x val="4.8828125E-3"/>
              <c:y val="8.3753456992372594E-3"/>
            </c:manualLayout>
          </c:layout>
          <c:overlay val="0"/>
          <c:spPr>
            <a:noFill/>
            <a:ln w="25400">
              <a:noFill/>
            </a:ln>
          </c:spPr>
        </c:title>
        <c:numFmt formatCode="General" sourceLinked="0"/>
        <c:majorTickMark val="out"/>
        <c:minorTickMark val="none"/>
        <c:tickLblPos val="low"/>
        <c:spPr>
          <a:ln w="3175">
            <a:solidFill>
              <a:srgbClr val="C0C0C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09148048"/>
        <c:crosses val="autoZero"/>
        <c:crossBetween val="midCat"/>
      </c:valAx>
      <c:spPr>
        <a:solidFill>
          <a:srgbClr val="FFFFFF"/>
        </a:solidFill>
        <a:ln w="12700">
          <a:solidFill>
            <a:srgbClr val="808080"/>
          </a:solidFill>
          <a:prstDash val="solid"/>
        </a:ln>
      </c:spPr>
    </c:plotArea>
    <c:legend>
      <c:legendPos val="r"/>
      <c:layout>
        <c:manualLayout>
          <c:xMode val="edge"/>
          <c:yMode val="edge"/>
          <c:x val="0.92382853510498686"/>
          <c:y val="0.33389261744966442"/>
          <c:w val="7.12890625E-2"/>
          <c:h val="0.30872483221476515"/>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ZA"/>
              <a:t>2006</a:t>
            </a:r>
          </a:p>
        </c:rich>
      </c:tx>
      <c:layout>
        <c:manualLayout>
          <c:xMode val="edge"/>
          <c:yMode val="edge"/>
          <c:x val="0.45629034425304349"/>
          <c:y val="2.8985507246376812E-2"/>
        </c:manualLayout>
      </c:layout>
      <c:overlay val="0"/>
      <c:spPr>
        <a:noFill/>
        <a:ln w="25400">
          <a:noFill/>
        </a:ln>
      </c:spPr>
    </c:title>
    <c:autoTitleDeleted val="0"/>
    <c:plotArea>
      <c:layout>
        <c:manualLayout>
          <c:layoutTarget val="inner"/>
          <c:xMode val="edge"/>
          <c:yMode val="edge"/>
          <c:x val="0.30063997184831831"/>
          <c:y val="0.37681226083464475"/>
          <c:w val="0.40085329579775797"/>
          <c:h val="0.34058031267746697"/>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8D02-4C19-A8FF-E32162730982}"/>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8D02-4C19-A8FF-E32162730982}"/>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8D02-4C19-A8FF-E32162730982}"/>
              </c:ext>
            </c:extLst>
          </c:dPt>
          <c:dPt>
            <c:idx val="3"/>
            <c:bubble3D val="0"/>
            <c:spPr>
              <a:solidFill>
                <a:srgbClr val="579D1C"/>
              </a:solidFill>
              <a:ln w="3175">
                <a:solidFill>
                  <a:srgbClr val="000000"/>
                </a:solidFill>
                <a:prstDash val="solid"/>
              </a:ln>
            </c:spPr>
            <c:extLst>
              <c:ext xmlns:c16="http://schemas.microsoft.com/office/drawing/2014/chart" uri="{C3380CC4-5D6E-409C-BE32-E72D297353CC}">
                <c16:uniqueId val="{00000006-8D02-4C19-A8FF-E32162730982}"/>
              </c:ext>
            </c:extLst>
          </c:dPt>
          <c:dPt>
            <c:idx val="4"/>
            <c:bubble3D val="0"/>
            <c:spPr>
              <a:solidFill>
                <a:srgbClr val="7E0021"/>
              </a:solidFill>
              <a:ln w="3175">
                <a:solidFill>
                  <a:srgbClr val="000000"/>
                </a:solidFill>
                <a:prstDash val="solid"/>
              </a:ln>
            </c:spPr>
            <c:extLst>
              <c:ext xmlns:c16="http://schemas.microsoft.com/office/drawing/2014/chart" uri="{C3380CC4-5D6E-409C-BE32-E72D297353CC}">
                <c16:uniqueId val="{00000008-8D02-4C19-A8FF-E32162730982}"/>
              </c:ext>
            </c:extLst>
          </c:dPt>
          <c:dPt>
            <c:idx val="5"/>
            <c:bubble3D val="0"/>
            <c:spPr>
              <a:solidFill>
                <a:srgbClr val="83CAFF"/>
              </a:solidFill>
              <a:ln w="3175">
                <a:solidFill>
                  <a:srgbClr val="000000"/>
                </a:solidFill>
                <a:prstDash val="solid"/>
              </a:ln>
            </c:spPr>
            <c:extLst>
              <c:ext xmlns:c16="http://schemas.microsoft.com/office/drawing/2014/chart" uri="{C3380CC4-5D6E-409C-BE32-E72D297353CC}">
                <c16:uniqueId val="{0000000A-8D02-4C19-A8FF-E32162730982}"/>
              </c:ext>
            </c:extLst>
          </c:dPt>
          <c:dPt>
            <c:idx val="6"/>
            <c:bubble3D val="0"/>
            <c:spPr>
              <a:solidFill>
                <a:srgbClr val="314004"/>
              </a:solidFill>
              <a:ln w="3175">
                <a:solidFill>
                  <a:srgbClr val="000000"/>
                </a:solidFill>
                <a:prstDash val="solid"/>
              </a:ln>
            </c:spPr>
            <c:extLst>
              <c:ext xmlns:c16="http://schemas.microsoft.com/office/drawing/2014/chart" uri="{C3380CC4-5D6E-409C-BE32-E72D297353CC}">
                <c16:uniqueId val="{0000000C-8D02-4C19-A8FF-E32162730982}"/>
              </c:ext>
            </c:extLst>
          </c:dPt>
          <c:dPt>
            <c:idx val="7"/>
            <c:bubble3D val="0"/>
            <c:spPr>
              <a:solidFill>
                <a:srgbClr val="AECF00"/>
              </a:solidFill>
              <a:ln w="3175">
                <a:solidFill>
                  <a:srgbClr val="000000"/>
                </a:solidFill>
                <a:prstDash val="solid"/>
              </a:ln>
            </c:spPr>
            <c:extLst>
              <c:ext xmlns:c16="http://schemas.microsoft.com/office/drawing/2014/chart" uri="{C3380CC4-5D6E-409C-BE32-E72D297353CC}">
                <c16:uniqueId val="{0000000E-8D02-4C19-A8FF-E32162730982}"/>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'devilliers floor space projecti'!$A$37:$A$44</c:f>
              <c:strCache>
                <c:ptCount val="8"/>
                <c:pt idx="0">
                  <c:v>Warehouses</c:v>
                </c:pt>
                <c:pt idx="1">
                  <c:v>Shops</c:v>
                </c:pt>
                <c:pt idx="2">
                  <c:v>Accommodation</c:v>
                </c:pt>
                <c:pt idx="3">
                  <c:v>Catering</c:v>
                </c:pt>
                <c:pt idx="4">
                  <c:v>Offices</c:v>
                </c:pt>
                <c:pt idx="5">
                  <c:v>Education facilities</c:v>
                </c:pt>
                <c:pt idx="6">
                  <c:v>Healthcare facilities</c:v>
                </c:pt>
                <c:pt idx="7">
                  <c:v>Other</c:v>
                </c:pt>
              </c:strCache>
            </c:strRef>
          </c:cat>
          <c:val>
            <c:numRef>
              <c:f>'devilliers floor space projecti'!$T$37:$T$44</c:f>
              <c:numCache>
                <c:formatCode>0.0</c:formatCode>
                <c:ptCount val="8"/>
                <c:pt idx="0">
                  <c:v>10.589893546920599</c:v>
                </c:pt>
                <c:pt idx="1">
                  <c:v>17.328916713142799</c:v>
                </c:pt>
                <c:pt idx="2">
                  <c:v>3.8508703806983999</c:v>
                </c:pt>
                <c:pt idx="3">
                  <c:v>3.8508703806983999</c:v>
                </c:pt>
                <c:pt idx="4">
                  <c:v>28.881527855238005</c:v>
                </c:pt>
                <c:pt idx="5">
                  <c:v>11.552611142095198</c:v>
                </c:pt>
                <c:pt idx="6">
                  <c:v>6.7390231662222009</c:v>
                </c:pt>
                <c:pt idx="7">
                  <c:v>13.478046332444402</c:v>
                </c:pt>
              </c:numCache>
            </c:numRef>
          </c:val>
          <c:extLst>
            <c:ext xmlns:c16="http://schemas.microsoft.com/office/drawing/2014/chart" uri="{C3380CC4-5D6E-409C-BE32-E72D297353CC}">
              <c16:uniqueId val="{0000000F-8D02-4C19-A8FF-E32162730982}"/>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5004274442951"/>
          <c:y val="0.29143666063958162"/>
          <c:w val="0.48867391136022137"/>
          <c:h val="0.41712735314290822"/>
        </c:manualLayout>
      </c:layout>
      <c:pieChart>
        <c:varyColors val="1"/>
        <c:ser>
          <c:idx val="0"/>
          <c:order val="0"/>
          <c:spPr>
            <a:solidFill>
              <a:srgbClr val="004586"/>
            </a:solidFill>
            <a:ln w="3175">
              <a:solidFill>
                <a:srgbClr val="000000"/>
              </a:solidFill>
              <a:prstDash val="solid"/>
            </a:ln>
          </c:spPr>
          <c:dPt>
            <c:idx val="0"/>
            <c:bubble3D val="0"/>
            <c:extLst>
              <c:ext xmlns:c16="http://schemas.microsoft.com/office/drawing/2014/chart" uri="{C3380CC4-5D6E-409C-BE32-E72D297353CC}">
                <c16:uniqueId val="{00000000-F63B-482B-8324-870013367C83}"/>
              </c:ext>
            </c:extLst>
          </c:dPt>
          <c:dPt>
            <c:idx val="1"/>
            <c:bubble3D val="0"/>
            <c:spPr>
              <a:solidFill>
                <a:srgbClr val="FF420E"/>
              </a:solidFill>
              <a:ln w="3175">
                <a:solidFill>
                  <a:srgbClr val="000000"/>
                </a:solidFill>
                <a:prstDash val="solid"/>
              </a:ln>
            </c:spPr>
            <c:extLst>
              <c:ext xmlns:c16="http://schemas.microsoft.com/office/drawing/2014/chart" uri="{C3380CC4-5D6E-409C-BE32-E72D297353CC}">
                <c16:uniqueId val="{00000002-F63B-482B-8324-870013367C83}"/>
              </c:ext>
            </c:extLst>
          </c:dPt>
          <c:dPt>
            <c:idx val="2"/>
            <c:bubble3D val="0"/>
            <c:spPr>
              <a:solidFill>
                <a:srgbClr val="FFD320"/>
              </a:solidFill>
              <a:ln w="3175">
                <a:solidFill>
                  <a:srgbClr val="000000"/>
                </a:solidFill>
                <a:prstDash val="solid"/>
              </a:ln>
            </c:spPr>
            <c:extLst>
              <c:ext xmlns:c16="http://schemas.microsoft.com/office/drawing/2014/chart" uri="{C3380CC4-5D6E-409C-BE32-E72D297353CC}">
                <c16:uniqueId val="{00000004-F63B-482B-8324-870013367C83}"/>
              </c:ext>
            </c:extLst>
          </c:dPt>
          <c:dLbls>
            <c:spPr>
              <a:noFill/>
              <a:ln w="25400">
                <a:noFill/>
              </a:ln>
            </c:spPr>
            <c:txPr>
              <a:bodyPr/>
              <a:lstStyle/>
              <a:p>
                <a:pPr>
                  <a:defRPr sz="1000" b="0" i="0" u="none" strike="noStrike" baseline="0">
                    <a:solidFill>
                      <a:srgbClr val="000000"/>
                    </a:solidFill>
                    <a:latin typeface="Arial"/>
                    <a:ea typeface="Arial"/>
                    <a:cs typeface="Arial"/>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'Stats SA floor 1993-2006'!$A$5:$A$7</c:f>
              <c:strCache>
                <c:ptCount val="3"/>
                <c:pt idx="0">
                  <c:v>Office and banking space</c:v>
                </c:pt>
                <c:pt idx="1">
                  <c:v>Shopping space</c:v>
                </c:pt>
                <c:pt idx="2">
                  <c:v>Other non-residential space</c:v>
                </c:pt>
              </c:strCache>
            </c:strRef>
          </c:cat>
          <c:val>
            <c:numRef>
              <c:f>'Stats SA floor 1993-2006'!$Q$5:$Q$7</c:f>
              <c:numCache>
                <c:formatCode>General</c:formatCode>
                <c:ptCount val="3"/>
                <c:pt idx="0">
                  <c:v>11725127</c:v>
                </c:pt>
                <c:pt idx="1">
                  <c:v>10922807</c:v>
                </c:pt>
                <c:pt idx="2">
                  <c:v>7336755</c:v>
                </c:pt>
              </c:numCache>
            </c:numRef>
          </c:val>
          <c:extLst>
            <c:ext xmlns:c16="http://schemas.microsoft.com/office/drawing/2014/chart" uri="{C3380CC4-5D6E-409C-BE32-E72D297353CC}">
              <c16:uniqueId val="{00000005-F63B-482B-8324-870013367C83}"/>
            </c:ext>
          </c:extLst>
        </c:ser>
        <c:dLbls>
          <c:showLegendKey val="0"/>
          <c:showVal val="0"/>
          <c:showCatName val="0"/>
          <c:showSerName val="0"/>
          <c:showPercent val="0"/>
          <c:showBubbleSize val="0"/>
          <c:showLeaderLines val="0"/>
        </c:dLbls>
        <c:firstSliceAng val="0"/>
      </c:pieChart>
      <c:spPr>
        <a:noFill/>
        <a:ln w="3175">
          <a:solidFill>
            <a:srgbClr val="C0C0C0"/>
          </a:solidFill>
          <a:prstDash val="solid"/>
        </a:ln>
      </c:spPr>
    </c:plotArea>
    <c:legend>
      <c:legendPos val="r"/>
      <c:layout>
        <c:manualLayout>
          <c:xMode val="edge"/>
          <c:yMode val="edge"/>
          <c:x val="0.72492028302287459"/>
          <c:y val="0.45919836783887491"/>
          <c:w val="0.24433690934264285"/>
          <c:h val="8.0221445348377052E-2"/>
        </c:manualLayout>
      </c:layout>
      <c:overlay val="0"/>
      <c:spPr>
        <a:solidFill>
          <a:srgbClr val="D9D9D9"/>
        </a:solidFill>
        <a:ln w="3175">
          <a:solidFill>
            <a:srgbClr val="000000"/>
          </a:solidFill>
          <a:prstDash val="solid"/>
        </a:ln>
      </c:spPr>
      <c:txPr>
        <a:bodyPr/>
        <a:lstStyle/>
        <a:p>
          <a:pPr>
            <a:defRPr sz="620" b="0" i="0" u="none" strike="noStrike" baseline="0">
              <a:solidFill>
                <a:srgbClr val="000000"/>
              </a:solidFill>
              <a:latin typeface="Arial"/>
              <a:ea typeface="Arial"/>
              <a:cs typeface="Arial"/>
            </a:defRPr>
          </a:pPr>
          <a:endParaRPr lang="en-US"/>
        </a:p>
      </c:txPr>
    </c:legend>
    <c:plotVisOnly val="1"/>
    <c:dispBlanksAs val="zero"/>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1180555555555562" footer="0.51180555555555562"/>
    <c:pageSetup firstPageNumber="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102.emf"/></Relationships>
</file>

<file path=xl/drawings/_rels/drawing2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4.emf"/><Relationship Id="rId1" Type="http://schemas.openxmlformats.org/officeDocument/2006/relationships/image" Target="../media/image5.emf"/><Relationship Id="rId4" Type="http://schemas.openxmlformats.org/officeDocument/2006/relationships/image" Target="../media/image2.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8.emf"/><Relationship Id="rId1" Type="http://schemas.openxmlformats.org/officeDocument/2006/relationships/image" Target="../media/image9.emf"/><Relationship Id="rId4" Type="http://schemas.openxmlformats.org/officeDocument/2006/relationships/image" Target="../media/image6.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16.emf"/><Relationship Id="rId7" Type="http://schemas.openxmlformats.org/officeDocument/2006/relationships/image" Target="../media/image12.emf"/><Relationship Id="rId2" Type="http://schemas.openxmlformats.org/officeDocument/2006/relationships/image" Target="../media/image17.emf"/><Relationship Id="rId1" Type="http://schemas.openxmlformats.org/officeDocument/2006/relationships/image" Target="../media/image18.emf"/><Relationship Id="rId6" Type="http://schemas.openxmlformats.org/officeDocument/2006/relationships/image" Target="../media/image13.emf"/><Relationship Id="rId5" Type="http://schemas.openxmlformats.org/officeDocument/2006/relationships/image" Target="../media/image14.emf"/><Relationship Id="rId4" Type="http://schemas.openxmlformats.org/officeDocument/2006/relationships/image" Target="../media/image15.emf"/><Relationship Id="rId9" Type="http://schemas.openxmlformats.org/officeDocument/2006/relationships/image" Target="../media/image10.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0.emf"/><Relationship Id="rId3" Type="http://schemas.openxmlformats.org/officeDocument/2006/relationships/image" Target="../media/image25.emf"/><Relationship Id="rId7" Type="http://schemas.openxmlformats.org/officeDocument/2006/relationships/image" Target="../media/image21.emf"/><Relationship Id="rId2" Type="http://schemas.openxmlformats.org/officeDocument/2006/relationships/image" Target="../media/image26.emf"/><Relationship Id="rId1" Type="http://schemas.openxmlformats.org/officeDocument/2006/relationships/image" Target="../media/image27.emf"/><Relationship Id="rId6" Type="http://schemas.openxmlformats.org/officeDocument/2006/relationships/image" Target="../media/image22.emf"/><Relationship Id="rId5" Type="http://schemas.openxmlformats.org/officeDocument/2006/relationships/image" Target="../media/image23.emf"/><Relationship Id="rId4" Type="http://schemas.openxmlformats.org/officeDocument/2006/relationships/image" Target="../media/image24.emf"/><Relationship Id="rId9" Type="http://schemas.openxmlformats.org/officeDocument/2006/relationships/image" Target="../media/image19.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34.emf"/><Relationship Id="rId7" Type="http://schemas.openxmlformats.org/officeDocument/2006/relationships/image" Target="../media/image30.emf"/><Relationship Id="rId2" Type="http://schemas.openxmlformats.org/officeDocument/2006/relationships/image" Target="../media/image35.emf"/><Relationship Id="rId1" Type="http://schemas.openxmlformats.org/officeDocument/2006/relationships/image" Target="../media/image36.emf"/><Relationship Id="rId6" Type="http://schemas.openxmlformats.org/officeDocument/2006/relationships/image" Target="../media/image31.emf"/><Relationship Id="rId5" Type="http://schemas.openxmlformats.org/officeDocument/2006/relationships/image" Target="../media/image32.emf"/><Relationship Id="rId4" Type="http://schemas.openxmlformats.org/officeDocument/2006/relationships/image" Target="../media/image33.emf"/><Relationship Id="rId9" Type="http://schemas.openxmlformats.org/officeDocument/2006/relationships/image" Target="../media/image28.emf"/></Relationships>
</file>

<file path=xl/drawings/_rels/vmlDrawing18.v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43.emf"/><Relationship Id="rId7" Type="http://schemas.openxmlformats.org/officeDocument/2006/relationships/image" Target="../media/image39.emf"/><Relationship Id="rId2" Type="http://schemas.openxmlformats.org/officeDocument/2006/relationships/image" Target="../media/image44.emf"/><Relationship Id="rId1" Type="http://schemas.openxmlformats.org/officeDocument/2006/relationships/image" Target="../media/image45.emf"/><Relationship Id="rId6" Type="http://schemas.openxmlformats.org/officeDocument/2006/relationships/image" Target="../media/image40.emf"/><Relationship Id="rId5" Type="http://schemas.openxmlformats.org/officeDocument/2006/relationships/image" Target="../media/image41.emf"/><Relationship Id="rId4" Type="http://schemas.openxmlformats.org/officeDocument/2006/relationships/image" Target="../media/image42.emf"/><Relationship Id="rId9" Type="http://schemas.openxmlformats.org/officeDocument/2006/relationships/image" Target="../media/image37.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46.emf"/><Relationship Id="rId3" Type="http://schemas.openxmlformats.org/officeDocument/2006/relationships/image" Target="../media/image51.emf"/><Relationship Id="rId7" Type="http://schemas.openxmlformats.org/officeDocument/2006/relationships/image" Target="../media/image47.emf"/><Relationship Id="rId2" Type="http://schemas.openxmlformats.org/officeDocument/2006/relationships/image" Target="../media/image52.emf"/><Relationship Id="rId1" Type="http://schemas.openxmlformats.org/officeDocument/2006/relationships/image" Target="../media/image53.emf"/><Relationship Id="rId6" Type="http://schemas.openxmlformats.org/officeDocument/2006/relationships/image" Target="../media/image48.emf"/><Relationship Id="rId5" Type="http://schemas.openxmlformats.org/officeDocument/2006/relationships/image" Target="../media/image49.emf"/><Relationship Id="rId4" Type="http://schemas.openxmlformats.org/officeDocument/2006/relationships/image" Target="../media/image50.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59.emf"/><Relationship Id="rId7" Type="http://schemas.openxmlformats.org/officeDocument/2006/relationships/image" Target="../media/image55.emf"/><Relationship Id="rId2" Type="http://schemas.openxmlformats.org/officeDocument/2006/relationships/image" Target="../media/image60.emf"/><Relationship Id="rId1" Type="http://schemas.openxmlformats.org/officeDocument/2006/relationships/image" Target="../media/image61.emf"/><Relationship Id="rId6" Type="http://schemas.openxmlformats.org/officeDocument/2006/relationships/image" Target="../media/image56.emf"/><Relationship Id="rId5" Type="http://schemas.openxmlformats.org/officeDocument/2006/relationships/image" Target="../media/image57.emf"/><Relationship Id="rId4" Type="http://schemas.openxmlformats.org/officeDocument/2006/relationships/image" Target="../media/image58.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63.emf"/><Relationship Id="rId2" Type="http://schemas.openxmlformats.org/officeDocument/2006/relationships/image" Target="../media/image64.emf"/><Relationship Id="rId1" Type="http://schemas.openxmlformats.org/officeDocument/2006/relationships/image" Target="../media/image65.emf"/><Relationship Id="rId4" Type="http://schemas.openxmlformats.org/officeDocument/2006/relationships/image" Target="../media/image62.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67.emf"/><Relationship Id="rId3" Type="http://schemas.openxmlformats.org/officeDocument/2006/relationships/image" Target="../media/image72.emf"/><Relationship Id="rId7" Type="http://schemas.openxmlformats.org/officeDocument/2006/relationships/image" Target="../media/image68.emf"/><Relationship Id="rId2" Type="http://schemas.openxmlformats.org/officeDocument/2006/relationships/image" Target="../media/image73.emf"/><Relationship Id="rId1" Type="http://schemas.openxmlformats.org/officeDocument/2006/relationships/image" Target="../media/image74.emf"/><Relationship Id="rId6" Type="http://schemas.openxmlformats.org/officeDocument/2006/relationships/image" Target="../media/image69.emf"/><Relationship Id="rId5" Type="http://schemas.openxmlformats.org/officeDocument/2006/relationships/image" Target="../media/image70.emf"/><Relationship Id="rId4" Type="http://schemas.openxmlformats.org/officeDocument/2006/relationships/image" Target="../media/image71.emf"/><Relationship Id="rId9" Type="http://schemas.openxmlformats.org/officeDocument/2006/relationships/image" Target="../media/image66.emf"/></Relationships>
</file>

<file path=xl/drawings/_rels/vmlDrawing23.vml.rels><?xml version="1.0" encoding="UTF-8" standalone="yes"?>
<Relationships xmlns="http://schemas.openxmlformats.org/package/2006/relationships"><Relationship Id="rId8" Type="http://schemas.openxmlformats.org/officeDocument/2006/relationships/image" Target="../media/image76.emf"/><Relationship Id="rId3" Type="http://schemas.openxmlformats.org/officeDocument/2006/relationships/image" Target="../media/image81.emf"/><Relationship Id="rId7" Type="http://schemas.openxmlformats.org/officeDocument/2006/relationships/image" Target="../media/image77.emf"/><Relationship Id="rId2" Type="http://schemas.openxmlformats.org/officeDocument/2006/relationships/image" Target="../media/image82.emf"/><Relationship Id="rId1" Type="http://schemas.openxmlformats.org/officeDocument/2006/relationships/image" Target="../media/image83.emf"/><Relationship Id="rId6" Type="http://schemas.openxmlformats.org/officeDocument/2006/relationships/image" Target="../media/image78.emf"/><Relationship Id="rId5" Type="http://schemas.openxmlformats.org/officeDocument/2006/relationships/image" Target="../media/image79.emf"/><Relationship Id="rId4" Type="http://schemas.openxmlformats.org/officeDocument/2006/relationships/image" Target="../media/image80.emf"/><Relationship Id="rId9" Type="http://schemas.openxmlformats.org/officeDocument/2006/relationships/image" Target="../media/image75.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85.emf"/><Relationship Id="rId3" Type="http://schemas.openxmlformats.org/officeDocument/2006/relationships/image" Target="../media/image90.emf"/><Relationship Id="rId7" Type="http://schemas.openxmlformats.org/officeDocument/2006/relationships/image" Target="../media/image86.emf"/><Relationship Id="rId2" Type="http://schemas.openxmlformats.org/officeDocument/2006/relationships/image" Target="../media/image91.emf"/><Relationship Id="rId1" Type="http://schemas.openxmlformats.org/officeDocument/2006/relationships/image" Target="../media/image92.emf"/><Relationship Id="rId6" Type="http://schemas.openxmlformats.org/officeDocument/2006/relationships/image" Target="../media/image87.emf"/><Relationship Id="rId5" Type="http://schemas.openxmlformats.org/officeDocument/2006/relationships/image" Target="../media/image88.emf"/><Relationship Id="rId4" Type="http://schemas.openxmlformats.org/officeDocument/2006/relationships/image" Target="../media/image89.emf"/><Relationship Id="rId9" Type="http://schemas.openxmlformats.org/officeDocument/2006/relationships/image" Target="../media/image84.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100.emf"/><Relationship Id="rId3" Type="http://schemas.openxmlformats.org/officeDocument/2006/relationships/image" Target="../media/image95.emf"/><Relationship Id="rId7" Type="http://schemas.openxmlformats.org/officeDocument/2006/relationships/image" Target="../media/image99.emf"/><Relationship Id="rId2" Type="http://schemas.openxmlformats.org/officeDocument/2006/relationships/image" Target="../media/image94.emf"/><Relationship Id="rId1" Type="http://schemas.openxmlformats.org/officeDocument/2006/relationships/image" Target="../media/image93.emf"/><Relationship Id="rId6" Type="http://schemas.openxmlformats.org/officeDocument/2006/relationships/image" Target="../media/image98.emf"/><Relationship Id="rId5" Type="http://schemas.openxmlformats.org/officeDocument/2006/relationships/image" Target="../media/image97.emf"/><Relationship Id="rId4" Type="http://schemas.openxmlformats.org/officeDocument/2006/relationships/image" Target="../media/image96.emf"/><Relationship Id="rId9" Type="http://schemas.openxmlformats.org/officeDocument/2006/relationships/image" Target="../media/image101.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03.emf"/></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16</xdr:col>
      <xdr:colOff>457200</xdr:colOff>
      <xdr:row>6</xdr:row>
      <xdr:rowOff>9525</xdr:rowOff>
    </xdr:from>
    <xdr:to>
      <xdr:col>16</xdr:col>
      <xdr:colOff>476250</xdr:colOff>
      <xdr:row>97</xdr:row>
      <xdr:rowOff>104775</xdr:rowOff>
    </xdr:to>
    <xdr:sp macro="" textlink="">
      <xdr:nvSpPr>
        <xdr:cNvPr id="1886781" name="Line 1">
          <a:extLst>
            <a:ext uri="{FF2B5EF4-FFF2-40B4-BE49-F238E27FC236}">
              <a16:creationId xmlns:a16="http://schemas.microsoft.com/office/drawing/2014/main" id="{00000000-0008-0000-0400-00003DCA1C00}"/>
            </a:ext>
          </a:extLst>
        </xdr:cNvPr>
        <xdr:cNvSpPr>
          <a:spLocks noChangeShapeType="1"/>
        </xdr:cNvSpPr>
      </xdr:nvSpPr>
      <xdr:spPr bwMode="auto">
        <a:xfrm>
          <a:off x="10077450"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333375</xdr:colOff>
      <xdr:row>6</xdr:row>
      <xdr:rowOff>28575</xdr:rowOff>
    </xdr:from>
    <xdr:to>
      <xdr:col>17</xdr:col>
      <xdr:colOff>352425</xdr:colOff>
      <xdr:row>97</xdr:row>
      <xdr:rowOff>95250</xdr:rowOff>
    </xdr:to>
    <xdr:sp macro="" textlink="">
      <xdr:nvSpPr>
        <xdr:cNvPr id="1886782" name="Line 2">
          <a:extLst>
            <a:ext uri="{FF2B5EF4-FFF2-40B4-BE49-F238E27FC236}">
              <a16:creationId xmlns:a16="http://schemas.microsoft.com/office/drawing/2014/main" id="{00000000-0008-0000-0400-00003ECA1C00}"/>
            </a:ext>
          </a:extLst>
        </xdr:cNvPr>
        <xdr:cNvSpPr>
          <a:spLocks noChangeShapeType="1"/>
        </xdr:cNvSpPr>
      </xdr:nvSpPr>
      <xdr:spPr bwMode="auto">
        <a:xfrm>
          <a:off x="10706100"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495300</xdr:colOff>
      <xdr:row>6</xdr:row>
      <xdr:rowOff>9525</xdr:rowOff>
    </xdr:from>
    <xdr:to>
      <xdr:col>18</xdr:col>
      <xdr:colOff>514350</xdr:colOff>
      <xdr:row>97</xdr:row>
      <xdr:rowOff>66675</xdr:rowOff>
    </xdr:to>
    <xdr:sp macro="" textlink="">
      <xdr:nvSpPr>
        <xdr:cNvPr id="1886783" name="Line 3">
          <a:extLst>
            <a:ext uri="{FF2B5EF4-FFF2-40B4-BE49-F238E27FC236}">
              <a16:creationId xmlns:a16="http://schemas.microsoft.com/office/drawing/2014/main" id="{00000000-0008-0000-0400-00003FCA1C00}"/>
            </a:ext>
          </a:extLst>
        </xdr:cNvPr>
        <xdr:cNvSpPr>
          <a:spLocks noChangeShapeType="1"/>
        </xdr:cNvSpPr>
      </xdr:nvSpPr>
      <xdr:spPr bwMode="auto">
        <a:xfrm>
          <a:off x="11630025" y="1457325"/>
          <a:ext cx="19050" cy="147923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333375</xdr:colOff>
      <xdr:row>6</xdr:row>
      <xdr:rowOff>28575</xdr:rowOff>
    </xdr:from>
    <xdr:to>
      <xdr:col>19</xdr:col>
      <xdr:colOff>352425</xdr:colOff>
      <xdr:row>97</xdr:row>
      <xdr:rowOff>95250</xdr:rowOff>
    </xdr:to>
    <xdr:sp macro="" textlink="">
      <xdr:nvSpPr>
        <xdr:cNvPr id="1886784" name="Line 4">
          <a:extLst>
            <a:ext uri="{FF2B5EF4-FFF2-40B4-BE49-F238E27FC236}">
              <a16:creationId xmlns:a16="http://schemas.microsoft.com/office/drawing/2014/main" id="{00000000-0008-0000-0400-000040CA1C00}"/>
            </a:ext>
          </a:extLst>
        </xdr:cNvPr>
        <xdr:cNvSpPr>
          <a:spLocks noChangeShapeType="1"/>
        </xdr:cNvSpPr>
      </xdr:nvSpPr>
      <xdr:spPr bwMode="auto">
        <a:xfrm>
          <a:off x="12182475" y="1476375"/>
          <a:ext cx="19050" cy="148018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533400</xdr:colOff>
      <xdr:row>6</xdr:row>
      <xdr:rowOff>9525</xdr:rowOff>
    </xdr:from>
    <xdr:to>
      <xdr:col>21</xdr:col>
      <xdr:colOff>552450</xdr:colOff>
      <xdr:row>97</xdr:row>
      <xdr:rowOff>104775</xdr:rowOff>
    </xdr:to>
    <xdr:sp macro="" textlink="">
      <xdr:nvSpPr>
        <xdr:cNvPr id="1886785" name="Line 5">
          <a:extLst>
            <a:ext uri="{FF2B5EF4-FFF2-40B4-BE49-F238E27FC236}">
              <a16:creationId xmlns:a16="http://schemas.microsoft.com/office/drawing/2014/main" id="{00000000-0008-0000-0400-000041CA1C00}"/>
            </a:ext>
          </a:extLst>
        </xdr:cNvPr>
        <xdr:cNvSpPr>
          <a:spLocks noChangeShapeType="1"/>
        </xdr:cNvSpPr>
      </xdr:nvSpPr>
      <xdr:spPr bwMode="auto">
        <a:xfrm>
          <a:off x="13706475" y="1457325"/>
          <a:ext cx="19050" cy="148304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22</xdr:col>
      <xdr:colOff>333375</xdr:colOff>
      <xdr:row>6</xdr:row>
      <xdr:rowOff>9525</xdr:rowOff>
    </xdr:from>
    <xdr:to>
      <xdr:col>22</xdr:col>
      <xdr:colOff>361950</xdr:colOff>
      <xdr:row>97</xdr:row>
      <xdr:rowOff>95250</xdr:rowOff>
    </xdr:to>
    <xdr:sp macro="" textlink="">
      <xdr:nvSpPr>
        <xdr:cNvPr id="1886786" name="Line 6">
          <a:extLst>
            <a:ext uri="{FF2B5EF4-FFF2-40B4-BE49-F238E27FC236}">
              <a16:creationId xmlns:a16="http://schemas.microsoft.com/office/drawing/2014/main" id="{00000000-0008-0000-0400-000042CA1C00}"/>
            </a:ext>
          </a:extLst>
        </xdr:cNvPr>
        <xdr:cNvSpPr>
          <a:spLocks noChangeShapeType="1"/>
        </xdr:cNvSpPr>
      </xdr:nvSpPr>
      <xdr:spPr bwMode="auto">
        <a:xfrm>
          <a:off x="14497050" y="1457325"/>
          <a:ext cx="28575" cy="148209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6</xdr:row>
      <xdr:rowOff>38100</xdr:rowOff>
    </xdr:from>
    <xdr:to>
      <xdr:col>5</xdr:col>
      <xdr:colOff>276225</xdr:colOff>
      <xdr:row>100</xdr:row>
      <xdr:rowOff>133350</xdr:rowOff>
    </xdr:to>
    <xdr:sp macro="" textlink="">
      <xdr:nvSpPr>
        <xdr:cNvPr id="1886787" name="Line 7">
          <a:extLst>
            <a:ext uri="{FF2B5EF4-FFF2-40B4-BE49-F238E27FC236}">
              <a16:creationId xmlns:a16="http://schemas.microsoft.com/office/drawing/2014/main" id="{00000000-0008-0000-0400-000043CA1C00}"/>
            </a:ext>
          </a:extLst>
        </xdr:cNvPr>
        <xdr:cNvSpPr>
          <a:spLocks noChangeShapeType="1"/>
        </xdr:cNvSpPr>
      </xdr:nvSpPr>
      <xdr:spPr bwMode="auto">
        <a:xfrm>
          <a:off x="3790950" y="1485900"/>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xdr:row>
      <xdr:rowOff>9525</xdr:rowOff>
    </xdr:from>
    <xdr:to>
      <xdr:col>6</xdr:col>
      <xdr:colOff>190500</xdr:colOff>
      <xdr:row>100</xdr:row>
      <xdr:rowOff>104775</xdr:rowOff>
    </xdr:to>
    <xdr:sp macro="" textlink="">
      <xdr:nvSpPr>
        <xdr:cNvPr id="1886788" name="Line 8">
          <a:extLst>
            <a:ext uri="{FF2B5EF4-FFF2-40B4-BE49-F238E27FC236}">
              <a16:creationId xmlns:a16="http://schemas.microsoft.com/office/drawing/2014/main" id="{00000000-0008-0000-0400-000044CA1C00}"/>
            </a:ext>
          </a:extLst>
        </xdr:cNvPr>
        <xdr:cNvSpPr>
          <a:spLocks noChangeShapeType="1"/>
        </xdr:cNvSpPr>
      </xdr:nvSpPr>
      <xdr:spPr bwMode="auto">
        <a:xfrm>
          <a:off x="448627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xdr:row>
      <xdr:rowOff>9525</xdr:rowOff>
    </xdr:from>
    <xdr:to>
      <xdr:col>7</xdr:col>
      <xdr:colOff>409575</xdr:colOff>
      <xdr:row>100</xdr:row>
      <xdr:rowOff>104775</xdr:rowOff>
    </xdr:to>
    <xdr:sp macro="" textlink="">
      <xdr:nvSpPr>
        <xdr:cNvPr id="1886789" name="Line 9">
          <a:extLst>
            <a:ext uri="{FF2B5EF4-FFF2-40B4-BE49-F238E27FC236}">
              <a16:creationId xmlns:a16="http://schemas.microsoft.com/office/drawing/2014/main" id="{00000000-0008-0000-0400-000045CA1C00}"/>
            </a:ext>
          </a:extLst>
        </xdr:cNvPr>
        <xdr:cNvSpPr>
          <a:spLocks noChangeShapeType="1"/>
        </xdr:cNvSpPr>
      </xdr:nvSpPr>
      <xdr:spPr bwMode="auto">
        <a:xfrm>
          <a:off x="5057775" y="1457325"/>
          <a:ext cx="9525"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266700</xdr:colOff>
      <xdr:row>6</xdr:row>
      <xdr:rowOff>9525</xdr:rowOff>
    </xdr:from>
    <xdr:to>
      <xdr:col>8</xdr:col>
      <xdr:colOff>285750</xdr:colOff>
      <xdr:row>101</xdr:row>
      <xdr:rowOff>152400</xdr:rowOff>
    </xdr:to>
    <xdr:sp macro="" textlink="">
      <xdr:nvSpPr>
        <xdr:cNvPr id="1886790" name="Line 10">
          <a:extLst>
            <a:ext uri="{FF2B5EF4-FFF2-40B4-BE49-F238E27FC236}">
              <a16:creationId xmlns:a16="http://schemas.microsoft.com/office/drawing/2014/main" id="{00000000-0008-0000-0400-000046CA1C00}"/>
            </a:ext>
          </a:extLst>
        </xdr:cNvPr>
        <xdr:cNvSpPr>
          <a:spLocks noChangeShapeType="1"/>
        </xdr:cNvSpPr>
      </xdr:nvSpPr>
      <xdr:spPr bwMode="auto">
        <a:xfrm>
          <a:off x="5553075" y="1457325"/>
          <a:ext cx="19050" cy="155257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209550</xdr:colOff>
      <xdr:row>6</xdr:row>
      <xdr:rowOff>9525</xdr:rowOff>
    </xdr:from>
    <xdr:to>
      <xdr:col>9</xdr:col>
      <xdr:colOff>228600</xdr:colOff>
      <xdr:row>100</xdr:row>
      <xdr:rowOff>104775</xdr:rowOff>
    </xdr:to>
    <xdr:sp macro="" textlink="">
      <xdr:nvSpPr>
        <xdr:cNvPr id="1886791" name="Line 11">
          <a:extLst>
            <a:ext uri="{FF2B5EF4-FFF2-40B4-BE49-F238E27FC236}">
              <a16:creationId xmlns:a16="http://schemas.microsoft.com/office/drawing/2014/main" id="{00000000-0008-0000-0400-000047CA1C00}"/>
            </a:ext>
          </a:extLst>
        </xdr:cNvPr>
        <xdr:cNvSpPr>
          <a:spLocks noChangeShapeType="1"/>
        </xdr:cNvSpPr>
      </xdr:nvSpPr>
      <xdr:spPr bwMode="auto">
        <a:xfrm>
          <a:off x="5981700" y="1457325"/>
          <a:ext cx="1905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171450</xdr:colOff>
      <xdr:row>6</xdr:row>
      <xdr:rowOff>9525</xdr:rowOff>
    </xdr:from>
    <xdr:to>
      <xdr:col>10</xdr:col>
      <xdr:colOff>171450</xdr:colOff>
      <xdr:row>100</xdr:row>
      <xdr:rowOff>161925</xdr:rowOff>
    </xdr:to>
    <xdr:sp macro="" textlink="">
      <xdr:nvSpPr>
        <xdr:cNvPr id="1886792" name="Line 12">
          <a:extLst>
            <a:ext uri="{FF2B5EF4-FFF2-40B4-BE49-F238E27FC236}">
              <a16:creationId xmlns:a16="http://schemas.microsoft.com/office/drawing/2014/main" id="{00000000-0008-0000-0400-000048CA1C00}"/>
            </a:ext>
          </a:extLst>
        </xdr:cNvPr>
        <xdr:cNvSpPr>
          <a:spLocks noChangeShapeType="1"/>
        </xdr:cNvSpPr>
      </xdr:nvSpPr>
      <xdr:spPr bwMode="auto">
        <a:xfrm>
          <a:off x="6343650" y="1457325"/>
          <a:ext cx="0" cy="1537335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323850</xdr:colOff>
      <xdr:row>6</xdr:row>
      <xdr:rowOff>9525</xdr:rowOff>
    </xdr:from>
    <xdr:to>
      <xdr:col>11</xdr:col>
      <xdr:colOff>361950</xdr:colOff>
      <xdr:row>101</xdr:row>
      <xdr:rowOff>104775</xdr:rowOff>
    </xdr:to>
    <xdr:sp macro="" textlink="">
      <xdr:nvSpPr>
        <xdr:cNvPr id="1886793" name="Line 13">
          <a:extLst>
            <a:ext uri="{FF2B5EF4-FFF2-40B4-BE49-F238E27FC236}">
              <a16:creationId xmlns:a16="http://schemas.microsoft.com/office/drawing/2014/main" id="{00000000-0008-0000-0400-000049CA1C00}"/>
            </a:ext>
          </a:extLst>
        </xdr:cNvPr>
        <xdr:cNvSpPr>
          <a:spLocks noChangeShapeType="1"/>
        </xdr:cNvSpPr>
      </xdr:nvSpPr>
      <xdr:spPr bwMode="auto">
        <a:xfrm>
          <a:off x="6886575" y="1457325"/>
          <a:ext cx="38100" cy="1547812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9</xdr:row>
      <xdr:rowOff>38100</xdr:rowOff>
    </xdr:from>
    <xdr:to>
      <xdr:col>16</xdr:col>
      <xdr:colOff>457200</xdr:colOff>
      <xdr:row>9</xdr:row>
      <xdr:rowOff>57150</xdr:rowOff>
    </xdr:to>
    <xdr:sp macro="" textlink="">
      <xdr:nvSpPr>
        <xdr:cNvPr id="1886794" name="Line 14">
          <a:extLst>
            <a:ext uri="{FF2B5EF4-FFF2-40B4-BE49-F238E27FC236}">
              <a16:creationId xmlns:a16="http://schemas.microsoft.com/office/drawing/2014/main" id="{00000000-0008-0000-0400-00004ACA1C00}"/>
            </a:ext>
          </a:extLst>
        </xdr:cNvPr>
        <xdr:cNvSpPr>
          <a:spLocks noChangeShapeType="1"/>
        </xdr:cNvSpPr>
      </xdr:nvSpPr>
      <xdr:spPr bwMode="auto">
        <a:xfrm flipV="1">
          <a:off x="3790950" y="1971675"/>
          <a:ext cx="628650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11</xdr:row>
      <xdr:rowOff>57150</xdr:rowOff>
    </xdr:from>
    <xdr:to>
      <xdr:col>16</xdr:col>
      <xdr:colOff>438150</xdr:colOff>
      <xdr:row>11</xdr:row>
      <xdr:rowOff>57150</xdr:rowOff>
    </xdr:to>
    <xdr:sp macro="" textlink="">
      <xdr:nvSpPr>
        <xdr:cNvPr id="1886795" name="Line 15">
          <a:extLst>
            <a:ext uri="{FF2B5EF4-FFF2-40B4-BE49-F238E27FC236}">
              <a16:creationId xmlns:a16="http://schemas.microsoft.com/office/drawing/2014/main" id="{00000000-0008-0000-0400-00004BCA1C00}"/>
            </a:ext>
          </a:extLst>
        </xdr:cNvPr>
        <xdr:cNvSpPr>
          <a:spLocks noChangeShapeType="1"/>
        </xdr:cNvSpPr>
      </xdr:nvSpPr>
      <xdr:spPr bwMode="auto">
        <a:xfrm>
          <a:off x="4467225" y="2314575"/>
          <a:ext cx="559117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13</xdr:row>
      <xdr:rowOff>38100</xdr:rowOff>
    </xdr:from>
    <xdr:to>
      <xdr:col>16</xdr:col>
      <xdr:colOff>438150</xdr:colOff>
      <xdr:row>13</xdr:row>
      <xdr:rowOff>66675</xdr:rowOff>
    </xdr:to>
    <xdr:sp macro="" textlink="">
      <xdr:nvSpPr>
        <xdr:cNvPr id="1886796" name="Line 16">
          <a:extLst>
            <a:ext uri="{FF2B5EF4-FFF2-40B4-BE49-F238E27FC236}">
              <a16:creationId xmlns:a16="http://schemas.microsoft.com/office/drawing/2014/main" id="{00000000-0008-0000-0400-00004CCA1C00}"/>
            </a:ext>
          </a:extLst>
        </xdr:cNvPr>
        <xdr:cNvSpPr>
          <a:spLocks noChangeShapeType="1"/>
        </xdr:cNvSpPr>
      </xdr:nvSpPr>
      <xdr:spPr bwMode="auto">
        <a:xfrm flipV="1">
          <a:off x="5543550" y="2619375"/>
          <a:ext cx="4514850" cy="28575"/>
        </a:xfrm>
        <a:prstGeom prst="line">
          <a:avLst/>
        </a:prstGeom>
        <a:noFill/>
        <a:ln w="36000">
          <a:solidFill>
            <a:srgbClr val="80800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228600</xdr:colOff>
      <xdr:row>15</xdr:row>
      <xdr:rowOff>57150</xdr:rowOff>
    </xdr:from>
    <xdr:to>
      <xdr:col>16</xdr:col>
      <xdr:colOff>457200</xdr:colOff>
      <xdr:row>15</xdr:row>
      <xdr:rowOff>57150</xdr:rowOff>
    </xdr:to>
    <xdr:sp macro="" textlink="">
      <xdr:nvSpPr>
        <xdr:cNvPr id="1886797" name="Line 17">
          <a:extLst>
            <a:ext uri="{FF2B5EF4-FFF2-40B4-BE49-F238E27FC236}">
              <a16:creationId xmlns:a16="http://schemas.microsoft.com/office/drawing/2014/main" id="{00000000-0008-0000-0400-00004DCA1C00}"/>
            </a:ext>
          </a:extLst>
        </xdr:cNvPr>
        <xdr:cNvSpPr>
          <a:spLocks noChangeShapeType="1"/>
        </xdr:cNvSpPr>
      </xdr:nvSpPr>
      <xdr:spPr bwMode="auto">
        <a:xfrm>
          <a:off x="6000750" y="2962275"/>
          <a:ext cx="407670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17</xdr:row>
      <xdr:rowOff>38100</xdr:rowOff>
    </xdr:from>
    <xdr:to>
      <xdr:col>16</xdr:col>
      <xdr:colOff>457200</xdr:colOff>
      <xdr:row>17</xdr:row>
      <xdr:rowOff>38100</xdr:rowOff>
    </xdr:to>
    <xdr:sp macro="" textlink="">
      <xdr:nvSpPr>
        <xdr:cNvPr id="1886798" name="Line 18">
          <a:extLst>
            <a:ext uri="{FF2B5EF4-FFF2-40B4-BE49-F238E27FC236}">
              <a16:creationId xmlns:a16="http://schemas.microsoft.com/office/drawing/2014/main" id="{00000000-0008-0000-0400-00004ECA1C00}"/>
            </a:ext>
          </a:extLst>
        </xdr:cNvPr>
        <xdr:cNvSpPr>
          <a:spLocks noChangeShapeType="1"/>
        </xdr:cNvSpPr>
      </xdr:nvSpPr>
      <xdr:spPr bwMode="auto">
        <a:xfrm>
          <a:off x="6324600" y="3267075"/>
          <a:ext cx="3752850"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23</xdr:row>
      <xdr:rowOff>9525</xdr:rowOff>
    </xdr:from>
    <xdr:to>
      <xdr:col>17</xdr:col>
      <xdr:colOff>352425</xdr:colOff>
      <xdr:row>23</xdr:row>
      <xdr:rowOff>9525</xdr:rowOff>
    </xdr:to>
    <xdr:sp macro="" textlink="">
      <xdr:nvSpPr>
        <xdr:cNvPr id="1886799" name="Line 19">
          <a:extLst>
            <a:ext uri="{FF2B5EF4-FFF2-40B4-BE49-F238E27FC236}">
              <a16:creationId xmlns:a16="http://schemas.microsoft.com/office/drawing/2014/main" id="{00000000-0008-0000-0400-00004FCA1C00}"/>
            </a:ext>
          </a:extLst>
        </xdr:cNvPr>
        <xdr:cNvSpPr>
          <a:spLocks noChangeShapeType="1"/>
        </xdr:cNvSpPr>
      </xdr:nvSpPr>
      <xdr:spPr bwMode="auto">
        <a:xfrm>
          <a:off x="3800475" y="42100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285750</xdr:colOff>
      <xdr:row>33</xdr:row>
      <xdr:rowOff>9525</xdr:rowOff>
    </xdr:from>
    <xdr:to>
      <xdr:col>18</xdr:col>
      <xdr:colOff>514350</xdr:colOff>
      <xdr:row>33</xdr:row>
      <xdr:rowOff>9525</xdr:rowOff>
    </xdr:to>
    <xdr:sp macro="" textlink="">
      <xdr:nvSpPr>
        <xdr:cNvPr id="1886800" name="Line 20">
          <a:extLst>
            <a:ext uri="{FF2B5EF4-FFF2-40B4-BE49-F238E27FC236}">
              <a16:creationId xmlns:a16="http://schemas.microsoft.com/office/drawing/2014/main" id="{00000000-0008-0000-0400-000050CA1C00}"/>
            </a:ext>
          </a:extLst>
        </xdr:cNvPr>
        <xdr:cNvSpPr>
          <a:spLocks noChangeShapeType="1"/>
        </xdr:cNvSpPr>
      </xdr:nvSpPr>
      <xdr:spPr bwMode="auto">
        <a:xfrm>
          <a:off x="3819525" y="5829300"/>
          <a:ext cx="78295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361950</xdr:colOff>
      <xdr:row>46</xdr:row>
      <xdr:rowOff>133350</xdr:rowOff>
    </xdr:from>
    <xdr:to>
      <xdr:col>18</xdr:col>
      <xdr:colOff>514350</xdr:colOff>
      <xdr:row>46</xdr:row>
      <xdr:rowOff>133350</xdr:rowOff>
    </xdr:to>
    <xdr:sp macro="" textlink="">
      <xdr:nvSpPr>
        <xdr:cNvPr id="1886801" name="Line 21">
          <a:extLst>
            <a:ext uri="{FF2B5EF4-FFF2-40B4-BE49-F238E27FC236}">
              <a16:creationId xmlns:a16="http://schemas.microsoft.com/office/drawing/2014/main" id="{00000000-0008-0000-0400-000051CA1C00}"/>
            </a:ext>
          </a:extLst>
        </xdr:cNvPr>
        <xdr:cNvSpPr>
          <a:spLocks noChangeShapeType="1"/>
        </xdr:cNvSpPr>
      </xdr:nvSpPr>
      <xdr:spPr bwMode="auto">
        <a:xfrm>
          <a:off x="6924675" y="8058150"/>
          <a:ext cx="472440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58</xdr:row>
      <xdr:rowOff>133350</xdr:rowOff>
    </xdr:from>
    <xdr:to>
      <xdr:col>19</xdr:col>
      <xdr:colOff>352425</xdr:colOff>
      <xdr:row>58</xdr:row>
      <xdr:rowOff>152400</xdr:rowOff>
    </xdr:to>
    <xdr:sp macro="" textlink="">
      <xdr:nvSpPr>
        <xdr:cNvPr id="1886802" name="Line 22">
          <a:extLst>
            <a:ext uri="{FF2B5EF4-FFF2-40B4-BE49-F238E27FC236}">
              <a16:creationId xmlns:a16="http://schemas.microsoft.com/office/drawing/2014/main" id="{00000000-0008-0000-0400-000052CA1C00}"/>
            </a:ext>
          </a:extLst>
        </xdr:cNvPr>
        <xdr:cNvSpPr>
          <a:spLocks noChangeShapeType="1"/>
        </xdr:cNvSpPr>
      </xdr:nvSpPr>
      <xdr:spPr bwMode="auto">
        <a:xfrm>
          <a:off x="3800475" y="100012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70</xdr:row>
      <xdr:rowOff>123825</xdr:rowOff>
    </xdr:from>
    <xdr:to>
      <xdr:col>21</xdr:col>
      <xdr:colOff>533400</xdr:colOff>
      <xdr:row>70</xdr:row>
      <xdr:rowOff>133350</xdr:rowOff>
    </xdr:to>
    <xdr:sp macro="" textlink="">
      <xdr:nvSpPr>
        <xdr:cNvPr id="1886803" name="Line 23">
          <a:extLst>
            <a:ext uri="{FF2B5EF4-FFF2-40B4-BE49-F238E27FC236}">
              <a16:creationId xmlns:a16="http://schemas.microsoft.com/office/drawing/2014/main" id="{00000000-0008-0000-0400-000053CA1C00}"/>
            </a:ext>
          </a:extLst>
        </xdr:cNvPr>
        <xdr:cNvSpPr>
          <a:spLocks noChangeShapeType="1"/>
        </xdr:cNvSpPr>
      </xdr:nvSpPr>
      <xdr:spPr bwMode="auto">
        <a:xfrm>
          <a:off x="3810000" y="11934825"/>
          <a:ext cx="9896475"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74</xdr:row>
      <xdr:rowOff>123825</xdr:rowOff>
    </xdr:from>
    <xdr:to>
      <xdr:col>22</xdr:col>
      <xdr:colOff>352425</xdr:colOff>
      <xdr:row>74</xdr:row>
      <xdr:rowOff>133350</xdr:rowOff>
    </xdr:to>
    <xdr:sp macro="" textlink="">
      <xdr:nvSpPr>
        <xdr:cNvPr id="1886804" name="Line 24">
          <a:extLst>
            <a:ext uri="{FF2B5EF4-FFF2-40B4-BE49-F238E27FC236}">
              <a16:creationId xmlns:a16="http://schemas.microsoft.com/office/drawing/2014/main" id="{00000000-0008-0000-0400-000054CA1C00}"/>
            </a:ext>
          </a:extLst>
        </xdr:cNvPr>
        <xdr:cNvSpPr>
          <a:spLocks noChangeShapeType="1"/>
        </xdr:cNvSpPr>
      </xdr:nvSpPr>
      <xdr:spPr bwMode="auto">
        <a:xfrm>
          <a:off x="3790950" y="12582525"/>
          <a:ext cx="10725150" cy="9525"/>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62</xdr:row>
      <xdr:rowOff>133350</xdr:rowOff>
    </xdr:from>
    <xdr:to>
      <xdr:col>20</xdr:col>
      <xdr:colOff>533400</xdr:colOff>
      <xdr:row>62</xdr:row>
      <xdr:rowOff>133350</xdr:rowOff>
    </xdr:to>
    <xdr:sp macro="" textlink="">
      <xdr:nvSpPr>
        <xdr:cNvPr id="1886805" name="Line 25">
          <a:extLst>
            <a:ext uri="{FF2B5EF4-FFF2-40B4-BE49-F238E27FC236}">
              <a16:creationId xmlns:a16="http://schemas.microsoft.com/office/drawing/2014/main" id="{00000000-0008-0000-0400-000055CA1C00}"/>
            </a:ext>
          </a:extLst>
        </xdr:cNvPr>
        <xdr:cNvSpPr>
          <a:spLocks noChangeShapeType="1"/>
        </xdr:cNvSpPr>
      </xdr:nvSpPr>
      <xdr:spPr bwMode="auto">
        <a:xfrm flipV="1">
          <a:off x="3810000" y="10648950"/>
          <a:ext cx="92487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400050</xdr:colOff>
      <xdr:row>66</xdr:row>
      <xdr:rowOff>152400</xdr:rowOff>
    </xdr:from>
    <xdr:to>
      <xdr:col>20</xdr:col>
      <xdr:colOff>504825</xdr:colOff>
      <xdr:row>66</xdr:row>
      <xdr:rowOff>152400</xdr:rowOff>
    </xdr:to>
    <xdr:sp macro="" textlink="">
      <xdr:nvSpPr>
        <xdr:cNvPr id="1886806" name="Line 26">
          <a:extLst>
            <a:ext uri="{FF2B5EF4-FFF2-40B4-BE49-F238E27FC236}">
              <a16:creationId xmlns:a16="http://schemas.microsoft.com/office/drawing/2014/main" id="{00000000-0008-0000-0400-000056CA1C00}"/>
            </a:ext>
          </a:extLst>
        </xdr:cNvPr>
        <xdr:cNvSpPr>
          <a:spLocks noChangeShapeType="1"/>
        </xdr:cNvSpPr>
      </xdr:nvSpPr>
      <xdr:spPr bwMode="auto">
        <a:xfrm>
          <a:off x="5057775" y="11315700"/>
          <a:ext cx="79724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514350</xdr:colOff>
      <xdr:row>6</xdr:row>
      <xdr:rowOff>9525</xdr:rowOff>
    </xdr:from>
    <xdr:to>
      <xdr:col>20</xdr:col>
      <xdr:colOff>542925</xdr:colOff>
      <xdr:row>97</xdr:row>
      <xdr:rowOff>85725</xdr:rowOff>
    </xdr:to>
    <xdr:sp macro="" textlink="">
      <xdr:nvSpPr>
        <xdr:cNvPr id="1886807" name="Line 27">
          <a:extLst>
            <a:ext uri="{FF2B5EF4-FFF2-40B4-BE49-F238E27FC236}">
              <a16:creationId xmlns:a16="http://schemas.microsoft.com/office/drawing/2014/main" id="{00000000-0008-0000-0400-000057CA1C00}"/>
            </a:ext>
          </a:extLst>
        </xdr:cNvPr>
        <xdr:cNvSpPr>
          <a:spLocks noChangeShapeType="1"/>
        </xdr:cNvSpPr>
      </xdr:nvSpPr>
      <xdr:spPr bwMode="auto">
        <a:xfrm>
          <a:off x="13039725" y="1457325"/>
          <a:ext cx="28575" cy="148113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238125</xdr:colOff>
      <xdr:row>25</xdr:row>
      <xdr:rowOff>9525</xdr:rowOff>
    </xdr:from>
    <xdr:to>
      <xdr:col>17</xdr:col>
      <xdr:colOff>342900</xdr:colOff>
      <xdr:row>25</xdr:row>
      <xdr:rowOff>9525</xdr:rowOff>
    </xdr:to>
    <xdr:sp macro="" textlink="">
      <xdr:nvSpPr>
        <xdr:cNvPr id="1886808" name="Line 28">
          <a:extLst>
            <a:ext uri="{FF2B5EF4-FFF2-40B4-BE49-F238E27FC236}">
              <a16:creationId xmlns:a16="http://schemas.microsoft.com/office/drawing/2014/main" id="{00000000-0008-0000-0400-000058CA1C00}"/>
            </a:ext>
          </a:extLst>
        </xdr:cNvPr>
        <xdr:cNvSpPr>
          <a:spLocks noChangeShapeType="1"/>
        </xdr:cNvSpPr>
      </xdr:nvSpPr>
      <xdr:spPr bwMode="auto">
        <a:xfrm>
          <a:off x="3771900" y="4533900"/>
          <a:ext cx="69437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27</xdr:row>
      <xdr:rowOff>9525</xdr:rowOff>
    </xdr:from>
    <xdr:to>
      <xdr:col>17</xdr:col>
      <xdr:colOff>352425</xdr:colOff>
      <xdr:row>27</xdr:row>
      <xdr:rowOff>9525</xdr:rowOff>
    </xdr:to>
    <xdr:sp macro="" textlink="">
      <xdr:nvSpPr>
        <xdr:cNvPr id="1886809" name="Line 29">
          <a:extLst>
            <a:ext uri="{FF2B5EF4-FFF2-40B4-BE49-F238E27FC236}">
              <a16:creationId xmlns:a16="http://schemas.microsoft.com/office/drawing/2014/main" id="{00000000-0008-0000-0400-000059CA1C00}"/>
            </a:ext>
          </a:extLst>
        </xdr:cNvPr>
        <xdr:cNvSpPr>
          <a:spLocks noChangeShapeType="1"/>
        </xdr:cNvSpPr>
      </xdr:nvSpPr>
      <xdr:spPr bwMode="auto">
        <a:xfrm>
          <a:off x="3800475" y="4857750"/>
          <a:ext cx="69246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28</xdr:row>
      <xdr:rowOff>152400</xdr:rowOff>
    </xdr:from>
    <xdr:to>
      <xdr:col>17</xdr:col>
      <xdr:colOff>333375</xdr:colOff>
      <xdr:row>28</xdr:row>
      <xdr:rowOff>152400</xdr:rowOff>
    </xdr:to>
    <xdr:sp macro="" textlink="">
      <xdr:nvSpPr>
        <xdr:cNvPr id="1886810" name="Line 30">
          <a:extLst>
            <a:ext uri="{FF2B5EF4-FFF2-40B4-BE49-F238E27FC236}">
              <a16:creationId xmlns:a16="http://schemas.microsoft.com/office/drawing/2014/main" id="{00000000-0008-0000-0400-00005ACA1C00}"/>
            </a:ext>
          </a:extLst>
        </xdr:cNvPr>
        <xdr:cNvSpPr>
          <a:spLocks noChangeShapeType="1"/>
        </xdr:cNvSpPr>
      </xdr:nvSpPr>
      <xdr:spPr bwMode="auto">
        <a:xfrm>
          <a:off x="3800475" y="5162550"/>
          <a:ext cx="690562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142875</xdr:colOff>
      <xdr:row>45</xdr:row>
      <xdr:rowOff>0</xdr:rowOff>
    </xdr:from>
    <xdr:to>
      <xdr:col>18</xdr:col>
      <xdr:colOff>514350</xdr:colOff>
      <xdr:row>45</xdr:row>
      <xdr:rowOff>9525</xdr:rowOff>
    </xdr:to>
    <xdr:sp macro="" textlink="">
      <xdr:nvSpPr>
        <xdr:cNvPr id="1886811" name="Line 31">
          <a:extLst>
            <a:ext uri="{FF2B5EF4-FFF2-40B4-BE49-F238E27FC236}">
              <a16:creationId xmlns:a16="http://schemas.microsoft.com/office/drawing/2014/main" id="{00000000-0008-0000-0400-00005BCA1C00}"/>
            </a:ext>
          </a:extLst>
        </xdr:cNvPr>
        <xdr:cNvSpPr>
          <a:spLocks noChangeShapeType="1"/>
        </xdr:cNvSpPr>
      </xdr:nvSpPr>
      <xdr:spPr bwMode="auto">
        <a:xfrm>
          <a:off x="6315075" y="7762875"/>
          <a:ext cx="5334000" cy="9525"/>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56</xdr:row>
      <xdr:rowOff>123825</xdr:rowOff>
    </xdr:from>
    <xdr:to>
      <xdr:col>19</xdr:col>
      <xdr:colOff>342900</xdr:colOff>
      <xdr:row>56</xdr:row>
      <xdr:rowOff>123825</xdr:rowOff>
    </xdr:to>
    <xdr:sp macro="" textlink="">
      <xdr:nvSpPr>
        <xdr:cNvPr id="1886812" name="Line 32">
          <a:extLst>
            <a:ext uri="{FF2B5EF4-FFF2-40B4-BE49-F238E27FC236}">
              <a16:creationId xmlns:a16="http://schemas.microsoft.com/office/drawing/2014/main" id="{00000000-0008-0000-0400-00005CCA1C00}"/>
            </a:ext>
          </a:extLst>
        </xdr:cNvPr>
        <xdr:cNvSpPr>
          <a:spLocks noChangeShapeType="1"/>
        </xdr:cNvSpPr>
      </xdr:nvSpPr>
      <xdr:spPr bwMode="auto">
        <a:xfrm>
          <a:off x="3790950" y="96678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54</xdr:row>
      <xdr:rowOff>133350</xdr:rowOff>
    </xdr:from>
    <xdr:to>
      <xdr:col>19</xdr:col>
      <xdr:colOff>361950</xdr:colOff>
      <xdr:row>54</xdr:row>
      <xdr:rowOff>152400</xdr:rowOff>
    </xdr:to>
    <xdr:sp macro="" textlink="">
      <xdr:nvSpPr>
        <xdr:cNvPr id="1886813" name="Line 33">
          <a:extLst>
            <a:ext uri="{FF2B5EF4-FFF2-40B4-BE49-F238E27FC236}">
              <a16:creationId xmlns:a16="http://schemas.microsoft.com/office/drawing/2014/main" id="{00000000-0008-0000-0400-00005DCA1C00}"/>
            </a:ext>
          </a:extLst>
        </xdr:cNvPr>
        <xdr:cNvSpPr>
          <a:spLocks noChangeShapeType="1"/>
        </xdr:cNvSpPr>
      </xdr:nvSpPr>
      <xdr:spPr bwMode="auto">
        <a:xfrm>
          <a:off x="3810000" y="9353550"/>
          <a:ext cx="8401050" cy="1905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52</xdr:row>
      <xdr:rowOff>123825</xdr:rowOff>
    </xdr:from>
    <xdr:to>
      <xdr:col>19</xdr:col>
      <xdr:colOff>342900</xdr:colOff>
      <xdr:row>52</xdr:row>
      <xdr:rowOff>123825</xdr:rowOff>
    </xdr:to>
    <xdr:sp macro="" textlink="">
      <xdr:nvSpPr>
        <xdr:cNvPr id="1886814" name="Line 34">
          <a:extLst>
            <a:ext uri="{FF2B5EF4-FFF2-40B4-BE49-F238E27FC236}">
              <a16:creationId xmlns:a16="http://schemas.microsoft.com/office/drawing/2014/main" id="{00000000-0008-0000-0400-00005ECA1C00}"/>
            </a:ext>
          </a:extLst>
        </xdr:cNvPr>
        <xdr:cNvSpPr>
          <a:spLocks noChangeShapeType="1"/>
        </xdr:cNvSpPr>
      </xdr:nvSpPr>
      <xdr:spPr bwMode="auto">
        <a:xfrm>
          <a:off x="3790950" y="90201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50</xdr:row>
      <xdr:rowOff>104775</xdr:rowOff>
    </xdr:from>
    <xdr:to>
      <xdr:col>19</xdr:col>
      <xdr:colOff>352425</xdr:colOff>
      <xdr:row>50</xdr:row>
      <xdr:rowOff>104775</xdr:rowOff>
    </xdr:to>
    <xdr:sp macro="" textlink="">
      <xdr:nvSpPr>
        <xdr:cNvPr id="1886815" name="Line 35">
          <a:extLst>
            <a:ext uri="{FF2B5EF4-FFF2-40B4-BE49-F238E27FC236}">
              <a16:creationId xmlns:a16="http://schemas.microsoft.com/office/drawing/2014/main" id="{00000000-0008-0000-0400-00005FCA1C00}"/>
            </a:ext>
          </a:extLst>
        </xdr:cNvPr>
        <xdr:cNvSpPr>
          <a:spLocks noChangeShapeType="1"/>
        </xdr:cNvSpPr>
      </xdr:nvSpPr>
      <xdr:spPr bwMode="auto">
        <a:xfrm>
          <a:off x="3800475" y="8677275"/>
          <a:ext cx="8401050"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190500</xdr:colOff>
      <xdr:row>64</xdr:row>
      <xdr:rowOff>152400</xdr:rowOff>
    </xdr:from>
    <xdr:to>
      <xdr:col>20</xdr:col>
      <xdr:colOff>523875</xdr:colOff>
      <xdr:row>64</xdr:row>
      <xdr:rowOff>161925</xdr:rowOff>
    </xdr:to>
    <xdr:sp macro="" textlink="">
      <xdr:nvSpPr>
        <xdr:cNvPr id="1886816" name="Line 36">
          <a:extLst>
            <a:ext uri="{FF2B5EF4-FFF2-40B4-BE49-F238E27FC236}">
              <a16:creationId xmlns:a16="http://schemas.microsoft.com/office/drawing/2014/main" id="{00000000-0008-0000-0400-000060CA1C00}"/>
            </a:ext>
          </a:extLst>
        </xdr:cNvPr>
        <xdr:cNvSpPr>
          <a:spLocks noChangeShapeType="1"/>
        </xdr:cNvSpPr>
      </xdr:nvSpPr>
      <xdr:spPr bwMode="auto">
        <a:xfrm flipV="1">
          <a:off x="4486275" y="10991850"/>
          <a:ext cx="8562975" cy="9525"/>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38</xdr:row>
      <xdr:rowOff>152400</xdr:rowOff>
    </xdr:from>
    <xdr:to>
      <xdr:col>18</xdr:col>
      <xdr:colOff>504825</xdr:colOff>
      <xdr:row>38</xdr:row>
      <xdr:rowOff>152400</xdr:rowOff>
    </xdr:to>
    <xdr:sp macro="" textlink="">
      <xdr:nvSpPr>
        <xdr:cNvPr id="1886817" name="Line 37">
          <a:extLst>
            <a:ext uri="{FF2B5EF4-FFF2-40B4-BE49-F238E27FC236}">
              <a16:creationId xmlns:a16="http://schemas.microsoft.com/office/drawing/2014/main" id="{00000000-0008-0000-0400-000061CA1C00}"/>
            </a:ext>
          </a:extLst>
        </xdr:cNvPr>
        <xdr:cNvSpPr>
          <a:spLocks noChangeShapeType="1"/>
        </xdr:cNvSpPr>
      </xdr:nvSpPr>
      <xdr:spPr bwMode="auto">
        <a:xfrm>
          <a:off x="4467225" y="6781800"/>
          <a:ext cx="7172325" cy="0"/>
        </a:xfrm>
        <a:prstGeom prst="line">
          <a:avLst/>
        </a:prstGeom>
        <a:noFill/>
        <a:ln w="36000">
          <a:solidFill>
            <a:srgbClr val="8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390525</xdr:colOff>
      <xdr:row>40</xdr:row>
      <xdr:rowOff>152400</xdr:rowOff>
    </xdr:from>
    <xdr:to>
      <xdr:col>18</xdr:col>
      <xdr:colOff>476250</xdr:colOff>
      <xdr:row>40</xdr:row>
      <xdr:rowOff>152400</xdr:rowOff>
    </xdr:to>
    <xdr:sp macro="" textlink="">
      <xdr:nvSpPr>
        <xdr:cNvPr id="1886818" name="Line 38">
          <a:extLst>
            <a:ext uri="{FF2B5EF4-FFF2-40B4-BE49-F238E27FC236}">
              <a16:creationId xmlns:a16="http://schemas.microsoft.com/office/drawing/2014/main" id="{00000000-0008-0000-0400-000062CA1C00}"/>
            </a:ext>
          </a:extLst>
        </xdr:cNvPr>
        <xdr:cNvSpPr>
          <a:spLocks noChangeShapeType="1"/>
        </xdr:cNvSpPr>
      </xdr:nvSpPr>
      <xdr:spPr bwMode="auto">
        <a:xfrm>
          <a:off x="5048250" y="7105650"/>
          <a:ext cx="6562725" cy="0"/>
        </a:xfrm>
        <a:prstGeom prst="line">
          <a:avLst/>
        </a:prstGeom>
        <a:noFill/>
        <a:ln w="36000">
          <a:solidFill>
            <a:srgbClr val="9966CC"/>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342900</xdr:colOff>
      <xdr:row>19</xdr:row>
      <xdr:rowOff>9525</xdr:rowOff>
    </xdr:from>
    <xdr:to>
      <xdr:col>16</xdr:col>
      <xdr:colOff>466725</xdr:colOff>
      <xdr:row>19</xdr:row>
      <xdr:rowOff>9525</xdr:rowOff>
    </xdr:to>
    <xdr:sp macro="" textlink="">
      <xdr:nvSpPr>
        <xdr:cNvPr id="1886819" name="Line 39">
          <a:extLst>
            <a:ext uri="{FF2B5EF4-FFF2-40B4-BE49-F238E27FC236}">
              <a16:creationId xmlns:a16="http://schemas.microsoft.com/office/drawing/2014/main" id="{00000000-0008-0000-0400-000063CA1C00}"/>
            </a:ext>
          </a:extLst>
        </xdr:cNvPr>
        <xdr:cNvSpPr>
          <a:spLocks noChangeShapeType="1"/>
        </xdr:cNvSpPr>
      </xdr:nvSpPr>
      <xdr:spPr bwMode="auto">
        <a:xfrm>
          <a:off x="6905625" y="3562350"/>
          <a:ext cx="3181350" cy="0"/>
        </a:xfrm>
        <a:prstGeom prst="line">
          <a:avLst/>
        </a:prstGeom>
        <a:noFill/>
        <a:ln w="36000">
          <a:solidFill>
            <a:srgbClr val="B3B3B3"/>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219075</xdr:colOff>
      <xdr:row>42</xdr:row>
      <xdr:rowOff>152400</xdr:rowOff>
    </xdr:from>
    <xdr:to>
      <xdr:col>18</xdr:col>
      <xdr:colOff>476250</xdr:colOff>
      <xdr:row>42</xdr:row>
      <xdr:rowOff>152400</xdr:rowOff>
    </xdr:to>
    <xdr:sp macro="" textlink="">
      <xdr:nvSpPr>
        <xdr:cNvPr id="1886820" name="Line 40">
          <a:extLst>
            <a:ext uri="{FF2B5EF4-FFF2-40B4-BE49-F238E27FC236}">
              <a16:creationId xmlns:a16="http://schemas.microsoft.com/office/drawing/2014/main" id="{00000000-0008-0000-0400-000064CA1C00}"/>
            </a:ext>
          </a:extLst>
        </xdr:cNvPr>
        <xdr:cNvSpPr>
          <a:spLocks noChangeShapeType="1"/>
        </xdr:cNvSpPr>
      </xdr:nvSpPr>
      <xdr:spPr bwMode="auto">
        <a:xfrm>
          <a:off x="5991225" y="7429500"/>
          <a:ext cx="5619750" cy="0"/>
        </a:xfrm>
        <a:prstGeom prst="line">
          <a:avLst/>
        </a:prstGeom>
        <a:noFill/>
        <a:ln w="360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35</xdr:row>
      <xdr:rowOff>9525</xdr:rowOff>
    </xdr:from>
    <xdr:to>
      <xdr:col>18</xdr:col>
      <xdr:colOff>514350</xdr:colOff>
      <xdr:row>35</xdr:row>
      <xdr:rowOff>9525</xdr:rowOff>
    </xdr:to>
    <xdr:sp macro="" textlink="">
      <xdr:nvSpPr>
        <xdr:cNvPr id="1886821" name="Line 41">
          <a:extLst>
            <a:ext uri="{FF2B5EF4-FFF2-40B4-BE49-F238E27FC236}">
              <a16:creationId xmlns:a16="http://schemas.microsoft.com/office/drawing/2014/main" id="{00000000-0008-0000-0400-000065CA1C00}"/>
            </a:ext>
          </a:extLst>
        </xdr:cNvPr>
        <xdr:cNvSpPr>
          <a:spLocks noChangeShapeType="1"/>
        </xdr:cNvSpPr>
      </xdr:nvSpPr>
      <xdr:spPr bwMode="auto">
        <a:xfrm>
          <a:off x="3810000" y="6153150"/>
          <a:ext cx="7839075" cy="0"/>
        </a:xfrm>
        <a:prstGeom prst="line">
          <a:avLst/>
        </a:prstGeom>
        <a:noFill/>
        <a:ln w="36000">
          <a:solidFill>
            <a:srgbClr val="0047FF"/>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36</xdr:row>
      <xdr:rowOff>152400</xdr:rowOff>
    </xdr:from>
    <xdr:to>
      <xdr:col>18</xdr:col>
      <xdr:colOff>495300</xdr:colOff>
      <xdr:row>37</xdr:row>
      <xdr:rowOff>9525</xdr:rowOff>
    </xdr:to>
    <xdr:sp macro="" textlink="">
      <xdr:nvSpPr>
        <xdr:cNvPr id="1886822" name="Line 42">
          <a:extLst>
            <a:ext uri="{FF2B5EF4-FFF2-40B4-BE49-F238E27FC236}">
              <a16:creationId xmlns:a16="http://schemas.microsoft.com/office/drawing/2014/main" id="{00000000-0008-0000-0400-000066CA1C00}"/>
            </a:ext>
          </a:extLst>
        </xdr:cNvPr>
        <xdr:cNvSpPr>
          <a:spLocks noChangeShapeType="1"/>
        </xdr:cNvSpPr>
      </xdr:nvSpPr>
      <xdr:spPr bwMode="auto">
        <a:xfrm>
          <a:off x="7439025" y="6457950"/>
          <a:ext cx="4191000" cy="19050"/>
        </a:xfrm>
        <a:prstGeom prst="line">
          <a:avLst/>
        </a:prstGeom>
        <a:noFill/>
        <a:ln w="36000">
          <a:solidFill>
            <a:srgbClr val="FFFF66"/>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409575</xdr:colOff>
      <xdr:row>11</xdr:row>
      <xdr:rowOff>28575</xdr:rowOff>
    </xdr:from>
    <xdr:to>
      <xdr:col>5</xdr:col>
      <xdr:colOff>238125</xdr:colOff>
      <xdr:row>11</xdr:row>
      <xdr:rowOff>28575</xdr:rowOff>
    </xdr:to>
    <xdr:sp macro="" textlink="">
      <xdr:nvSpPr>
        <xdr:cNvPr id="1886823" name="Line 43">
          <a:extLst>
            <a:ext uri="{FF2B5EF4-FFF2-40B4-BE49-F238E27FC236}">
              <a16:creationId xmlns:a16="http://schemas.microsoft.com/office/drawing/2014/main" id="{00000000-0008-0000-0400-000067CA1C00}"/>
            </a:ext>
          </a:extLst>
        </xdr:cNvPr>
        <xdr:cNvSpPr>
          <a:spLocks noChangeShapeType="1"/>
        </xdr:cNvSpPr>
      </xdr:nvSpPr>
      <xdr:spPr bwMode="auto">
        <a:xfrm>
          <a:off x="1171575" y="2286000"/>
          <a:ext cx="2600325" cy="0"/>
        </a:xfrm>
        <a:prstGeom prst="line">
          <a:avLst/>
        </a:prstGeom>
        <a:noFill/>
        <a:ln w="36000">
          <a:solidFill>
            <a:srgbClr val="CCCC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13</xdr:row>
      <xdr:rowOff>9525</xdr:rowOff>
    </xdr:from>
    <xdr:to>
      <xdr:col>5</xdr:col>
      <xdr:colOff>266700</xdr:colOff>
      <xdr:row>13</xdr:row>
      <xdr:rowOff>9525</xdr:rowOff>
    </xdr:to>
    <xdr:sp macro="" textlink="">
      <xdr:nvSpPr>
        <xdr:cNvPr id="1886824" name="Line 44">
          <a:extLst>
            <a:ext uri="{FF2B5EF4-FFF2-40B4-BE49-F238E27FC236}">
              <a16:creationId xmlns:a16="http://schemas.microsoft.com/office/drawing/2014/main" id="{00000000-0008-0000-0400-000068CA1C00}"/>
            </a:ext>
          </a:extLst>
        </xdr:cNvPr>
        <xdr:cNvSpPr>
          <a:spLocks noChangeShapeType="1"/>
        </xdr:cNvSpPr>
      </xdr:nvSpPr>
      <xdr:spPr bwMode="auto">
        <a:xfrm>
          <a:off x="1685925" y="2590800"/>
          <a:ext cx="2114550" cy="0"/>
        </a:xfrm>
        <a:prstGeom prst="line">
          <a:avLst/>
        </a:prstGeom>
        <a:noFill/>
        <a:ln w="36000">
          <a:solidFill>
            <a:srgbClr val="333333"/>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352425</xdr:colOff>
      <xdr:row>15</xdr:row>
      <xdr:rowOff>9525</xdr:rowOff>
    </xdr:from>
    <xdr:to>
      <xdr:col>5</xdr:col>
      <xdr:colOff>238125</xdr:colOff>
      <xdr:row>15</xdr:row>
      <xdr:rowOff>9525</xdr:rowOff>
    </xdr:to>
    <xdr:sp macro="" textlink="">
      <xdr:nvSpPr>
        <xdr:cNvPr id="1886825" name="Line 45">
          <a:extLst>
            <a:ext uri="{FF2B5EF4-FFF2-40B4-BE49-F238E27FC236}">
              <a16:creationId xmlns:a16="http://schemas.microsoft.com/office/drawing/2014/main" id="{00000000-0008-0000-0400-000069CA1C00}"/>
            </a:ext>
          </a:extLst>
        </xdr:cNvPr>
        <xdr:cNvSpPr>
          <a:spLocks noChangeShapeType="1"/>
        </xdr:cNvSpPr>
      </xdr:nvSpPr>
      <xdr:spPr bwMode="auto">
        <a:xfrm>
          <a:off x="2638425" y="2914650"/>
          <a:ext cx="1133475" cy="0"/>
        </a:xfrm>
        <a:prstGeom prst="line">
          <a:avLst/>
        </a:prstGeom>
        <a:noFill/>
        <a:ln w="36000">
          <a:solidFill>
            <a:srgbClr val="999999"/>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400050</xdr:colOff>
      <xdr:row>6</xdr:row>
      <xdr:rowOff>38100</xdr:rowOff>
    </xdr:from>
    <xdr:to>
      <xdr:col>1</xdr:col>
      <xdr:colOff>400050</xdr:colOff>
      <xdr:row>100</xdr:row>
      <xdr:rowOff>123825</xdr:rowOff>
    </xdr:to>
    <xdr:sp macro="" textlink="">
      <xdr:nvSpPr>
        <xdr:cNvPr id="1886826" name="Line 46">
          <a:extLst>
            <a:ext uri="{FF2B5EF4-FFF2-40B4-BE49-F238E27FC236}">
              <a16:creationId xmlns:a16="http://schemas.microsoft.com/office/drawing/2014/main" id="{00000000-0008-0000-0400-00006ACA1C00}"/>
            </a:ext>
          </a:extLst>
        </xdr:cNvPr>
        <xdr:cNvSpPr>
          <a:spLocks noChangeShapeType="1"/>
        </xdr:cNvSpPr>
      </xdr:nvSpPr>
      <xdr:spPr bwMode="auto">
        <a:xfrm>
          <a:off x="1162050" y="1485900"/>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161925</xdr:colOff>
      <xdr:row>6</xdr:row>
      <xdr:rowOff>9525</xdr:rowOff>
    </xdr:from>
    <xdr:to>
      <xdr:col>2</xdr:col>
      <xdr:colOff>161925</xdr:colOff>
      <xdr:row>100</xdr:row>
      <xdr:rowOff>104775</xdr:rowOff>
    </xdr:to>
    <xdr:sp macro="" textlink="">
      <xdr:nvSpPr>
        <xdr:cNvPr id="1886827" name="Line 47">
          <a:extLst>
            <a:ext uri="{FF2B5EF4-FFF2-40B4-BE49-F238E27FC236}">
              <a16:creationId xmlns:a16="http://schemas.microsoft.com/office/drawing/2014/main" id="{00000000-0008-0000-0400-00006BCA1C00}"/>
            </a:ext>
          </a:extLst>
        </xdr:cNvPr>
        <xdr:cNvSpPr>
          <a:spLocks noChangeShapeType="1"/>
        </xdr:cNvSpPr>
      </xdr:nvSpPr>
      <xdr:spPr bwMode="auto">
        <a:xfrm>
          <a:off x="1685925"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361950</xdr:colOff>
      <xdr:row>6</xdr:row>
      <xdr:rowOff>9525</xdr:rowOff>
    </xdr:from>
    <xdr:to>
      <xdr:col>3</xdr:col>
      <xdr:colOff>361950</xdr:colOff>
      <xdr:row>100</xdr:row>
      <xdr:rowOff>104775</xdr:rowOff>
    </xdr:to>
    <xdr:sp macro="" textlink="">
      <xdr:nvSpPr>
        <xdr:cNvPr id="1886828" name="Line 48">
          <a:extLst>
            <a:ext uri="{FF2B5EF4-FFF2-40B4-BE49-F238E27FC236}">
              <a16:creationId xmlns:a16="http://schemas.microsoft.com/office/drawing/2014/main" id="{00000000-0008-0000-0400-00006CCA1C00}"/>
            </a:ext>
          </a:extLst>
        </xdr:cNvPr>
        <xdr:cNvSpPr>
          <a:spLocks noChangeShapeType="1"/>
        </xdr:cNvSpPr>
      </xdr:nvSpPr>
      <xdr:spPr bwMode="auto">
        <a:xfrm>
          <a:off x="2647950" y="1457325"/>
          <a:ext cx="0" cy="15316200"/>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8</xdr:row>
      <xdr:rowOff>9525</xdr:rowOff>
    </xdr:from>
    <xdr:to>
      <xdr:col>5</xdr:col>
      <xdr:colOff>257175</xdr:colOff>
      <xdr:row>8</xdr:row>
      <xdr:rowOff>9525</xdr:rowOff>
    </xdr:to>
    <xdr:sp macro="" textlink="">
      <xdr:nvSpPr>
        <xdr:cNvPr id="1886829" name="Line 49">
          <a:extLst>
            <a:ext uri="{FF2B5EF4-FFF2-40B4-BE49-F238E27FC236}">
              <a16:creationId xmlns:a16="http://schemas.microsoft.com/office/drawing/2014/main" id="{00000000-0008-0000-0400-00006DCA1C00}"/>
            </a:ext>
          </a:extLst>
        </xdr:cNvPr>
        <xdr:cNvSpPr>
          <a:spLocks noChangeShapeType="1"/>
        </xdr:cNvSpPr>
      </xdr:nvSpPr>
      <xdr:spPr bwMode="auto">
        <a:xfrm>
          <a:off x="390525" y="1781175"/>
          <a:ext cx="3400425" cy="0"/>
        </a:xfrm>
        <a:prstGeom prst="line">
          <a:avLst/>
        </a:prstGeom>
        <a:noFill/>
        <a:ln w="36000">
          <a:solidFill>
            <a:srgbClr val="94BD5E"/>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390525</xdr:colOff>
      <xdr:row>6</xdr:row>
      <xdr:rowOff>9525</xdr:rowOff>
    </xdr:from>
    <xdr:to>
      <xdr:col>0</xdr:col>
      <xdr:colOff>390525</xdr:colOff>
      <xdr:row>100</xdr:row>
      <xdr:rowOff>95250</xdr:rowOff>
    </xdr:to>
    <xdr:sp macro="" textlink="">
      <xdr:nvSpPr>
        <xdr:cNvPr id="1886830" name="Line 50">
          <a:extLst>
            <a:ext uri="{FF2B5EF4-FFF2-40B4-BE49-F238E27FC236}">
              <a16:creationId xmlns:a16="http://schemas.microsoft.com/office/drawing/2014/main" id="{00000000-0008-0000-0400-00006ECA1C00}"/>
            </a:ext>
          </a:extLst>
        </xdr:cNvPr>
        <xdr:cNvSpPr>
          <a:spLocks noChangeShapeType="1"/>
        </xdr:cNvSpPr>
      </xdr:nvSpPr>
      <xdr:spPr bwMode="auto">
        <a:xfrm>
          <a:off x="390525" y="1457325"/>
          <a:ext cx="0" cy="153066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161925</xdr:colOff>
      <xdr:row>6</xdr:row>
      <xdr:rowOff>9525</xdr:rowOff>
    </xdr:from>
    <xdr:to>
      <xdr:col>12</xdr:col>
      <xdr:colOff>190500</xdr:colOff>
      <xdr:row>101</xdr:row>
      <xdr:rowOff>123825</xdr:rowOff>
    </xdr:to>
    <xdr:sp macro="" textlink="">
      <xdr:nvSpPr>
        <xdr:cNvPr id="1886831" name="Line 51">
          <a:extLst>
            <a:ext uri="{FF2B5EF4-FFF2-40B4-BE49-F238E27FC236}">
              <a16:creationId xmlns:a16="http://schemas.microsoft.com/office/drawing/2014/main" id="{00000000-0008-0000-0400-00006FCA1C00}"/>
            </a:ext>
          </a:extLst>
        </xdr:cNvPr>
        <xdr:cNvSpPr>
          <a:spLocks noChangeShapeType="1"/>
        </xdr:cNvSpPr>
      </xdr:nvSpPr>
      <xdr:spPr bwMode="auto">
        <a:xfrm>
          <a:off x="7439025" y="1457325"/>
          <a:ext cx="28575" cy="15497175"/>
        </a:xfrm>
        <a:prstGeom prst="line">
          <a:avLst/>
        </a:prstGeom>
        <a:noFill/>
        <a:ln w="9360">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5</xdr:col>
          <xdr:colOff>609600</xdr:colOff>
          <xdr:row>9</xdr:row>
          <xdr:rowOff>152400</xdr:rowOff>
        </xdr:from>
        <xdr:to>
          <xdr:col>5</xdr:col>
          <xdr:colOff>676275</xdr:colOff>
          <xdr:row>11</xdr:row>
          <xdr:rowOff>9525</xdr:rowOff>
        </xdr:to>
        <xdr:sp macro="" textlink="">
          <xdr:nvSpPr>
            <xdr:cNvPr id="2049" name="Picture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742950</xdr:colOff>
          <xdr:row>32</xdr:row>
          <xdr:rowOff>0</xdr:rowOff>
        </xdr:from>
        <xdr:to>
          <xdr:col>7</xdr:col>
          <xdr:colOff>66675</xdr:colOff>
          <xdr:row>33</xdr:row>
          <xdr:rowOff>38100</xdr:rowOff>
        </xdr:to>
        <xdr:sp macro="" textlink="">
          <xdr:nvSpPr>
            <xdr:cNvPr id="2050" name="Picture 2" hidden="1">
              <a:extLst>
                <a:ext uri="{63B3BB69-23CF-44E3-9099-C40C66FF867C}">
                  <a14:compatExt spid="_x0000_s2050"/>
                </a:ext>
                <a:ext uri="{FF2B5EF4-FFF2-40B4-BE49-F238E27FC236}">
                  <a16:creationId xmlns:a16="http://schemas.microsoft.com/office/drawing/2014/main" id="{00000000-0008-0000-0500-00000208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18</xdr:col>
      <xdr:colOff>647242</xdr:colOff>
      <xdr:row>27</xdr:row>
      <xdr:rowOff>64674</xdr:rowOff>
    </xdr:from>
    <xdr:to>
      <xdr:col>25</xdr:col>
      <xdr:colOff>571579</xdr:colOff>
      <xdr:row>44</xdr:row>
      <xdr:rowOff>4237</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649432</xdr:colOff>
      <xdr:row>27</xdr:row>
      <xdr:rowOff>-1</xdr:rowOff>
    </xdr:from>
    <xdr:to>
      <xdr:col>34</xdr:col>
      <xdr:colOff>538307</xdr:colOff>
      <xdr:row>43</xdr:row>
      <xdr:rowOff>91353</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200025</xdr:colOff>
      <xdr:row>12</xdr:row>
      <xdr:rowOff>57150</xdr:rowOff>
    </xdr:from>
    <xdr:to>
      <xdr:col>13</xdr:col>
      <xdr:colOff>9525</xdr:colOff>
      <xdr:row>38</xdr:row>
      <xdr:rowOff>152400</xdr:rowOff>
    </xdr:to>
    <xdr:graphicFrame macro="">
      <xdr:nvGraphicFramePr>
        <xdr:cNvPr id="28073" name="Chart 1">
          <a:extLst>
            <a:ext uri="{FF2B5EF4-FFF2-40B4-BE49-F238E27FC236}">
              <a16:creationId xmlns:a16="http://schemas.microsoft.com/office/drawing/2014/main" id="{00000000-0008-0000-0800-0000A9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38100</xdr:rowOff>
    </xdr:from>
    <xdr:to>
      <xdr:col>8</xdr:col>
      <xdr:colOff>314325</xdr:colOff>
      <xdr:row>44</xdr:row>
      <xdr:rowOff>66675</xdr:rowOff>
    </xdr:to>
    <xdr:graphicFrame macro="">
      <xdr:nvGraphicFramePr>
        <xdr:cNvPr id="28074" name="Chart 2">
          <a:extLst>
            <a:ext uri="{FF2B5EF4-FFF2-40B4-BE49-F238E27FC236}">
              <a16:creationId xmlns:a16="http://schemas.microsoft.com/office/drawing/2014/main" id="{00000000-0008-0000-0800-0000AA6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604874</xdr:colOff>
      <xdr:row>0</xdr:row>
      <xdr:rowOff>0</xdr:rowOff>
    </xdr:from>
    <xdr:to>
      <xdr:col>31</xdr:col>
      <xdr:colOff>585381</xdr:colOff>
      <xdr:row>19</xdr:row>
      <xdr:rowOff>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36623</xdr:colOff>
      <xdr:row>17</xdr:row>
      <xdr:rowOff>23333</xdr:rowOff>
    </xdr:from>
    <xdr:to>
      <xdr:col>36</xdr:col>
      <xdr:colOff>595423</xdr:colOff>
      <xdr:row>41</xdr:row>
      <xdr:rowOff>61433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431062</xdr:colOff>
      <xdr:row>18</xdr:row>
      <xdr:rowOff>138593</xdr:rowOff>
    </xdr:from>
    <xdr:to>
      <xdr:col>27</xdr:col>
      <xdr:colOff>592544</xdr:colOff>
      <xdr:row>39</xdr:row>
      <xdr:rowOff>71918</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24</xdr:col>
      <xdr:colOff>457200</xdr:colOff>
      <xdr:row>33</xdr:row>
      <xdr:rowOff>171450</xdr:rowOff>
    </xdr:from>
    <xdr:to>
      <xdr:col>30</xdr:col>
      <xdr:colOff>342900</xdr:colOff>
      <xdr:row>84</xdr:row>
      <xdr:rowOff>9525</xdr:rowOff>
    </xdr:to>
    <xdr:graphicFrame macro="">
      <xdr:nvGraphicFramePr>
        <xdr:cNvPr id="23377" name="Chart 1">
          <a:extLst>
            <a:ext uri="{FF2B5EF4-FFF2-40B4-BE49-F238E27FC236}">
              <a16:creationId xmlns:a16="http://schemas.microsoft.com/office/drawing/2014/main" id="{00000000-0008-0000-1000-000051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457200</xdr:colOff>
      <xdr:row>0</xdr:row>
      <xdr:rowOff>95250</xdr:rowOff>
    </xdr:from>
    <xdr:to>
      <xdr:col>24</xdr:col>
      <xdr:colOff>304800</xdr:colOff>
      <xdr:row>19</xdr:row>
      <xdr:rowOff>95250</xdr:rowOff>
    </xdr:to>
    <xdr:graphicFrame macro="">
      <xdr:nvGraphicFramePr>
        <xdr:cNvPr id="23378" name="Chart 2">
          <a:extLst>
            <a:ext uri="{FF2B5EF4-FFF2-40B4-BE49-F238E27FC236}">
              <a16:creationId xmlns:a16="http://schemas.microsoft.com/office/drawing/2014/main" id="{00000000-0008-0000-1000-000052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19</xdr:row>
      <xdr:rowOff>38100</xdr:rowOff>
    </xdr:from>
    <xdr:to>
      <xdr:col>32</xdr:col>
      <xdr:colOff>152400</xdr:colOff>
      <xdr:row>43</xdr:row>
      <xdr:rowOff>76200</xdr:rowOff>
    </xdr:to>
    <xdr:graphicFrame macro="">
      <xdr:nvGraphicFramePr>
        <xdr:cNvPr id="23379" name="Chart 3">
          <a:extLst>
            <a:ext uri="{FF2B5EF4-FFF2-40B4-BE49-F238E27FC236}">
              <a16:creationId xmlns:a16="http://schemas.microsoft.com/office/drawing/2014/main" id="{00000000-0008-0000-1000-000053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209550</xdr:colOff>
      <xdr:row>19</xdr:row>
      <xdr:rowOff>123825</xdr:rowOff>
    </xdr:from>
    <xdr:to>
      <xdr:col>22</xdr:col>
      <xdr:colOff>238125</xdr:colOff>
      <xdr:row>40</xdr:row>
      <xdr:rowOff>57150</xdr:rowOff>
    </xdr:to>
    <xdr:graphicFrame macro="">
      <xdr:nvGraphicFramePr>
        <xdr:cNvPr id="23380" name="Chart 4">
          <a:extLst>
            <a:ext uri="{FF2B5EF4-FFF2-40B4-BE49-F238E27FC236}">
              <a16:creationId xmlns:a16="http://schemas.microsoft.com/office/drawing/2014/main" id="{00000000-0008-0000-1000-0000545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648890</xdr:colOff>
      <xdr:row>44</xdr:row>
      <xdr:rowOff>33337</xdr:rowOff>
    </xdr:from>
    <xdr:to>
      <xdr:col>43</xdr:col>
      <xdr:colOff>506015</xdr:colOff>
      <xdr:row>56</xdr:row>
      <xdr:rowOff>621506</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0</xdr:colOff>
      <xdr:row>59</xdr:row>
      <xdr:rowOff>0</xdr:rowOff>
    </xdr:from>
    <xdr:to>
      <xdr:col>43</xdr:col>
      <xdr:colOff>523875</xdr:colOff>
      <xdr:row>75</xdr:row>
      <xdr:rowOff>4763</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110807</xdr:colOff>
      <xdr:row>14</xdr:row>
      <xdr:rowOff>100965</xdr:rowOff>
    </xdr:from>
    <xdr:to>
      <xdr:col>13</xdr:col>
      <xdr:colOff>434657</xdr:colOff>
      <xdr:row>30</xdr:row>
      <xdr:rowOff>59690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637223</xdr:colOff>
      <xdr:row>14</xdr:row>
      <xdr:rowOff>72866</xdr:rowOff>
    </xdr:from>
    <xdr:to>
      <xdr:col>21</xdr:col>
      <xdr:colOff>321470</xdr:colOff>
      <xdr:row>30</xdr:row>
      <xdr:rowOff>0</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85</xdr:row>
          <xdr:rowOff>0</xdr:rowOff>
        </xdr:from>
        <xdr:to>
          <xdr:col>1</xdr:col>
          <xdr:colOff>0</xdr:colOff>
          <xdr:row>86</xdr:row>
          <xdr:rowOff>95250</xdr:rowOff>
        </xdr:to>
        <xdr:sp macro="" textlink="">
          <xdr:nvSpPr>
            <xdr:cNvPr id="1221633" name="cmdCheckItemsSheet" hidden="1">
              <a:extLst>
                <a:ext uri="{63B3BB69-23CF-44E3-9099-C40C66FF867C}">
                  <a14:compatExt spid="_x0000_s1221633"/>
                </a:ext>
                <a:ext uri="{FF2B5EF4-FFF2-40B4-BE49-F238E27FC236}">
                  <a16:creationId xmlns:a16="http://schemas.microsoft.com/office/drawing/2014/main" id="{00000000-0008-0000-1400-000001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85</xdr:row>
          <xdr:rowOff>0</xdr:rowOff>
        </xdr:from>
        <xdr:to>
          <xdr:col>2</xdr:col>
          <xdr:colOff>0</xdr:colOff>
          <xdr:row>86</xdr:row>
          <xdr:rowOff>95250</xdr:rowOff>
        </xdr:to>
        <xdr:sp macro="" textlink="">
          <xdr:nvSpPr>
            <xdr:cNvPr id="1221634" name="cmdSpecifyComponent" hidden="1">
              <a:extLst>
                <a:ext uri="{63B3BB69-23CF-44E3-9099-C40C66FF867C}">
                  <a14:compatExt spid="_x0000_s1221634"/>
                </a:ext>
                <a:ext uri="{FF2B5EF4-FFF2-40B4-BE49-F238E27FC236}">
                  <a16:creationId xmlns:a16="http://schemas.microsoft.com/office/drawing/2014/main" id="{00000000-0008-0000-1400-000002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85</xdr:row>
          <xdr:rowOff>0</xdr:rowOff>
        </xdr:from>
        <xdr:to>
          <xdr:col>5</xdr:col>
          <xdr:colOff>0</xdr:colOff>
          <xdr:row>86</xdr:row>
          <xdr:rowOff>95250</xdr:rowOff>
        </xdr:to>
        <xdr:sp macro="" textlink="">
          <xdr:nvSpPr>
            <xdr:cNvPr id="1221635" name="cmdSpecifyUnits" hidden="1">
              <a:extLst>
                <a:ext uri="{63B3BB69-23CF-44E3-9099-C40C66FF867C}">
                  <a14:compatExt spid="_x0000_s1221635"/>
                </a:ext>
                <a:ext uri="{FF2B5EF4-FFF2-40B4-BE49-F238E27FC236}">
                  <a16:creationId xmlns:a16="http://schemas.microsoft.com/office/drawing/2014/main" id="{00000000-0008-0000-1400-000003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85</xdr:row>
          <xdr:rowOff>0</xdr:rowOff>
        </xdr:from>
        <xdr:to>
          <xdr:col>6</xdr:col>
          <xdr:colOff>0</xdr:colOff>
          <xdr:row>86</xdr:row>
          <xdr:rowOff>95250</xdr:rowOff>
        </xdr:to>
        <xdr:sp macro="" textlink="">
          <xdr:nvSpPr>
            <xdr:cNvPr id="1221636" name="cmdSpecifySets" hidden="1">
              <a:extLst>
                <a:ext uri="{63B3BB69-23CF-44E3-9099-C40C66FF867C}">
                  <a14:compatExt spid="_x0000_s1221636"/>
                </a:ext>
                <a:ext uri="{FF2B5EF4-FFF2-40B4-BE49-F238E27FC236}">
                  <a16:creationId xmlns:a16="http://schemas.microsoft.com/office/drawing/2014/main" id="{00000000-0008-0000-1400-000004A4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25</xdr:row>
          <xdr:rowOff>0</xdr:rowOff>
        </xdr:from>
        <xdr:to>
          <xdr:col>1</xdr:col>
          <xdr:colOff>0</xdr:colOff>
          <xdr:row>26</xdr:row>
          <xdr:rowOff>95250</xdr:rowOff>
        </xdr:to>
        <xdr:sp macro="" textlink="">
          <xdr:nvSpPr>
            <xdr:cNvPr id="7169" name="cmdCheckItemsSheet" hidden="1">
              <a:extLst>
                <a:ext uri="{63B3BB69-23CF-44E3-9099-C40C66FF867C}">
                  <a14:compatExt spid="_x0000_s7169"/>
                </a:ext>
                <a:ext uri="{FF2B5EF4-FFF2-40B4-BE49-F238E27FC236}">
                  <a16:creationId xmlns:a16="http://schemas.microsoft.com/office/drawing/2014/main" id="{00000000-0008-0000-15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0</xdr:rowOff>
        </xdr:from>
        <xdr:to>
          <xdr:col>2</xdr:col>
          <xdr:colOff>0</xdr:colOff>
          <xdr:row>26</xdr:row>
          <xdr:rowOff>95250</xdr:rowOff>
        </xdr:to>
        <xdr:sp macro="" textlink="">
          <xdr:nvSpPr>
            <xdr:cNvPr id="7170" name="cmdSpecifyComponent" hidden="1">
              <a:extLst>
                <a:ext uri="{63B3BB69-23CF-44E3-9099-C40C66FF867C}">
                  <a14:compatExt spid="_x0000_s7170"/>
                </a:ext>
                <a:ext uri="{FF2B5EF4-FFF2-40B4-BE49-F238E27FC236}">
                  <a16:creationId xmlns:a16="http://schemas.microsoft.com/office/drawing/2014/main" id="{00000000-0008-0000-15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25</xdr:row>
          <xdr:rowOff>0</xdr:rowOff>
        </xdr:from>
        <xdr:to>
          <xdr:col>5</xdr:col>
          <xdr:colOff>0</xdr:colOff>
          <xdr:row>26</xdr:row>
          <xdr:rowOff>95250</xdr:rowOff>
        </xdr:to>
        <xdr:sp macro="" textlink="">
          <xdr:nvSpPr>
            <xdr:cNvPr id="7171" name="cmdSpecifyUnits" hidden="1">
              <a:extLst>
                <a:ext uri="{63B3BB69-23CF-44E3-9099-C40C66FF867C}">
                  <a14:compatExt spid="_x0000_s7171"/>
                </a:ext>
                <a:ext uri="{FF2B5EF4-FFF2-40B4-BE49-F238E27FC236}">
                  <a16:creationId xmlns:a16="http://schemas.microsoft.com/office/drawing/2014/main" id="{00000000-0008-0000-15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25</xdr:row>
          <xdr:rowOff>0</xdr:rowOff>
        </xdr:from>
        <xdr:to>
          <xdr:col>6</xdr:col>
          <xdr:colOff>0</xdr:colOff>
          <xdr:row>26</xdr:row>
          <xdr:rowOff>95250</xdr:rowOff>
        </xdr:to>
        <xdr:sp macro="" textlink="">
          <xdr:nvSpPr>
            <xdr:cNvPr id="7172" name="cmdSpecifySets" hidden="1">
              <a:extLst>
                <a:ext uri="{63B3BB69-23CF-44E3-9099-C40C66FF867C}">
                  <a14:compatExt spid="_x0000_s7172"/>
                </a:ext>
                <a:ext uri="{FF2B5EF4-FFF2-40B4-BE49-F238E27FC236}">
                  <a16:creationId xmlns:a16="http://schemas.microsoft.com/office/drawing/2014/main" id="{00000000-0008-0000-15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8193" name="cmdCheckTSandTIDDataSheet" hidden="1">
              <a:extLst>
                <a:ext uri="{63B3BB69-23CF-44E3-9099-C40C66FF867C}">
                  <a14:compatExt spid="_x0000_s8193"/>
                </a:ext>
                <a:ext uri="{FF2B5EF4-FFF2-40B4-BE49-F238E27FC236}">
                  <a16:creationId xmlns:a16="http://schemas.microsoft.com/office/drawing/2014/main" id="{00000000-0008-0000-17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8194" name="cmdSpecifyParameter" hidden="1">
              <a:extLst>
                <a:ext uri="{63B3BB69-23CF-44E3-9099-C40C66FF867C}">
                  <a14:compatExt spid="_x0000_s8194"/>
                </a:ext>
                <a:ext uri="{FF2B5EF4-FFF2-40B4-BE49-F238E27FC236}">
                  <a16:creationId xmlns:a16="http://schemas.microsoft.com/office/drawing/2014/main" id="{00000000-0008-0000-1700-000002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8195" name="cmdSpecifyArg1" hidden="1">
              <a:extLst>
                <a:ext uri="{63B3BB69-23CF-44E3-9099-C40C66FF867C}">
                  <a14:compatExt spid="_x0000_s8195"/>
                </a:ext>
                <a:ext uri="{FF2B5EF4-FFF2-40B4-BE49-F238E27FC236}">
                  <a16:creationId xmlns:a16="http://schemas.microsoft.com/office/drawing/2014/main" id="{00000000-0008-0000-1700-00000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8196" name="cmdSpecifyArg2" hidden="1">
              <a:extLst>
                <a:ext uri="{63B3BB69-23CF-44E3-9099-C40C66FF867C}">
                  <a14:compatExt spid="_x0000_s8196"/>
                </a:ext>
                <a:ext uri="{FF2B5EF4-FFF2-40B4-BE49-F238E27FC236}">
                  <a16:creationId xmlns:a16="http://schemas.microsoft.com/office/drawing/2014/main" id="{00000000-0008-0000-17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8197" name="cmdSpecifyArg3" hidden="1">
              <a:extLst>
                <a:ext uri="{63B3BB69-23CF-44E3-9099-C40C66FF867C}">
                  <a14:compatExt spid="_x0000_s8197"/>
                </a:ext>
                <a:ext uri="{FF2B5EF4-FFF2-40B4-BE49-F238E27FC236}">
                  <a16:creationId xmlns:a16="http://schemas.microsoft.com/office/drawing/2014/main" id="{00000000-0008-0000-17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8198" name="cmdSpecifyArg4" hidden="1">
              <a:extLst>
                <a:ext uri="{63B3BB69-23CF-44E3-9099-C40C66FF867C}">
                  <a14:compatExt spid="_x0000_s8198"/>
                </a:ext>
                <a:ext uri="{FF2B5EF4-FFF2-40B4-BE49-F238E27FC236}">
                  <a16:creationId xmlns:a16="http://schemas.microsoft.com/office/drawing/2014/main" id="{00000000-0008-0000-1700-000006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8199" name="cmdSpecifyArg5" hidden="1">
              <a:extLst>
                <a:ext uri="{63B3BB69-23CF-44E3-9099-C40C66FF867C}">
                  <a14:compatExt spid="_x0000_s8199"/>
                </a:ext>
                <a:ext uri="{FF2B5EF4-FFF2-40B4-BE49-F238E27FC236}">
                  <a16:creationId xmlns:a16="http://schemas.microsoft.com/office/drawing/2014/main" id="{00000000-0008-0000-1700-00000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8200" name="cmdSpecifyArg6" hidden="1">
              <a:extLst>
                <a:ext uri="{63B3BB69-23CF-44E3-9099-C40C66FF867C}">
                  <a14:compatExt spid="_x0000_s8200"/>
                </a:ext>
                <a:ext uri="{FF2B5EF4-FFF2-40B4-BE49-F238E27FC236}">
                  <a16:creationId xmlns:a16="http://schemas.microsoft.com/office/drawing/2014/main" id="{00000000-0008-0000-1700-000008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8201" name="cmdSpecifyIEOptcode" hidden="1">
              <a:extLst>
                <a:ext uri="{63B3BB69-23CF-44E3-9099-C40C66FF867C}">
                  <a14:compatExt spid="_x0000_s8201"/>
                </a:ext>
                <a:ext uri="{FF2B5EF4-FFF2-40B4-BE49-F238E27FC236}">
                  <a16:creationId xmlns:a16="http://schemas.microsoft.com/office/drawing/2014/main" id="{00000000-0008-0000-1700-00000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22657" name="cmdCheckTSandTIDDataSheet" hidden="1">
              <a:extLst>
                <a:ext uri="{63B3BB69-23CF-44E3-9099-C40C66FF867C}">
                  <a14:compatExt spid="_x0000_s1222657"/>
                </a:ext>
                <a:ext uri="{FF2B5EF4-FFF2-40B4-BE49-F238E27FC236}">
                  <a16:creationId xmlns:a16="http://schemas.microsoft.com/office/drawing/2014/main" id="{00000000-0008-0000-1800-000001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22658" name="cmdSpecifyParameter" hidden="1">
              <a:extLst>
                <a:ext uri="{63B3BB69-23CF-44E3-9099-C40C66FF867C}">
                  <a14:compatExt spid="_x0000_s1222658"/>
                </a:ext>
                <a:ext uri="{FF2B5EF4-FFF2-40B4-BE49-F238E27FC236}">
                  <a16:creationId xmlns:a16="http://schemas.microsoft.com/office/drawing/2014/main" id="{00000000-0008-0000-1800-000002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22659" name="cmdSpecifyArg1" hidden="1">
              <a:extLst>
                <a:ext uri="{63B3BB69-23CF-44E3-9099-C40C66FF867C}">
                  <a14:compatExt spid="_x0000_s1222659"/>
                </a:ext>
                <a:ext uri="{FF2B5EF4-FFF2-40B4-BE49-F238E27FC236}">
                  <a16:creationId xmlns:a16="http://schemas.microsoft.com/office/drawing/2014/main" id="{00000000-0008-0000-1800-000003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22660" name="cmdSpecifyArg2" hidden="1">
              <a:extLst>
                <a:ext uri="{63B3BB69-23CF-44E3-9099-C40C66FF867C}">
                  <a14:compatExt spid="_x0000_s1222660"/>
                </a:ext>
                <a:ext uri="{FF2B5EF4-FFF2-40B4-BE49-F238E27FC236}">
                  <a16:creationId xmlns:a16="http://schemas.microsoft.com/office/drawing/2014/main" id="{00000000-0008-0000-1800-000004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22661" name="cmdSpecifyArg3" hidden="1">
              <a:extLst>
                <a:ext uri="{63B3BB69-23CF-44E3-9099-C40C66FF867C}">
                  <a14:compatExt spid="_x0000_s1222661"/>
                </a:ext>
                <a:ext uri="{FF2B5EF4-FFF2-40B4-BE49-F238E27FC236}">
                  <a16:creationId xmlns:a16="http://schemas.microsoft.com/office/drawing/2014/main" id="{00000000-0008-0000-1800-000005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22662" name="cmdSpecifyArg4" hidden="1">
              <a:extLst>
                <a:ext uri="{63B3BB69-23CF-44E3-9099-C40C66FF867C}">
                  <a14:compatExt spid="_x0000_s1222662"/>
                </a:ext>
                <a:ext uri="{FF2B5EF4-FFF2-40B4-BE49-F238E27FC236}">
                  <a16:creationId xmlns:a16="http://schemas.microsoft.com/office/drawing/2014/main" id="{00000000-0008-0000-1800-000006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22663" name="cmdSpecifyArg5" hidden="1">
              <a:extLst>
                <a:ext uri="{63B3BB69-23CF-44E3-9099-C40C66FF867C}">
                  <a14:compatExt spid="_x0000_s1222663"/>
                </a:ext>
                <a:ext uri="{FF2B5EF4-FFF2-40B4-BE49-F238E27FC236}">
                  <a16:creationId xmlns:a16="http://schemas.microsoft.com/office/drawing/2014/main" id="{00000000-0008-0000-1800-000007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22664" name="cmdSpecifyArg6" hidden="1">
              <a:extLst>
                <a:ext uri="{63B3BB69-23CF-44E3-9099-C40C66FF867C}">
                  <a14:compatExt spid="_x0000_s1222664"/>
                </a:ext>
                <a:ext uri="{FF2B5EF4-FFF2-40B4-BE49-F238E27FC236}">
                  <a16:creationId xmlns:a16="http://schemas.microsoft.com/office/drawing/2014/main" id="{00000000-0008-0000-1800-000008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22665" name="cmdSpecifyIEOptcode" hidden="1">
              <a:extLst>
                <a:ext uri="{63B3BB69-23CF-44E3-9099-C40C66FF867C}">
                  <a14:compatExt spid="_x0000_s1222665"/>
                </a:ext>
                <a:ext uri="{FF2B5EF4-FFF2-40B4-BE49-F238E27FC236}">
                  <a16:creationId xmlns:a16="http://schemas.microsoft.com/office/drawing/2014/main" id="{00000000-0008-0000-1800-000009A8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174529" name="cmdCheckTSandTIDDataSheet" hidden="1">
              <a:extLst>
                <a:ext uri="{63B3BB69-23CF-44E3-9099-C40C66FF867C}">
                  <a14:compatExt spid="_x0000_s1174529"/>
                </a:ext>
                <a:ext uri="{FF2B5EF4-FFF2-40B4-BE49-F238E27FC236}">
                  <a16:creationId xmlns:a16="http://schemas.microsoft.com/office/drawing/2014/main" id="{00000000-0008-0000-1900-000001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174530" name="cmdSpecifyParameter" hidden="1">
              <a:extLst>
                <a:ext uri="{63B3BB69-23CF-44E3-9099-C40C66FF867C}">
                  <a14:compatExt spid="_x0000_s1174530"/>
                </a:ext>
                <a:ext uri="{FF2B5EF4-FFF2-40B4-BE49-F238E27FC236}">
                  <a16:creationId xmlns:a16="http://schemas.microsoft.com/office/drawing/2014/main" id="{00000000-0008-0000-1900-000002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174531" name="cmdSpecifyArg1" hidden="1">
              <a:extLst>
                <a:ext uri="{63B3BB69-23CF-44E3-9099-C40C66FF867C}">
                  <a14:compatExt spid="_x0000_s1174531"/>
                </a:ext>
                <a:ext uri="{FF2B5EF4-FFF2-40B4-BE49-F238E27FC236}">
                  <a16:creationId xmlns:a16="http://schemas.microsoft.com/office/drawing/2014/main" id="{00000000-0008-0000-1900-000003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174532" name="cmdSpecifyArg2" hidden="1">
              <a:extLst>
                <a:ext uri="{63B3BB69-23CF-44E3-9099-C40C66FF867C}">
                  <a14:compatExt spid="_x0000_s1174532"/>
                </a:ext>
                <a:ext uri="{FF2B5EF4-FFF2-40B4-BE49-F238E27FC236}">
                  <a16:creationId xmlns:a16="http://schemas.microsoft.com/office/drawing/2014/main" id="{00000000-0008-0000-1900-000004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174533" name="cmdSpecifyArg3" hidden="1">
              <a:extLst>
                <a:ext uri="{63B3BB69-23CF-44E3-9099-C40C66FF867C}">
                  <a14:compatExt spid="_x0000_s1174533"/>
                </a:ext>
                <a:ext uri="{FF2B5EF4-FFF2-40B4-BE49-F238E27FC236}">
                  <a16:creationId xmlns:a16="http://schemas.microsoft.com/office/drawing/2014/main" id="{00000000-0008-0000-1900-000005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174534" name="cmdSpecifyArg4" hidden="1">
              <a:extLst>
                <a:ext uri="{63B3BB69-23CF-44E3-9099-C40C66FF867C}">
                  <a14:compatExt spid="_x0000_s1174534"/>
                </a:ext>
                <a:ext uri="{FF2B5EF4-FFF2-40B4-BE49-F238E27FC236}">
                  <a16:creationId xmlns:a16="http://schemas.microsoft.com/office/drawing/2014/main" id="{00000000-0008-0000-1900-000006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174535" name="cmdSpecifyArg5" hidden="1">
              <a:extLst>
                <a:ext uri="{63B3BB69-23CF-44E3-9099-C40C66FF867C}">
                  <a14:compatExt spid="_x0000_s1174535"/>
                </a:ext>
                <a:ext uri="{FF2B5EF4-FFF2-40B4-BE49-F238E27FC236}">
                  <a16:creationId xmlns:a16="http://schemas.microsoft.com/office/drawing/2014/main" id="{00000000-0008-0000-1900-000007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174536" name="cmdSpecifyArg6" hidden="1">
              <a:extLst>
                <a:ext uri="{63B3BB69-23CF-44E3-9099-C40C66FF867C}">
                  <a14:compatExt spid="_x0000_s1174536"/>
                </a:ext>
                <a:ext uri="{FF2B5EF4-FFF2-40B4-BE49-F238E27FC236}">
                  <a16:creationId xmlns:a16="http://schemas.microsoft.com/office/drawing/2014/main" id="{00000000-0008-0000-1900-000008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174537" name="cmdSpecifyIEOptcode" hidden="1">
              <a:extLst>
                <a:ext uri="{63B3BB69-23CF-44E3-9099-C40C66FF867C}">
                  <a14:compatExt spid="_x0000_s1174537"/>
                </a:ext>
                <a:ext uri="{FF2B5EF4-FFF2-40B4-BE49-F238E27FC236}">
                  <a16:creationId xmlns:a16="http://schemas.microsoft.com/office/drawing/2014/main" id="{00000000-0008-0000-1900-000009EC1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23681" name="cmdCheckTSandTIDDataSheet" hidden="1">
              <a:extLst>
                <a:ext uri="{63B3BB69-23CF-44E3-9099-C40C66FF867C}">
                  <a14:compatExt spid="_x0000_s1223681"/>
                </a:ext>
                <a:ext uri="{FF2B5EF4-FFF2-40B4-BE49-F238E27FC236}">
                  <a16:creationId xmlns:a16="http://schemas.microsoft.com/office/drawing/2014/main" id="{00000000-0008-0000-1A00-000001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23682" name="cmdSpecifyParameter" hidden="1">
              <a:extLst>
                <a:ext uri="{63B3BB69-23CF-44E3-9099-C40C66FF867C}">
                  <a14:compatExt spid="_x0000_s1223682"/>
                </a:ext>
                <a:ext uri="{FF2B5EF4-FFF2-40B4-BE49-F238E27FC236}">
                  <a16:creationId xmlns:a16="http://schemas.microsoft.com/office/drawing/2014/main" id="{00000000-0008-0000-1A00-000002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23683" name="cmdSpecifyArg1" hidden="1">
              <a:extLst>
                <a:ext uri="{63B3BB69-23CF-44E3-9099-C40C66FF867C}">
                  <a14:compatExt spid="_x0000_s1223683"/>
                </a:ext>
                <a:ext uri="{FF2B5EF4-FFF2-40B4-BE49-F238E27FC236}">
                  <a16:creationId xmlns:a16="http://schemas.microsoft.com/office/drawing/2014/main" id="{00000000-0008-0000-1A00-000003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23684" name="cmdSpecifyArg2" hidden="1">
              <a:extLst>
                <a:ext uri="{63B3BB69-23CF-44E3-9099-C40C66FF867C}">
                  <a14:compatExt spid="_x0000_s1223684"/>
                </a:ext>
                <a:ext uri="{FF2B5EF4-FFF2-40B4-BE49-F238E27FC236}">
                  <a16:creationId xmlns:a16="http://schemas.microsoft.com/office/drawing/2014/main" id="{00000000-0008-0000-1A00-000004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23685" name="cmdSpecifyArg3" hidden="1">
              <a:extLst>
                <a:ext uri="{63B3BB69-23CF-44E3-9099-C40C66FF867C}">
                  <a14:compatExt spid="_x0000_s1223685"/>
                </a:ext>
                <a:ext uri="{FF2B5EF4-FFF2-40B4-BE49-F238E27FC236}">
                  <a16:creationId xmlns:a16="http://schemas.microsoft.com/office/drawing/2014/main" id="{00000000-0008-0000-1A00-000005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23686" name="cmdSpecifyArg4" hidden="1">
              <a:extLst>
                <a:ext uri="{63B3BB69-23CF-44E3-9099-C40C66FF867C}">
                  <a14:compatExt spid="_x0000_s1223686"/>
                </a:ext>
                <a:ext uri="{FF2B5EF4-FFF2-40B4-BE49-F238E27FC236}">
                  <a16:creationId xmlns:a16="http://schemas.microsoft.com/office/drawing/2014/main" id="{00000000-0008-0000-1A00-000006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23687" name="cmdSpecifyArg5" hidden="1">
              <a:extLst>
                <a:ext uri="{63B3BB69-23CF-44E3-9099-C40C66FF867C}">
                  <a14:compatExt spid="_x0000_s1223687"/>
                </a:ext>
                <a:ext uri="{FF2B5EF4-FFF2-40B4-BE49-F238E27FC236}">
                  <a16:creationId xmlns:a16="http://schemas.microsoft.com/office/drawing/2014/main" id="{00000000-0008-0000-1A00-000007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23688" name="cmdSpecifyArg6" hidden="1">
              <a:extLst>
                <a:ext uri="{63B3BB69-23CF-44E3-9099-C40C66FF867C}">
                  <a14:compatExt spid="_x0000_s1223688"/>
                </a:ext>
                <a:ext uri="{FF2B5EF4-FFF2-40B4-BE49-F238E27FC236}">
                  <a16:creationId xmlns:a16="http://schemas.microsoft.com/office/drawing/2014/main" id="{00000000-0008-0000-1A00-000008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23689" name="cmdSpecifyIEOptcode" hidden="1">
              <a:extLst>
                <a:ext uri="{63B3BB69-23CF-44E3-9099-C40C66FF867C}">
                  <a14:compatExt spid="_x0000_s1223689"/>
                </a:ext>
                <a:ext uri="{FF2B5EF4-FFF2-40B4-BE49-F238E27FC236}">
                  <a16:creationId xmlns:a16="http://schemas.microsoft.com/office/drawing/2014/main" id="{00000000-0008-0000-1A00-000009AC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9217" name="cmdCheckTIDDataSheet" hidden="1">
              <a:extLst>
                <a:ext uri="{63B3BB69-23CF-44E3-9099-C40C66FF867C}">
                  <a14:compatExt spid="_x0000_s9217"/>
                </a:ext>
                <a:ext uri="{FF2B5EF4-FFF2-40B4-BE49-F238E27FC236}">
                  <a16:creationId xmlns:a16="http://schemas.microsoft.com/office/drawing/2014/main" id="{00000000-0008-0000-1B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2</xdr:col>
          <xdr:colOff>19050</xdr:colOff>
          <xdr:row>4</xdr:row>
          <xdr:rowOff>95250</xdr:rowOff>
        </xdr:to>
        <xdr:sp macro="" textlink="">
          <xdr:nvSpPr>
            <xdr:cNvPr id="9218" name="cmdSpecifyParameter" hidden="1">
              <a:extLst>
                <a:ext uri="{63B3BB69-23CF-44E3-9099-C40C66FF867C}">
                  <a14:compatExt spid="_x0000_s9218"/>
                </a:ext>
                <a:ext uri="{FF2B5EF4-FFF2-40B4-BE49-F238E27FC236}">
                  <a16:creationId xmlns:a16="http://schemas.microsoft.com/office/drawing/2014/main" id="{00000000-0008-0000-1B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9219" name="cmdSpecifyArg1" hidden="1">
              <a:extLst>
                <a:ext uri="{63B3BB69-23CF-44E3-9099-C40C66FF867C}">
                  <a14:compatExt spid="_x0000_s9219"/>
                </a:ext>
                <a:ext uri="{FF2B5EF4-FFF2-40B4-BE49-F238E27FC236}">
                  <a16:creationId xmlns:a16="http://schemas.microsoft.com/office/drawing/2014/main" id="{00000000-0008-0000-1B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9220" name="cmdSpecifyArg2" hidden="1">
              <a:extLst>
                <a:ext uri="{63B3BB69-23CF-44E3-9099-C40C66FF867C}">
                  <a14:compatExt spid="_x0000_s9220"/>
                </a:ext>
                <a:ext uri="{FF2B5EF4-FFF2-40B4-BE49-F238E27FC236}">
                  <a16:creationId xmlns:a16="http://schemas.microsoft.com/office/drawing/2014/main" id="{00000000-0008-0000-1B00-000004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9221" name="cmdSpecifyArg3" hidden="1">
              <a:extLst>
                <a:ext uri="{63B3BB69-23CF-44E3-9099-C40C66FF867C}">
                  <a14:compatExt spid="_x0000_s9221"/>
                </a:ext>
                <a:ext uri="{FF2B5EF4-FFF2-40B4-BE49-F238E27FC236}">
                  <a16:creationId xmlns:a16="http://schemas.microsoft.com/office/drawing/2014/main" id="{00000000-0008-0000-1B00-000005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9222" name="cmdSpecifyArg4" hidden="1">
              <a:extLst>
                <a:ext uri="{63B3BB69-23CF-44E3-9099-C40C66FF867C}">
                  <a14:compatExt spid="_x0000_s9222"/>
                </a:ext>
                <a:ext uri="{FF2B5EF4-FFF2-40B4-BE49-F238E27FC236}">
                  <a16:creationId xmlns:a16="http://schemas.microsoft.com/office/drawing/2014/main" id="{00000000-0008-0000-1B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9223" name="cmdSpecifyArg5" hidden="1">
              <a:extLst>
                <a:ext uri="{63B3BB69-23CF-44E3-9099-C40C66FF867C}">
                  <a14:compatExt spid="_x0000_s9223"/>
                </a:ext>
                <a:ext uri="{FF2B5EF4-FFF2-40B4-BE49-F238E27FC236}">
                  <a16:creationId xmlns:a16="http://schemas.microsoft.com/office/drawing/2014/main" id="{00000000-0008-0000-1B00-000007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9224" name="cmdSpecifyArg6" hidden="1">
              <a:extLst>
                <a:ext uri="{63B3BB69-23CF-44E3-9099-C40C66FF867C}">
                  <a14:compatExt spid="_x0000_s9224"/>
                </a:ext>
                <a:ext uri="{FF2B5EF4-FFF2-40B4-BE49-F238E27FC236}">
                  <a16:creationId xmlns:a16="http://schemas.microsoft.com/office/drawing/2014/main" id="{00000000-0008-0000-1B00-000008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0</xdr:col>
          <xdr:colOff>819150</xdr:colOff>
          <xdr:row>3</xdr:row>
          <xdr:rowOff>38100</xdr:rowOff>
        </xdr:to>
        <xdr:sp macro="" textlink="">
          <xdr:nvSpPr>
            <xdr:cNvPr id="1224705" name="cmdCheckTIDDataSheet" hidden="1">
              <a:extLst>
                <a:ext uri="{63B3BB69-23CF-44E3-9099-C40C66FF867C}">
                  <a14:compatExt spid="_x0000_s1224705"/>
                </a:ext>
                <a:ext uri="{FF2B5EF4-FFF2-40B4-BE49-F238E27FC236}">
                  <a16:creationId xmlns:a16="http://schemas.microsoft.com/office/drawing/2014/main" id="{00000000-0008-0000-1C00-000001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9525</xdr:rowOff>
        </xdr:from>
        <xdr:to>
          <xdr:col>2</xdr:col>
          <xdr:colOff>19050</xdr:colOff>
          <xdr:row>4</xdr:row>
          <xdr:rowOff>95250</xdr:rowOff>
        </xdr:to>
        <xdr:sp macro="" textlink="">
          <xdr:nvSpPr>
            <xdr:cNvPr id="1224706" name="cmdSpecifyParameter" hidden="1">
              <a:extLst>
                <a:ext uri="{63B3BB69-23CF-44E3-9099-C40C66FF867C}">
                  <a14:compatExt spid="_x0000_s1224706"/>
                </a:ext>
                <a:ext uri="{FF2B5EF4-FFF2-40B4-BE49-F238E27FC236}">
                  <a16:creationId xmlns:a16="http://schemas.microsoft.com/office/drawing/2014/main" id="{00000000-0008-0000-1C00-000002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619125</xdr:colOff>
          <xdr:row>4</xdr:row>
          <xdr:rowOff>95250</xdr:rowOff>
        </xdr:to>
        <xdr:sp macro="" textlink="">
          <xdr:nvSpPr>
            <xdr:cNvPr id="1224707" name="cmdSpecifyArg1" hidden="1">
              <a:extLst>
                <a:ext uri="{63B3BB69-23CF-44E3-9099-C40C66FF867C}">
                  <a14:compatExt spid="_x0000_s1224707"/>
                </a:ext>
                <a:ext uri="{FF2B5EF4-FFF2-40B4-BE49-F238E27FC236}">
                  <a16:creationId xmlns:a16="http://schemas.microsoft.com/office/drawing/2014/main" id="{00000000-0008-0000-1C00-000003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9525</xdr:rowOff>
        </xdr:from>
        <xdr:to>
          <xdr:col>3</xdr:col>
          <xdr:colOff>619125</xdr:colOff>
          <xdr:row>4</xdr:row>
          <xdr:rowOff>95250</xdr:rowOff>
        </xdr:to>
        <xdr:sp macro="" textlink="">
          <xdr:nvSpPr>
            <xdr:cNvPr id="1224708" name="cmdSpecifyArg2" hidden="1">
              <a:extLst>
                <a:ext uri="{63B3BB69-23CF-44E3-9099-C40C66FF867C}">
                  <a14:compatExt spid="_x0000_s1224708"/>
                </a:ext>
                <a:ext uri="{FF2B5EF4-FFF2-40B4-BE49-F238E27FC236}">
                  <a16:creationId xmlns:a16="http://schemas.microsoft.com/office/drawing/2014/main" id="{00000000-0008-0000-1C00-000004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9525</xdr:rowOff>
        </xdr:from>
        <xdr:to>
          <xdr:col>4</xdr:col>
          <xdr:colOff>619125</xdr:colOff>
          <xdr:row>4</xdr:row>
          <xdr:rowOff>95250</xdr:rowOff>
        </xdr:to>
        <xdr:sp macro="" textlink="">
          <xdr:nvSpPr>
            <xdr:cNvPr id="1224709" name="cmdSpecifyArg3" hidden="1">
              <a:extLst>
                <a:ext uri="{63B3BB69-23CF-44E3-9099-C40C66FF867C}">
                  <a14:compatExt spid="_x0000_s1224709"/>
                </a:ext>
                <a:ext uri="{FF2B5EF4-FFF2-40B4-BE49-F238E27FC236}">
                  <a16:creationId xmlns:a16="http://schemas.microsoft.com/office/drawing/2014/main" id="{00000000-0008-0000-1C00-000005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9525</xdr:rowOff>
        </xdr:from>
        <xdr:to>
          <xdr:col>5</xdr:col>
          <xdr:colOff>619125</xdr:colOff>
          <xdr:row>4</xdr:row>
          <xdr:rowOff>95250</xdr:rowOff>
        </xdr:to>
        <xdr:sp macro="" textlink="">
          <xdr:nvSpPr>
            <xdr:cNvPr id="1224710" name="cmdSpecifyArg4" hidden="1">
              <a:extLst>
                <a:ext uri="{63B3BB69-23CF-44E3-9099-C40C66FF867C}">
                  <a14:compatExt spid="_x0000_s1224710"/>
                </a:ext>
                <a:ext uri="{FF2B5EF4-FFF2-40B4-BE49-F238E27FC236}">
                  <a16:creationId xmlns:a16="http://schemas.microsoft.com/office/drawing/2014/main" id="{00000000-0008-0000-1C00-000006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9525</xdr:rowOff>
        </xdr:from>
        <xdr:to>
          <xdr:col>6</xdr:col>
          <xdr:colOff>619125</xdr:colOff>
          <xdr:row>4</xdr:row>
          <xdr:rowOff>95250</xdr:rowOff>
        </xdr:to>
        <xdr:sp macro="" textlink="">
          <xdr:nvSpPr>
            <xdr:cNvPr id="1224711" name="cmdSpecifyArg5" hidden="1">
              <a:extLst>
                <a:ext uri="{63B3BB69-23CF-44E3-9099-C40C66FF867C}">
                  <a14:compatExt spid="_x0000_s1224711"/>
                </a:ext>
                <a:ext uri="{FF2B5EF4-FFF2-40B4-BE49-F238E27FC236}">
                  <a16:creationId xmlns:a16="http://schemas.microsoft.com/office/drawing/2014/main" id="{00000000-0008-0000-1C00-000007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9525</xdr:rowOff>
        </xdr:from>
        <xdr:to>
          <xdr:col>7</xdr:col>
          <xdr:colOff>619125</xdr:colOff>
          <xdr:row>4</xdr:row>
          <xdr:rowOff>95250</xdr:rowOff>
        </xdr:to>
        <xdr:sp macro="" textlink="">
          <xdr:nvSpPr>
            <xdr:cNvPr id="1224712" name="cmdSpecifyArg6" hidden="1">
              <a:extLst>
                <a:ext uri="{63B3BB69-23CF-44E3-9099-C40C66FF867C}">
                  <a14:compatExt spid="_x0000_s1224712"/>
                </a:ext>
                <a:ext uri="{FF2B5EF4-FFF2-40B4-BE49-F238E27FC236}">
                  <a16:creationId xmlns:a16="http://schemas.microsoft.com/office/drawing/2014/main" id="{00000000-0008-0000-1C00-000008B01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2</xdr:row>
          <xdr:rowOff>0</xdr:rowOff>
        </xdr:from>
        <xdr:to>
          <xdr:col>1</xdr:col>
          <xdr:colOff>0</xdr:colOff>
          <xdr:row>3</xdr:row>
          <xdr:rowOff>0</xdr:rowOff>
        </xdr:to>
        <xdr:sp macro="" textlink="">
          <xdr:nvSpPr>
            <xdr:cNvPr id="10241" name="cmdCheckItemsSheet" hidden="1">
              <a:extLst>
                <a:ext uri="{63B3BB69-23CF-44E3-9099-C40C66FF867C}">
                  <a14:compatExt spid="_x0000_s10241"/>
                </a:ext>
                <a:ext uri="{FF2B5EF4-FFF2-40B4-BE49-F238E27FC236}">
                  <a16:creationId xmlns:a16="http://schemas.microsoft.com/office/drawing/2014/main" id="{00000000-0008-0000-1D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xdr:row>
          <xdr:rowOff>0</xdr:rowOff>
        </xdr:from>
        <xdr:to>
          <xdr:col>2</xdr:col>
          <xdr:colOff>0</xdr:colOff>
          <xdr:row>4</xdr:row>
          <xdr:rowOff>95250</xdr:rowOff>
        </xdr:to>
        <xdr:sp macro="" textlink="">
          <xdr:nvSpPr>
            <xdr:cNvPr id="10242" name="cmdSpecifyComponent" hidden="1">
              <a:extLst>
                <a:ext uri="{63B3BB69-23CF-44E3-9099-C40C66FF867C}">
                  <a14:compatExt spid="_x0000_s10242"/>
                </a:ext>
                <a:ext uri="{FF2B5EF4-FFF2-40B4-BE49-F238E27FC236}">
                  <a16:creationId xmlns:a16="http://schemas.microsoft.com/office/drawing/2014/main" id="{00000000-0008-0000-1D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3</xdr:row>
          <xdr:rowOff>0</xdr:rowOff>
        </xdr:from>
        <xdr:to>
          <xdr:col>5</xdr:col>
          <xdr:colOff>0</xdr:colOff>
          <xdr:row>4</xdr:row>
          <xdr:rowOff>95250</xdr:rowOff>
        </xdr:to>
        <xdr:sp macro="" textlink="">
          <xdr:nvSpPr>
            <xdr:cNvPr id="10243" name="cmdSpecifyUnits" hidden="1">
              <a:extLst>
                <a:ext uri="{63B3BB69-23CF-44E3-9099-C40C66FF867C}">
                  <a14:compatExt spid="_x0000_s10243"/>
                </a:ext>
                <a:ext uri="{FF2B5EF4-FFF2-40B4-BE49-F238E27FC236}">
                  <a16:creationId xmlns:a16="http://schemas.microsoft.com/office/drawing/2014/main" id="{00000000-0008-0000-1D00-000003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xdr:row>
          <xdr:rowOff>0</xdr:rowOff>
        </xdr:from>
        <xdr:to>
          <xdr:col>6</xdr:col>
          <xdr:colOff>0</xdr:colOff>
          <xdr:row>4</xdr:row>
          <xdr:rowOff>95250</xdr:rowOff>
        </xdr:to>
        <xdr:sp macro="" textlink="">
          <xdr:nvSpPr>
            <xdr:cNvPr id="10244" name="cmdSpecifySets" hidden="1">
              <a:extLst>
                <a:ext uri="{63B3BB69-23CF-44E3-9099-C40C66FF867C}">
                  <a14:compatExt spid="_x0000_s10244"/>
                </a:ext>
                <a:ext uri="{FF2B5EF4-FFF2-40B4-BE49-F238E27FC236}">
                  <a16:creationId xmlns:a16="http://schemas.microsoft.com/office/drawing/2014/main" id="{00000000-0008-0000-1D00-000004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404929" name="cmdCheckTSandTIDDataSheet" hidden="1">
              <a:extLst>
                <a:ext uri="{63B3BB69-23CF-44E3-9099-C40C66FF867C}">
                  <a14:compatExt spid="_x0000_s1404929"/>
                </a:ext>
                <a:ext uri="{FF2B5EF4-FFF2-40B4-BE49-F238E27FC236}">
                  <a16:creationId xmlns:a16="http://schemas.microsoft.com/office/drawing/2014/main" id="{00000000-0008-0000-1E00-000001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404930" name="cmdSpecifyParameter" hidden="1">
              <a:extLst>
                <a:ext uri="{63B3BB69-23CF-44E3-9099-C40C66FF867C}">
                  <a14:compatExt spid="_x0000_s1404930"/>
                </a:ext>
                <a:ext uri="{FF2B5EF4-FFF2-40B4-BE49-F238E27FC236}">
                  <a16:creationId xmlns:a16="http://schemas.microsoft.com/office/drawing/2014/main" id="{00000000-0008-0000-1E00-000002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404931" name="cmdSpecifyArg1" hidden="1">
              <a:extLst>
                <a:ext uri="{63B3BB69-23CF-44E3-9099-C40C66FF867C}">
                  <a14:compatExt spid="_x0000_s1404931"/>
                </a:ext>
                <a:ext uri="{FF2B5EF4-FFF2-40B4-BE49-F238E27FC236}">
                  <a16:creationId xmlns:a16="http://schemas.microsoft.com/office/drawing/2014/main" id="{00000000-0008-0000-1E00-000003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404932" name="cmdSpecifyArg2" hidden="1">
              <a:extLst>
                <a:ext uri="{63B3BB69-23CF-44E3-9099-C40C66FF867C}">
                  <a14:compatExt spid="_x0000_s1404932"/>
                </a:ext>
                <a:ext uri="{FF2B5EF4-FFF2-40B4-BE49-F238E27FC236}">
                  <a16:creationId xmlns:a16="http://schemas.microsoft.com/office/drawing/2014/main" id="{00000000-0008-0000-1E00-000004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404933" name="cmdSpecifyArg3" hidden="1">
              <a:extLst>
                <a:ext uri="{63B3BB69-23CF-44E3-9099-C40C66FF867C}">
                  <a14:compatExt spid="_x0000_s1404933"/>
                </a:ext>
                <a:ext uri="{FF2B5EF4-FFF2-40B4-BE49-F238E27FC236}">
                  <a16:creationId xmlns:a16="http://schemas.microsoft.com/office/drawing/2014/main" id="{00000000-0008-0000-1E00-000005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404934" name="cmdSpecifyArg4" hidden="1">
              <a:extLst>
                <a:ext uri="{63B3BB69-23CF-44E3-9099-C40C66FF867C}">
                  <a14:compatExt spid="_x0000_s1404934"/>
                </a:ext>
                <a:ext uri="{FF2B5EF4-FFF2-40B4-BE49-F238E27FC236}">
                  <a16:creationId xmlns:a16="http://schemas.microsoft.com/office/drawing/2014/main" id="{00000000-0008-0000-1E00-000006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404935" name="cmdSpecifyArg5" hidden="1">
              <a:extLst>
                <a:ext uri="{63B3BB69-23CF-44E3-9099-C40C66FF867C}">
                  <a14:compatExt spid="_x0000_s1404935"/>
                </a:ext>
                <a:ext uri="{FF2B5EF4-FFF2-40B4-BE49-F238E27FC236}">
                  <a16:creationId xmlns:a16="http://schemas.microsoft.com/office/drawing/2014/main" id="{00000000-0008-0000-1E00-000007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404936" name="cmdSpecifyArg6" hidden="1">
              <a:extLst>
                <a:ext uri="{63B3BB69-23CF-44E3-9099-C40C66FF867C}">
                  <a14:compatExt spid="_x0000_s1404936"/>
                </a:ext>
                <a:ext uri="{FF2B5EF4-FFF2-40B4-BE49-F238E27FC236}">
                  <a16:creationId xmlns:a16="http://schemas.microsoft.com/office/drawing/2014/main" id="{00000000-0008-0000-1E00-000008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404937" name="cmdSpecifyIEOptcode" hidden="1">
              <a:extLst>
                <a:ext uri="{63B3BB69-23CF-44E3-9099-C40C66FF867C}">
                  <a14:compatExt spid="_x0000_s1404937"/>
                </a:ext>
                <a:ext uri="{FF2B5EF4-FFF2-40B4-BE49-F238E27FC236}">
                  <a16:creationId xmlns:a16="http://schemas.microsoft.com/office/drawing/2014/main" id="{00000000-0008-0000-1E00-0000097015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1265" name="cmdCheckTSandTIDDataSheet" hidden="1">
              <a:extLst>
                <a:ext uri="{63B3BB69-23CF-44E3-9099-C40C66FF867C}">
                  <a14:compatExt spid="_x0000_s11265"/>
                </a:ext>
                <a:ext uri="{FF2B5EF4-FFF2-40B4-BE49-F238E27FC236}">
                  <a16:creationId xmlns:a16="http://schemas.microsoft.com/office/drawing/2014/main" id="{00000000-0008-0000-1F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1266" name="cmdSpecifyParameter" hidden="1">
              <a:extLst>
                <a:ext uri="{63B3BB69-23CF-44E3-9099-C40C66FF867C}">
                  <a14:compatExt spid="_x0000_s11266"/>
                </a:ext>
                <a:ext uri="{FF2B5EF4-FFF2-40B4-BE49-F238E27FC236}">
                  <a16:creationId xmlns:a16="http://schemas.microsoft.com/office/drawing/2014/main" id="{00000000-0008-0000-1F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1267" name="cmdSpecifyArg1" hidden="1">
              <a:extLst>
                <a:ext uri="{63B3BB69-23CF-44E3-9099-C40C66FF867C}">
                  <a14:compatExt spid="_x0000_s11267"/>
                </a:ext>
                <a:ext uri="{FF2B5EF4-FFF2-40B4-BE49-F238E27FC236}">
                  <a16:creationId xmlns:a16="http://schemas.microsoft.com/office/drawing/2014/main" id="{00000000-0008-0000-1F00-000003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1268" name="cmdSpecifyArg2" hidden="1">
              <a:extLst>
                <a:ext uri="{63B3BB69-23CF-44E3-9099-C40C66FF867C}">
                  <a14:compatExt spid="_x0000_s11268"/>
                </a:ext>
                <a:ext uri="{FF2B5EF4-FFF2-40B4-BE49-F238E27FC236}">
                  <a16:creationId xmlns:a16="http://schemas.microsoft.com/office/drawing/2014/main" id="{00000000-0008-0000-1F00-000004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1269" name="cmdSpecifyArg3" hidden="1">
              <a:extLst>
                <a:ext uri="{63B3BB69-23CF-44E3-9099-C40C66FF867C}">
                  <a14:compatExt spid="_x0000_s11269"/>
                </a:ext>
                <a:ext uri="{FF2B5EF4-FFF2-40B4-BE49-F238E27FC236}">
                  <a16:creationId xmlns:a16="http://schemas.microsoft.com/office/drawing/2014/main" id="{00000000-0008-0000-1F00-000005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1270" name="cmdSpecifyArg4" hidden="1">
              <a:extLst>
                <a:ext uri="{63B3BB69-23CF-44E3-9099-C40C66FF867C}">
                  <a14:compatExt spid="_x0000_s11270"/>
                </a:ext>
                <a:ext uri="{FF2B5EF4-FFF2-40B4-BE49-F238E27FC236}">
                  <a16:creationId xmlns:a16="http://schemas.microsoft.com/office/drawing/2014/main" id="{00000000-0008-0000-1F00-000006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1271" name="cmdSpecifyArg5" hidden="1">
              <a:extLst>
                <a:ext uri="{63B3BB69-23CF-44E3-9099-C40C66FF867C}">
                  <a14:compatExt spid="_x0000_s11271"/>
                </a:ext>
                <a:ext uri="{FF2B5EF4-FFF2-40B4-BE49-F238E27FC236}">
                  <a16:creationId xmlns:a16="http://schemas.microsoft.com/office/drawing/2014/main" id="{00000000-0008-0000-1F00-000007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1272" name="cmdSpecifyArg6" hidden="1">
              <a:extLst>
                <a:ext uri="{63B3BB69-23CF-44E3-9099-C40C66FF867C}">
                  <a14:compatExt spid="_x0000_s11272"/>
                </a:ext>
                <a:ext uri="{FF2B5EF4-FFF2-40B4-BE49-F238E27FC236}">
                  <a16:creationId xmlns:a16="http://schemas.microsoft.com/office/drawing/2014/main" id="{00000000-0008-0000-1F00-000008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1273" name="cmdSpecifyIEOptcode" hidden="1">
              <a:extLst>
                <a:ext uri="{63B3BB69-23CF-44E3-9099-C40C66FF867C}">
                  <a14:compatExt spid="_x0000_s11273"/>
                </a:ext>
                <a:ext uri="{FF2B5EF4-FFF2-40B4-BE49-F238E27FC236}">
                  <a16:creationId xmlns:a16="http://schemas.microsoft.com/office/drawing/2014/main" id="{00000000-0008-0000-1F00-000009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39937" name="cmdCheckTSandTIDDataSheet" hidden="1">
              <a:extLst>
                <a:ext uri="{63B3BB69-23CF-44E3-9099-C40C66FF867C}">
                  <a14:compatExt spid="_x0000_s39937"/>
                </a:ext>
                <a:ext uri="{FF2B5EF4-FFF2-40B4-BE49-F238E27FC236}">
                  <a16:creationId xmlns:a16="http://schemas.microsoft.com/office/drawing/2014/main" id="{00000000-0008-0000-2000-000001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39938" name="cmdSpecifyParameter" hidden="1">
              <a:extLst>
                <a:ext uri="{63B3BB69-23CF-44E3-9099-C40C66FF867C}">
                  <a14:compatExt spid="_x0000_s39938"/>
                </a:ext>
                <a:ext uri="{FF2B5EF4-FFF2-40B4-BE49-F238E27FC236}">
                  <a16:creationId xmlns:a16="http://schemas.microsoft.com/office/drawing/2014/main" id="{00000000-0008-0000-2000-000002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39939" name="cmdSpecifyArg1" hidden="1">
              <a:extLst>
                <a:ext uri="{63B3BB69-23CF-44E3-9099-C40C66FF867C}">
                  <a14:compatExt spid="_x0000_s39939"/>
                </a:ext>
                <a:ext uri="{FF2B5EF4-FFF2-40B4-BE49-F238E27FC236}">
                  <a16:creationId xmlns:a16="http://schemas.microsoft.com/office/drawing/2014/main" id="{00000000-0008-0000-2000-000003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39940" name="cmdSpecifyArg2" hidden="1">
              <a:extLst>
                <a:ext uri="{63B3BB69-23CF-44E3-9099-C40C66FF867C}">
                  <a14:compatExt spid="_x0000_s39940"/>
                </a:ext>
                <a:ext uri="{FF2B5EF4-FFF2-40B4-BE49-F238E27FC236}">
                  <a16:creationId xmlns:a16="http://schemas.microsoft.com/office/drawing/2014/main" id="{00000000-0008-0000-2000-000004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39941" name="cmdSpecifyArg3" hidden="1">
              <a:extLst>
                <a:ext uri="{63B3BB69-23CF-44E3-9099-C40C66FF867C}">
                  <a14:compatExt spid="_x0000_s39941"/>
                </a:ext>
                <a:ext uri="{FF2B5EF4-FFF2-40B4-BE49-F238E27FC236}">
                  <a16:creationId xmlns:a16="http://schemas.microsoft.com/office/drawing/2014/main" id="{00000000-0008-0000-2000-000005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39942" name="cmdSpecifyArg4" hidden="1">
              <a:extLst>
                <a:ext uri="{63B3BB69-23CF-44E3-9099-C40C66FF867C}">
                  <a14:compatExt spid="_x0000_s39942"/>
                </a:ext>
                <a:ext uri="{FF2B5EF4-FFF2-40B4-BE49-F238E27FC236}">
                  <a16:creationId xmlns:a16="http://schemas.microsoft.com/office/drawing/2014/main" id="{00000000-0008-0000-2000-000006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39943" name="cmdSpecifyArg5" hidden="1">
              <a:extLst>
                <a:ext uri="{63B3BB69-23CF-44E3-9099-C40C66FF867C}">
                  <a14:compatExt spid="_x0000_s39943"/>
                </a:ext>
                <a:ext uri="{FF2B5EF4-FFF2-40B4-BE49-F238E27FC236}">
                  <a16:creationId xmlns:a16="http://schemas.microsoft.com/office/drawing/2014/main" id="{00000000-0008-0000-2000-000007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39944" name="cmdSpecifyArg6" hidden="1">
              <a:extLst>
                <a:ext uri="{63B3BB69-23CF-44E3-9099-C40C66FF867C}">
                  <a14:compatExt spid="_x0000_s39944"/>
                </a:ext>
                <a:ext uri="{FF2B5EF4-FFF2-40B4-BE49-F238E27FC236}">
                  <a16:creationId xmlns:a16="http://schemas.microsoft.com/office/drawing/2014/main" id="{00000000-0008-0000-2000-000008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39945" name="cmdSpecifyIEOptcode" hidden="1">
              <a:extLst>
                <a:ext uri="{63B3BB69-23CF-44E3-9099-C40C66FF867C}">
                  <a14:compatExt spid="_x0000_s39945"/>
                </a:ext>
                <a:ext uri="{FF2B5EF4-FFF2-40B4-BE49-F238E27FC236}">
                  <a16:creationId xmlns:a16="http://schemas.microsoft.com/office/drawing/2014/main" id="{00000000-0008-0000-2000-0000099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9525</xdr:colOff>
          <xdr:row>3</xdr:row>
          <xdr:rowOff>47625</xdr:rowOff>
        </xdr:to>
        <xdr:sp macro="" textlink="">
          <xdr:nvSpPr>
            <xdr:cNvPr id="1290241" name="cmdCheckTSandTIDDataSheet" hidden="1">
              <a:extLst>
                <a:ext uri="{63B3BB69-23CF-44E3-9099-C40C66FF867C}">
                  <a14:compatExt spid="_x0000_s1290241"/>
                </a:ext>
                <a:ext uri="{FF2B5EF4-FFF2-40B4-BE49-F238E27FC236}">
                  <a16:creationId xmlns:a16="http://schemas.microsoft.com/office/drawing/2014/main" id="{00000000-0008-0000-2100-000001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19050</xdr:colOff>
          <xdr:row>4</xdr:row>
          <xdr:rowOff>104775</xdr:rowOff>
        </xdr:to>
        <xdr:sp macro="" textlink="">
          <xdr:nvSpPr>
            <xdr:cNvPr id="1290242" name="cmdSpecifyParameter" hidden="1">
              <a:extLst>
                <a:ext uri="{63B3BB69-23CF-44E3-9099-C40C66FF867C}">
                  <a14:compatExt spid="_x0000_s1290242"/>
                </a:ext>
                <a:ext uri="{FF2B5EF4-FFF2-40B4-BE49-F238E27FC236}">
                  <a16:creationId xmlns:a16="http://schemas.microsoft.com/office/drawing/2014/main" id="{00000000-0008-0000-2100-000002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2</xdr:col>
          <xdr:colOff>619125</xdr:colOff>
          <xdr:row>4</xdr:row>
          <xdr:rowOff>104775</xdr:rowOff>
        </xdr:to>
        <xdr:sp macro="" textlink="">
          <xdr:nvSpPr>
            <xdr:cNvPr id="1290243" name="cmdSpecifyArg1" hidden="1">
              <a:extLst>
                <a:ext uri="{63B3BB69-23CF-44E3-9099-C40C66FF867C}">
                  <a14:compatExt spid="_x0000_s1290243"/>
                </a:ext>
                <a:ext uri="{FF2B5EF4-FFF2-40B4-BE49-F238E27FC236}">
                  <a16:creationId xmlns:a16="http://schemas.microsoft.com/office/drawing/2014/main" id="{00000000-0008-0000-2100-000003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xdr:row>
          <xdr:rowOff>0</xdr:rowOff>
        </xdr:from>
        <xdr:to>
          <xdr:col>3</xdr:col>
          <xdr:colOff>619125</xdr:colOff>
          <xdr:row>4</xdr:row>
          <xdr:rowOff>104775</xdr:rowOff>
        </xdr:to>
        <xdr:sp macro="" textlink="">
          <xdr:nvSpPr>
            <xdr:cNvPr id="1290244" name="cmdSpecifyArg2" hidden="1">
              <a:extLst>
                <a:ext uri="{63B3BB69-23CF-44E3-9099-C40C66FF867C}">
                  <a14:compatExt spid="_x0000_s1290244"/>
                </a:ext>
                <a:ext uri="{FF2B5EF4-FFF2-40B4-BE49-F238E27FC236}">
                  <a16:creationId xmlns:a16="http://schemas.microsoft.com/office/drawing/2014/main" id="{00000000-0008-0000-2100-000004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3</xdr:row>
          <xdr:rowOff>0</xdr:rowOff>
        </xdr:from>
        <xdr:to>
          <xdr:col>4</xdr:col>
          <xdr:colOff>619125</xdr:colOff>
          <xdr:row>4</xdr:row>
          <xdr:rowOff>104775</xdr:rowOff>
        </xdr:to>
        <xdr:sp macro="" textlink="">
          <xdr:nvSpPr>
            <xdr:cNvPr id="1290245" name="cmdSpecifyArg3" hidden="1">
              <a:extLst>
                <a:ext uri="{63B3BB69-23CF-44E3-9099-C40C66FF867C}">
                  <a14:compatExt spid="_x0000_s1290245"/>
                </a:ext>
                <a:ext uri="{FF2B5EF4-FFF2-40B4-BE49-F238E27FC236}">
                  <a16:creationId xmlns:a16="http://schemas.microsoft.com/office/drawing/2014/main" id="{00000000-0008-0000-2100-000005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xdr:row>
          <xdr:rowOff>0</xdr:rowOff>
        </xdr:from>
        <xdr:to>
          <xdr:col>5</xdr:col>
          <xdr:colOff>619125</xdr:colOff>
          <xdr:row>4</xdr:row>
          <xdr:rowOff>104775</xdr:rowOff>
        </xdr:to>
        <xdr:sp macro="" textlink="">
          <xdr:nvSpPr>
            <xdr:cNvPr id="1290246" name="cmdSpecifyArg4" hidden="1">
              <a:extLst>
                <a:ext uri="{63B3BB69-23CF-44E3-9099-C40C66FF867C}">
                  <a14:compatExt spid="_x0000_s1290246"/>
                </a:ext>
                <a:ext uri="{FF2B5EF4-FFF2-40B4-BE49-F238E27FC236}">
                  <a16:creationId xmlns:a16="http://schemas.microsoft.com/office/drawing/2014/main" id="{00000000-0008-0000-2100-000006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619125</xdr:colOff>
          <xdr:row>4</xdr:row>
          <xdr:rowOff>104775</xdr:rowOff>
        </xdr:to>
        <xdr:sp macro="" textlink="">
          <xdr:nvSpPr>
            <xdr:cNvPr id="1290247" name="cmdSpecifyArg5" hidden="1">
              <a:extLst>
                <a:ext uri="{63B3BB69-23CF-44E3-9099-C40C66FF867C}">
                  <a14:compatExt spid="_x0000_s1290247"/>
                </a:ext>
                <a:ext uri="{FF2B5EF4-FFF2-40B4-BE49-F238E27FC236}">
                  <a16:creationId xmlns:a16="http://schemas.microsoft.com/office/drawing/2014/main" id="{00000000-0008-0000-2100-000007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619125</xdr:colOff>
          <xdr:row>4</xdr:row>
          <xdr:rowOff>104775</xdr:rowOff>
        </xdr:to>
        <xdr:sp macro="" textlink="">
          <xdr:nvSpPr>
            <xdr:cNvPr id="1290248" name="cmdSpecifyArg6" hidden="1">
              <a:extLst>
                <a:ext uri="{63B3BB69-23CF-44E3-9099-C40C66FF867C}">
                  <a14:compatExt spid="_x0000_s1290248"/>
                </a:ext>
                <a:ext uri="{FF2B5EF4-FFF2-40B4-BE49-F238E27FC236}">
                  <a16:creationId xmlns:a16="http://schemas.microsoft.com/office/drawing/2014/main" id="{00000000-0008-0000-2100-000008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xdr:row>
          <xdr:rowOff>0</xdr:rowOff>
        </xdr:from>
        <xdr:to>
          <xdr:col>8</xdr:col>
          <xdr:colOff>466725</xdr:colOff>
          <xdr:row>4</xdr:row>
          <xdr:rowOff>104775</xdr:rowOff>
        </xdr:to>
        <xdr:sp macro="" textlink="">
          <xdr:nvSpPr>
            <xdr:cNvPr id="1290249" name="cmdSpecifyIEOptcode" hidden="1">
              <a:extLst>
                <a:ext uri="{63B3BB69-23CF-44E3-9099-C40C66FF867C}">
                  <a14:compatExt spid="_x0000_s1290249"/>
                </a:ext>
                <a:ext uri="{FF2B5EF4-FFF2-40B4-BE49-F238E27FC236}">
                  <a16:creationId xmlns:a16="http://schemas.microsoft.com/office/drawing/2014/main" id="{00000000-0008-0000-2100-000009B013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0</xdr:col>
      <xdr:colOff>85725</xdr:colOff>
      <xdr:row>30</xdr:row>
      <xdr:rowOff>38100</xdr:rowOff>
    </xdr:from>
    <xdr:ext cx="8491669" cy="2847975"/>
    <xdr:pic>
      <xdr:nvPicPr>
        <xdr:cNvPr id="2" name="Picture 1">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895850"/>
          <a:ext cx="8491669" cy="2847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9</xdr:col>
      <xdr:colOff>266700</xdr:colOff>
      <xdr:row>5</xdr:row>
      <xdr:rowOff>4762</xdr:rowOff>
    </xdr:from>
    <xdr:to>
      <xdr:col>16</xdr:col>
      <xdr:colOff>581025</xdr:colOff>
      <xdr:row>21</xdr:row>
      <xdr:rowOff>147637</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1332226" name="Picture 2" hidden="1">
              <a:extLst>
                <a:ext uri="{63B3BB69-23CF-44E3-9099-C40C66FF867C}">
                  <a14:compatExt spid="_x0000_s1332226"/>
                </a:ext>
                <a:ext uri="{FF2B5EF4-FFF2-40B4-BE49-F238E27FC236}">
                  <a16:creationId xmlns:a16="http://schemas.microsoft.com/office/drawing/2014/main" id="{00000000-0008-0000-2D00-0000025414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xdr:from>
      <xdr:col>0</xdr:col>
      <xdr:colOff>247650</xdr:colOff>
      <xdr:row>110</xdr:row>
      <xdr:rowOff>0</xdr:rowOff>
    </xdr:from>
    <xdr:to>
      <xdr:col>9</xdr:col>
      <xdr:colOff>438150</xdr:colOff>
      <xdr:row>145</xdr:row>
      <xdr:rowOff>9525</xdr:rowOff>
    </xdr:to>
    <xdr:graphicFrame macro="">
      <xdr:nvGraphicFramePr>
        <xdr:cNvPr id="1450" name="Chart 1">
          <a:extLst>
            <a:ext uri="{FF2B5EF4-FFF2-40B4-BE49-F238E27FC236}">
              <a16:creationId xmlns:a16="http://schemas.microsoft.com/office/drawing/2014/main" id="{00000000-0008-0000-3200-0000AA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571500</xdr:colOff>
      <xdr:row>11</xdr:row>
      <xdr:rowOff>161925</xdr:rowOff>
    </xdr:from>
    <xdr:to>
      <xdr:col>30</xdr:col>
      <xdr:colOff>57150</xdr:colOff>
      <xdr:row>35</xdr:row>
      <xdr:rowOff>400050</xdr:rowOff>
    </xdr:to>
    <xdr:graphicFrame macro="">
      <xdr:nvGraphicFramePr>
        <xdr:cNvPr id="1451" name="Chart 3">
          <a:extLst>
            <a:ext uri="{FF2B5EF4-FFF2-40B4-BE49-F238E27FC236}">
              <a16:creationId xmlns:a16="http://schemas.microsoft.com/office/drawing/2014/main" id="{00000000-0008-0000-3200-0000AB0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20</xdr:col>
          <xdr:colOff>904875</xdr:colOff>
          <xdr:row>15</xdr:row>
          <xdr:rowOff>152400</xdr:rowOff>
        </xdr:from>
        <xdr:to>
          <xdr:col>21</xdr:col>
          <xdr:colOff>66675</xdr:colOff>
          <xdr:row>17</xdr:row>
          <xdr:rowOff>9525</xdr:rowOff>
        </xdr:to>
        <xdr:sp macro="" textlink="">
          <xdr:nvSpPr>
            <xdr:cNvPr id="1025" name="Picture 2" hidden="1">
              <a:extLst>
                <a:ext uri="{63B3BB69-23CF-44E3-9099-C40C66FF867C}">
                  <a14:compatExt spid="_x0000_s1025"/>
                </a:ext>
                <a:ext uri="{FF2B5EF4-FFF2-40B4-BE49-F238E27FC236}">
                  <a16:creationId xmlns:a16="http://schemas.microsoft.com/office/drawing/2014/main" id="{00000000-0008-0000-3200-00000104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xdr:twoCellAnchor>
    <xdr:from>
      <xdr:col>0</xdr:col>
      <xdr:colOff>676275</xdr:colOff>
      <xdr:row>15</xdr:row>
      <xdr:rowOff>9525</xdr:rowOff>
    </xdr:from>
    <xdr:to>
      <xdr:col>7</xdr:col>
      <xdr:colOff>657225</xdr:colOff>
      <xdr:row>57</xdr:row>
      <xdr:rowOff>95250</xdr:rowOff>
    </xdr:to>
    <xdr:graphicFrame macro="">
      <xdr:nvGraphicFramePr>
        <xdr:cNvPr id="20693" name="Chart 1">
          <a:extLst>
            <a:ext uri="{FF2B5EF4-FFF2-40B4-BE49-F238E27FC236}">
              <a16:creationId xmlns:a16="http://schemas.microsoft.com/office/drawing/2014/main" id="{00000000-0008-0000-3300-0000D5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542925</xdr:colOff>
          <xdr:row>13</xdr:row>
          <xdr:rowOff>133350</xdr:rowOff>
        </xdr:from>
        <xdr:to>
          <xdr:col>9</xdr:col>
          <xdr:colOff>609600</xdr:colOff>
          <xdr:row>15</xdr:row>
          <xdr:rowOff>9525</xdr:rowOff>
        </xdr:to>
        <xdr:sp macro="" textlink="">
          <xdr:nvSpPr>
            <xdr:cNvPr id="3073" name="Picture 1" hidden="1">
              <a:extLst>
                <a:ext uri="{63B3BB69-23CF-44E3-9099-C40C66FF867C}">
                  <a14:compatExt spid="_x0000_s3073"/>
                </a:ext>
                <a:ext uri="{FF2B5EF4-FFF2-40B4-BE49-F238E27FC236}">
                  <a16:creationId xmlns:a16="http://schemas.microsoft.com/office/drawing/2014/main" id="{00000000-0008-0000-3400-000001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16</xdr:col>
          <xdr:colOff>676275</xdr:colOff>
          <xdr:row>17</xdr:row>
          <xdr:rowOff>133350</xdr:rowOff>
        </xdr:from>
        <xdr:to>
          <xdr:col>17</xdr:col>
          <xdr:colOff>66675</xdr:colOff>
          <xdr:row>19</xdr:row>
          <xdr:rowOff>28575</xdr:rowOff>
        </xdr:to>
        <xdr:sp macro="" textlink="">
          <xdr:nvSpPr>
            <xdr:cNvPr id="3074" name="Picture 2" hidden="1">
              <a:extLst>
                <a:ext uri="{63B3BB69-23CF-44E3-9099-C40C66FF867C}">
                  <a14:compatExt spid="_x0000_s3074"/>
                </a:ext>
                <a:ext uri="{FF2B5EF4-FFF2-40B4-BE49-F238E27FC236}">
                  <a16:creationId xmlns:a16="http://schemas.microsoft.com/office/drawing/2014/main" id="{00000000-0008-0000-3400-0000020C0000}"/>
                </a:ext>
              </a:extLst>
            </xdr:cNvPr>
            <xdr:cNvSpPr/>
          </xdr:nvSpPr>
          <xdr:spPr bwMode="auto">
            <a:xfrm>
              <a:off x="0" y="0"/>
              <a:ext cx="0" cy="0"/>
            </a:xfrm>
            <a:prstGeom prst="rect">
              <a:avLst/>
            </a:prstGeom>
            <a:blipFill dpi="0" rotWithShape="0">
              <a:blip xmlns:r="http://schemas.openxmlformats.org/officeDocument/2006/relationships"/>
              <a:srcRect/>
              <a:stretch>
                <a:fillRect/>
              </a:stretch>
            </a:blip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DMD_PRJ_S_clean.xlsx" TargetMode="External"/><Relationship Id="rId1" Type="http://schemas.openxmlformats.org/officeDocument/2006/relationships/externalLinkPath" Target="/Users/Savanha/Desktop/M&amp;M%20Eng%20PGDip/admin/ESRG%20internship/COMM%20sheets/DMD_PRJ_S_clea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20updated%20170723.xlsm" TargetMode="External"/><Relationship Id="rId1" Type="http://schemas.openxmlformats.org/officeDocument/2006/relationships/externalLinkPath" Target="/Users/Savanha/Desktop/M&amp;M%20Eng%20PGDip/admin/ESRG%20internship/TCH_COM%20updated%20170723.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vanha\Desktop\M&amp;M%20Eng%20PGDip\admin\ESRG%20internship\TCH_COM_bm.xlsm" TargetMode="External"/><Relationship Id="rId1" Type="http://schemas.openxmlformats.org/officeDocument/2006/relationships/externalLinkPath" Target="/Users/Savanha/Desktop/M&amp;M%20Eng%20PGDip/admin/ESRG%20internship/TCH_COM_bm.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nswerTIMESv6/Answer_Databases/TCH_PW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IME_SLICES_1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angeLog"/>
      <sheetName val="REGIONS"/>
      <sheetName val="Index_SATIM"/>
      <sheetName val="Index_G2E"/>
      <sheetName val="Index_E2G"/>
      <sheetName val="POP_STATSSA"/>
      <sheetName val="DriversGams"/>
      <sheetName val="Drivers"/>
      <sheetName val="DMD"/>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sheetData sheetId="1"/>
      <sheetData sheetId="2">
        <row r="7">
          <cell r="C7">
            <v>1</v>
          </cell>
        </row>
        <row r="8">
          <cell r="C8">
            <v>1</v>
          </cell>
        </row>
        <row r="10">
          <cell r="C10">
            <v>1</v>
          </cell>
        </row>
        <row r="11">
          <cell r="C11">
            <v>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 COM_2017_old"/>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row r="14">
          <cell r="B14">
            <v>1.1665213324705017</v>
          </cell>
          <cell r="E14">
            <v>1.6888866539095024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sheetData sheetId="38"/>
      <sheetData sheetId="39"/>
      <sheetData sheetId="40"/>
      <sheetData sheetId="41"/>
      <sheetData sheetId="42"/>
      <sheetData sheetId="43"/>
      <sheetData sheetId="44"/>
      <sheetData sheetId="45"/>
      <sheetData sheetId="46"/>
      <sheetData sheetId="47"/>
      <sheetData sheetId="48"/>
      <sheetData sheetId="49">
        <row r="45">
          <cell r="H45">
            <v>69.787286517460004</v>
          </cell>
        </row>
      </sheetData>
      <sheetData sheetId="50"/>
      <sheetData sheetId="51"/>
      <sheetData sheetId="52"/>
      <sheetData sheetId="53">
        <row r="19">
          <cell r="L19">
            <v>0.26368393314259903</v>
          </cell>
        </row>
      </sheetData>
      <sheetData sheetId="54"/>
      <sheetData sheetId="5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row r="1">
          <cell r="B1">
            <v>0</v>
          </cell>
        </row>
      </sheetData>
      <sheetData sheetId="2"/>
      <sheetData sheetId="3"/>
      <sheetData sheetId="4"/>
      <sheetData sheetId="5"/>
      <sheetData sheetId="6"/>
      <sheetData sheetId="7"/>
      <sheetData sheetId="8">
        <row r="14">
          <cell r="B14">
            <v>1.1665213324705017</v>
          </cell>
          <cell r="E14">
            <v>1.6888866539095024</v>
          </cell>
        </row>
      </sheetData>
      <sheetData sheetId="9">
        <row r="7">
          <cell r="B7" t="str">
            <v>CECELCCHIL-E</v>
          </cell>
        </row>
      </sheetData>
      <sheetData sheetId="10"/>
      <sheetData sheetId="11"/>
      <sheetData sheetId="12">
        <row r="11">
          <cell r="F11">
            <v>1</v>
          </cell>
        </row>
      </sheetData>
      <sheetData sheetId="13"/>
      <sheetData sheetId="14">
        <row r="34">
          <cell r="B34" t="str">
            <v xml:space="preserve">Lighting </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
          <cell r="F1">
            <v>1E-8</v>
          </cell>
        </row>
        <row r="3">
          <cell r="D3" t="str">
            <v>Coal</v>
          </cell>
          <cell r="E3" t="str">
            <v>COA</v>
          </cell>
        </row>
        <row r="4">
          <cell r="D4" t="str">
            <v>Gas</v>
          </cell>
          <cell r="E4" t="str">
            <v>GAS</v>
          </cell>
        </row>
        <row r="5">
          <cell r="D5" t="str">
            <v>Oil Diesel</v>
          </cell>
          <cell r="E5" t="str">
            <v>ODS</v>
          </cell>
        </row>
        <row r="6">
          <cell r="D6" t="str">
            <v>Oil Gasoline</v>
          </cell>
          <cell r="E6" t="str">
            <v>OGS</v>
          </cell>
        </row>
        <row r="7">
          <cell r="D7" t="str">
            <v>Oil HFO</v>
          </cell>
          <cell r="E7" t="str">
            <v>OHF</v>
          </cell>
        </row>
        <row r="8">
          <cell r="D8" t="str">
            <v>Oil LPG</v>
          </cell>
          <cell r="E8" t="str">
            <v>OLP</v>
          </cell>
        </row>
        <row r="9">
          <cell r="D9" t="str">
            <v>Oil Paraffin</v>
          </cell>
          <cell r="E9" t="str">
            <v>OKE</v>
          </cell>
        </row>
        <row r="10">
          <cell r="D10" t="str">
            <v>Electricity</v>
          </cell>
          <cell r="E10" t="str">
            <v>ELC</v>
          </cell>
        </row>
        <row r="12">
          <cell r="D12"/>
          <cell r="E12"/>
        </row>
        <row r="15">
          <cell r="D15"/>
          <cell r="E15"/>
        </row>
        <row r="16">
          <cell r="D16"/>
          <cell r="E16"/>
        </row>
        <row r="17">
          <cell r="D17"/>
          <cell r="E17"/>
        </row>
      </sheetData>
      <sheetData sheetId="37">
        <row r="3">
          <cell r="B3" t="str">
            <v>CEC</v>
          </cell>
        </row>
      </sheetData>
      <sheetData sheetId="38">
        <row r="75">
          <cell r="D75">
            <v>0.88</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NT_PWR"/>
      <sheetName val="ITEMS_Techn"/>
      <sheetName val="TS INVFX"/>
      <sheetName val="TS NTech"/>
      <sheetName val="TID NTech"/>
      <sheetName val="ITEMS GRP"/>
      <sheetName val="TS Othere"/>
      <sheetName val="TID Othere"/>
      <sheetName val="ITEMS UC"/>
      <sheetName val="TS UC"/>
      <sheetName val="TID UC"/>
      <sheetName val="REAvail"/>
      <sheetName val="TS REAvail"/>
      <sheetName val="REGIONS"/>
      <sheetName val="NameConv"/>
      <sheetName val="Deflator"/>
      <sheetName val="EskomCoalEff"/>
      <sheetName val="Analytica_Input"/>
    </sheetNames>
    <sheetDataSet>
      <sheetData sheetId="0"/>
      <sheetData sheetId="1">
        <row r="42">
          <cell r="D42" t="str">
            <v>Input Commodity</v>
          </cell>
          <cell r="G42" t="str">
            <v>Output Commodity</v>
          </cell>
          <cell r="I42" t="str">
            <v>Efficiency2006</v>
          </cell>
          <cell r="L42" t="str">
            <v>Contribution to Peak2006</v>
          </cell>
          <cell r="M42" t="str">
            <v>Availability factor2006</v>
          </cell>
          <cell r="N42" t="str">
            <v>Maximum availability2006</v>
          </cell>
          <cell r="O42" t="str">
            <v>Variable Costs2006</v>
          </cell>
          <cell r="P42" t="str">
            <v>Fixed Costs2006</v>
          </cell>
          <cell r="Q42" t="str">
            <v>Water use2006</v>
          </cell>
          <cell r="R42" t="str">
            <v>Residual Capacity2006</v>
          </cell>
          <cell r="S42" t="str">
            <v>Residual Capacity2007</v>
          </cell>
          <cell r="T42" t="str">
            <v>Residual Capacity2008</v>
          </cell>
          <cell r="U42" t="str">
            <v>Residual Capacity2009</v>
          </cell>
          <cell r="V42" t="str">
            <v>Residual Capacity2010</v>
          </cell>
          <cell r="W42" t="str">
            <v>Residual Capacity2011</v>
          </cell>
          <cell r="X42" t="str">
            <v>Residual Capacity2012</v>
          </cell>
          <cell r="Y42" t="str">
            <v>Residual Capacity2013</v>
          </cell>
          <cell r="Z42" t="str">
            <v>Residual Capacity2014</v>
          </cell>
          <cell r="AA42" t="str">
            <v>Residual Capacity2015</v>
          </cell>
          <cell r="AB42" t="str">
            <v>Residual Capacity2016</v>
          </cell>
          <cell r="AC42" t="str">
            <v>Residual Capacity2017</v>
          </cell>
          <cell r="AD42" t="str">
            <v>Residual Capacity2018</v>
          </cell>
          <cell r="AE42" t="str">
            <v>Residual Capacity2019</v>
          </cell>
          <cell r="AF42" t="str">
            <v>Residual Capacity2020</v>
          </cell>
          <cell r="AG42" t="str">
            <v>Residual Capacity2021</v>
          </cell>
          <cell r="AH42" t="str">
            <v>Residual Capacity2022</v>
          </cell>
          <cell r="AI42" t="str">
            <v>Residual Capacity2023</v>
          </cell>
          <cell r="AJ42" t="str">
            <v>Residual Capacity2024</v>
          </cell>
          <cell r="AK42" t="str">
            <v>Residual Capacity2025</v>
          </cell>
          <cell r="AL42" t="str">
            <v>Residual Capacity2026</v>
          </cell>
          <cell r="AM42" t="str">
            <v>Residual Capacity2027</v>
          </cell>
          <cell r="AN42" t="str">
            <v>Residual Capacity2028</v>
          </cell>
          <cell r="AO42" t="str">
            <v>Residual Capacity2029</v>
          </cell>
          <cell r="AP42" t="str">
            <v>Residual Capacity2030</v>
          </cell>
          <cell r="AQ42" t="str">
            <v>Residual Capacity2031</v>
          </cell>
          <cell r="AR42" t="str">
            <v>Residual Capacity2032</v>
          </cell>
          <cell r="AS42" t="str">
            <v>Residual Capacity2033</v>
          </cell>
          <cell r="AT42" t="str">
            <v>Residual Capacity2034</v>
          </cell>
          <cell r="AU42" t="str">
            <v>Residual Capacity2035</v>
          </cell>
          <cell r="AV42" t="str">
            <v>Residual Capacity2036</v>
          </cell>
          <cell r="AW42" t="str">
            <v>Residual Capacity2037</v>
          </cell>
          <cell r="AX42" t="str">
            <v>Residual Capacity2038</v>
          </cell>
          <cell r="AY42" t="str">
            <v>Residual Capacity2039</v>
          </cell>
          <cell r="AZ42" t="str">
            <v>Residual Capacity2040</v>
          </cell>
          <cell r="BA42" t="str">
            <v>Residual Capacity2045</v>
          </cell>
          <cell r="BB42" t="str">
            <v>Residual Capacity2050</v>
          </cell>
          <cell r="BC42" t="str">
            <v>Residual Capacity2060</v>
          </cell>
          <cell r="BD42" t="str">
            <v>Residual Capacity2070</v>
          </cell>
        </row>
        <row r="46">
          <cell r="B46" t="str">
            <v>ETCLEPFW-E</v>
          </cell>
          <cell r="C46" t="str">
            <v>Coal existing</v>
          </cell>
          <cell r="D46" t="str">
            <v>PWRCLE</v>
          </cell>
          <cell r="G46" t="str">
            <v>ELCC</v>
          </cell>
          <cell r="H46">
            <v>0</v>
          </cell>
          <cell r="I46">
            <v>0.34373917124015496</v>
          </cell>
          <cell r="L46">
            <v>1</v>
          </cell>
          <cell r="M46">
            <v>0.8615429399943102</v>
          </cell>
          <cell r="N46">
            <v>0.93609704125177806</v>
          </cell>
          <cell r="O46">
            <v>12.333333333333332</v>
          </cell>
          <cell r="P46">
            <v>455</v>
          </cell>
          <cell r="Q46">
            <v>553.23667746694059</v>
          </cell>
          <cell r="R46">
            <v>21.09</v>
          </cell>
          <cell r="S46">
            <v>21.09</v>
          </cell>
          <cell r="T46">
            <v>21.09</v>
          </cell>
          <cell r="U46">
            <v>21.09</v>
          </cell>
          <cell r="V46">
            <v>21.09</v>
          </cell>
          <cell r="W46">
            <v>21.09</v>
          </cell>
          <cell r="X46">
            <v>21.09</v>
          </cell>
          <cell r="Y46">
            <v>21.09</v>
          </cell>
          <cell r="Z46">
            <v>21.09</v>
          </cell>
          <cell r="AA46">
            <v>21.09</v>
          </cell>
          <cell r="AB46">
            <v>21.09</v>
          </cell>
          <cell r="AC46">
            <v>21.09</v>
          </cell>
          <cell r="AD46">
            <v>21.09</v>
          </cell>
          <cell r="AE46">
            <v>21.09</v>
          </cell>
          <cell r="AF46">
            <v>21.09</v>
          </cell>
          <cell r="AG46">
            <v>21.09</v>
          </cell>
          <cell r="AH46">
            <v>21.09</v>
          </cell>
          <cell r="AI46">
            <v>21.09</v>
          </cell>
          <cell r="AJ46">
            <v>18.809999999999999</v>
          </cell>
          <cell r="AK46">
            <v>18.809999999999999</v>
          </cell>
          <cell r="AL46">
            <v>18.809999999999999</v>
          </cell>
          <cell r="AM46">
            <v>18.809999999999999</v>
          </cell>
          <cell r="AN46">
            <v>18.809999999999999</v>
          </cell>
          <cell r="AO46">
            <v>15.96</v>
          </cell>
          <cell r="AP46">
            <v>15.96</v>
          </cell>
          <cell r="AQ46">
            <v>15.96</v>
          </cell>
          <cell r="AR46">
            <v>12.51</v>
          </cell>
          <cell r="AS46">
            <v>9.06</v>
          </cell>
          <cell r="AT46">
            <v>9.06</v>
          </cell>
          <cell r="AU46">
            <v>9.06</v>
          </cell>
          <cell r="AV46">
            <v>5.55</v>
          </cell>
          <cell r="AW46">
            <v>1.992</v>
          </cell>
          <cell r="AX46">
            <v>1.992</v>
          </cell>
          <cell r="AY46">
            <v>1.992</v>
          </cell>
          <cell r="AZ46">
            <v>1.992</v>
          </cell>
          <cell r="BA46">
            <v>1.992</v>
          </cell>
          <cell r="BB46">
            <v>0</v>
          </cell>
          <cell r="BC46">
            <v>0</v>
          </cell>
          <cell r="BD46">
            <v>0</v>
          </cell>
        </row>
        <row r="47">
          <cell r="B47" t="str">
            <v>ETCLEPFD-E</v>
          </cell>
          <cell r="C47" t="str">
            <v>Coal existing</v>
          </cell>
          <cell r="D47" t="str">
            <v>PWRCLE</v>
          </cell>
          <cell r="G47" t="str">
            <v>ELCC</v>
          </cell>
          <cell r="H47">
            <v>0</v>
          </cell>
          <cell r="I47">
            <v>0.33987446430143281</v>
          </cell>
          <cell r="L47">
            <v>1</v>
          </cell>
          <cell r="M47">
            <v>0.89082083411576596</v>
          </cell>
          <cell r="N47">
            <v>0.95390163095618807</v>
          </cell>
          <cell r="O47">
            <v>12.333333333333332</v>
          </cell>
          <cell r="P47">
            <v>455</v>
          </cell>
          <cell r="Q47">
            <v>35.64555721375357</v>
          </cell>
          <cell r="R47">
            <v>9.3810000000000002</v>
          </cell>
          <cell r="S47">
            <v>9.3810000000000002</v>
          </cell>
          <cell r="T47">
            <v>9.3810000000000002</v>
          </cell>
          <cell r="U47">
            <v>9.3810000000000002</v>
          </cell>
          <cell r="V47">
            <v>9.3810000000000002</v>
          </cell>
          <cell r="W47">
            <v>9.3810000000000002</v>
          </cell>
          <cell r="X47">
            <v>9.3810000000000002</v>
          </cell>
          <cell r="Y47">
            <v>9.3810000000000002</v>
          </cell>
          <cell r="Z47">
            <v>9.3810000000000002</v>
          </cell>
          <cell r="AA47">
            <v>9.3810000000000002</v>
          </cell>
          <cell r="AB47">
            <v>9.3810000000000002</v>
          </cell>
          <cell r="AC47">
            <v>9.3810000000000002</v>
          </cell>
          <cell r="AD47">
            <v>9.3810000000000002</v>
          </cell>
          <cell r="AE47">
            <v>9.3810000000000002</v>
          </cell>
          <cell r="AF47">
            <v>9.3810000000000002</v>
          </cell>
          <cell r="AG47">
            <v>9.3810000000000002</v>
          </cell>
          <cell r="AH47">
            <v>9.3810000000000002</v>
          </cell>
          <cell r="AI47">
            <v>9.3810000000000002</v>
          </cell>
          <cell r="AJ47">
            <v>9.3810000000000002</v>
          </cell>
          <cell r="AK47">
            <v>9.3810000000000002</v>
          </cell>
          <cell r="AL47">
            <v>9.3810000000000002</v>
          </cell>
          <cell r="AM47">
            <v>9.3810000000000002</v>
          </cell>
          <cell r="AN47">
            <v>9.3810000000000002</v>
          </cell>
          <cell r="AO47">
            <v>9.3810000000000002</v>
          </cell>
          <cell r="AP47">
            <v>9.3810000000000002</v>
          </cell>
          <cell r="AQ47">
            <v>9.3810000000000002</v>
          </cell>
          <cell r="AR47">
            <v>9.3810000000000002</v>
          </cell>
          <cell r="AS47">
            <v>9.3810000000000002</v>
          </cell>
          <cell r="AT47">
            <v>9.3810000000000002</v>
          </cell>
          <cell r="AU47">
            <v>9.3810000000000002</v>
          </cell>
          <cell r="AV47">
            <v>9.3810000000000002</v>
          </cell>
          <cell r="AW47">
            <v>9.3810000000000002</v>
          </cell>
          <cell r="AX47">
            <v>5.6909999999999998</v>
          </cell>
          <cell r="AY47">
            <v>1.851</v>
          </cell>
          <cell r="AZ47">
            <v>1.851</v>
          </cell>
          <cell r="BA47">
            <v>1.851</v>
          </cell>
          <cell r="BB47">
            <v>0</v>
          </cell>
          <cell r="BC47">
            <v>0</v>
          </cell>
          <cell r="BD47">
            <v>0</v>
          </cell>
        </row>
        <row r="48">
          <cell r="B48" t="str">
            <v>ETCLEPFS-E</v>
          </cell>
          <cell r="C48" t="str">
            <v>Coal existing</v>
          </cell>
          <cell r="D48" t="str">
            <v>PWRCLE</v>
          </cell>
          <cell r="G48" t="str">
            <v>ELCC</v>
          </cell>
          <cell r="H48">
            <v>0</v>
          </cell>
          <cell r="I48">
            <v>0.28506238865415229</v>
          </cell>
          <cell r="L48">
            <v>1</v>
          </cell>
          <cell r="M48">
            <v>0.80059353639253283</v>
          </cell>
          <cell r="N48">
            <v>0.86708486377396576</v>
          </cell>
          <cell r="O48">
            <v>12.333333333333332</v>
          </cell>
          <cell r="P48">
            <v>455</v>
          </cell>
          <cell r="Q48">
            <v>689.14833034346134</v>
          </cell>
          <cell r="R48">
            <v>4.3440000000000003</v>
          </cell>
          <cell r="S48">
            <v>4.3440000000000003</v>
          </cell>
          <cell r="T48">
            <v>4.3440000000000003</v>
          </cell>
          <cell r="U48">
            <v>4.3440000000000003</v>
          </cell>
          <cell r="V48">
            <v>4.3440000000000003</v>
          </cell>
          <cell r="W48">
            <v>4.7240000000000002</v>
          </cell>
          <cell r="X48">
            <v>5.0229999999999997</v>
          </cell>
          <cell r="Y48">
            <v>4.6470000000000002</v>
          </cell>
          <cell r="Z48">
            <v>4.6470000000000002</v>
          </cell>
          <cell r="AA48">
            <v>4.6470000000000002</v>
          </cell>
          <cell r="AB48">
            <v>4.6470000000000002</v>
          </cell>
          <cell r="AC48">
            <v>4.6470000000000002</v>
          </cell>
          <cell r="AD48">
            <v>4.6470000000000002</v>
          </cell>
          <cell r="AE48">
            <v>4.6470000000000002</v>
          </cell>
          <cell r="AF48">
            <v>4.6470000000000002</v>
          </cell>
          <cell r="AG48">
            <v>4.6470000000000002</v>
          </cell>
          <cell r="AH48">
            <v>4.6470000000000002</v>
          </cell>
          <cell r="AI48">
            <v>2.7770000000000001</v>
          </cell>
          <cell r="AJ48">
            <v>2.7770000000000001</v>
          </cell>
          <cell r="AK48">
            <v>2.2719999999999998</v>
          </cell>
          <cell r="AL48">
            <v>0.752</v>
          </cell>
          <cell r="AM48">
            <v>0.752</v>
          </cell>
          <cell r="AN48">
            <v>0.752</v>
          </cell>
          <cell r="AO48">
            <v>0.752</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B49" t="str">
            <v>ETCLEPFM-E</v>
          </cell>
          <cell r="C49" t="str">
            <v>Coal existing</v>
          </cell>
          <cell r="D49" t="str">
            <v>PWRCLE</v>
          </cell>
          <cell r="G49" t="str">
            <v>ELCC</v>
          </cell>
          <cell r="H49">
            <v>0</v>
          </cell>
          <cell r="I49">
            <v>0.24565165448162612</v>
          </cell>
          <cell r="L49">
            <v>1</v>
          </cell>
          <cell r="M49">
            <v>0.81476442000000004</v>
          </cell>
          <cell r="N49">
            <v>0.90620000000000001</v>
          </cell>
          <cell r="O49">
            <v>12.333333333333332</v>
          </cell>
          <cell r="P49">
            <v>455</v>
          </cell>
          <cell r="Q49">
            <v>712.59259259259238</v>
          </cell>
          <cell r="R49">
            <v>0.435</v>
          </cell>
          <cell r="S49">
            <v>0.435</v>
          </cell>
          <cell r="T49">
            <v>0.435</v>
          </cell>
          <cell r="U49">
            <v>0.435</v>
          </cell>
          <cell r="V49">
            <v>0.435</v>
          </cell>
          <cell r="W49">
            <v>0.435</v>
          </cell>
          <cell r="X49">
            <v>0.435</v>
          </cell>
          <cell r="Y49">
            <v>0.435</v>
          </cell>
          <cell r="Z49">
            <v>0.435</v>
          </cell>
          <cell r="AA49">
            <v>0.435</v>
          </cell>
          <cell r="AB49">
            <v>0.38500000000000001</v>
          </cell>
          <cell r="AC49">
            <v>0.31</v>
          </cell>
          <cell r="AD49">
            <v>0.31</v>
          </cell>
          <cell r="AE49">
            <v>0.31</v>
          </cell>
          <cell r="AF49">
            <v>0.31</v>
          </cell>
          <cell r="AG49">
            <v>0.31</v>
          </cell>
          <cell r="AH49">
            <v>0.31</v>
          </cell>
          <cell r="AI49">
            <v>0.31</v>
          </cell>
          <cell r="AJ49">
            <v>0.31</v>
          </cell>
          <cell r="AK49">
            <v>0.31</v>
          </cell>
          <cell r="AL49">
            <v>0.31</v>
          </cell>
          <cell r="AM49">
            <v>0.31</v>
          </cell>
          <cell r="AN49">
            <v>0.31</v>
          </cell>
          <cell r="AO49">
            <v>0.31</v>
          </cell>
          <cell r="AP49">
            <v>0.31</v>
          </cell>
          <cell r="AQ49">
            <v>0.31</v>
          </cell>
          <cell r="AR49">
            <v>0.31</v>
          </cell>
          <cell r="AS49">
            <v>0</v>
          </cell>
          <cell r="AT49">
            <v>0</v>
          </cell>
          <cell r="AU49">
            <v>0</v>
          </cell>
          <cell r="AV49">
            <v>0</v>
          </cell>
          <cell r="AW49">
            <v>0</v>
          </cell>
          <cell r="AX49">
            <v>0</v>
          </cell>
          <cell r="AY49">
            <v>0</v>
          </cell>
          <cell r="AZ49">
            <v>0</v>
          </cell>
          <cell r="BA49">
            <v>0</v>
          </cell>
          <cell r="BB49">
            <v>0</v>
          </cell>
          <cell r="BC49">
            <v>0</v>
          </cell>
          <cell r="BD49">
            <v>0</v>
          </cell>
        </row>
        <row r="50">
          <cell r="B50" t="str">
            <v>ETCLEPFSS-E</v>
          </cell>
          <cell r="C50" t="str">
            <v>Coal existing</v>
          </cell>
          <cell r="D50" t="str">
            <v>PWRCLE</v>
          </cell>
          <cell r="G50" t="str">
            <v>ELCC</v>
          </cell>
          <cell r="H50">
            <v>0</v>
          </cell>
          <cell r="I50">
            <v>0.25429035508469455</v>
          </cell>
          <cell r="L50">
            <v>1</v>
          </cell>
          <cell r="M50">
            <v>0.84512069999999995</v>
          </cell>
          <cell r="N50">
            <v>0.92849999999999999</v>
          </cell>
          <cell r="O50">
            <v>12.333333333333332</v>
          </cell>
          <cell r="P50">
            <v>455</v>
          </cell>
          <cell r="Q50">
            <v>712.59259259259238</v>
          </cell>
          <cell r="R50">
            <v>0.52</v>
          </cell>
          <cell r="S50">
            <v>0.52</v>
          </cell>
          <cell r="T50">
            <v>0.52</v>
          </cell>
          <cell r="U50">
            <v>0.52</v>
          </cell>
          <cell r="V50">
            <v>0.52</v>
          </cell>
          <cell r="W50">
            <v>0.52</v>
          </cell>
          <cell r="X50">
            <v>0.52</v>
          </cell>
          <cell r="Y50">
            <v>0.52</v>
          </cell>
          <cell r="Z50">
            <v>0.52</v>
          </cell>
          <cell r="AA50">
            <v>0.52</v>
          </cell>
          <cell r="AB50">
            <v>0.52</v>
          </cell>
          <cell r="AC50">
            <v>0.52</v>
          </cell>
          <cell r="AD50">
            <v>0.52</v>
          </cell>
          <cell r="AE50">
            <v>0.52</v>
          </cell>
          <cell r="AF50">
            <v>0.52</v>
          </cell>
          <cell r="AG50">
            <v>0.52</v>
          </cell>
          <cell r="AH50">
            <v>0.52</v>
          </cell>
          <cell r="AI50">
            <v>0.52</v>
          </cell>
          <cell r="AJ50">
            <v>0.52</v>
          </cell>
          <cell r="AK50">
            <v>0.52</v>
          </cell>
          <cell r="AL50">
            <v>0.52</v>
          </cell>
          <cell r="AM50">
            <v>0.52</v>
          </cell>
          <cell r="AN50">
            <v>0.52</v>
          </cell>
          <cell r="AO50">
            <v>0.52</v>
          </cell>
          <cell r="AP50">
            <v>0.52</v>
          </cell>
          <cell r="AQ50">
            <v>0.52</v>
          </cell>
          <cell r="AR50">
            <v>0.52</v>
          </cell>
          <cell r="AS50">
            <v>0</v>
          </cell>
          <cell r="AT50">
            <v>0</v>
          </cell>
          <cell r="AU50">
            <v>0</v>
          </cell>
          <cell r="AV50">
            <v>0</v>
          </cell>
          <cell r="AW50">
            <v>0</v>
          </cell>
          <cell r="AX50">
            <v>0</v>
          </cell>
          <cell r="AY50">
            <v>0</v>
          </cell>
          <cell r="AZ50">
            <v>0</v>
          </cell>
          <cell r="BA50">
            <v>0</v>
          </cell>
          <cell r="BB50">
            <v>0</v>
          </cell>
          <cell r="BC50">
            <v>0</v>
          </cell>
          <cell r="BD50">
            <v>0</v>
          </cell>
        </row>
        <row r="51">
          <cell r="B51" t="str">
            <v>ETCLEPFSI-E</v>
          </cell>
          <cell r="C51" t="str">
            <v>Coal existing</v>
          </cell>
          <cell r="D51" t="str">
            <v>PWRCLE</v>
          </cell>
          <cell r="G51" t="str">
            <v>ELCC</v>
          </cell>
          <cell r="H51">
            <v>0</v>
          </cell>
          <cell r="I51">
            <v>0.25429035508469455</v>
          </cell>
          <cell r="L51">
            <v>1</v>
          </cell>
          <cell r="M51">
            <v>0.84512069999999995</v>
          </cell>
          <cell r="N51">
            <v>0.92849999999999999</v>
          </cell>
          <cell r="O51">
            <v>12.333333333333332</v>
          </cell>
          <cell r="P51">
            <v>455</v>
          </cell>
          <cell r="Q51">
            <v>712.59259259259238</v>
          </cell>
          <cell r="R51">
            <v>0.13</v>
          </cell>
          <cell r="S51">
            <v>0.13</v>
          </cell>
          <cell r="T51">
            <v>0.13</v>
          </cell>
          <cell r="U51">
            <v>0.13</v>
          </cell>
          <cell r="V51">
            <v>0.13</v>
          </cell>
          <cell r="W51">
            <v>0.13</v>
          </cell>
          <cell r="X51">
            <v>0.13</v>
          </cell>
          <cell r="Y51">
            <v>0.13</v>
          </cell>
          <cell r="Z51">
            <v>0.13</v>
          </cell>
          <cell r="AA51">
            <v>0.13</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B52" t="str">
            <v>ETODSGT-E</v>
          </cell>
          <cell r="C52" t="str">
            <v>Oil Diesel</v>
          </cell>
          <cell r="D52" t="str">
            <v>PWRODS</v>
          </cell>
          <cell r="G52" t="str">
            <v>ELCC</v>
          </cell>
          <cell r="H52">
            <v>0</v>
          </cell>
          <cell r="I52">
            <v>0.32290235255240424</v>
          </cell>
          <cell r="L52">
            <v>1</v>
          </cell>
          <cell r="M52">
            <v>8.9999999999999983E-2</v>
          </cell>
          <cell r="N52">
            <v>0.94863999999999993</v>
          </cell>
          <cell r="O52">
            <v>67.932986111111106</v>
          </cell>
          <cell r="P52">
            <v>66.182500000000005</v>
          </cell>
          <cell r="Q52">
            <v>0</v>
          </cell>
          <cell r="R52">
            <v>2.4</v>
          </cell>
          <cell r="S52">
            <v>2.4</v>
          </cell>
          <cell r="T52">
            <v>2.4</v>
          </cell>
          <cell r="U52">
            <v>2.4</v>
          </cell>
          <cell r="V52">
            <v>2.4</v>
          </cell>
          <cell r="W52">
            <v>2.4</v>
          </cell>
          <cell r="X52">
            <v>2.4</v>
          </cell>
          <cell r="Y52">
            <v>2.4</v>
          </cell>
          <cell r="Z52">
            <v>2.4</v>
          </cell>
          <cell r="AA52">
            <v>2.4</v>
          </cell>
          <cell r="AB52">
            <v>2.4</v>
          </cell>
          <cell r="AC52">
            <v>2.4</v>
          </cell>
          <cell r="AD52">
            <v>2.4</v>
          </cell>
          <cell r="AE52">
            <v>2.4</v>
          </cell>
          <cell r="AF52">
            <v>2.4</v>
          </cell>
          <cell r="AG52">
            <v>2.4</v>
          </cell>
          <cell r="AH52">
            <v>2.4</v>
          </cell>
          <cell r="AI52">
            <v>2.4</v>
          </cell>
          <cell r="AJ52">
            <v>2.4</v>
          </cell>
          <cell r="AK52">
            <v>2.4</v>
          </cell>
          <cell r="AL52">
            <v>2.4</v>
          </cell>
          <cell r="AM52">
            <v>2.0579999999999998</v>
          </cell>
          <cell r="AN52">
            <v>2.0579999999999998</v>
          </cell>
          <cell r="AO52">
            <v>2.0579999999999998</v>
          </cell>
          <cell r="AP52">
            <v>2.0579999999999998</v>
          </cell>
          <cell r="AQ52">
            <v>2.0579999999999998</v>
          </cell>
          <cell r="AR52">
            <v>2.0579999999999998</v>
          </cell>
          <cell r="AS52">
            <v>2.0579999999999998</v>
          </cell>
          <cell r="AT52">
            <v>2.0579999999999998</v>
          </cell>
          <cell r="AU52">
            <v>2.0579999999999998</v>
          </cell>
          <cell r="AV52">
            <v>2.0579999999999998</v>
          </cell>
          <cell r="AW52">
            <v>2.0579999999999998</v>
          </cell>
          <cell r="AX52">
            <v>2.0579999999999998</v>
          </cell>
          <cell r="AY52">
            <v>2.0579999999999998</v>
          </cell>
          <cell r="AZ52">
            <v>2.0579999999999998</v>
          </cell>
          <cell r="BA52">
            <v>2.0579999999999998</v>
          </cell>
          <cell r="BB52">
            <v>2.0579999999999998</v>
          </cell>
          <cell r="BC52">
            <v>0</v>
          </cell>
          <cell r="BD52">
            <v>0</v>
          </cell>
        </row>
        <row r="53">
          <cell r="B53" t="str">
            <v>ERHYD-E</v>
          </cell>
          <cell r="C53" t="str">
            <v>Hydro</v>
          </cell>
          <cell r="D53" t="str">
            <v>PWRHYD</v>
          </cell>
          <cell r="G53" t="str">
            <v>ELCC</v>
          </cell>
          <cell r="H53">
            <v>0</v>
          </cell>
          <cell r="I53">
            <v>1</v>
          </cell>
          <cell r="L53">
            <v>1</v>
          </cell>
          <cell r="M53">
            <v>0.89254707313432835</v>
          </cell>
          <cell r="N53">
            <v>0.93385970149253739</v>
          </cell>
          <cell r="O53">
            <v>0</v>
          </cell>
          <cell r="P53">
            <v>114.8955223880597</v>
          </cell>
          <cell r="Q53">
            <v>0</v>
          </cell>
          <cell r="R53">
            <v>0.67</v>
          </cell>
          <cell r="S53">
            <v>0.67</v>
          </cell>
          <cell r="T53">
            <v>0.67</v>
          </cell>
          <cell r="U53">
            <v>0.67</v>
          </cell>
          <cell r="V53">
            <v>0.67</v>
          </cell>
          <cell r="W53">
            <v>0.67</v>
          </cell>
          <cell r="X53">
            <v>0.67</v>
          </cell>
          <cell r="Y53">
            <v>0.67</v>
          </cell>
          <cell r="Z53">
            <v>0.67</v>
          </cell>
          <cell r="AA53">
            <v>0.67</v>
          </cell>
          <cell r="AB53">
            <v>0.67</v>
          </cell>
          <cell r="AC53">
            <v>0.67</v>
          </cell>
          <cell r="AD53">
            <v>0.67</v>
          </cell>
          <cell r="AE53">
            <v>0.67</v>
          </cell>
          <cell r="AF53">
            <v>0.67</v>
          </cell>
          <cell r="AG53">
            <v>0.67</v>
          </cell>
          <cell r="AH53">
            <v>0.6</v>
          </cell>
          <cell r="AI53">
            <v>0.6</v>
          </cell>
          <cell r="AJ53">
            <v>0.6</v>
          </cell>
          <cell r="AK53">
            <v>0.6</v>
          </cell>
          <cell r="AL53">
            <v>0.6</v>
          </cell>
          <cell r="AM53">
            <v>0.6</v>
          </cell>
          <cell r="AN53">
            <v>0.6</v>
          </cell>
          <cell r="AO53">
            <v>0.6</v>
          </cell>
          <cell r="AP53">
            <v>0.6</v>
          </cell>
          <cell r="AQ53">
            <v>0.6</v>
          </cell>
          <cell r="AR53">
            <v>0.6</v>
          </cell>
          <cell r="AS53">
            <v>0.6</v>
          </cell>
          <cell r="AT53">
            <v>0.6</v>
          </cell>
          <cell r="AU53">
            <v>0.6</v>
          </cell>
          <cell r="AV53">
            <v>0.6</v>
          </cell>
          <cell r="AW53">
            <v>0.6</v>
          </cell>
          <cell r="AX53">
            <v>0.6</v>
          </cell>
          <cell r="AY53">
            <v>0.6</v>
          </cell>
          <cell r="AZ53">
            <v>0.6</v>
          </cell>
          <cell r="BA53">
            <v>0.6</v>
          </cell>
          <cell r="BB53">
            <v>0.6</v>
          </cell>
          <cell r="BC53">
            <v>0</v>
          </cell>
          <cell r="BD53">
            <v>0</v>
          </cell>
        </row>
        <row r="54">
          <cell r="B54" t="str">
            <v>ERHYD-I</v>
          </cell>
          <cell r="C54" t="str">
            <v>Hydro</v>
          </cell>
          <cell r="D54" t="str">
            <v>PWRHYD</v>
          </cell>
          <cell r="G54" t="str">
            <v>ELCC</v>
          </cell>
          <cell r="H54">
            <v>0</v>
          </cell>
          <cell r="I54">
            <v>1</v>
          </cell>
          <cell r="L54">
            <v>1</v>
          </cell>
          <cell r="M54">
            <v>0.66600000000000004</v>
          </cell>
          <cell r="N54">
            <v>0.9</v>
          </cell>
          <cell r="O54">
            <v>0</v>
          </cell>
          <cell r="P54">
            <v>106</v>
          </cell>
          <cell r="Q54">
            <v>0</v>
          </cell>
          <cell r="R54">
            <v>1.4975000000000001</v>
          </cell>
          <cell r="S54">
            <v>1.4975000000000001</v>
          </cell>
          <cell r="T54">
            <v>1.4975000000000001</v>
          </cell>
          <cell r="U54">
            <v>1.4975000000000001</v>
          </cell>
          <cell r="V54">
            <v>1.4975000000000001</v>
          </cell>
          <cell r="W54">
            <v>1.4975000000000001</v>
          </cell>
          <cell r="X54">
            <v>1.4975000000000001</v>
          </cell>
          <cell r="Y54">
            <v>1.4975000000000001</v>
          </cell>
          <cell r="Z54">
            <v>1.4975000000000001</v>
          </cell>
          <cell r="AA54">
            <v>1.4975000000000001</v>
          </cell>
          <cell r="AB54">
            <v>1.4975000000000001</v>
          </cell>
          <cell r="AC54">
            <v>1.4975000000000001</v>
          </cell>
          <cell r="AD54">
            <v>1.4975000000000001</v>
          </cell>
          <cell r="AE54">
            <v>1.4975000000000001</v>
          </cell>
          <cell r="AF54">
            <v>1.4975000000000001</v>
          </cell>
          <cell r="AG54">
            <v>1.4975000000000001</v>
          </cell>
          <cell r="AH54">
            <v>1.4975000000000001</v>
          </cell>
          <cell r="AI54">
            <v>1.4975000000000001</v>
          </cell>
          <cell r="AJ54">
            <v>1.4975000000000001</v>
          </cell>
          <cell r="AK54">
            <v>1.4975000000000001</v>
          </cell>
          <cell r="AL54">
            <v>1.4975000000000001</v>
          </cell>
          <cell r="AM54">
            <v>1.4975000000000001</v>
          </cell>
          <cell r="AN54">
            <v>1.4975000000000001</v>
          </cell>
          <cell r="AO54">
            <v>1.4975000000000001</v>
          </cell>
          <cell r="AP54">
            <v>1.4975000000000001</v>
          </cell>
          <cell r="AQ54">
            <v>1.4975000000000001</v>
          </cell>
          <cell r="AR54">
            <v>1.4975000000000001</v>
          </cell>
          <cell r="AS54">
            <v>1.4975000000000001</v>
          </cell>
          <cell r="AT54">
            <v>1.4975000000000001</v>
          </cell>
          <cell r="AU54">
            <v>1.4975000000000001</v>
          </cell>
          <cell r="AV54">
            <v>1.4975000000000001</v>
          </cell>
          <cell r="AW54">
            <v>1.4975000000000001</v>
          </cell>
          <cell r="AX54">
            <v>1.4975000000000001</v>
          </cell>
          <cell r="AY54">
            <v>1.4975000000000001</v>
          </cell>
          <cell r="AZ54">
            <v>1.4975000000000001</v>
          </cell>
          <cell r="BA54">
            <v>1.4975000000000001</v>
          </cell>
          <cell r="BB54">
            <v>1.4975000000000001</v>
          </cell>
          <cell r="BC54">
            <v>1.4975000000000001</v>
          </cell>
          <cell r="BD54">
            <v>1.4975000000000001</v>
          </cell>
        </row>
        <row r="55">
          <cell r="B55" t="str">
            <v>ETNUC-E</v>
          </cell>
          <cell r="C55" t="str">
            <v>Nuclear</v>
          </cell>
          <cell r="D55" t="str">
            <v>PWRNUC</v>
          </cell>
          <cell r="G55" t="str">
            <v>ELCC</v>
          </cell>
          <cell r="H55">
            <v>0</v>
          </cell>
          <cell r="I55">
            <v>0.32001521850150205</v>
          </cell>
          <cell r="L55">
            <v>1</v>
          </cell>
          <cell r="M55">
            <v>0.81038133000000012</v>
          </cell>
          <cell r="N55">
            <v>0.91290000000000004</v>
          </cell>
          <cell r="O55">
            <v>2.7777777777777777</v>
          </cell>
          <cell r="P55">
            <v>416</v>
          </cell>
          <cell r="Q55">
            <v>0</v>
          </cell>
          <cell r="R55">
            <v>1.8</v>
          </cell>
          <cell r="S55">
            <v>1.8</v>
          </cell>
          <cell r="T55">
            <v>1.8</v>
          </cell>
          <cell r="U55">
            <v>1.8</v>
          </cell>
          <cell r="V55">
            <v>1.8</v>
          </cell>
          <cell r="W55">
            <v>1.8</v>
          </cell>
          <cell r="X55">
            <v>1.8</v>
          </cell>
          <cell r="Y55">
            <v>1.8</v>
          </cell>
          <cell r="Z55">
            <v>1.8</v>
          </cell>
          <cell r="AA55">
            <v>1.8</v>
          </cell>
          <cell r="AB55">
            <v>1.8</v>
          </cell>
          <cell r="AC55">
            <v>1.8</v>
          </cell>
          <cell r="AD55">
            <v>1.8</v>
          </cell>
          <cell r="AE55">
            <v>1.8</v>
          </cell>
          <cell r="AF55">
            <v>1.8</v>
          </cell>
          <cell r="AG55">
            <v>1.8</v>
          </cell>
          <cell r="AH55">
            <v>1.8</v>
          </cell>
          <cell r="AI55">
            <v>1.8</v>
          </cell>
          <cell r="AJ55">
            <v>1.8</v>
          </cell>
          <cell r="AK55">
            <v>1.8</v>
          </cell>
          <cell r="AL55">
            <v>1.8</v>
          </cell>
          <cell r="AM55">
            <v>1.8</v>
          </cell>
          <cell r="AN55">
            <v>1.8</v>
          </cell>
          <cell r="AO55">
            <v>1.8</v>
          </cell>
          <cell r="AP55">
            <v>1.8</v>
          </cell>
          <cell r="AQ55">
            <v>1.8</v>
          </cell>
          <cell r="AR55">
            <v>1.8</v>
          </cell>
          <cell r="AS55">
            <v>1.8</v>
          </cell>
          <cell r="AT55">
            <v>1.8</v>
          </cell>
          <cell r="AU55">
            <v>0</v>
          </cell>
          <cell r="AV55">
            <v>0</v>
          </cell>
          <cell r="AW55">
            <v>0</v>
          </cell>
          <cell r="AX55">
            <v>0</v>
          </cell>
          <cell r="AY55">
            <v>0</v>
          </cell>
          <cell r="AZ55">
            <v>0</v>
          </cell>
          <cell r="BA55">
            <v>0</v>
          </cell>
          <cell r="BB55">
            <v>0</v>
          </cell>
          <cell r="BC55">
            <v>0</v>
          </cell>
          <cell r="BD55">
            <v>0</v>
          </cell>
        </row>
        <row r="57">
          <cell r="B57" t="str">
            <v>EPP-E</v>
          </cell>
          <cell r="C57" t="str">
            <v>Electricity</v>
          </cell>
          <cell r="D57" t="str">
            <v>ELCC</v>
          </cell>
          <cell r="G57" t="str">
            <v>PWREPE</v>
          </cell>
          <cell r="H57">
            <v>0</v>
          </cell>
          <cell r="I57">
            <v>0.73000000000000009</v>
          </cell>
        </row>
        <row r="58">
          <cell r="B58" t="str">
            <v>EPD-E</v>
          </cell>
          <cell r="C58" t="str">
            <v>Power Sector - PS Dummy Commodity - Existing</v>
          </cell>
          <cell r="D58" t="str">
            <v>PWREPE</v>
          </cell>
          <cell r="G58" t="str">
            <v>PWREPE</v>
          </cell>
          <cell r="H58">
            <v>0</v>
          </cell>
          <cell r="I58">
            <v>1</v>
          </cell>
        </row>
        <row r="59">
          <cell r="B59" t="str">
            <v>EPT-E</v>
          </cell>
          <cell r="C59" t="str">
            <v>Power Sector - PS Dummy Commodity - Existing</v>
          </cell>
          <cell r="D59" t="str">
            <v>PWREPE</v>
          </cell>
          <cell r="G59" t="str">
            <v>ELCC</v>
          </cell>
          <cell r="H59">
            <v>0</v>
          </cell>
          <cell r="I59">
            <v>1</v>
          </cell>
          <cell r="L59">
            <v>1</v>
          </cell>
          <cell r="M59">
            <v>0.24500000000000002</v>
          </cell>
          <cell r="N59">
            <v>0.93197468354430379</v>
          </cell>
          <cell r="O59">
            <v>3.3670886075949369</v>
          </cell>
          <cell r="P59">
            <v>59.417721518987342</v>
          </cell>
          <cell r="Q59">
            <v>0</v>
          </cell>
          <cell r="R59">
            <v>1.58</v>
          </cell>
          <cell r="S59">
            <v>1.58</v>
          </cell>
          <cell r="T59">
            <v>1.58</v>
          </cell>
          <cell r="U59">
            <v>1.58</v>
          </cell>
          <cell r="V59">
            <v>1.58</v>
          </cell>
          <cell r="W59">
            <v>1.58</v>
          </cell>
          <cell r="X59">
            <v>1.58</v>
          </cell>
          <cell r="Y59">
            <v>1.58</v>
          </cell>
          <cell r="Z59">
            <v>1.58</v>
          </cell>
          <cell r="AA59">
            <v>1.58</v>
          </cell>
          <cell r="AB59">
            <v>1.58</v>
          </cell>
          <cell r="AC59">
            <v>1.58</v>
          </cell>
          <cell r="AD59">
            <v>1.58</v>
          </cell>
          <cell r="AE59">
            <v>1.58</v>
          </cell>
          <cell r="AF59">
            <v>1.58</v>
          </cell>
          <cell r="AG59">
            <v>1.58</v>
          </cell>
          <cell r="AH59">
            <v>1.58</v>
          </cell>
          <cell r="AI59">
            <v>1.58</v>
          </cell>
          <cell r="AJ59">
            <v>1.58</v>
          </cell>
          <cell r="AK59">
            <v>1.58</v>
          </cell>
          <cell r="AL59">
            <v>1.58</v>
          </cell>
          <cell r="AM59">
            <v>1.58</v>
          </cell>
          <cell r="AN59">
            <v>1.58</v>
          </cell>
          <cell r="AO59">
            <v>1.58</v>
          </cell>
          <cell r="AP59">
            <v>1.58</v>
          </cell>
          <cell r="AQ59">
            <v>1.58</v>
          </cell>
          <cell r="AR59">
            <v>1.58</v>
          </cell>
          <cell r="AS59">
            <v>1.58</v>
          </cell>
          <cell r="AT59">
            <v>1.58</v>
          </cell>
          <cell r="AU59">
            <v>1.58</v>
          </cell>
          <cell r="AV59">
            <v>1.58</v>
          </cell>
          <cell r="AW59">
            <v>1.58</v>
          </cell>
          <cell r="AX59">
            <v>1.58</v>
          </cell>
          <cell r="AY59">
            <v>1.58</v>
          </cell>
          <cell r="AZ59">
            <v>1.58</v>
          </cell>
          <cell r="BA59">
            <v>1.58</v>
          </cell>
          <cell r="BB59">
            <v>1.58</v>
          </cell>
          <cell r="BC59">
            <v>1.58</v>
          </cell>
          <cell r="BD59">
            <v>1.58</v>
          </cell>
        </row>
        <row r="61">
          <cell r="B61" t="str">
            <v>EHBIW-E</v>
          </cell>
          <cell r="C61" t="str">
            <v>Biomass Wood</v>
          </cell>
          <cell r="D61" t="str">
            <v>PWRBIW</v>
          </cell>
          <cell r="E61" t="str">
            <v>Coal existing</v>
          </cell>
          <cell r="F61" t="str">
            <v>PWRCLE</v>
          </cell>
          <cell r="G61" t="str">
            <v>ELCC</v>
          </cell>
          <cell r="H61" t="str">
            <v>IPPS</v>
          </cell>
          <cell r="I61">
            <v>0.75</v>
          </cell>
          <cell r="J61">
            <v>0.67</v>
          </cell>
          <cell r="K61">
            <v>2</v>
          </cell>
          <cell r="L61">
            <v>1</v>
          </cell>
          <cell r="M61">
            <v>0.624</v>
          </cell>
          <cell r="N61">
            <v>0.91</v>
          </cell>
          <cell r="O61">
            <v>0</v>
          </cell>
          <cell r="P61">
            <v>0</v>
          </cell>
          <cell r="Q61">
            <v>0</v>
          </cell>
          <cell r="R61">
            <v>0.22800000000000001</v>
          </cell>
          <cell r="S61">
            <v>0.22800000000000001</v>
          </cell>
          <cell r="T61">
            <v>0.22800000000000001</v>
          </cell>
          <cell r="U61">
            <v>0.22800000000000001</v>
          </cell>
          <cell r="V61">
            <v>0.22800000000000001</v>
          </cell>
          <cell r="W61">
            <v>0.22800000000000001</v>
          </cell>
          <cell r="X61">
            <v>0.22800000000000001</v>
          </cell>
          <cell r="Y61">
            <v>0.22800000000000001</v>
          </cell>
          <cell r="Z61">
            <v>0.22800000000000001</v>
          </cell>
          <cell r="AA61">
            <v>0.22800000000000001</v>
          </cell>
          <cell r="AB61">
            <v>0.22800000000000001</v>
          </cell>
          <cell r="AC61">
            <v>0.22800000000000001</v>
          </cell>
          <cell r="AD61">
            <v>0.22800000000000001</v>
          </cell>
          <cell r="AE61">
            <v>0.22800000000000001</v>
          </cell>
          <cell r="AF61">
            <v>0.22800000000000001</v>
          </cell>
          <cell r="AG61">
            <v>0.22800000000000001</v>
          </cell>
          <cell r="AH61">
            <v>0.22800000000000001</v>
          </cell>
          <cell r="AI61">
            <v>0.22800000000000001</v>
          </cell>
          <cell r="AJ61">
            <v>0.22800000000000001</v>
          </cell>
          <cell r="AK61">
            <v>0.22800000000000001</v>
          </cell>
          <cell r="AL61">
            <v>0.22800000000000001</v>
          </cell>
          <cell r="AM61">
            <v>0.22800000000000001</v>
          </cell>
          <cell r="AN61">
            <v>0.22800000000000001</v>
          </cell>
          <cell r="AO61">
            <v>0.22800000000000001</v>
          </cell>
          <cell r="AP61">
            <v>0.22800000000000001</v>
          </cell>
          <cell r="AQ61">
            <v>0.22800000000000001</v>
          </cell>
          <cell r="AR61">
            <v>0.22800000000000001</v>
          </cell>
          <cell r="AS61">
            <v>0.22800000000000001</v>
          </cell>
          <cell r="AT61">
            <v>0.22800000000000001</v>
          </cell>
          <cell r="AU61">
            <v>0.22800000000000001</v>
          </cell>
          <cell r="AV61">
            <v>0.22800000000000001</v>
          </cell>
          <cell r="AW61">
            <v>0.22800000000000001</v>
          </cell>
          <cell r="AX61">
            <v>0.22800000000000001</v>
          </cell>
          <cell r="AY61">
            <v>0.22800000000000001</v>
          </cell>
          <cell r="AZ61">
            <v>0.22800000000000001</v>
          </cell>
          <cell r="BA61">
            <v>0.22800000000000001</v>
          </cell>
          <cell r="BB61">
            <v>0.22800000000000001</v>
          </cell>
          <cell r="BC61">
            <v>0</v>
          </cell>
          <cell r="BD61">
            <v>0</v>
          </cell>
        </row>
        <row r="62">
          <cell r="B62" t="str">
            <v>EHBIB-E</v>
          </cell>
          <cell r="C62" t="str">
            <v>Biomass bagasse</v>
          </cell>
          <cell r="D62" t="str">
            <v>PWRBIB</v>
          </cell>
          <cell r="G62" t="str">
            <v>ELCC</v>
          </cell>
          <cell r="H62" t="str">
            <v>IPPS</v>
          </cell>
          <cell r="I62">
            <v>0.75</v>
          </cell>
          <cell r="J62">
            <v>0</v>
          </cell>
          <cell r="K62">
            <v>2</v>
          </cell>
          <cell r="L62">
            <v>1</v>
          </cell>
          <cell r="M62">
            <v>0.624</v>
          </cell>
          <cell r="N62">
            <v>0.91</v>
          </cell>
          <cell r="O62">
            <v>8.6388888888888893</v>
          </cell>
          <cell r="P62">
            <v>972</v>
          </cell>
          <cell r="Q62">
            <v>58.333333333333329</v>
          </cell>
          <cell r="R62">
            <v>0.1</v>
          </cell>
          <cell r="S62">
            <v>0.1</v>
          </cell>
          <cell r="T62">
            <v>0.1</v>
          </cell>
          <cell r="U62">
            <v>0.1</v>
          </cell>
          <cell r="V62">
            <v>0.1</v>
          </cell>
          <cell r="W62">
            <v>0.1</v>
          </cell>
          <cell r="X62">
            <v>0.1</v>
          </cell>
          <cell r="Y62">
            <v>0.1</v>
          </cell>
          <cell r="Z62">
            <v>0.1</v>
          </cell>
          <cell r="AA62">
            <v>0.1</v>
          </cell>
          <cell r="AB62">
            <v>0.1</v>
          </cell>
          <cell r="AC62">
            <v>0.1</v>
          </cell>
          <cell r="AD62">
            <v>0.1</v>
          </cell>
          <cell r="AE62">
            <v>0.1</v>
          </cell>
          <cell r="AF62">
            <v>0.1</v>
          </cell>
          <cell r="AG62">
            <v>0.1</v>
          </cell>
          <cell r="AH62">
            <v>0.1</v>
          </cell>
          <cell r="AI62">
            <v>0.1</v>
          </cell>
          <cell r="AJ62">
            <v>0.1</v>
          </cell>
          <cell r="AK62">
            <v>0.1</v>
          </cell>
          <cell r="AL62">
            <v>0.1</v>
          </cell>
          <cell r="AM62">
            <v>0.1</v>
          </cell>
          <cell r="AN62">
            <v>0.1</v>
          </cell>
          <cell r="AO62">
            <v>0.1</v>
          </cell>
          <cell r="AP62">
            <v>0.1</v>
          </cell>
          <cell r="AQ62">
            <v>0.1</v>
          </cell>
          <cell r="AR62">
            <v>0.1</v>
          </cell>
          <cell r="AS62">
            <v>0.1</v>
          </cell>
          <cell r="AT62">
            <v>0.1</v>
          </cell>
          <cell r="AU62">
            <v>0.1</v>
          </cell>
          <cell r="AV62">
            <v>0.1</v>
          </cell>
          <cell r="AW62">
            <v>0.1</v>
          </cell>
          <cell r="AX62">
            <v>0.1</v>
          </cell>
          <cell r="AY62">
            <v>0.1</v>
          </cell>
          <cell r="AZ62">
            <v>0.1</v>
          </cell>
          <cell r="BA62">
            <v>0.1</v>
          </cell>
          <cell r="BB62">
            <v>0.1</v>
          </cell>
          <cell r="BC62">
            <v>0</v>
          </cell>
          <cell r="BD62">
            <v>0</v>
          </cell>
        </row>
        <row r="63">
          <cell r="B63" t="str">
            <v>EHBIG-E</v>
          </cell>
          <cell r="C63" t="str">
            <v>Biogas</v>
          </cell>
          <cell r="D63" t="str">
            <v>PWRBIG</v>
          </cell>
          <cell r="G63" t="str">
            <v>ELCC</v>
          </cell>
          <cell r="H63" t="str">
            <v>IPPR</v>
          </cell>
          <cell r="I63">
            <v>0.75</v>
          </cell>
          <cell r="J63">
            <v>0</v>
          </cell>
          <cell r="K63">
            <v>2</v>
          </cell>
          <cell r="L63">
            <v>1</v>
          </cell>
          <cell r="M63">
            <v>0.624</v>
          </cell>
          <cell r="N63">
            <v>0.91</v>
          </cell>
          <cell r="O63">
            <v>0</v>
          </cell>
          <cell r="P63">
            <v>0</v>
          </cell>
          <cell r="Q63">
            <v>0</v>
          </cell>
          <cell r="R63">
            <v>9.9000000000000005E-2</v>
          </cell>
          <cell r="S63">
            <v>9.9000000000000005E-2</v>
          </cell>
          <cell r="T63">
            <v>9.9000000000000005E-2</v>
          </cell>
          <cell r="U63">
            <v>9.9000000000000005E-2</v>
          </cell>
          <cell r="V63">
            <v>9.9000000000000005E-2</v>
          </cell>
          <cell r="W63">
            <v>9.9000000000000005E-2</v>
          </cell>
          <cell r="X63">
            <v>9.9000000000000005E-2</v>
          </cell>
          <cell r="Y63">
            <v>9.9000000000000005E-2</v>
          </cell>
          <cell r="Z63">
            <v>9.9000000000000005E-2</v>
          </cell>
          <cell r="AA63">
            <v>9.9000000000000005E-2</v>
          </cell>
          <cell r="AB63">
            <v>9.9000000000000005E-2</v>
          </cell>
          <cell r="AC63">
            <v>9.9000000000000005E-2</v>
          </cell>
          <cell r="AD63">
            <v>9.9000000000000005E-2</v>
          </cell>
          <cell r="AE63">
            <v>9.9000000000000005E-2</v>
          </cell>
          <cell r="AF63">
            <v>9.9000000000000005E-2</v>
          </cell>
          <cell r="AG63">
            <v>9.9000000000000005E-2</v>
          </cell>
          <cell r="AH63">
            <v>9.9000000000000005E-2</v>
          </cell>
          <cell r="AI63">
            <v>9.9000000000000005E-2</v>
          </cell>
          <cell r="AJ63">
            <v>9.9000000000000005E-2</v>
          </cell>
          <cell r="AK63">
            <v>9.9000000000000005E-2</v>
          </cell>
          <cell r="AL63">
            <v>9.9000000000000005E-2</v>
          </cell>
          <cell r="AM63">
            <v>9.9000000000000005E-2</v>
          </cell>
          <cell r="AN63">
            <v>9.9000000000000005E-2</v>
          </cell>
          <cell r="AO63">
            <v>9.9000000000000005E-2</v>
          </cell>
          <cell r="AP63">
            <v>9.9000000000000005E-2</v>
          </cell>
          <cell r="AQ63">
            <v>9.9000000000000005E-2</v>
          </cell>
          <cell r="AR63">
            <v>9.9000000000000005E-2</v>
          </cell>
          <cell r="AS63">
            <v>9.9000000000000005E-2</v>
          </cell>
          <cell r="AT63">
            <v>9.9000000000000005E-2</v>
          </cell>
          <cell r="AU63">
            <v>9.9000000000000005E-2</v>
          </cell>
          <cell r="AV63">
            <v>9.9000000000000005E-2</v>
          </cell>
          <cell r="AW63">
            <v>9.9000000000000005E-2</v>
          </cell>
          <cell r="AX63">
            <v>9.9000000000000005E-2</v>
          </cell>
          <cell r="AY63">
            <v>9.9000000000000005E-2</v>
          </cell>
          <cell r="AZ63">
            <v>9.9000000000000005E-2</v>
          </cell>
          <cell r="BA63">
            <v>9.9000000000000005E-2</v>
          </cell>
          <cell r="BB63">
            <v>9.9000000000000005E-2</v>
          </cell>
          <cell r="BC63">
            <v>0</v>
          </cell>
          <cell r="BD63">
            <v>0</v>
          </cell>
        </row>
      </sheetData>
      <sheetData sheetId="2"/>
      <sheetData sheetId="3">
        <row r="10">
          <cell r="A10" t="str">
            <v>*1</v>
          </cell>
          <cell r="B10" t="str">
            <v>ACT_EFF</v>
          </cell>
          <cell r="C10" t="str">
            <v>Process</v>
          </cell>
          <cell r="D10" t="str">
            <v>-</v>
          </cell>
          <cell r="E10" t="str">
            <v>#ACTGRP</v>
          </cell>
          <cell r="F10" t="str">
            <v>-</v>
          </cell>
          <cell r="G10" t="str">
            <v>#ANNUAL</v>
          </cell>
          <cell r="H10" t="str">
            <v>-</v>
          </cell>
          <cell r="I10" t="str">
            <v>#0</v>
          </cell>
          <cell r="J10" t="str">
            <v>Efficiency</v>
          </cell>
        </row>
        <row r="11">
          <cell r="A11" t="str">
            <v>*2</v>
          </cell>
          <cell r="B11" t="str">
            <v>NCAP_PKCNT</v>
          </cell>
          <cell r="C11" t="str">
            <v>Process</v>
          </cell>
          <cell r="D11" t="str">
            <v>-</v>
          </cell>
          <cell r="E11" t="str">
            <v>-</v>
          </cell>
          <cell r="F11" t="str">
            <v>-</v>
          </cell>
          <cell r="G11" t="str">
            <v>#ANNUAL</v>
          </cell>
          <cell r="H11" t="str">
            <v>-</v>
          </cell>
          <cell r="I11" t="str">
            <v>#0</v>
          </cell>
          <cell r="J11" t="str">
            <v>Contribution to Peak</v>
          </cell>
        </row>
        <row r="12">
          <cell r="A12" t="str">
            <v>*3</v>
          </cell>
          <cell r="B12" t="str">
            <v>NCAP_AF</v>
          </cell>
          <cell r="C12" t="str">
            <v>Process</v>
          </cell>
          <cell r="D12" t="str">
            <v>-</v>
          </cell>
          <cell r="E12" t="str">
            <v>-</v>
          </cell>
          <cell r="F12" t="str">
            <v>-</v>
          </cell>
          <cell r="G12" t="str">
            <v>#ANNUAL</v>
          </cell>
          <cell r="H12" t="str">
            <v>#UP</v>
          </cell>
          <cell r="I12" t="str">
            <v>#0</v>
          </cell>
          <cell r="J12" t="str">
            <v>Maximum availability</v>
          </cell>
        </row>
        <row r="13">
          <cell r="A13" t="str">
            <v>*4</v>
          </cell>
          <cell r="B13" t="str">
            <v>NCAP_AFA</v>
          </cell>
          <cell r="C13" t="str">
            <v>Process</v>
          </cell>
          <cell r="D13" t="str">
            <v>-</v>
          </cell>
          <cell r="E13" t="str">
            <v>-</v>
          </cell>
          <cell r="F13" t="str">
            <v>-</v>
          </cell>
          <cell r="G13" t="str">
            <v>-</v>
          </cell>
          <cell r="H13" t="str">
            <v>#UP</v>
          </cell>
          <cell r="I13" t="str">
            <v>#0</v>
          </cell>
          <cell r="J13" t="str">
            <v>Availability factor</v>
          </cell>
        </row>
        <row r="14">
          <cell r="A14" t="str">
            <v>*5</v>
          </cell>
          <cell r="B14" t="str">
            <v>NCAP_FOM</v>
          </cell>
          <cell r="C14" t="str">
            <v>Process</v>
          </cell>
          <cell r="D14" t="str">
            <v>-</v>
          </cell>
          <cell r="E14" t="str">
            <v>-</v>
          </cell>
          <cell r="F14" t="str">
            <v>-</v>
          </cell>
          <cell r="G14" t="str">
            <v>-</v>
          </cell>
          <cell r="H14" t="str">
            <v>-</v>
          </cell>
          <cell r="I14" t="str">
            <v>#0</v>
          </cell>
          <cell r="J14" t="str">
            <v>Fixed Costs</v>
          </cell>
        </row>
        <row r="15">
          <cell r="A15" t="str">
            <v>*6</v>
          </cell>
          <cell r="B15" t="str">
            <v>ACT_COST</v>
          </cell>
          <cell r="C15" t="str">
            <v>Process</v>
          </cell>
          <cell r="D15" t="str">
            <v>-</v>
          </cell>
          <cell r="E15" t="str">
            <v>-</v>
          </cell>
          <cell r="F15" t="str">
            <v>-</v>
          </cell>
          <cell r="G15" t="str">
            <v>-</v>
          </cell>
          <cell r="H15" t="str">
            <v>-</v>
          </cell>
          <cell r="I15" t="str">
            <v>#0</v>
          </cell>
          <cell r="J15" t="str">
            <v>Variable Costs</v>
          </cell>
        </row>
        <row r="16">
          <cell r="A16" t="str">
            <v>*7</v>
          </cell>
          <cell r="B16" t="str">
            <v>NCAP_BND</v>
          </cell>
          <cell r="C16" t="str">
            <v>Process</v>
          </cell>
          <cell r="D16" t="str">
            <v>-</v>
          </cell>
          <cell r="E16" t="str">
            <v>-</v>
          </cell>
          <cell r="F16" t="str">
            <v>-</v>
          </cell>
          <cell r="G16" t="str">
            <v>-</v>
          </cell>
          <cell r="H16" t="str">
            <v>#UP</v>
          </cell>
          <cell r="I16" t="str">
            <v>#5</v>
          </cell>
          <cell r="J16">
            <v>0</v>
          </cell>
        </row>
        <row r="17">
          <cell r="A17" t="str">
            <v>*8</v>
          </cell>
          <cell r="B17" t="str">
            <v>FLO_EMIS</v>
          </cell>
          <cell r="C17" t="str">
            <v>Process</v>
          </cell>
          <cell r="D17" t="str">
            <v>#PWRWAT</v>
          </cell>
          <cell r="E17" t="str">
            <v>#ACTGRP</v>
          </cell>
          <cell r="F17" t="str">
            <v>-</v>
          </cell>
          <cell r="G17" t="str">
            <v>#ANNUAL</v>
          </cell>
          <cell r="H17" t="str">
            <v>-</v>
          </cell>
          <cell r="I17" t="str">
            <v>#0</v>
          </cell>
          <cell r="J17" t="str">
            <v>Water use</v>
          </cell>
        </row>
        <row r="18">
          <cell r="A18" t="str">
            <v>*9</v>
          </cell>
          <cell r="B18" t="str">
            <v>PRC_RESID</v>
          </cell>
          <cell r="C18" t="str">
            <v>Process</v>
          </cell>
          <cell r="D18" t="str">
            <v>-</v>
          </cell>
          <cell r="E18" t="str">
            <v>-</v>
          </cell>
          <cell r="F18" t="str">
            <v>-</v>
          </cell>
          <cell r="G18" t="str">
            <v>-</v>
          </cell>
          <cell r="H18" t="str">
            <v>-</v>
          </cell>
          <cell r="I18" t="str">
            <v>#0</v>
          </cell>
          <cell r="J18" t="str">
            <v>Residual Capacity</v>
          </cell>
        </row>
      </sheetData>
      <sheetData sheetId="4">
        <row r="9">
          <cell r="A9" t="str">
            <v>*1</v>
          </cell>
          <cell r="B9" t="str">
            <v>PRC_ACTUNT</v>
          </cell>
          <cell r="C9" t="str">
            <v>Process</v>
          </cell>
          <cell r="D9" t="str">
            <v>-</v>
          </cell>
          <cell r="E9" t="str">
            <v>Output Commodity</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TOP-OUT</v>
          </cell>
          <cell r="C11" t="str">
            <v>Process</v>
          </cell>
          <cell r="D11" t="str">
            <v>Output Commodity</v>
          </cell>
          <cell r="E11" t="str">
            <v>-</v>
          </cell>
          <cell r="F11" t="str">
            <v>-</v>
          </cell>
          <cell r="G11" t="str">
            <v>-</v>
          </cell>
          <cell r="H11" t="str">
            <v>-</v>
          </cell>
          <cell r="I11" t="str">
            <v>#1</v>
          </cell>
        </row>
        <row r="12">
          <cell r="A12" t="str">
            <v>*4</v>
          </cell>
          <cell r="B12" t="str">
            <v>TOP-OUT</v>
          </cell>
          <cell r="C12" t="str">
            <v>Process</v>
          </cell>
          <cell r="D12" t="str">
            <v>#PWRWAT</v>
          </cell>
          <cell r="E12" t="str">
            <v>-</v>
          </cell>
          <cell r="F12" t="str">
            <v>-</v>
          </cell>
          <cell r="G12" t="str">
            <v>-</v>
          </cell>
          <cell r="H12" t="str">
            <v>-</v>
          </cell>
          <cell r="I12" t="str">
            <v>#1</v>
          </cell>
        </row>
        <row r="13">
          <cell r="A13" t="str">
            <v>*5</v>
          </cell>
          <cell r="B13" t="str">
            <v>TOP-IN</v>
          </cell>
          <cell r="C13" t="str">
            <v>Process</v>
          </cell>
          <cell r="D13" t="str">
            <v>Input Commodity</v>
          </cell>
          <cell r="E13" t="str">
            <v>-</v>
          </cell>
          <cell r="F13" t="str">
            <v>-</v>
          </cell>
          <cell r="G13" t="str">
            <v>-</v>
          </cell>
          <cell r="H13" t="str">
            <v>-</v>
          </cell>
          <cell r="I13" t="str">
            <v>#1</v>
          </cell>
        </row>
      </sheetData>
      <sheetData sheetId="5"/>
      <sheetData sheetId="6"/>
      <sheetData sheetId="7">
        <row r="7">
          <cell r="H7">
            <v>0.08</v>
          </cell>
        </row>
        <row r="24">
          <cell r="B24" t="str">
            <v>Parameter</v>
          </cell>
          <cell r="C24" t="str">
            <v>Technology Name</v>
          </cell>
          <cell r="D24" t="str">
            <v>Input Commodity Name</v>
          </cell>
          <cell r="E24" t="str">
            <v>input</v>
          </cell>
          <cell r="F24" t="str">
            <v>input 2</v>
          </cell>
          <cell r="G24" t="str">
            <v>Output Commodity</v>
          </cell>
          <cell r="H24" t="str">
            <v>output 2</v>
          </cell>
          <cell r="I24" t="str">
            <v>Efficiency</v>
          </cell>
          <cell r="J24" t="str">
            <v>Contribution to Peak</v>
          </cell>
          <cell r="K24" t="str">
            <v>Availability factor</v>
          </cell>
          <cell r="L24" t="str">
            <v>Maximum availability</v>
          </cell>
          <cell r="M24" t="str">
            <v>Life of Plant</v>
          </cell>
          <cell r="N24" t="str">
            <v>Lead Time</v>
          </cell>
          <cell r="O24" t="str">
            <v>Water use</v>
          </cell>
          <cell r="P24" t="str">
            <v>Fixed costs</v>
          </cell>
          <cell r="Q24" t="str">
            <v>Variable costs</v>
          </cell>
          <cell r="R24" t="str">
            <v>Start year</v>
          </cell>
          <cell r="S24" t="str">
            <v>CHP fuel input ratio</v>
          </cell>
          <cell r="T24" t="str">
            <v>CHP output ratio</v>
          </cell>
          <cell r="U24" t="str">
            <v>Overnight capital costs with technology learning</v>
          </cell>
          <cell r="AE24" t="str">
            <v>Upper Limit on annual New Capacity (GW)</v>
          </cell>
          <cell r="AI24" t="str">
            <v>Upper Limit on Total Installed Capacity (GW)</v>
          </cell>
          <cell r="AM24" t="str">
            <v>Fixed Invesment (new cap - GW)</v>
          </cell>
        </row>
        <row r="27">
          <cell r="C27" t="str">
            <v>Technology Name</v>
          </cell>
          <cell r="D27" t="str">
            <v>fuel</v>
          </cell>
          <cell r="E27" t="str">
            <v>input2006</v>
          </cell>
          <cell r="F27" t="str">
            <v>input 22006</v>
          </cell>
          <cell r="G27" t="str">
            <v>Output Commodity2006</v>
          </cell>
          <cell r="H27" t="str">
            <v>output 22006</v>
          </cell>
          <cell r="I27" t="str">
            <v>Efficiency2006</v>
          </cell>
          <cell r="J27" t="str">
            <v>Contribution to Peak2006</v>
          </cell>
          <cell r="K27" t="str">
            <v>Availability factor2006</v>
          </cell>
          <cell r="L27" t="str">
            <v>Maximum availability2006</v>
          </cell>
          <cell r="M27" t="str">
            <v>Life of Plant2006</v>
          </cell>
          <cell r="N27" t="str">
            <v>Lead Time2006</v>
          </cell>
          <cell r="O27" t="str">
            <v>Water use2006</v>
          </cell>
          <cell r="P27" t="str">
            <v>Fixed costs2006</v>
          </cell>
          <cell r="Q27" t="str">
            <v>Variable costs2006</v>
          </cell>
          <cell r="R27" t="str">
            <v>Start year</v>
          </cell>
          <cell r="S27" t="str">
            <v>CHP fuel input ratio2006</v>
          </cell>
          <cell r="T27" t="str">
            <v>CHP output ratio2006</v>
          </cell>
          <cell r="U27" t="str">
            <v>Overnight capital costs with technology learning2010</v>
          </cell>
          <cell r="V27" t="str">
            <v>Overnight capital costs with technology learning2012</v>
          </cell>
          <cell r="W27" t="str">
            <v>Overnight capital costs with technology learning2014</v>
          </cell>
          <cell r="X27" t="str">
            <v>Overnight capital costs with technology learning2016</v>
          </cell>
          <cell r="Y27" t="str">
            <v>Overnight capital costs with technology learning2018</v>
          </cell>
          <cell r="Z27" t="str">
            <v>Overnight capital costs with technology learning2020</v>
          </cell>
          <cell r="AA27" t="str">
            <v>Overnight capital costs with technology learning2025</v>
          </cell>
          <cell r="AB27" t="str">
            <v>Overnight capital costs with technology learning2030</v>
          </cell>
          <cell r="AC27" t="str">
            <v>Overnight capital costs with technology learning2040</v>
          </cell>
          <cell r="AD27" t="str">
            <v>Overnight capital costs with technology learning2050</v>
          </cell>
          <cell r="AE27" t="str">
            <v>Upper Limit on annual New Capacity (GW)2010</v>
          </cell>
          <cell r="AF27" t="str">
            <v>Upper Limit on annual New Capacity (GW)2020</v>
          </cell>
          <cell r="AG27" t="str">
            <v>Upper Limit on annual New Capacity (GW)2030</v>
          </cell>
          <cell r="AH27" t="str">
            <v>Upper Limit on annual New Capacity (GW)2050</v>
          </cell>
          <cell r="AI27" t="str">
            <v>Upper Limit on Total Installed Capacity (GW)2010</v>
          </cell>
          <cell r="AJ27" t="str">
            <v>Upper Limit on Total Installed Capacity (GW)2020</v>
          </cell>
          <cell r="AK27" t="str">
            <v>Upper Limit on Total Installed Capacity (GW)2030</v>
          </cell>
          <cell r="AL27" t="str">
            <v>Upper Limit on Total Installed Capacity (GW)2050</v>
          </cell>
          <cell r="AM27" t="str">
            <v>Fixed Invesment (new cap - GW)2010</v>
          </cell>
          <cell r="AN27" t="str">
            <v>Fixed Invesment (new cap - GW)2011</v>
          </cell>
          <cell r="AO27" t="str">
            <v>Fixed Invesment (new cap - GW)2012</v>
          </cell>
          <cell r="AP27" t="str">
            <v>Fixed Invesment (new cap - GW)2013</v>
          </cell>
          <cell r="AQ27" t="str">
            <v>Fixed Invesment (new cap - GW)2014</v>
          </cell>
          <cell r="AR27" t="str">
            <v>Fixed Invesment (new cap - GW)2015</v>
          </cell>
          <cell r="AS27" t="str">
            <v>Fixed Invesment (new cap - GW)2016</v>
          </cell>
          <cell r="AT27" t="str">
            <v>Fixed Invesment (new cap - GW)2017</v>
          </cell>
          <cell r="AU27" t="str">
            <v>Fixed Invesment (new cap - GW)2018</v>
          </cell>
          <cell r="AV27" t="str">
            <v>Fixed Invesment (new cap - GW)2019</v>
          </cell>
          <cell r="AW27" t="str">
            <v>Fixed Invesment (new cap - GW)2020</v>
          </cell>
        </row>
        <row r="30">
          <cell r="C30" t="str">
            <v>Newtech_Start</v>
          </cell>
        </row>
        <row r="31">
          <cell r="C31" t="str">
            <v>ETCLDFB-N</v>
          </cell>
          <cell r="D31" t="str">
            <v>Coal Discard</v>
          </cell>
          <cell r="E31" t="str">
            <v>PWRCLD</v>
          </cell>
          <cell r="G31" t="str">
            <v>ELCC</v>
          </cell>
          <cell r="I31">
            <v>0.35710742981847043</v>
          </cell>
          <cell r="J31">
            <v>1</v>
          </cell>
          <cell r="K31">
            <v>0.90400000000000003</v>
          </cell>
          <cell r="L31">
            <v>0.95899999999999996</v>
          </cell>
          <cell r="M31">
            <v>30</v>
          </cell>
          <cell r="N31">
            <v>4</v>
          </cell>
          <cell r="O31">
            <v>9.2499999999999982</v>
          </cell>
          <cell r="P31">
            <v>365</v>
          </cell>
          <cell r="Q31">
            <v>27.527777777777775</v>
          </cell>
          <cell r="R31">
            <v>2010</v>
          </cell>
          <cell r="U31">
            <v>14965</v>
          </cell>
          <cell r="V31">
            <v>14965</v>
          </cell>
          <cell r="W31">
            <v>14965</v>
          </cell>
          <cell r="X31">
            <v>14965</v>
          </cell>
          <cell r="Y31">
            <v>14965</v>
          </cell>
          <cell r="Z31">
            <v>14965</v>
          </cell>
          <cell r="AA31">
            <v>14965</v>
          </cell>
          <cell r="AB31">
            <v>14965</v>
          </cell>
          <cell r="AC31">
            <v>14965</v>
          </cell>
          <cell r="AD31">
            <v>14965</v>
          </cell>
          <cell r="AE31">
            <v>0</v>
          </cell>
          <cell r="AF31">
            <v>0</v>
          </cell>
          <cell r="AG31">
            <v>0</v>
          </cell>
          <cell r="AH31">
            <v>0</v>
          </cell>
          <cell r="AI31">
            <v>0</v>
          </cell>
          <cell r="AJ31">
            <v>3</v>
          </cell>
          <cell r="AK31">
            <v>3</v>
          </cell>
          <cell r="AL31">
            <v>3</v>
          </cell>
          <cell r="AM31">
            <v>0</v>
          </cell>
          <cell r="AN31">
            <v>0</v>
          </cell>
          <cell r="AO31">
            <v>0</v>
          </cell>
          <cell r="AP31">
            <v>0</v>
          </cell>
          <cell r="AQ31">
            <v>0</v>
          </cell>
          <cell r="AR31">
            <v>0</v>
          </cell>
          <cell r="AS31">
            <v>0</v>
          </cell>
          <cell r="AT31">
            <v>0</v>
          </cell>
          <cell r="AU31">
            <v>0</v>
          </cell>
          <cell r="AV31">
            <v>0</v>
          </cell>
          <cell r="AW31">
            <v>0</v>
          </cell>
          <cell r="AY31">
            <v>5</v>
          </cell>
        </row>
        <row r="32">
          <cell r="C32" t="str">
            <v>ETCLNSC-N</v>
          </cell>
          <cell r="D32" t="str">
            <v>Coal new</v>
          </cell>
          <cell r="E32" t="str">
            <v>PWRCLN</v>
          </cell>
          <cell r="G32" t="str">
            <v>ELCC</v>
          </cell>
          <cell r="I32">
            <v>0.36851264203091411</v>
          </cell>
          <cell r="J32">
            <v>1</v>
          </cell>
          <cell r="K32">
            <v>0.91700000000000004</v>
          </cell>
          <cell r="L32">
            <v>0.96299999999999997</v>
          </cell>
          <cell r="M32">
            <v>30</v>
          </cell>
          <cell r="N32">
            <v>4</v>
          </cell>
          <cell r="O32">
            <v>63.638888888888886</v>
          </cell>
          <cell r="P32">
            <v>455</v>
          </cell>
          <cell r="Q32">
            <v>12.333333333333332</v>
          </cell>
          <cell r="R32">
            <v>2010</v>
          </cell>
          <cell r="U32">
            <v>17785</v>
          </cell>
          <cell r="V32">
            <v>17785</v>
          </cell>
          <cell r="W32">
            <v>17785</v>
          </cell>
          <cell r="X32">
            <v>17785</v>
          </cell>
          <cell r="Y32">
            <v>17785</v>
          </cell>
          <cell r="Z32">
            <v>17785</v>
          </cell>
          <cell r="AA32">
            <v>17785</v>
          </cell>
          <cell r="AB32">
            <v>17785</v>
          </cell>
          <cell r="AC32">
            <v>17785</v>
          </cell>
          <cell r="AD32">
            <v>17785</v>
          </cell>
          <cell r="AE32">
            <v>0</v>
          </cell>
          <cell r="AF32">
            <v>0</v>
          </cell>
          <cell r="AG32">
            <v>0</v>
          </cell>
          <cell r="AH32">
            <v>0</v>
          </cell>
          <cell r="AI32">
            <v>0</v>
          </cell>
          <cell r="AJ32">
            <v>0</v>
          </cell>
          <cell r="AK32">
            <v>0</v>
          </cell>
          <cell r="AL32">
            <v>0</v>
          </cell>
          <cell r="AM32">
            <v>0</v>
          </cell>
          <cell r="AN32">
            <v>0</v>
          </cell>
          <cell r="AO32">
            <v>0</v>
          </cell>
          <cell r="AP32">
            <v>0.72199999999999998</v>
          </cell>
          <cell r="AQ32">
            <v>0.72199999999999998</v>
          </cell>
          <cell r="AR32">
            <v>1.444</v>
          </cell>
          <cell r="AS32">
            <v>0.72199999999999998</v>
          </cell>
          <cell r="AT32">
            <v>2.1680000000000001</v>
          </cell>
          <cell r="AU32">
            <v>0.72299999999999998</v>
          </cell>
          <cell r="AV32">
            <v>1.446</v>
          </cell>
          <cell r="AW32">
            <v>0.72299999999999998</v>
          </cell>
          <cell r="AY32">
            <v>4</v>
          </cell>
        </row>
        <row r="33">
          <cell r="C33" t="str">
            <v>ETCLNIG-N</v>
          </cell>
          <cell r="D33" t="str">
            <v>Coal new</v>
          </cell>
          <cell r="E33" t="str">
            <v>PWRCLN</v>
          </cell>
          <cell r="G33" t="str">
            <v>ELCC</v>
          </cell>
          <cell r="I33">
            <v>0.36892805902848946</v>
          </cell>
          <cell r="J33">
            <v>1</v>
          </cell>
          <cell r="K33">
            <v>0.85699999999999998</v>
          </cell>
          <cell r="L33">
            <v>0.89900000000000002</v>
          </cell>
          <cell r="M33">
            <v>30</v>
          </cell>
          <cell r="N33">
            <v>5</v>
          </cell>
          <cell r="O33">
            <v>71.333333333333329</v>
          </cell>
          <cell r="P33">
            <v>830</v>
          </cell>
          <cell r="Q33">
            <v>4</v>
          </cell>
          <cell r="R33">
            <v>2010</v>
          </cell>
          <cell r="U33">
            <v>24670</v>
          </cell>
          <cell r="V33">
            <v>24071.068756998877</v>
          </cell>
          <cell r="W33">
            <v>23708.344081051728</v>
          </cell>
          <cell r="X33">
            <v>23498.610996736821</v>
          </cell>
          <cell r="Y33">
            <v>23350.633572367453</v>
          </cell>
          <cell r="Z33">
            <v>23169.125496225537</v>
          </cell>
          <cell r="AA33">
            <v>22755.065757544504</v>
          </cell>
          <cell r="AB33">
            <v>22617.34329833648</v>
          </cell>
          <cell r="AC33">
            <v>22480.495813859874</v>
          </cell>
          <cell r="AD33">
            <v>22412.393205326574</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Y33">
            <v>6</v>
          </cell>
        </row>
        <row r="34">
          <cell r="C34" t="str">
            <v>ETCLRSCBO-I</v>
          </cell>
          <cell r="D34" t="str">
            <v>Coal for plants in Region</v>
          </cell>
          <cell r="E34" t="str">
            <v>PWRCLR</v>
          </cell>
          <cell r="G34" t="str">
            <v>ELCC</v>
          </cell>
          <cell r="I34">
            <v>0.37</v>
          </cell>
          <cell r="J34">
            <v>1</v>
          </cell>
          <cell r="K34">
            <v>0.85</v>
          </cell>
          <cell r="L34">
            <v>0.96299999999999997</v>
          </cell>
          <cell r="M34">
            <v>30</v>
          </cell>
          <cell r="N34">
            <v>3</v>
          </cell>
          <cell r="O34">
            <v>27.777777777777779</v>
          </cell>
          <cell r="P34">
            <v>379</v>
          </cell>
          <cell r="Q34">
            <v>5</v>
          </cell>
          <cell r="R34">
            <v>2015</v>
          </cell>
          <cell r="U34">
            <v>16880</v>
          </cell>
          <cell r="V34">
            <v>16880</v>
          </cell>
          <cell r="W34">
            <v>16880</v>
          </cell>
          <cell r="X34">
            <v>16880</v>
          </cell>
          <cell r="Y34">
            <v>16880</v>
          </cell>
          <cell r="Z34">
            <v>16880</v>
          </cell>
          <cell r="AA34">
            <v>16880</v>
          </cell>
          <cell r="AB34">
            <v>16880</v>
          </cell>
          <cell r="AC34">
            <v>16880</v>
          </cell>
          <cell r="AD34">
            <v>16880</v>
          </cell>
          <cell r="AE34">
            <v>0</v>
          </cell>
          <cell r="AF34">
            <v>0</v>
          </cell>
          <cell r="AG34">
            <v>0</v>
          </cell>
          <cell r="AH34">
            <v>0</v>
          </cell>
          <cell r="AI34">
            <v>1.2</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Y34">
            <v>29</v>
          </cell>
        </row>
        <row r="35">
          <cell r="C35" t="str">
            <v>ETCLRSCMO-I</v>
          </cell>
          <cell r="D35" t="str">
            <v>Coal for plants in Region</v>
          </cell>
          <cell r="E35" t="str">
            <v>PWRCLR</v>
          </cell>
          <cell r="G35" t="str">
            <v>ELCC</v>
          </cell>
          <cell r="I35">
            <v>0.35</v>
          </cell>
          <cell r="J35">
            <v>1</v>
          </cell>
          <cell r="K35">
            <v>0.85</v>
          </cell>
          <cell r="L35">
            <v>0.96299999999999997</v>
          </cell>
          <cell r="M35">
            <v>30</v>
          </cell>
          <cell r="N35">
            <v>3</v>
          </cell>
          <cell r="O35">
            <v>27.777777777777779</v>
          </cell>
          <cell r="P35">
            <v>160</v>
          </cell>
          <cell r="Q35">
            <v>2.1388888888888888</v>
          </cell>
          <cell r="R35">
            <v>2015</v>
          </cell>
          <cell r="U35">
            <v>14400</v>
          </cell>
          <cell r="V35">
            <v>14400</v>
          </cell>
          <cell r="W35">
            <v>14400</v>
          </cell>
          <cell r="X35">
            <v>14400</v>
          </cell>
          <cell r="Y35">
            <v>14400</v>
          </cell>
          <cell r="Z35">
            <v>14400</v>
          </cell>
          <cell r="AA35">
            <v>14400</v>
          </cell>
          <cell r="AB35">
            <v>14400</v>
          </cell>
          <cell r="AC35">
            <v>14400</v>
          </cell>
          <cell r="AD35">
            <v>14400</v>
          </cell>
          <cell r="AE35">
            <v>0</v>
          </cell>
          <cell r="AF35">
            <v>0</v>
          </cell>
          <cell r="AG35">
            <v>0</v>
          </cell>
          <cell r="AH35">
            <v>0</v>
          </cell>
          <cell r="AI35">
            <v>1</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Y35">
            <v>31</v>
          </cell>
        </row>
        <row r="36">
          <cell r="C36" t="str">
            <v>ETODSGT-N</v>
          </cell>
          <cell r="D36" t="str">
            <v>Oil Diesel</v>
          </cell>
          <cell r="E36" t="str">
            <v>PWRODS</v>
          </cell>
          <cell r="G36" t="str">
            <v>ELCC</v>
          </cell>
          <cell r="I36">
            <v>0.30186147912124767</v>
          </cell>
          <cell r="J36">
            <v>1</v>
          </cell>
          <cell r="K36">
            <v>0.88800000000000001</v>
          </cell>
          <cell r="L36">
            <v>0.95399999999999996</v>
          </cell>
          <cell r="M36">
            <v>30</v>
          </cell>
          <cell r="N36">
            <v>2</v>
          </cell>
          <cell r="O36">
            <v>5.5</v>
          </cell>
          <cell r="P36">
            <v>70</v>
          </cell>
          <cell r="Q36">
            <v>0</v>
          </cell>
          <cell r="R36">
            <v>2010</v>
          </cell>
          <cell r="U36">
            <v>3955</v>
          </cell>
          <cell r="V36">
            <v>3955</v>
          </cell>
          <cell r="W36">
            <v>3955</v>
          </cell>
          <cell r="X36">
            <v>3955</v>
          </cell>
          <cell r="Y36">
            <v>3955</v>
          </cell>
          <cell r="Z36">
            <v>3955</v>
          </cell>
          <cell r="AA36">
            <v>3955</v>
          </cell>
          <cell r="AB36">
            <v>3955</v>
          </cell>
          <cell r="AC36">
            <v>3955</v>
          </cell>
          <cell r="AD36">
            <v>3955</v>
          </cell>
          <cell r="AE36">
            <v>0</v>
          </cell>
          <cell r="AF36">
            <v>0</v>
          </cell>
          <cell r="AG36">
            <v>0</v>
          </cell>
          <cell r="AH36">
            <v>0</v>
          </cell>
          <cell r="AI36">
            <v>0</v>
          </cell>
          <cell r="AJ36">
            <v>0</v>
          </cell>
          <cell r="AK36">
            <v>0</v>
          </cell>
          <cell r="AL36">
            <v>0</v>
          </cell>
          <cell r="AM36">
            <v>0</v>
          </cell>
          <cell r="AN36">
            <v>0</v>
          </cell>
          <cell r="AO36">
            <v>0</v>
          </cell>
          <cell r="AP36">
            <v>1.02</v>
          </cell>
          <cell r="AQ36">
            <v>0</v>
          </cell>
          <cell r="AR36">
            <v>0</v>
          </cell>
          <cell r="AS36">
            <v>0</v>
          </cell>
          <cell r="AT36">
            <v>0</v>
          </cell>
          <cell r="AU36">
            <v>0</v>
          </cell>
          <cell r="AV36">
            <v>0</v>
          </cell>
          <cell r="AW36">
            <v>0</v>
          </cell>
          <cell r="AY36">
            <v>3</v>
          </cell>
        </row>
        <row r="37">
          <cell r="C37" t="str">
            <v>ETGIPGT-N</v>
          </cell>
          <cell r="D37" t="str">
            <v>Gas Indigenous Ibhubezi Piped</v>
          </cell>
          <cell r="E37" t="str">
            <v>PWRGIP</v>
          </cell>
          <cell r="G37" t="str">
            <v>ELCC</v>
          </cell>
          <cell r="I37">
            <v>0.30186147912124767</v>
          </cell>
          <cell r="J37">
            <v>1</v>
          </cell>
          <cell r="K37">
            <v>0.88800000000000001</v>
          </cell>
          <cell r="L37">
            <v>0.95399999999999996</v>
          </cell>
          <cell r="M37">
            <v>30</v>
          </cell>
          <cell r="N37">
            <v>2</v>
          </cell>
          <cell r="O37">
            <v>5.5</v>
          </cell>
          <cell r="P37">
            <v>70</v>
          </cell>
          <cell r="Q37">
            <v>0</v>
          </cell>
          <cell r="R37">
            <v>2010</v>
          </cell>
          <cell r="U37">
            <v>3955</v>
          </cell>
          <cell r="V37">
            <v>3955</v>
          </cell>
          <cell r="W37">
            <v>3955</v>
          </cell>
          <cell r="X37">
            <v>3955</v>
          </cell>
          <cell r="Y37">
            <v>3955</v>
          </cell>
          <cell r="Z37">
            <v>3955</v>
          </cell>
          <cell r="AA37">
            <v>3955</v>
          </cell>
          <cell r="AB37">
            <v>3955</v>
          </cell>
          <cell r="AC37">
            <v>3955</v>
          </cell>
          <cell r="AD37">
            <v>3955</v>
          </cell>
          <cell r="AE37">
            <v>0</v>
          </cell>
          <cell r="AF37">
            <v>0</v>
          </cell>
          <cell r="AG37">
            <v>0</v>
          </cell>
          <cell r="AH37">
            <v>0</v>
          </cell>
          <cell r="AI37">
            <v>1.323</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Y37">
            <v>3</v>
          </cell>
        </row>
        <row r="38">
          <cell r="C38" t="str">
            <v>ETGHPGT-N</v>
          </cell>
          <cell r="D38" t="str">
            <v>Gas Indigenous Piped Shale</v>
          </cell>
          <cell r="E38" t="str">
            <v>PWRGHP</v>
          </cell>
          <cell r="G38" t="str">
            <v>ELCC</v>
          </cell>
          <cell r="I38">
            <v>0.30186147912124767</v>
          </cell>
          <cell r="J38">
            <v>1</v>
          </cell>
          <cell r="K38">
            <v>0.88800000000000001</v>
          </cell>
          <cell r="L38">
            <v>0.95399999999999996</v>
          </cell>
          <cell r="M38">
            <v>30</v>
          </cell>
          <cell r="N38">
            <v>2</v>
          </cell>
          <cell r="O38">
            <v>5.5</v>
          </cell>
          <cell r="P38">
            <v>70</v>
          </cell>
          <cell r="Q38">
            <v>0</v>
          </cell>
          <cell r="R38">
            <v>2010</v>
          </cell>
          <cell r="U38">
            <v>3955</v>
          </cell>
          <cell r="V38">
            <v>3955</v>
          </cell>
          <cell r="W38">
            <v>3955</v>
          </cell>
          <cell r="X38">
            <v>3955</v>
          </cell>
          <cell r="Y38">
            <v>3955</v>
          </cell>
          <cell r="Z38">
            <v>3955</v>
          </cell>
          <cell r="AA38">
            <v>3955</v>
          </cell>
          <cell r="AB38">
            <v>3955</v>
          </cell>
          <cell r="AC38">
            <v>3955</v>
          </cell>
          <cell r="AD38">
            <v>3955</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Y38">
            <v>3</v>
          </cell>
        </row>
        <row r="39">
          <cell r="C39" t="str">
            <v>ETGNPGT-N</v>
          </cell>
          <cell r="D39" t="str">
            <v>Gas Northern Mozambique Piped</v>
          </cell>
          <cell r="E39" t="str">
            <v>PWRGNP</v>
          </cell>
          <cell r="G39" t="str">
            <v>ELCC</v>
          </cell>
          <cell r="I39">
            <v>0.30186147912124767</v>
          </cell>
          <cell r="J39">
            <v>1</v>
          </cell>
          <cell r="K39">
            <v>0.88800000000000001</v>
          </cell>
          <cell r="L39">
            <v>0.95399999999999996</v>
          </cell>
          <cell r="M39">
            <v>30</v>
          </cell>
          <cell r="N39">
            <v>2</v>
          </cell>
          <cell r="O39">
            <v>5.5</v>
          </cell>
          <cell r="P39">
            <v>70</v>
          </cell>
          <cell r="Q39">
            <v>0</v>
          </cell>
          <cell r="R39">
            <v>2010</v>
          </cell>
          <cell r="U39">
            <v>3955</v>
          </cell>
          <cell r="V39">
            <v>3955</v>
          </cell>
          <cell r="W39">
            <v>3955</v>
          </cell>
          <cell r="X39">
            <v>3955</v>
          </cell>
          <cell r="Y39">
            <v>3955</v>
          </cell>
          <cell r="Z39">
            <v>3955</v>
          </cell>
          <cell r="AA39">
            <v>3955</v>
          </cell>
          <cell r="AB39">
            <v>3955</v>
          </cell>
          <cell r="AC39">
            <v>3955</v>
          </cell>
          <cell r="AD39">
            <v>3955</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Y39">
            <v>3</v>
          </cell>
        </row>
        <row r="40">
          <cell r="C40" t="str">
            <v>ETGLTGT-N</v>
          </cell>
          <cell r="D40" t="str">
            <v>Gas Regasified LNG</v>
          </cell>
          <cell r="E40" t="str">
            <v>PWRGLT</v>
          </cell>
          <cell r="G40" t="str">
            <v>ELCC</v>
          </cell>
          <cell r="I40">
            <v>0.30186147912124767</v>
          </cell>
          <cell r="J40">
            <v>1</v>
          </cell>
          <cell r="K40">
            <v>0.88800000000000001</v>
          </cell>
          <cell r="L40">
            <v>0.95399999999999996</v>
          </cell>
          <cell r="M40">
            <v>30</v>
          </cell>
          <cell r="N40">
            <v>2</v>
          </cell>
          <cell r="O40">
            <v>5.5</v>
          </cell>
          <cell r="P40">
            <v>70</v>
          </cell>
          <cell r="Q40">
            <v>0</v>
          </cell>
          <cell r="R40">
            <v>2010</v>
          </cell>
          <cell r="U40">
            <v>3955</v>
          </cell>
          <cell r="V40">
            <v>3955</v>
          </cell>
          <cell r="W40">
            <v>3955</v>
          </cell>
          <cell r="X40">
            <v>3955</v>
          </cell>
          <cell r="Y40">
            <v>3955</v>
          </cell>
          <cell r="Z40">
            <v>3955</v>
          </cell>
          <cell r="AA40">
            <v>3955</v>
          </cell>
          <cell r="AB40">
            <v>3955</v>
          </cell>
          <cell r="AC40">
            <v>3955</v>
          </cell>
          <cell r="AD40">
            <v>3955</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Y40">
            <v>3</v>
          </cell>
        </row>
        <row r="41">
          <cell r="C41" t="str">
            <v>ETGSPCC-N</v>
          </cell>
          <cell r="D41" t="str">
            <v>Gas Southern Mozambique Piped</v>
          </cell>
          <cell r="E41" t="str">
            <v>PWRGSP</v>
          </cell>
          <cell r="G41" t="str">
            <v>ELCC</v>
          </cell>
          <cell r="I41">
            <v>0.48089767566123431</v>
          </cell>
          <cell r="J41">
            <v>1</v>
          </cell>
          <cell r="K41">
            <v>0.88800000000000001</v>
          </cell>
          <cell r="L41">
            <v>0.95399999999999996</v>
          </cell>
          <cell r="M41">
            <v>30</v>
          </cell>
          <cell r="N41">
            <v>2</v>
          </cell>
          <cell r="O41">
            <v>3.5555555555555558</v>
          </cell>
          <cell r="P41">
            <v>148</v>
          </cell>
          <cell r="Q41">
            <v>0</v>
          </cell>
          <cell r="R41">
            <v>2010</v>
          </cell>
          <cell r="U41">
            <v>5780</v>
          </cell>
          <cell r="V41">
            <v>5780</v>
          </cell>
          <cell r="W41">
            <v>5780</v>
          </cell>
          <cell r="X41">
            <v>5780</v>
          </cell>
          <cell r="Y41">
            <v>5780</v>
          </cell>
          <cell r="Z41">
            <v>5780</v>
          </cell>
          <cell r="AA41">
            <v>5780</v>
          </cell>
          <cell r="AB41">
            <v>5780</v>
          </cell>
          <cell r="AC41">
            <v>5780</v>
          </cell>
          <cell r="AD41">
            <v>5780</v>
          </cell>
          <cell r="AE41">
            <v>0</v>
          </cell>
          <cell r="AF41">
            <v>0</v>
          </cell>
          <cell r="AG41">
            <v>0</v>
          </cell>
          <cell r="AH41">
            <v>0</v>
          </cell>
          <cell r="AI41">
            <v>0.39</v>
          </cell>
          <cell r="AJ41">
            <v>0</v>
          </cell>
          <cell r="AK41">
            <v>0</v>
          </cell>
          <cell r="AL41">
            <v>0</v>
          </cell>
          <cell r="AM41">
            <v>0.26</v>
          </cell>
          <cell r="AN41">
            <v>0.13</v>
          </cell>
          <cell r="AO41">
            <v>0</v>
          </cell>
          <cell r="AP41">
            <v>0</v>
          </cell>
          <cell r="AQ41">
            <v>0</v>
          </cell>
          <cell r="AR41">
            <v>0</v>
          </cell>
          <cell r="AS41">
            <v>0</v>
          </cell>
          <cell r="AT41">
            <v>0</v>
          </cell>
          <cell r="AU41">
            <v>0</v>
          </cell>
          <cell r="AV41">
            <v>0</v>
          </cell>
          <cell r="AW41">
            <v>0</v>
          </cell>
          <cell r="AY41">
            <v>1</v>
          </cell>
        </row>
        <row r="42">
          <cell r="C42" t="str">
            <v>ETGIPCC-N</v>
          </cell>
          <cell r="D42" t="str">
            <v>Gas Indigenous Ibhubezi Piped</v>
          </cell>
          <cell r="E42" t="str">
            <v>PWRGIP</v>
          </cell>
          <cell r="G42" t="str">
            <v>ELCC</v>
          </cell>
          <cell r="I42">
            <v>0.48089767566123431</v>
          </cell>
          <cell r="J42">
            <v>1</v>
          </cell>
          <cell r="K42">
            <v>0.88800000000000001</v>
          </cell>
          <cell r="L42">
            <v>0.95399999999999996</v>
          </cell>
          <cell r="M42">
            <v>30</v>
          </cell>
          <cell r="N42">
            <v>3</v>
          </cell>
          <cell r="O42">
            <v>3.5555555555555558</v>
          </cell>
          <cell r="P42">
            <v>148</v>
          </cell>
          <cell r="Q42">
            <v>0</v>
          </cell>
          <cell r="R42">
            <v>2010</v>
          </cell>
          <cell r="U42">
            <v>5780</v>
          </cell>
          <cell r="V42">
            <v>5780</v>
          </cell>
          <cell r="W42">
            <v>5780</v>
          </cell>
          <cell r="X42">
            <v>5780</v>
          </cell>
          <cell r="Y42">
            <v>5780</v>
          </cell>
          <cell r="Z42">
            <v>5780</v>
          </cell>
          <cell r="AA42">
            <v>5780</v>
          </cell>
          <cell r="AB42">
            <v>5780</v>
          </cell>
          <cell r="AC42">
            <v>5780</v>
          </cell>
          <cell r="AD42">
            <v>5780</v>
          </cell>
          <cell r="AE42">
            <v>0</v>
          </cell>
          <cell r="AF42">
            <v>0</v>
          </cell>
          <cell r="AG42">
            <v>0</v>
          </cell>
          <cell r="AH42">
            <v>0</v>
          </cell>
          <cell r="AI42">
            <v>0.4</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Y42">
            <v>1</v>
          </cell>
        </row>
        <row r="43">
          <cell r="C43" t="str">
            <v>ETGHPCC-N</v>
          </cell>
          <cell r="D43" t="str">
            <v>Gas Indigenous Piped Shale</v>
          </cell>
          <cell r="E43" t="str">
            <v>PWRGHP</v>
          </cell>
          <cell r="G43" t="str">
            <v>ELCC</v>
          </cell>
          <cell r="I43">
            <v>0.48089767566123431</v>
          </cell>
          <cell r="J43">
            <v>1</v>
          </cell>
          <cell r="K43">
            <v>0.88800000000000001</v>
          </cell>
          <cell r="L43">
            <v>0.95399999999999996</v>
          </cell>
          <cell r="M43">
            <v>30</v>
          </cell>
          <cell r="N43">
            <v>3</v>
          </cell>
          <cell r="O43">
            <v>3.5555555555555558</v>
          </cell>
          <cell r="P43">
            <v>148</v>
          </cell>
          <cell r="Q43">
            <v>0</v>
          </cell>
          <cell r="R43">
            <v>2010</v>
          </cell>
          <cell r="U43">
            <v>5780</v>
          </cell>
          <cell r="V43">
            <v>5780</v>
          </cell>
          <cell r="W43">
            <v>5780</v>
          </cell>
          <cell r="X43">
            <v>5780</v>
          </cell>
          <cell r="Y43">
            <v>5780</v>
          </cell>
          <cell r="Z43">
            <v>5780</v>
          </cell>
          <cell r="AA43">
            <v>5780</v>
          </cell>
          <cell r="AB43">
            <v>5780</v>
          </cell>
          <cell r="AC43">
            <v>5780</v>
          </cell>
          <cell r="AD43">
            <v>5780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Y43">
            <v>1</v>
          </cell>
        </row>
        <row r="44">
          <cell r="C44" t="str">
            <v>ETGNPCC-N</v>
          </cell>
          <cell r="D44" t="str">
            <v>Gas Northern Mozambique Piped</v>
          </cell>
          <cell r="E44" t="str">
            <v>PWRGNP</v>
          </cell>
          <cell r="G44" t="str">
            <v>ELCC</v>
          </cell>
          <cell r="I44">
            <v>0.48089767566123431</v>
          </cell>
          <cell r="J44">
            <v>1</v>
          </cell>
          <cell r="K44">
            <v>0.88800000000000001</v>
          </cell>
          <cell r="L44">
            <v>0.95399999999999996</v>
          </cell>
          <cell r="M44">
            <v>30</v>
          </cell>
          <cell r="N44">
            <v>3</v>
          </cell>
          <cell r="O44">
            <v>3.5555555555555558</v>
          </cell>
          <cell r="P44">
            <v>148</v>
          </cell>
          <cell r="Q44">
            <v>0</v>
          </cell>
          <cell r="R44">
            <v>2010</v>
          </cell>
          <cell r="U44">
            <v>5780</v>
          </cell>
          <cell r="V44">
            <v>5780</v>
          </cell>
          <cell r="W44">
            <v>5780</v>
          </cell>
          <cell r="X44">
            <v>5780</v>
          </cell>
          <cell r="Y44">
            <v>5780</v>
          </cell>
          <cell r="Z44">
            <v>5780</v>
          </cell>
          <cell r="AA44">
            <v>5780</v>
          </cell>
          <cell r="AB44">
            <v>5780</v>
          </cell>
          <cell r="AC44">
            <v>5780</v>
          </cell>
          <cell r="AD44">
            <v>5780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Y44">
            <v>1</v>
          </cell>
        </row>
        <row r="45">
          <cell r="C45" t="str">
            <v>ETGLTCC-N</v>
          </cell>
          <cell r="D45" t="str">
            <v>Gas Regasified LNG</v>
          </cell>
          <cell r="E45" t="str">
            <v>PWRGLT</v>
          </cell>
          <cell r="G45" t="str">
            <v>ELCC</v>
          </cell>
          <cell r="I45">
            <v>0.48089767566123431</v>
          </cell>
          <cell r="J45">
            <v>1</v>
          </cell>
          <cell r="K45">
            <v>0.88800000000000001</v>
          </cell>
          <cell r="L45">
            <v>0.95399999999999996</v>
          </cell>
          <cell r="M45">
            <v>30</v>
          </cell>
          <cell r="N45">
            <v>3</v>
          </cell>
          <cell r="O45">
            <v>3.5555555555555558</v>
          </cell>
          <cell r="P45">
            <v>148</v>
          </cell>
          <cell r="Q45">
            <v>0</v>
          </cell>
          <cell r="R45">
            <v>2010</v>
          </cell>
          <cell r="U45">
            <v>5780</v>
          </cell>
          <cell r="V45">
            <v>5780</v>
          </cell>
          <cell r="W45">
            <v>5780</v>
          </cell>
          <cell r="X45">
            <v>5780</v>
          </cell>
          <cell r="Y45">
            <v>5780</v>
          </cell>
          <cell r="Z45">
            <v>5780</v>
          </cell>
          <cell r="AA45">
            <v>5780</v>
          </cell>
          <cell r="AB45">
            <v>5780</v>
          </cell>
          <cell r="AC45">
            <v>5780</v>
          </cell>
          <cell r="AD45">
            <v>5780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Y45">
            <v>1</v>
          </cell>
        </row>
        <row r="46">
          <cell r="C46" t="str">
            <v>ETGARCC-I</v>
          </cell>
          <cell r="D46" t="str">
            <v>Gas Region (gas plants outside SA)</v>
          </cell>
          <cell r="E46" t="str">
            <v>PWRGAR</v>
          </cell>
          <cell r="G46" t="str">
            <v>ELCC</v>
          </cell>
          <cell r="I46">
            <v>0.48</v>
          </cell>
          <cell r="J46">
            <v>1</v>
          </cell>
          <cell r="K46">
            <v>0.88800000000000001</v>
          </cell>
          <cell r="L46">
            <v>0.95399999999999996</v>
          </cell>
          <cell r="M46">
            <v>30</v>
          </cell>
          <cell r="N46">
            <v>1</v>
          </cell>
          <cell r="O46">
            <v>3.5555555555555558</v>
          </cell>
          <cell r="P46">
            <v>168</v>
          </cell>
          <cell r="Q46">
            <v>0</v>
          </cell>
          <cell r="R46">
            <v>2015</v>
          </cell>
          <cell r="U46">
            <v>5780</v>
          </cell>
          <cell r="V46">
            <v>5780</v>
          </cell>
          <cell r="W46">
            <v>5780</v>
          </cell>
          <cell r="X46">
            <v>5780</v>
          </cell>
          <cell r="Y46">
            <v>5780</v>
          </cell>
          <cell r="Z46">
            <v>5780</v>
          </cell>
          <cell r="AA46">
            <v>5780</v>
          </cell>
          <cell r="AB46">
            <v>5780</v>
          </cell>
          <cell r="AC46">
            <v>5780</v>
          </cell>
          <cell r="AD46">
            <v>5780</v>
          </cell>
          <cell r="AE46">
            <v>0</v>
          </cell>
          <cell r="AF46">
            <v>0</v>
          </cell>
          <cell r="AG46">
            <v>0</v>
          </cell>
          <cell r="AH46">
            <v>0</v>
          </cell>
          <cell r="AI46">
            <v>0.71099999999999997</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Y46">
            <v>35</v>
          </cell>
        </row>
        <row r="47">
          <cell r="C47" t="str">
            <v>ETNUC-N</v>
          </cell>
          <cell r="D47" t="str">
            <v>Nuclear</v>
          </cell>
          <cell r="E47" t="str">
            <v>PWRNUC</v>
          </cell>
          <cell r="G47" t="str">
            <v>ELCC</v>
          </cell>
          <cell r="I47">
            <v>0.33457249070631973</v>
          </cell>
          <cell r="J47">
            <v>1</v>
          </cell>
          <cell r="K47">
            <v>0.92</v>
          </cell>
          <cell r="L47">
            <v>0.98</v>
          </cell>
          <cell r="M47">
            <v>60</v>
          </cell>
          <cell r="N47">
            <v>8</v>
          </cell>
          <cell r="O47">
            <v>0</v>
          </cell>
          <cell r="P47">
            <v>767.23584000000005</v>
          </cell>
          <cell r="Q47">
            <v>0</v>
          </cell>
          <cell r="R47">
            <v>2023</v>
          </cell>
          <cell r="U47">
            <v>37205</v>
          </cell>
          <cell r="V47">
            <v>37144.800000000003</v>
          </cell>
          <cell r="W47">
            <v>37109.091413896494</v>
          </cell>
          <cell r="X47">
            <v>37067.740127405959</v>
          </cell>
          <cell r="Y47">
            <v>37008.092353622778</v>
          </cell>
          <cell r="Z47">
            <v>36971.548779545083</v>
          </cell>
          <cell r="AA47">
            <v>36810.921032446036</v>
          </cell>
          <cell r="AB47">
            <v>36629.737397505851</v>
          </cell>
          <cell r="AC47">
            <v>36449.489919630825</v>
          </cell>
          <cell r="AD47">
            <v>36359.710124087585</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Y47">
            <v>8</v>
          </cell>
        </row>
        <row r="48">
          <cell r="C48" t="str">
            <v>ERHYDH-I</v>
          </cell>
          <cell r="D48" t="str">
            <v>Hydro</v>
          </cell>
          <cell r="E48" t="str">
            <v>PWRHYD</v>
          </cell>
          <cell r="G48" t="str">
            <v>ELCC</v>
          </cell>
          <cell r="I48">
            <v>1</v>
          </cell>
          <cell r="J48">
            <v>1</v>
          </cell>
          <cell r="K48">
            <v>0.38</v>
          </cell>
          <cell r="L48">
            <v>0.95</v>
          </cell>
          <cell r="M48">
            <v>60</v>
          </cell>
          <cell r="N48">
            <v>3</v>
          </cell>
          <cell r="O48">
            <v>0</v>
          </cell>
          <cell r="P48">
            <v>69.8</v>
          </cell>
          <cell r="Q48">
            <v>3.3611111111111107</v>
          </cell>
          <cell r="R48">
            <v>2015</v>
          </cell>
          <cell r="U48">
            <v>7256</v>
          </cell>
          <cell r="V48">
            <v>7256</v>
          </cell>
          <cell r="W48">
            <v>7256</v>
          </cell>
          <cell r="X48">
            <v>7256</v>
          </cell>
          <cell r="Y48">
            <v>7256</v>
          </cell>
          <cell r="Z48">
            <v>7256</v>
          </cell>
          <cell r="AA48">
            <v>7256</v>
          </cell>
          <cell r="AB48">
            <v>7256</v>
          </cell>
          <cell r="AC48">
            <v>7256</v>
          </cell>
          <cell r="AD48">
            <v>7256</v>
          </cell>
          <cell r="AE48">
            <v>0</v>
          </cell>
          <cell r="AF48">
            <v>0</v>
          </cell>
          <cell r="AG48">
            <v>0</v>
          </cell>
          <cell r="AH48">
            <v>0</v>
          </cell>
          <cell r="AI48">
            <v>0.85</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Y48">
            <v>28</v>
          </cell>
        </row>
        <row r="49">
          <cell r="C49" t="str">
            <v>ERHYDI-I</v>
          </cell>
          <cell r="D49" t="str">
            <v>Hydro</v>
          </cell>
          <cell r="E49" t="str">
            <v>PWRHYD</v>
          </cell>
          <cell r="G49" t="str">
            <v>ELCC</v>
          </cell>
          <cell r="I49">
            <v>1</v>
          </cell>
          <cell r="J49">
            <v>1</v>
          </cell>
          <cell r="K49">
            <v>0.64</v>
          </cell>
          <cell r="L49">
            <v>0.95</v>
          </cell>
          <cell r="M49">
            <v>60</v>
          </cell>
          <cell r="N49">
            <v>3</v>
          </cell>
          <cell r="O49">
            <v>0</v>
          </cell>
          <cell r="P49">
            <v>69.8</v>
          </cell>
          <cell r="Q49">
            <v>3.3611111111111107</v>
          </cell>
          <cell r="R49">
            <v>2017</v>
          </cell>
          <cell r="U49">
            <v>9464</v>
          </cell>
          <cell r="V49">
            <v>9464</v>
          </cell>
          <cell r="W49">
            <v>9464</v>
          </cell>
          <cell r="X49">
            <v>9464</v>
          </cell>
          <cell r="Y49">
            <v>9464</v>
          </cell>
          <cell r="Z49">
            <v>9464</v>
          </cell>
          <cell r="AA49">
            <v>9464</v>
          </cell>
          <cell r="AB49">
            <v>9464</v>
          </cell>
          <cell r="AC49">
            <v>9464</v>
          </cell>
          <cell r="AD49">
            <v>9464</v>
          </cell>
          <cell r="AE49">
            <v>0</v>
          </cell>
          <cell r="AF49">
            <v>0</v>
          </cell>
          <cell r="AG49">
            <v>0</v>
          </cell>
          <cell r="AH49">
            <v>0</v>
          </cell>
          <cell r="AI49">
            <v>0.12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Y49">
            <v>33</v>
          </cell>
        </row>
        <row r="50">
          <cell r="C50" t="str">
            <v>ERHYDF-I</v>
          </cell>
          <cell r="D50" t="str">
            <v>Hydro</v>
          </cell>
          <cell r="E50" t="str">
            <v>PWRHYD</v>
          </cell>
          <cell r="G50" t="str">
            <v>ELCC</v>
          </cell>
          <cell r="I50">
            <v>1</v>
          </cell>
          <cell r="J50">
            <v>1</v>
          </cell>
          <cell r="K50">
            <v>0.46</v>
          </cell>
          <cell r="L50">
            <v>0.95</v>
          </cell>
          <cell r="M50">
            <v>60</v>
          </cell>
          <cell r="N50">
            <v>3</v>
          </cell>
          <cell r="O50">
            <v>0</v>
          </cell>
          <cell r="P50">
            <v>69.8</v>
          </cell>
          <cell r="Q50">
            <v>3.3611111111111107</v>
          </cell>
          <cell r="R50">
            <v>2017</v>
          </cell>
          <cell r="U50">
            <v>6400</v>
          </cell>
          <cell r="V50">
            <v>6400</v>
          </cell>
          <cell r="W50">
            <v>6400</v>
          </cell>
          <cell r="X50">
            <v>6400</v>
          </cell>
          <cell r="Y50">
            <v>6400</v>
          </cell>
          <cell r="Z50">
            <v>6400</v>
          </cell>
          <cell r="AA50">
            <v>6400</v>
          </cell>
          <cell r="AB50">
            <v>6400</v>
          </cell>
          <cell r="AC50">
            <v>6400</v>
          </cell>
          <cell r="AD50">
            <v>6400</v>
          </cell>
          <cell r="AE50">
            <v>0</v>
          </cell>
          <cell r="AF50">
            <v>0</v>
          </cell>
          <cell r="AG50">
            <v>0</v>
          </cell>
          <cell r="AH50">
            <v>0</v>
          </cell>
          <cell r="AI50">
            <v>0.75</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Y50">
            <v>32</v>
          </cell>
        </row>
        <row r="51">
          <cell r="C51" t="str">
            <v>ERHYDK-I</v>
          </cell>
          <cell r="D51" t="str">
            <v>Hydro</v>
          </cell>
          <cell r="E51" t="str">
            <v>PWRHYD</v>
          </cell>
          <cell r="G51" t="str">
            <v>ELCC</v>
          </cell>
          <cell r="I51">
            <v>1</v>
          </cell>
          <cell r="J51">
            <v>1</v>
          </cell>
          <cell r="K51">
            <v>0.38</v>
          </cell>
          <cell r="L51">
            <v>0.95</v>
          </cell>
          <cell r="M51">
            <v>60</v>
          </cell>
          <cell r="N51">
            <v>3</v>
          </cell>
          <cell r="O51">
            <v>0</v>
          </cell>
          <cell r="P51">
            <v>69.8</v>
          </cell>
          <cell r="Q51">
            <v>3.3611111111111107</v>
          </cell>
          <cell r="R51">
            <v>2015</v>
          </cell>
          <cell r="U51">
            <v>4264</v>
          </cell>
          <cell r="V51">
            <v>4264</v>
          </cell>
          <cell r="W51">
            <v>4264</v>
          </cell>
          <cell r="X51">
            <v>4264</v>
          </cell>
          <cell r="Y51">
            <v>4264</v>
          </cell>
          <cell r="Z51">
            <v>4264</v>
          </cell>
          <cell r="AA51">
            <v>4264</v>
          </cell>
          <cell r="AB51">
            <v>4264</v>
          </cell>
          <cell r="AC51">
            <v>4264</v>
          </cell>
          <cell r="AD51">
            <v>4264</v>
          </cell>
          <cell r="AE51">
            <v>0</v>
          </cell>
          <cell r="AF51">
            <v>0</v>
          </cell>
          <cell r="AG51">
            <v>0</v>
          </cell>
          <cell r="AH51">
            <v>0</v>
          </cell>
          <cell r="AI51">
            <v>0.36</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Y51">
            <v>34</v>
          </cell>
        </row>
        <row r="52">
          <cell r="C52" t="str">
            <v>ERHYDM-I</v>
          </cell>
          <cell r="D52" t="str">
            <v>Hydro</v>
          </cell>
          <cell r="E52" t="str">
            <v>PWRHYD</v>
          </cell>
          <cell r="G52" t="str">
            <v>ELCC</v>
          </cell>
          <cell r="I52">
            <v>1</v>
          </cell>
          <cell r="J52">
            <v>1</v>
          </cell>
          <cell r="K52">
            <v>0.66700000000000004</v>
          </cell>
          <cell r="L52">
            <v>0.96</v>
          </cell>
          <cell r="M52">
            <v>60</v>
          </cell>
          <cell r="N52">
            <v>7</v>
          </cell>
          <cell r="O52">
            <v>0</v>
          </cell>
          <cell r="P52">
            <v>344</v>
          </cell>
          <cell r="Q52">
            <v>0</v>
          </cell>
          <cell r="R52">
            <v>2020</v>
          </cell>
          <cell r="U52">
            <v>15518</v>
          </cell>
          <cell r="V52">
            <v>15518</v>
          </cell>
          <cell r="W52">
            <v>15518</v>
          </cell>
          <cell r="X52">
            <v>15518</v>
          </cell>
          <cell r="Y52">
            <v>15518</v>
          </cell>
          <cell r="Z52">
            <v>15518</v>
          </cell>
          <cell r="AA52">
            <v>15518</v>
          </cell>
          <cell r="AB52">
            <v>15518</v>
          </cell>
          <cell r="AC52">
            <v>15518</v>
          </cell>
          <cell r="AD52">
            <v>15518</v>
          </cell>
          <cell r="AE52">
            <v>0</v>
          </cell>
          <cell r="AF52">
            <v>0</v>
          </cell>
          <cell r="AG52">
            <v>0</v>
          </cell>
          <cell r="AH52">
            <v>0</v>
          </cell>
          <cell r="AI52">
            <v>1.125</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Y52">
            <v>27</v>
          </cell>
        </row>
        <row r="53">
          <cell r="C53" t="str">
            <v>ERHYDB-I</v>
          </cell>
          <cell r="D53" t="str">
            <v>Hydro</v>
          </cell>
          <cell r="E53" t="str">
            <v>PWRHYD</v>
          </cell>
          <cell r="G53" t="str">
            <v>ELCC</v>
          </cell>
          <cell r="I53">
            <v>1</v>
          </cell>
          <cell r="J53">
            <v>1</v>
          </cell>
          <cell r="K53">
            <v>0.42</v>
          </cell>
          <cell r="L53">
            <v>0.95</v>
          </cell>
          <cell r="M53">
            <v>60</v>
          </cell>
          <cell r="N53">
            <v>3</v>
          </cell>
          <cell r="O53">
            <v>0</v>
          </cell>
          <cell r="P53">
            <v>69.8</v>
          </cell>
          <cell r="Q53">
            <v>3.3611111111111107</v>
          </cell>
          <cell r="R53">
            <v>2015</v>
          </cell>
          <cell r="U53">
            <v>15152</v>
          </cell>
          <cell r="V53">
            <v>15152</v>
          </cell>
          <cell r="W53">
            <v>15152</v>
          </cell>
          <cell r="X53">
            <v>15152</v>
          </cell>
          <cell r="Y53">
            <v>15152</v>
          </cell>
          <cell r="Z53">
            <v>15152</v>
          </cell>
          <cell r="AA53">
            <v>15152</v>
          </cell>
          <cell r="AB53">
            <v>15152</v>
          </cell>
          <cell r="AC53">
            <v>15152</v>
          </cell>
          <cell r="AD53">
            <v>15152</v>
          </cell>
          <cell r="AE53">
            <v>0</v>
          </cell>
          <cell r="AF53">
            <v>0</v>
          </cell>
          <cell r="AG53">
            <v>0</v>
          </cell>
          <cell r="AH53">
            <v>0</v>
          </cell>
          <cell r="AI53">
            <v>0.16</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Y53">
            <v>30</v>
          </cell>
        </row>
        <row r="54">
          <cell r="C54" t="str">
            <v>ERHYD-N</v>
          </cell>
          <cell r="D54" t="str">
            <v>Hydro</v>
          </cell>
          <cell r="E54" t="str">
            <v>PWRHYD</v>
          </cell>
          <cell r="G54" t="str">
            <v>ELCC</v>
          </cell>
          <cell r="I54">
            <v>1</v>
          </cell>
          <cell r="J54">
            <v>1</v>
          </cell>
          <cell r="K54">
            <v>0.5</v>
          </cell>
          <cell r="L54">
            <v>0.93399999999999994</v>
          </cell>
          <cell r="M54">
            <v>50</v>
          </cell>
          <cell r="N54">
            <v>3</v>
          </cell>
          <cell r="O54">
            <v>0</v>
          </cell>
          <cell r="P54">
            <v>130.27000000000001</v>
          </cell>
          <cell r="Q54">
            <v>0</v>
          </cell>
          <cell r="R54">
            <v>2012</v>
          </cell>
          <cell r="U54">
            <v>20000</v>
          </cell>
          <cell r="V54">
            <v>20000</v>
          </cell>
          <cell r="W54">
            <v>20000</v>
          </cell>
          <cell r="X54">
            <v>20000</v>
          </cell>
          <cell r="Y54">
            <v>20000</v>
          </cell>
          <cell r="Z54">
            <v>20000</v>
          </cell>
          <cell r="AA54">
            <v>20000</v>
          </cell>
          <cell r="AB54">
            <v>20000</v>
          </cell>
          <cell r="AC54">
            <v>20000</v>
          </cell>
          <cell r="AD54">
            <v>20000</v>
          </cell>
          <cell r="AE54">
            <v>0</v>
          </cell>
          <cell r="AF54">
            <v>0</v>
          </cell>
          <cell r="AG54">
            <v>0</v>
          </cell>
          <cell r="AH54">
            <v>0</v>
          </cell>
          <cell r="AI54">
            <v>0.5</v>
          </cell>
          <cell r="AJ54">
            <v>0</v>
          </cell>
          <cell r="AK54">
            <v>0</v>
          </cell>
          <cell r="AL54">
            <v>0</v>
          </cell>
          <cell r="AM54">
            <v>0</v>
          </cell>
          <cell r="AN54">
            <v>0</v>
          </cell>
          <cell r="AO54">
            <v>0</v>
          </cell>
          <cell r="AP54">
            <v>0</v>
          </cell>
          <cell r="AQ54">
            <v>1.43E-2</v>
          </cell>
          <cell r="AR54">
            <v>6.0699999999999997E-2</v>
          </cell>
          <cell r="AS54">
            <v>0</v>
          </cell>
          <cell r="AT54">
            <v>0</v>
          </cell>
          <cell r="AU54">
            <v>0</v>
          </cell>
          <cell r="AV54">
            <v>0</v>
          </cell>
          <cell r="AW54">
            <v>0</v>
          </cell>
          <cell r="AY54">
            <v>26</v>
          </cell>
        </row>
        <row r="55">
          <cell r="C55" t="str">
            <v>ERBIG-N</v>
          </cell>
          <cell r="D55" t="str">
            <v>Biogas</v>
          </cell>
          <cell r="E55" t="str">
            <v>PWRBIG</v>
          </cell>
          <cell r="G55" t="str">
            <v>COMELC</v>
          </cell>
          <cell r="I55">
            <v>0.19400000000000001</v>
          </cell>
          <cell r="J55">
            <v>1</v>
          </cell>
          <cell r="K55">
            <v>0.85</v>
          </cell>
          <cell r="L55">
            <v>0.94</v>
          </cell>
          <cell r="M55">
            <v>30</v>
          </cell>
          <cell r="N55">
            <v>2</v>
          </cell>
          <cell r="O55">
            <v>55.555555555555557</v>
          </cell>
          <cell r="P55">
            <v>2579</v>
          </cell>
          <cell r="Q55">
            <v>10.611111111111112</v>
          </cell>
          <cell r="R55">
            <v>2013</v>
          </cell>
          <cell r="U55">
            <v>66900</v>
          </cell>
          <cell r="V55">
            <v>65312.999999999985</v>
          </cell>
          <cell r="W55">
            <v>64315.663289782329</v>
          </cell>
          <cell r="X55">
            <v>63595.076696369986</v>
          </cell>
          <cell r="Y55">
            <v>62913.231762334217</v>
          </cell>
          <cell r="Z55">
            <v>62489.36950915723</v>
          </cell>
          <cell r="AA55">
            <v>62097.381836964225</v>
          </cell>
          <cell r="AB55">
            <v>61807.520860461387</v>
          </cell>
          <cell r="AC55">
            <v>61519.080245613251</v>
          </cell>
          <cell r="AD55">
            <v>61375.381898912965</v>
          </cell>
          <cell r="AE55">
            <v>0</v>
          </cell>
          <cell r="AF55">
            <v>0</v>
          </cell>
          <cell r="AG55">
            <v>0</v>
          </cell>
          <cell r="AH55">
            <v>0</v>
          </cell>
          <cell r="AI55">
            <v>0.1</v>
          </cell>
          <cell r="AJ55">
            <v>3</v>
          </cell>
          <cell r="AK55">
            <v>0</v>
          </cell>
          <cell r="AL55">
            <v>0</v>
          </cell>
          <cell r="AM55">
            <v>0</v>
          </cell>
          <cell r="AN55">
            <v>0</v>
          </cell>
          <cell r="AO55">
            <v>0</v>
          </cell>
          <cell r="AP55">
            <v>0</v>
          </cell>
          <cell r="AQ55">
            <v>0</v>
          </cell>
          <cell r="AR55">
            <v>0</v>
          </cell>
          <cell r="AS55">
            <v>0</v>
          </cell>
          <cell r="AT55">
            <v>0</v>
          </cell>
          <cell r="AU55">
            <v>0</v>
          </cell>
          <cell r="AV55">
            <v>0</v>
          </cell>
          <cell r="AW55">
            <v>0</v>
          </cell>
          <cell r="AY55">
            <v>36</v>
          </cell>
        </row>
        <row r="56">
          <cell r="C56" t="str">
            <v>ERBIG-N</v>
          </cell>
          <cell r="D56" t="str">
            <v>Biogas</v>
          </cell>
          <cell r="E56" t="str">
            <v>PWRBIG</v>
          </cell>
          <cell r="G56" t="str">
            <v>ELCC</v>
          </cell>
          <cell r="I56">
            <v>1</v>
          </cell>
          <cell r="J56">
            <v>1</v>
          </cell>
          <cell r="K56">
            <v>0.5</v>
          </cell>
          <cell r="L56">
            <v>0.96</v>
          </cell>
          <cell r="M56">
            <v>30</v>
          </cell>
          <cell r="N56">
            <v>1</v>
          </cell>
          <cell r="O56">
            <v>0</v>
          </cell>
          <cell r="P56">
            <v>953</v>
          </cell>
          <cell r="Q56">
            <v>0</v>
          </cell>
          <cell r="R56">
            <v>2012</v>
          </cell>
          <cell r="U56">
            <v>21076</v>
          </cell>
          <cell r="V56">
            <v>21076</v>
          </cell>
          <cell r="W56">
            <v>21076</v>
          </cell>
          <cell r="X56">
            <v>21076</v>
          </cell>
          <cell r="Y56">
            <v>21076</v>
          </cell>
          <cell r="Z56">
            <v>21076</v>
          </cell>
          <cell r="AA56">
            <v>21076</v>
          </cell>
          <cell r="AB56">
            <v>21076</v>
          </cell>
          <cell r="AC56">
            <v>21076</v>
          </cell>
          <cell r="AD56">
            <v>21076</v>
          </cell>
          <cell r="AE56">
            <v>0</v>
          </cell>
          <cell r="AF56">
            <v>0</v>
          </cell>
          <cell r="AG56">
            <v>0</v>
          </cell>
          <cell r="AH56">
            <v>0</v>
          </cell>
          <cell r="AI56">
            <v>0.5</v>
          </cell>
          <cell r="AJ56">
            <v>0</v>
          </cell>
          <cell r="AK56">
            <v>0</v>
          </cell>
          <cell r="AL56">
            <v>0</v>
          </cell>
          <cell r="AM56">
            <v>0</v>
          </cell>
          <cell r="AN56">
            <v>0</v>
          </cell>
          <cell r="AO56">
            <v>7.4999999999999997E-3</v>
          </cell>
          <cell r="AP56">
            <v>0</v>
          </cell>
          <cell r="AQ56">
            <v>0</v>
          </cell>
          <cell r="AR56">
            <v>0</v>
          </cell>
          <cell r="AS56">
            <v>0</v>
          </cell>
          <cell r="AT56">
            <v>0</v>
          </cell>
          <cell r="AU56">
            <v>0</v>
          </cell>
          <cell r="AV56">
            <v>0</v>
          </cell>
          <cell r="AW56">
            <v>0</v>
          </cell>
          <cell r="AY56">
            <v>25</v>
          </cell>
        </row>
        <row r="57">
          <cell r="C57" t="str">
            <v>ERSOLTC12-N</v>
          </cell>
          <cell r="D57" t="str">
            <v>Solar</v>
          </cell>
          <cell r="E57" t="str">
            <v>PWRSOL</v>
          </cell>
          <cell r="G57" t="str">
            <v>ELCC</v>
          </cell>
          <cell r="I57">
            <v>1</v>
          </cell>
          <cell r="J57">
            <v>1</v>
          </cell>
          <cell r="K57">
            <v>0.29199999999999998</v>
          </cell>
          <cell r="L57">
            <v>0.96</v>
          </cell>
          <cell r="M57">
            <v>30</v>
          </cell>
          <cell r="N57">
            <v>3</v>
          </cell>
          <cell r="O57">
            <v>68.055555555555557</v>
          </cell>
          <cell r="P57">
            <v>489</v>
          </cell>
          <cell r="Q57">
            <v>0</v>
          </cell>
          <cell r="R57">
            <v>2014</v>
          </cell>
          <cell r="U57">
            <v>59103.700813326199</v>
          </cell>
          <cell r="V57">
            <v>48854.753058447051</v>
          </cell>
          <cell r="W57">
            <v>44585.46060844804</v>
          </cell>
          <cell r="X57">
            <v>40361.901020781435</v>
          </cell>
          <cell r="Y57">
            <v>38317.09854808716</v>
          </cell>
          <cell r="Z57">
            <v>36969.984070842569</v>
          </cell>
          <cell r="AA57">
            <v>35584.599755397845</v>
          </cell>
          <cell r="AB57">
            <v>34735.834730351482</v>
          </cell>
          <cell r="AC57">
            <v>33098.556113871273</v>
          </cell>
          <cell r="AD57">
            <v>31538.450862844726</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Y57">
            <v>20</v>
          </cell>
        </row>
        <row r="58">
          <cell r="C58" t="str">
            <v>ERSOLTC14-N</v>
          </cell>
          <cell r="D58" t="str">
            <v>Solar</v>
          </cell>
          <cell r="E58" t="str">
            <v>PWRSOL</v>
          </cell>
          <cell r="G58" t="str">
            <v>ELCC</v>
          </cell>
          <cell r="I58">
            <v>1</v>
          </cell>
          <cell r="J58">
            <v>1</v>
          </cell>
          <cell r="K58">
            <v>0.41</v>
          </cell>
          <cell r="L58">
            <v>0.96</v>
          </cell>
          <cell r="M58">
            <v>30</v>
          </cell>
          <cell r="N58">
            <v>3</v>
          </cell>
          <cell r="O58">
            <v>68.055555555555557</v>
          </cell>
          <cell r="P58">
            <v>546</v>
          </cell>
          <cell r="Q58">
            <v>0</v>
          </cell>
          <cell r="R58">
            <v>2014</v>
          </cell>
          <cell r="U58">
            <v>70700.413570455989</v>
          </cell>
          <cell r="V58">
            <v>58440.524004140127</v>
          </cell>
          <cell r="W58">
            <v>53333.555443550453</v>
          </cell>
          <cell r="X58">
            <v>48281.292971347262</v>
          </cell>
          <cell r="Y58">
            <v>45835.280648938162</v>
          </cell>
          <cell r="Z58">
            <v>44223.849395779362</v>
          </cell>
          <cell r="AA58">
            <v>42566.639395252947</v>
          </cell>
          <cell r="AB58">
            <v>41551.338534745984</v>
          </cell>
          <cell r="AC58">
            <v>39592.810156280801</v>
          </cell>
          <cell r="AD58">
            <v>37726.597297472013</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0.05</v>
          </cell>
          <cell r="AS58">
            <v>0</v>
          </cell>
          <cell r="AT58">
            <v>0</v>
          </cell>
          <cell r="AU58">
            <v>0</v>
          </cell>
          <cell r="AV58">
            <v>0</v>
          </cell>
          <cell r="AW58">
            <v>0</v>
          </cell>
          <cell r="AY58">
            <v>21</v>
          </cell>
        </row>
        <row r="59">
          <cell r="C59" t="str">
            <v>ERSOLTC03-N</v>
          </cell>
          <cell r="D59" t="str">
            <v>Solar</v>
          </cell>
          <cell r="E59" t="str">
            <v>PWRSOL</v>
          </cell>
          <cell r="G59" t="str">
            <v>ELCC</v>
          </cell>
          <cell r="I59">
            <v>1</v>
          </cell>
          <cell r="J59">
            <v>1</v>
          </cell>
          <cell r="K59">
            <v>0.505</v>
          </cell>
          <cell r="L59">
            <v>0.96</v>
          </cell>
          <cell r="M59">
            <v>30</v>
          </cell>
          <cell r="N59">
            <v>3</v>
          </cell>
          <cell r="O59">
            <v>68.055555555555557</v>
          </cell>
          <cell r="P59">
            <v>603</v>
          </cell>
          <cell r="Q59">
            <v>0</v>
          </cell>
          <cell r="R59">
            <v>2014</v>
          </cell>
          <cell r="U59">
            <v>79562.674171785271</v>
          </cell>
          <cell r="V59">
            <v>65766.01373252488</v>
          </cell>
          <cell r="W59">
            <v>60018.889280603129</v>
          </cell>
          <cell r="X59">
            <v>54333.328297205786</v>
          </cell>
          <cell r="Y59">
            <v>51580.709583963486</v>
          </cell>
          <cell r="Z59">
            <v>49767.286249211153</v>
          </cell>
          <cell r="AA59">
            <v>47902.345824574026</v>
          </cell>
          <cell r="AB59">
            <v>46759.777521626995</v>
          </cell>
          <cell r="AC59">
            <v>44555.748614826713</v>
          </cell>
          <cell r="AD59">
            <v>42455.606930752518</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Y59">
            <v>22</v>
          </cell>
        </row>
        <row r="60">
          <cell r="C60" t="str">
            <v>ERSOLTC06-N</v>
          </cell>
          <cell r="D60" t="str">
            <v>Solar</v>
          </cell>
          <cell r="E60" t="str">
            <v>PWRSOL</v>
          </cell>
          <cell r="G60" t="str">
            <v>ELCC</v>
          </cell>
          <cell r="I60">
            <v>1</v>
          </cell>
          <cell r="J60">
            <v>1</v>
          </cell>
          <cell r="K60">
            <v>0.6</v>
          </cell>
          <cell r="L60">
            <v>0.96</v>
          </cell>
          <cell r="M60">
            <v>30</v>
          </cell>
          <cell r="N60">
            <v>3</v>
          </cell>
          <cell r="O60">
            <v>68.055555555555557</v>
          </cell>
          <cell r="P60">
            <v>603</v>
          </cell>
          <cell r="Q60">
            <v>0</v>
          </cell>
          <cell r="R60">
            <v>2014</v>
          </cell>
          <cell r="U60">
            <v>85712.446088445009</v>
          </cell>
          <cell r="V60">
            <v>70849.37711281667</v>
          </cell>
          <cell r="W60">
            <v>64658.030481036229</v>
          </cell>
          <cell r="X60">
            <v>58533.005846748267</v>
          </cell>
          <cell r="Y60">
            <v>55567.624334414773</v>
          </cell>
          <cell r="Z60">
            <v>53614.033012435211</v>
          </cell>
          <cell r="AA60">
            <v>51604.942603285068</v>
          </cell>
          <cell r="AB60">
            <v>50374.059842139235</v>
          </cell>
          <cell r="AC60">
            <v>47999.671213074194</v>
          </cell>
          <cell r="AD60">
            <v>45737.199736994262</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Y60">
            <v>23</v>
          </cell>
        </row>
        <row r="61">
          <cell r="C61" t="str">
            <v>ERSOLTC09-N</v>
          </cell>
          <cell r="D61" t="str">
            <v>Solar</v>
          </cell>
          <cell r="E61" t="str">
            <v>PWRSOL</v>
          </cell>
          <cell r="G61" t="str">
            <v>ELCC</v>
          </cell>
          <cell r="I61">
            <v>1</v>
          </cell>
          <cell r="J61">
            <v>1</v>
          </cell>
          <cell r="K61">
            <v>0.70000000000000007</v>
          </cell>
          <cell r="L61">
            <v>0.96</v>
          </cell>
          <cell r="M61">
            <v>30</v>
          </cell>
          <cell r="N61">
            <v>3</v>
          </cell>
          <cell r="O61">
            <v>68.055555555555557</v>
          </cell>
          <cell r="P61">
            <v>603</v>
          </cell>
          <cell r="Q61">
            <v>0</v>
          </cell>
          <cell r="R61">
            <v>2014</v>
          </cell>
          <cell r="U61">
            <v>88293.153946328996</v>
          </cell>
          <cell r="V61">
            <v>72982.574245617667</v>
          </cell>
          <cell r="W61">
            <v>66604.812949075116</v>
          </cell>
          <cell r="X61">
            <v>60295.370532716981</v>
          </cell>
          <cell r="Y61">
            <v>57240.704631479151</v>
          </cell>
          <cell r="Z61">
            <v>55228.292814859582</v>
          </cell>
          <cell r="AA61">
            <v>53158.710894351301</v>
          </cell>
          <cell r="AB61">
            <v>51890.767601639898</v>
          </cell>
          <cell r="AC61">
            <v>49444.888731981613</v>
          </cell>
          <cell r="AD61">
            <v>47114.296718184989</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Y61">
            <v>24</v>
          </cell>
        </row>
        <row r="62">
          <cell r="C62" t="str">
            <v>ERSOLTT00-N</v>
          </cell>
          <cell r="D62" t="str">
            <v>Solar</v>
          </cell>
          <cell r="E62" t="str">
            <v>PWRSOL</v>
          </cell>
          <cell r="G62" t="str">
            <v>ELCC</v>
          </cell>
          <cell r="I62">
            <v>1</v>
          </cell>
          <cell r="J62">
            <v>0</v>
          </cell>
          <cell r="K62">
            <v>0.25</v>
          </cell>
          <cell r="L62">
            <v>0.96</v>
          </cell>
          <cell r="M62">
            <v>30</v>
          </cell>
          <cell r="N62">
            <v>3</v>
          </cell>
          <cell r="O62">
            <v>68.055555555555557</v>
          </cell>
          <cell r="P62">
            <v>424</v>
          </cell>
          <cell r="Q62">
            <v>0</v>
          </cell>
          <cell r="R62">
            <v>2014</v>
          </cell>
          <cell r="U62">
            <v>60289.728254396294</v>
          </cell>
          <cell r="V62">
            <v>49835.115996074754</v>
          </cell>
          <cell r="W62">
            <v>45480.152125674424</v>
          </cell>
          <cell r="X62">
            <v>41171.838833907488</v>
          </cell>
          <cell r="Y62">
            <v>39086.003535674194</v>
          </cell>
          <cell r="Z62">
            <v>37711.856660892925</v>
          </cell>
          <cell r="AA62">
            <v>36298.671991292118</v>
          </cell>
          <cell r="AB62">
            <v>35432.87489216456</v>
          </cell>
          <cell r="AC62">
            <v>33762.741186390427</v>
          </cell>
          <cell r="AD62">
            <v>32171.329475477065</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Y62">
            <v>16</v>
          </cell>
        </row>
        <row r="63">
          <cell r="C63" t="str">
            <v>ERSOLTT03-N</v>
          </cell>
          <cell r="D63" t="str">
            <v>Solar</v>
          </cell>
          <cell r="E63" t="str">
            <v>PWRSOL</v>
          </cell>
          <cell r="G63" t="str">
            <v>ELCC</v>
          </cell>
          <cell r="I63">
            <v>1</v>
          </cell>
          <cell r="J63">
            <v>0</v>
          </cell>
          <cell r="K63">
            <v>0.29199999999999998</v>
          </cell>
          <cell r="L63">
            <v>0.96</v>
          </cell>
          <cell r="M63">
            <v>30</v>
          </cell>
          <cell r="N63">
            <v>3</v>
          </cell>
          <cell r="O63">
            <v>68.055555555555557</v>
          </cell>
          <cell r="P63">
            <v>513</v>
          </cell>
          <cell r="Q63">
            <v>0</v>
          </cell>
          <cell r="R63">
            <v>2014</v>
          </cell>
          <cell r="U63">
            <v>82198.290707496577</v>
          </cell>
          <cell r="V63">
            <v>67944.598038364202</v>
          </cell>
          <cell r="W63">
            <v>62007.09265221731</v>
          </cell>
          <cell r="X63">
            <v>56133.190104152556</v>
          </cell>
          <cell r="Y63">
            <v>53289.387334156891</v>
          </cell>
          <cell r="Z63">
            <v>51415.892004878602</v>
          </cell>
          <cell r="AA63">
            <v>49489.173015450178</v>
          </cell>
          <cell r="AB63">
            <v>48308.755658989379</v>
          </cell>
          <cell r="AC63">
            <v>46031.715442647059</v>
          </cell>
          <cell r="AD63">
            <v>43862.003847713262</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Y63">
            <v>17</v>
          </cell>
        </row>
        <row r="64">
          <cell r="C64" t="str">
            <v>ERSOLTT06-N</v>
          </cell>
          <cell r="D64" t="str">
            <v>Solar</v>
          </cell>
          <cell r="E64" t="str">
            <v>PWRSOL</v>
          </cell>
          <cell r="G64" t="str">
            <v>ELCC</v>
          </cell>
          <cell r="I64">
            <v>1</v>
          </cell>
          <cell r="J64">
            <v>1</v>
          </cell>
          <cell r="K64">
            <v>0.41</v>
          </cell>
          <cell r="L64">
            <v>0.96</v>
          </cell>
          <cell r="M64">
            <v>30</v>
          </cell>
          <cell r="N64">
            <v>3</v>
          </cell>
          <cell r="O64">
            <v>68.055555555555557</v>
          </cell>
          <cell r="P64">
            <v>562</v>
          </cell>
          <cell r="Q64">
            <v>0</v>
          </cell>
          <cell r="R64">
            <v>2014</v>
          </cell>
          <cell r="U64">
            <v>95288.519501529445</v>
          </cell>
          <cell r="V64">
            <v>78764.900090699579</v>
          </cell>
          <cell r="W64">
            <v>71881.83606456776</v>
          </cell>
          <cell r="X64">
            <v>65072.503745321548</v>
          </cell>
          <cell r="Y64">
            <v>61775.820160117488</v>
          </cell>
          <cell r="Z64">
            <v>59603.967258026947</v>
          </cell>
          <cell r="AA64">
            <v>57370.414730135104</v>
          </cell>
          <cell r="AB64">
            <v>56002.013741222559</v>
          </cell>
          <cell r="AC64">
            <v>53362.35068748812</v>
          </cell>
          <cell r="AD64">
            <v>50847.10853528497</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0.1</v>
          </cell>
          <cell r="AT64">
            <v>0</v>
          </cell>
          <cell r="AU64">
            <v>0</v>
          </cell>
          <cell r="AV64">
            <v>0</v>
          </cell>
          <cell r="AW64">
            <v>0</v>
          </cell>
          <cell r="AY64">
            <v>18</v>
          </cell>
        </row>
        <row r="65">
          <cell r="C65" t="str">
            <v>ERSOLTT09-N</v>
          </cell>
          <cell r="D65" t="str">
            <v>Solar</v>
          </cell>
          <cell r="E65" t="str">
            <v>PWRSOL</v>
          </cell>
          <cell r="G65" t="str">
            <v>ELCC</v>
          </cell>
          <cell r="I65">
            <v>1</v>
          </cell>
          <cell r="J65">
            <v>1</v>
          </cell>
          <cell r="K65">
            <v>0.505</v>
          </cell>
          <cell r="L65">
            <v>0.96</v>
          </cell>
          <cell r="M65">
            <v>30</v>
          </cell>
          <cell r="N65">
            <v>3</v>
          </cell>
          <cell r="O65">
            <v>68.055555555555557</v>
          </cell>
          <cell r="P65">
            <v>635</v>
          </cell>
          <cell r="Q65">
            <v>0</v>
          </cell>
          <cell r="R65">
            <v>2014</v>
          </cell>
          <cell r="U65">
            <v>111816.03152755246</v>
          </cell>
          <cell r="V65">
            <v>92426.439175233725</v>
          </cell>
          <cell r="W65">
            <v>84349.52804073169</v>
          </cell>
          <cell r="X65">
            <v>76359.137159716949</v>
          </cell>
          <cell r="Y65">
            <v>72490.653551955314</v>
          </cell>
          <cell r="Z65">
            <v>69942.099184191567</v>
          </cell>
          <cell r="AA65">
            <v>67321.143572921006</v>
          </cell>
          <cell r="AB65">
            <v>65715.397477599181</v>
          </cell>
          <cell r="AC65">
            <v>62617.892670278205</v>
          </cell>
          <cell r="AD65">
            <v>59666.389202059647</v>
          </cell>
          <cell r="AE65">
            <v>0.5</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0.05</v>
          </cell>
          <cell r="AU65">
            <v>0</v>
          </cell>
          <cell r="AV65">
            <v>0</v>
          </cell>
          <cell r="AW65">
            <v>0</v>
          </cell>
          <cell r="AY65">
            <v>19</v>
          </cell>
        </row>
        <row r="66">
          <cell r="C66" t="str">
            <v>ERSOLPCC-N</v>
          </cell>
          <cell r="D66" t="str">
            <v>Solar</v>
          </cell>
          <cell r="E66" t="str">
            <v>PWRSOL</v>
          </cell>
          <cell r="G66" t="str">
            <v>ELCC</v>
          </cell>
          <cell r="I66">
            <v>1</v>
          </cell>
          <cell r="J66">
            <v>0</v>
          </cell>
          <cell r="K66">
            <v>0.26800000000000002</v>
          </cell>
          <cell r="L66">
            <v>0.96</v>
          </cell>
          <cell r="M66">
            <v>25</v>
          </cell>
          <cell r="N66">
            <v>1</v>
          </cell>
          <cell r="O66">
            <v>0</v>
          </cell>
          <cell r="P66">
            <v>502</v>
          </cell>
          <cell r="Q66">
            <v>0</v>
          </cell>
          <cell r="R66">
            <v>2011</v>
          </cell>
          <cell r="U66">
            <v>54649.631096132485</v>
          </cell>
          <cell r="V66">
            <v>45379.760500464741</v>
          </cell>
          <cell r="W66">
            <v>42040.871748866863</v>
          </cell>
          <cell r="X66">
            <v>39078.240676863483</v>
          </cell>
          <cell r="Y66">
            <v>36428.57478282888</v>
          </cell>
          <cell r="Z66">
            <v>34043.803103400685</v>
          </cell>
          <cell r="AA66">
            <v>31445.610650845942</v>
          </cell>
          <cell r="AB66">
            <v>29120.308690001679</v>
          </cell>
          <cell r="AC66">
            <v>26974.914204216842</v>
          </cell>
          <cell r="AD66">
            <v>25964.138341555175</v>
          </cell>
          <cell r="AE66">
            <v>0.1</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Y66">
            <v>13</v>
          </cell>
        </row>
        <row r="67">
          <cell r="C67" t="str">
            <v>ERSOLPCN-N</v>
          </cell>
          <cell r="D67" t="str">
            <v>Solar</v>
          </cell>
          <cell r="E67" t="str">
            <v>PWRSOL</v>
          </cell>
          <cell r="G67" t="str">
            <v>ELCC</v>
          </cell>
          <cell r="I67">
            <v>1</v>
          </cell>
          <cell r="J67">
            <v>0</v>
          </cell>
          <cell r="K67">
            <v>0.2</v>
          </cell>
          <cell r="L67">
            <v>0.96</v>
          </cell>
          <cell r="M67">
            <v>25</v>
          </cell>
          <cell r="N67">
            <v>1</v>
          </cell>
          <cell r="O67">
            <v>0</v>
          </cell>
          <cell r="P67">
            <v>208</v>
          </cell>
          <cell r="Q67">
            <v>0</v>
          </cell>
          <cell r="R67">
            <v>2011</v>
          </cell>
          <cell r="U67">
            <v>27617.699400414891</v>
          </cell>
          <cell r="V67">
            <v>22933.084070778852</v>
          </cell>
          <cell r="W67">
            <v>21245.745583336022</v>
          </cell>
          <cell r="X67">
            <v>19748.552414053884</v>
          </cell>
          <cell r="Y67">
            <v>18409.519108517849</v>
          </cell>
          <cell r="Z67">
            <v>17204.352558258528</v>
          </cell>
          <cell r="AA67">
            <v>15891.331835156852</v>
          </cell>
          <cell r="AB67">
            <v>14716.218860344166</v>
          </cell>
          <cell r="AC67">
            <v>13632.023801470174</v>
          </cell>
          <cell r="AD67">
            <v>13121.218817497273</v>
          </cell>
          <cell r="AE67">
            <v>1</v>
          </cell>
          <cell r="AF67">
            <v>0</v>
          </cell>
          <cell r="AG67">
            <v>0</v>
          </cell>
          <cell r="AH67">
            <v>0</v>
          </cell>
          <cell r="AI67">
            <v>0</v>
          </cell>
          <cell r="AJ67">
            <v>0</v>
          </cell>
          <cell r="AK67">
            <v>0</v>
          </cell>
          <cell r="AL67">
            <v>0</v>
          </cell>
          <cell r="AM67">
            <v>0</v>
          </cell>
          <cell r="AN67">
            <v>0</v>
          </cell>
          <cell r="AO67">
            <v>0</v>
          </cell>
          <cell r="AP67">
            <v>0.36569999999999997</v>
          </cell>
          <cell r="AQ67">
            <v>0.68230000000000013</v>
          </cell>
          <cell r="AR67">
            <v>0.40100000000000002</v>
          </cell>
          <cell r="AS67">
            <v>0</v>
          </cell>
          <cell r="AT67">
            <v>0</v>
          </cell>
          <cell r="AU67">
            <v>0</v>
          </cell>
          <cell r="AV67">
            <v>0</v>
          </cell>
          <cell r="AW67">
            <v>0</v>
          </cell>
          <cell r="AY67">
            <v>12</v>
          </cell>
        </row>
        <row r="68">
          <cell r="C68" t="str">
            <v>ERSOLPRC-N</v>
          </cell>
          <cell r="D68" t="str">
            <v>Solar</v>
          </cell>
          <cell r="E68" t="str">
            <v>PWRSOL</v>
          </cell>
          <cell r="G68" t="str">
            <v>COMELC</v>
          </cell>
          <cell r="I68">
            <v>1</v>
          </cell>
          <cell r="J68">
            <v>0</v>
          </cell>
          <cell r="K68">
            <v>0.17599999999999999</v>
          </cell>
          <cell r="L68">
            <v>0.96</v>
          </cell>
          <cell r="M68">
            <v>25</v>
          </cell>
          <cell r="N68">
            <v>1</v>
          </cell>
          <cell r="O68">
            <v>0</v>
          </cell>
          <cell r="P68">
            <v>208</v>
          </cell>
          <cell r="Q68">
            <v>0</v>
          </cell>
          <cell r="R68">
            <v>2011</v>
          </cell>
          <cell r="U68">
            <v>30543.601744930464</v>
          </cell>
          <cell r="V68">
            <v>24285.109660853643</v>
          </cell>
          <cell r="W68">
            <v>23777.052263327656</v>
          </cell>
          <cell r="X68">
            <v>23494.934204078476</v>
          </cell>
          <cell r="Y68">
            <v>23160.580445516542</v>
          </cell>
          <cell r="Z68">
            <v>22833.186153731051</v>
          </cell>
          <cell r="AA68">
            <v>21353.720307457737</v>
          </cell>
          <cell r="AB68">
            <v>20738.624379474131</v>
          </cell>
          <cell r="AC68">
            <v>20142.106680154167</v>
          </cell>
          <cell r="AD68">
            <v>19850.52461836052</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Y68">
            <v>14</v>
          </cell>
        </row>
        <row r="69">
          <cell r="C69" t="str">
            <v>ERSOLPRR-N</v>
          </cell>
          <cell r="D69" t="str">
            <v>Solar</v>
          </cell>
          <cell r="E69" t="str">
            <v>PWRSOL</v>
          </cell>
          <cell r="G69" t="str">
            <v>RESELC</v>
          </cell>
          <cell r="I69">
            <v>1</v>
          </cell>
          <cell r="J69">
            <v>0</v>
          </cell>
          <cell r="K69">
            <v>0.17599999999999999</v>
          </cell>
          <cell r="L69">
            <v>0.96</v>
          </cell>
          <cell r="M69">
            <v>25</v>
          </cell>
          <cell r="N69">
            <v>1</v>
          </cell>
          <cell r="O69">
            <v>0</v>
          </cell>
          <cell r="P69">
            <v>208</v>
          </cell>
          <cell r="Q69">
            <v>0</v>
          </cell>
          <cell r="R69">
            <v>2011</v>
          </cell>
          <cell r="U69">
            <v>30543.601744930464</v>
          </cell>
          <cell r="V69">
            <v>24285.109660853643</v>
          </cell>
          <cell r="W69">
            <v>23777.052263327656</v>
          </cell>
          <cell r="X69">
            <v>23494.934204078476</v>
          </cell>
          <cell r="Y69">
            <v>23160.580445516542</v>
          </cell>
          <cell r="Z69">
            <v>22833.186153731051</v>
          </cell>
          <cell r="AA69">
            <v>21353.720307457737</v>
          </cell>
          <cell r="AB69">
            <v>20738.624379474131</v>
          </cell>
          <cell r="AC69">
            <v>20142.106680154167</v>
          </cell>
          <cell r="AD69">
            <v>19850.52461836052</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Y69">
            <v>15</v>
          </cell>
        </row>
        <row r="70">
          <cell r="C70" t="str">
            <v>ERWNDH-N</v>
          </cell>
          <cell r="D70" t="str">
            <v>Wind</v>
          </cell>
          <cell r="E70" t="str">
            <v>PWRWND</v>
          </cell>
          <cell r="G70" t="str">
            <v>ELCC</v>
          </cell>
          <cell r="I70">
            <v>1</v>
          </cell>
          <cell r="J70">
            <v>0.15</v>
          </cell>
          <cell r="K70">
            <v>0.3</v>
          </cell>
          <cell r="L70">
            <v>0.31914893617021278</v>
          </cell>
          <cell r="M70">
            <v>20</v>
          </cell>
          <cell r="N70">
            <v>2</v>
          </cell>
          <cell r="O70">
            <v>0</v>
          </cell>
          <cell r="P70">
            <v>266</v>
          </cell>
          <cell r="Q70">
            <v>0</v>
          </cell>
          <cell r="R70">
            <v>2011</v>
          </cell>
          <cell r="U70">
            <v>15792.347275741371</v>
          </cell>
          <cell r="V70">
            <v>14772.322353050704</v>
          </cell>
          <cell r="W70">
            <v>14539.624531314546</v>
          </cell>
          <cell r="X70">
            <v>14340.641126084178</v>
          </cell>
          <cell r="Y70">
            <v>14173.438548835467</v>
          </cell>
          <cell r="Z70">
            <v>14090.110161564675</v>
          </cell>
          <cell r="AA70">
            <v>13915.538594240305</v>
          </cell>
          <cell r="AB70">
            <v>13805.476974947531</v>
          </cell>
          <cell r="AC70">
            <v>13696.329042553671</v>
          </cell>
          <cell r="AD70">
            <v>13642.089849742462</v>
          </cell>
          <cell r="AE70">
            <v>1.6</v>
          </cell>
          <cell r="AF70">
            <v>0</v>
          </cell>
          <cell r="AG70">
            <v>0</v>
          </cell>
          <cell r="AH70">
            <v>0</v>
          </cell>
          <cell r="AI70">
            <v>10</v>
          </cell>
          <cell r="AJ70">
            <v>0</v>
          </cell>
          <cell r="AK70">
            <v>0</v>
          </cell>
          <cell r="AL70">
            <v>0</v>
          </cell>
          <cell r="AM70">
            <v>0</v>
          </cell>
          <cell r="AN70">
            <v>0</v>
          </cell>
          <cell r="AO70">
            <v>0</v>
          </cell>
          <cell r="AP70">
            <v>0.3639</v>
          </cell>
          <cell r="AQ70">
            <v>0.83210000000000017</v>
          </cell>
          <cell r="AR70">
            <v>0.753</v>
          </cell>
          <cell r="AS70">
            <v>0</v>
          </cell>
          <cell r="AT70">
            <v>0</v>
          </cell>
          <cell r="AU70">
            <v>0</v>
          </cell>
          <cell r="AV70">
            <v>0</v>
          </cell>
          <cell r="AW70">
            <v>0</v>
          </cell>
          <cell r="AY70">
            <v>10</v>
          </cell>
        </row>
        <row r="71">
          <cell r="C71" t="str">
            <v>ERWNDM-N</v>
          </cell>
          <cell r="D71" t="str">
            <v>Wind</v>
          </cell>
          <cell r="E71" t="str">
            <v>PWRWND</v>
          </cell>
          <cell r="G71" t="str">
            <v>ELCC</v>
          </cell>
          <cell r="I71">
            <v>1</v>
          </cell>
          <cell r="J71">
            <v>0.125</v>
          </cell>
          <cell r="K71">
            <v>0.25</v>
          </cell>
          <cell r="L71">
            <v>0.26595744680851063</v>
          </cell>
          <cell r="M71">
            <v>20</v>
          </cell>
          <cell r="N71">
            <v>2</v>
          </cell>
          <cell r="O71">
            <v>0</v>
          </cell>
          <cell r="P71">
            <v>266</v>
          </cell>
          <cell r="Q71">
            <v>0</v>
          </cell>
          <cell r="R71">
            <v>2015</v>
          </cell>
          <cell r="U71">
            <v>15792.347275741371</v>
          </cell>
          <cell r="V71">
            <v>14772.322353050704</v>
          </cell>
          <cell r="W71">
            <v>14539.624531314546</v>
          </cell>
          <cell r="X71">
            <v>14340.641126084178</v>
          </cell>
          <cell r="Y71">
            <v>14173.438548835467</v>
          </cell>
          <cell r="Z71">
            <v>14090.110161564675</v>
          </cell>
          <cell r="AA71">
            <v>13915.538594240305</v>
          </cell>
          <cell r="AB71">
            <v>13805.476974947531</v>
          </cell>
          <cell r="AC71">
            <v>13696.329042553671</v>
          </cell>
          <cell r="AD71">
            <v>13642.089849742462</v>
          </cell>
          <cell r="AE71">
            <v>1.6</v>
          </cell>
          <cell r="AF71">
            <v>0</v>
          </cell>
          <cell r="AG71">
            <v>0</v>
          </cell>
          <cell r="AH71">
            <v>0</v>
          </cell>
          <cell r="AI71">
            <v>15</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Y71">
            <v>11</v>
          </cell>
        </row>
        <row r="72">
          <cell r="C72">
            <v>0</v>
          </cell>
          <cell r="AY72" t="e">
            <v>#N/A</v>
          </cell>
        </row>
        <row r="73">
          <cell r="C73">
            <v>0</v>
          </cell>
          <cell r="AY73" t="e">
            <v>#N/A</v>
          </cell>
        </row>
        <row r="74">
          <cell r="C74">
            <v>0</v>
          </cell>
          <cell r="AY74" t="e">
            <v>#N/A</v>
          </cell>
        </row>
        <row r="75">
          <cell r="C75">
            <v>0</v>
          </cell>
          <cell r="AY75" t="e">
            <v>#N/A</v>
          </cell>
        </row>
        <row r="76">
          <cell r="C76">
            <v>0</v>
          </cell>
          <cell r="AY76" t="e">
            <v>#N/A</v>
          </cell>
        </row>
        <row r="77">
          <cell r="C77">
            <v>0</v>
          </cell>
          <cell r="AY77" t="e">
            <v>#N/A</v>
          </cell>
        </row>
        <row r="78">
          <cell r="C78">
            <v>0</v>
          </cell>
          <cell r="AY78" t="e">
            <v>#N/A</v>
          </cell>
        </row>
        <row r="79">
          <cell r="C79">
            <v>0</v>
          </cell>
          <cell r="AY79" t="e">
            <v>#N/A</v>
          </cell>
        </row>
        <row r="80">
          <cell r="AY80" t="e">
            <v>#N/A</v>
          </cell>
        </row>
        <row r="81">
          <cell r="AY81" t="e">
            <v>#N/A</v>
          </cell>
        </row>
        <row r="82">
          <cell r="AY82" t="e">
            <v>#N/A</v>
          </cell>
        </row>
        <row r="83">
          <cell r="AY83" t="e">
            <v>#N/A</v>
          </cell>
        </row>
        <row r="84">
          <cell r="AY84" t="e">
            <v>#N/A</v>
          </cell>
        </row>
        <row r="85">
          <cell r="AY85" t="e">
            <v>#N/A</v>
          </cell>
        </row>
        <row r="86">
          <cell r="AY86" t="e">
            <v>#N/A</v>
          </cell>
        </row>
        <row r="87">
          <cell r="AY87" t="e">
            <v>#N/A</v>
          </cell>
        </row>
        <row r="88">
          <cell r="AY88" t="e">
            <v>#N/A</v>
          </cell>
        </row>
        <row r="89">
          <cell r="AY89" t="e">
            <v>#N/A</v>
          </cell>
        </row>
        <row r="90">
          <cell r="AY90" t="e">
            <v>#N/A</v>
          </cell>
        </row>
        <row r="91">
          <cell r="AY91" t="e">
            <v>#N/A</v>
          </cell>
        </row>
        <row r="92">
          <cell r="C92">
            <v>41</v>
          </cell>
        </row>
        <row r="93">
          <cell r="G93" t="str">
            <v>ELCC</v>
          </cell>
          <cell r="I93">
            <v>0</v>
          </cell>
          <cell r="J93">
            <v>0</v>
          </cell>
          <cell r="K93">
            <v>0</v>
          </cell>
          <cell r="L93">
            <v>0</v>
          </cell>
          <cell r="M93">
            <v>0</v>
          </cell>
          <cell r="O93">
            <v>0</v>
          </cell>
          <cell r="P93">
            <v>0</v>
          </cell>
          <cell r="Q93">
            <v>0</v>
          </cell>
          <cell r="R93">
            <v>0</v>
          </cell>
          <cell r="S93">
            <v>0</v>
          </cell>
          <cell r="T93">
            <v>0</v>
          </cell>
          <cell r="AE93">
            <v>0</v>
          </cell>
          <cell r="AF93">
            <v>0</v>
          </cell>
          <cell r="AG93">
            <v>0</v>
          </cell>
          <cell r="AH93">
            <v>0</v>
          </cell>
          <cell r="AI93">
            <v>0</v>
          </cell>
          <cell r="AJ93">
            <v>0</v>
          </cell>
          <cell r="AK93">
            <v>0</v>
          </cell>
          <cell r="AL93">
            <v>0</v>
          </cell>
          <cell r="AM93">
            <v>0</v>
          </cell>
          <cell r="AN93">
            <v>0</v>
          </cell>
          <cell r="AO93">
            <v>0</v>
          </cell>
          <cell r="AP93">
            <v>0</v>
          </cell>
          <cell r="AQ93">
            <v>0</v>
          </cell>
          <cell r="AS93">
            <v>0</v>
          </cell>
          <cell r="AT93">
            <v>0</v>
          </cell>
          <cell r="AU93">
            <v>0</v>
          </cell>
          <cell r="AV93">
            <v>0</v>
          </cell>
          <cell r="AW93">
            <v>0</v>
          </cell>
        </row>
        <row r="94">
          <cell r="C94" t="str">
            <v>EPP-N</v>
          </cell>
          <cell r="D94" t="str">
            <v>Electricity</v>
          </cell>
          <cell r="E94" t="str">
            <v>ELCC</v>
          </cell>
          <cell r="G94" t="str">
            <v>PWREPN</v>
          </cell>
          <cell r="I94">
            <v>0.73000000000000009</v>
          </cell>
          <cell r="K94">
            <v>0</v>
          </cell>
          <cell r="L94">
            <v>0</v>
          </cell>
          <cell r="M94">
            <v>0</v>
          </cell>
          <cell r="O94">
            <v>0</v>
          </cell>
          <cell r="P94">
            <v>0</v>
          </cell>
          <cell r="Q94">
            <v>0</v>
          </cell>
          <cell r="R94">
            <v>0</v>
          </cell>
          <cell r="S94">
            <v>0</v>
          </cell>
          <cell r="T94">
            <v>0</v>
          </cell>
          <cell r="AE94">
            <v>0</v>
          </cell>
          <cell r="AF94">
            <v>0</v>
          </cell>
          <cell r="AG94">
            <v>0</v>
          </cell>
          <cell r="AH94">
            <v>0</v>
          </cell>
          <cell r="AI94">
            <v>0</v>
          </cell>
          <cell r="AJ94">
            <v>0</v>
          </cell>
          <cell r="AK94">
            <v>0</v>
          </cell>
          <cell r="AL94">
            <v>0</v>
          </cell>
          <cell r="AM94">
            <v>0</v>
          </cell>
          <cell r="AN94">
            <v>0</v>
          </cell>
          <cell r="AO94">
            <v>0</v>
          </cell>
          <cell r="AP94">
            <v>0</v>
          </cell>
          <cell r="AQ94">
            <v>0</v>
          </cell>
          <cell r="AS94">
            <v>0</v>
          </cell>
          <cell r="AT94">
            <v>0</v>
          </cell>
          <cell r="AU94">
            <v>0</v>
          </cell>
          <cell r="AV94">
            <v>0</v>
          </cell>
          <cell r="AW94">
            <v>0</v>
          </cell>
        </row>
        <row r="95">
          <cell r="C95" t="str">
            <v>EPD-N</v>
          </cell>
          <cell r="D95" t="str">
            <v>Power Sector - PS Dummy Commodity - New</v>
          </cell>
          <cell r="E95" t="str">
            <v>PWREPN</v>
          </cell>
          <cell r="G95" t="str">
            <v>PWREPN</v>
          </cell>
          <cell r="I95">
            <v>0</v>
          </cell>
          <cell r="J95">
            <v>0</v>
          </cell>
          <cell r="K95">
            <v>0</v>
          </cell>
          <cell r="L95">
            <v>0</v>
          </cell>
          <cell r="M95">
            <v>0</v>
          </cell>
          <cell r="O95">
            <v>0</v>
          </cell>
          <cell r="P95">
            <v>0</v>
          </cell>
          <cell r="Q95">
            <v>0</v>
          </cell>
          <cell r="R95">
            <v>0</v>
          </cell>
          <cell r="S95">
            <v>0</v>
          </cell>
          <cell r="T95">
            <v>0</v>
          </cell>
          <cell r="AE95">
            <v>0</v>
          </cell>
          <cell r="AF95">
            <v>0</v>
          </cell>
          <cell r="AG95">
            <v>0</v>
          </cell>
          <cell r="AH95">
            <v>0</v>
          </cell>
          <cell r="AI95">
            <v>0</v>
          </cell>
          <cell r="AJ95">
            <v>0</v>
          </cell>
          <cell r="AK95">
            <v>0</v>
          </cell>
          <cell r="AL95">
            <v>0</v>
          </cell>
          <cell r="AM95">
            <v>0</v>
          </cell>
          <cell r="AN95">
            <v>0</v>
          </cell>
          <cell r="AO95">
            <v>0</v>
          </cell>
          <cell r="AP95">
            <v>0</v>
          </cell>
          <cell r="AQ95">
            <v>0</v>
          </cell>
          <cell r="AS95">
            <v>0</v>
          </cell>
          <cell r="AT95">
            <v>0</v>
          </cell>
          <cell r="AU95">
            <v>0</v>
          </cell>
          <cell r="AV95">
            <v>0</v>
          </cell>
          <cell r="AW95">
            <v>0</v>
          </cell>
        </row>
        <row r="96">
          <cell r="C96" t="str">
            <v>EPT-N</v>
          </cell>
          <cell r="D96" t="str">
            <v>Power Sector - PS Dummy Commodity - New</v>
          </cell>
          <cell r="E96" t="str">
            <v>PWREPN</v>
          </cell>
          <cell r="G96" t="str">
            <v>ELCC</v>
          </cell>
          <cell r="I96">
            <v>0</v>
          </cell>
          <cell r="J96">
            <v>1</v>
          </cell>
          <cell r="K96">
            <v>0.94</v>
          </cell>
          <cell r="L96">
            <v>0.24500000000000002</v>
          </cell>
          <cell r="M96">
            <v>50</v>
          </cell>
          <cell r="N96">
            <v>3</v>
          </cell>
          <cell r="O96">
            <v>0</v>
          </cell>
          <cell r="P96">
            <v>153.85689865992643</v>
          </cell>
          <cell r="Q96">
            <v>0</v>
          </cell>
          <cell r="R96">
            <v>2010</v>
          </cell>
          <cell r="S96">
            <v>0</v>
          </cell>
          <cell r="T96">
            <v>0</v>
          </cell>
          <cell r="U96">
            <v>7913</v>
          </cell>
          <cell r="V96">
            <v>7913</v>
          </cell>
          <cell r="W96">
            <v>7913</v>
          </cell>
          <cell r="X96">
            <v>7913</v>
          </cell>
          <cell r="Y96">
            <v>7913</v>
          </cell>
          <cell r="Z96">
            <v>7913</v>
          </cell>
          <cell r="AA96">
            <v>7913</v>
          </cell>
          <cell r="AB96">
            <v>7913</v>
          </cell>
          <cell r="AC96">
            <v>7913</v>
          </cell>
          <cell r="AD96">
            <v>7913</v>
          </cell>
          <cell r="AE96">
            <v>0</v>
          </cell>
          <cell r="AF96">
            <v>0</v>
          </cell>
          <cell r="AG96">
            <v>0</v>
          </cell>
          <cell r="AH96">
            <v>0</v>
          </cell>
          <cell r="AI96">
            <v>4.3319999999999999</v>
          </cell>
          <cell r="AJ96">
            <v>0</v>
          </cell>
          <cell r="AK96">
            <v>0</v>
          </cell>
          <cell r="AL96">
            <v>0</v>
          </cell>
          <cell r="AM96">
            <v>0</v>
          </cell>
          <cell r="AN96">
            <v>0</v>
          </cell>
          <cell r="AO96">
            <v>0</v>
          </cell>
          <cell r="AP96">
            <v>0</v>
          </cell>
          <cell r="AQ96">
            <v>0</v>
          </cell>
          <cell r="AR96">
            <v>1.3320000000000001</v>
          </cell>
          <cell r="AS96">
            <v>0</v>
          </cell>
          <cell r="AT96">
            <v>0</v>
          </cell>
          <cell r="AU96">
            <v>0</v>
          </cell>
          <cell r="AV96">
            <v>0</v>
          </cell>
          <cell r="AW96">
            <v>0</v>
          </cell>
          <cell r="AY96">
            <v>47</v>
          </cell>
        </row>
        <row r="98">
          <cell r="C98" t="str">
            <v>EHBIW-N</v>
          </cell>
          <cell r="D98" t="str">
            <v>Biomass Wood</v>
          </cell>
          <cell r="E98" t="str">
            <v>PWRBIW</v>
          </cell>
          <cell r="G98" t="str">
            <v>ELCC</v>
          </cell>
          <cell r="I98">
            <v>0</v>
          </cell>
          <cell r="J98">
            <v>0</v>
          </cell>
          <cell r="K98">
            <v>0</v>
          </cell>
          <cell r="L98">
            <v>0</v>
          </cell>
          <cell r="M98">
            <v>0</v>
          </cell>
          <cell r="N98">
            <v>3</v>
          </cell>
          <cell r="O98">
            <v>0</v>
          </cell>
          <cell r="P98">
            <v>0</v>
          </cell>
          <cell r="Q98">
            <v>0</v>
          </cell>
          <cell r="R98">
            <v>0</v>
          </cell>
          <cell r="S98">
            <v>0</v>
          </cell>
          <cell r="T98">
            <v>0</v>
          </cell>
          <cell r="U98">
            <v>33270</v>
          </cell>
          <cell r="V98">
            <v>32480.769955156946</v>
          </cell>
          <cell r="W98">
            <v>31984.785017205653</v>
          </cell>
          <cell r="X98">
            <v>31626.430518508663</v>
          </cell>
          <cell r="Y98">
            <v>31287.342611851411</v>
          </cell>
          <cell r="Z98">
            <v>31076.551921818551</v>
          </cell>
          <cell r="AA98">
            <v>30881.61276107324</v>
          </cell>
          <cell r="AB98">
            <v>30737.462167825866</v>
          </cell>
          <cell r="AC98">
            <v>30594.017933804975</v>
          </cell>
          <cell r="AD98">
            <v>30522.555392777791</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Y98">
            <v>44</v>
          </cell>
        </row>
        <row r="99">
          <cell r="C99" t="str">
            <v>EHBIB-N</v>
          </cell>
          <cell r="D99" t="str">
            <v>Biomass bagasse</v>
          </cell>
          <cell r="E99" t="str">
            <v>PWRBIB</v>
          </cell>
          <cell r="G99" t="str">
            <v>ELCC</v>
          </cell>
          <cell r="I99">
            <v>0</v>
          </cell>
          <cell r="J99">
            <v>0</v>
          </cell>
          <cell r="K99">
            <v>0</v>
          </cell>
          <cell r="L99">
            <v>0</v>
          </cell>
          <cell r="M99">
            <v>0</v>
          </cell>
          <cell r="N99">
            <v>3</v>
          </cell>
          <cell r="O99">
            <v>0</v>
          </cell>
          <cell r="P99">
            <v>0</v>
          </cell>
          <cell r="Q99">
            <v>0</v>
          </cell>
          <cell r="R99">
            <v>0</v>
          </cell>
          <cell r="S99">
            <v>0</v>
          </cell>
          <cell r="T99">
            <v>0</v>
          </cell>
          <cell r="U99">
            <v>21318</v>
          </cell>
          <cell r="V99">
            <v>20812.294977578473</v>
          </cell>
          <cell r="W99">
            <v>20494.488938887589</v>
          </cell>
          <cell r="X99">
            <v>20264.87062800023</v>
          </cell>
          <cell r="Y99">
            <v>20047.597529289102</v>
          </cell>
          <cell r="Z99">
            <v>19912.531826550283</v>
          </cell>
          <cell r="AA99">
            <v>19787.623109124117</v>
          </cell>
          <cell r="AB99">
            <v>19695.257544145232</v>
          </cell>
          <cell r="AC99">
            <v>19603.344584095415</v>
          </cell>
          <cell r="AD99">
            <v>19557.554429312804</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Y99">
            <v>45</v>
          </cell>
        </row>
        <row r="100">
          <cell r="C100" t="str">
            <v>EHCLN-N</v>
          </cell>
          <cell r="D100" t="str">
            <v>Coal new</v>
          </cell>
          <cell r="E100" t="str">
            <v>PWRCLN</v>
          </cell>
          <cell r="G100" t="str">
            <v>ELCC</v>
          </cell>
          <cell r="I100">
            <v>0</v>
          </cell>
          <cell r="J100">
            <v>0</v>
          </cell>
          <cell r="K100">
            <v>0</v>
          </cell>
          <cell r="L100">
            <v>0</v>
          </cell>
          <cell r="M100">
            <v>0</v>
          </cell>
          <cell r="N100">
            <v>1</v>
          </cell>
          <cell r="O100">
            <v>0</v>
          </cell>
          <cell r="P100">
            <v>0</v>
          </cell>
          <cell r="Q100">
            <v>0</v>
          </cell>
          <cell r="R100">
            <v>0</v>
          </cell>
          <cell r="S100">
            <v>0</v>
          </cell>
          <cell r="T100">
            <v>0</v>
          </cell>
          <cell r="U100">
            <v>7064.8251352966272</v>
          </cell>
          <cell r="V100">
            <v>7064.8251352966272</v>
          </cell>
          <cell r="W100">
            <v>7064.8251352966272</v>
          </cell>
          <cell r="X100">
            <v>7064.8251352966272</v>
          </cell>
          <cell r="Y100">
            <v>7064.8251352966272</v>
          </cell>
          <cell r="Z100">
            <v>7064.8251352966272</v>
          </cell>
          <cell r="AA100">
            <v>7064.8251352966272</v>
          </cell>
          <cell r="AB100">
            <v>7064.8251352966272</v>
          </cell>
          <cell r="AC100">
            <v>7064.8251352966272</v>
          </cell>
          <cell r="AD100">
            <v>7064.8251352966272</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Y100">
            <v>46</v>
          </cell>
        </row>
      </sheetData>
      <sheetData sheetId="8"/>
      <sheetData sheetId="9"/>
      <sheetData sheetId="10"/>
      <sheetData sheetId="11">
        <row r="9">
          <cell r="A9" t="str">
            <v>*1</v>
          </cell>
          <cell r="B9" t="str">
            <v>PRC_ACTUNT</v>
          </cell>
          <cell r="C9" t="str">
            <v>Process</v>
          </cell>
          <cell r="D9" t="str">
            <v>-</v>
          </cell>
          <cell r="E9" t="str">
            <v>Output Commodity2006</v>
          </cell>
          <cell r="F9" t="str">
            <v>-</v>
          </cell>
          <cell r="G9" t="str">
            <v>-</v>
          </cell>
          <cell r="H9" t="str">
            <v>-</v>
          </cell>
          <cell r="I9" t="str">
            <v>#1</v>
          </cell>
        </row>
        <row r="10">
          <cell r="A10" t="str">
            <v>*2</v>
          </cell>
          <cell r="B10" t="str">
            <v>PRC_CAPACT</v>
          </cell>
          <cell r="C10" t="str">
            <v>Process</v>
          </cell>
          <cell r="D10" t="str">
            <v>-</v>
          </cell>
          <cell r="E10" t="str">
            <v>-</v>
          </cell>
          <cell r="F10" t="str">
            <v>-</v>
          </cell>
          <cell r="G10" t="str">
            <v>-</v>
          </cell>
          <cell r="H10" t="str">
            <v>-</v>
          </cell>
          <cell r="I10" t="str">
            <v>#31.536</v>
          </cell>
        </row>
        <row r="11">
          <cell r="A11" t="str">
            <v>*3</v>
          </cell>
          <cell r="B11" t="str">
            <v>PRC_NOFF</v>
          </cell>
          <cell r="C11" t="str">
            <v>Process</v>
          </cell>
          <cell r="D11" t="str">
            <v>-</v>
          </cell>
          <cell r="E11" t="str">
            <v>-</v>
          </cell>
          <cell r="F11" t="str">
            <v>-</v>
          </cell>
          <cell r="G11" t="str">
            <v>#BOH</v>
          </cell>
          <cell r="H11" t="str">
            <v>Start year</v>
          </cell>
          <cell r="I11" t="str">
            <v>#1</v>
          </cell>
        </row>
        <row r="12">
          <cell r="A12" t="str">
            <v>*4</v>
          </cell>
          <cell r="B12" t="str">
            <v>TOP-OUT</v>
          </cell>
          <cell r="C12" t="str">
            <v>Process</v>
          </cell>
          <cell r="D12" t="str">
            <v>Output Commodity2006</v>
          </cell>
          <cell r="E12" t="str">
            <v>-</v>
          </cell>
          <cell r="F12" t="str">
            <v>-</v>
          </cell>
          <cell r="G12" t="str">
            <v>-</v>
          </cell>
          <cell r="H12" t="str">
            <v>-</v>
          </cell>
          <cell r="I12" t="str">
            <v>#1</v>
          </cell>
        </row>
        <row r="13">
          <cell r="A13" t="str">
            <v>*5</v>
          </cell>
          <cell r="B13" t="str">
            <v>TOP-OUT</v>
          </cell>
          <cell r="C13" t="str">
            <v>Process</v>
          </cell>
          <cell r="D13" t="str">
            <v>#PWRWAT</v>
          </cell>
          <cell r="E13" t="str">
            <v>-</v>
          </cell>
          <cell r="F13" t="str">
            <v>-</v>
          </cell>
          <cell r="G13" t="str">
            <v>-</v>
          </cell>
          <cell r="H13" t="str">
            <v>-</v>
          </cell>
          <cell r="I13" t="str">
            <v>#1</v>
          </cell>
        </row>
        <row r="14">
          <cell r="A14" t="str">
            <v>*6</v>
          </cell>
          <cell r="B14" t="str">
            <v>TOP-IN</v>
          </cell>
          <cell r="C14" t="str">
            <v>Process</v>
          </cell>
          <cell r="D14" t="str">
            <v>input2006</v>
          </cell>
          <cell r="E14" t="str">
            <v>-</v>
          </cell>
          <cell r="F14" t="str">
            <v>-</v>
          </cell>
          <cell r="G14" t="str">
            <v>-</v>
          </cell>
          <cell r="H14" t="str">
            <v>-</v>
          </cell>
          <cell r="I14" t="str">
            <v>#1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5">
          <cell r="F5" t="str">
            <v>Coal PF Eskom Large Existing</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row r="156">
          <cell r="AS156">
            <v>0.74439999999999995</v>
          </cell>
          <cell r="AT156">
            <v>0.45879999999999999</v>
          </cell>
          <cell r="AU156">
            <v>0.65410000000000001</v>
          </cell>
          <cell r="AV156">
            <v>0.56810000000000005</v>
          </cell>
          <cell r="AW156">
            <v>0.71250000000000002</v>
          </cell>
          <cell r="AX156">
            <v>0.84599999999999997</v>
          </cell>
          <cell r="AY156">
            <v>9.5100000000000004E-2</v>
          </cell>
          <cell r="AZ156">
            <v>0.29459999999999997</v>
          </cell>
          <cell r="BA156">
            <v>0.61729999999999996</v>
          </cell>
        </row>
        <row r="181">
          <cell r="AS181" t="str">
            <v/>
          </cell>
          <cell r="AT181" t="str">
            <v/>
          </cell>
          <cell r="AU181" t="str">
            <v/>
          </cell>
          <cell r="AV181" t="str">
            <v/>
          </cell>
          <cell r="AW181" t="str">
            <v/>
          </cell>
          <cell r="AX181" t="str">
            <v/>
          </cell>
        </row>
        <row r="182">
          <cell r="AS182" t="str">
            <v/>
          </cell>
          <cell r="AT182" t="str">
            <v/>
          </cell>
          <cell r="AU182" t="str">
            <v/>
          </cell>
          <cell r="AV182" t="str">
            <v/>
          </cell>
          <cell r="AW182" t="str">
            <v/>
          </cell>
          <cell r="AX182" t="str">
            <v/>
          </cell>
        </row>
        <row r="183">
          <cell r="AS183" t="str">
            <v/>
          </cell>
          <cell r="AT183" t="str">
            <v/>
          </cell>
          <cell r="AU183" t="str">
            <v/>
          </cell>
          <cell r="AV183" t="str">
            <v/>
          </cell>
          <cell r="AW183" t="str">
            <v/>
          </cell>
          <cell r="AX183" t="str">
            <v/>
          </cell>
        </row>
        <row r="184">
          <cell r="AS184" t="str">
            <v/>
          </cell>
          <cell r="AT184" t="str">
            <v/>
          </cell>
          <cell r="AU184" t="str">
            <v/>
          </cell>
          <cell r="AV184" t="str">
            <v/>
          </cell>
          <cell r="AW184" t="str">
            <v/>
          </cell>
          <cell r="AX184" t="str">
            <v/>
          </cell>
        </row>
        <row r="185">
          <cell r="AS185" t="str">
            <v/>
          </cell>
          <cell r="AT185" t="str">
            <v/>
          </cell>
          <cell r="AU185" t="str">
            <v/>
          </cell>
          <cell r="AV185" t="str">
            <v/>
          </cell>
          <cell r="AW185" t="str">
            <v/>
          </cell>
          <cell r="AX185" t="str">
            <v/>
          </cell>
        </row>
        <row r="186">
          <cell r="AS186" t="str">
            <v/>
          </cell>
          <cell r="AT186" t="str">
            <v/>
          </cell>
          <cell r="AU186" t="str">
            <v/>
          </cell>
          <cell r="AV186" t="str">
            <v/>
          </cell>
          <cell r="AW186" t="str">
            <v/>
          </cell>
          <cell r="AX186" t="str">
            <v/>
          </cell>
        </row>
        <row r="187">
          <cell r="AS187" t="str">
            <v/>
          </cell>
          <cell r="AT187" t="str">
            <v/>
          </cell>
          <cell r="AU187" t="str">
            <v/>
          </cell>
          <cell r="AV187" t="str">
            <v/>
          </cell>
          <cell r="AW187" t="str">
            <v/>
          </cell>
          <cell r="AX187" t="str">
            <v/>
          </cell>
        </row>
        <row r="188">
          <cell r="AS188" t="str">
            <v/>
          </cell>
          <cell r="AT188" t="str">
            <v/>
          </cell>
          <cell r="AU188" t="str">
            <v/>
          </cell>
          <cell r="AV188" t="str">
            <v/>
          </cell>
          <cell r="AW188" t="str">
            <v/>
          </cell>
          <cell r="AX188" t="str">
            <v/>
          </cell>
        </row>
        <row r="189">
          <cell r="AS189" t="str">
            <v/>
          </cell>
          <cell r="AT189" t="str">
            <v/>
          </cell>
          <cell r="AU189" t="str">
            <v/>
          </cell>
          <cell r="AV189" t="str">
            <v/>
          </cell>
          <cell r="AW189" t="str">
            <v/>
          </cell>
          <cell r="AX189"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7.2179999999999994E-2</v>
          </cell>
        </row>
        <row r="11">
          <cell r="D11" t="str">
            <v>CEC</v>
          </cell>
          <cell r="G11" t="str">
            <v>s1d1b2</v>
          </cell>
          <cell r="J11">
            <v>0.13908999999999985</v>
          </cell>
        </row>
        <row r="12">
          <cell r="D12" t="str">
            <v>CEC</v>
          </cell>
          <cell r="G12" t="str">
            <v>s1d1b3</v>
          </cell>
          <cell r="J12">
            <v>5.2249999999999998E-2</v>
          </cell>
        </row>
        <row r="13">
          <cell r="D13" t="str">
            <v>CEC</v>
          </cell>
          <cell r="G13" t="str">
            <v>s1d2b1</v>
          </cell>
          <cell r="J13">
            <v>3.3500000000000002E-2</v>
          </cell>
        </row>
        <row r="14">
          <cell r="D14" t="str">
            <v>CEC</v>
          </cell>
          <cell r="G14" t="str">
            <v>s1d2b2</v>
          </cell>
          <cell r="J14">
            <v>5.7119999999999997E-2</v>
          </cell>
        </row>
        <row r="15">
          <cell r="D15" t="str">
            <v>CEC</v>
          </cell>
          <cell r="G15" t="str">
            <v>s1d2b3</v>
          </cell>
          <cell r="J15">
            <v>2.2409999999999999E-2</v>
          </cell>
        </row>
        <row r="16">
          <cell r="D16" t="str">
            <v>CEC</v>
          </cell>
          <cell r="G16" t="str">
            <v>s2d1b1</v>
          </cell>
          <cell r="J16">
            <v>4.5870000000000001E-2</v>
          </cell>
        </row>
        <row r="17">
          <cell r="D17" t="str">
            <v>CEC</v>
          </cell>
          <cell r="G17" t="str">
            <v>s2d1b2</v>
          </cell>
          <cell r="J17">
            <v>2.0400000000000001E-2</v>
          </cell>
        </row>
        <row r="18">
          <cell r="D18" t="str">
            <v>CEC</v>
          </cell>
          <cell r="G18" t="str">
            <v>s2d1b3</v>
          </cell>
          <cell r="J18">
            <v>7.1370000000000003E-2</v>
          </cell>
        </row>
        <row r="19">
          <cell r="D19" t="str">
            <v>CEC</v>
          </cell>
          <cell r="G19" t="str">
            <v>s2d1b4</v>
          </cell>
          <cell r="J19">
            <v>2.7650000000000001E-2</v>
          </cell>
        </row>
        <row r="20">
          <cell r="D20" t="str">
            <v>CEC</v>
          </cell>
          <cell r="G20" t="str">
            <v>s2d1b5</v>
          </cell>
          <cell r="J20">
            <v>1.367E-2</v>
          </cell>
        </row>
        <row r="21">
          <cell r="D21" t="str">
            <v>CEC</v>
          </cell>
          <cell r="G21" t="str">
            <v>s2d2b1</v>
          </cell>
          <cell r="J21">
            <v>2.282E-2</v>
          </cell>
        </row>
        <row r="22">
          <cell r="D22" t="str">
            <v>CEC</v>
          </cell>
          <cell r="G22" t="str">
            <v>s2d2b2</v>
          </cell>
          <cell r="J22">
            <v>3.8899999999999997E-2</v>
          </cell>
        </row>
        <row r="23">
          <cell r="D23" t="str">
            <v>CEC</v>
          </cell>
          <cell r="G23" t="str">
            <v>s2d2b3</v>
          </cell>
          <cell r="J23">
            <v>1.5259999999999999E-2</v>
          </cell>
        </row>
        <row r="24">
          <cell r="D24" t="str">
            <v>CEC</v>
          </cell>
          <cell r="G24" t="str">
            <v>s3d1b1</v>
          </cell>
          <cell r="J24">
            <v>7.825E-2</v>
          </cell>
        </row>
        <row r="25">
          <cell r="D25" t="str">
            <v>CEC</v>
          </cell>
          <cell r="G25" t="str">
            <v>s3d1b2</v>
          </cell>
          <cell r="J25">
            <v>0.13341</v>
          </cell>
        </row>
        <row r="26">
          <cell r="D26" t="str">
            <v>CEC</v>
          </cell>
          <cell r="G26" t="str">
            <v>s3d1b3</v>
          </cell>
          <cell r="J26">
            <v>5.2350000000000001E-2</v>
          </cell>
        </row>
        <row r="27">
          <cell r="D27" t="str">
            <v>CEC</v>
          </cell>
          <cell r="G27" t="str">
            <v>s3d2b1</v>
          </cell>
          <cell r="J27">
            <v>3.0679999999999999E-2</v>
          </cell>
        </row>
        <row r="28">
          <cell r="D28" t="str">
            <v>CEC</v>
          </cell>
          <cell r="G28" t="str">
            <v>s3d2b2</v>
          </cell>
          <cell r="J28">
            <v>5.2299999999999999E-2</v>
          </cell>
        </row>
        <row r="29">
          <cell r="D29" t="str">
            <v>CEC</v>
          </cell>
          <cell r="G29" t="str">
            <v>s3d2b3</v>
          </cell>
          <cell r="J29">
            <v>2.052E-2</v>
          </cell>
        </row>
        <row r="30">
          <cell r="D30" t="str">
            <v>CEH</v>
          </cell>
          <cell r="G30" t="str">
            <v>s1d1b1</v>
          </cell>
          <cell r="J30">
            <v>4.9180000000000001E-2</v>
          </cell>
        </row>
        <row r="31">
          <cell r="D31" t="str">
            <v>CEH</v>
          </cell>
          <cell r="G31" t="str">
            <v>s1d1b2</v>
          </cell>
          <cell r="J31">
            <v>9.4759999999999997E-2</v>
          </cell>
        </row>
        <row r="32">
          <cell r="D32" t="str">
            <v>CEH</v>
          </cell>
          <cell r="G32" t="str">
            <v>s1d1b3</v>
          </cell>
          <cell r="J32">
            <v>3.56E-2</v>
          </cell>
        </row>
        <row r="33">
          <cell r="D33" t="str">
            <v>CEH</v>
          </cell>
          <cell r="G33" t="str">
            <v>s1d2b1</v>
          </cell>
          <cell r="J33">
            <v>2.283E-2</v>
          </cell>
        </row>
        <row r="34">
          <cell r="D34" t="str">
            <v>CEH</v>
          </cell>
          <cell r="G34" t="str">
            <v>s1d2b2</v>
          </cell>
          <cell r="J34">
            <v>3.8920000000000003E-2</v>
          </cell>
        </row>
        <row r="35">
          <cell r="D35" t="str">
            <v>CEH</v>
          </cell>
          <cell r="G35" t="str">
            <v>s1d2b3</v>
          </cell>
          <cell r="J35">
            <v>1.5270000000000001E-2</v>
          </cell>
        </row>
        <row r="36">
          <cell r="D36" t="str">
            <v>CEH</v>
          </cell>
          <cell r="G36" t="str">
            <v>s2d1b1</v>
          </cell>
          <cell r="J36">
            <v>8.1710000000000005E-2</v>
          </cell>
        </row>
        <row r="37">
          <cell r="D37" t="str">
            <v>CEH</v>
          </cell>
          <cell r="G37" t="str">
            <v>s2d1b2</v>
          </cell>
          <cell r="J37">
            <v>3.6339999999999997E-2</v>
          </cell>
        </row>
        <row r="38">
          <cell r="D38" t="str">
            <v>CEH</v>
          </cell>
          <cell r="G38" t="str">
            <v>s2d1b3</v>
          </cell>
          <cell r="J38">
            <v>0.12713999999999995</v>
          </cell>
        </row>
        <row r="39">
          <cell r="D39" t="str">
            <v>CEH</v>
          </cell>
          <cell r="G39" t="str">
            <v>s2d1b4</v>
          </cell>
          <cell r="J39">
            <v>4.9250000000000002E-2</v>
          </cell>
        </row>
        <row r="40">
          <cell r="D40" t="str">
            <v>CEH</v>
          </cell>
          <cell r="G40" t="str">
            <v>s2d1b5</v>
          </cell>
          <cell r="J40">
            <v>2.435E-2</v>
          </cell>
        </row>
        <row r="41">
          <cell r="D41" t="str">
            <v>CEH</v>
          </cell>
          <cell r="G41" t="str">
            <v>s2d2b1</v>
          </cell>
          <cell r="J41">
            <v>4.0649999999999999E-2</v>
          </cell>
        </row>
        <row r="42">
          <cell r="D42" t="str">
            <v>CEH</v>
          </cell>
          <cell r="G42" t="str">
            <v>s2d2b2</v>
          </cell>
          <cell r="J42">
            <v>6.93E-2</v>
          </cell>
        </row>
        <row r="43">
          <cell r="D43" t="str">
            <v>CEH</v>
          </cell>
          <cell r="G43" t="str">
            <v>s2d2b3</v>
          </cell>
          <cell r="J43">
            <v>2.7189999999999999E-2</v>
          </cell>
        </row>
        <row r="44">
          <cell r="D44" t="str">
            <v>CEH</v>
          </cell>
          <cell r="G44" t="str">
            <v>s3d1b1</v>
          </cell>
          <cell r="J44">
            <v>6.1210000000000001E-2</v>
          </cell>
        </row>
        <row r="45">
          <cell r="D45" t="str">
            <v>CEH</v>
          </cell>
          <cell r="G45" t="str">
            <v>s3d1b2</v>
          </cell>
          <cell r="J45">
            <v>0.10437</v>
          </cell>
        </row>
        <row r="46">
          <cell r="D46" t="str">
            <v>CEH</v>
          </cell>
          <cell r="G46" t="str">
            <v>s3d1b3</v>
          </cell>
          <cell r="J46">
            <v>4.095E-2</v>
          </cell>
        </row>
        <row r="47">
          <cell r="D47" t="str">
            <v>CEH</v>
          </cell>
          <cell r="G47" t="str">
            <v>s3d2b1</v>
          </cell>
          <cell r="J47">
            <v>2.4E-2</v>
          </cell>
        </row>
        <row r="48">
          <cell r="D48" t="str">
            <v>CEH</v>
          </cell>
          <cell r="G48" t="str">
            <v>s3d2b2</v>
          </cell>
          <cell r="J48">
            <v>4.0919999999999998E-2</v>
          </cell>
        </row>
        <row r="49">
          <cell r="D49" t="str">
            <v>CEH</v>
          </cell>
          <cell r="G49" t="str">
            <v>s3d2b3</v>
          </cell>
          <cell r="J49">
            <v>1.6060000000000001E-2</v>
          </cell>
        </row>
        <row r="50">
          <cell r="D50" t="str">
            <v>CEK</v>
          </cell>
          <cell r="G50" t="str">
            <v>s1d1b1</v>
          </cell>
          <cell r="J50">
            <v>6.2289999999999998E-2</v>
          </cell>
        </row>
        <row r="51">
          <cell r="D51" t="str">
            <v>CEK</v>
          </cell>
          <cell r="G51" t="str">
            <v>s1d1b2</v>
          </cell>
          <cell r="J51">
            <v>0.14138999999999996</v>
          </cell>
        </row>
        <row r="52">
          <cell r="D52" t="str">
            <v>CEK</v>
          </cell>
          <cell r="G52" t="str">
            <v>s1d1b3</v>
          </cell>
          <cell r="J52">
            <v>4.5839999999999999E-2</v>
          </cell>
        </row>
        <row r="53">
          <cell r="D53" t="str">
            <v>CEK</v>
          </cell>
          <cell r="G53" t="str">
            <v>s1d2b1</v>
          </cell>
          <cell r="J53">
            <v>3.3450000000000001E-2</v>
          </cell>
        </row>
        <row r="54">
          <cell r="D54" t="str">
            <v>CEK</v>
          </cell>
          <cell r="G54" t="str">
            <v>s1d2b2</v>
          </cell>
          <cell r="J54">
            <v>5.4149999999999997E-2</v>
          </cell>
        </row>
        <row r="55">
          <cell r="D55" t="str">
            <v>CEK</v>
          </cell>
          <cell r="G55" t="str">
            <v>s1d2b3</v>
          </cell>
          <cell r="J55">
            <v>1.9429999999999999E-2</v>
          </cell>
        </row>
        <row r="56">
          <cell r="D56" t="str">
            <v>CEK</v>
          </cell>
          <cell r="G56" t="str">
            <v>s2d1b1</v>
          </cell>
          <cell r="J56">
            <v>5.1119999999999999E-2</v>
          </cell>
        </row>
        <row r="57">
          <cell r="D57" t="str">
            <v>CEK</v>
          </cell>
          <cell r="G57" t="str">
            <v>s2d1b2</v>
          </cell>
          <cell r="J57">
            <v>2.913E-2</v>
          </cell>
        </row>
        <row r="58">
          <cell r="D58" t="str">
            <v>CEK</v>
          </cell>
          <cell r="G58" t="str">
            <v>s2d1b3</v>
          </cell>
          <cell r="J58">
            <v>8.9179999999999995E-2</v>
          </cell>
        </row>
        <row r="59">
          <cell r="D59" t="str">
            <v>CEK</v>
          </cell>
          <cell r="G59" t="str">
            <v>s2d1b4</v>
          </cell>
          <cell r="J59">
            <v>3.134E-2</v>
          </cell>
        </row>
        <row r="60">
          <cell r="D60" t="str">
            <v>CEK</v>
          </cell>
          <cell r="G60" t="str">
            <v>s2d1b5</v>
          </cell>
          <cell r="J60">
            <v>1.316E-2</v>
          </cell>
        </row>
        <row r="61">
          <cell r="D61" t="str">
            <v>CEK</v>
          </cell>
          <cell r="G61" t="str">
            <v>s2d2b1</v>
          </cell>
          <cell r="J61">
            <v>2.8809999999999999E-2</v>
          </cell>
        </row>
        <row r="62">
          <cell r="D62" t="str">
            <v>CEK</v>
          </cell>
          <cell r="G62" t="str">
            <v>s2d2b2</v>
          </cell>
          <cell r="J62">
            <v>4.6559999999999997E-2</v>
          </cell>
        </row>
        <row r="63">
          <cell r="D63" t="str">
            <v>CEK</v>
          </cell>
          <cell r="G63" t="str">
            <v>s2d2b3</v>
          </cell>
          <cell r="J63">
            <v>1.6650000000000002E-2</v>
          </cell>
        </row>
        <row r="64">
          <cell r="D64" t="str">
            <v>CEK</v>
          </cell>
          <cell r="G64" t="str">
            <v>s3d1b1</v>
          </cell>
          <cell r="J64">
            <v>6.6210000000000005E-2</v>
          </cell>
        </row>
        <row r="65">
          <cell r="D65" t="str">
            <v>CEK</v>
          </cell>
          <cell r="G65" t="str">
            <v>s3d1b2</v>
          </cell>
          <cell r="J65">
            <v>0.13169</v>
          </cell>
        </row>
        <row r="66">
          <cell r="D66" t="str">
            <v>CEK</v>
          </cell>
          <cell r="G66" t="str">
            <v>s3d1b3</v>
          </cell>
          <cell r="J66">
            <v>4.4540000000000003E-2</v>
          </cell>
        </row>
        <row r="67">
          <cell r="D67" t="str">
            <v>CEK</v>
          </cell>
          <cell r="G67" t="str">
            <v>s3d2b1</v>
          </cell>
          <cell r="J67">
            <v>2.971E-2</v>
          </cell>
        </row>
        <row r="68">
          <cell r="D68" t="str">
            <v>CEK</v>
          </cell>
          <cell r="G68" t="str">
            <v>s3d2b2</v>
          </cell>
          <cell r="J68">
            <v>4.8090000000000001E-2</v>
          </cell>
        </row>
        <row r="69">
          <cell r="D69" t="str">
            <v>CEK</v>
          </cell>
          <cell r="G69" t="str">
            <v>s3d2b3</v>
          </cell>
          <cell r="J69">
            <v>1.7260000000000001E-2</v>
          </cell>
        </row>
        <row r="70">
          <cell r="D70" t="str">
            <v>CEL</v>
          </cell>
          <cell r="G70" t="str">
            <v>s1d1b1</v>
          </cell>
          <cell r="J70">
            <v>6.6949999999999996E-2</v>
          </cell>
        </row>
        <row r="71">
          <cell r="D71" t="str">
            <v>CEL</v>
          </cell>
          <cell r="G71" t="str">
            <v>s1d1b2</v>
          </cell>
          <cell r="J71">
            <v>0.12967000000000001</v>
          </cell>
        </row>
        <row r="72">
          <cell r="D72" t="str">
            <v>CEL</v>
          </cell>
          <cell r="G72" t="str">
            <v>s1d1b3</v>
          </cell>
          <cell r="J72">
            <v>5.2900000000000003E-2</v>
          </cell>
        </row>
        <row r="73">
          <cell r="D73" t="str">
            <v>CEL</v>
          </cell>
          <cell r="G73" t="str">
            <v>s1d2b1</v>
          </cell>
          <cell r="J73">
            <v>3.449E-2</v>
          </cell>
        </row>
        <row r="74">
          <cell r="D74" t="str">
            <v>CEL</v>
          </cell>
          <cell r="G74" t="str">
            <v>s1d2b2</v>
          </cell>
          <cell r="J74">
            <v>4.9779999999999998E-2</v>
          </cell>
        </row>
        <row r="75">
          <cell r="D75" t="str">
            <v>CEL</v>
          </cell>
          <cell r="G75" t="str">
            <v>s1d2b3</v>
          </cell>
          <cell r="J75">
            <v>2.2759999999999999E-2</v>
          </cell>
        </row>
        <row r="76">
          <cell r="D76" t="str">
            <v>CEL</v>
          </cell>
          <cell r="G76" t="str">
            <v>s2d1b1</v>
          </cell>
          <cell r="J76">
            <v>5.3129999999999997E-2</v>
          </cell>
        </row>
        <row r="77">
          <cell r="D77" t="str">
            <v>CEL</v>
          </cell>
          <cell r="G77" t="str">
            <v>s2d1b2</v>
          </cell>
          <cell r="J77">
            <v>5.8680000000000003E-2</v>
          </cell>
        </row>
        <row r="78">
          <cell r="D78" t="str">
            <v>CEL</v>
          </cell>
          <cell r="G78" t="str">
            <v>s2d1b3</v>
          </cell>
          <cell r="J78">
            <v>4.8300000000000003E-2</v>
          </cell>
        </row>
        <row r="79">
          <cell r="D79" t="str">
            <v>CEL</v>
          </cell>
          <cell r="G79" t="str">
            <v>s2d1b4</v>
          </cell>
          <cell r="J79">
            <v>2.8250000000000001E-2</v>
          </cell>
        </row>
        <row r="80">
          <cell r="D80" t="str">
            <v>CEL</v>
          </cell>
          <cell r="G80" t="str">
            <v>s2d1b5</v>
          </cell>
          <cell r="J80">
            <v>2.5559999999999999E-2</v>
          </cell>
        </row>
        <row r="81">
          <cell r="D81" t="str">
            <v>CEL</v>
          </cell>
          <cell r="G81" t="str">
            <v>s2d2b1</v>
          </cell>
          <cell r="J81">
            <v>3.1919999999999997E-2</v>
          </cell>
        </row>
        <row r="82">
          <cell r="D82" t="str">
            <v>CEL</v>
          </cell>
          <cell r="G82" t="str">
            <v>s2d2b2</v>
          </cell>
          <cell r="J82">
            <v>4.2299999999999997E-2</v>
          </cell>
        </row>
        <row r="83">
          <cell r="D83" t="str">
            <v>CEL</v>
          </cell>
          <cell r="G83" t="str">
            <v>s2d2b3</v>
          </cell>
          <cell r="J83">
            <v>1.78E-2</v>
          </cell>
        </row>
        <row r="84">
          <cell r="D84" t="str">
            <v>CEL</v>
          </cell>
          <cell r="G84" t="str">
            <v>s3d1b1</v>
          </cell>
          <cell r="J84">
            <v>8.0560000000000007E-2</v>
          </cell>
        </row>
        <row r="85">
          <cell r="D85" t="str">
            <v>CEL</v>
          </cell>
          <cell r="G85" t="str">
            <v>s3d1b2</v>
          </cell>
          <cell r="J85">
            <v>0.11049</v>
          </cell>
        </row>
        <row r="86">
          <cell r="D86" t="str">
            <v>CEL</v>
          </cell>
          <cell r="G86" t="str">
            <v>s3d1b3</v>
          </cell>
          <cell r="J86">
            <v>5.1400000000000001E-2</v>
          </cell>
        </row>
        <row r="87">
          <cell r="D87" t="str">
            <v>CEL</v>
          </cell>
          <cell r="G87" t="str">
            <v>s3d2b1</v>
          </cell>
          <cell r="J87">
            <v>2.725E-2</v>
          </cell>
        </row>
        <row r="88">
          <cell r="D88" t="str">
            <v>CEL</v>
          </cell>
          <cell r="G88" t="str">
            <v>s3d2b2</v>
          </cell>
          <cell r="J88">
            <v>4.65E-2</v>
          </cell>
        </row>
        <row r="89">
          <cell r="D89" t="str">
            <v>CEL</v>
          </cell>
          <cell r="G89" t="str">
            <v>s3d2b3</v>
          </cell>
          <cell r="J89">
            <v>2.1309999999999999E-2</v>
          </cell>
        </row>
        <row r="90">
          <cell r="D90" t="str">
            <v>CER</v>
          </cell>
          <cell r="G90" t="str">
            <v>s1d1b1</v>
          </cell>
          <cell r="J90">
            <v>9.0829999999999994E-2</v>
          </cell>
        </row>
        <row r="91">
          <cell r="D91" t="str">
            <v>CER</v>
          </cell>
          <cell r="G91" t="str">
            <v>s1d1b2</v>
          </cell>
          <cell r="J91">
            <v>0.10806</v>
          </cell>
        </row>
        <row r="92">
          <cell r="D92" t="str">
            <v>CER</v>
          </cell>
          <cell r="G92" t="str">
            <v>s1d1b3</v>
          </cell>
          <cell r="J92">
            <v>5.0630000000000001E-2</v>
          </cell>
        </row>
        <row r="93">
          <cell r="D93" t="str">
            <v>CER</v>
          </cell>
          <cell r="G93" t="str">
            <v>s1d2b1</v>
          </cell>
          <cell r="J93">
            <v>4.2819999999999997E-2</v>
          </cell>
        </row>
        <row r="94">
          <cell r="D94" t="str">
            <v>CER</v>
          </cell>
          <cell r="G94" t="str">
            <v>s1d2b2</v>
          </cell>
          <cell r="J94">
            <v>4.2000000000000003E-2</v>
          </cell>
        </row>
        <row r="95">
          <cell r="D95" t="str">
            <v>CER</v>
          </cell>
          <cell r="G95" t="str">
            <v>s1d2b3</v>
          </cell>
          <cell r="J95">
            <v>2.2210000000000001E-2</v>
          </cell>
        </row>
        <row r="96">
          <cell r="D96" t="str">
            <v>CER</v>
          </cell>
          <cell r="G96" t="str">
            <v>s2d1b1</v>
          </cell>
          <cell r="J96">
            <v>7.2499999999999995E-2</v>
          </cell>
        </row>
        <row r="97">
          <cell r="D97" t="str">
            <v>CER</v>
          </cell>
          <cell r="G97" t="str">
            <v>s2d1b2</v>
          </cell>
          <cell r="J97">
            <v>2.24E-2</v>
          </cell>
        </row>
        <row r="98">
          <cell r="D98" t="str">
            <v>CER</v>
          </cell>
          <cell r="G98" t="str">
            <v>s2d1b3</v>
          </cell>
          <cell r="J98">
            <v>6.7030000000000006E-2</v>
          </cell>
        </row>
        <row r="99">
          <cell r="D99" t="str">
            <v>CER</v>
          </cell>
          <cell r="G99" t="str">
            <v>s2d1b4</v>
          </cell>
          <cell r="J99">
            <v>3.5090000000000003E-2</v>
          </cell>
        </row>
        <row r="100">
          <cell r="D100" t="str">
            <v>CER</v>
          </cell>
          <cell r="G100" t="str">
            <v>s2d1b5</v>
          </cell>
          <cell r="J100">
            <v>1.6899999999999998E-2</v>
          </cell>
        </row>
        <row r="101">
          <cell r="D101" t="str">
            <v>CER</v>
          </cell>
          <cell r="G101" t="str">
            <v>s2d2b1</v>
          </cell>
          <cell r="J101">
            <v>3.8150000000000003E-2</v>
          </cell>
        </row>
        <row r="102">
          <cell r="D102" t="str">
            <v>CER</v>
          </cell>
          <cell r="G102" t="str">
            <v>s2d2b2</v>
          </cell>
          <cell r="J102">
            <v>3.5249999999999997E-2</v>
          </cell>
        </row>
        <row r="103">
          <cell r="D103" t="str">
            <v>CER</v>
          </cell>
          <cell r="G103" t="str">
            <v>s2d2b3</v>
          </cell>
          <cell r="J103">
            <v>1.8620000000000001E-2</v>
          </cell>
        </row>
        <row r="104">
          <cell r="D104" t="str">
            <v>CER</v>
          </cell>
          <cell r="G104" t="str">
            <v>s3d1b1</v>
          </cell>
          <cell r="J104">
            <v>9.665E-2</v>
          </cell>
        </row>
        <row r="105">
          <cell r="D105" t="str">
            <v>CER</v>
          </cell>
          <cell r="G105" t="str">
            <v>s3d1b2</v>
          </cell>
          <cell r="J105">
            <v>9.6610000000000001E-2</v>
          </cell>
        </row>
        <row r="106">
          <cell r="D106" t="str">
            <v>CER</v>
          </cell>
          <cell r="G106" t="str">
            <v>s3d1b3</v>
          </cell>
          <cell r="J106">
            <v>4.9189999999999998E-2</v>
          </cell>
        </row>
        <row r="107">
          <cell r="D107" t="str">
            <v>CER</v>
          </cell>
          <cell r="G107" t="str">
            <v>s3d2b1</v>
          </cell>
          <cell r="J107">
            <v>3.9410000000000001E-2</v>
          </cell>
        </row>
        <row r="108">
          <cell r="D108" t="str">
            <v>CER</v>
          </cell>
          <cell r="G108" t="str">
            <v>s3d2b2</v>
          </cell>
          <cell r="J108">
            <v>3.6420000000000001E-2</v>
          </cell>
        </row>
        <row r="109">
          <cell r="D109" t="str">
            <v>CER</v>
          </cell>
          <cell r="G109" t="str">
            <v>s3d2b3</v>
          </cell>
          <cell r="J109">
            <v>1.9230000000000001E-2</v>
          </cell>
        </row>
        <row r="110">
          <cell r="D110" t="str">
            <v>CEW</v>
          </cell>
          <cell r="G110" t="str">
            <v>s1d1b1</v>
          </cell>
          <cell r="J110">
            <v>9.6060000000000006E-2</v>
          </cell>
        </row>
        <row r="111">
          <cell r="D111" t="str">
            <v>CEW</v>
          </cell>
          <cell r="G111" t="str">
            <v>s1d1b2</v>
          </cell>
          <cell r="J111">
            <v>0.11436000000000011</v>
          </cell>
        </row>
        <row r="112">
          <cell r="D112" t="str">
            <v>CEW</v>
          </cell>
          <cell r="G112" t="str">
            <v>s1d1b3</v>
          </cell>
          <cell r="J112">
            <v>3.909E-2</v>
          </cell>
        </row>
        <row r="113">
          <cell r="D113" t="str">
            <v>CEW</v>
          </cell>
          <cell r="G113" t="str">
            <v>s1d2b1</v>
          </cell>
          <cell r="J113">
            <v>4.5670000000000002E-2</v>
          </cell>
        </row>
        <row r="114">
          <cell r="D114" t="str">
            <v>CEW</v>
          </cell>
          <cell r="G114" t="str">
            <v>s1d2b2</v>
          </cell>
          <cell r="J114">
            <v>4.4600000000000001E-2</v>
          </cell>
        </row>
        <row r="115">
          <cell r="D115" t="str">
            <v>CEW</v>
          </cell>
          <cell r="G115" t="str">
            <v>s1d2b3</v>
          </cell>
          <cell r="J115">
            <v>1.677E-2</v>
          </cell>
        </row>
        <row r="116">
          <cell r="D116" t="str">
            <v>CEW</v>
          </cell>
          <cell r="G116" t="str">
            <v>s2d1b1</v>
          </cell>
          <cell r="J116">
            <v>7.8799999999999995E-2</v>
          </cell>
        </row>
        <row r="117">
          <cell r="D117" t="str">
            <v>CEW</v>
          </cell>
          <cell r="G117" t="str">
            <v>s2d1b2</v>
          </cell>
          <cell r="J117">
            <v>3.245E-2</v>
          </cell>
        </row>
        <row r="118">
          <cell r="D118" t="str">
            <v>CEW</v>
          </cell>
          <cell r="G118" t="str">
            <v>s2d1b3</v>
          </cell>
          <cell r="J118">
            <v>6.2390000000000001E-2</v>
          </cell>
        </row>
        <row r="119">
          <cell r="D119" t="str">
            <v>CEW</v>
          </cell>
          <cell r="G119" t="str">
            <v>s2d1b4</v>
          </cell>
          <cell r="J119">
            <v>2.46E-2</v>
          </cell>
        </row>
        <row r="120">
          <cell r="D120" t="str">
            <v>CEW</v>
          </cell>
          <cell r="G120" t="str">
            <v>s2d1b5</v>
          </cell>
          <cell r="J120">
            <v>1.5689999999999999E-2</v>
          </cell>
        </row>
        <row r="121">
          <cell r="D121" t="str">
            <v>CEW</v>
          </cell>
          <cell r="G121" t="str">
            <v>s2d2b1</v>
          </cell>
          <cell r="J121">
            <v>3.9260000000000003E-2</v>
          </cell>
        </row>
        <row r="122">
          <cell r="D122" t="str">
            <v>CEW</v>
          </cell>
          <cell r="G122" t="str">
            <v>s2d2b2</v>
          </cell>
          <cell r="J122">
            <v>3.8339999999999999E-2</v>
          </cell>
        </row>
        <row r="123">
          <cell r="D123" t="str">
            <v>CEW</v>
          </cell>
          <cell r="G123" t="str">
            <v>s2d2b3</v>
          </cell>
          <cell r="J123">
            <v>1.4420000000000001E-2</v>
          </cell>
        </row>
        <row r="124">
          <cell r="D124" t="str">
            <v>CEW</v>
          </cell>
          <cell r="G124" t="str">
            <v>s3d1b1</v>
          </cell>
          <cell r="J124">
            <v>0.10345</v>
          </cell>
        </row>
        <row r="125">
          <cell r="D125" t="str">
            <v>CEW</v>
          </cell>
          <cell r="G125" t="str">
            <v>s3d1b2</v>
          </cell>
          <cell r="J125">
            <v>0.10102</v>
          </cell>
        </row>
        <row r="126">
          <cell r="D126" t="str">
            <v>CEW</v>
          </cell>
          <cell r="G126" t="str">
            <v>s3d1b3</v>
          </cell>
          <cell r="J126">
            <v>3.798E-2</v>
          </cell>
        </row>
        <row r="127">
          <cell r="D127" t="str">
            <v>CEW</v>
          </cell>
          <cell r="G127" t="str">
            <v>s3d2b1</v>
          </cell>
          <cell r="J127">
            <v>4.0559999999999999E-2</v>
          </cell>
        </row>
        <row r="128">
          <cell r="D128" t="str">
            <v>CEW</v>
          </cell>
          <cell r="G128" t="str">
            <v>s3d2b2</v>
          </cell>
          <cell r="J128">
            <v>3.9600000000000003E-2</v>
          </cell>
        </row>
        <row r="129">
          <cell r="D129" t="str">
            <v>CEW</v>
          </cell>
          <cell r="G129" t="str">
            <v>s3d2b3</v>
          </cell>
          <cell r="J129">
            <v>1.489E-2</v>
          </cell>
        </row>
        <row r="130">
          <cell r="D130" t="str">
            <v>CEG</v>
          </cell>
          <cell r="G130" t="str">
            <v>s1d1b1</v>
          </cell>
          <cell r="J130">
            <v>7.2599999999999998E-2</v>
          </cell>
        </row>
        <row r="131">
          <cell r="D131" t="str">
            <v>CEG</v>
          </cell>
          <cell r="G131" t="str">
            <v>s1d1b2</v>
          </cell>
          <cell r="J131">
            <v>0</v>
          </cell>
        </row>
        <row r="132">
          <cell r="D132" t="str">
            <v>CEG</v>
          </cell>
          <cell r="G132" t="str">
            <v>s1d1b3</v>
          </cell>
          <cell r="J132">
            <v>3.6299999999999999E-2</v>
          </cell>
        </row>
        <row r="133">
          <cell r="D133" t="str">
            <v>CEG</v>
          </cell>
          <cell r="G133" t="str">
            <v>s1d2b1</v>
          </cell>
          <cell r="J133">
            <v>0.40819000000000005</v>
          </cell>
        </row>
        <row r="134">
          <cell r="D134" t="str">
            <v>CEG</v>
          </cell>
          <cell r="G134" t="str">
            <v>s1d2b2</v>
          </cell>
          <cell r="J134">
            <v>0</v>
          </cell>
        </row>
        <row r="135">
          <cell r="D135" t="str">
            <v>CEG</v>
          </cell>
          <cell r="G135" t="str">
            <v>s1d2b3</v>
          </cell>
          <cell r="J135">
            <v>3.7400000000000003E-2</v>
          </cell>
        </row>
        <row r="136">
          <cell r="D136" t="str">
            <v>CEG</v>
          </cell>
          <cell r="G136" t="str">
            <v>s2d1b1</v>
          </cell>
          <cell r="J136">
            <v>0.40819000000000005</v>
          </cell>
        </row>
        <row r="137">
          <cell r="D137" t="str">
            <v>CEG</v>
          </cell>
          <cell r="G137" t="str">
            <v>s2d1b2</v>
          </cell>
          <cell r="J137">
            <v>0</v>
          </cell>
        </row>
        <row r="138">
          <cell r="D138" t="str">
            <v>CEG</v>
          </cell>
          <cell r="G138" t="str">
            <v>s2d1b3</v>
          </cell>
          <cell r="J138">
            <v>5.0000000000000002E-5</v>
          </cell>
        </row>
        <row r="139">
          <cell r="D139" t="str">
            <v>CEG</v>
          </cell>
          <cell r="G139" t="str">
            <v>s2d1b4</v>
          </cell>
          <cell r="J139">
            <v>1.8679999999999999E-2</v>
          </cell>
        </row>
        <row r="140">
          <cell r="D140" t="str">
            <v>CEG</v>
          </cell>
          <cell r="G140" t="str">
            <v>s2d1b5</v>
          </cell>
          <cell r="J140">
            <v>1.8679999999999999E-2</v>
          </cell>
        </row>
        <row r="141">
          <cell r="D141" t="str">
            <v>CEG</v>
          </cell>
          <cell r="G141" t="str">
            <v>s2d2b1</v>
          </cell>
          <cell r="J141">
            <v>0.40819000000000005</v>
          </cell>
        </row>
        <row r="142">
          <cell r="D142" t="str">
            <v>CEG</v>
          </cell>
          <cell r="G142" t="str">
            <v>s2d2b2</v>
          </cell>
          <cell r="J142">
            <v>0</v>
          </cell>
        </row>
        <row r="143">
          <cell r="D143" t="str">
            <v>CEG</v>
          </cell>
          <cell r="G143" t="str">
            <v>s2d2b3</v>
          </cell>
          <cell r="J143">
            <v>3.7400000000000003E-2</v>
          </cell>
        </row>
        <row r="144">
          <cell r="D144" t="str">
            <v>CEG</v>
          </cell>
          <cell r="G144" t="str">
            <v>s3d1b1</v>
          </cell>
          <cell r="J144">
            <v>0.40819000000000005</v>
          </cell>
        </row>
        <row r="145">
          <cell r="D145" t="str">
            <v>CEG</v>
          </cell>
          <cell r="G145" t="str">
            <v>s3d1b2</v>
          </cell>
          <cell r="J145">
            <v>0</v>
          </cell>
        </row>
        <row r="146">
          <cell r="D146" t="str">
            <v>CEG</v>
          </cell>
          <cell r="G146" t="str">
            <v>s3d1b3</v>
          </cell>
          <cell r="J146">
            <v>3.7400000000000003E-2</v>
          </cell>
        </row>
        <row r="147">
          <cell r="D147" t="str">
            <v>CEG</v>
          </cell>
          <cell r="G147" t="str">
            <v>s3d2b1</v>
          </cell>
          <cell r="J147">
            <v>7.2599999999999998E-2</v>
          </cell>
        </row>
        <row r="148">
          <cell r="D148" t="str">
            <v>CEG</v>
          </cell>
          <cell r="G148" t="str">
            <v>s3d2b2</v>
          </cell>
          <cell r="J148">
            <v>0</v>
          </cell>
        </row>
        <row r="149">
          <cell r="D149" t="str">
            <v>CEG</v>
          </cell>
          <cell r="G149" t="str">
            <v>s3d2b3</v>
          </cell>
          <cell r="J149">
            <v>3.6299999999999999E-2</v>
          </cell>
        </row>
        <row r="150">
          <cell r="D150" t="str">
            <v>CET</v>
          </cell>
          <cell r="G150" t="str">
            <v>s1d1b1</v>
          </cell>
          <cell r="J150">
            <v>3.6299999999999999E-2</v>
          </cell>
        </row>
        <row r="151">
          <cell r="D151" t="str">
            <v>CET</v>
          </cell>
          <cell r="G151" t="str">
            <v>s1d1b2</v>
          </cell>
          <cell r="J151">
            <v>0.38781999999999994</v>
          </cell>
        </row>
        <row r="152">
          <cell r="D152" t="str">
            <v>CET</v>
          </cell>
          <cell r="G152" t="str">
            <v>s1d1b3</v>
          </cell>
          <cell r="J152">
            <v>1.8149999999999999E-2</v>
          </cell>
        </row>
        <row r="153">
          <cell r="D153" t="str">
            <v>CET</v>
          </cell>
          <cell r="G153" t="str">
            <v>s1d2b1</v>
          </cell>
          <cell r="J153">
            <v>4.2079999999999999E-2</v>
          </cell>
        </row>
        <row r="154">
          <cell r="D154" t="str">
            <v>CET</v>
          </cell>
          <cell r="G154" t="str">
            <v>s1d2b2</v>
          </cell>
          <cell r="J154">
            <v>5.1429999999999997E-2</v>
          </cell>
        </row>
        <row r="155">
          <cell r="D155" t="str">
            <v>CET</v>
          </cell>
          <cell r="G155" t="str">
            <v>s1d2b3</v>
          </cell>
          <cell r="J155">
            <v>1.8700000000000001E-2</v>
          </cell>
        </row>
        <row r="156">
          <cell r="D156" t="str">
            <v>CET</v>
          </cell>
          <cell r="G156" t="str">
            <v>s2d1b1</v>
          </cell>
          <cell r="J156">
            <v>3.7400000000000003E-2</v>
          </cell>
        </row>
        <row r="157">
          <cell r="D157" t="str">
            <v>CET</v>
          </cell>
          <cell r="G157" t="str">
            <v>s2d1b2</v>
          </cell>
          <cell r="J157">
            <v>2.8049999999999999E-2</v>
          </cell>
        </row>
        <row r="158">
          <cell r="D158" t="str">
            <v>CET</v>
          </cell>
          <cell r="G158" t="str">
            <v>s2d1b3</v>
          </cell>
          <cell r="J158">
            <v>2.8049999999999999E-2</v>
          </cell>
        </row>
        <row r="159">
          <cell r="D159" t="str">
            <v>CET</v>
          </cell>
          <cell r="G159" t="str">
            <v>s2d1b4</v>
          </cell>
          <cell r="J159">
            <v>9.3500000000000007E-3</v>
          </cell>
        </row>
        <row r="160">
          <cell r="D160" t="str">
            <v>CET</v>
          </cell>
          <cell r="G160" t="str">
            <v>s2d1b5</v>
          </cell>
          <cell r="J160">
            <v>9.3500000000000007E-3</v>
          </cell>
        </row>
        <row r="161">
          <cell r="D161" t="str">
            <v>CET</v>
          </cell>
          <cell r="G161" t="str">
            <v>s2d2b1</v>
          </cell>
          <cell r="J161">
            <v>4.2079999999999999E-2</v>
          </cell>
        </row>
        <row r="162">
          <cell r="D162" t="str">
            <v>CET</v>
          </cell>
          <cell r="G162" t="str">
            <v>s2d2b2</v>
          </cell>
          <cell r="J162">
            <v>5.1429999999999997E-2</v>
          </cell>
        </row>
        <row r="163">
          <cell r="D163" t="str">
            <v>CET</v>
          </cell>
          <cell r="G163" t="str">
            <v>s2d2b3</v>
          </cell>
          <cell r="J163">
            <v>1.8700000000000001E-2</v>
          </cell>
        </row>
        <row r="164">
          <cell r="D164" t="str">
            <v>CET</v>
          </cell>
          <cell r="G164" t="str">
            <v>s3d1b1</v>
          </cell>
          <cell r="J164">
            <v>3.7400000000000003E-2</v>
          </cell>
        </row>
        <row r="165">
          <cell r="D165" t="str">
            <v>CET</v>
          </cell>
          <cell r="G165" t="str">
            <v>s3d1b2</v>
          </cell>
          <cell r="J165">
            <v>4.2079999999999999E-2</v>
          </cell>
        </row>
        <row r="166">
          <cell r="D166" t="str">
            <v>CET</v>
          </cell>
          <cell r="G166" t="str">
            <v>s3d1b3</v>
          </cell>
          <cell r="J166">
            <v>3.2730000000000002E-2</v>
          </cell>
        </row>
        <row r="167">
          <cell r="D167" t="str">
            <v>CET</v>
          </cell>
          <cell r="G167" t="str">
            <v>s3d2b1</v>
          </cell>
          <cell r="J167">
            <v>3.6299999999999999E-2</v>
          </cell>
        </row>
        <row r="168">
          <cell r="D168" t="str">
            <v>CET</v>
          </cell>
          <cell r="G168" t="str">
            <v>s3d2b2</v>
          </cell>
          <cell r="J168">
            <v>4.0840000000000001E-2</v>
          </cell>
        </row>
        <row r="169">
          <cell r="D169" t="str">
            <v>CET</v>
          </cell>
          <cell r="G169" t="str">
            <v>s3d2b3</v>
          </cell>
          <cell r="J169">
            <v>3.1759999999999997E-2</v>
          </cell>
        </row>
        <row r="170">
          <cell r="D170" t="str">
            <v>CEO</v>
          </cell>
          <cell r="G170" t="str">
            <v>s1d1b1</v>
          </cell>
          <cell r="J170">
            <v>5.2670000000000002E-2</v>
          </cell>
        </row>
        <row r="171">
          <cell r="D171" t="str">
            <v>CEO</v>
          </cell>
          <cell r="G171" t="str">
            <v>s1d1b2</v>
          </cell>
          <cell r="J171">
            <v>0.15711</v>
          </cell>
        </row>
        <row r="172">
          <cell r="D172" t="str">
            <v>CEO</v>
          </cell>
          <cell r="G172" t="str">
            <v>s1d1b3</v>
          </cell>
          <cell r="J172">
            <v>3.9730000000000001E-2</v>
          </cell>
        </row>
        <row r="173">
          <cell r="D173" t="str">
            <v>CEO</v>
          </cell>
          <cell r="G173" t="str">
            <v>s1d2b1</v>
          </cell>
          <cell r="J173">
            <v>3.5869999999999999E-2</v>
          </cell>
        </row>
        <row r="174">
          <cell r="D174" t="str">
            <v>CEO</v>
          </cell>
          <cell r="G174" t="str">
            <v>s1d2b2</v>
          </cell>
          <cell r="J174">
            <v>5.4239999999999997E-2</v>
          </cell>
        </row>
        <row r="175">
          <cell r="D175" t="str">
            <v>CEO</v>
          </cell>
          <cell r="G175" t="str">
            <v>s1d2b3</v>
          </cell>
          <cell r="J175">
            <v>1.6930000000000001E-2</v>
          </cell>
        </row>
        <row r="176">
          <cell r="D176" t="str">
            <v>CEO</v>
          </cell>
          <cell r="G176" t="str">
            <v>s2d1b1</v>
          </cell>
          <cell r="J176">
            <v>4.6080000000000003E-2</v>
          </cell>
        </row>
        <row r="177">
          <cell r="D177" t="str">
            <v>CEO</v>
          </cell>
          <cell r="G177" t="str">
            <v>s2d1b2</v>
          </cell>
          <cell r="J177">
            <v>3.6229999999999998E-2</v>
          </cell>
        </row>
        <row r="178">
          <cell r="D178" t="str">
            <v>CEO</v>
          </cell>
          <cell r="G178" t="str">
            <v>s2d1b3</v>
          </cell>
          <cell r="J178">
            <v>9.4500000000000001E-2</v>
          </cell>
        </row>
        <row r="179">
          <cell r="D179" t="str">
            <v>CEO</v>
          </cell>
          <cell r="G179" t="str">
            <v>s2d1b4</v>
          </cell>
          <cell r="J179">
            <v>2.8490000000000001E-2</v>
          </cell>
        </row>
        <row r="180">
          <cell r="D180" t="str">
            <v>CEO</v>
          </cell>
          <cell r="G180" t="str">
            <v>s2d1b5</v>
          </cell>
          <cell r="J180">
            <v>8.6199999999999992E-3</v>
          </cell>
        </row>
        <row r="181">
          <cell r="D181" t="str">
            <v>CEO</v>
          </cell>
          <cell r="G181" t="str">
            <v>s2d2b1</v>
          </cell>
          <cell r="J181">
            <v>3.0790000000000001E-2</v>
          </cell>
        </row>
        <row r="182">
          <cell r="D182" t="str">
            <v>CEO</v>
          </cell>
          <cell r="G182" t="str">
            <v>s2d2b2</v>
          </cell>
          <cell r="J182">
            <v>4.6629999999999998E-2</v>
          </cell>
        </row>
        <row r="183">
          <cell r="D183" t="str">
            <v>CEO</v>
          </cell>
          <cell r="G183" t="str">
            <v>s2d2b3</v>
          </cell>
          <cell r="J183">
            <v>1.46E-2</v>
          </cell>
        </row>
        <row r="184">
          <cell r="D184" t="str">
            <v>CEO</v>
          </cell>
          <cell r="G184" t="str">
            <v>s3d1b1</v>
          </cell>
          <cell r="J184">
            <v>5.7259999999999998E-2</v>
          </cell>
        </row>
        <row r="185">
          <cell r="D185" t="str">
            <v>CEO</v>
          </cell>
          <cell r="G185" t="str">
            <v>s3d1b2</v>
          </cell>
          <cell r="J185">
            <v>0.14659</v>
          </cell>
        </row>
        <row r="186">
          <cell r="D186" t="str">
            <v>CEO</v>
          </cell>
          <cell r="G186" t="str">
            <v>s3d1b3</v>
          </cell>
          <cell r="J186">
            <v>3.8609999999999998E-2</v>
          </cell>
        </row>
        <row r="187">
          <cell r="D187" t="str">
            <v>CEO</v>
          </cell>
          <cell r="G187" t="str">
            <v>s3d2b1</v>
          </cell>
          <cell r="J187">
            <v>3.1850000000000003E-2</v>
          </cell>
        </row>
        <row r="188">
          <cell r="D188" t="str">
            <v>CEO</v>
          </cell>
          <cell r="G188" t="str">
            <v>s3d2b2</v>
          </cell>
          <cell r="J188">
            <v>4.8169999999999998E-2</v>
          </cell>
        </row>
        <row r="189">
          <cell r="D189" t="str">
            <v>CEO</v>
          </cell>
          <cell r="G189" t="str">
            <v>s3d2b3</v>
          </cell>
          <cell r="J189">
            <v>1.503E-2</v>
          </cell>
        </row>
      </sheetData>
      <sheetData sheetId="21"/>
      <sheetData sheetId="22"/>
      <sheetData sheetId="23"/>
      <sheetData sheetId="2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 val="Losses NERSA 2012"/>
    </sheetNames>
    <sheetDataSet>
      <sheetData sheetId="0"/>
      <sheetData sheetId="1"/>
      <sheetData sheetId="2">
        <row r="156">
          <cell r="AU156">
            <v>0.79849999999999999</v>
          </cell>
          <cell r="AV156">
            <v>0.48230000000000001</v>
          </cell>
          <cell r="AW156">
            <v>0.68689999999999996</v>
          </cell>
          <cell r="AX156">
            <v>0.55200000000000005</v>
          </cell>
          <cell r="AY156">
            <v>0.68830000000000002</v>
          </cell>
          <cell r="AZ156">
            <v>0.89129999999999998</v>
          </cell>
          <cell r="BA156">
            <v>0.5464</v>
          </cell>
          <cell r="BB156">
            <v>0.89129999999999998</v>
          </cell>
          <cell r="BC156">
            <v>0.64739999999999998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
          <cell r="D10" t="str">
            <v>CEC</v>
          </cell>
          <cell r="G10" t="str">
            <v>s1d1b1</v>
          </cell>
          <cell r="J10">
            <v>0.20380000000000001</v>
          </cell>
        </row>
        <row r="11">
          <cell r="D11" t="str">
            <v>CEC</v>
          </cell>
          <cell r="G11" t="str">
            <v>s1d1b2</v>
          </cell>
          <cell r="J11">
            <v>0.39271999999999979</v>
          </cell>
        </row>
        <row r="12">
          <cell r="D12" t="str">
            <v>CEC</v>
          </cell>
          <cell r="G12" t="str">
            <v>s1d1b3</v>
          </cell>
          <cell r="J12">
            <v>0.14752999999999999</v>
          </cell>
        </row>
        <row r="13">
          <cell r="D13" t="str">
            <v>CEC</v>
          </cell>
          <cell r="G13" t="str">
            <v>s2d1b1</v>
          </cell>
          <cell r="J13">
            <v>6.3039999999999999E-2</v>
          </cell>
        </row>
        <row r="14">
          <cell r="D14" t="str">
            <v>CEC</v>
          </cell>
          <cell r="G14" t="str">
            <v>s2d1b2</v>
          </cell>
          <cell r="J14">
            <v>3.3020000000000001E-2</v>
          </cell>
        </row>
        <row r="15">
          <cell r="D15" t="str">
            <v>CEC</v>
          </cell>
          <cell r="G15" t="str">
            <v>s2d1b3</v>
          </cell>
          <cell r="J15">
            <v>9.9519999999999997E-2</v>
          </cell>
        </row>
        <row r="16">
          <cell r="D16" t="str">
            <v>CEC</v>
          </cell>
          <cell r="G16" t="str">
            <v>s2d1b4</v>
          </cell>
          <cell r="J16">
            <v>4.2099999999999999E-2</v>
          </cell>
        </row>
        <row r="17">
          <cell r="D17" t="str">
            <v>CEC</v>
          </cell>
          <cell r="G17" t="str">
            <v>s2d1b5</v>
          </cell>
          <cell r="J17">
            <v>1.8270000000000002E-2</v>
          </cell>
        </row>
        <row r="18">
          <cell r="D18" t="str">
            <v>CEH</v>
          </cell>
          <cell r="G18" t="str">
            <v>s1d1b1</v>
          </cell>
          <cell r="J18">
            <v>0.14902000000000001</v>
          </cell>
        </row>
        <row r="19">
          <cell r="D19" t="str">
            <v>CEH</v>
          </cell>
          <cell r="G19" t="str">
            <v>s1d1b2</v>
          </cell>
          <cell r="J19">
            <v>0.28716000000000014</v>
          </cell>
        </row>
        <row r="20">
          <cell r="D20" t="str">
            <v>CEH</v>
          </cell>
          <cell r="G20" t="str">
            <v>s1d1b3</v>
          </cell>
          <cell r="J20">
            <v>0.10788</v>
          </cell>
        </row>
        <row r="21">
          <cell r="D21" t="str">
            <v>CEH</v>
          </cell>
          <cell r="G21" t="str">
            <v>s2d1b1</v>
          </cell>
          <cell r="J21">
            <v>0.1123</v>
          </cell>
        </row>
        <row r="22">
          <cell r="D22" t="str">
            <v>CEH</v>
          </cell>
          <cell r="G22" t="str">
            <v>s2d1b2</v>
          </cell>
          <cell r="J22">
            <v>5.8810000000000001E-2</v>
          </cell>
        </row>
        <row r="23">
          <cell r="D23" t="str">
            <v>CEH</v>
          </cell>
          <cell r="G23" t="str">
            <v>s2d1b3</v>
          </cell>
          <cell r="J23">
            <v>0.17727999999999999</v>
          </cell>
        </row>
        <row r="24">
          <cell r="D24" t="str">
            <v>CEH</v>
          </cell>
          <cell r="G24" t="str">
            <v>s2d1b4</v>
          </cell>
          <cell r="J24">
            <v>7.4999999999999997E-2</v>
          </cell>
        </row>
        <row r="25">
          <cell r="D25" t="str">
            <v>CEH</v>
          </cell>
          <cell r="G25" t="str">
            <v>s2d1b5</v>
          </cell>
          <cell r="J25">
            <v>3.2550000000000003E-2</v>
          </cell>
        </row>
        <row r="26">
          <cell r="D26" t="str">
            <v>CEK</v>
          </cell>
          <cell r="G26" t="str">
            <v>s1d1b1</v>
          </cell>
          <cell r="J26">
            <v>0.17326</v>
          </cell>
        </row>
        <row r="27">
          <cell r="D27" t="str">
            <v>CEK</v>
          </cell>
          <cell r="G27" t="str">
            <v>s1d1b2</v>
          </cell>
          <cell r="J27">
            <v>0.39327000000000001</v>
          </cell>
        </row>
        <row r="28">
          <cell r="D28" t="str">
            <v>CEK</v>
          </cell>
          <cell r="G28" t="str">
            <v>s1d1b3</v>
          </cell>
          <cell r="J28">
            <v>0.12751999999999999</v>
          </cell>
        </row>
        <row r="29">
          <cell r="D29" t="str">
            <v>CEK</v>
          </cell>
          <cell r="G29" t="str">
            <v>s2d1b1</v>
          </cell>
          <cell r="J29">
            <v>7.0050000000000001E-2</v>
          </cell>
        </row>
        <row r="30">
          <cell r="D30" t="str">
            <v>CEK</v>
          </cell>
          <cell r="G30" t="str">
            <v>s2d1b2</v>
          </cell>
          <cell r="J30">
            <v>4.6249999999999999E-2</v>
          </cell>
        </row>
        <row r="31">
          <cell r="D31" t="str">
            <v>CEK</v>
          </cell>
          <cell r="G31" t="str">
            <v>s2d1b3</v>
          </cell>
          <cell r="J31">
            <v>0.12447999999999999</v>
          </cell>
        </row>
        <row r="32">
          <cell r="D32" t="str">
            <v>CEK</v>
          </cell>
          <cell r="G32" t="str">
            <v>s2d1b4</v>
          </cell>
          <cell r="J32">
            <v>4.7879999999999999E-2</v>
          </cell>
        </row>
        <row r="33">
          <cell r="D33" t="str">
            <v>CEK</v>
          </cell>
          <cell r="G33" t="str">
            <v>s2d1b5</v>
          </cell>
          <cell r="J33">
            <v>1.729E-2</v>
          </cell>
        </row>
        <row r="34">
          <cell r="D34" t="str">
            <v>CEL</v>
          </cell>
          <cell r="G34" t="str">
            <v>s1d1b1</v>
          </cell>
          <cell r="J34">
            <v>0.18623000000000001</v>
          </cell>
        </row>
        <row r="35">
          <cell r="D35" t="str">
            <v>CEL</v>
          </cell>
          <cell r="G35" t="str">
            <v>s1d1b2</v>
          </cell>
          <cell r="J35">
            <v>0.36068999999999996</v>
          </cell>
        </row>
        <row r="36">
          <cell r="D36" t="str">
            <v>CEL</v>
          </cell>
          <cell r="G36" t="str">
            <v>s1d1b3</v>
          </cell>
          <cell r="J36">
            <v>0.14713999999999999</v>
          </cell>
        </row>
        <row r="37">
          <cell r="D37" t="str">
            <v>CEL</v>
          </cell>
          <cell r="G37" t="str">
            <v>s2d1b1</v>
          </cell>
          <cell r="J37">
            <v>7.2919999999999999E-2</v>
          </cell>
        </row>
        <row r="38">
          <cell r="D38" t="str">
            <v>CEL</v>
          </cell>
          <cell r="G38" t="str">
            <v>s2d1b2</v>
          </cell>
          <cell r="J38">
            <v>8.8510000000000005E-2</v>
          </cell>
        </row>
        <row r="39">
          <cell r="D39" t="str">
            <v>CEL</v>
          </cell>
          <cell r="G39" t="str">
            <v>s2d1b3</v>
          </cell>
          <cell r="J39">
            <v>6.6019999999999995E-2</v>
          </cell>
        </row>
        <row r="40">
          <cell r="D40" t="str">
            <v>CEL</v>
          </cell>
          <cell r="G40" t="str">
            <v>s2d1b4</v>
          </cell>
          <cell r="J40">
            <v>4.3459999999999999E-2</v>
          </cell>
        </row>
        <row r="41">
          <cell r="D41" t="str">
            <v>CEL</v>
          </cell>
          <cell r="G41" t="str">
            <v>s2d1b5</v>
          </cell>
          <cell r="J41">
            <v>3.5029999999999999E-2</v>
          </cell>
        </row>
        <row r="42">
          <cell r="D42" t="str">
            <v>CER</v>
          </cell>
          <cell r="G42" t="str">
            <v>s1d1b1</v>
          </cell>
          <cell r="J42">
            <v>0.25266</v>
          </cell>
        </row>
        <row r="43">
          <cell r="D43" t="str">
            <v>CER</v>
          </cell>
          <cell r="G43" t="str">
            <v>s1d1b2</v>
          </cell>
          <cell r="J43">
            <v>0.30057</v>
          </cell>
        </row>
        <row r="44">
          <cell r="D44" t="str">
            <v>CER</v>
          </cell>
          <cell r="G44" t="str">
            <v>s1d1b3</v>
          </cell>
          <cell r="J44">
            <v>0.14082</v>
          </cell>
        </row>
        <row r="45">
          <cell r="D45" t="str">
            <v>CER</v>
          </cell>
          <cell r="G45" t="str">
            <v>s2d1b1</v>
          </cell>
          <cell r="J45">
            <v>0.10063</v>
          </cell>
        </row>
        <row r="46">
          <cell r="D46" t="str">
            <v>CER</v>
          </cell>
          <cell r="G46" t="str">
            <v>s2d1b2</v>
          </cell>
          <cell r="J46">
            <v>3.6630000000000003E-2</v>
          </cell>
        </row>
        <row r="47">
          <cell r="D47" t="str">
            <v>CER</v>
          </cell>
          <cell r="G47" t="str">
            <v>s2d1b3</v>
          </cell>
          <cell r="J47">
            <v>9.2810000000000004E-2</v>
          </cell>
        </row>
        <row r="48">
          <cell r="D48" t="str">
            <v>CER</v>
          </cell>
          <cell r="G48" t="str">
            <v>s2d1b4</v>
          </cell>
          <cell r="J48">
            <v>5.3240000000000003E-2</v>
          </cell>
        </row>
        <row r="49">
          <cell r="D49" t="str">
            <v>CER</v>
          </cell>
          <cell r="G49" t="str">
            <v>s2d1b5</v>
          </cell>
          <cell r="J49">
            <v>2.264E-2</v>
          </cell>
        </row>
        <row r="50">
          <cell r="D50" t="str">
            <v>CEW</v>
          </cell>
          <cell r="G50" t="str">
            <v>s1d1b1</v>
          </cell>
          <cell r="J50">
            <v>0.26721</v>
          </cell>
        </row>
        <row r="51">
          <cell r="D51" t="str">
            <v>CEW</v>
          </cell>
          <cell r="G51" t="str">
            <v>s1d1b2</v>
          </cell>
          <cell r="J51">
            <v>0.31810999999999978</v>
          </cell>
        </row>
        <row r="52">
          <cell r="D52" t="str">
            <v>CEW</v>
          </cell>
          <cell r="G52" t="str">
            <v>s1d1b3</v>
          </cell>
          <cell r="J52">
            <v>0.10874</v>
          </cell>
        </row>
        <row r="53">
          <cell r="D53" t="str">
            <v>CEW</v>
          </cell>
          <cell r="G53" t="str">
            <v>s2d1b1</v>
          </cell>
          <cell r="J53">
            <v>0.10963000000000001</v>
          </cell>
        </row>
        <row r="54">
          <cell r="D54" t="str">
            <v>CEW</v>
          </cell>
          <cell r="G54" t="str">
            <v>s2d1b2</v>
          </cell>
          <cell r="J54">
            <v>5.0990000000000001E-2</v>
          </cell>
        </row>
        <row r="55">
          <cell r="D55" t="str">
            <v>CEW</v>
          </cell>
          <cell r="G55" t="str">
            <v>s2d1b3</v>
          </cell>
          <cell r="J55">
            <v>8.6169999999999997E-2</v>
          </cell>
        </row>
        <row r="56">
          <cell r="D56" t="str">
            <v>CEW</v>
          </cell>
          <cell r="G56" t="str">
            <v>s2d1b4</v>
          </cell>
          <cell r="J56">
            <v>3.8240000000000003E-2</v>
          </cell>
        </row>
        <row r="57">
          <cell r="D57" t="str">
            <v>CEW</v>
          </cell>
          <cell r="G57" t="str">
            <v>s2d1b5</v>
          </cell>
          <cell r="J57">
            <v>2.0910000000000002E-2</v>
          </cell>
        </row>
        <row r="58">
          <cell r="D58" t="str">
            <v>CEG</v>
          </cell>
          <cell r="G58" t="str">
            <v>s1d1b1</v>
          </cell>
          <cell r="J58">
            <v>0.44383000000000006</v>
          </cell>
        </row>
        <row r="59">
          <cell r="D59" t="str">
            <v>CEG</v>
          </cell>
          <cell r="G59" t="str">
            <v>s1d1b2</v>
          </cell>
          <cell r="J59">
            <v>0.15719</v>
          </cell>
        </row>
        <row r="60">
          <cell r="D60" t="str">
            <v>CEG</v>
          </cell>
          <cell r="G60" t="str">
            <v>s1d1b3</v>
          </cell>
          <cell r="J60">
            <v>9.3039999999999998E-2</v>
          </cell>
        </row>
        <row r="61">
          <cell r="D61" t="str">
            <v>CEG</v>
          </cell>
          <cell r="G61" t="str">
            <v>s2d1b1</v>
          </cell>
          <cell r="J61">
            <v>0.17882999999999999</v>
          </cell>
        </row>
        <row r="62">
          <cell r="D62" t="str">
            <v>CEG</v>
          </cell>
          <cell r="G62" t="str">
            <v>s2d1b2</v>
          </cell>
          <cell r="J62">
            <v>6.4829999999999999E-2</v>
          </cell>
        </row>
        <row r="63">
          <cell r="D63" t="str">
            <v>CEG</v>
          </cell>
          <cell r="G63" t="str">
            <v>s2d1b3</v>
          </cell>
          <cell r="J63">
            <v>1.4E-3</v>
          </cell>
        </row>
        <row r="64">
          <cell r="D64" t="str">
            <v>CEG</v>
          </cell>
          <cell r="G64" t="str">
            <v>s2d1b4</v>
          </cell>
          <cell r="J64">
            <v>2.2669999999999999E-2</v>
          </cell>
        </row>
        <row r="65">
          <cell r="D65" t="str">
            <v>CEG</v>
          </cell>
          <cell r="G65" t="str">
            <v>s2d1b5</v>
          </cell>
          <cell r="J65">
            <v>3.8210000000000001E-2</v>
          </cell>
        </row>
        <row r="66">
          <cell r="D66" t="str">
            <v>CET</v>
          </cell>
          <cell r="G66" t="str">
            <v>s1d1b1</v>
          </cell>
          <cell r="J66">
            <v>0.26721</v>
          </cell>
        </row>
        <row r="67">
          <cell r="D67" t="str">
            <v>CET</v>
          </cell>
          <cell r="G67" t="str">
            <v>s1d1b2</v>
          </cell>
          <cell r="J67">
            <v>0.31810999999999978</v>
          </cell>
        </row>
        <row r="68">
          <cell r="D68" t="str">
            <v>CET</v>
          </cell>
          <cell r="G68" t="str">
            <v>s1d1b3</v>
          </cell>
          <cell r="J68">
            <v>0.10874</v>
          </cell>
        </row>
        <row r="69">
          <cell r="D69" t="str">
            <v>CET</v>
          </cell>
          <cell r="G69" t="str">
            <v>s2d1b1</v>
          </cell>
          <cell r="J69">
            <v>0.10963000000000001</v>
          </cell>
        </row>
        <row r="70">
          <cell r="D70" t="str">
            <v>CET</v>
          </cell>
          <cell r="G70" t="str">
            <v>s2d1b2</v>
          </cell>
          <cell r="J70">
            <v>5.0990000000000001E-2</v>
          </cell>
        </row>
        <row r="71">
          <cell r="D71" t="str">
            <v>CET</v>
          </cell>
          <cell r="G71" t="str">
            <v>s2d1b3</v>
          </cell>
          <cell r="J71">
            <v>8.6169999999999997E-2</v>
          </cell>
        </row>
        <row r="72">
          <cell r="D72" t="str">
            <v>CET</v>
          </cell>
          <cell r="G72" t="str">
            <v>s2d1b4</v>
          </cell>
          <cell r="J72">
            <v>3.8240000000000003E-2</v>
          </cell>
        </row>
        <row r="73">
          <cell r="D73" t="str">
            <v>CET</v>
          </cell>
          <cell r="G73" t="str">
            <v>s2d1b5</v>
          </cell>
          <cell r="J73">
            <v>2.0910000000000002E-2</v>
          </cell>
        </row>
        <row r="74">
          <cell r="D74" t="str">
            <v>CEO</v>
          </cell>
          <cell r="G74" t="str">
            <v>s1d1b1</v>
          </cell>
          <cell r="J74">
            <v>0.14651</v>
          </cell>
        </row>
        <row r="75">
          <cell r="D75" t="str">
            <v>CEO</v>
          </cell>
          <cell r="G75" t="str">
            <v>s1d1b2</v>
          </cell>
          <cell r="J75">
            <v>0.43703000000000009</v>
          </cell>
        </row>
        <row r="76">
          <cell r="D76" t="str">
            <v>CEO</v>
          </cell>
          <cell r="G76" t="str">
            <v>s1d1b3</v>
          </cell>
          <cell r="J76">
            <v>0.11051999999999999</v>
          </cell>
        </row>
        <row r="77">
          <cell r="D77" t="str">
            <v>CEO</v>
          </cell>
          <cell r="G77" t="str">
            <v>s2d1b1</v>
          </cell>
          <cell r="J77">
            <v>6.2839999999999993E-2</v>
          </cell>
        </row>
        <row r="78">
          <cell r="D78" t="str">
            <v>CEO</v>
          </cell>
          <cell r="G78" t="str">
            <v>s2d1b2</v>
          </cell>
          <cell r="J78">
            <v>5.6410000000000002E-2</v>
          </cell>
        </row>
        <row r="79">
          <cell r="D79" t="str">
            <v>CEO</v>
          </cell>
          <cell r="G79" t="str">
            <v>s2d1b3</v>
          </cell>
          <cell r="J79">
            <v>0.13208</v>
          </cell>
        </row>
        <row r="80">
          <cell r="D80" t="str">
            <v>CEO</v>
          </cell>
          <cell r="G80" t="str">
            <v>s2d1b4</v>
          </cell>
          <cell r="J80">
            <v>4.3810000000000002E-2</v>
          </cell>
        </row>
        <row r="81">
          <cell r="D81" t="str">
            <v>CEO</v>
          </cell>
          <cell r="G81" t="str">
            <v>s2d1b5</v>
          </cell>
          <cell r="J81">
            <v>1.0800000000000001E-2</v>
          </cell>
        </row>
      </sheetData>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bruno merven" id="{EE5E12DD-2C17-4435-A18E-862526AB9F7D}" userId="144eb91ed0ec6402" providerId="Windows Live"/>
  <person displayName="De Kock, S, Ms [21734534@sun.ac.za]" id="{9E600844-45D3-4C81-9C9F-1AED6E12EB23}" userId="S::21734534@sun.ac.za::f5c7d972-16b5-412b-9864-cc381876460d" providerId="AD"/>
  <person displayName="Savanha De Kock" id="{B5010D9F-F555-4E3A-8D27-5C7BD756D4BC}" userId="S::DKCSAV001@myuct.ac.za::5fcbe5db-df3f-4e74-b24f-b9a225da6e0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57" dT="2023-08-18T08:52:08.62" personId="{B5010D9F-F555-4E3A-8D27-5C7BD756D4BC}" id="{362938B8-621B-4034-8FA9-C297EA166DD9}">
    <text>Ncap cost</text>
  </threadedComment>
  <threadedComment ref="I73" dT="2023-08-22T13:38:20.65" personId="{B5010D9F-F555-4E3A-8D27-5C7BD756D4BC}" id="{30EBB3F2-E02F-41B0-B4FF-82A69717D64E}">
    <text>Purple cells have been manually price adjusted</text>
  </threadedComment>
</ThreadedComments>
</file>

<file path=xl/threadedComments/threadedComment2.xml><?xml version="1.0" encoding="utf-8"?>
<ThreadedComments xmlns="http://schemas.microsoft.com/office/spreadsheetml/2018/threadedcomments" xmlns:x="http://schemas.openxmlformats.org/spreadsheetml/2006/main">
  <threadedComment ref="I73" dT="2023-08-22T13:34:01.13" personId="{B5010D9F-F555-4E3A-8D27-5C7BD756D4BC}" id="{A3E042F7-4502-40CD-A76D-03829B63EB92}">
    <text>Purple cells have been manually price adjusted</text>
  </threadedComment>
</ThreadedComments>
</file>

<file path=xl/threadedComments/threadedComment3.xml><?xml version="1.0" encoding="utf-8"?>
<ThreadedComments xmlns="http://schemas.microsoft.com/office/spreadsheetml/2018/threadedcomments" xmlns:x="http://schemas.openxmlformats.org/spreadsheetml/2006/main">
  <threadedComment ref="C379" dT="2023-07-18T12:57:55.04" personId="{9E600844-45D3-4C81-9C9F-1AED6E12EB23}" id="{BE13FECF-B362-43CE-8920-917D019738B0}">
    <text>Use Table 19 onwards – Buildings reported as *completed* to larger municipalities at *current prices* by type of building: South Africa
Check the province and buildings COMPLETED table is in use!</text>
  </threadedComment>
</ThreadedComments>
</file>

<file path=xl/threadedComments/threadedComment4.xml><?xml version="1.0" encoding="utf-8"?>
<ThreadedComments xmlns="http://schemas.microsoft.com/office/spreadsheetml/2018/threadedcomments" xmlns:x="http://schemas.openxmlformats.org/spreadsheetml/2006/main">
  <threadedComment ref="B34" dT="2023-07-17T12:53:58.80" personId="{9E600844-45D3-4C81-9C9F-1AED6E12EB23}" id="{1B627C60-B383-40BC-9058-9681C6A32F94}">
    <text>2017 onwards: Source: Statssa P5041.3 2023</text>
  </threadedComment>
  <threadedComment ref="E35" dT="2023-07-17T14:29:09.18" personId="{9E600844-45D3-4C81-9C9F-1AED6E12EB23}" id="{7FDE02D7-5A37-4FB9-A257-3FDACCF9CA40}">
    <text>Other="all other" + schools etc + churches etc. Source: Statssa P5041.3 2023</text>
  </threadedComment>
</ThreadedComments>
</file>

<file path=xl/threadedComments/threadedComment5.xml><?xml version="1.0" encoding="utf-8"?>
<ThreadedComments xmlns="http://schemas.microsoft.com/office/spreadsheetml/2018/threadedcomments" xmlns:x="http://schemas.openxmlformats.org/spreadsheetml/2006/main">
  <threadedComment ref="D24" dT="2023-07-18T11:03:39.35" personId="{9E600844-45D3-4C81-9C9F-1AED6E12EB23}" id="{2ADFB143-28BB-49F4-9ECD-7F6C659D960C}">
    <text>Source: Table 2, P0441</text>
  </threadedComment>
  <threadedComment ref="D28" dT="2023-07-18T11:06:12.54" personId="{9E600844-45D3-4C81-9C9F-1AED6E12EB23}" id="{A0636DCC-86E6-44A8-9AC0-E9103CEE36C6}">
    <text/>
  </threadedComment>
  <threadedComment ref="D28" dT="2023-07-18T11:07:19.30" personId="{9E600844-45D3-4C81-9C9F-1AED6E12EB23}" id="{3824CB13-889F-4D18-A01E-AFC26370DCA8}" parentId="{A0636DCC-86E6-44A8-9AC0-E9103CEE36C6}">
    <text>Was 43.5 with the change from 2010 to 2015 constant prices for annualization/seasonal adj.</text>
  </threadedComment>
  <threadedComment ref="C30" dT="2023-07-18T09:59:02.13" personId="{9E600844-45D3-4C81-9C9F-1AED6E12EB23}" id="{B17263F2-8DD3-4D3E-9C00-319CA0E7D4B9}">
    <text>@ constant 2015 prices, prior to these cells 2010 prices used.
Seasonally adjusted and annualised value added by industry at constant 2015 prices: GDP at market prices (Unit: R million, SA; Source: P0441 - Table 1 4th quarter 2022</text>
  </threadedComment>
  <threadedComment ref="C30" dT="2023-07-18T10:03:06.15" personId="{9E600844-45D3-4C81-9C9F-1AED6E12EB23}" id="{0E8CEC6D-6720-4B27-9422-6713640821F8}" parentId="{B17263F2-8DD3-4D3E-9C00-319CA0E7D4B9}">
    <text>Average of the 4 quarterly values</text>
  </threadedComment>
  <threadedComment ref="L30" dT="2023-07-18T09:59:02.13" personId="{9E600844-45D3-4C81-9C9F-1AED6E12EB23}" id="{82DD3A0B-FA0C-4A64-863F-2B1D84927B3C}">
    <text>@ constant 2015 prices, prior to these cells 2010 prices used.
Seasonally adjusted and annualised value added by industry at constant 2015 prices: GDP at market prices (Unit: R million, SA; Source: P0441 - Table 1 4th quarter 2022</text>
  </threadedComment>
  <threadedComment ref="L30" dT="2023-07-18T10:03:06.15" personId="{9E600844-45D3-4C81-9C9F-1AED6E12EB23}" id="{F4DE1104-D060-4D4A-A807-173208ADC6A9}" parentId="{82DD3A0B-FA0C-4A64-863F-2B1D84927B3C}">
    <text>Average of the 4 quarterly values</text>
  </threadedComment>
  <threadedComment ref="G35" dT="2023-07-18T11:21:32.77" personId="{9E600844-45D3-4C81-9C9F-1AED6E12EB23}" id="{C0A69B4B-2680-460B-A22E-3E5D8E1BE187}">
    <text>Source: pg19 Domestic Outlook https://www.treasury.gov.za/documents/national%20budget/2023/review/Chapter%202.pdf</text>
    <extLst>
      <x:ext xmlns:xltc2="http://schemas.microsoft.com/office/spreadsheetml/2020/threadedcomments2" uri="{F7C98A9C-CBB3-438F-8F68-D28B6AF4A901}">
        <xltc2:checksum>1884364024</xltc2:checksum>
        <xltc2:hyperlink startIndex="30" length="83" url="https://www.treasury.gov.za/documents/national%20budget/2023/review/Chapter%202.pdf"/>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B51" dT="2023-07-24T13:26:31.49" personId="{B5010D9F-F555-4E3A-8D27-5C7BD756D4BC}" id="{2EAE6E87-FD47-495E-8980-80FBDAD83AF4}">
    <text>Array for years in which we do not yet have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M36" dT="2020-02-20T16:27:50.89" personId="{EE5E12DD-2C17-4435-A18E-862526AB9F7D}" id="{383F41FC-D134-4219-8B60-9738184ADD50}">
    <text>149PJ from SATIM</text>
  </threadedComment>
  <threadedComment ref="M40" dT="2020-02-20T16:28:34.54" personId="{EE5E12DD-2C17-4435-A18E-862526AB9F7D}" id="{DADD73C9-2FC4-44BE-B978-506A582D8C81}">
    <text>this doesn't look right</text>
  </threadedComment>
</ThreadedComment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n.wikipedia.org/wiki/Joule" TargetMode="External"/><Relationship Id="rId7" Type="http://schemas.openxmlformats.org/officeDocument/2006/relationships/hyperlink" Target="http://en.wikipedia.org/wiki/Joule" TargetMode="External"/><Relationship Id="rId2" Type="http://schemas.openxmlformats.org/officeDocument/2006/relationships/hyperlink" Target="http://en.wikipedia.org/wiki/Joule" TargetMode="External"/><Relationship Id="rId1" Type="http://schemas.openxmlformats.org/officeDocument/2006/relationships/hyperlink" Target="http://en.wikipedia.org/wiki/Joule" TargetMode="External"/><Relationship Id="rId6" Type="http://schemas.openxmlformats.org/officeDocument/2006/relationships/hyperlink" Target="http://en.wikipedia.org/wiki/Joule" TargetMode="External"/><Relationship Id="rId5" Type="http://schemas.openxmlformats.org/officeDocument/2006/relationships/hyperlink" Target="http://en.wikipedia.org/wiki/Joule" TargetMode="External"/><Relationship Id="rId4" Type="http://schemas.openxmlformats.org/officeDocument/2006/relationships/hyperlink" Target="http://en.wikipedia.org/wiki/Jou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oleObject" Target="../embeddings/oleObject2.bin"/><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ch.worldbank.org/data?qterm=gdp%20deflator%20%22south%20africa%22&amp;language=EN"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1.xml"/></Relationships>
</file>

<file path=xl/worksheets/_rels/sheet2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ontrol" Target="../activeX/activeX1.xml"/><Relationship Id="rId7" Type="http://schemas.openxmlformats.org/officeDocument/2006/relationships/control" Target="../activeX/activeX3.xml"/><Relationship Id="rId2" Type="http://schemas.openxmlformats.org/officeDocument/2006/relationships/vmlDrawing" Target="../drawings/vmlDrawing13.vml"/><Relationship Id="rId1" Type="http://schemas.openxmlformats.org/officeDocument/2006/relationships/drawing" Target="../drawings/drawing9.xml"/><Relationship Id="rId6" Type="http://schemas.openxmlformats.org/officeDocument/2006/relationships/image" Target="../media/image3.emf"/><Relationship Id="rId5" Type="http://schemas.openxmlformats.org/officeDocument/2006/relationships/control" Target="../activeX/activeX2.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ontrol" Target="../activeX/activeX4.xml"/></Relationships>
</file>

<file path=xl/worksheets/_rels/sheet2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ontrol" Target="../activeX/activeX5.xml"/><Relationship Id="rId7" Type="http://schemas.openxmlformats.org/officeDocument/2006/relationships/control" Target="../activeX/activeX7.xml"/><Relationship Id="rId2" Type="http://schemas.openxmlformats.org/officeDocument/2006/relationships/vmlDrawing" Target="../drawings/vmlDrawing14.vml"/><Relationship Id="rId1" Type="http://schemas.openxmlformats.org/officeDocument/2006/relationships/drawing" Target="../drawings/drawing10.xml"/><Relationship Id="rId6" Type="http://schemas.openxmlformats.org/officeDocument/2006/relationships/image" Target="../media/image7.emf"/><Relationship Id="rId5" Type="http://schemas.openxmlformats.org/officeDocument/2006/relationships/control" Target="../activeX/activeX6.xml"/><Relationship Id="rId10" Type="http://schemas.openxmlformats.org/officeDocument/2006/relationships/image" Target="../media/image9.emf"/><Relationship Id="rId4" Type="http://schemas.openxmlformats.org/officeDocument/2006/relationships/image" Target="../media/image6.emf"/><Relationship Id="rId9" Type="http://schemas.openxmlformats.org/officeDocument/2006/relationships/control" Target="../activeX/activeX8.xml"/></Relationships>
</file>

<file path=xl/worksheets/_rels/sheet2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4.xml"/><Relationship Id="rId18" Type="http://schemas.openxmlformats.org/officeDocument/2006/relationships/image" Target="../media/image17.emf"/><Relationship Id="rId3" Type="http://schemas.openxmlformats.org/officeDocument/2006/relationships/control" Target="../activeX/activeX9.xml"/><Relationship Id="rId7" Type="http://schemas.openxmlformats.org/officeDocument/2006/relationships/control" Target="../activeX/activeX11.xml"/><Relationship Id="rId12" Type="http://schemas.openxmlformats.org/officeDocument/2006/relationships/image" Target="../media/image14.emf"/><Relationship Id="rId17" Type="http://schemas.openxmlformats.org/officeDocument/2006/relationships/control" Target="../activeX/activeX16.xml"/><Relationship Id="rId2" Type="http://schemas.openxmlformats.org/officeDocument/2006/relationships/vmlDrawing" Target="../drawings/vmlDrawing15.vml"/><Relationship Id="rId16" Type="http://schemas.openxmlformats.org/officeDocument/2006/relationships/image" Target="../media/image16.emf"/><Relationship Id="rId20" Type="http://schemas.openxmlformats.org/officeDocument/2006/relationships/image" Target="../media/image18.emf"/><Relationship Id="rId1" Type="http://schemas.openxmlformats.org/officeDocument/2006/relationships/drawing" Target="../drawings/drawing11.xml"/><Relationship Id="rId6" Type="http://schemas.openxmlformats.org/officeDocument/2006/relationships/image" Target="../media/image11.emf"/><Relationship Id="rId11" Type="http://schemas.openxmlformats.org/officeDocument/2006/relationships/control" Target="../activeX/activeX13.xml"/><Relationship Id="rId5" Type="http://schemas.openxmlformats.org/officeDocument/2006/relationships/control" Target="../activeX/activeX10.xml"/><Relationship Id="rId15" Type="http://schemas.openxmlformats.org/officeDocument/2006/relationships/control" Target="../activeX/activeX15.xml"/><Relationship Id="rId10" Type="http://schemas.openxmlformats.org/officeDocument/2006/relationships/image" Target="../media/image13.emf"/><Relationship Id="rId19" Type="http://schemas.openxmlformats.org/officeDocument/2006/relationships/control" Target="../activeX/activeX17.xml"/><Relationship Id="rId4" Type="http://schemas.openxmlformats.org/officeDocument/2006/relationships/image" Target="../media/image10.emf"/><Relationship Id="rId9" Type="http://schemas.openxmlformats.org/officeDocument/2006/relationships/control" Target="../activeX/activeX12.xml"/><Relationship Id="rId14" Type="http://schemas.openxmlformats.org/officeDocument/2006/relationships/image" Target="../media/image15.emf"/></Relationships>
</file>

<file path=xl/worksheets/_rels/sheet25.xml.rels><?xml version="1.0" encoding="UTF-8" standalone="yes"?>
<Relationships xmlns="http://schemas.openxmlformats.org/package/2006/relationships"><Relationship Id="rId8" Type="http://schemas.openxmlformats.org/officeDocument/2006/relationships/image" Target="../media/image21.emf"/><Relationship Id="rId13" Type="http://schemas.openxmlformats.org/officeDocument/2006/relationships/control" Target="../activeX/activeX23.xml"/><Relationship Id="rId18" Type="http://schemas.openxmlformats.org/officeDocument/2006/relationships/image" Target="../media/image26.emf"/><Relationship Id="rId3" Type="http://schemas.openxmlformats.org/officeDocument/2006/relationships/control" Target="../activeX/activeX18.xml"/><Relationship Id="rId7" Type="http://schemas.openxmlformats.org/officeDocument/2006/relationships/control" Target="../activeX/activeX20.xml"/><Relationship Id="rId12" Type="http://schemas.openxmlformats.org/officeDocument/2006/relationships/image" Target="../media/image23.emf"/><Relationship Id="rId17" Type="http://schemas.openxmlformats.org/officeDocument/2006/relationships/control" Target="../activeX/activeX25.xml"/><Relationship Id="rId2" Type="http://schemas.openxmlformats.org/officeDocument/2006/relationships/vmlDrawing" Target="../drawings/vmlDrawing16.vml"/><Relationship Id="rId16" Type="http://schemas.openxmlformats.org/officeDocument/2006/relationships/image" Target="../media/image25.emf"/><Relationship Id="rId20" Type="http://schemas.openxmlformats.org/officeDocument/2006/relationships/image" Target="../media/image27.emf"/><Relationship Id="rId1" Type="http://schemas.openxmlformats.org/officeDocument/2006/relationships/drawing" Target="../drawings/drawing12.xml"/><Relationship Id="rId6" Type="http://schemas.openxmlformats.org/officeDocument/2006/relationships/image" Target="../media/image20.emf"/><Relationship Id="rId11" Type="http://schemas.openxmlformats.org/officeDocument/2006/relationships/control" Target="../activeX/activeX22.xml"/><Relationship Id="rId5" Type="http://schemas.openxmlformats.org/officeDocument/2006/relationships/control" Target="../activeX/activeX19.xml"/><Relationship Id="rId15" Type="http://schemas.openxmlformats.org/officeDocument/2006/relationships/control" Target="../activeX/activeX24.xml"/><Relationship Id="rId10" Type="http://schemas.openxmlformats.org/officeDocument/2006/relationships/image" Target="../media/image22.emf"/><Relationship Id="rId19" Type="http://schemas.openxmlformats.org/officeDocument/2006/relationships/control" Target="../activeX/activeX26.xml"/><Relationship Id="rId4" Type="http://schemas.openxmlformats.org/officeDocument/2006/relationships/image" Target="../media/image19.emf"/><Relationship Id="rId9" Type="http://schemas.openxmlformats.org/officeDocument/2006/relationships/control" Target="../activeX/activeX21.xml"/><Relationship Id="rId14" Type="http://schemas.openxmlformats.org/officeDocument/2006/relationships/image" Target="../media/image24.emf"/></Relationships>
</file>

<file path=xl/worksheets/_rels/sheet26.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2.xml"/><Relationship Id="rId18" Type="http://schemas.openxmlformats.org/officeDocument/2006/relationships/image" Target="../media/image35.emf"/><Relationship Id="rId3" Type="http://schemas.openxmlformats.org/officeDocument/2006/relationships/control" Target="../activeX/activeX27.xml"/><Relationship Id="rId7" Type="http://schemas.openxmlformats.org/officeDocument/2006/relationships/control" Target="../activeX/activeX29.xml"/><Relationship Id="rId12" Type="http://schemas.openxmlformats.org/officeDocument/2006/relationships/image" Target="../media/image32.emf"/><Relationship Id="rId17" Type="http://schemas.openxmlformats.org/officeDocument/2006/relationships/control" Target="../activeX/activeX34.xml"/><Relationship Id="rId2" Type="http://schemas.openxmlformats.org/officeDocument/2006/relationships/vmlDrawing" Target="../drawings/vmlDrawing17.vml"/><Relationship Id="rId16" Type="http://schemas.openxmlformats.org/officeDocument/2006/relationships/image" Target="../media/image34.emf"/><Relationship Id="rId20" Type="http://schemas.openxmlformats.org/officeDocument/2006/relationships/image" Target="../media/image36.emf"/><Relationship Id="rId1" Type="http://schemas.openxmlformats.org/officeDocument/2006/relationships/drawing" Target="../drawings/drawing13.xml"/><Relationship Id="rId6" Type="http://schemas.openxmlformats.org/officeDocument/2006/relationships/image" Target="../media/image29.emf"/><Relationship Id="rId11" Type="http://schemas.openxmlformats.org/officeDocument/2006/relationships/control" Target="../activeX/activeX31.xml"/><Relationship Id="rId5" Type="http://schemas.openxmlformats.org/officeDocument/2006/relationships/control" Target="../activeX/activeX28.xml"/><Relationship Id="rId15" Type="http://schemas.openxmlformats.org/officeDocument/2006/relationships/control" Target="../activeX/activeX33.xml"/><Relationship Id="rId10" Type="http://schemas.openxmlformats.org/officeDocument/2006/relationships/image" Target="../media/image31.emf"/><Relationship Id="rId19" Type="http://schemas.openxmlformats.org/officeDocument/2006/relationships/control" Target="../activeX/activeX35.xml"/><Relationship Id="rId4" Type="http://schemas.openxmlformats.org/officeDocument/2006/relationships/image" Target="../media/image28.emf"/><Relationship Id="rId9" Type="http://schemas.openxmlformats.org/officeDocument/2006/relationships/control" Target="../activeX/activeX30.xml"/><Relationship Id="rId14" Type="http://schemas.openxmlformats.org/officeDocument/2006/relationships/image" Target="../media/image33.emf"/></Relationships>
</file>

<file path=xl/worksheets/_rels/sheet27.xml.rels><?xml version="1.0" encoding="UTF-8" standalone="yes"?>
<Relationships xmlns="http://schemas.openxmlformats.org/package/2006/relationships"><Relationship Id="rId8" Type="http://schemas.openxmlformats.org/officeDocument/2006/relationships/image" Target="../media/image39.emf"/><Relationship Id="rId13" Type="http://schemas.openxmlformats.org/officeDocument/2006/relationships/control" Target="../activeX/activeX41.xml"/><Relationship Id="rId18" Type="http://schemas.openxmlformats.org/officeDocument/2006/relationships/image" Target="../media/image44.emf"/><Relationship Id="rId3" Type="http://schemas.openxmlformats.org/officeDocument/2006/relationships/control" Target="../activeX/activeX36.xml"/><Relationship Id="rId7" Type="http://schemas.openxmlformats.org/officeDocument/2006/relationships/control" Target="../activeX/activeX38.xml"/><Relationship Id="rId12" Type="http://schemas.openxmlformats.org/officeDocument/2006/relationships/image" Target="../media/image41.emf"/><Relationship Id="rId17" Type="http://schemas.openxmlformats.org/officeDocument/2006/relationships/control" Target="../activeX/activeX43.xml"/><Relationship Id="rId2" Type="http://schemas.openxmlformats.org/officeDocument/2006/relationships/vmlDrawing" Target="../drawings/vmlDrawing18.vml"/><Relationship Id="rId16" Type="http://schemas.openxmlformats.org/officeDocument/2006/relationships/image" Target="../media/image43.emf"/><Relationship Id="rId20" Type="http://schemas.openxmlformats.org/officeDocument/2006/relationships/image" Target="../media/image45.emf"/><Relationship Id="rId1" Type="http://schemas.openxmlformats.org/officeDocument/2006/relationships/drawing" Target="../drawings/drawing14.xml"/><Relationship Id="rId6" Type="http://schemas.openxmlformats.org/officeDocument/2006/relationships/image" Target="../media/image38.emf"/><Relationship Id="rId11" Type="http://schemas.openxmlformats.org/officeDocument/2006/relationships/control" Target="../activeX/activeX40.xml"/><Relationship Id="rId5" Type="http://schemas.openxmlformats.org/officeDocument/2006/relationships/control" Target="../activeX/activeX37.xml"/><Relationship Id="rId15" Type="http://schemas.openxmlformats.org/officeDocument/2006/relationships/control" Target="../activeX/activeX42.xml"/><Relationship Id="rId10" Type="http://schemas.openxmlformats.org/officeDocument/2006/relationships/image" Target="../media/image40.emf"/><Relationship Id="rId19" Type="http://schemas.openxmlformats.org/officeDocument/2006/relationships/control" Target="../activeX/activeX44.xml"/><Relationship Id="rId4" Type="http://schemas.openxmlformats.org/officeDocument/2006/relationships/image" Target="../media/image37.emf"/><Relationship Id="rId9" Type="http://schemas.openxmlformats.org/officeDocument/2006/relationships/control" Target="../activeX/activeX39.xml"/><Relationship Id="rId14" Type="http://schemas.openxmlformats.org/officeDocument/2006/relationships/image" Target="../media/image42.emf"/></Relationships>
</file>

<file path=xl/worksheets/_rels/sheet28.xml.rels><?xml version="1.0" encoding="UTF-8" standalone="yes"?>
<Relationships xmlns="http://schemas.openxmlformats.org/package/2006/relationships"><Relationship Id="rId8" Type="http://schemas.openxmlformats.org/officeDocument/2006/relationships/image" Target="../media/image48.emf"/><Relationship Id="rId13" Type="http://schemas.openxmlformats.org/officeDocument/2006/relationships/control" Target="../activeX/activeX50.xml"/><Relationship Id="rId18" Type="http://schemas.openxmlformats.org/officeDocument/2006/relationships/image" Target="../media/image53.emf"/><Relationship Id="rId3" Type="http://schemas.openxmlformats.org/officeDocument/2006/relationships/control" Target="../activeX/activeX45.xml"/><Relationship Id="rId7" Type="http://schemas.openxmlformats.org/officeDocument/2006/relationships/control" Target="../activeX/activeX47.xml"/><Relationship Id="rId12" Type="http://schemas.openxmlformats.org/officeDocument/2006/relationships/image" Target="../media/image50.emf"/><Relationship Id="rId17" Type="http://schemas.openxmlformats.org/officeDocument/2006/relationships/control" Target="../activeX/activeX52.xml"/><Relationship Id="rId2" Type="http://schemas.openxmlformats.org/officeDocument/2006/relationships/vmlDrawing" Target="../drawings/vmlDrawing19.vml"/><Relationship Id="rId16" Type="http://schemas.openxmlformats.org/officeDocument/2006/relationships/image" Target="../media/image52.emf"/><Relationship Id="rId1" Type="http://schemas.openxmlformats.org/officeDocument/2006/relationships/drawing" Target="../drawings/drawing15.xml"/><Relationship Id="rId6" Type="http://schemas.openxmlformats.org/officeDocument/2006/relationships/image" Target="../media/image47.emf"/><Relationship Id="rId11" Type="http://schemas.openxmlformats.org/officeDocument/2006/relationships/control" Target="../activeX/activeX49.xml"/><Relationship Id="rId5" Type="http://schemas.openxmlformats.org/officeDocument/2006/relationships/control" Target="../activeX/activeX46.xml"/><Relationship Id="rId15" Type="http://schemas.openxmlformats.org/officeDocument/2006/relationships/control" Target="../activeX/activeX51.xml"/><Relationship Id="rId10" Type="http://schemas.openxmlformats.org/officeDocument/2006/relationships/image" Target="../media/image49.emf"/><Relationship Id="rId4" Type="http://schemas.openxmlformats.org/officeDocument/2006/relationships/image" Target="../media/image46.emf"/><Relationship Id="rId9" Type="http://schemas.openxmlformats.org/officeDocument/2006/relationships/control" Target="../activeX/activeX48.xml"/><Relationship Id="rId14" Type="http://schemas.openxmlformats.org/officeDocument/2006/relationships/image" Target="../media/image51.emf"/></Relationships>
</file>

<file path=xl/worksheets/_rels/sheet29.xml.rels><?xml version="1.0" encoding="UTF-8" standalone="yes"?>
<Relationships xmlns="http://schemas.openxmlformats.org/package/2006/relationships"><Relationship Id="rId8" Type="http://schemas.openxmlformats.org/officeDocument/2006/relationships/image" Target="../media/image56.emf"/><Relationship Id="rId13" Type="http://schemas.openxmlformats.org/officeDocument/2006/relationships/control" Target="../activeX/activeX58.xml"/><Relationship Id="rId18" Type="http://schemas.openxmlformats.org/officeDocument/2006/relationships/image" Target="../media/image61.emf"/><Relationship Id="rId3" Type="http://schemas.openxmlformats.org/officeDocument/2006/relationships/control" Target="../activeX/activeX53.xml"/><Relationship Id="rId7" Type="http://schemas.openxmlformats.org/officeDocument/2006/relationships/control" Target="../activeX/activeX55.xml"/><Relationship Id="rId12" Type="http://schemas.openxmlformats.org/officeDocument/2006/relationships/image" Target="../media/image58.emf"/><Relationship Id="rId17" Type="http://schemas.openxmlformats.org/officeDocument/2006/relationships/control" Target="../activeX/activeX60.xml"/><Relationship Id="rId2" Type="http://schemas.openxmlformats.org/officeDocument/2006/relationships/vmlDrawing" Target="../drawings/vmlDrawing20.vml"/><Relationship Id="rId16" Type="http://schemas.openxmlformats.org/officeDocument/2006/relationships/image" Target="../media/image60.emf"/><Relationship Id="rId1" Type="http://schemas.openxmlformats.org/officeDocument/2006/relationships/drawing" Target="../drawings/drawing16.xml"/><Relationship Id="rId6" Type="http://schemas.openxmlformats.org/officeDocument/2006/relationships/image" Target="../media/image55.emf"/><Relationship Id="rId11" Type="http://schemas.openxmlformats.org/officeDocument/2006/relationships/control" Target="../activeX/activeX57.xml"/><Relationship Id="rId5" Type="http://schemas.openxmlformats.org/officeDocument/2006/relationships/control" Target="../activeX/activeX54.xml"/><Relationship Id="rId15" Type="http://schemas.openxmlformats.org/officeDocument/2006/relationships/control" Target="../activeX/activeX59.xml"/><Relationship Id="rId10" Type="http://schemas.openxmlformats.org/officeDocument/2006/relationships/image" Target="../media/image57.emf"/><Relationship Id="rId4" Type="http://schemas.openxmlformats.org/officeDocument/2006/relationships/image" Target="../media/image54.emf"/><Relationship Id="rId9" Type="http://schemas.openxmlformats.org/officeDocument/2006/relationships/control" Target="../activeX/activeX56.xml"/><Relationship Id="rId14" Type="http://schemas.openxmlformats.org/officeDocument/2006/relationships/image" Target="../media/image59.emf"/></Relationships>
</file>

<file path=xl/worksheets/_rels/sheet30.xml.rels><?xml version="1.0" encoding="UTF-8" standalone="yes"?>
<Relationships xmlns="http://schemas.openxmlformats.org/package/2006/relationships"><Relationship Id="rId8" Type="http://schemas.openxmlformats.org/officeDocument/2006/relationships/image" Target="../media/image64.emf"/><Relationship Id="rId3" Type="http://schemas.openxmlformats.org/officeDocument/2006/relationships/control" Target="../activeX/activeX61.xml"/><Relationship Id="rId7" Type="http://schemas.openxmlformats.org/officeDocument/2006/relationships/control" Target="../activeX/activeX63.xml"/><Relationship Id="rId2" Type="http://schemas.openxmlformats.org/officeDocument/2006/relationships/vmlDrawing" Target="../drawings/vmlDrawing21.vml"/><Relationship Id="rId1" Type="http://schemas.openxmlformats.org/officeDocument/2006/relationships/drawing" Target="../drawings/drawing17.xml"/><Relationship Id="rId6" Type="http://schemas.openxmlformats.org/officeDocument/2006/relationships/image" Target="../media/image63.emf"/><Relationship Id="rId5" Type="http://schemas.openxmlformats.org/officeDocument/2006/relationships/control" Target="../activeX/activeX62.xml"/><Relationship Id="rId10" Type="http://schemas.openxmlformats.org/officeDocument/2006/relationships/image" Target="../media/image65.emf"/><Relationship Id="rId4" Type="http://schemas.openxmlformats.org/officeDocument/2006/relationships/image" Target="../media/image62.emf"/><Relationship Id="rId9" Type="http://schemas.openxmlformats.org/officeDocument/2006/relationships/control" Target="../activeX/activeX64.xml"/></Relationships>
</file>

<file path=xl/worksheets/_rels/sheet31.xml.rels><?xml version="1.0" encoding="UTF-8" standalone="yes"?>
<Relationships xmlns="http://schemas.openxmlformats.org/package/2006/relationships"><Relationship Id="rId8" Type="http://schemas.openxmlformats.org/officeDocument/2006/relationships/image" Target="../media/image68.emf"/><Relationship Id="rId13" Type="http://schemas.openxmlformats.org/officeDocument/2006/relationships/control" Target="../activeX/activeX70.xml"/><Relationship Id="rId18" Type="http://schemas.openxmlformats.org/officeDocument/2006/relationships/image" Target="../media/image73.emf"/><Relationship Id="rId3" Type="http://schemas.openxmlformats.org/officeDocument/2006/relationships/control" Target="../activeX/activeX65.xml"/><Relationship Id="rId7" Type="http://schemas.openxmlformats.org/officeDocument/2006/relationships/control" Target="../activeX/activeX67.xml"/><Relationship Id="rId12" Type="http://schemas.openxmlformats.org/officeDocument/2006/relationships/image" Target="../media/image70.emf"/><Relationship Id="rId17" Type="http://schemas.openxmlformats.org/officeDocument/2006/relationships/control" Target="../activeX/activeX72.xml"/><Relationship Id="rId2" Type="http://schemas.openxmlformats.org/officeDocument/2006/relationships/vmlDrawing" Target="../drawings/vmlDrawing22.vml"/><Relationship Id="rId16" Type="http://schemas.openxmlformats.org/officeDocument/2006/relationships/image" Target="../media/image72.emf"/><Relationship Id="rId20" Type="http://schemas.openxmlformats.org/officeDocument/2006/relationships/image" Target="../media/image74.emf"/><Relationship Id="rId1" Type="http://schemas.openxmlformats.org/officeDocument/2006/relationships/drawing" Target="../drawings/drawing18.xml"/><Relationship Id="rId6" Type="http://schemas.openxmlformats.org/officeDocument/2006/relationships/image" Target="../media/image67.emf"/><Relationship Id="rId11" Type="http://schemas.openxmlformats.org/officeDocument/2006/relationships/control" Target="../activeX/activeX69.xml"/><Relationship Id="rId5" Type="http://schemas.openxmlformats.org/officeDocument/2006/relationships/control" Target="../activeX/activeX66.xml"/><Relationship Id="rId15" Type="http://schemas.openxmlformats.org/officeDocument/2006/relationships/control" Target="../activeX/activeX71.xml"/><Relationship Id="rId10" Type="http://schemas.openxmlformats.org/officeDocument/2006/relationships/image" Target="../media/image69.emf"/><Relationship Id="rId19" Type="http://schemas.openxmlformats.org/officeDocument/2006/relationships/control" Target="../activeX/activeX73.xml"/><Relationship Id="rId4" Type="http://schemas.openxmlformats.org/officeDocument/2006/relationships/image" Target="../media/image66.emf"/><Relationship Id="rId9" Type="http://schemas.openxmlformats.org/officeDocument/2006/relationships/control" Target="../activeX/activeX68.xml"/><Relationship Id="rId14" Type="http://schemas.openxmlformats.org/officeDocument/2006/relationships/image" Target="../media/image71.emf"/></Relationships>
</file>

<file path=xl/worksheets/_rels/sheet32.xml.rels><?xml version="1.0" encoding="UTF-8" standalone="yes"?>
<Relationships xmlns="http://schemas.openxmlformats.org/package/2006/relationships"><Relationship Id="rId8" Type="http://schemas.openxmlformats.org/officeDocument/2006/relationships/image" Target="../media/image77.emf"/><Relationship Id="rId13" Type="http://schemas.openxmlformats.org/officeDocument/2006/relationships/control" Target="../activeX/activeX79.xml"/><Relationship Id="rId18" Type="http://schemas.openxmlformats.org/officeDocument/2006/relationships/image" Target="../media/image82.emf"/><Relationship Id="rId3" Type="http://schemas.openxmlformats.org/officeDocument/2006/relationships/control" Target="../activeX/activeX74.xml"/><Relationship Id="rId7" Type="http://schemas.openxmlformats.org/officeDocument/2006/relationships/control" Target="../activeX/activeX76.xml"/><Relationship Id="rId12" Type="http://schemas.openxmlformats.org/officeDocument/2006/relationships/image" Target="../media/image79.emf"/><Relationship Id="rId17" Type="http://schemas.openxmlformats.org/officeDocument/2006/relationships/control" Target="../activeX/activeX81.xml"/><Relationship Id="rId2" Type="http://schemas.openxmlformats.org/officeDocument/2006/relationships/vmlDrawing" Target="../drawings/vmlDrawing23.vml"/><Relationship Id="rId16" Type="http://schemas.openxmlformats.org/officeDocument/2006/relationships/image" Target="../media/image81.emf"/><Relationship Id="rId20" Type="http://schemas.openxmlformats.org/officeDocument/2006/relationships/image" Target="../media/image83.emf"/><Relationship Id="rId1" Type="http://schemas.openxmlformats.org/officeDocument/2006/relationships/drawing" Target="../drawings/drawing19.xml"/><Relationship Id="rId6" Type="http://schemas.openxmlformats.org/officeDocument/2006/relationships/image" Target="../media/image76.emf"/><Relationship Id="rId11" Type="http://schemas.openxmlformats.org/officeDocument/2006/relationships/control" Target="../activeX/activeX78.xml"/><Relationship Id="rId5" Type="http://schemas.openxmlformats.org/officeDocument/2006/relationships/control" Target="../activeX/activeX75.xml"/><Relationship Id="rId15" Type="http://schemas.openxmlformats.org/officeDocument/2006/relationships/control" Target="../activeX/activeX80.xml"/><Relationship Id="rId10" Type="http://schemas.openxmlformats.org/officeDocument/2006/relationships/image" Target="../media/image78.emf"/><Relationship Id="rId19" Type="http://schemas.openxmlformats.org/officeDocument/2006/relationships/control" Target="../activeX/activeX82.xml"/><Relationship Id="rId4" Type="http://schemas.openxmlformats.org/officeDocument/2006/relationships/image" Target="../media/image75.emf"/><Relationship Id="rId9" Type="http://schemas.openxmlformats.org/officeDocument/2006/relationships/control" Target="../activeX/activeX77.xml"/><Relationship Id="rId14" Type="http://schemas.openxmlformats.org/officeDocument/2006/relationships/image" Target="../media/image80.emf"/></Relationships>
</file>

<file path=xl/worksheets/_rels/sheet33.xml.rels><?xml version="1.0" encoding="UTF-8" standalone="yes"?>
<Relationships xmlns="http://schemas.openxmlformats.org/package/2006/relationships"><Relationship Id="rId8" Type="http://schemas.openxmlformats.org/officeDocument/2006/relationships/image" Target="../media/image86.emf"/><Relationship Id="rId13" Type="http://schemas.openxmlformats.org/officeDocument/2006/relationships/control" Target="../activeX/activeX88.xml"/><Relationship Id="rId18" Type="http://schemas.openxmlformats.org/officeDocument/2006/relationships/image" Target="../media/image91.emf"/><Relationship Id="rId3" Type="http://schemas.openxmlformats.org/officeDocument/2006/relationships/control" Target="../activeX/activeX83.xml"/><Relationship Id="rId7" Type="http://schemas.openxmlformats.org/officeDocument/2006/relationships/control" Target="../activeX/activeX85.xml"/><Relationship Id="rId12" Type="http://schemas.openxmlformats.org/officeDocument/2006/relationships/image" Target="../media/image88.emf"/><Relationship Id="rId17" Type="http://schemas.openxmlformats.org/officeDocument/2006/relationships/control" Target="../activeX/activeX90.xml"/><Relationship Id="rId2" Type="http://schemas.openxmlformats.org/officeDocument/2006/relationships/vmlDrawing" Target="../drawings/vmlDrawing24.vml"/><Relationship Id="rId16" Type="http://schemas.openxmlformats.org/officeDocument/2006/relationships/image" Target="../media/image90.emf"/><Relationship Id="rId20" Type="http://schemas.openxmlformats.org/officeDocument/2006/relationships/image" Target="../media/image92.emf"/><Relationship Id="rId1" Type="http://schemas.openxmlformats.org/officeDocument/2006/relationships/drawing" Target="../drawings/drawing20.xml"/><Relationship Id="rId6" Type="http://schemas.openxmlformats.org/officeDocument/2006/relationships/image" Target="../media/image85.emf"/><Relationship Id="rId11" Type="http://schemas.openxmlformats.org/officeDocument/2006/relationships/control" Target="../activeX/activeX87.xml"/><Relationship Id="rId5" Type="http://schemas.openxmlformats.org/officeDocument/2006/relationships/control" Target="../activeX/activeX84.xml"/><Relationship Id="rId15" Type="http://schemas.openxmlformats.org/officeDocument/2006/relationships/control" Target="../activeX/activeX89.xml"/><Relationship Id="rId10" Type="http://schemas.openxmlformats.org/officeDocument/2006/relationships/image" Target="../media/image87.emf"/><Relationship Id="rId19" Type="http://schemas.openxmlformats.org/officeDocument/2006/relationships/control" Target="../activeX/activeX91.xml"/><Relationship Id="rId4" Type="http://schemas.openxmlformats.org/officeDocument/2006/relationships/image" Target="../media/image84.emf"/><Relationship Id="rId9" Type="http://schemas.openxmlformats.org/officeDocument/2006/relationships/control" Target="../activeX/activeX86.xml"/><Relationship Id="rId14" Type="http://schemas.openxmlformats.org/officeDocument/2006/relationships/image" Target="../media/image89.emf"/></Relationships>
</file>

<file path=xl/worksheets/_rels/sheet34.xml.rels><?xml version="1.0" encoding="UTF-8" standalone="yes"?>
<Relationships xmlns="http://schemas.openxmlformats.org/package/2006/relationships"><Relationship Id="rId8" Type="http://schemas.openxmlformats.org/officeDocument/2006/relationships/image" Target="../media/image95.emf"/><Relationship Id="rId13" Type="http://schemas.openxmlformats.org/officeDocument/2006/relationships/control" Target="../activeX/activeX97.xml"/><Relationship Id="rId18" Type="http://schemas.openxmlformats.org/officeDocument/2006/relationships/image" Target="../media/image100.emf"/><Relationship Id="rId3" Type="http://schemas.openxmlformats.org/officeDocument/2006/relationships/control" Target="../activeX/activeX92.xml"/><Relationship Id="rId7" Type="http://schemas.openxmlformats.org/officeDocument/2006/relationships/control" Target="../activeX/activeX94.xml"/><Relationship Id="rId12" Type="http://schemas.openxmlformats.org/officeDocument/2006/relationships/image" Target="../media/image97.emf"/><Relationship Id="rId17" Type="http://schemas.openxmlformats.org/officeDocument/2006/relationships/control" Target="../activeX/activeX99.xml"/><Relationship Id="rId2" Type="http://schemas.openxmlformats.org/officeDocument/2006/relationships/vmlDrawing" Target="../drawings/vmlDrawing25.vml"/><Relationship Id="rId16" Type="http://schemas.openxmlformats.org/officeDocument/2006/relationships/image" Target="../media/image99.emf"/><Relationship Id="rId20" Type="http://schemas.openxmlformats.org/officeDocument/2006/relationships/image" Target="../media/image101.emf"/><Relationship Id="rId1" Type="http://schemas.openxmlformats.org/officeDocument/2006/relationships/drawing" Target="../drawings/drawing21.xml"/><Relationship Id="rId6" Type="http://schemas.openxmlformats.org/officeDocument/2006/relationships/image" Target="../media/image94.emf"/><Relationship Id="rId11" Type="http://schemas.openxmlformats.org/officeDocument/2006/relationships/control" Target="../activeX/activeX96.xml"/><Relationship Id="rId5" Type="http://schemas.openxmlformats.org/officeDocument/2006/relationships/control" Target="../activeX/activeX93.xml"/><Relationship Id="rId15" Type="http://schemas.openxmlformats.org/officeDocument/2006/relationships/control" Target="../activeX/activeX98.xml"/><Relationship Id="rId10" Type="http://schemas.openxmlformats.org/officeDocument/2006/relationships/image" Target="../media/image96.emf"/><Relationship Id="rId19" Type="http://schemas.openxmlformats.org/officeDocument/2006/relationships/control" Target="../activeX/activeX100.xml"/><Relationship Id="rId4" Type="http://schemas.openxmlformats.org/officeDocument/2006/relationships/image" Target="../media/image93.emf"/><Relationship Id="rId9" Type="http://schemas.openxmlformats.org/officeDocument/2006/relationships/control" Target="../activeX/activeX95.xml"/><Relationship Id="rId14" Type="http://schemas.openxmlformats.org/officeDocument/2006/relationships/image" Target="../media/image98.emf"/></Relationships>
</file>

<file path=xl/worksheets/_rels/sheet40.xml.rels><?xml version="1.0" encoding="UTF-8" standalone="yes"?>
<Relationships xmlns="http://schemas.openxmlformats.org/package/2006/relationships"><Relationship Id="rId3" Type="http://schemas.openxmlformats.org/officeDocument/2006/relationships/hyperlink" Target="http://www.alibaba.com/product-gs/1069479349/500_6000kg_h_Gas_Fired_Steam.html?s=p" TargetMode="External"/><Relationship Id="rId2" Type="http://schemas.openxmlformats.org/officeDocument/2006/relationships/hyperlink" Target="http://www.alibaba.com/product-gs/1069479349/500_6000kg_h_Gas_Fired_Steam.html?s=p" TargetMode="External"/><Relationship Id="rId1" Type="http://schemas.openxmlformats.org/officeDocument/2006/relationships/hyperlink" Target="http://www.iol.co.za/news/south-africa/gauteng/gauteng-budgets-r300m-for-hospital-boilers-1.1525200" TargetMode="External"/><Relationship Id="rId6" Type="http://schemas.openxmlformats.org/officeDocument/2006/relationships/drawing" Target="../drawings/drawing22.xml"/><Relationship Id="rId5" Type="http://schemas.openxmlformats.org/officeDocument/2006/relationships/printerSettings" Target="../printerSettings/printerSettings14.bin"/><Relationship Id="rId4" Type="http://schemas.openxmlformats.org/officeDocument/2006/relationships/hyperlink" Target="http://www.alibaba.com/product-gs/1069479349/500_6000kg_h_Gas_Fired_Steam.html?s=p" TargetMode="External"/></Relationships>
</file>

<file path=xl/worksheets/_rels/sheet4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26.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7.vml"/><Relationship Id="rId1" Type="http://schemas.openxmlformats.org/officeDocument/2006/relationships/printerSettings" Target="../printerSettings/printerSettings16.bin"/><Relationship Id="rId4" Type="http://schemas.microsoft.com/office/2017/10/relationships/threadedComment" Target="../threadedComments/threadedComment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14.xml"/><Relationship Id="rId1" Type="http://schemas.openxmlformats.org/officeDocument/2006/relationships/vmlDrawing" Target="../drawings/vmlDrawing2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9.vml"/><Relationship Id="rId1" Type="http://schemas.openxmlformats.org/officeDocument/2006/relationships/drawing" Target="../drawings/drawing23.xml"/><Relationship Id="rId4" Type="http://schemas.microsoft.com/office/2017/10/relationships/threadedComment" Target="../threadedComments/threadedComment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0.vml"/><Relationship Id="rId7" Type="http://schemas.microsoft.com/office/2017/10/relationships/threadedComment" Target="../threadedComments/threadedComment6.xml"/><Relationship Id="rId2" Type="http://schemas.openxmlformats.org/officeDocument/2006/relationships/drawing" Target="../drawings/drawing24.xml"/><Relationship Id="rId1" Type="http://schemas.openxmlformats.org/officeDocument/2006/relationships/printerSettings" Target="../printerSettings/printerSettings17.bin"/><Relationship Id="rId6" Type="http://schemas.openxmlformats.org/officeDocument/2006/relationships/comments" Target="../comments16.xml"/><Relationship Id="rId5" Type="http://schemas.openxmlformats.org/officeDocument/2006/relationships/image" Target="../media/image1.emf"/><Relationship Id="rId4" Type="http://schemas.openxmlformats.org/officeDocument/2006/relationships/oleObject" Target="../embeddings/oleObject3.bin"/></Relationships>
</file>

<file path=xl/worksheets/_rels/sheet4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7.xml"/><Relationship Id="rId1" Type="http://schemas.openxmlformats.org/officeDocument/2006/relationships/vmlDrawing" Target="../drawings/vmlDrawing31.v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2.vml"/><Relationship Id="rId1" Type="http://schemas.openxmlformats.org/officeDocument/2006/relationships/drawing" Target="../drawings/drawing25.xml"/><Relationship Id="rId4" Type="http://schemas.openxmlformats.org/officeDocument/2006/relationships/image" Target="../media/image103.emf"/></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3.vml"/><Relationship Id="rId1" Type="http://schemas.openxmlformats.org/officeDocument/2006/relationships/drawing" Target="../drawings/drawing27.xml"/><Relationship Id="rId5" Type="http://schemas.openxmlformats.org/officeDocument/2006/relationships/oleObject" Target="../embeddings/oleObject6.bin"/><Relationship Id="rId4" Type="http://schemas.openxmlformats.org/officeDocument/2006/relationships/image" Target="../media/image1.emf"/></Relationships>
</file>

<file path=xl/worksheets/_rels/sheet5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34.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35.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dimension ref="A1:F3"/>
  <sheetViews>
    <sheetView workbookViewId="0"/>
  </sheetViews>
  <sheetFormatPr defaultRowHeight="12.75"/>
  <cols>
    <col min="1" max="1" width="24.5703125" customWidth="1"/>
    <col min="2" max="2" width="9" customWidth="1"/>
  </cols>
  <sheetData>
    <row r="1" spans="1:6">
      <c r="A1" s="512" t="s">
        <v>1081</v>
      </c>
      <c r="B1" s="361">
        <v>0</v>
      </c>
      <c r="C1" s="384"/>
      <c r="D1" s="485" t="s">
        <v>1049</v>
      </c>
      <c r="F1" s="314"/>
    </row>
    <row r="2" spans="1:6">
      <c r="A2" s="384"/>
      <c r="B2" s="512">
        <v>0</v>
      </c>
      <c r="C2" s="512" t="s">
        <v>1082</v>
      </c>
    </row>
    <row r="3" spans="1:6">
      <c r="A3" s="384"/>
      <c r="B3" s="512">
        <v>1</v>
      </c>
      <c r="C3" s="512" t="s">
        <v>1083</v>
      </c>
    </row>
  </sheetData>
  <dataValidations count="1">
    <dataValidation type="list" allowBlank="1" showInputMessage="1" showErrorMessage="1" sqref="B1" xr:uid="{00000000-0002-0000-0100-000000000000}">
      <formula1>$B$2:$B$3</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P67"/>
  <sheetViews>
    <sheetView zoomScale="82" workbookViewId="0">
      <selection activeCell="A11" sqref="A11"/>
    </sheetView>
  </sheetViews>
  <sheetFormatPr defaultColWidth="11.42578125" defaultRowHeight="12.75"/>
  <cols>
    <col min="1" max="1" width="27.28515625" style="1" customWidth="1"/>
    <col min="2" max="2" width="27.140625" style="1" customWidth="1"/>
    <col min="3" max="3" width="23.85546875" style="1" customWidth="1"/>
    <col min="4" max="5" width="22.42578125" style="1" customWidth="1"/>
    <col min="6" max="16384" width="11.42578125" style="1"/>
  </cols>
  <sheetData>
    <row r="1" spans="1:10" s="4" customFormat="1" ht="15">
      <c r="A1" s="3" t="s">
        <v>0</v>
      </c>
    </row>
    <row r="2" spans="1:10" ht="15.75">
      <c r="A2" s="5" t="s">
        <v>1</v>
      </c>
      <c r="J2" s="6" t="s">
        <v>2</v>
      </c>
    </row>
    <row r="3" spans="1:10" ht="15">
      <c r="A3" s="2" t="s">
        <v>3</v>
      </c>
      <c r="J3" s="2" t="s">
        <v>4</v>
      </c>
    </row>
    <row r="4" spans="1:10" ht="15">
      <c r="A4" s="2" t="s">
        <v>5</v>
      </c>
      <c r="J4" s="2" t="s">
        <v>6</v>
      </c>
    </row>
    <row r="5" spans="1:10" ht="15">
      <c r="A5" s="7" t="s">
        <v>7</v>
      </c>
      <c r="J5" s="2" t="s">
        <v>8</v>
      </c>
    </row>
    <row r="6" spans="1:10" ht="15">
      <c r="A6" s="7" t="s">
        <v>9</v>
      </c>
      <c r="B6" s="2"/>
      <c r="J6" s="2" t="s">
        <v>10</v>
      </c>
    </row>
    <row r="7" spans="1:10" ht="15">
      <c r="A7" s="2" t="s">
        <v>11</v>
      </c>
      <c r="J7" s="2" t="s">
        <v>12</v>
      </c>
    </row>
    <row r="8" spans="1:10" ht="15">
      <c r="A8" s="2" t="s">
        <v>13</v>
      </c>
      <c r="J8" s="2" t="s">
        <v>14</v>
      </c>
    </row>
    <row r="9" spans="1:10" ht="15">
      <c r="A9" s="2" t="s">
        <v>15</v>
      </c>
      <c r="J9" s="2" t="s">
        <v>16</v>
      </c>
    </row>
    <row r="10" spans="1:10" ht="15">
      <c r="A10" s="7" t="s">
        <v>17</v>
      </c>
      <c r="J10" s="2" t="s">
        <v>18</v>
      </c>
    </row>
    <row r="11" spans="1:10" ht="15">
      <c r="J11" s="2" t="s">
        <v>19</v>
      </c>
    </row>
    <row r="12" spans="1:10" ht="15">
      <c r="A12" s="2"/>
      <c r="J12" s="2" t="s">
        <v>20</v>
      </c>
    </row>
    <row r="13" spans="1:10" ht="15">
      <c r="A13" s="2"/>
      <c r="J13" s="7" t="s">
        <v>21</v>
      </c>
    </row>
    <row r="14" spans="1:10" ht="15">
      <c r="A14" s="2"/>
      <c r="J14" s="2" t="s">
        <v>22</v>
      </c>
    </row>
    <row r="15" spans="1:10" ht="15">
      <c r="A15" s="2"/>
    </row>
    <row r="16" spans="1:10" ht="15">
      <c r="A16" s="2"/>
    </row>
    <row r="17" spans="1:16" s="4" customFormat="1" ht="15">
      <c r="A17" s="3" t="s">
        <v>23</v>
      </c>
    </row>
    <row r="18" spans="1:16" ht="15.75">
      <c r="A18" s="5" t="s">
        <v>24</v>
      </c>
    </row>
    <row r="19" spans="1:16" ht="15.75">
      <c r="A19" s="2" t="s">
        <v>25</v>
      </c>
      <c r="P19" s="8"/>
    </row>
    <row r="20" spans="1:16" ht="15">
      <c r="A20" s="2" t="s">
        <v>26</v>
      </c>
    </row>
    <row r="21" spans="1:16" ht="15">
      <c r="A21" s="2" t="s">
        <v>27</v>
      </c>
    </row>
    <row r="22" spans="1:16" ht="15">
      <c r="A22" s="2" t="s">
        <v>28</v>
      </c>
    </row>
    <row r="23" spans="1:16" ht="15">
      <c r="A23" s="2" t="s">
        <v>29</v>
      </c>
    </row>
    <row r="24" spans="1:16" ht="15">
      <c r="A24" s="2"/>
    </row>
    <row r="25" spans="1:16" ht="15">
      <c r="A25" s="2" t="s">
        <v>30</v>
      </c>
    </row>
    <row r="26" spans="1:16" ht="15">
      <c r="A26" s="2" t="s">
        <v>31</v>
      </c>
    </row>
    <row r="27" spans="1:16" ht="15">
      <c r="A27" s="2"/>
    </row>
    <row r="28" spans="1:16" ht="15">
      <c r="A28" s="2" t="s">
        <v>32</v>
      </c>
    </row>
    <row r="29" spans="1:16" ht="15">
      <c r="A29" s="2" t="s">
        <v>33</v>
      </c>
    </row>
    <row r="30" spans="1:16" ht="15">
      <c r="A30" s="2" t="s">
        <v>27</v>
      </c>
    </row>
    <row r="31" spans="1:16" ht="15">
      <c r="A31" s="2" t="s">
        <v>28</v>
      </c>
    </row>
    <row r="32" spans="1:16" ht="15">
      <c r="A32" s="2" t="s">
        <v>29</v>
      </c>
    </row>
    <row r="37" spans="1:5" s="4" customFormat="1" ht="15">
      <c r="A37" s="3" t="s">
        <v>34</v>
      </c>
    </row>
    <row r="38" spans="1:5">
      <c r="A38" s="1" t="s">
        <v>35</v>
      </c>
      <c r="B38" s="6" t="s">
        <v>36</v>
      </c>
      <c r="C38" s="1" t="s">
        <v>37</v>
      </c>
    </row>
    <row r="40" spans="1:5">
      <c r="A40" s="6" t="s">
        <v>38</v>
      </c>
    </row>
    <row r="41" spans="1:5">
      <c r="A41" s="9" t="s">
        <v>39</v>
      </c>
      <c r="B41" s="9" t="s">
        <v>40</v>
      </c>
      <c r="C41" s="9" t="s">
        <v>41</v>
      </c>
      <c r="D41" s="9" t="s">
        <v>42</v>
      </c>
      <c r="E41" s="9" t="s">
        <v>43</v>
      </c>
    </row>
    <row r="42" spans="1:5">
      <c r="A42" s="10" t="s">
        <v>44</v>
      </c>
      <c r="B42" s="10" t="s">
        <v>44</v>
      </c>
      <c r="C42" s="10" t="s">
        <v>44</v>
      </c>
      <c r="D42" s="10" t="s">
        <v>44</v>
      </c>
      <c r="E42" s="10" t="s">
        <v>44</v>
      </c>
    </row>
    <row r="43" spans="1:5">
      <c r="A43" s="11" t="s">
        <v>45</v>
      </c>
      <c r="B43" s="11" t="s">
        <v>46</v>
      </c>
      <c r="C43" s="11" t="s">
        <v>47</v>
      </c>
      <c r="D43" s="11" t="s">
        <v>48</v>
      </c>
      <c r="E43" s="12"/>
    </row>
    <row r="44" spans="1:5">
      <c r="A44" s="11" t="s">
        <v>49</v>
      </c>
      <c r="B44" s="11" t="s">
        <v>50</v>
      </c>
      <c r="C44" s="12"/>
      <c r="D44" s="12"/>
      <c r="E44" s="12"/>
    </row>
    <row r="45" spans="1:5">
      <c r="A45" s="13" t="s">
        <v>51</v>
      </c>
      <c r="B45" s="13" t="s">
        <v>52</v>
      </c>
      <c r="C45" s="13" t="s">
        <v>53</v>
      </c>
      <c r="D45" s="13" t="s">
        <v>54</v>
      </c>
      <c r="E45" s="13" t="s">
        <v>55</v>
      </c>
    </row>
    <row r="46" spans="1:5">
      <c r="A46" s="13" t="s">
        <v>56</v>
      </c>
      <c r="B46" s="13" t="s">
        <v>57</v>
      </c>
      <c r="C46" s="12"/>
      <c r="D46" s="12"/>
      <c r="E46" s="12"/>
    </row>
    <row r="49" spans="1:5">
      <c r="A49" s="6" t="s">
        <v>58</v>
      </c>
    </row>
    <row r="50" spans="1:5">
      <c r="A50" s="14" t="s">
        <v>39</v>
      </c>
      <c r="B50" s="14" t="s">
        <v>40</v>
      </c>
      <c r="C50" s="14" t="s">
        <v>41</v>
      </c>
      <c r="D50" s="14" t="s">
        <v>42</v>
      </c>
      <c r="E50" s="14" t="s">
        <v>43</v>
      </c>
    </row>
    <row r="51" spans="1:5" ht="38.25">
      <c r="A51" s="12"/>
      <c r="B51" s="15" t="s">
        <v>59</v>
      </c>
      <c r="C51" s="15" t="s">
        <v>60</v>
      </c>
      <c r="D51" s="15" t="s">
        <v>61</v>
      </c>
      <c r="E51" s="12"/>
    </row>
    <row r="52" spans="1:5">
      <c r="A52" s="6" t="s">
        <v>62</v>
      </c>
    </row>
    <row r="53" spans="1:5">
      <c r="A53" s="14" t="s">
        <v>39</v>
      </c>
      <c r="B53" s="14" t="s">
        <v>40</v>
      </c>
      <c r="C53" s="14" t="s">
        <v>41</v>
      </c>
      <c r="D53" s="14" t="s">
        <v>42</v>
      </c>
      <c r="E53" s="14" t="s">
        <v>43</v>
      </c>
    </row>
    <row r="54" spans="1:5" ht="51">
      <c r="A54" s="12"/>
      <c r="B54" s="15" t="s">
        <v>63</v>
      </c>
      <c r="C54" s="15" t="s">
        <v>64</v>
      </c>
      <c r="D54" s="15" t="s">
        <v>65</v>
      </c>
      <c r="E54" s="12"/>
    </row>
    <row r="57" spans="1:5">
      <c r="A57" s="16" t="s">
        <v>66</v>
      </c>
      <c r="B57" s="16" t="s">
        <v>67</v>
      </c>
      <c r="C57" s="16" t="s">
        <v>68</v>
      </c>
    </row>
    <row r="58" spans="1:5">
      <c r="A58" s="17" t="s">
        <v>69</v>
      </c>
      <c r="B58" s="17" t="s">
        <v>70</v>
      </c>
      <c r="C58" s="17"/>
    </row>
    <row r="59" spans="1:5">
      <c r="A59" s="17" t="s">
        <v>71</v>
      </c>
      <c r="B59" s="17" t="s">
        <v>72</v>
      </c>
      <c r="C59" s="17" t="s">
        <v>73</v>
      </c>
    </row>
    <row r="60" spans="1:5" ht="25.5">
      <c r="A60" s="17" t="s">
        <v>74</v>
      </c>
      <c r="B60" s="17" t="s">
        <v>74</v>
      </c>
      <c r="C60" s="18" t="s">
        <v>75</v>
      </c>
    </row>
    <row r="61" spans="1:5">
      <c r="A61" s="17" t="s">
        <v>76</v>
      </c>
      <c r="B61" s="17" t="s">
        <v>77</v>
      </c>
      <c r="C61" s="17"/>
    </row>
    <row r="62" spans="1:5">
      <c r="A62" s="17"/>
      <c r="B62" s="17" t="s">
        <v>78</v>
      </c>
      <c r="C62" s="17"/>
    </row>
    <row r="63" spans="1:5">
      <c r="A63" s="17"/>
      <c r="B63" s="17" t="s">
        <v>79</v>
      </c>
      <c r="C63" s="17"/>
    </row>
    <row r="64" spans="1:5">
      <c r="A64" s="17"/>
      <c r="B64" s="17" t="s">
        <v>80</v>
      </c>
      <c r="C64" s="17" t="s">
        <v>81</v>
      </c>
    </row>
    <row r="65" spans="1:3">
      <c r="A65" s="17" t="s">
        <v>82</v>
      </c>
      <c r="B65" s="17" t="s">
        <v>83</v>
      </c>
      <c r="C65" s="17" t="s">
        <v>83</v>
      </c>
    </row>
    <row r="66" spans="1:3">
      <c r="A66" s="17" t="s">
        <v>84</v>
      </c>
      <c r="B66" s="17"/>
      <c r="C66" s="17"/>
    </row>
    <row r="67" spans="1:3">
      <c r="A67" s="17" t="s">
        <v>85</v>
      </c>
      <c r="B67" s="17"/>
      <c r="C67" s="17"/>
    </row>
  </sheetData>
  <sheetProtection selectLockedCells="1" selectUnlockedCells="1"/>
  <pageMargins left="0.78749999999999998" right="0.78749999999999998" top="1.0249999999999999" bottom="1.0249999999999999" header="0.78749999999999998" footer="0.78749999999999998"/>
  <pageSetup paperSize="9" scale="59" orientation="portrait" useFirstPageNumber="1" horizontalDpi="300" verticalDpi="300"/>
  <headerFooter alignWithMargins="0">
    <oddHeader>&amp;C&amp;A</oddHeader>
    <oddFooter>&amp;CPage &amp;P</oddFooter>
  </headerFooter>
  <rowBreaks count="1" manualBreakCount="1">
    <brk id="36"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F9E-B4D6-47D0-8802-8F9E7541D9A3}">
  <dimension ref="A1:L59"/>
  <sheetViews>
    <sheetView workbookViewId="0">
      <selection activeCell="A18" sqref="A18"/>
    </sheetView>
  </sheetViews>
  <sheetFormatPr defaultColWidth="11.42578125" defaultRowHeight="12.75"/>
  <cols>
    <col min="1" max="1" width="20" style="1" customWidth="1"/>
    <col min="2" max="2" width="6.28515625" style="17" customWidth="1"/>
    <col min="3" max="3" width="17.28515625" style="1" customWidth="1"/>
    <col min="4" max="4" width="11.42578125" style="1"/>
    <col min="5" max="5" width="16.7109375" style="1" customWidth="1"/>
    <col min="6" max="16384" width="11.42578125" style="1"/>
  </cols>
  <sheetData>
    <row r="1" spans="1:3" s="20" customFormat="1">
      <c r="A1" s="19" t="s">
        <v>1536</v>
      </c>
      <c r="C1" s="4"/>
    </row>
    <row r="2" spans="1:3">
      <c r="A2" s="1" t="s">
        <v>1521</v>
      </c>
      <c r="B2" s="1"/>
    </row>
    <row r="3" spans="1:3" ht="15.75">
      <c r="B3" s="1" t="s">
        <v>1522</v>
      </c>
      <c r="C3" s="758" t="s">
        <v>1523</v>
      </c>
    </row>
    <row r="4" spans="1:3" ht="15.75">
      <c r="B4" s="17" t="s">
        <v>1524</v>
      </c>
      <c r="C4" s="758" t="s">
        <v>1525</v>
      </c>
    </row>
    <row r="5" spans="1:3" ht="15.75">
      <c r="B5" s="1" t="s">
        <v>1526</v>
      </c>
      <c r="C5" s="758" t="s">
        <v>1527</v>
      </c>
    </row>
    <row r="6" spans="1:3">
      <c r="B6" s="1"/>
      <c r="C6" s="21"/>
    </row>
    <row r="7" spans="1:3">
      <c r="A7" s="1" t="s">
        <v>1528</v>
      </c>
      <c r="B7" s="17" t="s">
        <v>1529</v>
      </c>
      <c r="C7" s="21"/>
    </row>
    <row r="8" spans="1:3">
      <c r="A8" s="1" t="s">
        <v>1530</v>
      </c>
      <c r="C8" s="21"/>
    </row>
    <row r="9" spans="1:3" ht="15.75">
      <c r="B9" s="17">
        <v>1.1000000000000001</v>
      </c>
      <c r="C9" s="758" t="s">
        <v>1531</v>
      </c>
    </row>
    <row r="10" spans="1:3" ht="15.75">
      <c r="C10" s="758"/>
    </row>
    <row r="11" spans="1:3" ht="15.75">
      <c r="A11" s="1" t="s">
        <v>1532</v>
      </c>
      <c r="C11" s="758"/>
    </row>
    <row r="12" spans="1:3" ht="15.75">
      <c r="B12" s="17">
        <v>2.1</v>
      </c>
      <c r="C12" s="758" t="s">
        <v>1533</v>
      </c>
    </row>
    <row r="13" spans="1:3" ht="15.75">
      <c r="B13" s="17">
        <v>2.2000000000000002</v>
      </c>
      <c r="C13" s="758" t="s">
        <v>1534</v>
      </c>
    </row>
    <row r="14" spans="1:3" ht="15.75">
      <c r="C14" s="758"/>
    </row>
    <row r="15" spans="1:3" ht="15.75">
      <c r="A15" s="1" t="s">
        <v>1535</v>
      </c>
      <c r="C15" s="758"/>
    </row>
    <row r="16" spans="1:3" ht="15.75">
      <c r="B16" s="17">
        <v>3.1</v>
      </c>
      <c r="C16" s="758"/>
    </row>
    <row r="17" spans="1:12" ht="15.75">
      <c r="C17" s="758"/>
    </row>
    <row r="18" spans="1:12">
      <c r="A18" s="1" t="s">
        <v>1573</v>
      </c>
      <c r="B18" s="1"/>
      <c r="C18" s="21"/>
    </row>
    <row r="19" spans="1:12">
      <c r="B19" s="17">
        <v>1</v>
      </c>
      <c r="C19" s="1" t="s">
        <v>86</v>
      </c>
    </row>
    <row r="21" spans="1:12">
      <c r="B21" s="17">
        <v>2</v>
      </c>
      <c r="C21" s="1" t="s">
        <v>87</v>
      </c>
    </row>
    <row r="23" spans="1:12">
      <c r="B23" s="17">
        <v>3</v>
      </c>
      <c r="C23" s="1" t="s">
        <v>88</v>
      </c>
    </row>
    <row r="24" spans="1:12">
      <c r="C24" s="1" t="s">
        <v>89</v>
      </c>
    </row>
    <row r="26" spans="1:12" ht="191.25">
      <c r="B26" s="17">
        <v>4</v>
      </c>
      <c r="C26" s="22" t="s">
        <v>90</v>
      </c>
    </row>
    <row r="28" spans="1:12" ht="12.75" customHeight="1">
      <c r="B28" s="17" t="s">
        <v>91</v>
      </c>
      <c r="C28" s="787" t="s">
        <v>92</v>
      </c>
      <c r="D28" s="787"/>
      <c r="E28" s="787"/>
      <c r="F28" s="787"/>
      <c r="G28" s="787"/>
      <c r="H28" s="787"/>
      <c r="I28" s="787"/>
      <c r="J28" s="787"/>
      <c r="K28" s="787"/>
      <c r="L28" s="787"/>
    </row>
    <row r="29" spans="1:12" ht="24" customHeight="1">
      <c r="C29" s="788" t="s">
        <v>93</v>
      </c>
      <c r="D29" s="788"/>
      <c r="E29" s="788"/>
      <c r="F29" s="788"/>
      <c r="G29" s="788"/>
      <c r="H29" s="788"/>
      <c r="I29" s="788"/>
      <c r="J29" s="788"/>
      <c r="K29" s="788"/>
      <c r="L29" s="788"/>
    </row>
    <row r="30" spans="1:12" ht="24" customHeight="1">
      <c r="C30" s="788" t="s">
        <v>94</v>
      </c>
      <c r="D30" s="788"/>
      <c r="E30" s="788"/>
      <c r="F30" s="788"/>
      <c r="G30" s="788"/>
      <c r="H30" s="788"/>
      <c r="I30" s="788"/>
      <c r="J30" s="788"/>
      <c r="K30" s="788"/>
      <c r="L30" s="788"/>
    </row>
    <row r="31" spans="1:12" ht="12.75" customHeight="1">
      <c r="C31" s="788" t="s">
        <v>95</v>
      </c>
      <c r="D31" s="788"/>
      <c r="E31" s="788"/>
      <c r="F31" s="788"/>
      <c r="G31" s="788"/>
      <c r="H31" s="788"/>
      <c r="I31" s="788"/>
      <c r="J31" s="788"/>
      <c r="K31" s="788"/>
      <c r="L31" s="788"/>
    </row>
    <row r="33" spans="2:6">
      <c r="B33" s="17">
        <v>5</v>
      </c>
      <c r="C33" s="1" t="s">
        <v>96</v>
      </c>
    </row>
    <row r="35" spans="2:6" ht="89.25">
      <c r="B35" s="17" t="s">
        <v>97</v>
      </c>
      <c r="C35" s="22" t="s">
        <v>98</v>
      </c>
    </row>
    <row r="36" spans="2:6">
      <c r="C36" s="1" t="s">
        <v>99</v>
      </c>
      <c r="E36" s="1" t="s">
        <v>100</v>
      </c>
    </row>
    <row r="37" spans="2:6">
      <c r="C37" s="1" t="s">
        <v>101</v>
      </c>
      <c r="E37" s="1" t="s">
        <v>102</v>
      </c>
    </row>
    <row r="38" spans="2:6">
      <c r="E38" s="1" t="s">
        <v>103</v>
      </c>
      <c r="F38" s="1">
        <v>892.54</v>
      </c>
    </row>
    <row r="39" spans="2:6">
      <c r="E39" s="1" t="s">
        <v>104</v>
      </c>
      <c r="F39" s="1">
        <v>896.12</v>
      </c>
    </row>
    <row r="41" spans="2:6" ht="89.25">
      <c r="B41" s="17" t="s">
        <v>105</v>
      </c>
      <c r="C41" s="22" t="s">
        <v>98</v>
      </c>
    </row>
    <row r="42" spans="2:6">
      <c r="C42" s="1" t="s">
        <v>106</v>
      </c>
    </row>
    <row r="44" spans="2:6">
      <c r="B44" s="17">
        <v>7</v>
      </c>
      <c r="C44" s="1" t="s">
        <v>107</v>
      </c>
    </row>
    <row r="45" spans="2:6">
      <c r="B45" s="17">
        <v>8</v>
      </c>
      <c r="C45" s="1" t="s">
        <v>108</v>
      </c>
    </row>
    <row r="47" spans="2:6">
      <c r="B47" s="17">
        <v>9</v>
      </c>
      <c r="C47" s="23" t="s">
        <v>109</v>
      </c>
      <c r="D47" s="1" t="s">
        <v>110</v>
      </c>
      <c r="E47" s="24">
        <v>1000000000000</v>
      </c>
      <c r="F47" s="1" t="s">
        <v>111</v>
      </c>
    </row>
    <row r="48" spans="2:6">
      <c r="C48" s="23" t="s">
        <v>112</v>
      </c>
      <c r="D48" s="1" t="s">
        <v>113</v>
      </c>
      <c r="E48" s="24">
        <v>1000000000</v>
      </c>
      <c r="F48" s="1" t="s">
        <v>111</v>
      </c>
    </row>
    <row r="49" spans="2:6">
      <c r="C49" s="23" t="s">
        <v>114</v>
      </c>
      <c r="D49" s="1" t="s">
        <v>115</v>
      </c>
      <c r="E49" s="24">
        <v>1000000</v>
      </c>
      <c r="F49" s="1" t="s">
        <v>111</v>
      </c>
    </row>
    <row r="50" spans="2:6">
      <c r="C50" s="23" t="s">
        <v>116</v>
      </c>
      <c r="D50" s="1" t="s">
        <v>117</v>
      </c>
      <c r="E50" s="24">
        <v>1000</v>
      </c>
      <c r="F50" s="1" t="s">
        <v>111</v>
      </c>
    </row>
    <row r="51" spans="2:6">
      <c r="C51" s="23" t="s">
        <v>118</v>
      </c>
      <c r="D51" s="1" t="s">
        <v>119</v>
      </c>
      <c r="E51" s="24">
        <v>100</v>
      </c>
      <c r="F51" s="1" t="s">
        <v>111</v>
      </c>
    </row>
    <row r="52" spans="2:6">
      <c r="C52" s="23" t="s">
        <v>120</v>
      </c>
      <c r="D52" s="1" t="s">
        <v>121</v>
      </c>
      <c r="E52" s="24">
        <v>10</v>
      </c>
      <c r="F52" s="1" t="s">
        <v>111</v>
      </c>
    </row>
    <row r="53" spans="2:6">
      <c r="C53" s="23" t="s">
        <v>122</v>
      </c>
      <c r="D53" s="1" t="s">
        <v>123</v>
      </c>
      <c r="E53" s="24">
        <v>1</v>
      </c>
      <c r="F53" s="1" t="s">
        <v>122</v>
      </c>
    </row>
    <row r="55" spans="2:6">
      <c r="B55" s="17" t="s">
        <v>124</v>
      </c>
      <c r="C55" s="1" t="s">
        <v>125</v>
      </c>
    </row>
    <row r="57" spans="2:6">
      <c r="B57" s="17" t="s">
        <v>126</v>
      </c>
      <c r="C57" s="1" t="s">
        <v>127</v>
      </c>
    </row>
    <row r="59" spans="2:6">
      <c r="B59" s="17">
        <v>11</v>
      </c>
      <c r="C59" s="1" t="s">
        <v>128</v>
      </c>
    </row>
  </sheetData>
  <sheetProtection selectLockedCells="1" selectUnlockedCells="1"/>
  <mergeCells count="4">
    <mergeCell ref="C28:L28"/>
    <mergeCell ref="C29:L29"/>
    <mergeCell ref="C30:L30"/>
    <mergeCell ref="C31:L31"/>
  </mergeCells>
  <hyperlinks>
    <hyperlink ref="C47" r:id="rId1" xr:uid="{B0EA1B2F-C75A-4A76-8CBB-204FA18BC2FB}"/>
    <hyperlink ref="C48" r:id="rId2" xr:uid="{FCC68800-082D-48EA-9B12-26331BD17E9F}"/>
    <hyperlink ref="C49" r:id="rId3" xr:uid="{6EFC5E48-2080-4886-A249-58DC27119B3D}"/>
    <hyperlink ref="C50" r:id="rId4" xr:uid="{2F70400E-8B55-4409-AF8B-34485FDFCF88}"/>
    <hyperlink ref="C51" r:id="rId5" xr:uid="{A70C70FC-5321-4A1D-BF21-B00819AEA15D}"/>
    <hyperlink ref="C52" r:id="rId6" xr:uid="{1F3C9864-BDF6-46B5-A844-405C29FCC61A}"/>
    <hyperlink ref="C53" r:id="rId7" xr:uid="{F1060106-3423-4E3B-881E-792CFFA884A0}"/>
  </hyperlinks>
  <pageMargins left="0.78749999999999998" right="0.78749999999999998" top="1.0249999999999999" bottom="1.0249999999999999" header="0.78749999999999998" footer="0.78749999999999998"/>
  <pageSetup paperSize="9" scale="61" firstPageNumber="0" orientation="portrait" horizontalDpi="300" verticalDpi="300" r:id="rId8"/>
  <headerFooter alignWithMargins="0">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7693-2EA5-4F3B-B47A-60CE4E627A35}">
  <dimension ref="B2:H70"/>
  <sheetViews>
    <sheetView topLeftCell="A43" workbookViewId="0">
      <selection activeCell="G65" sqref="G65"/>
    </sheetView>
  </sheetViews>
  <sheetFormatPr defaultColWidth="9.140625" defaultRowHeight="12.75"/>
  <cols>
    <col min="1" max="2" width="9.140625" style="412"/>
    <col min="3" max="3" width="11.7109375" style="412" customWidth="1"/>
    <col min="4" max="4" width="9.140625" style="412"/>
    <col min="5" max="5" width="16" style="412" bestFit="1" customWidth="1"/>
    <col min="6" max="6" width="18.5703125" style="412" customWidth="1"/>
    <col min="7" max="7" width="49.140625" style="412" customWidth="1"/>
    <col min="8" max="8" width="59.42578125" style="412" customWidth="1"/>
    <col min="9" max="16384" width="9.140625" style="412"/>
  </cols>
  <sheetData>
    <row r="2" spans="2:7">
      <c r="B2" s="412" t="s">
        <v>1578</v>
      </c>
      <c r="C2" s="412" t="s">
        <v>1579</v>
      </c>
      <c r="D2" s="412" t="s">
        <v>1580</v>
      </c>
      <c r="E2" s="412" t="s">
        <v>1581</v>
      </c>
      <c r="F2" s="412" t="s">
        <v>1582</v>
      </c>
      <c r="G2" s="412" t="s">
        <v>1583</v>
      </c>
    </row>
    <row r="4" spans="2:7">
      <c r="B4" s="412" t="s">
        <v>1584</v>
      </c>
      <c r="C4" s="412" t="s">
        <v>1585</v>
      </c>
      <c r="G4" s="776" t="s">
        <v>1586</v>
      </c>
    </row>
    <row r="5" spans="2:7">
      <c r="G5" s="776" t="s">
        <v>1587</v>
      </c>
    </row>
    <row r="6" spans="2:7">
      <c r="G6" s="412" t="s">
        <v>1588</v>
      </c>
    </row>
    <row r="8" spans="2:7">
      <c r="C8" s="412" t="s">
        <v>1589</v>
      </c>
      <c r="G8" s="776" t="s">
        <v>1590</v>
      </c>
    </row>
    <row r="11" spans="2:7">
      <c r="C11" s="412" t="s">
        <v>1591</v>
      </c>
      <c r="G11" s="776" t="s">
        <v>1592</v>
      </c>
    </row>
    <row r="12" spans="2:7">
      <c r="G12" s="412" t="s">
        <v>1593</v>
      </c>
    </row>
    <row r="14" spans="2:7">
      <c r="C14" s="412" t="s">
        <v>1594</v>
      </c>
      <c r="G14" s="412" t="s">
        <v>1595</v>
      </c>
    </row>
    <row r="15" spans="2:7">
      <c r="G15" s="412" t="s">
        <v>1596</v>
      </c>
    </row>
    <row r="17" spans="2:7">
      <c r="C17" s="412" t="s">
        <v>1597</v>
      </c>
      <c r="G17" s="412" t="s">
        <v>1598</v>
      </c>
    </row>
    <row r="19" spans="2:7">
      <c r="C19" s="412" t="s">
        <v>1599</v>
      </c>
      <c r="D19" s="412">
        <v>1.6</v>
      </c>
      <c r="G19" s="412" t="s">
        <v>1600</v>
      </c>
    </row>
    <row r="20" spans="2:7">
      <c r="C20" s="412" t="s">
        <v>1601</v>
      </c>
      <c r="D20" s="412">
        <v>1.7</v>
      </c>
      <c r="G20" s="412" t="s">
        <v>1602</v>
      </c>
    </row>
    <row r="21" spans="2:7">
      <c r="G21" s="412" t="s">
        <v>1603</v>
      </c>
    </row>
    <row r="22" spans="2:7">
      <c r="C22" s="412" t="s">
        <v>1604</v>
      </c>
      <c r="G22" s="412" t="s">
        <v>1605</v>
      </c>
    </row>
    <row r="24" spans="2:7">
      <c r="C24" s="412" t="s">
        <v>1606</v>
      </c>
      <c r="G24" s="412" t="s">
        <v>1607</v>
      </c>
    </row>
    <row r="25" spans="2:7">
      <c r="G25" s="412" t="s">
        <v>1608</v>
      </c>
    </row>
    <row r="26" spans="2:7">
      <c r="C26" s="412" t="s">
        <v>1609</v>
      </c>
      <c r="D26" s="412">
        <v>1.8</v>
      </c>
      <c r="G26" s="412" t="s">
        <v>1610</v>
      </c>
    </row>
    <row r="29" spans="2:7">
      <c r="B29" s="412" t="s">
        <v>1611</v>
      </c>
      <c r="C29" s="777">
        <v>42682</v>
      </c>
      <c r="E29" s="412" t="s">
        <v>1612</v>
      </c>
      <c r="G29" s="412" t="s">
        <v>1613</v>
      </c>
    </row>
    <row r="30" spans="2:7">
      <c r="C30" s="777">
        <v>42682</v>
      </c>
      <c r="F30" s="412" t="s">
        <v>1614</v>
      </c>
      <c r="G30" s="412" t="s">
        <v>1615</v>
      </c>
    </row>
    <row r="33" spans="2:8">
      <c r="E33" s="412" t="s">
        <v>1616</v>
      </c>
    </row>
    <row r="34" spans="2:8">
      <c r="F34" s="412" t="s">
        <v>1617</v>
      </c>
      <c r="G34" s="412" t="s">
        <v>1618</v>
      </c>
    </row>
    <row r="35" spans="2:8">
      <c r="F35" s="412" t="s">
        <v>1619</v>
      </c>
    </row>
    <row r="37" spans="2:8">
      <c r="B37" s="412" t="s">
        <v>1611</v>
      </c>
      <c r="C37" s="778">
        <v>42929</v>
      </c>
      <c r="G37" s="412" t="s">
        <v>1620</v>
      </c>
    </row>
    <row r="38" spans="2:8">
      <c r="B38" s="412" t="s">
        <v>1611</v>
      </c>
      <c r="C38" s="778">
        <v>42933</v>
      </c>
      <c r="G38" s="412" t="s">
        <v>1621</v>
      </c>
    </row>
    <row r="39" spans="2:8">
      <c r="G39" s="412" t="s">
        <v>1622</v>
      </c>
    </row>
    <row r="40" spans="2:8">
      <c r="G40" s="412" t="s">
        <v>1623</v>
      </c>
      <c r="H40" s="412" t="s">
        <v>1624</v>
      </c>
    </row>
    <row r="41" spans="2:8">
      <c r="G41" s="412" t="s">
        <v>1625</v>
      </c>
      <c r="H41" s="412" t="s">
        <v>1626</v>
      </c>
    </row>
    <row r="42" spans="2:8">
      <c r="B42" s="412" t="s">
        <v>1611</v>
      </c>
      <c r="C42" s="778">
        <v>42934</v>
      </c>
      <c r="G42" s="412" t="s">
        <v>1627</v>
      </c>
      <c r="H42" s="412" t="s">
        <v>1628</v>
      </c>
    </row>
    <row r="43" spans="2:8" ht="51">
      <c r="G43" s="779" t="s">
        <v>1629</v>
      </c>
      <c r="H43" s="779" t="s">
        <v>1630</v>
      </c>
    </row>
    <row r="46" spans="2:8">
      <c r="B46" s="412" t="s">
        <v>1584</v>
      </c>
      <c r="C46" s="778">
        <v>42940</v>
      </c>
      <c r="E46" s="412" t="s">
        <v>1631</v>
      </c>
      <c r="G46" s="412" t="s">
        <v>1632</v>
      </c>
    </row>
    <row r="47" spans="2:8">
      <c r="B47" s="412" t="s">
        <v>1584</v>
      </c>
      <c r="C47" s="778">
        <v>42940</v>
      </c>
      <c r="E47" s="412" t="s">
        <v>1633</v>
      </c>
      <c r="G47" s="412" t="s">
        <v>1634</v>
      </c>
    </row>
    <row r="48" spans="2:8">
      <c r="G48" s="412" t="s">
        <v>1635</v>
      </c>
    </row>
    <row r="50" spans="2:7">
      <c r="B50" s="412" t="s">
        <v>1611</v>
      </c>
      <c r="C50" s="778">
        <v>43041</v>
      </c>
      <c r="E50" s="412" t="s">
        <v>1633</v>
      </c>
      <c r="G50" s="412" t="s">
        <v>1636</v>
      </c>
    </row>
    <row r="52" spans="2:7">
      <c r="B52" s="412" t="s">
        <v>1584</v>
      </c>
      <c r="C52" s="778">
        <v>43138</v>
      </c>
      <c r="E52" s="412" t="s">
        <v>1637</v>
      </c>
      <c r="G52" s="412" t="s">
        <v>1638</v>
      </c>
    </row>
    <row r="54" spans="2:7">
      <c r="B54" s="412" t="s">
        <v>1639</v>
      </c>
      <c r="C54" s="778">
        <v>45124</v>
      </c>
      <c r="E54" s="412" t="s">
        <v>1640</v>
      </c>
      <c r="G54" s="412" t="s">
        <v>1641</v>
      </c>
    </row>
    <row r="55" spans="2:7">
      <c r="C55" s="778">
        <v>45125</v>
      </c>
      <c r="E55" s="412" t="s">
        <v>1642</v>
      </c>
      <c r="G55" s="412" t="s">
        <v>1643</v>
      </c>
    </row>
    <row r="56" spans="2:7">
      <c r="C56" s="778">
        <v>45125</v>
      </c>
      <c r="E56" s="412" t="s">
        <v>1644</v>
      </c>
      <c r="G56" s="412" t="s">
        <v>1641</v>
      </c>
    </row>
    <row r="58" spans="2:7">
      <c r="C58" s="778">
        <v>45131</v>
      </c>
      <c r="E58" s="412" t="s">
        <v>1645</v>
      </c>
      <c r="G58" s="412" t="s">
        <v>1646</v>
      </c>
    </row>
    <row r="59" spans="2:7">
      <c r="E59" s="412" t="s">
        <v>1647</v>
      </c>
      <c r="G59" s="412" t="s">
        <v>1648</v>
      </c>
    </row>
    <row r="61" spans="2:7">
      <c r="C61" s="778">
        <v>45132</v>
      </c>
      <c r="E61" s="412" t="s">
        <v>1642</v>
      </c>
      <c r="G61" s="412" t="s">
        <v>1649</v>
      </c>
    </row>
    <row r="63" spans="2:7" ht="51">
      <c r="C63" s="777">
        <v>45148</v>
      </c>
      <c r="E63" s="412" t="s">
        <v>1650</v>
      </c>
      <c r="G63" s="779" t="s">
        <v>1651</v>
      </c>
    </row>
    <row r="64" spans="2:7">
      <c r="C64" s="777">
        <v>45156</v>
      </c>
      <c r="E64" s="412" t="s">
        <v>1650</v>
      </c>
      <c r="G64" s="412" t="s">
        <v>1672</v>
      </c>
    </row>
    <row r="65" spans="3:7">
      <c r="E65" s="412" t="s">
        <v>1671</v>
      </c>
      <c r="G65" s="412" t="s">
        <v>1672</v>
      </c>
    </row>
    <row r="66" spans="3:7">
      <c r="C66" s="777">
        <v>45160</v>
      </c>
      <c r="E66" s="412" t="s">
        <v>1667</v>
      </c>
      <c r="G66" s="412" t="s">
        <v>1668</v>
      </c>
    </row>
    <row r="67" spans="3:7">
      <c r="E67" s="412" t="s">
        <v>1612</v>
      </c>
      <c r="G67" s="412" t="s">
        <v>1669</v>
      </c>
    </row>
    <row r="68" spans="3:7">
      <c r="E68" s="412" t="s">
        <v>1650</v>
      </c>
      <c r="G68" s="412" t="s">
        <v>1670</v>
      </c>
    </row>
    <row r="69" spans="3:7">
      <c r="E69" s="412" t="s">
        <v>1671</v>
      </c>
      <c r="G69" s="412" t="s">
        <v>1670</v>
      </c>
    </row>
    <row r="70" spans="3:7">
      <c r="G70" s="412" t="s">
        <v>1673</v>
      </c>
    </row>
  </sheetData>
  <phoneticPr fontId="12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dimension ref="A1:X79"/>
  <sheetViews>
    <sheetView zoomScale="62" workbookViewId="0"/>
  </sheetViews>
  <sheetFormatPr defaultColWidth="11.42578125" defaultRowHeight="12.75"/>
  <cols>
    <col min="1" max="4" width="11.42578125" style="1"/>
    <col min="5" max="5" width="7.28515625" style="1" customWidth="1"/>
    <col min="6" max="6" width="11.42578125" style="1"/>
    <col min="7" max="7" width="5.42578125" style="1" customWidth="1"/>
    <col min="8" max="8" width="9.42578125" style="1" customWidth="1"/>
    <col min="9" max="9" width="7.28515625" style="1" customWidth="1"/>
    <col min="10" max="10" width="6" style="1" customWidth="1"/>
    <col min="11" max="11" width="5.85546875" style="1" customWidth="1"/>
    <col min="12" max="12" width="10.7109375" style="1" customWidth="1"/>
    <col min="13" max="13" width="9.28515625" style="1" customWidth="1"/>
    <col min="14" max="14" width="3.85546875" style="1" customWidth="1"/>
    <col min="15" max="15" width="18.28515625" style="1" customWidth="1"/>
    <col min="16" max="16" width="3.7109375" style="1" customWidth="1"/>
    <col min="17" max="17" width="11.28515625" style="1" customWidth="1"/>
    <col min="18" max="18" width="11.42578125" style="1"/>
    <col min="19" max="19" width="10.7109375" style="1" customWidth="1"/>
    <col min="20" max="20" width="10.140625" style="1" customWidth="1"/>
    <col min="21" max="21" width="9.7109375" style="1" customWidth="1"/>
    <col min="22" max="22" width="14.85546875" style="1" customWidth="1"/>
    <col min="23" max="23" width="7.28515625" style="1" customWidth="1"/>
    <col min="24" max="16384" width="11.42578125" style="1"/>
  </cols>
  <sheetData>
    <row r="1" spans="1:24" ht="15.75">
      <c r="A1" s="5" t="s">
        <v>129</v>
      </c>
    </row>
    <row r="2" spans="1:24" ht="12.75" customHeight="1">
      <c r="A2" s="789" t="s">
        <v>130</v>
      </c>
      <c r="B2" s="789"/>
      <c r="C2" s="789"/>
      <c r="D2" s="789"/>
      <c r="E2" s="789"/>
      <c r="F2" s="789"/>
      <c r="G2" s="789"/>
      <c r="H2" s="789"/>
    </row>
    <row r="3" spans="1:24" ht="15.75">
      <c r="F3" s="5"/>
    </row>
    <row r="4" spans="1:24" ht="15.75">
      <c r="F4" s="5"/>
    </row>
    <row r="5" spans="1:24" ht="15.75">
      <c r="A5" s="790" t="s">
        <v>131</v>
      </c>
      <c r="B5" s="790"/>
      <c r="C5" s="790"/>
      <c r="D5" s="790"/>
      <c r="F5" s="790" t="s">
        <v>131</v>
      </c>
      <c r="G5" s="790"/>
      <c r="H5" s="790"/>
      <c r="I5" s="790"/>
      <c r="J5" s="790"/>
      <c r="K5" s="790"/>
      <c r="L5" s="790"/>
      <c r="M5" s="790"/>
      <c r="Q5" s="25" t="s">
        <v>132</v>
      </c>
      <c r="R5" s="25"/>
      <c r="S5" s="25"/>
      <c r="T5" s="25"/>
      <c r="U5" s="25"/>
      <c r="V5" s="25"/>
      <c r="W5" s="25"/>
      <c r="X5" s="25"/>
    </row>
    <row r="6" spans="1:24" s="30" customFormat="1" ht="38.25">
      <c r="A6" s="26" t="s">
        <v>133</v>
      </c>
      <c r="B6" s="27" t="s">
        <v>134</v>
      </c>
      <c r="C6" s="28" t="s">
        <v>135</v>
      </c>
      <c r="D6" s="29" t="s">
        <v>136</v>
      </c>
      <c r="F6" s="31" t="s">
        <v>137</v>
      </c>
      <c r="G6" s="32" t="s">
        <v>138</v>
      </c>
      <c r="H6" s="33" t="s">
        <v>139</v>
      </c>
      <c r="I6" s="34" t="s">
        <v>140</v>
      </c>
      <c r="J6" s="35" t="s">
        <v>141</v>
      </c>
      <c r="K6" s="36" t="s">
        <v>142</v>
      </c>
      <c r="L6" s="37" t="s">
        <v>143</v>
      </c>
      <c r="M6" s="38" t="s">
        <v>144</v>
      </c>
      <c r="O6" s="39" t="s">
        <v>145</v>
      </c>
      <c r="Q6" s="39" t="s">
        <v>146</v>
      </c>
      <c r="R6" s="40" t="s">
        <v>40</v>
      </c>
      <c r="S6" s="39" t="s">
        <v>147</v>
      </c>
      <c r="T6" s="40" t="s">
        <v>148</v>
      </c>
      <c r="U6" s="40" t="s">
        <v>149</v>
      </c>
      <c r="V6" s="40" t="s">
        <v>150</v>
      </c>
      <c r="W6" s="40" t="s">
        <v>83</v>
      </c>
    </row>
    <row r="9" spans="1:24">
      <c r="O9" s="1" t="s">
        <v>151</v>
      </c>
    </row>
    <row r="11" spans="1:24">
      <c r="O11" s="1" t="s">
        <v>152</v>
      </c>
    </row>
    <row r="13" spans="1:24">
      <c r="O13" s="1" t="s">
        <v>153</v>
      </c>
    </row>
    <row r="15" spans="1:24">
      <c r="O15" s="1" t="s">
        <v>154</v>
      </c>
    </row>
    <row r="17" spans="15:15">
      <c r="O17" s="1" t="s">
        <v>155</v>
      </c>
    </row>
    <row r="19" spans="15:15">
      <c r="O19" s="1" t="s">
        <v>156</v>
      </c>
    </row>
    <row r="23" spans="15:15">
      <c r="O23" s="1" t="s">
        <v>157</v>
      </c>
    </row>
    <row r="25" spans="15:15">
      <c r="O25" s="1" t="s">
        <v>158</v>
      </c>
    </row>
    <row r="27" spans="15:15">
      <c r="O27" s="1" t="s">
        <v>159</v>
      </c>
    </row>
    <row r="29" spans="15:15">
      <c r="O29" s="1" t="s">
        <v>160</v>
      </c>
    </row>
    <row r="33" spans="15:15">
      <c r="O33" s="1" t="s">
        <v>161</v>
      </c>
    </row>
    <row r="35" spans="15:15">
      <c r="O35" s="1" t="s">
        <v>162</v>
      </c>
    </row>
    <row r="37" spans="15:15">
      <c r="O37" s="1" t="s">
        <v>163</v>
      </c>
    </row>
    <row r="39" spans="15:15">
      <c r="O39" s="1" t="s">
        <v>164</v>
      </c>
    </row>
    <row r="41" spans="15:15">
      <c r="O41" s="1" t="s">
        <v>165</v>
      </c>
    </row>
    <row r="43" spans="15:15">
      <c r="O43" s="1" t="s">
        <v>166</v>
      </c>
    </row>
    <row r="45" spans="15:15">
      <c r="O45" s="1" t="s">
        <v>167</v>
      </c>
    </row>
    <row r="47" spans="15:15">
      <c r="O47" s="1" t="s">
        <v>168</v>
      </c>
    </row>
    <row r="51" spans="15:15">
      <c r="O51" s="1" t="s">
        <v>169</v>
      </c>
    </row>
    <row r="53" spans="15:15">
      <c r="O53" s="1" t="s">
        <v>170</v>
      </c>
    </row>
    <row r="55" spans="15:15">
      <c r="O55" s="1" t="s">
        <v>171</v>
      </c>
    </row>
    <row r="57" spans="15:15">
      <c r="O57" s="1" t="s">
        <v>172</v>
      </c>
    </row>
    <row r="59" spans="15:15">
      <c r="O59" s="1" t="s">
        <v>173</v>
      </c>
    </row>
    <row r="63" spans="15:15">
      <c r="O63" s="1" t="s">
        <v>174</v>
      </c>
    </row>
    <row r="65" spans="15:15">
      <c r="O65" s="1" t="s">
        <v>175</v>
      </c>
    </row>
    <row r="67" spans="15:15">
      <c r="O67" s="1" t="s">
        <v>176</v>
      </c>
    </row>
    <row r="71" spans="15:15">
      <c r="O71" s="1" t="s">
        <v>177</v>
      </c>
    </row>
    <row r="75" spans="15:15">
      <c r="O75" s="1" t="s">
        <v>178</v>
      </c>
    </row>
    <row r="79" spans="15:15">
      <c r="O79" s="41"/>
    </row>
  </sheetData>
  <sheetProtection selectLockedCells="1" selectUnlockedCells="1"/>
  <mergeCells count="3">
    <mergeCell ref="A2:H2"/>
    <mergeCell ref="A5:D5"/>
    <mergeCell ref="F5:M5"/>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colBreaks count="1" manualBreakCount="1">
    <brk id="16" max="1048575"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O54"/>
  <sheetViews>
    <sheetView workbookViewId="0"/>
  </sheetViews>
  <sheetFormatPr defaultColWidth="11.42578125" defaultRowHeight="12.75"/>
  <cols>
    <col min="1" max="1" width="43.140625" style="1" customWidth="1"/>
    <col min="2" max="2" width="24.85546875" style="41" customWidth="1"/>
    <col min="3" max="3" width="15.140625" style="41" customWidth="1"/>
    <col min="4" max="4" width="11.28515625" style="41" customWidth="1"/>
    <col min="5" max="5" width="16.42578125" style="41" customWidth="1"/>
    <col min="6" max="6" width="24.42578125" style="41" customWidth="1"/>
    <col min="7" max="7" width="11.42578125" style="41" customWidth="1"/>
    <col min="8" max="16384" width="11.42578125" style="1"/>
  </cols>
  <sheetData>
    <row r="1" spans="1:7" s="123" customFormat="1" ht="13.5" thickBot="1">
      <c r="A1" s="123" t="s">
        <v>179</v>
      </c>
      <c r="B1" s="124"/>
      <c r="C1" s="124"/>
      <c r="D1" s="124"/>
      <c r="E1" s="124"/>
      <c r="F1" s="124"/>
      <c r="G1" s="124"/>
    </row>
    <row r="3" spans="1:7">
      <c r="A3" s="47" t="s">
        <v>433</v>
      </c>
    </row>
    <row r="4" spans="1:7" s="6" customFormat="1">
      <c r="A4" s="90" t="s">
        <v>434</v>
      </c>
      <c r="B4" s="125"/>
      <c r="C4" s="125"/>
      <c r="D4" s="125"/>
      <c r="E4" s="125"/>
      <c r="F4" s="125"/>
      <c r="G4" s="125"/>
    </row>
    <row r="5" spans="1:7" s="6" customFormat="1">
      <c r="A5" s="126" t="s">
        <v>435</v>
      </c>
      <c r="B5" s="125"/>
      <c r="C5" s="125"/>
      <c r="D5" s="125"/>
      <c r="E5" s="125"/>
      <c r="F5" s="125"/>
      <c r="G5" s="125"/>
    </row>
    <row r="6" spans="1:7" s="6" customFormat="1">
      <c r="A6" s="127" t="s">
        <v>436</v>
      </c>
      <c r="B6" s="125"/>
      <c r="C6" s="125"/>
      <c r="D6" s="125"/>
      <c r="E6" s="125"/>
      <c r="F6" s="125"/>
      <c r="G6" s="125"/>
    </row>
    <row r="7" spans="1:7" s="6" customFormat="1">
      <c r="A7" s="128" t="s">
        <v>437</v>
      </c>
      <c r="B7" s="125"/>
      <c r="C7" s="125"/>
      <c r="D7" s="125"/>
      <c r="E7" s="125"/>
      <c r="F7" s="125"/>
      <c r="G7" s="125"/>
    </row>
    <row r="8" spans="1:7">
      <c r="A8" s="48"/>
      <c r="B8" s="49"/>
      <c r="C8" s="49"/>
      <c r="D8" s="49"/>
      <c r="E8" s="49"/>
      <c r="F8" s="50"/>
      <c r="G8" s="50"/>
    </row>
    <row r="9" spans="1:7" s="55" customFormat="1">
      <c r="A9" s="51" t="s">
        <v>222</v>
      </c>
      <c r="B9" s="52"/>
      <c r="C9" s="52"/>
      <c r="D9" s="52"/>
      <c r="E9" s="52"/>
      <c r="F9" s="53"/>
      <c r="G9" s="53"/>
    </row>
    <row r="10" spans="1:7">
      <c r="B10" s="1"/>
      <c r="C10" s="1"/>
      <c r="D10" s="1"/>
      <c r="E10" s="1"/>
      <c r="F10" s="1"/>
      <c r="G10" s="1"/>
    </row>
    <row r="11" spans="1:7">
      <c r="C11" s="1"/>
      <c r="E11" s="1"/>
      <c r="F11" s="1"/>
      <c r="G11" s="1"/>
    </row>
    <row r="12" spans="1:7">
      <c r="A12" s="79" t="s">
        <v>206</v>
      </c>
      <c r="B12" s="80">
        <v>0.7</v>
      </c>
      <c r="C12" s="69" t="s">
        <v>207</v>
      </c>
      <c r="D12" s="69"/>
    </row>
    <row r="13" spans="1:7">
      <c r="A13" s="18"/>
      <c r="B13" s="69"/>
      <c r="C13" s="69"/>
      <c r="D13" s="1"/>
      <c r="E13" s="1"/>
      <c r="F13" s="1"/>
      <c r="G13" s="1"/>
    </row>
    <row r="14" spans="1:7" s="55" customFormat="1">
      <c r="A14" s="51" t="s">
        <v>200</v>
      </c>
      <c r="B14" s="52"/>
      <c r="C14" s="52"/>
      <c r="D14" s="52"/>
      <c r="E14" s="52"/>
      <c r="F14" s="53"/>
      <c r="G14" s="53"/>
    </row>
    <row r="15" spans="1:7">
      <c r="A15" s="17"/>
      <c r="B15" s="69"/>
      <c r="C15" s="69"/>
      <c r="D15" s="69"/>
    </row>
    <row r="16" spans="1:7" s="6" customFormat="1">
      <c r="A16" s="9"/>
      <c r="B16" s="14" t="s">
        <v>185</v>
      </c>
      <c r="C16" s="14">
        <v>1990</v>
      </c>
      <c r="D16" s="129">
        <f>C16+1</f>
        <v>1991</v>
      </c>
      <c r="E16" s="129">
        <f>D16+1</f>
        <v>1992</v>
      </c>
      <c r="F16" s="1"/>
      <c r="G16" s="1"/>
    </row>
    <row r="17" spans="1:41" ht="12.75" customHeight="1">
      <c r="A17" s="58" t="s">
        <v>201</v>
      </c>
      <c r="B17" s="791" t="s">
        <v>202</v>
      </c>
      <c r="C17" s="59"/>
      <c r="D17" s="75">
        <v>1.9300000000000001E-2</v>
      </c>
      <c r="E17" s="76">
        <v>1.9300000000000001E-2</v>
      </c>
      <c r="F17" s="1"/>
      <c r="G17" s="1"/>
    </row>
    <row r="18" spans="1:41" ht="25.5">
      <c r="A18" s="58" t="s">
        <v>203</v>
      </c>
      <c r="B18" s="791"/>
      <c r="C18" s="59"/>
      <c r="D18" s="75">
        <v>3.15E-2</v>
      </c>
      <c r="E18" s="76">
        <v>3.15E-2</v>
      </c>
      <c r="F18" s="1"/>
      <c r="G18" s="1"/>
    </row>
    <row r="19" spans="1:41" ht="25.5">
      <c r="A19" s="58" t="s">
        <v>204</v>
      </c>
      <c r="B19" s="791"/>
      <c r="C19" s="59"/>
      <c r="D19" s="75">
        <v>-7.9000000000000008E-3</v>
      </c>
      <c r="E19" s="76">
        <v>-7.9000000000000008E-3</v>
      </c>
      <c r="F19" s="1"/>
      <c r="G19" s="1"/>
    </row>
    <row r="20" spans="1:41">
      <c r="A20" s="17"/>
      <c r="B20" s="69"/>
      <c r="C20" s="69"/>
      <c r="D20" s="69"/>
      <c r="G20" s="1"/>
    </row>
    <row r="21" spans="1:41">
      <c r="A21" s="17"/>
      <c r="B21" s="69"/>
      <c r="C21" s="69"/>
      <c r="D21" s="69"/>
      <c r="G21" s="1"/>
    </row>
    <row r="22" spans="1:41" s="55" customFormat="1">
      <c r="A22" s="51" t="s">
        <v>205</v>
      </c>
      <c r="B22" s="52"/>
      <c r="C22" s="52"/>
      <c r="D22" s="52"/>
      <c r="E22" s="52"/>
      <c r="F22" s="53"/>
      <c r="G22" s="53"/>
      <c r="H22" s="53"/>
      <c r="I22" s="53"/>
    </row>
    <row r="23" spans="1:41">
      <c r="A23" s="17"/>
      <c r="B23" s="69"/>
      <c r="C23" s="69"/>
      <c r="D23" s="1"/>
      <c r="E23" s="1"/>
      <c r="F23" s="1"/>
      <c r="G23" s="1"/>
    </row>
    <row r="24" spans="1:41" s="85" customFormat="1" ht="39" thickBot="1">
      <c r="A24" s="9" t="s">
        <v>210</v>
      </c>
      <c r="B24" s="14" t="s">
        <v>211</v>
      </c>
      <c r="C24" s="82" t="s">
        <v>438</v>
      </c>
      <c r="D24" s="1"/>
      <c r="E24" s="1"/>
      <c r="F24" s="1"/>
      <c r="G24" s="1"/>
      <c r="H24" s="1"/>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s="90" customFormat="1">
      <c r="A25" s="86" t="s">
        <v>80</v>
      </c>
      <c r="B25" s="59">
        <v>6</v>
      </c>
      <c r="C25" s="87">
        <v>0.11</v>
      </c>
      <c r="D25" s="1"/>
      <c r="E25" s="1"/>
      <c r="F25" s="1"/>
      <c r="G25" s="1"/>
      <c r="H25" s="1"/>
    </row>
    <row r="26" spans="1:41" s="90" customFormat="1">
      <c r="A26" s="86" t="s">
        <v>72</v>
      </c>
      <c r="B26" s="59">
        <v>6</v>
      </c>
      <c r="C26" s="87">
        <v>0.18</v>
      </c>
      <c r="D26" s="1"/>
      <c r="E26" s="1"/>
      <c r="F26" s="1"/>
      <c r="G26" s="1"/>
      <c r="H26" s="1"/>
    </row>
    <row r="27" spans="1:41" s="90" customFormat="1">
      <c r="A27" s="86" t="s">
        <v>77</v>
      </c>
      <c r="B27" s="59">
        <v>6</v>
      </c>
      <c r="C27" s="87">
        <v>0.04</v>
      </c>
      <c r="D27" s="1"/>
      <c r="E27" s="1"/>
      <c r="F27" s="1"/>
      <c r="G27" s="1"/>
      <c r="H27" s="1"/>
    </row>
    <row r="28" spans="1:41" s="90" customFormat="1">
      <c r="A28" s="86" t="s">
        <v>79</v>
      </c>
      <c r="B28" s="59">
        <v>6</v>
      </c>
      <c r="C28" s="87">
        <v>0.04</v>
      </c>
      <c r="D28" s="1"/>
      <c r="E28" s="1"/>
      <c r="F28" s="1"/>
      <c r="G28" s="1"/>
      <c r="H28" s="1"/>
    </row>
    <row r="29" spans="1:41" s="90" customFormat="1">
      <c r="A29" s="86" t="s">
        <v>74</v>
      </c>
      <c r="B29" s="59">
        <v>8</v>
      </c>
      <c r="C29" s="87">
        <v>0.30000000000000004</v>
      </c>
      <c r="D29" s="1"/>
      <c r="E29" s="1"/>
      <c r="F29" s="1"/>
      <c r="G29" s="1"/>
      <c r="H29" s="1"/>
    </row>
    <row r="30" spans="1:41" s="90" customFormat="1">
      <c r="A30" s="86" t="s">
        <v>70</v>
      </c>
      <c r="B30" s="59">
        <v>9</v>
      </c>
      <c r="C30" s="87">
        <v>0.12</v>
      </c>
      <c r="D30" s="1"/>
      <c r="E30" s="1"/>
      <c r="F30" s="1"/>
      <c r="G30" s="1"/>
      <c r="H30" s="1"/>
    </row>
    <row r="31" spans="1:41" s="90" customFormat="1">
      <c r="A31" s="86" t="s">
        <v>78</v>
      </c>
      <c r="B31" s="59">
        <v>9</v>
      </c>
      <c r="C31" s="87">
        <v>7.0000000000000007E-2</v>
      </c>
      <c r="D31" s="1"/>
      <c r="E31" s="1"/>
      <c r="F31" s="1"/>
      <c r="G31" s="1"/>
      <c r="H31" s="1"/>
    </row>
    <row r="32" spans="1:41" s="90" customFormat="1">
      <c r="A32" s="86" t="s">
        <v>83</v>
      </c>
      <c r="B32" s="59">
        <v>9</v>
      </c>
      <c r="C32" s="87">
        <v>0.14000000000000001</v>
      </c>
      <c r="D32" s="1"/>
      <c r="E32" s="1"/>
      <c r="F32" s="1"/>
      <c r="G32" s="1"/>
      <c r="H32" s="1"/>
    </row>
    <row r="33" spans="1:8" s="90" customFormat="1">
      <c r="A33" s="92" t="s">
        <v>213</v>
      </c>
      <c r="B33" s="9"/>
      <c r="C33" s="93">
        <f>SUM(C25:C32)</f>
        <v>0.99999999999999989</v>
      </c>
      <c r="D33" s="1"/>
      <c r="E33" s="1"/>
      <c r="F33" s="1"/>
      <c r="G33" s="1"/>
      <c r="H33" s="1"/>
    </row>
    <row r="34" spans="1:8">
      <c r="B34" s="1"/>
      <c r="C34" s="1"/>
      <c r="D34" s="1"/>
      <c r="E34" s="1"/>
      <c r="F34" s="1"/>
      <c r="G34" s="1"/>
    </row>
    <row r="35" spans="1:8">
      <c r="B35" s="1"/>
      <c r="C35" s="1"/>
      <c r="D35" s="1"/>
      <c r="E35" s="1"/>
      <c r="F35" s="1"/>
      <c r="G35" s="1"/>
    </row>
    <row r="36" spans="1:8">
      <c r="B36" s="1"/>
      <c r="C36" s="69"/>
    </row>
    <row r="37" spans="1:8">
      <c r="A37" s="9" t="s">
        <v>210</v>
      </c>
      <c r="B37" s="14" t="s">
        <v>211</v>
      </c>
      <c r="C37" s="83">
        <v>1990</v>
      </c>
      <c r="D37" s="129">
        <f>C37+1</f>
        <v>1991</v>
      </c>
      <c r="E37" s="129">
        <f>D37+1</f>
        <v>1992</v>
      </c>
      <c r="F37" s="129" t="s">
        <v>439</v>
      </c>
    </row>
    <row r="38" spans="1:8">
      <c r="A38" s="86" t="s">
        <v>80</v>
      </c>
      <c r="B38" s="59">
        <v>6</v>
      </c>
      <c r="C38" s="88">
        <f t="shared" ref="C38:C45" si="0">C25*$C$46</f>
        <v>7.15</v>
      </c>
      <c r="D38" s="64">
        <f t="shared" ref="D38:E41" si="1">C38+($B$12*D$17*C38)</f>
        <v>7.2465965000000008</v>
      </c>
      <c r="E38" s="64">
        <f t="shared" si="1"/>
        <v>7.3444980187150009</v>
      </c>
      <c r="F38" s="64"/>
    </row>
    <row r="39" spans="1:8">
      <c r="A39" s="86" t="s">
        <v>72</v>
      </c>
      <c r="B39" s="59">
        <v>6</v>
      </c>
      <c r="C39" s="91">
        <f t="shared" si="0"/>
        <v>11.7</v>
      </c>
      <c r="D39" s="64">
        <f t="shared" si="1"/>
        <v>11.858067</v>
      </c>
      <c r="E39" s="64">
        <f t="shared" si="1"/>
        <v>12.01826948517</v>
      </c>
      <c r="F39" s="64"/>
    </row>
    <row r="40" spans="1:8">
      <c r="A40" s="86" t="s">
        <v>77</v>
      </c>
      <c r="B40" s="59">
        <v>6</v>
      </c>
      <c r="C40" s="91">
        <f t="shared" si="0"/>
        <v>2.6</v>
      </c>
      <c r="D40" s="64">
        <f t="shared" si="1"/>
        <v>2.6351260000000001</v>
      </c>
      <c r="E40" s="64">
        <f t="shared" si="1"/>
        <v>2.6707265522600001</v>
      </c>
      <c r="F40" s="64"/>
    </row>
    <row r="41" spans="1:8">
      <c r="A41" s="86" t="s">
        <v>79</v>
      </c>
      <c r="B41" s="59">
        <v>6</v>
      </c>
      <c r="C41" s="91">
        <f t="shared" si="0"/>
        <v>2.6</v>
      </c>
      <c r="D41" s="64">
        <f t="shared" si="1"/>
        <v>2.6351260000000001</v>
      </c>
      <c r="E41" s="64">
        <f t="shared" si="1"/>
        <v>2.6707265522600001</v>
      </c>
      <c r="F41" s="64"/>
    </row>
    <row r="42" spans="1:8">
      <c r="A42" s="86" t="s">
        <v>74</v>
      </c>
      <c r="B42" s="59">
        <v>8</v>
      </c>
      <c r="C42" s="91">
        <f t="shared" si="0"/>
        <v>19.500000000000004</v>
      </c>
      <c r="D42" s="64">
        <f>C42+($B$12*D$18*C42)</f>
        <v>19.929975000000002</v>
      </c>
      <c r="E42" s="64">
        <f>D42+($B$12*E$18*D42)</f>
        <v>20.369430948750001</v>
      </c>
      <c r="F42" s="64"/>
    </row>
    <row r="43" spans="1:8">
      <c r="A43" s="86" t="s">
        <v>70</v>
      </c>
      <c r="B43" s="59">
        <v>9</v>
      </c>
      <c r="C43" s="91">
        <f t="shared" si="0"/>
        <v>7.8</v>
      </c>
      <c r="D43" s="64">
        <f t="shared" ref="D43:E45" si="2">C43+($B$12*D$19*C43)</f>
        <v>7.7568659999999996</v>
      </c>
      <c r="E43" s="64">
        <f t="shared" si="2"/>
        <v>7.7139705310199993</v>
      </c>
      <c r="F43" s="64"/>
    </row>
    <row r="44" spans="1:8">
      <c r="A44" s="86" t="s">
        <v>78</v>
      </c>
      <c r="B44" s="59">
        <v>9</v>
      </c>
      <c r="C44" s="91">
        <f t="shared" si="0"/>
        <v>4.5500000000000007</v>
      </c>
      <c r="D44" s="64">
        <f t="shared" si="2"/>
        <v>4.5248385000000004</v>
      </c>
      <c r="E44" s="64">
        <f t="shared" si="2"/>
        <v>4.4998161430950008</v>
      </c>
      <c r="F44" s="64"/>
    </row>
    <row r="45" spans="1:8">
      <c r="A45" s="86" t="s">
        <v>83</v>
      </c>
      <c r="B45" s="59">
        <v>9</v>
      </c>
      <c r="C45" s="91">
        <f t="shared" si="0"/>
        <v>9.1000000000000014</v>
      </c>
      <c r="D45" s="64">
        <f t="shared" si="2"/>
        <v>9.0496770000000009</v>
      </c>
      <c r="E45" s="64">
        <f t="shared" si="2"/>
        <v>8.9996322861900016</v>
      </c>
      <c r="F45" s="64"/>
    </row>
    <row r="46" spans="1:8">
      <c r="A46" s="92" t="s">
        <v>213</v>
      </c>
      <c r="B46" s="9"/>
      <c r="C46" s="130">
        <v>65</v>
      </c>
      <c r="D46" s="131">
        <f>SUM(D38:D45)</f>
        <v>65.636272000000005</v>
      </c>
      <c r="E46" s="131">
        <f>SUM(E38:E45)</f>
        <v>66.287070517460009</v>
      </c>
      <c r="F46" s="131">
        <f>E46-E38</f>
        <v>58.942572498745008</v>
      </c>
    </row>
    <row r="50" spans="2:6">
      <c r="B50" s="1"/>
      <c r="C50" s="1"/>
      <c r="D50" s="1"/>
      <c r="E50" s="1"/>
      <c r="F50" s="1"/>
    </row>
    <row r="51" spans="2:6">
      <c r="B51" s="1"/>
      <c r="C51" s="1"/>
      <c r="D51" s="1"/>
      <c r="E51" s="1"/>
      <c r="F51" s="1"/>
    </row>
    <row r="52" spans="2:6">
      <c r="B52" s="1"/>
      <c r="C52" s="1"/>
      <c r="D52" s="1"/>
      <c r="E52" s="1"/>
      <c r="F52" s="1"/>
    </row>
    <row r="53" spans="2:6">
      <c r="B53" s="1"/>
      <c r="C53" s="1"/>
      <c r="D53" s="1"/>
      <c r="E53" s="1"/>
      <c r="F53" s="1"/>
    </row>
    <row r="54" spans="2:6">
      <c r="B54" s="1"/>
      <c r="C54" s="1"/>
      <c r="D54" s="1"/>
      <c r="E54" s="1"/>
      <c r="F54" s="1"/>
    </row>
  </sheetData>
  <sheetProtection selectLockedCells="1" selectUnlockedCells="1"/>
  <mergeCells count="1">
    <mergeCell ref="B17:B19"/>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drawing r:id="rId1"/>
  <legacyDrawing r:id="rId2"/>
  <oleObjects>
    <mc:AlternateContent xmlns:mc="http://schemas.openxmlformats.org/markup-compatibility/2006">
      <mc:Choice Requires="x14">
        <oleObject progId="opendocument.MathDocument.1" shapeId="2049" r:id="rId3">
          <objectPr defaultSize="0" r:id="rId4">
            <anchor moveWithCells="1" sizeWithCells="1">
              <from>
                <xdr:col>5</xdr:col>
                <xdr:colOff>609600</xdr:colOff>
                <xdr:row>9</xdr:row>
                <xdr:rowOff>152400</xdr:rowOff>
              </from>
              <to>
                <xdr:col>5</xdr:col>
                <xdr:colOff>676275</xdr:colOff>
                <xdr:row>11</xdr:row>
                <xdr:rowOff>9525</xdr:rowOff>
              </to>
            </anchor>
          </objectPr>
        </oleObject>
      </mc:Choice>
      <mc:Fallback>
        <oleObject progId="opendocument.MathDocument.1" shapeId="2049" r:id="rId3"/>
      </mc:Fallback>
    </mc:AlternateContent>
    <mc:AlternateContent xmlns:mc="http://schemas.openxmlformats.org/markup-compatibility/2006">
      <mc:Choice Requires="x14">
        <oleObject progId="opendocument.MathDocument.1" shapeId="2050" r:id="rId5">
          <objectPr defaultSize="0" r:id="rId4">
            <anchor moveWithCells="1" sizeWithCells="1">
              <from>
                <xdr:col>6</xdr:col>
                <xdr:colOff>742950</xdr:colOff>
                <xdr:row>32</xdr:row>
                <xdr:rowOff>0</xdr:rowOff>
              </from>
              <to>
                <xdr:col>7</xdr:col>
                <xdr:colOff>66675</xdr:colOff>
                <xdr:row>33</xdr:row>
                <xdr:rowOff>38100</xdr:rowOff>
              </to>
            </anchor>
          </objectPr>
        </oleObject>
      </mc:Choice>
      <mc:Fallback>
        <oleObject progId="opendocument.MathDocument.1" shapeId="2050" r:id="rId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90FC-87D5-4AE4-AEF9-1F7CC06F8999}">
  <sheetPr codeName="Sheet57">
    <tabColor rgb="FF00B050"/>
  </sheetPr>
  <dimension ref="A1:BH164"/>
  <sheetViews>
    <sheetView tabSelected="1" topLeftCell="A57" zoomScaleNormal="100" workbookViewId="0">
      <selection activeCell="U99" sqref="U99"/>
    </sheetView>
  </sheetViews>
  <sheetFormatPr defaultColWidth="8.85546875" defaultRowHeight="12.75"/>
  <cols>
    <col min="1" max="1" width="52.7109375" style="705" customWidth="1"/>
    <col min="2" max="2" width="18.28515625" style="705" customWidth="1"/>
    <col min="3" max="3" width="14.28515625" style="705" customWidth="1"/>
    <col min="4" max="11" width="8.42578125" style="705" customWidth="1"/>
    <col min="12" max="17" width="6.28515625" style="705" customWidth="1"/>
    <col min="18" max="37" width="10" style="705" customWidth="1"/>
    <col min="38" max="38" width="11.7109375" style="705" customWidth="1"/>
    <col min="39" max="42" width="10" style="705" customWidth="1"/>
    <col min="43" max="43" width="15.85546875" style="705" customWidth="1"/>
    <col min="44" max="44" width="17" style="705" customWidth="1"/>
    <col min="45" max="45" width="46.85546875" style="705" customWidth="1"/>
    <col min="46" max="46" width="14.140625" style="705" customWidth="1"/>
    <col min="47" max="54" width="8.85546875" style="705"/>
    <col min="55" max="55" width="45.5703125" style="705" customWidth="1"/>
    <col min="56" max="16384" width="8.85546875" style="705"/>
  </cols>
  <sheetData>
    <row r="1" spans="1:42">
      <c r="A1" s="706" t="s">
        <v>441</v>
      </c>
      <c r="B1" s="792" t="s">
        <v>638</v>
      </c>
      <c r="C1" s="792"/>
      <c r="D1" s="792"/>
      <c r="E1" s="707" t="s">
        <v>639</v>
      </c>
      <c r="F1" s="707"/>
      <c r="G1" s="707"/>
      <c r="H1" s="706"/>
      <c r="I1" s="707"/>
      <c r="J1" s="706"/>
      <c r="K1" s="708"/>
    </row>
    <row r="2" spans="1:42">
      <c r="A2" s="552" t="s">
        <v>792</v>
      </c>
      <c r="B2" s="553" t="s">
        <v>791</v>
      </c>
      <c r="C2" s="709"/>
      <c r="D2" s="709"/>
      <c r="E2" s="709"/>
      <c r="F2" s="709"/>
      <c r="G2" s="710"/>
      <c r="H2" s="709"/>
      <c r="I2" s="709"/>
      <c r="J2" s="709"/>
      <c r="K2" s="710"/>
      <c r="L2" s="711"/>
      <c r="M2" s="711"/>
      <c r="N2" s="711"/>
      <c r="AB2" s="711"/>
      <c r="AC2" s="711"/>
      <c r="AD2" s="711"/>
      <c r="AE2" s="711"/>
      <c r="AF2" s="711"/>
      <c r="AG2" s="711"/>
      <c r="AH2" s="711"/>
      <c r="AI2" s="711"/>
      <c r="AJ2" s="711"/>
      <c r="AK2" s="711"/>
      <c r="AL2" s="711"/>
      <c r="AM2" s="711"/>
      <c r="AN2" s="712"/>
      <c r="AO2" s="711"/>
      <c r="AP2" s="711"/>
    </row>
    <row r="3" spans="1:42">
      <c r="A3" s="712"/>
      <c r="B3" s="712"/>
      <c r="C3" s="713" t="s">
        <v>640</v>
      </c>
      <c r="D3" s="713"/>
      <c r="E3" s="713"/>
      <c r="F3" s="713"/>
      <c r="G3" s="713"/>
      <c r="H3" s="713"/>
      <c r="I3" s="713"/>
      <c r="J3" s="713"/>
      <c r="K3" s="712"/>
      <c r="L3" s="705" t="s">
        <v>641</v>
      </c>
      <c r="AB3" s="711"/>
      <c r="AC3" s="711"/>
      <c r="AD3" s="711"/>
      <c r="AE3" s="711"/>
      <c r="AF3" s="711"/>
      <c r="AG3" s="711"/>
      <c r="AH3" s="711"/>
      <c r="AI3" s="711"/>
      <c r="AJ3" s="711"/>
      <c r="AK3" s="711"/>
      <c r="AL3" s="711"/>
      <c r="AM3" s="711"/>
      <c r="AN3" s="711"/>
      <c r="AO3" s="711"/>
      <c r="AP3" s="712"/>
    </row>
    <row r="4" spans="1:42">
      <c r="A4" s="707" t="s">
        <v>642</v>
      </c>
      <c r="B4" s="712">
        <f>COUNT(C4:M4)</f>
        <v>8</v>
      </c>
      <c r="C4" s="712">
        <v>1</v>
      </c>
      <c r="D4" s="712">
        <f>C4+1</f>
        <v>2</v>
      </c>
      <c r="E4" s="712">
        <f t="shared" ref="E4:J4" si="0">D4+1</f>
        <v>3</v>
      </c>
      <c r="F4" s="712">
        <f t="shared" si="0"/>
        <v>4</v>
      </c>
      <c r="G4" s="712">
        <f t="shared" si="0"/>
        <v>5</v>
      </c>
      <c r="H4" s="712">
        <f t="shared" si="0"/>
        <v>6</v>
      </c>
      <c r="I4" s="712">
        <f t="shared" si="0"/>
        <v>7</v>
      </c>
      <c r="J4" s="712">
        <f t="shared" si="0"/>
        <v>8</v>
      </c>
      <c r="K4" s="711"/>
    </row>
    <row r="5" spans="1:42">
      <c r="A5" s="713" t="s">
        <v>643</v>
      </c>
      <c r="B5" s="712" t="s">
        <v>901</v>
      </c>
      <c r="C5" s="705" t="s">
        <v>141</v>
      </c>
      <c r="D5" s="712" t="s">
        <v>798</v>
      </c>
      <c r="E5" s="712" t="s">
        <v>137</v>
      </c>
      <c r="F5" s="712" t="s">
        <v>465</v>
      </c>
      <c r="G5" s="712" t="s">
        <v>800</v>
      </c>
      <c r="H5" s="712" t="s">
        <v>802</v>
      </c>
      <c r="I5" s="712" t="s">
        <v>806</v>
      </c>
      <c r="J5" s="712" t="s">
        <v>804</v>
      </c>
      <c r="K5" s="711" t="s">
        <v>644</v>
      </c>
      <c r="N5" s="711"/>
      <c r="AB5" s="711"/>
      <c r="AC5" s="711"/>
      <c r="AD5" s="711"/>
      <c r="AE5" s="711"/>
      <c r="AF5" s="711"/>
      <c r="AG5" s="711"/>
      <c r="AH5" s="711"/>
      <c r="AI5" s="711"/>
      <c r="AJ5" s="711"/>
      <c r="AK5" s="711"/>
      <c r="AL5" s="711"/>
      <c r="AM5" s="711"/>
      <c r="AN5" s="711"/>
      <c r="AO5" s="712"/>
      <c r="AP5" s="711"/>
    </row>
    <row r="6" spans="1:42">
      <c r="A6" s="707" t="s">
        <v>645</v>
      </c>
      <c r="B6" s="712" t="s">
        <v>646</v>
      </c>
      <c r="C6" s="711" t="str">
        <f t="shared" ref="C6:J6" si="1">$B$6&amp;VLOOKUP(C5,FuelNames,2,FALSE)</f>
        <v>COMCOA</v>
      </c>
      <c r="D6" s="711" t="str">
        <f t="shared" si="1"/>
        <v>COMODS</v>
      </c>
      <c r="E6" s="711" t="str">
        <f t="shared" si="1"/>
        <v>COMELC</v>
      </c>
      <c r="F6" s="711" t="str">
        <f t="shared" si="1"/>
        <v>COMGAS</v>
      </c>
      <c r="G6" s="711" t="str">
        <f t="shared" si="1"/>
        <v>COMOGS</v>
      </c>
      <c r="H6" s="711" t="str">
        <f t="shared" si="1"/>
        <v>COMOHF</v>
      </c>
      <c r="I6" s="711" t="str">
        <f t="shared" si="1"/>
        <v>COMOKE</v>
      </c>
      <c r="J6" s="711" t="str">
        <f t="shared" si="1"/>
        <v>COMOLP</v>
      </c>
    </row>
    <row r="7" spans="1:42">
      <c r="A7" s="707"/>
      <c r="B7" s="714" t="s">
        <v>647</v>
      </c>
      <c r="C7" s="644">
        <v>0.8</v>
      </c>
      <c r="D7" s="644">
        <v>1.05</v>
      </c>
      <c r="E7" s="644">
        <f>38267*0.0036</f>
        <v>137.7612</v>
      </c>
      <c r="F7" s="316">
        <v>1.232</v>
      </c>
      <c r="G7" s="316">
        <v>0</v>
      </c>
      <c r="H7" s="644">
        <v>2.75</v>
      </c>
      <c r="I7" s="644">
        <v>5.28</v>
      </c>
      <c r="J7" s="644">
        <v>2.15</v>
      </c>
      <c r="K7" s="316">
        <f>SUM(C7:J7)</f>
        <v>151.0232</v>
      </c>
      <c r="L7" s="715"/>
      <c r="N7" s="705" t="s">
        <v>1440</v>
      </c>
    </row>
    <row r="8" spans="1:42">
      <c r="A8" s="707" t="s">
        <v>648</v>
      </c>
      <c r="B8" s="714" t="s">
        <v>649</v>
      </c>
      <c r="C8" s="416">
        <f>C7/$K$7</f>
        <v>5.2971993706927151E-3</v>
      </c>
      <c r="D8" s="416">
        <f>D7/$K$7</f>
        <v>6.9525741740341885E-3</v>
      </c>
      <c r="E8" s="416">
        <f>E7/$K$7</f>
        <v>0.91218567743234147</v>
      </c>
      <c r="F8" s="416">
        <f t="shared" ref="F8:J8" si="2">F7/$K$7</f>
        <v>8.1576870308667799E-3</v>
      </c>
      <c r="G8" s="416">
        <f t="shared" si="2"/>
        <v>0</v>
      </c>
      <c r="H8" s="416">
        <f t="shared" si="2"/>
        <v>1.8209122836756207E-2</v>
      </c>
      <c r="I8" s="416">
        <f t="shared" si="2"/>
        <v>3.4961515846571915E-2</v>
      </c>
      <c r="J8" s="416">
        <f t="shared" si="2"/>
        <v>1.4236223308736671E-2</v>
      </c>
      <c r="K8" s="316"/>
      <c r="L8" s="715"/>
    </row>
    <row r="9" spans="1:42">
      <c r="A9" s="705" t="s">
        <v>650</v>
      </c>
      <c r="B9" s="706" t="s">
        <v>651</v>
      </c>
      <c r="C9" s="712">
        <v>94.1</v>
      </c>
      <c r="D9" s="712">
        <v>74.099999999999994</v>
      </c>
      <c r="E9" s="712">
        <v>0</v>
      </c>
      <c r="F9" s="712">
        <v>64.2</v>
      </c>
      <c r="G9" s="712">
        <v>69.3</v>
      </c>
      <c r="H9" s="712">
        <v>77.400000000000006</v>
      </c>
      <c r="I9" s="712">
        <v>71.900000000000006</v>
      </c>
      <c r="J9" s="712">
        <v>63.1</v>
      </c>
      <c r="K9" s="711"/>
      <c r="L9" s="712">
        <v>1</v>
      </c>
    </row>
    <row r="10" spans="1:42">
      <c r="A10" s="705" t="s">
        <v>652</v>
      </c>
      <c r="B10" s="706" t="s">
        <v>653</v>
      </c>
      <c r="C10" s="712">
        <v>1E-3</v>
      </c>
      <c r="D10" s="712">
        <v>3.0000000000000001E-3</v>
      </c>
      <c r="E10" s="712">
        <v>0</v>
      </c>
      <c r="F10" s="712">
        <v>3.0000000000000001E-3</v>
      </c>
      <c r="G10" s="712">
        <v>3.0000000000000001E-3</v>
      </c>
      <c r="H10" s="712">
        <v>3.0000000000000001E-3</v>
      </c>
      <c r="I10" s="712">
        <v>3.0000000000000001E-3</v>
      </c>
      <c r="J10" s="712">
        <v>1E-3</v>
      </c>
      <c r="K10" s="711"/>
      <c r="L10" s="712">
        <f>L9+1</f>
        <v>2</v>
      </c>
    </row>
    <row r="11" spans="1:42">
      <c r="A11" s="705" t="s">
        <v>654</v>
      </c>
      <c r="B11" s="706" t="s">
        <v>655</v>
      </c>
      <c r="C11" s="712">
        <f>15/1000</f>
        <v>1.4999999999999999E-2</v>
      </c>
      <c r="D11" s="712">
        <v>5.9999999999999995E-4</v>
      </c>
      <c r="E11" s="712">
        <v>0</v>
      </c>
      <c r="F11" s="712">
        <v>5.9999999999999995E-4</v>
      </c>
      <c r="G11" s="712">
        <v>5.9999999999999995E-4</v>
      </c>
      <c r="H11" s="712">
        <v>5.9999999999999995E-4</v>
      </c>
      <c r="I11" s="712">
        <v>5.9999999999999995E-4</v>
      </c>
      <c r="J11" s="712">
        <v>1E-4</v>
      </c>
      <c r="K11" s="711"/>
      <c r="L11" s="712">
        <f>L10+1</f>
        <v>3</v>
      </c>
    </row>
    <row r="12" spans="1:42">
      <c r="A12" s="705" t="s">
        <v>656</v>
      </c>
      <c r="B12" s="706" t="s">
        <v>657</v>
      </c>
      <c r="C12" s="712">
        <v>0.45440000000000003</v>
      </c>
      <c r="D12" s="712">
        <v>0.25290000000000001</v>
      </c>
      <c r="E12" s="712">
        <v>0</v>
      </c>
      <c r="F12" s="712">
        <v>0</v>
      </c>
      <c r="G12" s="712">
        <v>4.6699999999999998E-2</v>
      </c>
      <c r="H12" s="712">
        <v>1.5290999999999999</v>
      </c>
      <c r="I12" s="712"/>
      <c r="J12" s="712"/>
      <c r="K12" s="711"/>
      <c r="L12" s="712">
        <f>L11+1</f>
        <v>4</v>
      </c>
    </row>
    <row r="13" spans="1:42">
      <c r="A13" s="705" t="s">
        <v>658</v>
      </c>
      <c r="B13" s="706" t="s">
        <v>659</v>
      </c>
      <c r="C13" s="712">
        <v>0.1</v>
      </c>
      <c r="D13" s="712">
        <v>0.1</v>
      </c>
      <c r="E13" s="712">
        <v>0</v>
      </c>
      <c r="F13" s="712">
        <v>0.05</v>
      </c>
      <c r="G13" s="712">
        <v>0.1</v>
      </c>
      <c r="H13" s="712">
        <v>0.1</v>
      </c>
      <c r="I13" s="712"/>
      <c r="J13" s="712"/>
      <c r="K13" s="711"/>
      <c r="L13" s="712">
        <f>L12+1</f>
        <v>5</v>
      </c>
    </row>
    <row r="14" spans="1:42">
      <c r="A14" s="707"/>
      <c r="B14" s="712"/>
      <c r="C14" s="712"/>
      <c r="D14" s="712"/>
      <c r="E14" s="712"/>
      <c r="F14" s="712"/>
      <c r="G14" s="712"/>
      <c r="H14" s="712"/>
      <c r="I14" s="712"/>
      <c r="J14" s="712"/>
      <c r="K14" s="711"/>
    </row>
    <row r="15" spans="1:42">
      <c r="A15" s="707" t="s">
        <v>660</v>
      </c>
      <c r="B15" s="712"/>
      <c r="C15" s="686">
        <v>0</v>
      </c>
      <c r="D15" s="686">
        <v>0</v>
      </c>
      <c r="E15" s="556">
        <v>0.1</v>
      </c>
      <c r="F15" s="686">
        <v>0</v>
      </c>
      <c r="G15" s="686">
        <v>0</v>
      </c>
      <c r="H15" s="686">
        <v>0</v>
      </c>
      <c r="I15" s="686">
        <v>0</v>
      </c>
      <c r="J15" s="686">
        <v>0</v>
      </c>
      <c r="K15" s="711"/>
    </row>
    <row r="16" spans="1:42">
      <c r="A16" s="707" t="s">
        <v>661</v>
      </c>
      <c r="B16" s="712" t="s">
        <v>662</v>
      </c>
      <c r="C16" s="687">
        <f t="shared" ref="C16:J16" ca="1" si="3">SUMPRODUCT(--($C$61:$C$121=C6),$M$61:$M$121)^2/(SUMPRODUCT(--($C$61:$C$121=C6),$M$61:$M$121,$F$61:$F$121)+eps)</f>
        <v>1.195819854467032</v>
      </c>
      <c r="D16" s="687">
        <f t="shared" ca="1" si="3"/>
        <v>1.6218720799406847</v>
      </c>
      <c r="E16" s="687">
        <f t="shared" ca="1" si="3"/>
        <v>198.6867543142576</v>
      </c>
      <c r="F16" s="687">
        <f t="shared" ca="1" si="3"/>
        <v>1.5932341445826441</v>
      </c>
      <c r="G16" s="687">
        <f t="shared" ca="1" si="3"/>
        <v>0</v>
      </c>
      <c r="H16" s="687">
        <f t="shared" ca="1" si="3"/>
        <v>4.2477602479975278</v>
      </c>
      <c r="I16" s="687">
        <f t="shared" ca="1" si="3"/>
        <v>5.9239313236625524</v>
      </c>
      <c r="J16" s="687">
        <f t="shared" ca="1" si="3"/>
        <v>2.469423623674976</v>
      </c>
      <c r="K16" s="711"/>
    </row>
    <row r="17" spans="1:13">
      <c r="A17" s="707"/>
      <c r="B17" s="712"/>
      <c r="C17" s="712"/>
      <c r="D17" s="712"/>
      <c r="E17" s="712"/>
      <c r="F17" s="712"/>
      <c r="G17" s="712"/>
      <c r="H17" s="712"/>
      <c r="I17" s="712"/>
      <c r="J17" s="712"/>
      <c r="K17" s="711"/>
    </row>
    <row r="18" spans="1:13">
      <c r="A18" s="716" t="s">
        <v>663</v>
      </c>
      <c r="B18" s="717" t="s">
        <v>664</v>
      </c>
      <c r="C18" s="715"/>
      <c r="D18" s="715"/>
      <c r="E18" s="715"/>
      <c r="F18" s="715"/>
      <c r="G18" s="715"/>
      <c r="H18" s="715"/>
      <c r="I18" s="715"/>
      <c r="J18" s="715"/>
      <c r="K18" s="711"/>
    </row>
    <row r="19" spans="1:13">
      <c r="A19" s="718" t="s">
        <v>40</v>
      </c>
      <c r="B19" s="712" t="s">
        <v>219</v>
      </c>
      <c r="C19" s="715"/>
      <c r="D19" s="718"/>
      <c r="E19" s="715"/>
      <c r="F19" s="715"/>
      <c r="G19" s="715"/>
      <c r="H19" s="715"/>
      <c r="I19" s="715"/>
      <c r="J19" s="715"/>
      <c r="K19" s="711"/>
    </row>
    <row r="20" spans="1:13">
      <c r="A20" s="705" t="s">
        <v>531</v>
      </c>
      <c r="B20" s="712" t="s">
        <v>665</v>
      </c>
      <c r="C20" s="715"/>
      <c r="D20" s="718"/>
      <c r="E20" s="715"/>
      <c r="F20" s="715"/>
      <c r="G20" s="715"/>
      <c r="H20" s="715"/>
      <c r="I20" s="715"/>
      <c r="J20" s="715"/>
      <c r="K20" s="711"/>
    </row>
    <row r="21" spans="1:13">
      <c r="A21" s="705" t="s">
        <v>149</v>
      </c>
      <c r="B21" s="712" t="s">
        <v>666</v>
      </c>
      <c r="C21" s="715"/>
      <c r="D21" s="718"/>
      <c r="F21" s="715"/>
      <c r="G21" s="715"/>
      <c r="H21" s="715"/>
      <c r="I21" s="715"/>
      <c r="J21" s="715"/>
      <c r="K21" s="711"/>
    </row>
    <row r="22" spans="1:13">
      <c r="A22" s="705" t="s">
        <v>148</v>
      </c>
      <c r="B22" s="712" t="s">
        <v>667</v>
      </c>
      <c r="C22" s="715"/>
      <c r="D22" s="718"/>
      <c r="E22" s="715"/>
      <c r="F22" s="715"/>
      <c r="G22" s="715"/>
      <c r="H22" s="715"/>
      <c r="I22" s="715"/>
      <c r="J22" s="715"/>
      <c r="K22" s="711"/>
    </row>
    <row r="23" spans="1:13">
      <c r="A23" s="705" t="s">
        <v>150</v>
      </c>
      <c r="B23" s="712" t="s">
        <v>668</v>
      </c>
      <c r="C23" s="715"/>
      <c r="D23" s="718"/>
      <c r="E23" s="715"/>
      <c r="F23" s="715"/>
      <c r="G23" s="715"/>
      <c r="H23" s="715"/>
      <c r="I23" s="715"/>
      <c r="J23" s="715"/>
      <c r="K23" s="711"/>
    </row>
    <row r="24" spans="1:13">
      <c r="A24" s="705" t="s">
        <v>551</v>
      </c>
      <c r="B24" s="712" t="s">
        <v>669</v>
      </c>
      <c r="C24" s="715"/>
      <c r="D24" s="715"/>
      <c r="E24" s="715"/>
      <c r="F24" s="715"/>
      <c r="G24" s="715"/>
      <c r="H24" s="715"/>
      <c r="I24" s="715"/>
      <c r="J24" s="715"/>
      <c r="K24" s="711"/>
    </row>
    <row r="25" spans="1:13">
      <c r="A25" s="719" t="s">
        <v>819</v>
      </c>
      <c r="B25" s="720" t="s">
        <v>822</v>
      </c>
      <c r="C25" s="715"/>
      <c r="D25" s="718"/>
      <c r="E25" s="715"/>
      <c r="F25" s="715"/>
      <c r="G25" s="715"/>
      <c r="H25" s="715"/>
      <c r="I25" s="715"/>
      <c r="J25" s="715"/>
      <c r="K25" s="711"/>
    </row>
    <row r="26" spans="1:13">
      <c r="A26" s="719" t="s">
        <v>820</v>
      </c>
      <c r="B26" s="720" t="s">
        <v>821</v>
      </c>
      <c r="C26" s="715"/>
      <c r="D26" s="718"/>
      <c r="E26" s="715"/>
      <c r="F26" s="715"/>
      <c r="G26" s="715"/>
      <c r="H26" s="715"/>
      <c r="I26" s="715"/>
      <c r="J26" s="715"/>
      <c r="K26" s="711"/>
    </row>
    <row r="27" spans="1:13">
      <c r="A27" s="705" t="s">
        <v>83</v>
      </c>
      <c r="B27" s="712" t="s">
        <v>670</v>
      </c>
      <c r="C27" s="720"/>
      <c r="D27" s="720"/>
      <c r="E27" s="720"/>
      <c r="F27" s="720"/>
      <c r="G27" s="720"/>
      <c r="H27" s="720"/>
      <c r="I27" s="720"/>
      <c r="J27" s="720"/>
      <c r="K27" s="711"/>
    </row>
    <row r="28" spans="1:13">
      <c r="C28" s="720"/>
      <c r="D28" s="720"/>
      <c r="E28" s="720"/>
      <c r="F28" s="720"/>
      <c r="G28" s="720"/>
      <c r="H28" s="720"/>
      <c r="I28" s="720"/>
      <c r="J28" s="720"/>
      <c r="K28" s="711"/>
    </row>
    <row r="29" spans="1:13">
      <c r="C29" s="713" t="s">
        <v>671</v>
      </c>
      <c r="D29" s="713"/>
      <c r="E29" s="713"/>
      <c r="F29" s="713"/>
      <c r="G29" s="713"/>
      <c r="H29" s="713"/>
      <c r="I29" s="713"/>
      <c r="J29" s="713"/>
      <c r="K29" s="711"/>
    </row>
    <row r="30" spans="1:13">
      <c r="A30" s="716" t="s">
        <v>672</v>
      </c>
      <c r="B30" s="716" t="s">
        <v>673</v>
      </c>
      <c r="C30" s="721" t="str">
        <f>C5</f>
        <v>Coal</v>
      </c>
      <c r="D30" s="721" t="str">
        <f t="shared" ref="D30:J30" si="4">D5</f>
        <v>Oil Diesel</v>
      </c>
      <c r="E30" s="721" t="str">
        <f t="shared" si="4"/>
        <v>Electricity</v>
      </c>
      <c r="F30" s="721" t="str">
        <f t="shared" si="4"/>
        <v>Gas</v>
      </c>
      <c r="G30" s="721" t="str">
        <f t="shared" si="4"/>
        <v>Oil Gasoline</v>
      </c>
      <c r="H30" s="721" t="str">
        <f t="shared" si="4"/>
        <v>Oil HFO</v>
      </c>
      <c r="I30" s="721" t="str">
        <f t="shared" si="4"/>
        <v>Oil Paraffin</v>
      </c>
      <c r="J30" s="721" t="str">
        <f t="shared" si="4"/>
        <v>Oil LPG</v>
      </c>
      <c r="K30" s="711"/>
    </row>
    <row r="31" spans="1:13">
      <c r="A31" s="722" t="str">
        <f t="shared" ref="A31:A39" si="5">$A$5&amp;" - "&amp;A19</f>
        <v>Commercial - Cooling</v>
      </c>
      <c r="B31" s="723"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711"/>
      <c r="L31" s="705" t="s">
        <v>470</v>
      </c>
      <c r="M31" s="705" t="s">
        <v>491</v>
      </c>
    </row>
    <row r="32" spans="1:13">
      <c r="A32" s="722" t="str">
        <f t="shared" si="5"/>
        <v>Commercial - Space Heating</v>
      </c>
      <c r="B32" s="723"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711"/>
      <c r="L32" s="705" t="s">
        <v>146</v>
      </c>
      <c r="M32" s="705" t="s">
        <v>494</v>
      </c>
    </row>
    <row r="33" spans="1:46">
      <c r="A33" s="722" t="str">
        <f t="shared" si="5"/>
        <v>Commercial - Cooking</v>
      </c>
      <c r="B33" s="723"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711"/>
      <c r="L33" s="705" t="s">
        <v>472</v>
      </c>
      <c r="M33" s="705" t="s">
        <v>489</v>
      </c>
    </row>
    <row r="34" spans="1:46">
      <c r="A34" s="722" t="str">
        <f t="shared" si="5"/>
        <v>Commercial - Lighting</v>
      </c>
      <c r="B34" s="723"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705" t="s">
        <v>42</v>
      </c>
      <c r="M34" s="705" t="s">
        <v>465</v>
      </c>
    </row>
    <row r="35" spans="1:46">
      <c r="A35" s="722" t="str">
        <f t="shared" si="5"/>
        <v>Commercial - Refrigeration</v>
      </c>
      <c r="B35" s="723"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705" t="s">
        <v>471</v>
      </c>
      <c r="M35" s="705" t="s">
        <v>458</v>
      </c>
    </row>
    <row r="36" spans="1:46">
      <c r="A36" s="722" t="str">
        <f t="shared" si="5"/>
        <v>Commercial - Water Heating</v>
      </c>
      <c r="B36" s="723"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705" t="s">
        <v>469</v>
      </c>
      <c r="M36" s="705" t="s">
        <v>492</v>
      </c>
    </row>
    <row r="37" spans="1:46">
      <c r="A37" s="722" t="str">
        <f t="shared" si="5"/>
        <v>Commercial - Public Lights</v>
      </c>
      <c r="B37" s="723"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705" t="s">
        <v>819</v>
      </c>
      <c r="M37" s="705" t="s">
        <v>490</v>
      </c>
    </row>
    <row r="38" spans="1:46">
      <c r="A38" s="722" t="str">
        <f t="shared" si="5"/>
        <v>Commercial - Public Water</v>
      </c>
      <c r="B38" s="723"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705" t="s">
        <v>818</v>
      </c>
      <c r="M38" s="705" t="s">
        <v>138</v>
      </c>
    </row>
    <row r="39" spans="1:46">
      <c r="A39" s="722" t="str">
        <f t="shared" si="5"/>
        <v>Commercial - Other</v>
      </c>
      <c r="B39" s="723"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705" t="s">
        <v>43</v>
      </c>
    </row>
    <row r="40" spans="1:46" ht="15">
      <c r="A40" s="722" t="s">
        <v>644</v>
      </c>
      <c r="B40" s="723"/>
      <c r="C40" s="688">
        <f t="shared" ref="C40:J40" si="7">SUM(C31:C39)</f>
        <v>1</v>
      </c>
      <c r="D40" s="688">
        <f t="shared" si="7"/>
        <v>1</v>
      </c>
      <c r="E40" s="688">
        <f t="shared" si="7"/>
        <v>0.99999999999999989</v>
      </c>
      <c r="F40" s="688">
        <f t="shared" si="7"/>
        <v>1</v>
      </c>
      <c r="G40" s="688">
        <f t="shared" si="7"/>
        <v>0</v>
      </c>
      <c r="H40" s="688">
        <f t="shared" si="7"/>
        <v>1</v>
      </c>
      <c r="I40" s="688">
        <f t="shared" si="7"/>
        <v>1</v>
      </c>
      <c r="J40" s="688">
        <f t="shared" si="7"/>
        <v>1</v>
      </c>
      <c r="AQ40" s="773"/>
      <c r="AR40" s="773" t="s">
        <v>675</v>
      </c>
      <c r="AS40" s="773"/>
      <c r="AT40" s="773"/>
    </row>
    <row r="41" spans="1:46" ht="15">
      <c r="C41" s="720"/>
      <c r="D41" s="720"/>
      <c r="E41" s="720"/>
      <c r="F41" s="720"/>
      <c r="G41" s="720"/>
      <c r="H41" s="720"/>
      <c r="I41" s="720"/>
      <c r="J41" s="720"/>
      <c r="AQ41" s="761" t="s">
        <v>1574</v>
      </c>
      <c r="AR41" s="761" t="s">
        <v>1507</v>
      </c>
      <c r="AS41" s="761" t="s">
        <v>1575</v>
      </c>
      <c r="AT41" s="761">
        <v>2017</v>
      </c>
    </row>
    <row r="42" spans="1:46">
      <c r="A42" s="716" t="s">
        <v>674</v>
      </c>
      <c r="B42" s="716" t="s">
        <v>673</v>
      </c>
      <c r="C42" s="721" t="str">
        <f>C30</f>
        <v>Coal</v>
      </c>
      <c r="D42" s="721" t="str">
        <f t="shared" ref="D42:J42" si="8">D30</f>
        <v>Oil Diesel</v>
      </c>
      <c r="E42" s="721" t="str">
        <f t="shared" si="8"/>
        <v>Electricity</v>
      </c>
      <c r="F42" s="721" t="str">
        <f t="shared" si="8"/>
        <v>Gas</v>
      </c>
      <c r="G42" s="721" t="str">
        <f t="shared" si="8"/>
        <v>Oil Gasoline</v>
      </c>
      <c r="H42" s="721" t="str">
        <f t="shared" si="8"/>
        <v>Oil HFO</v>
      </c>
      <c r="I42" s="721" t="str">
        <f t="shared" si="8"/>
        <v>Oil Paraffin</v>
      </c>
      <c r="J42" s="721" t="str">
        <f t="shared" si="8"/>
        <v>Oil LPG</v>
      </c>
      <c r="K42" s="721" t="s">
        <v>644</v>
      </c>
      <c r="AQ42" s="760" t="s">
        <v>709</v>
      </c>
      <c r="AR42" s="759" t="s">
        <v>1576</v>
      </c>
      <c r="AS42" s="759" t="s">
        <v>1577</v>
      </c>
      <c r="AT42" s="759" t="s">
        <v>1549</v>
      </c>
    </row>
    <row r="43" spans="1:46">
      <c r="A43" s="722" t="str">
        <f t="shared" ref="A43:B51" si="9">A31</f>
        <v>Commercial - Cooling</v>
      </c>
      <c r="B43" s="723" t="str">
        <f t="shared" si="9"/>
        <v>CEC</v>
      </c>
      <c r="C43" s="687">
        <f t="shared" ref="C43:J51" si="10">C31*C$7</f>
        <v>0</v>
      </c>
      <c r="D43" s="687">
        <f t="shared" si="10"/>
        <v>0</v>
      </c>
      <c r="E43" s="687">
        <f t="shared" si="10"/>
        <v>45.375519199794304</v>
      </c>
      <c r="F43" s="687">
        <f t="shared" si="10"/>
        <v>0</v>
      </c>
      <c r="G43" s="687">
        <f t="shared" si="10"/>
        <v>0</v>
      </c>
      <c r="H43" s="687">
        <f t="shared" si="10"/>
        <v>0</v>
      </c>
      <c r="I43" s="687">
        <f t="shared" si="10"/>
        <v>0</v>
      </c>
      <c r="J43" s="687">
        <f t="shared" si="10"/>
        <v>0</v>
      </c>
      <c r="K43" s="689">
        <f t="shared" ref="K43:K50" si="11">SUM(C43:J43)</f>
        <v>45.375519199794304</v>
      </c>
      <c r="L43" s="724">
        <f>M67</f>
        <v>45.375519199794311</v>
      </c>
      <c r="M43" s="725">
        <f>L43-K43</f>
        <v>0</v>
      </c>
      <c r="N43" s="726"/>
      <c r="AQ43" s="772" t="s">
        <v>1537</v>
      </c>
      <c r="AR43" s="412"/>
      <c r="AS43" s="412"/>
      <c r="AT43" s="412" t="s">
        <v>647</v>
      </c>
    </row>
    <row r="44" spans="1:46">
      <c r="A44" s="722" t="str">
        <f t="shared" si="9"/>
        <v>Commercial - Space Heating</v>
      </c>
      <c r="B44" s="723" t="str">
        <f t="shared" si="9"/>
        <v>CEH</v>
      </c>
      <c r="C44" s="687">
        <f t="shared" si="10"/>
        <v>0.43453701076992196</v>
      </c>
      <c r="D44" s="687">
        <f>D32*D$7</f>
        <v>0</v>
      </c>
      <c r="E44" s="687">
        <f t="shared" si="10"/>
        <v>2.7103061542120312</v>
      </c>
      <c r="F44" s="687">
        <f t="shared" si="10"/>
        <v>0.3555332496863236</v>
      </c>
      <c r="G44" s="687">
        <f t="shared" si="10"/>
        <v>0</v>
      </c>
      <c r="H44" s="687">
        <f t="shared" si="10"/>
        <v>0</v>
      </c>
      <c r="I44" s="687">
        <f t="shared" si="10"/>
        <v>0</v>
      </c>
      <c r="J44" s="687">
        <f t="shared" si="10"/>
        <v>0</v>
      </c>
      <c r="K44" s="689">
        <f t="shared" si="11"/>
        <v>3.5003764146682768</v>
      </c>
      <c r="L44" s="724">
        <f>M74</f>
        <v>3.5003764146682768</v>
      </c>
      <c r="M44" s="725">
        <f t="shared" ref="M44:M51" si="12">L44-K44</f>
        <v>0</v>
      </c>
      <c r="AQ44" s="772" t="s">
        <v>664</v>
      </c>
      <c r="AR44" s="412" t="str">
        <f>D61</f>
        <v>CEC</v>
      </c>
      <c r="AS44" s="412" t="s">
        <v>647</v>
      </c>
      <c r="AT44" s="774">
        <f>N67</f>
        <v>128.4127193354179</v>
      </c>
    </row>
    <row r="45" spans="1:46">
      <c r="A45" s="722" t="str">
        <f t="shared" si="9"/>
        <v>Commercial - Cooking</v>
      </c>
      <c r="B45" s="723" t="str">
        <f t="shared" si="9"/>
        <v>CEK</v>
      </c>
      <c r="C45" s="687">
        <f t="shared" si="10"/>
        <v>5.7095141917112141E-4</v>
      </c>
      <c r="D45" s="687">
        <f>D33*D$7</f>
        <v>0</v>
      </c>
      <c r="E45" s="687">
        <f t="shared" si="10"/>
        <v>8.7526440056734511</v>
      </c>
      <c r="F45" s="687">
        <f t="shared" si="10"/>
        <v>0</v>
      </c>
      <c r="G45" s="687">
        <f t="shared" si="10"/>
        <v>0</v>
      </c>
      <c r="H45" s="687">
        <f t="shared" si="10"/>
        <v>0</v>
      </c>
      <c r="I45" s="687">
        <f t="shared" si="10"/>
        <v>0</v>
      </c>
      <c r="J45" s="687">
        <f t="shared" si="10"/>
        <v>0.21722461939319382</v>
      </c>
      <c r="K45" s="689">
        <f t="shared" si="11"/>
        <v>8.9704395764858162</v>
      </c>
      <c r="L45" s="724">
        <f>M79</f>
        <v>8.9704395764858162</v>
      </c>
      <c r="M45" s="725">
        <f t="shared" si="12"/>
        <v>0</v>
      </c>
      <c r="AQ45" s="772" t="s">
        <v>664</v>
      </c>
      <c r="AR45" s="412" t="str">
        <f>D69</f>
        <v>CEH</v>
      </c>
      <c r="AS45" s="412" t="s">
        <v>647</v>
      </c>
      <c r="AT45" s="774">
        <f>N74</f>
        <v>3.2163463029575476</v>
      </c>
    </row>
    <row r="46" spans="1:46">
      <c r="A46" s="722" t="str">
        <f t="shared" si="9"/>
        <v>Commercial - Lighting</v>
      </c>
      <c r="B46" s="723" t="str">
        <f t="shared" si="9"/>
        <v>CEL</v>
      </c>
      <c r="C46" s="687">
        <f t="shared" si="10"/>
        <v>0</v>
      </c>
      <c r="D46" s="687">
        <f>D34*D$7</f>
        <v>0</v>
      </c>
      <c r="E46" s="687">
        <f t="shared" si="10"/>
        <v>24.560157495154996</v>
      </c>
      <c r="F46" s="687">
        <f t="shared" si="10"/>
        <v>0</v>
      </c>
      <c r="G46" s="687">
        <f t="shared" si="10"/>
        <v>0</v>
      </c>
      <c r="H46" s="687">
        <f t="shared" si="10"/>
        <v>0</v>
      </c>
      <c r="I46" s="687">
        <f t="shared" si="10"/>
        <v>0</v>
      </c>
      <c r="J46" s="687">
        <f t="shared" si="10"/>
        <v>0</v>
      </c>
      <c r="K46" s="689">
        <f t="shared" si="11"/>
        <v>24.560157495154996</v>
      </c>
      <c r="L46" s="724">
        <f>M87</f>
        <v>24.560157495154996</v>
      </c>
      <c r="M46" s="725">
        <f t="shared" si="12"/>
        <v>0</v>
      </c>
      <c r="AQ46" s="772" t="s">
        <v>664</v>
      </c>
      <c r="AR46" s="412" t="str">
        <f>D76</f>
        <v>CEK</v>
      </c>
      <c r="AS46" s="412" t="s">
        <v>647</v>
      </c>
      <c r="AT46" s="774">
        <f>N79</f>
        <v>8.9485743766917043</v>
      </c>
    </row>
    <row r="47" spans="1:46">
      <c r="A47" s="722" t="str">
        <f t="shared" si="9"/>
        <v>Commercial - Refrigeration</v>
      </c>
      <c r="B47" s="723" t="str">
        <f t="shared" si="9"/>
        <v>CER</v>
      </c>
      <c r="C47" s="687">
        <f t="shared" si="10"/>
        <v>0</v>
      </c>
      <c r="D47" s="687">
        <f>D35*D$7</f>
        <v>0</v>
      </c>
      <c r="E47" s="687">
        <f t="shared" si="10"/>
        <v>27.184456041138358</v>
      </c>
      <c r="F47" s="687">
        <f t="shared" si="10"/>
        <v>0</v>
      </c>
      <c r="G47" s="687">
        <f t="shared" si="10"/>
        <v>0</v>
      </c>
      <c r="H47" s="687">
        <f t="shared" si="10"/>
        <v>0</v>
      </c>
      <c r="I47" s="687">
        <f t="shared" si="10"/>
        <v>0</v>
      </c>
      <c r="J47" s="687">
        <f t="shared" si="10"/>
        <v>0</v>
      </c>
      <c r="K47" s="689">
        <f t="shared" si="11"/>
        <v>27.184456041138358</v>
      </c>
      <c r="L47" s="724">
        <f>M91</f>
        <v>27.184456041138358</v>
      </c>
      <c r="M47" s="725">
        <f t="shared" si="12"/>
        <v>0</v>
      </c>
      <c r="AQ47" s="772" t="s">
        <v>664</v>
      </c>
      <c r="AR47" s="412" t="str">
        <f>D81</f>
        <v>CEL</v>
      </c>
      <c r="AS47" s="772" t="s">
        <v>647</v>
      </c>
      <c r="AT47" s="775">
        <f>N87</f>
        <v>111.74871660295524</v>
      </c>
    </row>
    <row r="48" spans="1:46">
      <c r="A48" s="722" t="str">
        <f t="shared" si="9"/>
        <v>Commercial - Water Heating</v>
      </c>
      <c r="B48" s="723" t="str">
        <f t="shared" si="9"/>
        <v>CEW</v>
      </c>
      <c r="C48" s="687">
        <f t="shared" si="10"/>
        <v>0.36489203781090707</v>
      </c>
      <c r="D48" s="687">
        <f>D36*D$7</f>
        <v>0</v>
      </c>
      <c r="E48" s="687">
        <f t="shared" si="10"/>
        <v>1.1882423368329196</v>
      </c>
      <c r="F48" s="687">
        <f t="shared" si="10"/>
        <v>0.87646675031367627</v>
      </c>
      <c r="G48" s="687">
        <f t="shared" si="10"/>
        <v>0</v>
      </c>
      <c r="H48" s="687">
        <f t="shared" si="10"/>
        <v>0</v>
      </c>
      <c r="I48" s="687">
        <f t="shared" si="10"/>
        <v>5.28</v>
      </c>
      <c r="J48" s="687">
        <f t="shared" si="10"/>
        <v>1.932775380606806</v>
      </c>
      <c r="K48" s="689">
        <f t="shared" si="11"/>
        <v>9.6423765055643091</v>
      </c>
      <c r="L48" s="724">
        <f>M100</f>
        <v>9.6423765055643091</v>
      </c>
      <c r="M48" s="725">
        <f t="shared" si="12"/>
        <v>0</v>
      </c>
      <c r="AQ48" s="772" t="s">
        <v>664</v>
      </c>
      <c r="AR48" s="412" t="str">
        <f>D89</f>
        <v>CER</v>
      </c>
      <c r="AS48" s="772" t="s">
        <v>647</v>
      </c>
      <c r="AT48" s="775">
        <f>N91</f>
        <v>27.184456041138358</v>
      </c>
    </row>
    <row r="49" spans="1:60">
      <c r="A49" s="722" t="str">
        <f t="shared" si="9"/>
        <v>Commercial - Public Lights</v>
      </c>
      <c r="B49" s="723" t="str">
        <f t="shared" si="9"/>
        <v>CEG</v>
      </c>
      <c r="C49" s="687">
        <f t="shared" si="10"/>
        <v>0</v>
      </c>
      <c r="D49" s="687">
        <f t="shared" si="10"/>
        <v>0</v>
      </c>
      <c r="E49" s="687">
        <f t="shared" si="10"/>
        <v>2.7719919728870046</v>
      </c>
      <c r="F49" s="687">
        <f t="shared" si="10"/>
        <v>0</v>
      </c>
      <c r="G49" s="687">
        <f t="shared" si="10"/>
        <v>0</v>
      </c>
      <c r="H49" s="687">
        <f t="shared" si="10"/>
        <v>0</v>
      </c>
      <c r="I49" s="687">
        <f t="shared" si="10"/>
        <v>0</v>
      </c>
      <c r="J49" s="687">
        <f t="shared" si="10"/>
        <v>0</v>
      </c>
      <c r="K49" s="689">
        <f t="shared" si="11"/>
        <v>2.7719919728870046</v>
      </c>
      <c r="L49" s="724">
        <f>M108</f>
        <v>2.7719919728870046</v>
      </c>
      <c r="M49" s="725">
        <f t="shared" si="12"/>
        <v>0</v>
      </c>
      <c r="AQ49" s="772" t="s">
        <v>664</v>
      </c>
      <c r="AR49" s="705" t="str">
        <f>D93</f>
        <v>CEW</v>
      </c>
      <c r="AS49" s="772" t="s">
        <v>647</v>
      </c>
      <c r="AT49" s="724">
        <f>N100</f>
        <v>7.0222268760485278</v>
      </c>
    </row>
    <row r="50" spans="1:60">
      <c r="A50" s="722" t="str">
        <f t="shared" si="9"/>
        <v>Commercial - Public Water</v>
      </c>
      <c r="B50" s="723" t="str">
        <f t="shared" si="9"/>
        <v>CET</v>
      </c>
      <c r="C50" s="687"/>
      <c r="D50" s="687"/>
      <c r="E50" s="687">
        <f t="shared" si="10"/>
        <v>3.2726019758762139</v>
      </c>
      <c r="F50" s="687"/>
      <c r="G50" s="687"/>
      <c r="H50" s="687"/>
      <c r="I50" s="687"/>
      <c r="J50" s="687"/>
      <c r="K50" s="689">
        <f t="shared" si="11"/>
        <v>3.2726019758762139</v>
      </c>
      <c r="L50" s="724">
        <f>M110</f>
        <v>3.2726019758762139</v>
      </c>
      <c r="M50" s="725">
        <f t="shared" si="12"/>
        <v>0</v>
      </c>
      <c r="AQ50" s="772" t="s">
        <v>664</v>
      </c>
      <c r="AR50" s="705" t="str">
        <f>D102</f>
        <v>CEG</v>
      </c>
      <c r="AS50" s="772" t="s">
        <v>647</v>
      </c>
      <c r="AT50" s="724">
        <f>N108</f>
        <v>9.4707173671475093</v>
      </c>
    </row>
    <row r="51" spans="1:60">
      <c r="A51" s="722" t="str">
        <f t="shared" si="9"/>
        <v>Commercial - Other</v>
      </c>
      <c r="B51" s="723" t="str">
        <f t="shared" si="9"/>
        <v>CEO</v>
      </c>
      <c r="C51" s="687">
        <f>C39*C$7</f>
        <v>0</v>
      </c>
      <c r="D51" s="687">
        <f>D39*D$7</f>
        <v>1.05</v>
      </c>
      <c r="E51" s="687">
        <f t="shared" si="10"/>
        <v>21.9452808184307</v>
      </c>
      <c r="F51" s="687">
        <f>F39*F$7</f>
        <v>0</v>
      </c>
      <c r="G51" s="687">
        <f>G39*G$7</f>
        <v>0</v>
      </c>
      <c r="H51" s="687">
        <f>H39*H$7</f>
        <v>2.75</v>
      </c>
      <c r="I51" s="687">
        <f>I39*I$7</f>
        <v>0</v>
      </c>
      <c r="J51" s="687">
        <f>J39*J$7</f>
        <v>0</v>
      </c>
      <c r="K51" s="689">
        <f>SUM(C51:J51)</f>
        <v>25.7452808184307</v>
      </c>
      <c r="L51" s="724">
        <f>M120</f>
        <v>25.7452808184307</v>
      </c>
      <c r="M51" s="725">
        <f t="shared" si="12"/>
        <v>0</v>
      </c>
      <c r="Q51" s="705">
        <v>2015</v>
      </c>
      <c r="R51" s="705">
        <v>2017</v>
      </c>
      <c r="S51" s="705">
        <v>2020</v>
      </c>
      <c r="T51" s="705">
        <v>2025</v>
      </c>
      <c r="U51" s="705">
        <v>2030</v>
      </c>
      <c r="V51" s="705">
        <v>2035</v>
      </c>
      <c r="W51" s="705">
        <v>2040</v>
      </c>
      <c r="X51" s="705">
        <v>2045</v>
      </c>
      <c r="Y51" s="705">
        <v>2050</v>
      </c>
      <c r="AB51" s="705">
        <v>2015</v>
      </c>
      <c r="AC51" s="705">
        <v>2017</v>
      </c>
      <c r="AD51" s="705">
        <v>2020</v>
      </c>
      <c r="AE51" s="705">
        <v>2025</v>
      </c>
      <c r="AF51" s="705">
        <v>2030</v>
      </c>
      <c r="AG51" s="705">
        <v>2035</v>
      </c>
      <c r="AH51" s="705">
        <v>2040</v>
      </c>
      <c r="AI51" s="705">
        <v>2045</v>
      </c>
      <c r="AJ51" s="705">
        <v>2050</v>
      </c>
      <c r="AQ51" s="772" t="s">
        <v>664</v>
      </c>
      <c r="AR51" s="705" t="str">
        <f>D110</f>
        <v>CET</v>
      </c>
      <c r="AS51" s="772" t="s">
        <v>647</v>
      </c>
      <c r="AT51" s="724">
        <f>N110</f>
        <v>3.2726019758762139</v>
      </c>
    </row>
    <row r="52" spans="1:60">
      <c r="A52" s="727" t="str">
        <f>A40</f>
        <v>Total</v>
      </c>
      <c r="B52" s="722"/>
      <c r="C52" s="689">
        <f t="shared" ref="C52:K52" si="13">SUM(C43:C51)</f>
        <v>0.80000000000000016</v>
      </c>
      <c r="D52" s="689">
        <f t="shared" si="13"/>
        <v>1.05</v>
      </c>
      <c r="E52" s="689">
        <f t="shared" si="13"/>
        <v>137.76119999999997</v>
      </c>
      <c r="F52" s="689">
        <f t="shared" si="13"/>
        <v>1.2319999999999998</v>
      </c>
      <c r="G52" s="689">
        <f t="shared" si="13"/>
        <v>0</v>
      </c>
      <c r="H52" s="689">
        <f t="shared" si="13"/>
        <v>2.75</v>
      </c>
      <c r="I52" s="689">
        <f t="shared" si="13"/>
        <v>5.28</v>
      </c>
      <c r="J52" s="689">
        <f t="shared" si="13"/>
        <v>2.15</v>
      </c>
      <c r="K52" s="689">
        <f t="shared" si="13"/>
        <v>151.02319999999997</v>
      </c>
      <c r="O52" s="561" t="s">
        <v>793</v>
      </c>
      <c r="P52" s="561"/>
      <c r="Q52" s="562">
        <v>0.05</v>
      </c>
      <c r="R52" s="562"/>
      <c r="S52" s="562">
        <f>0.03</f>
        <v>0.03</v>
      </c>
      <c r="T52" s="562">
        <v>0.1</v>
      </c>
      <c r="U52" s="562">
        <v>0.3</v>
      </c>
      <c r="V52" s="562">
        <v>0.55000000000000004</v>
      </c>
      <c r="W52" s="562">
        <v>0.85</v>
      </c>
      <c r="X52" s="562">
        <v>0.95</v>
      </c>
      <c r="Y52" s="562">
        <v>1</v>
      </c>
      <c r="Z52" s="561" t="s">
        <v>794</v>
      </c>
      <c r="AA52" s="561"/>
      <c r="AB52" s="562"/>
      <c r="AC52" s="562"/>
      <c r="AD52" s="562">
        <v>0.97</v>
      </c>
      <c r="AE52" s="562">
        <v>0.75</v>
      </c>
      <c r="AF52" s="562">
        <v>0</v>
      </c>
      <c r="AG52" s="562">
        <v>0</v>
      </c>
      <c r="AH52" s="562">
        <v>0</v>
      </c>
      <c r="AI52" s="562">
        <v>0</v>
      </c>
      <c r="AJ52" s="562">
        <v>0</v>
      </c>
      <c r="AQ52" s="772" t="s">
        <v>664</v>
      </c>
      <c r="AR52" s="705" t="str">
        <f>D113</f>
        <v>CEO</v>
      </c>
      <c r="AS52" s="772" t="s">
        <v>647</v>
      </c>
      <c r="AT52" s="724">
        <f>N120</f>
        <v>20.153960613823024</v>
      </c>
    </row>
    <row r="53" spans="1:60">
      <c r="A53" s="728"/>
      <c r="B53" s="729"/>
      <c r="C53" s="730"/>
      <c r="D53" s="730"/>
      <c r="E53" s="730"/>
      <c r="F53" s="730"/>
      <c r="G53" s="730"/>
      <c r="H53" s="730"/>
      <c r="I53" s="730"/>
      <c r="J53" s="730"/>
      <c r="K53" s="730"/>
      <c r="T53" s="733">
        <v>0.5</v>
      </c>
      <c r="U53" s="733">
        <v>0.75</v>
      </c>
      <c r="V53" s="733">
        <v>1</v>
      </c>
      <c r="W53" s="733">
        <v>1</v>
      </c>
      <c r="X53" s="733">
        <v>1</v>
      </c>
      <c r="Y53" s="733">
        <v>1</v>
      </c>
      <c r="AM53" s="705">
        <v>5</v>
      </c>
    </row>
    <row r="54" spans="1:60">
      <c r="C54" s="715"/>
      <c r="D54" s="715"/>
      <c r="E54" s="715"/>
      <c r="F54" s="715"/>
      <c r="G54" s="715"/>
      <c r="H54" s="715"/>
      <c r="AM54" s="705">
        <f>12/5</f>
        <v>2.4</v>
      </c>
    </row>
    <row r="55" spans="1:60">
      <c r="C55" s="715"/>
      <c r="D55" s="705" t="s">
        <v>675</v>
      </c>
      <c r="G55" s="731" t="s">
        <v>787</v>
      </c>
      <c r="H55" s="690">
        <v>0</v>
      </c>
      <c r="J55" s="715"/>
      <c r="P55" s="733">
        <v>0.01</v>
      </c>
      <c r="Q55" s="691">
        <v>0.02</v>
      </c>
      <c r="AA55" s="733">
        <v>0.01</v>
      </c>
      <c r="AB55" s="691">
        <v>-1.4999999999999999E-2</v>
      </c>
      <c r="AM55" s="705">
        <f>AM53*AM54</f>
        <v>12</v>
      </c>
      <c r="AP55"/>
      <c r="AQ55" s="749" t="s">
        <v>1490</v>
      </c>
      <c r="AR55"/>
      <c r="AS55"/>
      <c r="AT55"/>
      <c r="AU55"/>
      <c r="AV55"/>
      <c r="AW55"/>
      <c r="AZ55" s="749" t="s">
        <v>1505</v>
      </c>
      <c r="BA55" s="749"/>
      <c r="BB55" s="314"/>
      <c r="BC55" s="314"/>
      <c r="BD55" s="314"/>
      <c r="BE55" s="314"/>
      <c r="BF55" s="314"/>
      <c r="BG55" s="314"/>
      <c r="BH55" s="314"/>
    </row>
    <row r="56" spans="1:60" ht="38.25">
      <c r="A56" s="732" t="s">
        <v>676</v>
      </c>
      <c r="B56" s="732" t="s">
        <v>677</v>
      </c>
      <c r="C56" s="732" t="s">
        <v>678</v>
      </c>
      <c r="D56" s="732" t="s">
        <v>679</v>
      </c>
      <c r="E56" s="732" t="s">
        <v>731</v>
      </c>
      <c r="F56" s="732" t="s">
        <v>1551</v>
      </c>
      <c r="G56" s="732" t="s">
        <v>741</v>
      </c>
      <c r="H56" s="732" t="s">
        <v>743</v>
      </c>
      <c r="I56" s="732" t="s">
        <v>769</v>
      </c>
      <c r="J56" s="732" t="s">
        <v>770</v>
      </c>
      <c r="K56" s="732" t="s">
        <v>1674</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P56"/>
      <c r="AQ56" s="750" t="s">
        <v>1491</v>
      </c>
      <c r="AR56" s="750" t="s">
        <v>677</v>
      </c>
      <c r="AS56" s="750" t="s">
        <v>676</v>
      </c>
      <c r="AT56" s="750" t="s">
        <v>1493</v>
      </c>
      <c r="AU56" s="750" t="s">
        <v>1494</v>
      </c>
      <c r="AV56" s="750" t="s">
        <v>1495</v>
      </c>
      <c r="AW56" s="750" t="s">
        <v>1496</v>
      </c>
      <c r="AZ56" s="754" t="s">
        <v>1506</v>
      </c>
      <c r="BA56" s="750" t="s">
        <v>1492</v>
      </c>
      <c r="BB56" s="754" t="s">
        <v>1507</v>
      </c>
      <c r="BC56" s="754" t="s">
        <v>1508</v>
      </c>
      <c r="BD56" s="755" t="s">
        <v>1509</v>
      </c>
      <c r="BE56" s="755" t="s">
        <v>1488</v>
      </c>
      <c r="BF56" s="755" t="s">
        <v>1510</v>
      </c>
      <c r="BG56" s="755" t="s">
        <v>1511</v>
      </c>
      <c r="BH56" s="755" t="s">
        <v>1512</v>
      </c>
    </row>
    <row r="57" spans="1:60" ht="90" thickBot="1">
      <c r="A57" s="734" t="s">
        <v>1550</v>
      </c>
      <c r="B57" s="735" t="s">
        <v>685</v>
      </c>
      <c r="C57" s="735" t="s">
        <v>686</v>
      </c>
      <c r="D57" s="735" t="s">
        <v>687</v>
      </c>
      <c r="E57" s="735" t="s">
        <v>529</v>
      </c>
      <c r="F57" s="735" t="s">
        <v>688</v>
      </c>
      <c r="G57" s="735" t="s">
        <v>689</v>
      </c>
      <c r="H57" s="735" t="s">
        <v>690</v>
      </c>
      <c r="I57" s="735" t="s">
        <v>771</v>
      </c>
      <c r="J57" s="735" t="s">
        <v>772</v>
      </c>
      <c r="L57" s="735" t="s">
        <v>691</v>
      </c>
      <c r="M57" s="735" t="s">
        <v>692</v>
      </c>
      <c r="N57" s="735" t="s">
        <v>693</v>
      </c>
      <c r="O57" s="735" t="s">
        <v>694</v>
      </c>
      <c r="P57" s="735" t="s">
        <v>788</v>
      </c>
      <c r="Q57" s="735" t="s">
        <v>789</v>
      </c>
      <c r="R57" s="735" t="s">
        <v>789</v>
      </c>
      <c r="S57" s="735" t="s">
        <v>789</v>
      </c>
      <c r="T57" s="735" t="s">
        <v>789</v>
      </c>
      <c r="U57" s="735" t="s">
        <v>789</v>
      </c>
      <c r="V57" s="735" t="s">
        <v>789</v>
      </c>
      <c r="W57" s="735" t="s">
        <v>789</v>
      </c>
      <c r="X57" s="735" t="s">
        <v>789</v>
      </c>
      <c r="Y57" s="735" t="s">
        <v>789</v>
      </c>
      <c r="AA57" s="735" t="s">
        <v>788</v>
      </c>
      <c r="AB57" s="735" t="s">
        <v>790</v>
      </c>
      <c r="AC57" s="735" t="s">
        <v>790</v>
      </c>
      <c r="AD57" s="735" t="s">
        <v>790</v>
      </c>
      <c r="AE57" s="735" t="s">
        <v>790</v>
      </c>
      <c r="AF57" s="735" t="s">
        <v>790</v>
      </c>
      <c r="AG57" s="735" t="s">
        <v>790</v>
      </c>
      <c r="AH57" s="735" t="s">
        <v>790</v>
      </c>
      <c r="AI57" s="735" t="s">
        <v>790</v>
      </c>
      <c r="AJ57" s="735" t="s">
        <v>790</v>
      </c>
      <c r="AK57" s="735" t="s">
        <v>695</v>
      </c>
      <c r="AL57" s="745"/>
      <c r="AM57" s="736" t="s">
        <v>1479</v>
      </c>
      <c r="AP57"/>
      <c r="AQ57" s="756" t="s">
        <v>1497</v>
      </c>
      <c r="AR57" s="751" t="s">
        <v>685</v>
      </c>
      <c r="AS57" s="751" t="s">
        <v>1489</v>
      </c>
      <c r="AT57" s="751" t="s">
        <v>1499</v>
      </c>
      <c r="AU57" s="751" t="s">
        <v>1500</v>
      </c>
      <c r="AV57" s="751" t="s">
        <v>1501</v>
      </c>
      <c r="AW57" s="753" t="s">
        <v>1502</v>
      </c>
      <c r="AZ57" s="756" t="s">
        <v>1513</v>
      </c>
      <c r="BA57" s="752" t="s">
        <v>1498</v>
      </c>
      <c r="BB57" s="756" t="s">
        <v>1514</v>
      </c>
      <c r="BC57" s="756" t="s">
        <v>1515</v>
      </c>
      <c r="BD57" s="756" t="s">
        <v>1509</v>
      </c>
      <c r="BE57" s="756" t="s">
        <v>1516</v>
      </c>
      <c r="BF57" s="756" t="s">
        <v>1517</v>
      </c>
      <c r="BG57" s="756" t="s">
        <v>1518</v>
      </c>
      <c r="BH57" s="756" t="s">
        <v>1519</v>
      </c>
    </row>
    <row r="58" spans="1:60" ht="25.5">
      <c r="A58" s="737" t="s">
        <v>1537</v>
      </c>
      <c r="B58" s="738"/>
      <c r="C58" s="738"/>
      <c r="D58" s="738"/>
      <c r="E58" s="739" t="s">
        <v>697</v>
      </c>
      <c r="F58" s="739" t="s">
        <v>698</v>
      </c>
      <c r="G58" s="712" t="s">
        <v>699</v>
      </c>
      <c r="H58" s="711" t="s">
        <v>700</v>
      </c>
      <c r="I58" s="705" t="s">
        <v>1665</v>
      </c>
      <c r="J58" s="705" t="s">
        <v>1666</v>
      </c>
      <c r="L58" s="712" t="s">
        <v>701</v>
      </c>
      <c r="M58" s="712" t="s">
        <v>702</v>
      </c>
      <c r="N58" s="712" t="s">
        <v>702</v>
      </c>
      <c r="P58" s="705" t="s">
        <v>979</v>
      </c>
      <c r="Q58" s="705" t="str">
        <f t="shared" ref="Q58:Y58" si="14">"U"&amp;Q$51</f>
        <v>U2015</v>
      </c>
      <c r="R58" s="705" t="str">
        <f t="shared" si="14"/>
        <v>U2017</v>
      </c>
      <c r="S58" s="705" t="str">
        <f t="shared" si="14"/>
        <v>U2020</v>
      </c>
      <c r="T58" s="705" t="str">
        <f t="shared" si="14"/>
        <v>U2025</v>
      </c>
      <c r="U58" s="705" t="str">
        <f t="shared" si="14"/>
        <v>U2030</v>
      </c>
      <c r="V58" s="705" t="str">
        <f t="shared" si="14"/>
        <v>U2035</v>
      </c>
      <c r="W58" s="705" t="str">
        <f t="shared" si="14"/>
        <v>U2040</v>
      </c>
      <c r="X58" s="705" t="str">
        <f t="shared" si="14"/>
        <v>U2045</v>
      </c>
      <c r="Y58" s="705" t="str">
        <f t="shared" si="14"/>
        <v>U2050</v>
      </c>
      <c r="AA58" s="705" t="s">
        <v>980</v>
      </c>
      <c r="AB58" s="705" t="str">
        <f t="shared" ref="AB58:AJ58" si="15">"L"&amp;AB$51</f>
        <v>L2015</v>
      </c>
      <c r="AC58" s="705" t="str">
        <f t="shared" si="15"/>
        <v>L2017</v>
      </c>
      <c r="AD58" s="705" t="str">
        <f t="shared" si="15"/>
        <v>L2020</v>
      </c>
      <c r="AE58" s="705" t="str">
        <f t="shared" si="15"/>
        <v>L2025</v>
      </c>
      <c r="AF58" s="705" t="str">
        <f t="shared" si="15"/>
        <v>L2030</v>
      </c>
      <c r="AG58" s="705" t="str">
        <f t="shared" si="15"/>
        <v>L2035</v>
      </c>
      <c r="AH58" s="705" t="str">
        <f t="shared" si="15"/>
        <v>L2040</v>
      </c>
      <c r="AI58" s="705" t="str">
        <f t="shared" si="15"/>
        <v>L2045</v>
      </c>
      <c r="AJ58" s="705" t="str">
        <f t="shared" si="15"/>
        <v>L2050</v>
      </c>
      <c r="AQ58" s="766" t="s">
        <v>709</v>
      </c>
      <c r="AW58"/>
      <c r="AZ58" s="705" t="s">
        <v>709</v>
      </c>
    </row>
    <row r="59" spans="1:60">
      <c r="A59" s="740" t="s">
        <v>709</v>
      </c>
      <c r="B59" s="722"/>
      <c r="C59" s="741">
        <v>1</v>
      </c>
      <c r="D59" s="741">
        <f t="shared" ref="D59:J59" si="16">C59+1</f>
        <v>2</v>
      </c>
      <c r="E59" s="741">
        <f t="shared" si="16"/>
        <v>3</v>
      </c>
      <c r="F59" s="741">
        <f t="shared" si="16"/>
        <v>4</v>
      </c>
      <c r="G59" s="741">
        <f t="shared" si="16"/>
        <v>5</v>
      </c>
      <c r="H59" s="741">
        <f t="shared" si="16"/>
        <v>6</v>
      </c>
      <c r="I59" s="741">
        <f t="shared" si="16"/>
        <v>7</v>
      </c>
      <c r="J59" s="741">
        <f t="shared" si="16"/>
        <v>8</v>
      </c>
      <c r="L59" s="692"/>
      <c r="M59" s="720"/>
      <c r="N59" s="720"/>
      <c r="AP59"/>
      <c r="AQ59" s="765" t="s">
        <v>709</v>
      </c>
      <c r="AW59" s="314"/>
      <c r="AZ59" s="705" t="s">
        <v>709</v>
      </c>
    </row>
    <row r="60" spans="1:60">
      <c r="A60" s="722" t="s">
        <v>1540</v>
      </c>
      <c r="B60" s="738"/>
      <c r="AP60"/>
      <c r="AQ60" s="766" t="s">
        <v>709</v>
      </c>
      <c r="AR60"/>
      <c r="AU60"/>
      <c r="AV60" s="314"/>
      <c r="AW60" s="314"/>
      <c r="AZ60" s="705" t="s">
        <v>709</v>
      </c>
      <c r="BF60" s="314"/>
    </row>
    <row r="61" spans="1:60">
      <c r="A61" s="722" t="str">
        <f>A43&amp;" - Electricity - Chiller - Existing"</f>
        <v>Commercial - Cooling - Electricity - Chiller - Existing</v>
      </c>
      <c r="B61" s="722" t="str">
        <f>D61&amp;RIGHT(C61,3)&amp;"CHIL-E"</f>
        <v>CECELCCHIL-E</v>
      </c>
      <c r="C61" s="723" t="str">
        <f t="shared" ref="C61:C66" si="17">$E$6</f>
        <v>COMELC</v>
      </c>
      <c r="D61" s="723" t="str">
        <f t="shared" ref="D61:D66" si="18">$B$43</f>
        <v>CEC</v>
      </c>
      <c r="E61" s="347">
        <f>Appliances!J56</f>
        <v>2.2000000000000002</v>
      </c>
      <c r="F61" s="566">
        <f ca="1">SUMIF(AFA!$B$3:$S$3,D61,AFA!$B$4:$J$4)</f>
        <v>0.79849999999999999</v>
      </c>
      <c r="G61" s="348">
        <v>15</v>
      </c>
      <c r="H61" s="349">
        <f ca="1">(N61/F61)*(1+$H$55)</f>
        <v>6.2508542416748591</v>
      </c>
      <c r="I61" s="349">
        <f>SUMIF('Technology costs'!$B$7:$B$28,COM_2017!B61,'Technology costs'!$L$7:$L$28)</f>
        <v>54.310780405383028</v>
      </c>
      <c r="J61" s="349">
        <f>I61*0.1</f>
        <v>5.4310780405383028</v>
      </c>
      <c r="L61" s="350">
        <f>Appliances!F56</f>
        <v>0.05</v>
      </c>
      <c r="M61" s="349">
        <f>L61*SUMIF($C$6:$J$6,C61,$C$43:$J$43)</f>
        <v>2.2687759599897155</v>
      </c>
      <c r="N61" s="349">
        <f>M61*E61</f>
        <v>4.9913071119773749</v>
      </c>
      <c r="P61" s="693"/>
      <c r="Q61" s="694"/>
      <c r="R61" s="694">
        <f t="shared" ref="R61:R66" si="19">N61/SUMIF($D$61:$D$121,$D61,$N$61:$N$121)*(1+$P$55)</f>
        <v>3.9257950530035342E-2</v>
      </c>
      <c r="S61" s="694">
        <f t="shared" ref="S61:Y66" si="20">MIN(1,$R61+S$52)</f>
        <v>6.9257950530035334E-2</v>
      </c>
      <c r="T61" s="694">
        <f t="shared" si="20"/>
        <v>0.13925795053003534</v>
      </c>
      <c r="U61" s="694">
        <f t="shared" si="20"/>
        <v>0.33925795053003532</v>
      </c>
      <c r="V61" s="694">
        <f t="shared" si="20"/>
        <v>0.58925795053003538</v>
      </c>
      <c r="W61" s="694">
        <f t="shared" si="20"/>
        <v>0.88925795053003531</v>
      </c>
      <c r="X61" s="694">
        <f t="shared" si="20"/>
        <v>0.98925795053003529</v>
      </c>
      <c r="Y61" s="694">
        <f t="shared" si="20"/>
        <v>1</v>
      </c>
      <c r="AA61" s="695"/>
      <c r="AB61" s="694"/>
      <c r="AC61" s="694">
        <f t="shared" ref="AC61:AC66" si="21">R61/(1+$P$55+$AA$55)</f>
        <v>3.8488186794152293E-2</v>
      </c>
      <c r="AD61" s="786">
        <v>0</v>
      </c>
      <c r="AE61" s="786">
        <v>0</v>
      </c>
      <c r="AF61" s="694">
        <f t="shared" ref="AF61:AJ66" si="22">$AC61*AF$52</f>
        <v>0</v>
      </c>
      <c r="AG61" s="694">
        <f t="shared" si="22"/>
        <v>0</v>
      </c>
      <c r="AH61" s="694">
        <f t="shared" si="22"/>
        <v>0</v>
      </c>
      <c r="AI61" s="694">
        <f t="shared" si="22"/>
        <v>0</v>
      </c>
      <c r="AJ61" s="694">
        <f t="shared" si="22"/>
        <v>0</v>
      </c>
      <c r="AK61" s="705">
        <v>1</v>
      </c>
      <c r="AP61"/>
      <c r="AQ61" s="765" t="s">
        <v>1504</v>
      </c>
      <c r="AR61" t="s">
        <v>1361</v>
      </c>
      <c r="AS61" s="722" t="s">
        <v>1362</v>
      </c>
      <c r="AT61" s="705" t="s">
        <v>647</v>
      </c>
      <c r="AU61" s="705" t="s">
        <v>662</v>
      </c>
      <c r="AV61" s="314" t="s">
        <v>734</v>
      </c>
      <c r="AW61" s="314"/>
      <c r="AZ61" s="705" t="s">
        <v>1520</v>
      </c>
      <c r="BB61" s="705" t="str">
        <f>D61</f>
        <v>CEC</v>
      </c>
      <c r="BC61" s="705" t="str">
        <f>AS61</f>
        <v>Commercial - Cooling - Electricity - Chiller - Existing</v>
      </c>
      <c r="BD61" s="705" t="s">
        <v>647</v>
      </c>
      <c r="BF61" s="314" t="s">
        <v>1503</v>
      </c>
    </row>
    <row r="62" spans="1:60">
      <c r="A62" s="722" t="str">
        <f>A43&amp;" - Electricity - Central - Existing"</f>
        <v>Commercial - Cooling - Electricity - Central - Existing</v>
      </c>
      <c r="B62" s="722" t="str">
        <f>D62&amp;RIGHT(C62,3)&amp;"CEN-E"</f>
        <v>CECELCCEN-E</v>
      </c>
      <c r="C62" s="723" t="str">
        <f t="shared" si="17"/>
        <v>COMELC</v>
      </c>
      <c r="D62" s="723" t="str">
        <f t="shared" si="18"/>
        <v>CEC</v>
      </c>
      <c r="E62" s="347">
        <f>Appliances!J57</f>
        <v>3.1</v>
      </c>
      <c r="F62" s="566">
        <f ca="1">SUMIF(AFA!$B$3:$S$3,D62,AFA!$B$4:$J$4)</f>
        <v>0.79849999999999999</v>
      </c>
      <c r="G62" s="348">
        <v>15</v>
      </c>
      <c r="H62" s="349">
        <f ca="1">(N62/F62)*(1+$H$55)</f>
        <v>105.6962626319567</v>
      </c>
      <c r="I62" s="349">
        <f>SUMIF('Technology costs'!$B$7:$B$28,COM_2017!B62,'Technology costs'!$L$7:$L$28)</f>
        <v>91.48641577227815</v>
      </c>
      <c r="J62" s="349">
        <f>I62*0.1</f>
        <v>9.1486415772278153</v>
      </c>
      <c r="L62" s="350">
        <f>Appliances!F57</f>
        <v>0.60000000000000009</v>
      </c>
      <c r="M62" s="349">
        <f>L62*SUMIF($C$6:$J$6,C62,$C$43:$J$43)</f>
        <v>27.225311519876588</v>
      </c>
      <c r="N62" s="349">
        <f>M62*E62</f>
        <v>84.398465711617419</v>
      </c>
      <c r="P62" s="696"/>
      <c r="Q62" s="694"/>
      <c r="R62" s="694">
        <f t="shared" si="19"/>
        <v>0.66381625441696113</v>
      </c>
      <c r="S62" s="694">
        <f t="shared" si="20"/>
        <v>0.69381625441696115</v>
      </c>
      <c r="T62" s="694">
        <f t="shared" si="20"/>
        <v>0.7638162544169611</v>
      </c>
      <c r="U62" s="694">
        <f t="shared" si="20"/>
        <v>0.96381625441696106</v>
      </c>
      <c r="V62" s="694">
        <f t="shared" si="20"/>
        <v>1</v>
      </c>
      <c r="W62" s="694">
        <f t="shared" si="20"/>
        <v>1</v>
      </c>
      <c r="X62" s="694">
        <f t="shared" si="20"/>
        <v>1</v>
      </c>
      <c r="Y62" s="694">
        <f t="shared" si="20"/>
        <v>1</v>
      </c>
      <c r="AA62" s="695"/>
      <c r="AB62" s="694"/>
      <c r="AC62" s="694">
        <f t="shared" si="21"/>
        <v>0.65080024942839321</v>
      </c>
      <c r="AD62" s="786">
        <v>0</v>
      </c>
      <c r="AE62" s="786">
        <v>0</v>
      </c>
      <c r="AF62" s="694">
        <f t="shared" si="22"/>
        <v>0</v>
      </c>
      <c r="AG62" s="694">
        <f t="shared" si="22"/>
        <v>0</v>
      </c>
      <c r="AH62" s="694">
        <f t="shared" si="22"/>
        <v>0</v>
      </c>
      <c r="AI62" s="694">
        <f t="shared" si="22"/>
        <v>0</v>
      </c>
      <c r="AJ62" s="694">
        <f t="shared" si="22"/>
        <v>0</v>
      </c>
      <c r="AK62" s="705">
        <f>AK61+1</f>
        <v>2</v>
      </c>
      <c r="AP62"/>
      <c r="AQ62" s="765" t="s">
        <v>1504</v>
      </c>
      <c r="AR62" t="s">
        <v>1363</v>
      </c>
      <c r="AS62" s="722" t="s">
        <v>1364</v>
      </c>
      <c r="AT62" s="705" t="s">
        <v>647</v>
      </c>
      <c r="AU62" s="705" t="s">
        <v>662</v>
      </c>
      <c r="AV62" s="314" t="s">
        <v>734</v>
      </c>
      <c r="AW62" s="314"/>
      <c r="AZ62" s="705" t="s">
        <v>1520</v>
      </c>
      <c r="BB62" s="705" t="str">
        <f t="shared" ref="BB62:BB119" si="23">D62</f>
        <v>CEC</v>
      </c>
      <c r="BC62" s="705" t="str">
        <f t="shared" ref="BC62:BC119" si="24">AS62</f>
        <v>Commercial - Cooling - Electricity - Central - Existing</v>
      </c>
      <c r="BD62" s="705" t="s">
        <v>647</v>
      </c>
      <c r="BF62" s="314" t="s">
        <v>1503</v>
      </c>
    </row>
    <row r="63" spans="1:60">
      <c r="A63" s="722" t="str">
        <f>A43&amp;" - Electricity - Heat Pump - Existing"</f>
        <v>Commercial - Cooling - Electricity - Heat Pump - Existing</v>
      </c>
      <c r="B63" s="722" t="str">
        <f>D63&amp;RIGHT(C63,3)&amp;"HP-E"</f>
        <v>CECELCHP-E</v>
      </c>
      <c r="C63" s="723" t="str">
        <f t="shared" si="17"/>
        <v>COMELC</v>
      </c>
      <c r="D63" s="723" t="str">
        <f t="shared" si="18"/>
        <v>CEC</v>
      </c>
      <c r="E63" s="347">
        <f>Appliances!J58</f>
        <v>2.5</v>
      </c>
      <c r="F63" s="566">
        <f ca="1">SUMIF(AFA!$B$3:$S$3,D63,AFA!$B$4:$J$4)</f>
        <v>0.79849999999999999</v>
      </c>
      <c r="G63" s="348">
        <v>15</v>
      </c>
      <c r="H63" s="349">
        <f ca="1">(N63/F63)*(1+$H$55)</f>
        <v>28.412973825794811</v>
      </c>
      <c r="I63" s="349">
        <f>SUMIF('Technology costs'!$B$7:$B$28,COM_2017!B63,'Technology costs'!$L$7:$L$28)</f>
        <v>118.96450756323959</v>
      </c>
      <c r="J63" s="349">
        <f t="shared" ref="J63:J118" si="25">I63*0.1</f>
        <v>11.89645075632396</v>
      </c>
      <c r="L63" s="350">
        <f>Appliances!F58</f>
        <v>0.2</v>
      </c>
      <c r="M63" s="349">
        <f>L63*SUMIF($C$6:$J$6,C63,$C$43:$J$43)</f>
        <v>9.0751038399588619</v>
      </c>
      <c r="N63" s="349">
        <f>M63*E63</f>
        <v>22.687759599897156</v>
      </c>
      <c r="O63" s="724"/>
      <c r="P63" s="696"/>
      <c r="Q63" s="694"/>
      <c r="R63" s="694">
        <f t="shared" si="19"/>
        <v>0.17844522968197882</v>
      </c>
      <c r="S63" s="694">
        <f t="shared" si="20"/>
        <v>0.20844522968197882</v>
      </c>
      <c r="T63" s="694">
        <f t="shared" si="20"/>
        <v>0.27844522968197882</v>
      </c>
      <c r="U63" s="694">
        <f t="shared" si="20"/>
        <v>0.47844522968197878</v>
      </c>
      <c r="V63" s="694">
        <f t="shared" si="20"/>
        <v>0.72844522968197889</v>
      </c>
      <c r="W63" s="694">
        <f t="shared" si="20"/>
        <v>1</v>
      </c>
      <c r="X63" s="694">
        <f t="shared" si="20"/>
        <v>1</v>
      </c>
      <c r="Y63" s="694">
        <f t="shared" si="20"/>
        <v>1</v>
      </c>
      <c r="AA63" s="695"/>
      <c r="AB63" s="694"/>
      <c r="AC63" s="694">
        <f t="shared" si="21"/>
        <v>0.17494630360978314</v>
      </c>
      <c r="AD63" s="786">
        <v>0</v>
      </c>
      <c r="AE63" s="786">
        <v>0</v>
      </c>
      <c r="AF63" s="694">
        <f t="shared" si="22"/>
        <v>0</v>
      </c>
      <c r="AG63" s="694">
        <f t="shared" si="22"/>
        <v>0</v>
      </c>
      <c r="AH63" s="694">
        <f t="shared" si="22"/>
        <v>0</v>
      </c>
      <c r="AI63" s="694">
        <f t="shared" si="22"/>
        <v>0</v>
      </c>
      <c r="AJ63" s="694">
        <f t="shared" si="22"/>
        <v>0</v>
      </c>
      <c r="AK63" s="705">
        <f>AK62+1</f>
        <v>3</v>
      </c>
      <c r="AP63"/>
      <c r="AQ63" s="765" t="s">
        <v>1504</v>
      </c>
      <c r="AR63" t="s">
        <v>1365</v>
      </c>
      <c r="AS63" s="722" t="s">
        <v>1366</v>
      </c>
      <c r="AT63" s="705" t="s">
        <v>647</v>
      </c>
      <c r="AU63" s="705" t="s">
        <v>662</v>
      </c>
      <c r="AV63" s="314" t="s">
        <v>734</v>
      </c>
      <c r="AW63" s="314"/>
      <c r="AZ63" s="705" t="s">
        <v>1520</v>
      </c>
      <c r="BB63" s="705" t="str">
        <f t="shared" si="23"/>
        <v>CEC</v>
      </c>
      <c r="BC63" s="705" t="str">
        <f t="shared" si="24"/>
        <v>Commercial - Cooling - Electricity - Heat Pump - Existing</v>
      </c>
      <c r="BD63" s="705" t="s">
        <v>647</v>
      </c>
      <c r="BF63" s="314" t="s">
        <v>1503</v>
      </c>
    </row>
    <row r="64" spans="1:60">
      <c r="A64" s="722" t="str">
        <f>A43&amp;" - Electricity - Room - Existing"</f>
        <v>Commercial - Cooling - Electricity - Room - Existing</v>
      </c>
      <c r="B64" s="722" t="str">
        <f>D64&amp;RIGHT(C64,3)&amp;"ROOM-E"</f>
        <v>CECELCROOM-E</v>
      </c>
      <c r="C64" s="723" t="str">
        <f t="shared" si="17"/>
        <v>COMELC</v>
      </c>
      <c r="D64" s="723" t="str">
        <f t="shared" si="18"/>
        <v>CEC</v>
      </c>
      <c r="E64" s="347">
        <f>Appliances!J59</f>
        <v>2.4</v>
      </c>
      <c r="F64" s="566">
        <f ca="1">SUMIF(AFA!$B$3:$S$3,D64,AFA!$B$4:$J$4)</f>
        <v>0.79849999999999999</v>
      </c>
      <c r="G64" s="348">
        <v>15</v>
      </c>
      <c r="H64" s="349">
        <f ca="1">(N64/F64)*(1+$H$55)</f>
        <v>20.457341154572259</v>
      </c>
      <c r="I64" s="567">
        <f>SUMIF('Technology costs'!$B$7:$B$28,COM_2017!B64,'Technology costs'!$L$7:$L$28)</f>
        <v>49.654804773986427</v>
      </c>
      <c r="J64" s="349">
        <f t="shared" si="25"/>
        <v>4.9654804773986427</v>
      </c>
      <c r="L64" s="350">
        <f>Appliances!F59</f>
        <v>0.15</v>
      </c>
      <c r="M64" s="349">
        <f>L64*SUMIF($C$6:$J$6,C64,$C$43:$J$43)</f>
        <v>6.8063278799691451</v>
      </c>
      <c r="N64" s="349">
        <f>M64*E64</f>
        <v>16.335186911925948</v>
      </c>
      <c r="P64" s="696"/>
      <c r="Q64" s="694"/>
      <c r="R64" s="694">
        <f t="shared" si="19"/>
        <v>0.1284805653710247</v>
      </c>
      <c r="S64" s="694">
        <f t="shared" si="20"/>
        <v>0.1584805653710247</v>
      </c>
      <c r="T64" s="694">
        <f t="shared" si="20"/>
        <v>0.22848056537102471</v>
      </c>
      <c r="U64" s="694">
        <f t="shared" si="20"/>
        <v>0.42848056537102469</v>
      </c>
      <c r="V64" s="694">
        <f t="shared" si="20"/>
        <v>0.67848056537102475</v>
      </c>
      <c r="W64" s="694">
        <f t="shared" si="20"/>
        <v>0.97848056537102468</v>
      </c>
      <c r="X64" s="694">
        <f t="shared" si="20"/>
        <v>1</v>
      </c>
      <c r="Y64" s="694">
        <f t="shared" si="20"/>
        <v>1</v>
      </c>
      <c r="AA64" s="695"/>
      <c r="AB64" s="694"/>
      <c r="AC64" s="694">
        <f t="shared" si="21"/>
        <v>0.12596133859904382</v>
      </c>
      <c r="AD64" s="786">
        <v>0</v>
      </c>
      <c r="AE64" s="786">
        <v>0</v>
      </c>
      <c r="AF64" s="694">
        <f t="shared" si="22"/>
        <v>0</v>
      </c>
      <c r="AG64" s="694">
        <f t="shared" si="22"/>
        <v>0</v>
      </c>
      <c r="AH64" s="694">
        <f t="shared" si="22"/>
        <v>0</v>
      </c>
      <c r="AI64" s="694">
        <f t="shared" si="22"/>
        <v>0</v>
      </c>
      <c r="AJ64" s="694">
        <f t="shared" si="22"/>
        <v>0</v>
      </c>
      <c r="AK64" s="705">
        <f t="shared" ref="AK64:AK121" si="26">AK63+1</f>
        <v>4</v>
      </c>
      <c r="AP64"/>
      <c r="AQ64" s="765" t="s">
        <v>1504</v>
      </c>
      <c r="AR64" t="s">
        <v>1367</v>
      </c>
      <c r="AS64" s="722" t="s">
        <v>1368</v>
      </c>
      <c r="AT64" s="705" t="s">
        <v>647</v>
      </c>
      <c r="AU64" s="705" t="s">
        <v>662</v>
      </c>
      <c r="AV64" s="314" t="s">
        <v>734</v>
      </c>
      <c r="AW64" s="314"/>
      <c r="AZ64" s="705" t="s">
        <v>1520</v>
      </c>
      <c r="BB64" s="705" t="str">
        <f t="shared" si="23"/>
        <v>CEC</v>
      </c>
      <c r="BC64" s="705" t="str">
        <f t="shared" si="24"/>
        <v>Commercial - Cooling - Electricity - Room - Existing</v>
      </c>
      <c r="BD64" s="705" t="s">
        <v>647</v>
      </c>
      <c r="BF64" s="314" t="s">
        <v>1503</v>
      </c>
    </row>
    <row r="65" spans="1:58" ht="15.75" customHeight="1">
      <c r="A65" s="722" t="str">
        <f>A43&amp;" - Electricity - Central - New"</f>
        <v>Commercial - Cooling - Electricity - Central - New</v>
      </c>
      <c r="B65" s="722" t="str">
        <f>D65&amp;RIGHT(C65,3)&amp;"CEN-N"</f>
        <v>CECELCCEN-N</v>
      </c>
      <c r="C65" s="723" t="str">
        <f t="shared" si="17"/>
        <v>COMELC</v>
      </c>
      <c r="D65" s="723" t="str">
        <f t="shared" si="18"/>
        <v>CEC</v>
      </c>
      <c r="E65" s="347">
        <f>(0.19/0.17)*E62</f>
        <v>3.4647058823529413</v>
      </c>
      <c r="F65" s="566">
        <f ca="1">SUMIF(AFA!$B$3:$S$3,D65,AFA!$B$4:$J$4)</f>
        <v>0.79849999999999999</v>
      </c>
      <c r="G65" s="348">
        <f>G62</f>
        <v>15</v>
      </c>
      <c r="H65" s="349"/>
      <c r="I65" s="349">
        <f>(10/3.74)*I62</f>
        <v>244.61608495261538</v>
      </c>
      <c r="J65" s="349">
        <f>J62</f>
        <v>9.1486415772278153</v>
      </c>
      <c r="L65" s="350">
        <v>0</v>
      </c>
      <c r="M65" s="349">
        <v>0</v>
      </c>
      <c r="N65" s="349">
        <v>0</v>
      </c>
      <c r="P65" s="696"/>
      <c r="Q65" s="694"/>
      <c r="R65" s="694">
        <f t="shared" si="19"/>
        <v>0</v>
      </c>
      <c r="S65" s="694">
        <f t="shared" si="20"/>
        <v>0.03</v>
      </c>
      <c r="T65" s="786">
        <f>MIN(1,$R65+T$53)</f>
        <v>0.5</v>
      </c>
      <c r="U65" s="786">
        <f t="shared" ref="U65:Y66" si="27">MIN(1,$R65+U$53)</f>
        <v>0.75</v>
      </c>
      <c r="V65" s="786">
        <f t="shared" si="27"/>
        <v>1</v>
      </c>
      <c r="W65" s="786">
        <f t="shared" si="27"/>
        <v>1</v>
      </c>
      <c r="X65" s="786">
        <f t="shared" si="27"/>
        <v>1</v>
      </c>
      <c r="Y65" s="786">
        <f t="shared" si="27"/>
        <v>1</v>
      </c>
      <c r="AA65" s="695"/>
      <c r="AB65" s="694"/>
      <c r="AC65" s="694">
        <f t="shared" si="21"/>
        <v>0</v>
      </c>
      <c r="AD65" s="786">
        <v>0</v>
      </c>
      <c r="AE65" s="786">
        <v>0</v>
      </c>
      <c r="AF65" s="694">
        <f t="shared" si="22"/>
        <v>0</v>
      </c>
      <c r="AG65" s="694">
        <f t="shared" si="22"/>
        <v>0</v>
      </c>
      <c r="AH65" s="694">
        <f t="shared" si="22"/>
        <v>0</v>
      </c>
      <c r="AI65" s="694">
        <f t="shared" si="22"/>
        <v>0</v>
      </c>
      <c r="AJ65" s="694">
        <f t="shared" si="22"/>
        <v>0</v>
      </c>
      <c r="AK65" s="705">
        <f t="shared" si="26"/>
        <v>5</v>
      </c>
      <c r="AQ65" s="765" t="s">
        <v>1504</v>
      </c>
      <c r="AR65" t="s">
        <v>1369</v>
      </c>
      <c r="AS65" s="722" t="s">
        <v>1370</v>
      </c>
      <c r="AT65" s="705" t="s">
        <v>647</v>
      </c>
      <c r="AU65" s="705" t="s">
        <v>662</v>
      </c>
      <c r="AV65" s="314" t="s">
        <v>734</v>
      </c>
      <c r="AW65" s="314"/>
      <c r="AZ65" s="705" t="s">
        <v>1520</v>
      </c>
      <c r="BB65" s="705" t="str">
        <f t="shared" si="23"/>
        <v>CEC</v>
      </c>
      <c r="BC65" s="705" t="str">
        <f t="shared" si="24"/>
        <v>Commercial - Cooling - Electricity - Central - New</v>
      </c>
      <c r="BD65" s="705" t="s">
        <v>647</v>
      </c>
      <c r="BF65" s="314" t="s">
        <v>1503</v>
      </c>
    </row>
    <row r="66" spans="1:58" ht="15.75" customHeight="1">
      <c r="A66" s="722" t="str">
        <f>A43&amp;" - Electricity - Heat Pump - New"</f>
        <v>Commercial - Cooling - Electricity - Heat Pump - New</v>
      </c>
      <c r="B66" s="722" t="str">
        <f>D66&amp;RIGHT(C66,3)&amp;"HP-N"</f>
        <v>CECELCHP-N</v>
      </c>
      <c r="C66" s="723" t="str">
        <f t="shared" si="17"/>
        <v>COMELC</v>
      </c>
      <c r="D66" s="723" t="str">
        <f t="shared" si="18"/>
        <v>CEC</v>
      </c>
      <c r="E66" s="347">
        <f>(3.4/3.52)*E65</f>
        <v>3.3465909090909087</v>
      </c>
      <c r="F66" s="566">
        <f ca="1">SUMIF(AFA!$B$3:$S$3,D66,AFA!$B$4:$J$4)</f>
        <v>0.79849999999999999</v>
      </c>
      <c r="G66" s="348">
        <v>15</v>
      </c>
      <c r="H66" s="349"/>
      <c r="I66" s="349">
        <f>(10.68/10)*I65</f>
        <v>261.24997872939326</v>
      </c>
      <c r="J66" s="349">
        <f>(0.15/0.11)*J65</f>
        <v>12.475420332583383</v>
      </c>
      <c r="L66" s="350">
        <v>0</v>
      </c>
      <c r="M66" s="349">
        <v>0</v>
      </c>
      <c r="N66" s="349">
        <v>0</v>
      </c>
      <c r="P66" s="696"/>
      <c r="Q66" s="694"/>
      <c r="R66" s="694">
        <f t="shared" si="19"/>
        <v>0</v>
      </c>
      <c r="S66" s="694">
        <f t="shared" si="20"/>
        <v>0.03</v>
      </c>
      <c r="T66" s="786">
        <f>MIN(1,$R66+T$53)</f>
        <v>0.5</v>
      </c>
      <c r="U66" s="786">
        <f t="shared" si="27"/>
        <v>0.75</v>
      </c>
      <c r="V66" s="786">
        <f t="shared" si="27"/>
        <v>1</v>
      </c>
      <c r="W66" s="786">
        <f t="shared" si="27"/>
        <v>1</v>
      </c>
      <c r="X66" s="786">
        <f t="shared" si="27"/>
        <v>1</v>
      </c>
      <c r="Y66" s="786">
        <f t="shared" si="27"/>
        <v>1</v>
      </c>
      <c r="AA66" s="695"/>
      <c r="AB66" s="694"/>
      <c r="AC66" s="694">
        <f t="shared" si="21"/>
        <v>0</v>
      </c>
      <c r="AD66" s="786">
        <v>0</v>
      </c>
      <c r="AE66" s="786">
        <v>0</v>
      </c>
      <c r="AF66" s="694">
        <f t="shared" si="22"/>
        <v>0</v>
      </c>
      <c r="AG66" s="694">
        <f t="shared" si="22"/>
        <v>0</v>
      </c>
      <c r="AH66" s="694">
        <f t="shared" si="22"/>
        <v>0</v>
      </c>
      <c r="AI66" s="694">
        <f t="shared" si="22"/>
        <v>0</v>
      </c>
      <c r="AJ66" s="694">
        <f t="shared" si="22"/>
        <v>0</v>
      </c>
      <c r="AK66" s="705">
        <f t="shared" si="26"/>
        <v>6</v>
      </c>
      <c r="AP66"/>
      <c r="AQ66" s="765" t="s">
        <v>1504</v>
      </c>
      <c r="AR66" t="s">
        <v>1371</v>
      </c>
      <c r="AS66" s="722" t="s">
        <v>1372</v>
      </c>
      <c r="AT66" s="705" t="s">
        <v>647</v>
      </c>
      <c r="AU66" s="705" t="s">
        <v>662</v>
      </c>
      <c r="AV66" s="314" t="s">
        <v>734</v>
      </c>
      <c r="AW66" s="314"/>
      <c r="AZ66" s="705" t="s">
        <v>1520</v>
      </c>
      <c r="BB66" s="705" t="str">
        <f t="shared" si="23"/>
        <v>CEC</v>
      </c>
      <c r="BC66" s="705" t="str">
        <f t="shared" si="24"/>
        <v>Commercial - Cooling - Electricity - Heat Pump - New</v>
      </c>
      <c r="BD66" s="705" t="s">
        <v>647</v>
      </c>
      <c r="BF66" s="314" t="s">
        <v>1503</v>
      </c>
    </row>
    <row r="67" spans="1:58">
      <c r="A67" s="742" t="s">
        <v>1538</v>
      </c>
      <c r="B67" s="722"/>
      <c r="C67" s="743"/>
      <c r="D67" s="743"/>
      <c r="E67" s="744"/>
      <c r="F67" s="566"/>
      <c r="G67" s="741"/>
      <c r="H67" s="743">
        <f ca="1">SUM(H61:H64)/4</f>
        <v>40.204357963499653</v>
      </c>
      <c r="I67" s="349"/>
      <c r="J67" s="349"/>
      <c r="L67" s="697">
        <f>SUM(L61:L64)</f>
        <v>1</v>
      </c>
      <c r="M67" s="356">
        <f>SUM(M61:M64)</f>
        <v>45.375519199794311</v>
      </c>
      <c r="N67" s="356">
        <f>SUM(N61:N66)</f>
        <v>128.4127193354179</v>
      </c>
      <c r="AK67" s="705">
        <f t="shared" si="26"/>
        <v>7</v>
      </c>
      <c r="AL67" s="705" t="str">
        <f>LEFT(B66,3)</f>
        <v>CEC</v>
      </c>
      <c r="AP67"/>
      <c r="AQ67" s="765" t="s">
        <v>709</v>
      </c>
      <c r="AR67"/>
      <c r="AS67" s="722"/>
      <c r="AV67" s="314"/>
      <c r="AW67" s="314"/>
      <c r="AZ67" s="705" t="s">
        <v>709</v>
      </c>
      <c r="BF67" s="314"/>
    </row>
    <row r="68" spans="1:58">
      <c r="A68" s="722" t="s">
        <v>1539</v>
      </c>
      <c r="B68" s="722"/>
      <c r="C68" s="743"/>
      <c r="D68" s="743"/>
      <c r="E68" s="738"/>
      <c r="F68" s="566"/>
      <c r="G68" s="738"/>
      <c r="H68" s="738"/>
      <c r="I68" s="349"/>
      <c r="J68" s="349"/>
      <c r="K68" s="698"/>
      <c r="L68" s="745"/>
      <c r="M68" s="745"/>
      <c r="AK68" s="705">
        <f t="shared" si="26"/>
        <v>8</v>
      </c>
      <c r="AP68"/>
      <c r="AQ68" s="765" t="s">
        <v>709</v>
      </c>
      <c r="AS68" s="722"/>
      <c r="AW68" s="314"/>
      <c r="AZ68" s="705" t="s">
        <v>709</v>
      </c>
    </row>
    <row r="69" spans="1:58">
      <c r="A69" s="722" t="str">
        <f>A$44&amp;" - "&amp;VLOOKUP(RIGHT(C69,3),NameConv!$E$3:$F$16,2,FALSE)&amp;" - Existing"</f>
        <v>Commercial - Space Heating - Coal - Existing</v>
      </c>
      <c r="B69" s="722" t="str">
        <f>D69&amp;RIGHT(C69,3)&amp;"-E"</f>
        <v>CEHCOA-E</v>
      </c>
      <c r="C69" s="723" t="str">
        <f>$C$6</f>
        <v>COMCOA</v>
      </c>
      <c r="D69" s="723" t="str">
        <f>$B$44</f>
        <v>CEH</v>
      </c>
      <c r="E69" s="347">
        <f>Appliances!J14</f>
        <v>0.60000000000000009</v>
      </c>
      <c r="F69" s="566">
        <f ca="1">SUMIF(AFA!$B$3:$S$3,D69,AFA!$B$4:$J$4)</f>
        <v>0.48230000000000001</v>
      </c>
      <c r="G69" s="348">
        <v>15</v>
      </c>
      <c r="H69" s="349">
        <f ca="1">(N69/F69)*(1+$H$55)</f>
        <v>0.54058097960181051</v>
      </c>
      <c r="I69" s="567">
        <f>I72</f>
        <v>179.45037756394217</v>
      </c>
      <c r="J69" s="349">
        <f t="shared" si="25"/>
        <v>17.945037756394218</v>
      </c>
      <c r="L69" s="350">
        <f>Appliances!F14</f>
        <v>1</v>
      </c>
      <c r="M69" s="349">
        <f>L69*SUMIF($C$6:$J$6,C69,$C$44:$J$44)</f>
        <v>0.43453701076992196</v>
      </c>
      <c r="N69" s="349">
        <f>M69*E69</f>
        <v>0.26072220646195321</v>
      </c>
      <c r="P69" s="696"/>
      <c r="Q69" s="699"/>
      <c r="R69" s="694">
        <f>N69/SUMIF($D$61:$D$121,$D69,$N$61:$N$121)*(1+$P$55)</f>
        <v>8.187222510350696E-2</v>
      </c>
      <c r="S69" s="694">
        <f t="shared" ref="S69:Y74" si="28">MIN(1,$R69+S$52)</f>
        <v>0.11187222510350696</v>
      </c>
      <c r="T69" s="694">
        <f t="shared" si="28"/>
        <v>0.18187222510350698</v>
      </c>
      <c r="U69" s="694">
        <f t="shared" si="28"/>
        <v>0.38187222510350693</v>
      </c>
      <c r="V69" s="694">
        <f t="shared" si="28"/>
        <v>0.63187222510350705</v>
      </c>
      <c r="W69" s="694">
        <f t="shared" si="28"/>
        <v>0.93187222510350698</v>
      </c>
      <c r="X69" s="694">
        <f t="shared" si="28"/>
        <v>1</v>
      </c>
      <c r="Y69" s="694">
        <f t="shared" si="28"/>
        <v>1</v>
      </c>
      <c r="AA69" s="696"/>
      <c r="AB69" s="694"/>
      <c r="AC69" s="694">
        <f>R69/(1+$P$55+$AA$55)</f>
        <v>8.0266887356379366E-2</v>
      </c>
      <c r="AD69" s="786">
        <v>0</v>
      </c>
      <c r="AE69" s="786">
        <v>0</v>
      </c>
      <c r="AF69" s="694">
        <f t="shared" ref="AF69:AJ73" si="29">$AC69*AF$52</f>
        <v>0</v>
      </c>
      <c r="AG69" s="694">
        <f t="shared" si="29"/>
        <v>0</v>
      </c>
      <c r="AH69" s="694">
        <f t="shared" si="29"/>
        <v>0</v>
      </c>
      <c r="AI69" s="694">
        <f t="shared" si="29"/>
        <v>0</v>
      </c>
      <c r="AJ69" s="694">
        <f t="shared" si="29"/>
        <v>0</v>
      </c>
      <c r="AK69" s="705">
        <f t="shared" si="26"/>
        <v>9</v>
      </c>
      <c r="AP69"/>
      <c r="AQ69" s="765" t="s">
        <v>1504</v>
      </c>
      <c r="AR69" t="s">
        <v>1297</v>
      </c>
      <c r="AS69" s="722" t="s">
        <v>1298</v>
      </c>
      <c r="AT69" s="705" t="s">
        <v>647</v>
      </c>
      <c r="AU69" s="705" t="s">
        <v>662</v>
      </c>
      <c r="AV69" s="314" t="s">
        <v>734</v>
      </c>
      <c r="AW69" s="314"/>
      <c r="AZ69" s="705" t="s">
        <v>1520</v>
      </c>
      <c r="BB69" s="705" t="str">
        <f t="shared" si="23"/>
        <v>CEH</v>
      </c>
      <c r="BC69" s="705" t="str">
        <f t="shared" si="24"/>
        <v>Commercial - Space Heating - Coal - Existing</v>
      </c>
      <c r="BD69" s="705" t="s">
        <v>647</v>
      </c>
      <c r="BF69" s="314" t="s">
        <v>734</v>
      </c>
    </row>
    <row r="70" spans="1:58">
      <c r="A70" s="722" t="str">
        <f>A$44&amp;" - "&amp;VLOOKUP(RIGHT(C70,3),NameConv!$E$3:$F$16,2,FALSE)&amp;" - Existing"</f>
        <v>Commercial - Space Heating - Electricity - Existing</v>
      </c>
      <c r="B70" s="722" t="str">
        <f>D70&amp;RIGHT(C70,3)&amp;"-E"</f>
        <v>CEHELC-E</v>
      </c>
      <c r="C70" s="723" t="str">
        <f>$E$6</f>
        <v>COMELC</v>
      </c>
      <c r="D70" s="723" t="str">
        <f>$B$44</f>
        <v>CEH</v>
      </c>
      <c r="E70" s="347">
        <f>Appliances!J11</f>
        <v>1</v>
      </c>
      <c r="F70" s="566">
        <f ca="1">SUMIF(AFA!$B$3:$S$3,D70,AFA!$B$4:$J$4)</f>
        <v>0.48230000000000001</v>
      </c>
      <c r="G70" s="348">
        <v>15</v>
      </c>
      <c r="H70" s="349">
        <f ca="1">(N70/F70)*(1+$H$55)</f>
        <v>5.6195441721170045</v>
      </c>
      <c r="I70" s="349">
        <f>SUMIF('Technology costs'!$B$7:$B$28,COM_2017!B70,'Technology costs'!$L$7:$L$28)</f>
        <v>31.420618543499238</v>
      </c>
      <c r="J70" s="349">
        <f t="shared" si="25"/>
        <v>3.1420618543499241</v>
      </c>
      <c r="L70" s="350">
        <f>Appliances!F11</f>
        <v>1</v>
      </c>
      <c r="M70" s="349">
        <f>L70*SUMIF($C$6:$J$6,C70,$C$44:$J$44)</f>
        <v>2.7103061542120312</v>
      </c>
      <c r="N70" s="349">
        <f>M70*E70</f>
        <v>2.7103061542120312</v>
      </c>
      <c r="P70" s="696"/>
      <c r="Q70" s="694"/>
      <c r="R70" s="694">
        <f>N70/SUMIF($D$61:$D$121,$D70,$N$61:$N$121)*(1+$P$55)</f>
        <v>0.85109281088202604</v>
      </c>
      <c r="S70" s="694">
        <f t="shared" si="28"/>
        <v>0.88109281088202607</v>
      </c>
      <c r="T70" s="694">
        <f t="shared" si="28"/>
        <v>0.95109281088202602</v>
      </c>
      <c r="U70" s="694">
        <f t="shared" si="28"/>
        <v>1</v>
      </c>
      <c r="V70" s="694">
        <f t="shared" si="28"/>
        <v>1</v>
      </c>
      <c r="W70" s="694">
        <f t="shared" si="28"/>
        <v>1</v>
      </c>
      <c r="X70" s="694">
        <f t="shared" si="28"/>
        <v>1</v>
      </c>
      <c r="Y70" s="694">
        <f t="shared" si="28"/>
        <v>1</v>
      </c>
      <c r="AA70" s="696"/>
      <c r="AB70" s="694"/>
      <c r="AC70" s="694">
        <f>R70/(1+$P$55+$AA$55)</f>
        <v>0.8344047165510059</v>
      </c>
      <c r="AD70" s="786">
        <v>0</v>
      </c>
      <c r="AE70" s="786">
        <v>0</v>
      </c>
      <c r="AF70" s="694">
        <f t="shared" si="29"/>
        <v>0</v>
      </c>
      <c r="AG70" s="694">
        <f t="shared" si="29"/>
        <v>0</v>
      </c>
      <c r="AH70" s="694">
        <f t="shared" si="29"/>
        <v>0</v>
      </c>
      <c r="AI70" s="694">
        <f t="shared" si="29"/>
        <v>0</v>
      </c>
      <c r="AJ70" s="694">
        <f t="shared" si="29"/>
        <v>0</v>
      </c>
      <c r="AK70" s="705">
        <f t="shared" si="26"/>
        <v>10</v>
      </c>
      <c r="AP70"/>
      <c r="AQ70" s="765" t="s">
        <v>1504</v>
      </c>
      <c r="AR70" t="s">
        <v>1299</v>
      </c>
      <c r="AS70" s="722" t="s">
        <v>1300</v>
      </c>
      <c r="AT70" s="705" t="s">
        <v>647</v>
      </c>
      <c r="AU70" s="705" t="s">
        <v>662</v>
      </c>
      <c r="AV70" s="314" t="s">
        <v>734</v>
      </c>
      <c r="AW70" s="314"/>
      <c r="AZ70" s="705" t="s">
        <v>1520</v>
      </c>
      <c r="BB70" s="705" t="str">
        <f t="shared" si="23"/>
        <v>CEH</v>
      </c>
      <c r="BC70" s="705" t="str">
        <f t="shared" si="24"/>
        <v>Commercial - Space Heating - Electricity - Existing</v>
      </c>
      <c r="BD70" s="705" t="s">
        <v>647</v>
      </c>
      <c r="BF70" s="314" t="s">
        <v>1503</v>
      </c>
    </row>
    <row r="71" spans="1:58">
      <c r="A71" s="722" t="str">
        <f>A$44&amp;" - "&amp;VLOOKUP(RIGHT(C71,3),NameConv!$E$3:$F$16,2,FALSE)&amp;" - Existing"</f>
        <v>Commercial - Space Heating - Gas - Existing</v>
      </c>
      <c r="B71" s="722" t="str">
        <f>D71&amp;RIGHT(C71,3)&amp;"-E"</f>
        <v>CEHGAS-E</v>
      </c>
      <c r="C71" s="723" t="str">
        <f>$F$6</f>
        <v>COMGAS</v>
      </c>
      <c r="D71" s="723" t="str">
        <f>$B$44</f>
        <v>CEH</v>
      </c>
      <c r="E71" s="347">
        <f>Appliances!J16</f>
        <v>0.69</v>
      </c>
      <c r="F71" s="566">
        <f ca="1">SUMIF(AFA!$B$3:$S$3,D71,AFA!$B$4:$J$4)</f>
        <v>0.48230000000000001</v>
      </c>
      <c r="G71" s="348">
        <v>15</v>
      </c>
      <c r="H71" s="349">
        <f ca="1">(N71/F71)*(1+$H$55)</f>
        <v>0.50864180444446039</v>
      </c>
      <c r="I71" s="486">
        <f>I73</f>
        <v>49.003487536247462</v>
      </c>
      <c r="J71" s="349">
        <f t="shared" si="25"/>
        <v>4.9003487536247468</v>
      </c>
      <c r="L71" s="350">
        <f>Appliances!F16</f>
        <v>1</v>
      </c>
      <c r="M71" s="349">
        <f>L71*SUMIF($C$6:$J$6,C71,$C$44:$J$44)</f>
        <v>0.3555332496863236</v>
      </c>
      <c r="N71" s="349">
        <f>M71*E71</f>
        <v>0.24531794228356327</v>
      </c>
      <c r="P71" s="696"/>
      <c r="Q71" s="694"/>
      <c r="R71" s="694">
        <f>N71/SUMIF($D$61:$D$121,$D71,$N$61:$N$121)*(1+$P$55)</f>
        <v>7.7034964014467078E-2</v>
      </c>
      <c r="S71" s="694">
        <f t="shared" si="28"/>
        <v>0.10703496401446708</v>
      </c>
      <c r="T71" s="694">
        <f t="shared" si="28"/>
        <v>0.17703496401446708</v>
      </c>
      <c r="U71" s="694">
        <f t="shared" si="28"/>
        <v>0.37703496401446707</v>
      </c>
      <c r="V71" s="694">
        <f t="shared" si="28"/>
        <v>0.62703496401446712</v>
      </c>
      <c r="W71" s="694">
        <f t="shared" si="28"/>
        <v>0.92703496401446706</v>
      </c>
      <c r="X71" s="694">
        <f t="shared" si="28"/>
        <v>1</v>
      </c>
      <c r="Y71" s="694">
        <f t="shared" si="28"/>
        <v>1</v>
      </c>
      <c r="AA71" s="696"/>
      <c r="AB71" s="694"/>
      <c r="AC71" s="694">
        <f>R71/(1+$P$55+$AA$55)</f>
        <v>7.5524474523987334E-2</v>
      </c>
      <c r="AD71" s="786">
        <v>0</v>
      </c>
      <c r="AE71" s="786">
        <v>0</v>
      </c>
      <c r="AF71" s="694">
        <f t="shared" si="29"/>
        <v>0</v>
      </c>
      <c r="AG71" s="694">
        <f t="shared" si="29"/>
        <v>0</v>
      </c>
      <c r="AH71" s="694">
        <f t="shared" si="29"/>
        <v>0</v>
      </c>
      <c r="AI71" s="694">
        <f t="shared" si="29"/>
        <v>0</v>
      </c>
      <c r="AJ71" s="694">
        <f t="shared" si="29"/>
        <v>0</v>
      </c>
      <c r="AK71" s="705">
        <f t="shared" si="26"/>
        <v>11</v>
      </c>
      <c r="AQ71" s="765" t="s">
        <v>1504</v>
      </c>
      <c r="AR71" t="s">
        <v>1301</v>
      </c>
      <c r="AS71" s="722" t="s">
        <v>1302</v>
      </c>
      <c r="AT71" s="705" t="s">
        <v>647</v>
      </c>
      <c r="AU71" s="705" t="s">
        <v>662</v>
      </c>
      <c r="AV71" s="314" t="s">
        <v>734</v>
      </c>
      <c r="AW71" s="314"/>
      <c r="AZ71" s="705" t="s">
        <v>1520</v>
      </c>
      <c r="BB71" s="705" t="str">
        <f t="shared" si="23"/>
        <v>CEH</v>
      </c>
      <c r="BC71" s="705" t="str">
        <f t="shared" si="24"/>
        <v>Commercial - Space Heating - Gas - Existing</v>
      </c>
      <c r="BD71" s="705" t="s">
        <v>647</v>
      </c>
      <c r="BF71" s="314" t="s">
        <v>734</v>
      </c>
    </row>
    <row r="72" spans="1:58">
      <c r="A72" s="722" t="str">
        <f>A$44&amp;" - "&amp;VLOOKUP(RIGHT(C72,3),NameConv!$E$3:$F$16,2,FALSE)&amp;" - New"</f>
        <v>Commercial - Space Heating - Electricity - New</v>
      </c>
      <c r="B72" s="722" t="str">
        <f>D72&amp;RIGHT(C72,3)&amp;"-N"</f>
        <v>CEHELC-N</v>
      </c>
      <c r="C72" s="723" t="str">
        <f>$E$6</f>
        <v>COMELC</v>
      </c>
      <c r="D72" s="723" t="str">
        <f>$B$44</f>
        <v>CEH</v>
      </c>
      <c r="E72" s="347">
        <f>(3.4/0.96)*E70</f>
        <v>3.5416666666666665</v>
      </c>
      <c r="F72" s="566">
        <f ca="1">SUMIF(AFA!$B$3:$S$3,D72,AFA!$B$4:$J$4)</f>
        <v>0.48230000000000001</v>
      </c>
      <c r="G72" s="348">
        <v>15</v>
      </c>
      <c r="H72" s="349"/>
      <c r="I72" s="349">
        <f>(10.68/1.87)*I70</f>
        <v>179.45037756394217</v>
      </c>
      <c r="J72" s="349">
        <f>I72*0.1</f>
        <v>17.945037756394218</v>
      </c>
      <c r="L72" s="350">
        <v>0</v>
      </c>
      <c r="M72" s="349">
        <v>0</v>
      </c>
      <c r="N72" s="349">
        <v>0</v>
      </c>
      <c r="P72" s="696"/>
      <c r="Q72" s="694"/>
      <c r="R72" s="694">
        <f>N72/SUMIF($D$61:$D$121,$D72,$N$61:$N$121)*(1+$P$55)</f>
        <v>0</v>
      </c>
      <c r="S72" s="694">
        <f t="shared" si="28"/>
        <v>0.03</v>
      </c>
      <c r="T72" s="694">
        <f t="shared" si="28"/>
        <v>0.1</v>
      </c>
      <c r="U72" s="694">
        <f t="shared" si="28"/>
        <v>0.3</v>
      </c>
      <c r="V72" s="694">
        <f t="shared" si="28"/>
        <v>0.55000000000000004</v>
      </c>
      <c r="W72" s="694">
        <f t="shared" si="28"/>
        <v>0.85</v>
      </c>
      <c r="X72" s="694">
        <f t="shared" si="28"/>
        <v>0.95</v>
      </c>
      <c r="Y72" s="694">
        <f t="shared" si="28"/>
        <v>1</v>
      </c>
      <c r="AA72" s="696"/>
      <c r="AB72" s="694"/>
      <c r="AC72" s="694">
        <f>R72/(1+$P$55+$AA$55)</f>
        <v>0</v>
      </c>
      <c r="AD72" s="786">
        <v>0</v>
      </c>
      <c r="AE72" s="786">
        <v>0</v>
      </c>
      <c r="AF72" s="694">
        <f t="shared" si="29"/>
        <v>0</v>
      </c>
      <c r="AG72" s="694">
        <f t="shared" si="29"/>
        <v>0</v>
      </c>
      <c r="AH72" s="694">
        <f t="shared" si="29"/>
        <v>0</v>
      </c>
      <c r="AI72" s="694">
        <f t="shared" si="29"/>
        <v>0</v>
      </c>
      <c r="AJ72" s="694">
        <f t="shared" si="29"/>
        <v>0</v>
      </c>
      <c r="AK72" s="705">
        <f t="shared" si="26"/>
        <v>12</v>
      </c>
      <c r="AP72"/>
      <c r="AQ72" s="765" t="s">
        <v>1504</v>
      </c>
      <c r="AR72" t="s">
        <v>1303</v>
      </c>
      <c r="AS72" s="722" t="s">
        <v>1304</v>
      </c>
      <c r="AT72" s="705" t="s">
        <v>647</v>
      </c>
      <c r="AU72" s="705" t="s">
        <v>662</v>
      </c>
      <c r="AV72" s="314" t="s">
        <v>734</v>
      </c>
      <c r="AW72" s="314"/>
      <c r="AZ72" s="705" t="s">
        <v>1520</v>
      </c>
      <c r="BB72" s="705" t="str">
        <f t="shared" si="23"/>
        <v>CEH</v>
      </c>
      <c r="BC72" s="705" t="str">
        <f t="shared" si="24"/>
        <v>Commercial - Space Heating - Electricity - New</v>
      </c>
      <c r="BD72" s="705" t="s">
        <v>647</v>
      </c>
      <c r="BF72" s="314" t="s">
        <v>1503</v>
      </c>
    </row>
    <row r="73" spans="1:58">
      <c r="A73" s="722" t="str">
        <f>A$44&amp;" - "&amp;VLOOKUP(RIGHT(C73,3),NameConv!$E$3:$F$16,2,FALSE)&amp;" - New"</f>
        <v>Commercial - Space Heating - Gas - New</v>
      </c>
      <c r="B73" s="722" t="str">
        <f>D73&amp;RIGHT(C73,3)&amp;"-N"</f>
        <v>CEHGAS-N</v>
      </c>
      <c r="C73" s="723" t="str">
        <f>$F$6</f>
        <v>COMGAS</v>
      </c>
      <c r="D73" s="723" t="str">
        <f>$B$44</f>
        <v>CEH</v>
      </c>
      <c r="E73" s="486">
        <f>'Trigen data MTN + gas boiler'!D75</f>
        <v>0.88</v>
      </c>
      <c r="F73" s="568">
        <f ca="1">SUMIF(AFA!$B$3:$S$3,D73,AFA!$B$4:$J$4)</f>
        <v>0.48230000000000001</v>
      </c>
      <c r="G73" s="487">
        <v>15</v>
      </c>
      <c r="H73" s="488"/>
      <c r="I73" s="781">
        <f>34.864360018767*Deflator!AD7</f>
        <v>49.003487536247462</v>
      </c>
      <c r="J73" s="486">
        <f>I73*0.1</f>
        <v>4.9003487536247468</v>
      </c>
      <c r="L73" s="350">
        <v>0</v>
      </c>
      <c r="M73" s="349">
        <v>0</v>
      </c>
      <c r="N73" s="349">
        <v>0</v>
      </c>
      <c r="P73" s="696"/>
      <c r="Q73" s="694"/>
      <c r="R73" s="694">
        <f>N73/SUMIF($D$61:$D$121,$D73,$N$61:$N$121)*(1+$P$55)</f>
        <v>0</v>
      </c>
      <c r="S73" s="694">
        <f t="shared" si="28"/>
        <v>0.03</v>
      </c>
      <c r="T73" s="786">
        <f>MIN(1,$R73+T$53)</f>
        <v>0.5</v>
      </c>
      <c r="U73" s="786">
        <f t="shared" ref="U73:Y73" si="30">MIN(1,$R73+U$53)</f>
        <v>0.75</v>
      </c>
      <c r="V73" s="786">
        <f t="shared" si="30"/>
        <v>1</v>
      </c>
      <c r="W73" s="786">
        <f t="shared" si="30"/>
        <v>1</v>
      </c>
      <c r="X73" s="786">
        <f t="shared" si="30"/>
        <v>1</v>
      </c>
      <c r="Y73" s="786">
        <f t="shared" si="30"/>
        <v>1</v>
      </c>
      <c r="AA73" s="696"/>
      <c r="AB73" s="694"/>
      <c r="AC73" s="694">
        <f>R73/(1+$P$55+$AA$55)</f>
        <v>0</v>
      </c>
      <c r="AD73" s="786">
        <v>0</v>
      </c>
      <c r="AE73" s="786">
        <v>0</v>
      </c>
      <c r="AF73" s="694">
        <f t="shared" si="29"/>
        <v>0</v>
      </c>
      <c r="AG73" s="694">
        <f t="shared" si="29"/>
        <v>0</v>
      </c>
      <c r="AH73" s="694">
        <f t="shared" si="29"/>
        <v>0</v>
      </c>
      <c r="AI73" s="694">
        <f t="shared" si="29"/>
        <v>0</v>
      </c>
      <c r="AJ73" s="694">
        <f t="shared" si="29"/>
        <v>0</v>
      </c>
      <c r="AK73" s="705">
        <f t="shared" si="26"/>
        <v>13</v>
      </c>
      <c r="AP73"/>
      <c r="AQ73" s="765" t="s">
        <v>1504</v>
      </c>
      <c r="AR73" t="s">
        <v>1305</v>
      </c>
      <c r="AS73" s="722" t="s">
        <v>1306</v>
      </c>
      <c r="AT73" s="705" t="s">
        <v>647</v>
      </c>
      <c r="AU73" s="705" t="s">
        <v>662</v>
      </c>
      <c r="AV73" s="314" t="s">
        <v>734</v>
      </c>
      <c r="AW73" s="314"/>
      <c r="AZ73" s="705" t="s">
        <v>1520</v>
      </c>
      <c r="BB73" s="705" t="str">
        <f t="shared" si="23"/>
        <v>CEH</v>
      </c>
      <c r="BC73" s="705" t="str">
        <f t="shared" si="24"/>
        <v>Commercial - Space Heating - Gas - New</v>
      </c>
      <c r="BD73" s="705" t="s">
        <v>647</v>
      </c>
      <c r="BF73" s="314" t="s">
        <v>734</v>
      </c>
    </row>
    <row r="74" spans="1:58">
      <c r="A74" s="742" t="s">
        <v>1538</v>
      </c>
      <c r="F74" s="566"/>
      <c r="I74" s="349"/>
      <c r="J74" s="349"/>
      <c r="L74" s="733"/>
      <c r="M74" s="356">
        <f>SUM(M69:M71)</f>
        <v>3.5003764146682768</v>
      </c>
      <c r="N74" s="356">
        <f>SUM(N69:N71)</f>
        <v>3.2163463029575476</v>
      </c>
      <c r="S74" s="694">
        <f t="shared" si="28"/>
        <v>0.03</v>
      </c>
      <c r="T74" s="694">
        <f t="shared" si="28"/>
        <v>0.1</v>
      </c>
      <c r="U74" s="694">
        <f t="shared" si="28"/>
        <v>0.3</v>
      </c>
      <c r="V74" s="694">
        <f t="shared" si="28"/>
        <v>0.55000000000000004</v>
      </c>
      <c r="W74" s="694">
        <f t="shared" si="28"/>
        <v>0.85</v>
      </c>
      <c r="X74" s="694">
        <f t="shared" si="28"/>
        <v>0.95</v>
      </c>
      <c r="Y74" s="694">
        <f t="shared" si="28"/>
        <v>1</v>
      </c>
      <c r="AK74" s="705">
        <f t="shared" si="26"/>
        <v>14</v>
      </c>
      <c r="AL74" s="705" t="str">
        <f>LEFT(B73,3)</f>
        <v>CEH</v>
      </c>
      <c r="AP74"/>
      <c r="AQ74" s="765" t="s">
        <v>709</v>
      </c>
      <c r="AR74"/>
      <c r="AV74" s="314"/>
      <c r="AW74" s="314"/>
      <c r="AZ74" s="705" t="s">
        <v>709</v>
      </c>
      <c r="BF74" s="314"/>
    </row>
    <row r="75" spans="1:58">
      <c r="A75" s="722" t="s">
        <v>1541</v>
      </c>
      <c r="B75" s="722"/>
      <c r="C75" s="743"/>
      <c r="D75" s="743"/>
      <c r="E75" s="738"/>
      <c r="F75" s="566"/>
      <c r="G75" s="738"/>
      <c r="H75" s="738"/>
      <c r="I75" s="349"/>
      <c r="J75" s="349"/>
      <c r="K75" s="698"/>
      <c r="L75" s="745"/>
      <c r="M75" s="745"/>
      <c r="AK75" s="705">
        <f t="shared" si="26"/>
        <v>15</v>
      </c>
      <c r="AQ75" s="765" t="s">
        <v>709</v>
      </c>
      <c r="AR75"/>
      <c r="AS75" s="722"/>
      <c r="AV75" s="314"/>
      <c r="AW75" s="314"/>
      <c r="AZ75" s="705" t="s">
        <v>709</v>
      </c>
      <c r="BF75" s="314"/>
    </row>
    <row r="76" spans="1:58">
      <c r="A76" s="722" t="str">
        <f>A$45&amp;" - "&amp;VLOOKUP(RIGHT(C76,3),NameConv!$E$3:$F$16,2,FALSE)&amp;" - Existing"</f>
        <v>Commercial - Cooking - Oil LPG - Existing</v>
      </c>
      <c r="B76" s="722" t="str">
        <f>D76&amp;RIGHT(C76,3)&amp;"-E"</f>
        <v>CEKOLP-E</v>
      </c>
      <c r="C76" s="723" t="str">
        <f>$J$6</f>
        <v>COMOLP</v>
      </c>
      <c r="D76" s="723" t="str">
        <f>$B$45</f>
        <v>CEK</v>
      </c>
      <c r="E76" s="347">
        <f>Appliances!J34</f>
        <v>0.9</v>
      </c>
      <c r="F76" s="566">
        <f ca="1">SUMIF(AFA!$B$3:$S$3,D76,AFA!$B$4:$J$4)</f>
        <v>0.68689999999999996</v>
      </c>
      <c r="G76" s="348">
        <v>15</v>
      </c>
      <c r="H76" s="349">
        <f ca="1">(N76/F76)*(1+$H$55)</f>
        <v>0.28461516589587199</v>
      </c>
      <c r="I76" s="349">
        <f>SUMIF('Technology costs'!$B$7:$B$28,COM_2017!B76,'Technology costs'!$L$7:$L$28)</f>
        <v>176.62153776607363</v>
      </c>
      <c r="J76" s="349">
        <f t="shared" si="25"/>
        <v>17.662153776607365</v>
      </c>
      <c r="K76" s="705">
        <v>0</v>
      </c>
      <c r="L76" s="350">
        <f>Appliances!F34</f>
        <v>1</v>
      </c>
      <c r="M76" s="349">
        <f>L76*SUMIF($C$6:$J$6,C76,$C$45:$J$45)</f>
        <v>0.21722461939319382</v>
      </c>
      <c r="N76" s="349">
        <f>M76*E76</f>
        <v>0.19550215745387445</v>
      </c>
      <c r="P76" s="696"/>
      <c r="Q76" s="694"/>
      <c r="R76" s="694">
        <f>N76/SUMIF($D$61:$D$121,$D76,$N$61:$N$121)</f>
        <v>2.1847296476978244E-2</v>
      </c>
      <c r="S76" s="694">
        <f t="shared" ref="S76:Y77" si="31">MIN(1,$R76+S$52)</f>
        <v>5.1847296476978243E-2</v>
      </c>
      <c r="T76" s="694">
        <f t="shared" si="31"/>
        <v>0.12184729647697826</v>
      </c>
      <c r="U76" s="694">
        <f t="shared" si="31"/>
        <v>0.32184729647697824</v>
      </c>
      <c r="V76" s="694">
        <f t="shared" si="31"/>
        <v>0.5718472964769783</v>
      </c>
      <c r="W76" s="694">
        <f t="shared" si="31"/>
        <v>0.87184729647697823</v>
      </c>
      <c r="X76" s="694">
        <f t="shared" si="31"/>
        <v>0.97184729647697821</v>
      </c>
      <c r="Y76" s="694">
        <f t="shared" si="31"/>
        <v>1</v>
      </c>
      <c r="AA76" s="696"/>
      <c r="AB76" s="694"/>
      <c r="AC76" s="694">
        <f>R76/(1+$P$55+$AA$55)</f>
        <v>2.1418918114684552E-2</v>
      </c>
      <c r="AD76" s="786">
        <v>0</v>
      </c>
      <c r="AE76" s="786">
        <v>0</v>
      </c>
      <c r="AF76" s="694">
        <f t="shared" ref="AF76:AI78" si="32">$AC76*AF$52</f>
        <v>0</v>
      </c>
      <c r="AG76" s="694">
        <f t="shared" si="32"/>
        <v>0</v>
      </c>
      <c r="AH76" s="694">
        <f t="shared" si="32"/>
        <v>0</v>
      </c>
      <c r="AI76" s="694">
        <f t="shared" si="32"/>
        <v>0</v>
      </c>
      <c r="AJ76" s="694">
        <f>$AA76*AJ$52</f>
        <v>0</v>
      </c>
      <c r="AK76" s="705">
        <f t="shared" si="26"/>
        <v>16</v>
      </c>
      <c r="AP76"/>
      <c r="AQ76" s="765" t="s">
        <v>1504</v>
      </c>
      <c r="AR76" t="s">
        <v>1307</v>
      </c>
      <c r="AS76" s="722" t="s">
        <v>1308</v>
      </c>
      <c r="AT76" s="705" t="s">
        <v>647</v>
      </c>
      <c r="AU76" s="705" t="s">
        <v>662</v>
      </c>
      <c r="AV76" s="314" t="s">
        <v>734</v>
      </c>
      <c r="AW76" s="314"/>
      <c r="AZ76" s="705" t="s">
        <v>1520</v>
      </c>
      <c r="BB76" s="705" t="str">
        <f t="shared" si="23"/>
        <v>CEK</v>
      </c>
      <c r="BC76" s="705" t="str">
        <f t="shared" si="24"/>
        <v>Commercial - Cooking - Oil LPG - Existing</v>
      </c>
      <c r="BD76" s="705" t="s">
        <v>647</v>
      </c>
      <c r="BF76" s="314" t="s">
        <v>734</v>
      </c>
    </row>
    <row r="77" spans="1:58">
      <c r="A77" s="722" t="str">
        <f>A$45&amp;" - "&amp;VLOOKUP(RIGHT(C77,3),NameConv!$E$3:$F$16,2,FALSE)&amp;" - Existing"</f>
        <v>Commercial - Cooking - Electricity - Existing</v>
      </c>
      <c r="B77" s="722" t="str">
        <f t="shared" ref="B77:B78" si="33">D77&amp;RIGHT(C77,3)&amp;"-E"</f>
        <v>CEKELC-E</v>
      </c>
      <c r="C77" s="723" t="str">
        <f t="shared" ref="C77" si="34">$E$6</f>
        <v>COMELC</v>
      </c>
      <c r="D77" s="723" t="str">
        <f t="shared" ref="D77:D78" si="35">$B$45</f>
        <v>CEK</v>
      </c>
      <c r="E77" s="347">
        <f>Appliances!J33</f>
        <v>1</v>
      </c>
      <c r="F77" s="566">
        <f ca="1">SUMIF(AFA!$B$3:$S$3,D77,AFA!$B$4:$J$4)</f>
        <v>0.68689999999999996</v>
      </c>
      <c r="G77" s="348">
        <v>15</v>
      </c>
      <c r="H77" s="349">
        <f t="shared" ref="H77:H78" ca="1" si="36">(N77/F77)*(1+$H$55)</f>
        <v>12.742239053244216</v>
      </c>
      <c r="I77" s="488">
        <f>I76</f>
        <v>176.62153776607363</v>
      </c>
      <c r="J77" s="349">
        <f t="shared" si="25"/>
        <v>17.662153776607365</v>
      </c>
      <c r="K77" s="705">
        <v>0</v>
      </c>
      <c r="L77" s="350">
        <f>Appliances!F33</f>
        <v>1</v>
      </c>
      <c r="M77" s="349">
        <f t="shared" ref="M77:M78" si="37">L77*SUMIF($C$6:$J$6,C77,$C$45:$J$45)</f>
        <v>8.7526440056734511</v>
      </c>
      <c r="N77" s="349">
        <f t="shared" ref="N77:N78" si="38">M77*E77</f>
        <v>8.7526440056734511</v>
      </c>
      <c r="P77" s="696"/>
      <c r="Q77" s="694"/>
      <c r="R77" s="694">
        <f t="shared" ref="R77:R78" si="39">N77/SUMIF($D$61:$D$121,$D77,$N$61:$N$121)</f>
        <v>0.97810485080968967</v>
      </c>
      <c r="S77" s="694">
        <f t="shared" si="31"/>
        <v>1</v>
      </c>
      <c r="T77" s="694">
        <f t="shared" si="31"/>
        <v>1</v>
      </c>
      <c r="U77" s="694">
        <f t="shared" si="31"/>
        <v>1</v>
      </c>
      <c r="V77" s="694">
        <f t="shared" si="31"/>
        <v>1</v>
      </c>
      <c r="W77" s="694">
        <f t="shared" si="31"/>
        <v>1</v>
      </c>
      <c r="X77" s="694">
        <f t="shared" si="31"/>
        <v>1</v>
      </c>
      <c r="Y77" s="694">
        <f t="shared" si="31"/>
        <v>1</v>
      </c>
      <c r="AA77" s="696"/>
      <c r="AB77" s="694"/>
      <c r="AC77" s="694">
        <f>R77/(1+$P$55+$AA$55)</f>
        <v>0.95892632432322511</v>
      </c>
      <c r="AD77" s="786">
        <v>0</v>
      </c>
      <c r="AE77" s="786">
        <v>0</v>
      </c>
      <c r="AF77" s="694">
        <f t="shared" si="32"/>
        <v>0</v>
      </c>
      <c r="AG77" s="694">
        <f t="shared" si="32"/>
        <v>0</v>
      </c>
      <c r="AH77" s="694">
        <f t="shared" si="32"/>
        <v>0</v>
      </c>
      <c r="AI77" s="694">
        <f t="shared" si="32"/>
        <v>0</v>
      </c>
      <c r="AJ77" s="694">
        <f>$AA77*AJ$52</f>
        <v>0</v>
      </c>
      <c r="AK77" s="705">
        <f t="shared" si="26"/>
        <v>17</v>
      </c>
      <c r="AP77"/>
      <c r="AQ77" s="765" t="s">
        <v>1504</v>
      </c>
      <c r="AR77" t="s">
        <v>1309</v>
      </c>
      <c r="AS77" s="722" t="s">
        <v>1310</v>
      </c>
      <c r="AT77" s="705" t="s">
        <v>647</v>
      </c>
      <c r="AU77" s="705" t="s">
        <v>662</v>
      </c>
      <c r="AV77" s="314" t="s">
        <v>734</v>
      </c>
      <c r="AW77" s="314"/>
      <c r="AZ77" s="705" t="s">
        <v>1520</v>
      </c>
      <c r="BB77" s="705" t="str">
        <f t="shared" si="23"/>
        <v>CEK</v>
      </c>
      <c r="BC77" s="705" t="str">
        <f t="shared" si="24"/>
        <v>Commercial - Cooking - Electricity - Existing</v>
      </c>
      <c r="BD77" s="705" t="s">
        <v>647</v>
      </c>
      <c r="BF77" s="314" t="s">
        <v>1503</v>
      </c>
    </row>
    <row r="78" spans="1:58">
      <c r="A78" s="722" t="str">
        <f>A$45&amp;" - "&amp;VLOOKUP(RIGHT(C78,3),NameConv!$E$3:$F$16,2,FALSE)&amp;" - Existing"</f>
        <v>Commercial - Cooking - Coal - Existing</v>
      </c>
      <c r="B78" s="722" t="str">
        <f t="shared" si="33"/>
        <v>CEKCOA-E</v>
      </c>
      <c r="C78" s="723" t="str">
        <f>$C$6</f>
        <v>COMCOA</v>
      </c>
      <c r="D78" s="723" t="str">
        <f t="shared" si="35"/>
        <v>CEK</v>
      </c>
      <c r="E78" s="347">
        <f>Appliances!J36</f>
        <v>0.75</v>
      </c>
      <c r="F78" s="566">
        <f ca="1">SUMIF(AFA!$B$3:$S$3,D78,AFA!$B$4:$J$4)</f>
        <v>0.68689999999999996</v>
      </c>
      <c r="G78" s="348">
        <v>15</v>
      </c>
      <c r="H78" s="349">
        <f t="shared" ca="1" si="36"/>
        <v>6.2340015195565734E-4</v>
      </c>
      <c r="I78" s="488">
        <f>I77</f>
        <v>176.62153776607363</v>
      </c>
      <c r="J78" s="349">
        <f t="shared" si="25"/>
        <v>17.662153776607365</v>
      </c>
      <c r="K78" s="705">
        <v>0</v>
      </c>
      <c r="L78" s="350">
        <f>Appliances!F36</f>
        <v>1</v>
      </c>
      <c r="M78" s="349">
        <f t="shared" si="37"/>
        <v>5.7095141917112141E-4</v>
      </c>
      <c r="N78" s="349">
        <f t="shared" si="38"/>
        <v>4.2821356437834103E-4</v>
      </c>
      <c r="P78" s="696"/>
      <c r="Q78" s="694"/>
      <c r="R78" s="694">
        <f t="shared" si="39"/>
        <v>4.7852713332048312E-5</v>
      </c>
      <c r="S78" s="694">
        <f>R78</f>
        <v>4.7852713332048312E-5</v>
      </c>
      <c r="T78" s="694">
        <f t="shared" ref="T78:Y78" si="40">S78</f>
        <v>4.7852713332048312E-5</v>
      </c>
      <c r="U78" s="694">
        <f t="shared" si="40"/>
        <v>4.7852713332048312E-5</v>
      </c>
      <c r="V78" s="694">
        <f t="shared" si="40"/>
        <v>4.7852713332048312E-5</v>
      </c>
      <c r="W78" s="694">
        <f t="shared" si="40"/>
        <v>4.7852713332048312E-5</v>
      </c>
      <c r="X78" s="694">
        <f t="shared" si="40"/>
        <v>4.7852713332048312E-5</v>
      </c>
      <c r="Y78" s="694">
        <f t="shared" si="40"/>
        <v>4.7852713332048312E-5</v>
      </c>
      <c r="AA78" s="696"/>
      <c r="AB78" s="694"/>
      <c r="AC78" s="694">
        <f>R78/(1+$P$55+$AA$55)</f>
        <v>4.6914424835341478E-5</v>
      </c>
      <c r="AD78" s="786">
        <v>0</v>
      </c>
      <c r="AE78" s="786">
        <v>0</v>
      </c>
      <c r="AF78" s="694">
        <f t="shared" si="32"/>
        <v>0</v>
      </c>
      <c r="AG78" s="694">
        <f t="shared" si="32"/>
        <v>0</v>
      </c>
      <c r="AH78" s="694">
        <f t="shared" si="32"/>
        <v>0</v>
      </c>
      <c r="AI78" s="694">
        <f t="shared" si="32"/>
        <v>0</v>
      </c>
      <c r="AJ78" s="694">
        <f>$AA78*AJ$52</f>
        <v>0</v>
      </c>
      <c r="AK78" s="705">
        <f t="shared" si="26"/>
        <v>18</v>
      </c>
      <c r="AP78"/>
      <c r="AQ78" s="765" t="s">
        <v>1504</v>
      </c>
      <c r="AR78" t="s">
        <v>1311</v>
      </c>
      <c r="AS78" s="722" t="s">
        <v>1312</v>
      </c>
      <c r="AT78" s="705" t="s">
        <v>647</v>
      </c>
      <c r="AU78" s="705" t="s">
        <v>662</v>
      </c>
      <c r="AV78" s="314" t="s">
        <v>734</v>
      </c>
      <c r="AW78" s="314"/>
      <c r="AZ78" s="705" t="s">
        <v>1520</v>
      </c>
      <c r="BB78" s="705" t="str">
        <f t="shared" si="23"/>
        <v>CEK</v>
      </c>
      <c r="BC78" s="705" t="str">
        <f t="shared" si="24"/>
        <v>Commercial - Cooking - Coal - Existing</v>
      </c>
      <c r="BD78" s="705" t="s">
        <v>647</v>
      </c>
      <c r="BF78" s="314" t="s">
        <v>734</v>
      </c>
    </row>
    <row r="79" spans="1:58">
      <c r="A79" s="742" t="s">
        <v>1538</v>
      </c>
      <c r="F79" s="566"/>
      <c r="I79" s="349"/>
      <c r="J79" s="349"/>
      <c r="L79" s="733">
        <f>SUM(L76)</f>
        <v>1</v>
      </c>
      <c r="M79" s="356">
        <f>SUM(M76:M78)</f>
        <v>8.9704395764858162</v>
      </c>
      <c r="N79" s="356">
        <f>SUM(N76:N78)</f>
        <v>8.9485743766917043</v>
      </c>
      <c r="AD79" s="694"/>
      <c r="AE79" s="694"/>
      <c r="AF79" s="694"/>
      <c r="AG79" s="694"/>
      <c r="AH79" s="694"/>
      <c r="AI79" s="694"/>
      <c r="AK79" s="705">
        <f t="shared" si="26"/>
        <v>19</v>
      </c>
      <c r="AL79" s="705" t="str">
        <f>LEFT(B78,3)</f>
        <v>CEK</v>
      </c>
      <c r="AP79"/>
      <c r="AQ79" s="765" t="s">
        <v>709</v>
      </c>
      <c r="AR79"/>
      <c r="AV79" s="314"/>
      <c r="AW79" s="314"/>
      <c r="AZ79" s="705" t="s">
        <v>709</v>
      </c>
      <c r="BF79" s="314"/>
    </row>
    <row r="80" spans="1:58">
      <c r="A80" s="722" t="s">
        <v>1542</v>
      </c>
      <c r="B80" s="722"/>
      <c r="C80" s="743"/>
      <c r="D80" s="743"/>
      <c r="E80" s="738"/>
      <c r="F80" s="566"/>
      <c r="G80" s="738"/>
      <c r="H80" s="738"/>
      <c r="I80" s="349"/>
      <c r="J80" s="349"/>
      <c r="K80" s="698"/>
      <c r="L80" s="745"/>
      <c r="M80" s="745"/>
      <c r="AK80" s="705">
        <f t="shared" si="26"/>
        <v>20</v>
      </c>
      <c r="AP80"/>
      <c r="AQ80" s="765" t="s">
        <v>709</v>
      </c>
      <c r="AR80"/>
      <c r="AS80" s="722"/>
      <c r="AV80" s="314"/>
      <c r="AW80" s="314"/>
      <c r="AZ80" s="705" t="s">
        <v>709</v>
      </c>
      <c r="BF80" s="314"/>
    </row>
    <row r="81" spans="1:58">
      <c r="A81" s="722" t="str">
        <f>A$46&amp;" - "&amp;VLOOKUP(RIGHT(C81,3),NameConv!$E$3:$F$16,2,FALSE)&amp;" - CFL - Existing"</f>
        <v>Commercial - Lighting - Electricity - CFL - Existing</v>
      </c>
      <c r="B81" s="722" t="str">
        <f>D81&amp;RIGHT(C81,3)&amp;"CFL-E"</f>
        <v>CELELCCFL-E</v>
      </c>
      <c r="C81" s="723" t="str">
        <f t="shared" ref="C81:C86" si="41">$E$6</f>
        <v>COMELC</v>
      </c>
      <c r="D81" s="723" t="str">
        <f t="shared" ref="D81:D86" si="42">$B$46</f>
        <v>CEL</v>
      </c>
      <c r="E81" s="347">
        <f>Appliances!J68</f>
        <v>4</v>
      </c>
      <c r="F81" s="566">
        <f ca="1">SUMIF(AFA!$B$3:$S$3,D81,AFA!$B$4:$J$4)</f>
        <v>0.55200000000000005</v>
      </c>
      <c r="G81" s="348">
        <v>5</v>
      </c>
      <c r="H81" s="349">
        <f t="shared" ref="H81:H85" ca="1" si="43">(N81/F81)*(1+$H$55)</f>
        <v>10.678329345719563</v>
      </c>
      <c r="I81" s="780">
        <f>2.52021843691898*Deflator!AD7</f>
        <v>3.5422848059078738</v>
      </c>
      <c r="J81" s="349">
        <f t="shared" si="25"/>
        <v>0.35422848059078738</v>
      </c>
      <c r="L81" s="350">
        <f>Appliances!F68</f>
        <v>0.06</v>
      </c>
      <c r="M81" s="349">
        <f>L81*SUMIF($C$6:$J$6,C81,$C$46:$J$46)</f>
        <v>1.4736094497092997</v>
      </c>
      <c r="N81" s="349">
        <f>M81*E81</f>
        <v>5.894437798837199</v>
      </c>
      <c r="P81" s="696"/>
      <c r="Q81" s="694"/>
      <c r="R81" s="694">
        <f t="shared" ref="R81:R86" si="44">N81/SUMIF($D$61:$D$121,$D81,$N$61:$N$121)*(1+$P$55)</f>
        <v>5.3274725274725265E-2</v>
      </c>
      <c r="S81" s="694">
        <f t="shared" ref="S81:Y84" si="45">MIN(1,$R81+S$52)</f>
        <v>8.3274725274725264E-2</v>
      </c>
      <c r="T81" s="694">
        <f t="shared" si="45"/>
        <v>0.15327472527472527</v>
      </c>
      <c r="U81" s="694">
        <f t="shared" si="45"/>
        <v>0.35327472527472525</v>
      </c>
      <c r="V81" s="694">
        <f t="shared" si="45"/>
        <v>0.60327472527472525</v>
      </c>
      <c r="W81" s="694">
        <f t="shared" si="45"/>
        <v>0.9032747252747253</v>
      </c>
      <c r="X81" s="694">
        <f t="shared" si="45"/>
        <v>1</v>
      </c>
      <c r="Y81" s="694">
        <f t="shared" si="45"/>
        <v>1</v>
      </c>
      <c r="AA81" s="696"/>
      <c r="AB81" s="694"/>
      <c r="AC81" s="694">
        <f t="shared" ref="AC81:AC87" si="46">R81/(1+$P$55+$AA$55)</f>
        <v>5.22301228183581E-2</v>
      </c>
      <c r="AD81" s="786">
        <v>0</v>
      </c>
      <c r="AE81" s="786">
        <v>0</v>
      </c>
      <c r="AF81" s="694">
        <f t="shared" ref="AF81:AI84" si="47">$AC81*AF$52</f>
        <v>0</v>
      </c>
      <c r="AG81" s="694">
        <f t="shared" si="47"/>
        <v>0</v>
      </c>
      <c r="AH81" s="694">
        <f t="shared" si="47"/>
        <v>0</v>
      </c>
      <c r="AI81" s="694">
        <f t="shared" si="47"/>
        <v>0</v>
      </c>
      <c r="AJ81" s="694">
        <f>$AA81*AJ$52</f>
        <v>0</v>
      </c>
      <c r="AK81" s="705">
        <f t="shared" si="26"/>
        <v>21</v>
      </c>
      <c r="AP81"/>
      <c r="AQ81" s="765" t="s">
        <v>1504</v>
      </c>
      <c r="AR81" t="s">
        <v>1373</v>
      </c>
      <c r="AS81" s="722" t="s">
        <v>1374</v>
      </c>
      <c r="AT81" s="705" t="s">
        <v>647</v>
      </c>
      <c r="AU81" s="705" t="s">
        <v>662</v>
      </c>
      <c r="AV81" s="314" t="s">
        <v>734</v>
      </c>
      <c r="AW81" s="314"/>
      <c r="AZ81" s="705" t="s">
        <v>1520</v>
      </c>
      <c r="BB81" s="705" t="str">
        <f t="shared" si="23"/>
        <v>CEL</v>
      </c>
      <c r="BC81" s="705" t="str">
        <f t="shared" si="24"/>
        <v>Commercial - Lighting - Electricity - CFL - Existing</v>
      </c>
      <c r="BD81" s="705" t="s">
        <v>647</v>
      </c>
      <c r="BF81" s="314" t="s">
        <v>1503</v>
      </c>
    </row>
    <row r="82" spans="1:58">
      <c r="A82" s="722" t="str">
        <f>A$46&amp;" - "&amp;VLOOKUP(RIGHT(C82,3),NameConv!$E$3:$F$16,2,FALSE)&amp;" - FLU - Existing"</f>
        <v>Commercial - Lighting - Electricity - FLU - Existing</v>
      </c>
      <c r="B82" s="722" t="str">
        <f>D82&amp;RIGHT(C82,3)&amp;"FLU-E"</f>
        <v>CELELCFLU-E</v>
      </c>
      <c r="C82" s="723" t="str">
        <f t="shared" si="41"/>
        <v>COMELC</v>
      </c>
      <c r="D82" s="723" t="str">
        <f t="shared" si="42"/>
        <v>CEL</v>
      </c>
      <c r="E82" s="347">
        <f>Appliances!J69</f>
        <v>4.5</v>
      </c>
      <c r="F82" s="566">
        <f ca="1">SUMIF(AFA!$B$3:$S$3,D82,AFA!$B$4:$J$4)</f>
        <v>0.55200000000000005</v>
      </c>
      <c r="G82" s="570">
        <v>5</v>
      </c>
      <c r="H82" s="349">
        <f t="shared" ca="1" si="43"/>
        <v>140.15307266256926</v>
      </c>
      <c r="I82" s="569">
        <f>('Technology costs'!J15/'Technology costs'!J14)*COM_2017!I81</f>
        <v>2.9545163093523632</v>
      </c>
      <c r="J82" s="349">
        <f t="shared" si="25"/>
        <v>0.29545163093523635</v>
      </c>
      <c r="L82" s="350">
        <f>Appliances!F69</f>
        <v>0.7</v>
      </c>
      <c r="M82" s="349">
        <f>L82*SUMIF($C$6:$J$6,C82,$C$46:$J$46)</f>
        <v>17.192110246608497</v>
      </c>
      <c r="N82" s="349">
        <f t="shared" ref="N82:N86" si="48">M82*E82</f>
        <v>77.364496109738241</v>
      </c>
      <c r="P82" s="696"/>
      <c r="Q82" s="694"/>
      <c r="R82" s="694">
        <f t="shared" si="44"/>
        <v>0.69923076923076921</v>
      </c>
      <c r="S82" s="694">
        <f t="shared" si="45"/>
        <v>0.72923076923076924</v>
      </c>
      <c r="T82" s="694">
        <f t="shared" si="45"/>
        <v>0.79923076923076919</v>
      </c>
      <c r="U82" s="694">
        <f t="shared" si="45"/>
        <v>0.99923076923076914</v>
      </c>
      <c r="V82" s="694">
        <f t="shared" si="45"/>
        <v>1</v>
      </c>
      <c r="W82" s="694">
        <f t="shared" si="45"/>
        <v>1</v>
      </c>
      <c r="X82" s="694">
        <f t="shared" si="45"/>
        <v>1</v>
      </c>
      <c r="Y82" s="694">
        <f t="shared" si="45"/>
        <v>1</v>
      </c>
      <c r="AA82" s="696"/>
      <c r="AB82" s="694"/>
      <c r="AC82" s="694">
        <f t="shared" si="46"/>
        <v>0.68552036199095023</v>
      </c>
      <c r="AD82" s="786">
        <v>0</v>
      </c>
      <c r="AE82" s="786">
        <v>0</v>
      </c>
      <c r="AF82" s="694">
        <f t="shared" si="47"/>
        <v>0</v>
      </c>
      <c r="AG82" s="694">
        <f t="shared" si="47"/>
        <v>0</v>
      </c>
      <c r="AH82" s="694">
        <f t="shared" si="47"/>
        <v>0</v>
      </c>
      <c r="AI82" s="694">
        <f t="shared" si="47"/>
        <v>0</v>
      </c>
      <c r="AJ82" s="694">
        <f>$AA82*AJ$52</f>
        <v>0</v>
      </c>
      <c r="AK82" s="705">
        <f t="shared" si="26"/>
        <v>22</v>
      </c>
      <c r="AQ82" s="765" t="s">
        <v>1504</v>
      </c>
      <c r="AR82" t="s">
        <v>1375</v>
      </c>
      <c r="AS82" s="722" t="s">
        <v>1376</v>
      </c>
      <c r="AT82" s="705" t="s">
        <v>647</v>
      </c>
      <c r="AU82" s="705" t="s">
        <v>662</v>
      </c>
      <c r="AV82" s="314" t="s">
        <v>734</v>
      </c>
      <c r="AW82" s="314"/>
      <c r="AZ82" s="705" t="s">
        <v>1520</v>
      </c>
      <c r="BB82" s="705" t="str">
        <f t="shared" si="23"/>
        <v>CEL</v>
      </c>
      <c r="BC82" s="705" t="str">
        <f t="shared" si="24"/>
        <v>Commercial - Lighting - Electricity - FLU - Existing</v>
      </c>
      <c r="BD82" s="705" t="s">
        <v>647</v>
      </c>
      <c r="BF82" s="314" t="s">
        <v>1503</v>
      </c>
    </row>
    <row r="83" spans="1:58">
      <c r="A83" s="722" t="str">
        <f>A$46&amp;" - "&amp;VLOOKUP(RIGHT(C83,3),NameConv!$E$3:$F$16,2,FALSE)&amp;" - HAL - Existing"</f>
        <v>Commercial - Lighting - Electricity - HAL - Existing</v>
      </c>
      <c r="B83" s="722" t="str">
        <f>D83&amp;RIGHT(C83,3)&amp;"HAL-E"</f>
        <v>CELELCHAL-E</v>
      </c>
      <c r="C83" s="723" t="str">
        <f t="shared" si="41"/>
        <v>COMELC</v>
      </c>
      <c r="D83" s="723" t="str">
        <f t="shared" si="42"/>
        <v>CEL</v>
      </c>
      <c r="E83" s="347">
        <f>Appliances!J70</f>
        <v>2</v>
      </c>
      <c r="F83" s="566">
        <f ca="1">SUMIF(AFA!$B$3:$S$3,D83,AFA!$B$4:$J$4)</f>
        <v>0.55200000000000005</v>
      </c>
      <c r="G83" s="570">
        <v>5</v>
      </c>
      <c r="H83" s="349">
        <f t="shared" ca="1" si="43"/>
        <v>1.7797215576199272</v>
      </c>
      <c r="I83" s="569">
        <f>('Technology costs'!J16/'Technology costs'!J14)*COM_2017!I81</f>
        <v>1.0658202070873248</v>
      </c>
      <c r="J83" s="349">
        <f t="shared" si="25"/>
        <v>0.10658202070873249</v>
      </c>
      <c r="L83" s="350">
        <f>Appliances!F70</f>
        <v>0.02</v>
      </c>
      <c r="M83" s="349">
        <f>L83*SUMIF($C$6:$J$6,C83,$C$46:$J$46)</f>
        <v>0.49120314990309993</v>
      </c>
      <c r="N83" s="349">
        <f t="shared" si="48"/>
        <v>0.98240629980619987</v>
      </c>
      <c r="P83" s="696"/>
      <c r="Q83" s="694"/>
      <c r="R83" s="694">
        <f t="shared" si="44"/>
        <v>8.8791208791208793E-3</v>
      </c>
      <c r="S83" s="694">
        <f t="shared" si="45"/>
        <v>3.8879120879120876E-2</v>
      </c>
      <c r="T83" s="694">
        <f t="shared" si="45"/>
        <v>0.10887912087912088</v>
      </c>
      <c r="U83" s="694">
        <f t="shared" si="45"/>
        <v>0.30887912087912089</v>
      </c>
      <c r="V83" s="694">
        <f t="shared" si="45"/>
        <v>0.55887912087912095</v>
      </c>
      <c r="W83" s="694">
        <f t="shared" si="45"/>
        <v>0.85887912087912088</v>
      </c>
      <c r="X83" s="694">
        <f t="shared" si="45"/>
        <v>0.95887912087912086</v>
      </c>
      <c r="Y83" s="694">
        <f t="shared" si="45"/>
        <v>1</v>
      </c>
      <c r="AA83" s="696"/>
      <c r="AB83" s="694"/>
      <c r="AC83" s="694">
        <f t="shared" si="46"/>
        <v>8.7050204697263524E-3</v>
      </c>
      <c r="AD83" s="786">
        <v>0</v>
      </c>
      <c r="AE83" s="786">
        <v>0</v>
      </c>
      <c r="AF83" s="694">
        <f t="shared" si="47"/>
        <v>0</v>
      </c>
      <c r="AG83" s="694">
        <f t="shared" si="47"/>
        <v>0</v>
      </c>
      <c r="AH83" s="694">
        <f t="shared" si="47"/>
        <v>0</v>
      </c>
      <c r="AI83" s="694">
        <f t="shared" si="47"/>
        <v>0</v>
      </c>
      <c r="AJ83" s="694">
        <f>$AA83*AJ$52</f>
        <v>0</v>
      </c>
      <c r="AK83" s="705">
        <f t="shared" si="26"/>
        <v>23</v>
      </c>
      <c r="AP83"/>
      <c r="AQ83" s="765" t="s">
        <v>1504</v>
      </c>
      <c r="AR83" t="s">
        <v>1377</v>
      </c>
      <c r="AS83" s="722" t="s">
        <v>1378</v>
      </c>
      <c r="AT83" s="705" t="s">
        <v>647</v>
      </c>
      <c r="AU83" s="705" t="s">
        <v>662</v>
      </c>
      <c r="AV83" s="314" t="s">
        <v>734</v>
      </c>
      <c r="AW83" s="314"/>
      <c r="AZ83" s="705" t="s">
        <v>1520</v>
      </c>
      <c r="BB83" s="705" t="str">
        <f t="shared" si="23"/>
        <v>CEL</v>
      </c>
      <c r="BC83" s="705" t="str">
        <f t="shared" si="24"/>
        <v>Commercial - Lighting - Electricity - HAL - Existing</v>
      </c>
      <c r="BD83" s="705" t="s">
        <v>647</v>
      </c>
      <c r="BF83" s="314" t="s">
        <v>1503</v>
      </c>
    </row>
    <row r="84" spans="1:58">
      <c r="A84" s="722" t="str">
        <f>A$46&amp;" - "&amp;VLOOKUP(RIGHT(C84,3),NameConv!$E$3:$F$16,2,FALSE)&amp;" - HID - Existing"</f>
        <v>Commercial - Lighting - Electricity - HID - Existing</v>
      </c>
      <c r="B84" s="722" t="str">
        <f>D84&amp;RIGHT(C84,3)&amp;"HID-E"</f>
        <v>CELELCHID-E</v>
      </c>
      <c r="C84" s="723" t="str">
        <f t="shared" si="41"/>
        <v>COMELC</v>
      </c>
      <c r="D84" s="723" t="str">
        <f t="shared" si="42"/>
        <v>CEL</v>
      </c>
      <c r="E84" s="347">
        <f>Appliances!J71</f>
        <v>7</v>
      </c>
      <c r="F84" s="566">
        <f ca="1">SUMIF(AFA!$B$3:$S$3,D84,AFA!$B$4:$J$4)</f>
        <v>0.55200000000000005</v>
      </c>
      <c r="G84" s="570">
        <v>5</v>
      </c>
      <c r="H84" s="349">
        <f t="shared" ca="1" si="43"/>
        <v>46.717690887523091</v>
      </c>
      <c r="I84" s="569">
        <f>('Technology costs'!J17/'Technology costs'!J14)*COM_2017!I81</f>
        <v>0.43103023080737402</v>
      </c>
      <c r="J84" s="349">
        <f t="shared" si="25"/>
        <v>4.3103023080737407E-2</v>
      </c>
      <c r="L84" s="350">
        <f>Appliances!F71</f>
        <v>0.15</v>
      </c>
      <c r="M84" s="349">
        <f t="shared" ref="M84:M86" si="49">L84*SUMIF($C$6:$J$6,C84,$C$46:$J$46)</f>
        <v>3.6840236242732494</v>
      </c>
      <c r="N84" s="349">
        <f t="shared" si="48"/>
        <v>25.788165369912747</v>
      </c>
      <c r="P84" s="696"/>
      <c r="Q84" s="694"/>
      <c r="R84" s="694">
        <f t="shared" si="44"/>
        <v>0.23307692307692307</v>
      </c>
      <c r="S84" s="694">
        <f t="shared" si="45"/>
        <v>0.2630769230769231</v>
      </c>
      <c r="T84" s="694">
        <f t="shared" si="45"/>
        <v>0.33307692307692305</v>
      </c>
      <c r="U84" s="694">
        <f t="shared" si="45"/>
        <v>0.533076923076923</v>
      </c>
      <c r="V84" s="694">
        <f t="shared" si="45"/>
        <v>0.78307692307692311</v>
      </c>
      <c r="W84" s="694">
        <f t="shared" si="45"/>
        <v>1</v>
      </c>
      <c r="X84" s="694">
        <f t="shared" si="45"/>
        <v>1</v>
      </c>
      <c r="Y84" s="694">
        <f t="shared" si="45"/>
        <v>1</v>
      </c>
      <c r="AA84" s="696"/>
      <c r="AB84" s="694"/>
      <c r="AC84" s="694">
        <f t="shared" si="46"/>
        <v>0.22850678733031674</v>
      </c>
      <c r="AD84" s="786">
        <v>0</v>
      </c>
      <c r="AE84" s="786">
        <v>0</v>
      </c>
      <c r="AF84" s="694">
        <f t="shared" si="47"/>
        <v>0</v>
      </c>
      <c r="AG84" s="694">
        <f t="shared" si="47"/>
        <v>0</v>
      </c>
      <c r="AH84" s="694">
        <f t="shared" si="47"/>
        <v>0</v>
      </c>
      <c r="AI84" s="694">
        <f t="shared" si="47"/>
        <v>0</v>
      </c>
      <c r="AJ84" s="694">
        <f>$AA84*AJ$52</f>
        <v>0</v>
      </c>
      <c r="AK84" s="705">
        <f t="shared" si="26"/>
        <v>24</v>
      </c>
      <c r="AP84"/>
      <c r="AQ84" s="765" t="s">
        <v>1504</v>
      </c>
      <c r="AR84" t="s">
        <v>1379</v>
      </c>
      <c r="AS84" s="722" t="s">
        <v>1380</v>
      </c>
      <c r="AT84" s="705" t="s">
        <v>647</v>
      </c>
      <c r="AU84" s="705" t="s">
        <v>662</v>
      </c>
      <c r="AV84" s="314" t="s">
        <v>734</v>
      </c>
      <c r="AW84" s="314"/>
      <c r="AZ84" s="705" t="s">
        <v>1520</v>
      </c>
      <c r="BB84" s="705" t="str">
        <f t="shared" si="23"/>
        <v>CEL</v>
      </c>
      <c r="BC84" s="705" t="str">
        <f t="shared" si="24"/>
        <v>Commercial - Lighting - Electricity - HID - Existing</v>
      </c>
      <c r="BD84" s="705" t="s">
        <v>647</v>
      </c>
      <c r="BF84" s="314" t="s">
        <v>1503</v>
      </c>
    </row>
    <row r="85" spans="1:58">
      <c r="A85" s="722" t="str">
        <f>A$46&amp;" - "&amp;VLOOKUP(RIGHT(C85,3),NameConv!$E$3:$F$16,2,FALSE)&amp;" - INC - Existing"</f>
        <v>Commercial - Lighting - Electricity - INC - Existing</v>
      </c>
      <c r="B85" s="722" t="str">
        <f>D85&amp;RIGHT(C85,3)&amp;"INC-E"</f>
        <v>CELELCINC-E</v>
      </c>
      <c r="C85" s="723" t="str">
        <f t="shared" si="41"/>
        <v>COMELC</v>
      </c>
      <c r="D85" s="723" t="str">
        <f t="shared" si="42"/>
        <v>CEL</v>
      </c>
      <c r="E85" s="347">
        <f>Appliances!J72</f>
        <v>1</v>
      </c>
      <c r="F85" s="566">
        <f ca="1">SUMIF(AFA!$B$3:$S$3,D85,AFA!$B$4:$J$4)</f>
        <v>0.55200000000000005</v>
      </c>
      <c r="G85" s="348">
        <v>2</v>
      </c>
      <c r="H85" s="349">
        <f t="shared" ca="1" si="43"/>
        <v>3.1145127258348726</v>
      </c>
      <c r="I85" s="780">
        <f>0.267295894824741*Deflator!AD7</f>
        <v>0.37569687335386637</v>
      </c>
      <c r="J85" s="349">
        <f t="shared" si="25"/>
        <v>3.756968733538664E-2</v>
      </c>
      <c r="L85" s="350">
        <f>Appliances!F72</f>
        <v>7.0000000000000007E-2</v>
      </c>
      <c r="M85" s="349">
        <f t="shared" si="49"/>
        <v>1.7192110246608499</v>
      </c>
      <c r="N85" s="349">
        <f t="shared" si="48"/>
        <v>1.7192110246608499</v>
      </c>
      <c r="P85" s="696"/>
      <c r="Q85" s="694"/>
      <c r="R85" s="694">
        <f t="shared" si="44"/>
        <v>1.5538461538461537E-2</v>
      </c>
      <c r="S85" s="694">
        <f>R85</f>
        <v>1.5538461538461537E-2</v>
      </c>
      <c r="T85" s="694">
        <v>0.01</v>
      </c>
      <c r="U85" s="694">
        <f>T85</f>
        <v>0.01</v>
      </c>
      <c r="V85" s="694">
        <f t="shared" ref="V85:Y85" si="50">U85</f>
        <v>0.01</v>
      </c>
      <c r="W85" s="694">
        <f t="shared" si="50"/>
        <v>0.01</v>
      </c>
      <c r="X85" s="694">
        <f t="shared" si="50"/>
        <v>0.01</v>
      </c>
      <c r="Y85" s="694">
        <f t="shared" si="50"/>
        <v>0.01</v>
      </c>
      <c r="AA85" s="696"/>
      <c r="AB85" s="694"/>
      <c r="AC85" s="694">
        <f t="shared" si="46"/>
        <v>1.5233785822021114E-2</v>
      </c>
      <c r="AD85" s="786">
        <v>0</v>
      </c>
      <c r="AE85" s="786">
        <v>0</v>
      </c>
      <c r="AF85" s="694">
        <v>0.01</v>
      </c>
      <c r="AG85" s="694">
        <v>0.01</v>
      </c>
      <c r="AH85" s="694">
        <v>0.01</v>
      </c>
      <c r="AI85" s="694">
        <v>0.01</v>
      </c>
      <c r="AJ85" s="694">
        <v>0.01</v>
      </c>
      <c r="AK85" s="705">
        <f t="shared" si="26"/>
        <v>25</v>
      </c>
      <c r="AQ85" s="765" t="s">
        <v>1504</v>
      </c>
      <c r="AR85" t="s">
        <v>1381</v>
      </c>
      <c r="AS85" s="722" t="s">
        <v>1382</v>
      </c>
      <c r="AT85" s="705" t="s">
        <v>647</v>
      </c>
      <c r="AU85" s="705" t="s">
        <v>662</v>
      </c>
      <c r="AV85" s="314" t="s">
        <v>734</v>
      </c>
      <c r="AW85" s="314"/>
      <c r="AZ85" s="705" t="s">
        <v>1520</v>
      </c>
      <c r="BB85" s="705" t="str">
        <f t="shared" si="23"/>
        <v>CEL</v>
      </c>
      <c r="BC85" s="705" t="str">
        <f t="shared" si="24"/>
        <v>Commercial - Lighting - Electricity - INC - Existing</v>
      </c>
      <c r="BD85" s="705" t="s">
        <v>647</v>
      </c>
      <c r="BF85" s="314" t="s">
        <v>1503</v>
      </c>
    </row>
    <row r="86" spans="1:58">
      <c r="A86" s="722" t="str">
        <f>A$46&amp;" - "&amp;VLOOKUP(RIGHT(C86,3),NameConv!$E$3:$F$16,2,FALSE)&amp;" - LED - New"</f>
        <v>Commercial - Lighting - Electricity - LED - New</v>
      </c>
      <c r="B86" s="722" t="str">
        <f>D86&amp;RIGHT(C86,3)&amp;"LED-N"</f>
        <v>CELELCLED-N</v>
      </c>
      <c r="C86" s="723" t="str">
        <f t="shared" si="41"/>
        <v>COMELC</v>
      </c>
      <c r="D86" s="723" t="str">
        <f t="shared" si="42"/>
        <v>CEL</v>
      </c>
      <c r="E86" s="347">
        <v>9.8000000000000007</v>
      </c>
      <c r="F86" s="566">
        <f ca="1">SUMIF(AFA!$B$3:$S$3,D86,AFA!$B$4:$J$4)</f>
        <v>0.55200000000000005</v>
      </c>
      <c r="G86" s="348">
        <v>10</v>
      </c>
      <c r="H86" s="349"/>
      <c r="I86" s="780">
        <f>4.92588149034165*Deflator!AD7</f>
        <v>6.9235566660926731</v>
      </c>
      <c r="J86" s="349">
        <f t="shared" si="25"/>
        <v>0.6923556666092674</v>
      </c>
      <c r="K86" s="705">
        <v>0</v>
      </c>
      <c r="L86" s="350">
        <v>0</v>
      </c>
      <c r="M86" s="349">
        <f t="shared" si="49"/>
        <v>0</v>
      </c>
      <c r="N86" s="349">
        <f t="shared" si="48"/>
        <v>0</v>
      </c>
      <c r="P86" s="696"/>
      <c r="Q86" s="694"/>
      <c r="R86" s="694">
        <f t="shared" si="44"/>
        <v>0</v>
      </c>
      <c r="S86" s="786">
        <v>0.5</v>
      </c>
      <c r="T86" s="786">
        <v>0.75</v>
      </c>
      <c r="U86" s="786">
        <v>1</v>
      </c>
      <c r="V86" s="786">
        <f t="shared" ref="V86:Y86" si="51">MIN(1,$R86+V$53)</f>
        <v>1</v>
      </c>
      <c r="W86" s="786">
        <f t="shared" si="51"/>
        <v>1</v>
      </c>
      <c r="X86" s="786">
        <f t="shared" si="51"/>
        <v>1</v>
      </c>
      <c r="Y86" s="786">
        <f t="shared" si="51"/>
        <v>1</v>
      </c>
      <c r="AA86" s="696"/>
      <c r="AB86" s="694"/>
      <c r="AC86" s="694">
        <f t="shared" si="46"/>
        <v>0</v>
      </c>
      <c r="AD86" s="786">
        <v>0</v>
      </c>
      <c r="AE86" s="786">
        <v>0</v>
      </c>
      <c r="AF86" s="694">
        <f t="shared" ref="AE86:AI87" si="52">$AC86*AF$52</f>
        <v>0</v>
      </c>
      <c r="AG86" s="694">
        <f t="shared" si="52"/>
        <v>0</v>
      </c>
      <c r="AH86" s="694">
        <f t="shared" si="52"/>
        <v>0</v>
      </c>
      <c r="AI86" s="694">
        <f t="shared" si="52"/>
        <v>0</v>
      </c>
      <c r="AJ86" s="694">
        <f>$AA86*AJ$52</f>
        <v>0</v>
      </c>
      <c r="AK86" s="705">
        <f t="shared" si="26"/>
        <v>26</v>
      </c>
      <c r="AP86"/>
      <c r="AQ86" s="765" t="s">
        <v>1504</v>
      </c>
      <c r="AR86" t="s">
        <v>1383</v>
      </c>
      <c r="AS86" s="722" t="s">
        <v>1384</v>
      </c>
      <c r="AT86" s="705" t="s">
        <v>647</v>
      </c>
      <c r="AU86" s="705" t="s">
        <v>662</v>
      </c>
      <c r="AV86" s="314" t="s">
        <v>734</v>
      </c>
      <c r="AW86" s="314"/>
      <c r="AZ86" s="705" t="s">
        <v>1520</v>
      </c>
      <c r="BB86" s="705" t="str">
        <f t="shared" si="23"/>
        <v>CEL</v>
      </c>
      <c r="BC86" s="705" t="str">
        <f t="shared" si="24"/>
        <v>Commercial - Lighting - Electricity - LED - New</v>
      </c>
      <c r="BD86" s="705" t="s">
        <v>647</v>
      </c>
      <c r="BF86" s="314" t="s">
        <v>1503</v>
      </c>
    </row>
    <row r="87" spans="1:58">
      <c r="A87" s="742" t="s">
        <v>1538</v>
      </c>
      <c r="F87" s="566"/>
      <c r="H87" s="349"/>
      <c r="I87" s="349"/>
      <c r="J87" s="349"/>
      <c r="L87" s="733">
        <f>SUM(L81:L85)</f>
        <v>1</v>
      </c>
      <c r="M87" s="356">
        <f>SUM(M81:M85)</f>
        <v>24.560157495154996</v>
      </c>
      <c r="N87" s="356">
        <f>SUM(N81:N85)</f>
        <v>111.74871660295524</v>
      </c>
      <c r="R87" s="733">
        <f>SUM(R81:R86)</f>
        <v>1.01</v>
      </c>
      <c r="S87" s="694">
        <f t="shared" ref="S87:Y87" si="53">MIN(1,$R87+S$52)</f>
        <v>1</v>
      </c>
      <c r="T87" s="694">
        <f t="shared" si="53"/>
        <v>1</v>
      </c>
      <c r="U87" s="694">
        <f t="shared" si="53"/>
        <v>1</v>
      </c>
      <c r="V87" s="694">
        <f t="shared" si="53"/>
        <v>1</v>
      </c>
      <c r="W87" s="694">
        <f t="shared" si="53"/>
        <v>1</v>
      </c>
      <c r="X87" s="694">
        <f t="shared" si="53"/>
        <v>1</v>
      </c>
      <c r="Y87" s="694">
        <f t="shared" si="53"/>
        <v>1</v>
      </c>
      <c r="AC87" s="694">
        <f t="shared" si="46"/>
        <v>0.99019607843137258</v>
      </c>
      <c r="AD87" s="694">
        <f>$AC87*AD$52</f>
        <v>0.96049019607843134</v>
      </c>
      <c r="AE87" s="694">
        <f t="shared" si="52"/>
        <v>0.74264705882352944</v>
      </c>
      <c r="AF87" s="694">
        <f t="shared" si="52"/>
        <v>0</v>
      </c>
      <c r="AG87" s="694">
        <f t="shared" si="52"/>
        <v>0</v>
      </c>
      <c r="AH87" s="694">
        <f t="shared" si="52"/>
        <v>0</v>
      </c>
      <c r="AI87" s="694">
        <f t="shared" si="52"/>
        <v>0</v>
      </c>
      <c r="AK87" s="705">
        <f t="shared" si="26"/>
        <v>27</v>
      </c>
      <c r="AL87" s="705" t="str">
        <f>LEFT(B86,3)</f>
        <v>CEL</v>
      </c>
      <c r="AP87"/>
      <c r="AQ87" s="765" t="s">
        <v>709</v>
      </c>
      <c r="AR87"/>
      <c r="AV87" s="314"/>
      <c r="AW87" s="314"/>
      <c r="AZ87" s="705" t="s">
        <v>709</v>
      </c>
      <c r="BF87" s="314"/>
    </row>
    <row r="88" spans="1:58">
      <c r="A88" s="722" t="s">
        <v>1543</v>
      </c>
      <c r="B88" s="722"/>
      <c r="C88" s="743"/>
      <c r="D88" s="743"/>
      <c r="E88" s="738"/>
      <c r="F88" s="566"/>
      <c r="G88" s="738"/>
      <c r="H88" s="349"/>
      <c r="I88" s="349"/>
      <c r="J88" s="349"/>
      <c r="K88" s="698"/>
      <c r="L88" s="745"/>
      <c r="M88" s="745"/>
      <c r="AK88" s="705">
        <f t="shared" si="26"/>
        <v>28</v>
      </c>
      <c r="AP88"/>
      <c r="AQ88" s="765" t="s">
        <v>709</v>
      </c>
      <c r="AR88"/>
      <c r="AS88" s="722"/>
      <c r="AV88" s="314"/>
      <c r="AW88" s="314"/>
      <c r="AZ88" s="705" t="s">
        <v>709</v>
      </c>
      <c r="BF88" s="314"/>
    </row>
    <row r="89" spans="1:58">
      <c r="A89" s="722" t="str">
        <f>A$47&amp;" - "&amp;VLOOKUP(RIGHT(C89,3),NameConv!$E$3:$F$16,2,FALSE)&amp;" - Existing"</f>
        <v>Commercial - Refrigeration - Electricity - Existing</v>
      </c>
      <c r="B89" s="722" t="str">
        <f>D89&amp;RIGHT(C89,3)&amp;"-E"</f>
        <v>CERELC-E</v>
      </c>
      <c r="C89" s="723" t="str">
        <f>$E$6</f>
        <v>COMELC</v>
      </c>
      <c r="D89" s="723" t="str">
        <f>$B$47</f>
        <v>CER</v>
      </c>
      <c r="E89" s="347">
        <f>Appliances!J63</f>
        <v>1</v>
      </c>
      <c r="F89" s="566">
        <f ca="1">SUMIF(AFA!$B$3:$S$3,D89,AFA!$B$4:$J$4)</f>
        <v>0.68830000000000002</v>
      </c>
      <c r="G89" s="348">
        <v>10</v>
      </c>
      <c r="H89" s="349">
        <f ca="1">(N89/F89)*(1+$H$55)</f>
        <v>39.495069070373901</v>
      </c>
      <c r="I89" s="349">
        <f>SUMIF('Technology costs'!$B$7:$B$28,COM_2017!B89,'Technology costs'!$L$7:$L$28)</f>
        <v>1734.2705050470356</v>
      </c>
      <c r="J89" s="349">
        <f t="shared" si="25"/>
        <v>173.42705050470357</v>
      </c>
      <c r="K89" s="705">
        <v>0</v>
      </c>
      <c r="L89" s="350">
        <f>Appliances!F63</f>
        <v>1</v>
      </c>
      <c r="M89" s="349">
        <f>L89*SUMIF($C$6:$J$6,C89,$C$47:$J$47)</f>
        <v>27.184456041138358</v>
      </c>
      <c r="N89" s="349">
        <f>M89*E89</f>
        <v>27.184456041138358</v>
      </c>
      <c r="P89" s="696"/>
      <c r="Q89" s="694"/>
      <c r="R89" s="694">
        <f>N89/SUMIF($D$61:$D$121,$D89,$N$61:$N$121)</f>
        <v>1</v>
      </c>
      <c r="S89" s="694">
        <f t="shared" ref="S89:S90" si="54">MIN(1,$R89+S$52)</f>
        <v>1</v>
      </c>
      <c r="T89" s="786">
        <f>MIN(1,$R89+T$53)</f>
        <v>1</v>
      </c>
      <c r="U89" s="786">
        <f t="shared" ref="U89:Y90" si="55">MIN(1,$R89+U$53)</f>
        <v>1</v>
      </c>
      <c r="V89" s="786">
        <f t="shared" si="55"/>
        <v>1</v>
      </c>
      <c r="W89" s="786">
        <f t="shared" si="55"/>
        <v>1</v>
      </c>
      <c r="X89" s="786">
        <f t="shared" si="55"/>
        <v>1</v>
      </c>
      <c r="Y89" s="786">
        <f t="shared" si="55"/>
        <v>1</v>
      </c>
      <c r="AA89" s="696"/>
      <c r="AB89" s="694"/>
      <c r="AC89" s="694">
        <f>R89/(1+$P$55+$AA$55)</f>
        <v>0.98039215686274506</v>
      </c>
      <c r="AD89" s="786">
        <v>0</v>
      </c>
      <c r="AE89" s="786">
        <v>0</v>
      </c>
      <c r="AF89" s="694">
        <f t="shared" ref="AF89:AI90" si="56">$AC89*AF$52</f>
        <v>0</v>
      </c>
      <c r="AG89" s="694">
        <f t="shared" si="56"/>
        <v>0</v>
      </c>
      <c r="AH89" s="694">
        <f t="shared" si="56"/>
        <v>0</v>
      </c>
      <c r="AI89" s="694">
        <f t="shared" si="56"/>
        <v>0</v>
      </c>
      <c r="AJ89" s="694">
        <f>$AA89*AJ$52</f>
        <v>0</v>
      </c>
      <c r="AK89" s="705">
        <f t="shared" si="26"/>
        <v>29</v>
      </c>
      <c r="AP89"/>
      <c r="AQ89" s="765" t="s">
        <v>1504</v>
      </c>
      <c r="AR89" t="s">
        <v>1385</v>
      </c>
      <c r="AS89" s="722" t="s">
        <v>1386</v>
      </c>
      <c r="AT89" s="705" t="s">
        <v>647</v>
      </c>
      <c r="AU89" s="705" t="s">
        <v>662</v>
      </c>
      <c r="AV89" s="314" t="s">
        <v>734</v>
      </c>
      <c r="AW89" s="314"/>
      <c r="AZ89" s="705" t="s">
        <v>1520</v>
      </c>
      <c r="BB89" s="705" t="str">
        <f t="shared" si="23"/>
        <v>CER</v>
      </c>
      <c r="BC89" s="705" t="str">
        <f t="shared" si="24"/>
        <v>Commercial - Refrigeration - Electricity - Existing</v>
      </c>
      <c r="BD89" s="705" t="s">
        <v>647</v>
      </c>
      <c r="BF89" s="314" t="s">
        <v>1503</v>
      </c>
    </row>
    <row r="90" spans="1:58">
      <c r="A90" s="722" t="str">
        <f>A$47&amp;" - "&amp;VLOOKUP(RIGHT(C90,3),NameConv!$E$3:$F$16,2,FALSE)&amp;" - New"</f>
        <v>Commercial - Refrigeration - Electricity - New</v>
      </c>
      <c r="B90" s="722" t="str">
        <f>D90&amp;RIGHT(C90,3)&amp;"-N"</f>
        <v>CERELC-N</v>
      </c>
      <c r="C90" s="723" t="str">
        <f>$E$6</f>
        <v>COMELC</v>
      </c>
      <c r="D90" s="723" t="str">
        <f>$B$47</f>
        <v>CER</v>
      </c>
      <c r="E90" s="347">
        <f>(5.13/3.08)*E89</f>
        <v>1.6655844155844155</v>
      </c>
      <c r="F90" s="566">
        <f ca="1">SUMIF(AFA!$B$3:$S$3,D90,AFA!$B$4:$J$4)</f>
        <v>0.68830000000000002</v>
      </c>
      <c r="G90" s="348">
        <v>10</v>
      </c>
      <c r="H90" s="349"/>
      <c r="I90" s="349">
        <f>(99.33/95.72)*I89</f>
        <v>1799.6770713155252</v>
      </c>
      <c r="J90" s="349">
        <f t="shared" si="25"/>
        <v>179.96770713155252</v>
      </c>
      <c r="K90" s="705">
        <v>0</v>
      </c>
      <c r="L90" s="350">
        <v>0</v>
      </c>
      <c r="M90" s="349">
        <v>0</v>
      </c>
      <c r="N90" s="349">
        <v>0</v>
      </c>
      <c r="P90" s="696"/>
      <c r="Q90" s="694"/>
      <c r="R90" s="694">
        <f>N90/SUMIF($D$61:$D$121,$D89,$N$61:$N$121)</f>
        <v>0</v>
      </c>
      <c r="S90" s="694">
        <f t="shared" si="54"/>
        <v>0.03</v>
      </c>
      <c r="T90" s="786">
        <f>MIN(1,$R90+T$53)</f>
        <v>0.5</v>
      </c>
      <c r="U90" s="786">
        <f t="shared" si="55"/>
        <v>0.75</v>
      </c>
      <c r="V90" s="786">
        <f t="shared" si="55"/>
        <v>1</v>
      </c>
      <c r="W90" s="786">
        <f t="shared" si="55"/>
        <v>1</v>
      </c>
      <c r="X90" s="786">
        <f t="shared" si="55"/>
        <v>1</v>
      </c>
      <c r="Y90" s="786">
        <f t="shared" si="55"/>
        <v>1</v>
      </c>
      <c r="AA90" s="696"/>
      <c r="AB90" s="694"/>
      <c r="AC90" s="694">
        <f>R90/(1+$P$55+$AA$55)</f>
        <v>0</v>
      </c>
      <c r="AD90" s="786">
        <v>0</v>
      </c>
      <c r="AE90" s="786">
        <v>0</v>
      </c>
      <c r="AF90" s="694">
        <f t="shared" si="56"/>
        <v>0</v>
      </c>
      <c r="AG90" s="694">
        <f t="shared" si="56"/>
        <v>0</v>
      </c>
      <c r="AH90" s="694">
        <f t="shared" si="56"/>
        <v>0</v>
      </c>
      <c r="AI90" s="694">
        <f t="shared" si="56"/>
        <v>0</v>
      </c>
      <c r="AJ90" s="694">
        <f>$AA90*AJ$52</f>
        <v>0</v>
      </c>
      <c r="AK90" s="705">
        <f t="shared" si="26"/>
        <v>30</v>
      </c>
      <c r="AP90"/>
      <c r="AQ90" s="765" t="s">
        <v>1504</v>
      </c>
      <c r="AR90" t="s">
        <v>1387</v>
      </c>
      <c r="AS90" s="722" t="s">
        <v>1388</v>
      </c>
      <c r="AT90" s="705" t="s">
        <v>647</v>
      </c>
      <c r="AU90" s="705" t="s">
        <v>662</v>
      </c>
      <c r="AV90" s="314" t="s">
        <v>734</v>
      </c>
      <c r="AW90" s="314"/>
      <c r="AZ90" s="705" t="s">
        <v>1520</v>
      </c>
      <c r="BB90" s="705" t="str">
        <f t="shared" si="23"/>
        <v>CER</v>
      </c>
      <c r="BC90" s="705" t="str">
        <f t="shared" si="24"/>
        <v>Commercial - Refrigeration - Electricity - New</v>
      </c>
      <c r="BD90" s="705" t="s">
        <v>647</v>
      </c>
      <c r="BF90" s="314" t="s">
        <v>1503</v>
      </c>
    </row>
    <row r="91" spans="1:58">
      <c r="A91" s="742" t="s">
        <v>1538</v>
      </c>
      <c r="F91" s="566"/>
      <c r="H91" s="349"/>
      <c r="I91" s="349"/>
      <c r="J91" s="349"/>
      <c r="L91" s="733">
        <f>SUM(L89)</f>
        <v>1</v>
      </c>
      <c r="M91" s="356">
        <f>SUM(M89)</f>
        <v>27.184456041138358</v>
      </c>
      <c r="N91" s="356">
        <f>SUM(N89)</f>
        <v>27.184456041138358</v>
      </c>
      <c r="AK91" s="705">
        <f t="shared" si="26"/>
        <v>31</v>
      </c>
      <c r="AL91" s="705" t="str">
        <f>LEFT(B90,3)</f>
        <v>CER</v>
      </c>
      <c r="AP91"/>
      <c r="AQ91" s="765" t="s">
        <v>709</v>
      </c>
      <c r="AR91"/>
      <c r="AV91" s="314"/>
      <c r="AW91" s="314"/>
      <c r="AZ91" s="705" t="s">
        <v>709</v>
      </c>
      <c r="BF91" s="314"/>
    </row>
    <row r="92" spans="1:58">
      <c r="A92" s="722" t="s">
        <v>1544</v>
      </c>
      <c r="B92" s="722"/>
      <c r="C92" s="743"/>
      <c r="D92" s="743"/>
      <c r="E92" s="738"/>
      <c r="F92" s="566"/>
      <c r="G92" s="738"/>
      <c r="H92" s="349"/>
      <c r="I92" s="349"/>
      <c r="J92" s="349"/>
      <c r="K92" s="698"/>
      <c r="L92" s="745"/>
      <c r="M92" s="745"/>
      <c r="AK92" s="705">
        <f t="shared" si="26"/>
        <v>32</v>
      </c>
      <c r="AP92"/>
      <c r="AQ92" s="765" t="s">
        <v>709</v>
      </c>
      <c r="AR92"/>
      <c r="AS92" s="722"/>
      <c r="AV92" s="314"/>
      <c r="AW92" s="314"/>
      <c r="AZ92" s="705" t="s">
        <v>709</v>
      </c>
      <c r="BF92" s="314"/>
    </row>
    <row r="93" spans="1:58">
      <c r="A93" s="722" t="str">
        <f>A$48&amp;" - "&amp;VLOOKUP(RIGHT(C93,3),NameConv!$E$3:$F$16,2,FALSE)&amp;" - Existing"</f>
        <v>Commercial - Water Heating - Electricity - Existing</v>
      </c>
      <c r="B93" s="722" t="str">
        <f>D93&amp;RIGHT(C93,3)&amp;"-E"</f>
        <v>CEWELC-E</v>
      </c>
      <c r="C93" s="723" t="str">
        <f>$E$6</f>
        <v>COMELC</v>
      </c>
      <c r="D93" s="723" t="str">
        <f>$B$48</f>
        <v>CEW</v>
      </c>
      <c r="E93" s="347">
        <f>Appliances!J22</f>
        <v>1</v>
      </c>
      <c r="F93" s="566">
        <f ca="1">SUMIF(AFA!$B$3:$S$3,D93,AFA!$B$4:$J$4)</f>
        <v>0.89129999999999998</v>
      </c>
      <c r="G93" s="348">
        <v>14</v>
      </c>
      <c r="H93" s="349">
        <f ca="1">(N93/F93)*(1+$H$55)</f>
        <v>1.3331564420878712</v>
      </c>
      <c r="I93" s="349">
        <f>SUMIF('Technology costs'!$B$7:$B$28,COM_2017!B93,'Technology costs'!$L$7:$L$28)</f>
        <v>31.581453839889381</v>
      </c>
      <c r="J93" s="349">
        <f t="shared" si="25"/>
        <v>3.1581453839889382</v>
      </c>
      <c r="L93" s="350">
        <f>Appliances!F22</f>
        <v>1</v>
      </c>
      <c r="M93" s="349">
        <f>L93*SUMIF($C$6:$J$6,C93,$C$48:$J$48)</f>
        <v>1.1882423368329196</v>
      </c>
      <c r="N93" s="349">
        <f>M93*E93</f>
        <v>1.1882423368329196</v>
      </c>
      <c r="O93" s="696"/>
      <c r="Q93" s="694"/>
      <c r="R93" s="694">
        <f t="shared" ref="R93:R99" si="57">N93/SUMIF($D$61:$D$121,$D93,$N$61:$N$121)*(1+$P$55)</f>
        <v>0.17090372917096208</v>
      </c>
      <c r="S93" s="694">
        <f t="shared" ref="S93:Y93" si="58">MIN(1,$R93+S$52)</f>
        <v>0.20090372917096208</v>
      </c>
      <c r="T93" s="694">
        <f t="shared" si="58"/>
        <v>0.27090372917096206</v>
      </c>
      <c r="U93" s="694">
        <f t="shared" si="58"/>
        <v>0.47090372917096207</v>
      </c>
      <c r="V93" s="694">
        <f t="shared" si="58"/>
        <v>0.72090372917096213</v>
      </c>
      <c r="W93" s="694">
        <f t="shared" si="58"/>
        <v>1</v>
      </c>
      <c r="X93" s="694">
        <f t="shared" si="58"/>
        <v>1</v>
      </c>
      <c r="Y93" s="694">
        <f t="shared" si="58"/>
        <v>1</v>
      </c>
      <c r="AA93" s="696"/>
      <c r="AB93" s="694"/>
      <c r="AC93" s="694">
        <f t="shared" ref="AC93:AC99" si="59">R93/(1+$P$55+$AA$55)</f>
        <v>0.16755267565780596</v>
      </c>
      <c r="AD93" s="786">
        <v>0</v>
      </c>
      <c r="AE93" s="786">
        <v>0</v>
      </c>
      <c r="AF93" s="694">
        <f t="shared" ref="AF93:AI99" si="60">$AC93*AF$52</f>
        <v>0</v>
      </c>
      <c r="AG93" s="694">
        <f t="shared" si="60"/>
        <v>0</v>
      </c>
      <c r="AH93" s="694">
        <f t="shared" si="60"/>
        <v>0</v>
      </c>
      <c r="AI93" s="694">
        <f t="shared" si="60"/>
        <v>0</v>
      </c>
      <c r="AJ93" s="694">
        <f t="shared" ref="AJ93:AJ99" si="61">$AA93*AJ$52</f>
        <v>0</v>
      </c>
      <c r="AK93" s="705">
        <f t="shared" si="26"/>
        <v>33</v>
      </c>
      <c r="AQ93" s="765" t="s">
        <v>1504</v>
      </c>
      <c r="AR93" t="s">
        <v>1313</v>
      </c>
      <c r="AS93" s="722" t="s">
        <v>1314</v>
      </c>
      <c r="AT93" s="705" t="s">
        <v>647</v>
      </c>
      <c r="AU93" s="705" t="s">
        <v>662</v>
      </c>
      <c r="AV93" s="314" t="s">
        <v>734</v>
      </c>
      <c r="AW93" s="314"/>
      <c r="AZ93" s="705" t="s">
        <v>1520</v>
      </c>
      <c r="BB93" s="705" t="str">
        <f t="shared" si="23"/>
        <v>CEW</v>
      </c>
      <c r="BC93" s="705" t="str">
        <f t="shared" si="24"/>
        <v>Commercial - Water Heating - Electricity - Existing</v>
      </c>
      <c r="BD93" s="705" t="s">
        <v>647</v>
      </c>
      <c r="BF93" s="314" t="s">
        <v>1503</v>
      </c>
    </row>
    <row r="94" spans="1:58">
      <c r="A94" s="722" t="str">
        <f>A$48&amp;" - "&amp;VLOOKUP(RIGHT(C94,3),NameConv!$E$3:$F$16,2,FALSE)&amp;" - Existing"</f>
        <v>Commercial - Water Heating - Coal - Existing</v>
      </c>
      <c r="B94" s="722" t="str">
        <f>D94&amp;RIGHT(C94,3)&amp;"-E"</f>
        <v>CEWCOA-E</v>
      </c>
      <c r="C94" s="723" t="str">
        <f>$C$6</f>
        <v>COMCOA</v>
      </c>
      <c r="D94" s="723" t="str">
        <f>$B$48</f>
        <v>CEW</v>
      </c>
      <c r="E94" s="347">
        <f>Appliances!J25</f>
        <v>0.60000000000000009</v>
      </c>
      <c r="F94" s="566">
        <f ca="1">SUMIF(AFA!$B$3:$S$3,D94,AFA!$B$4:$J$4)</f>
        <v>0.89129999999999998</v>
      </c>
      <c r="G94" s="348">
        <v>14</v>
      </c>
      <c r="H94" s="349">
        <f t="shared" ref="H94:H97" ca="1" si="62">(N94/F94)*(1+$H$55)</f>
        <v>0.24563583831094388</v>
      </c>
      <c r="I94" s="349">
        <f>SUMIF('Technology costs'!$B$7:$B$28,COM_2017!B94,'Technology costs'!$L$7:$L$28)</f>
        <v>211.94584531928834</v>
      </c>
      <c r="J94" s="349">
        <f t="shared" si="25"/>
        <v>21.194584531928836</v>
      </c>
      <c r="L94" s="350">
        <f>Appliances!F25</f>
        <v>1</v>
      </c>
      <c r="M94" s="349">
        <f>L94*SUMIF($C$6:$J$6,C94,$C$48:$J$48)</f>
        <v>0.36489203781090707</v>
      </c>
      <c r="N94" s="349">
        <f>M94*E94</f>
        <v>0.21893522268654428</v>
      </c>
      <c r="O94" s="696"/>
      <c r="Q94" s="699"/>
      <c r="R94" s="694">
        <f t="shared" si="57"/>
        <v>3.1489238216956976E-2</v>
      </c>
      <c r="S94" s="694">
        <f t="shared" ref="S94:Y96" si="63">MIN(1,$R94+S$52)</f>
        <v>6.1489238216956975E-2</v>
      </c>
      <c r="T94" s="694">
        <f t="shared" si="63"/>
        <v>0.13148923821695699</v>
      </c>
      <c r="U94" s="694">
        <f t="shared" si="63"/>
        <v>0.33148923821695697</v>
      </c>
      <c r="V94" s="694">
        <f t="shared" si="63"/>
        <v>0.58148923821695697</v>
      </c>
      <c r="W94" s="694">
        <f t="shared" si="63"/>
        <v>0.88148923821695691</v>
      </c>
      <c r="X94" s="694">
        <f t="shared" si="63"/>
        <v>0.98148923821695688</v>
      </c>
      <c r="Y94" s="694">
        <f t="shared" si="63"/>
        <v>1</v>
      </c>
      <c r="AA94" s="696"/>
      <c r="AB94" s="694"/>
      <c r="AC94" s="694">
        <f t="shared" si="59"/>
        <v>3.0871802173487232E-2</v>
      </c>
      <c r="AD94" s="786">
        <v>0</v>
      </c>
      <c r="AE94" s="786">
        <v>0</v>
      </c>
      <c r="AF94" s="694">
        <f t="shared" si="60"/>
        <v>0</v>
      </c>
      <c r="AG94" s="694">
        <f t="shared" si="60"/>
        <v>0</v>
      </c>
      <c r="AH94" s="694">
        <f t="shared" si="60"/>
        <v>0</v>
      </c>
      <c r="AI94" s="694">
        <f t="shared" si="60"/>
        <v>0</v>
      </c>
      <c r="AJ94" s="694">
        <f t="shared" si="61"/>
        <v>0</v>
      </c>
      <c r="AK94" s="705">
        <f t="shared" si="26"/>
        <v>34</v>
      </c>
      <c r="AP94"/>
      <c r="AQ94" s="765" t="s">
        <v>1504</v>
      </c>
      <c r="AR94" t="s">
        <v>1315</v>
      </c>
      <c r="AS94" s="722" t="s">
        <v>1316</v>
      </c>
      <c r="AT94" s="705" t="s">
        <v>647</v>
      </c>
      <c r="AU94" s="705" t="s">
        <v>662</v>
      </c>
      <c r="AV94" s="314" t="s">
        <v>734</v>
      </c>
      <c r="AW94" s="314"/>
      <c r="AZ94" s="705" t="s">
        <v>1520</v>
      </c>
      <c r="BB94" s="705" t="str">
        <f t="shared" si="23"/>
        <v>CEW</v>
      </c>
      <c r="BC94" s="705" t="str">
        <f t="shared" si="24"/>
        <v>Commercial - Water Heating - Coal - Existing</v>
      </c>
      <c r="BD94" s="705" t="s">
        <v>647</v>
      </c>
      <c r="BF94" s="314" t="s">
        <v>734</v>
      </c>
    </row>
    <row r="95" spans="1:58">
      <c r="A95" s="722" t="str">
        <f>A$48&amp;" - "&amp;VLOOKUP(RIGHT(C95,3),NameConv!$E$3:$F$16,2,FALSE)&amp;" - Existing"</f>
        <v>Commercial - Water Heating - Oil LPG - Existing</v>
      </c>
      <c r="B95" s="722" t="str">
        <f>D95&amp;RIGHT(C95,3)&amp;"-E"</f>
        <v>CEWOLP-E</v>
      </c>
      <c r="C95" s="723" t="str">
        <f>$J$6</f>
        <v>COMOLP</v>
      </c>
      <c r="D95" s="723" t="str">
        <f>$B$48</f>
        <v>CEW</v>
      </c>
      <c r="E95" s="347">
        <f>Appliances!J23</f>
        <v>0.68</v>
      </c>
      <c r="F95" s="566">
        <f ca="1">SUMIF(AFA!$B$3:$S$3,D95,AFA!$B$4:$J$4)</f>
        <v>0.89129999999999998</v>
      </c>
      <c r="G95" s="348">
        <v>12</v>
      </c>
      <c r="H95" s="349">
        <f t="shared" ca="1" si="62"/>
        <v>1.4745733858550749</v>
      </c>
      <c r="I95" s="349">
        <f>SUMIF('Technology costs'!$B$7:$B$28,COM_2017!B95,'Technology costs'!$L$7:$L$28)</f>
        <v>24.826371391503535</v>
      </c>
      <c r="J95" s="349">
        <f t="shared" si="25"/>
        <v>2.4826371391503539</v>
      </c>
      <c r="L95" s="350">
        <f>Appliances!F23</f>
        <v>1</v>
      </c>
      <c r="M95" s="349">
        <f>L95*SUMIF($C$6:$J$6,C95,$C$48:$J$48)</f>
        <v>1.932775380606806</v>
      </c>
      <c r="N95" s="349">
        <f>M95*E95</f>
        <v>1.3142872588126282</v>
      </c>
      <c r="O95" s="696"/>
      <c r="Q95" s="694"/>
      <c r="R95" s="694">
        <f t="shared" si="57"/>
        <v>0.18903264659938068</v>
      </c>
      <c r="S95" s="694">
        <f t="shared" si="63"/>
        <v>0.21903264659938068</v>
      </c>
      <c r="T95" s="694">
        <f t="shared" si="63"/>
        <v>0.28903264659938066</v>
      </c>
      <c r="U95" s="694">
        <f t="shared" si="63"/>
        <v>0.48903264659938067</v>
      </c>
      <c r="V95" s="694">
        <f t="shared" si="63"/>
        <v>0.73903264659938073</v>
      </c>
      <c r="W95" s="694">
        <f t="shared" si="63"/>
        <v>1</v>
      </c>
      <c r="X95" s="694">
        <f t="shared" si="63"/>
        <v>1</v>
      </c>
      <c r="Y95" s="694">
        <f t="shared" si="63"/>
        <v>1</v>
      </c>
      <c r="AA95" s="696"/>
      <c r="AB95" s="694"/>
      <c r="AC95" s="694">
        <f t="shared" si="59"/>
        <v>0.18532612411703989</v>
      </c>
      <c r="AD95" s="786">
        <v>0</v>
      </c>
      <c r="AE95" s="786">
        <v>0</v>
      </c>
      <c r="AF95" s="694">
        <f t="shared" si="60"/>
        <v>0</v>
      </c>
      <c r="AG95" s="694">
        <f t="shared" si="60"/>
        <v>0</v>
      </c>
      <c r="AH95" s="694">
        <f t="shared" si="60"/>
        <v>0</v>
      </c>
      <c r="AI95" s="694">
        <f t="shared" si="60"/>
        <v>0</v>
      </c>
      <c r="AJ95" s="694">
        <f t="shared" si="61"/>
        <v>0</v>
      </c>
      <c r="AK95" s="705">
        <f t="shared" si="26"/>
        <v>35</v>
      </c>
      <c r="AP95"/>
      <c r="AQ95" s="765" t="s">
        <v>1504</v>
      </c>
      <c r="AR95" t="s">
        <v>1317</v>
      </c>
      <c r="AS95" s="722" t="s">
        <v>1318</v>
      </c>
      <c r="AT95" s="705" t="s">
        <v>647</v>
      </c>
      <c r="AU95" s="705" t="s">
        <v>662</v>
      </c>
      <c r="AV95" s="314" t="s">
        <v>734</v>
      </c>
      <c r="AW95" s="314"/>
      <c r="AZ95" s="705" t="s">
        <v>1520</v>
      </c>
      <c r="BB95" s="705" t="str">
        <f t="shared" si="23"/>
        <v>CEW</v>
      </c>
      <c r="BC95" s="705" t="str">
        <f t="shared" si="24"/>
        <v>Commercial - Water Heating - Oil LPG - Existing</v>
      </c>
      <c r="BD95" s="705" t="s">
        <v>647</v>
      </c>
      <c r="BF95" s="314" t="s">
        <v>734</v>
      </c>
    </row>
    <row r="96" spans="1:58">
      <c r="A96" s="722" t="str">
        <f>A$48&amp;" - "&amp;VLOOKUP(RIGHT(C96,3),NameConv!$E$3:$F$16,2,FALSE)&amp;" - Existing"</f>
        <v>Commercial - Water Heating - Gas - Existing</v>
      </c>
      <c r="B96" s="722" t="str">
        <f t="shared" ref="B96:B97" si="64">D96&amp;RIGHT(C96,3)&amp;"-E"</f>
        <v>CEWGAS-E</v>
      </c>
      <c r="C96" s="723" t="str">
        <f>$F$6</f>
        <v>COMGAS</v>
      </c>
      <c r="D96" s="723" t="str">
        <f t="shared" ref="D96:D97" si="65">$B$48</f>
        <v>CEW</v>
      </c>
      <c r="E96" s="347">
        <f>Appliances!J27</f>
        <v>0.69</v>
      </c>
      <c r="F96" s="566">
        <f ca="1">SUMIF(AFA!$B$3:$S$3,D96,AFA!$B$4:$J$4)</f>
        <v>0.89129999999999998</v>
      </c>
      <c r="G96" s="348">
        <v>12</v>
      </c>
      <c r="H96" s="349">
        <f t="shared" ca="1" si="62"/>
        <v>0.67851683800789475</v>
      </c>
      <c r="I96" s="488">
        <f>I95</f>
        <v>24.826371391503535</v>
      </c>
      <c r="J96" s="349">
        <f t="shared" si="25"/>
        <v>2.4826371391503539</v>
      </c>
      <c r="L96" s="350">
        <f>Appliances!F27</f>
        <v>1</v>
      </c>
      <c r="M96" s="349">
        <f>L96*SUMIF($C$6:$J$6,C96,$C$48:$J$48)</f>
        <v>0.87646675031367627</v>
      </c>
      <c r="N96" s="349">
        <f>M96*E96</f>
        <v>0.60476205771643654</v>
      </c>
      <c r="O96" s="696"/>
      <c r="Q96" s="694"/>
      <c r="R96" s="694">
        <f t="shared" si="57"/>
        <v>8.6982333250575528E-2</v>
      </c>
      <c r="S96" s="694">
        <f t="shared" si="63"/>
        <v>0.11698233325057553</v>
      </c>
      <c r="T96" s="694">
        <f t="shared" si="63"/>
        <v>0.18698233325057553</v>
      </c>
      <c r="U96" s="694">
        <f t="shared" si="63"/>
        <v>0.38698233325057552</v>
      </c>
      <c r="V96" s="694">
        <f t="shared" si="63"/>
        <v>0.63698233325057552</v>
      </c>
      <c r="W96" s="694">
        <f t="shared" si="63"/>
        <v>0.93698233325057556</v>
      </c>
      <c r="X96" s="694">
        <f t="shared" si="63"/>
        <v>1</v>
      </c>
      <c r="Y96" s="694">
        <f t="shared" si="63"/>
        <v>1</v>
      </c>
      <c r="AA96" s="696"/>
      <c r="AB96" s="694"/>
      <c r="AC96" s="694">
        <f t="shared" si="59"/>
        <v>8.5276797304485813E-2</v>
      </c>
      <c r="AD96" s="786">
        <v>0</v>
      </c>
      <c r="AE96" s="786">
        <v>0</v>
      </c>
      <c r="AF96" s="694">
        <f t="shared" si="60"/>
        <v>0</v>
      </c>
      <c r="AG96" s="694">
        <f t="shared" si="60"/>
        <v>0</v>
      </c>
      <c r="AH96" s="694">
        <f t="shared" si="60"/>
        <v>0</v>
      </c>
      <c r="AI96" s="694">
        <f t="shared" si="60"/>
        <v>0</v>
      </c>
      <c r="AJ96" s="694">
        <f t="shared" si="61"/>
        <v>0</v>
      </c>
      <c r="AK96" s="705">
        <f t="shared" si="26"/>
        <v>36</v>
      </c>
      <c r="AP96"/>
      <c r="AQ96" s="765" t="s">
        <v>1504</v>
      </c>
      <c r="AR96" t="s">
        <v>1319</v>
      </c>
      <c r="AS96" s="722" t="s">
        <v>1320</v>
      </c>
      <c r="AT96" s="705" t="s">
        <v>647</v>
      </c>
      <c r="AU96" s="705" t="s">
        <v>662</v>
      </c>
      <c r="AV96" s="314" t="s">
        <v>734</v>
      </c>
      <c r="AW96" s="314"/>
      <c r="AZ96" s="705" t="s">
        <v>1520</v>
      </c>
      <c r="BB96" s="705" t="str">
        <f t="shared" si="23"/>
        <v>CEW</v>
      </c>
      <c r="BC96" s="705" t="str">
        <f t="shared" si="24"/>
        <v>Commercial - Water Heating - Gas - Existing</v>
      </c>
      <c r="BD96" s="705" t="s">
        <v>647</v>
      </c>
      <c r="BF96" s="314" t="s">
        <v>734</v>
      </c>
    </row>
    <row r="97" spans="1:58">
      <c r="A97" s="722" t="str">
        <f>A$48&amp;" - "&amp;VLOOKUP(RIGHT(C97,3),NameConv!$E$3:$F$16,2,FALSE)&amp;" - Existing"</f>
        <v>Commercial - Water Heating - Oil Paraffin - Existing</v>
      </c>
      <c r="B97" s="722" t="str">
        <f t="shared" si="64"/>
        <v>CEWOKE-E</v>
      </c>
      <c r="C97" s="723" t="s">
        <v>1101</v>
      </c>
      <c r="D97" s="723" t="str">
        <f t="shared" si="65"/>
        <v>CEW</v>
      </c>
      <c r="E97" s="347">
        <f>Appliances!J28</f>
        <v>0.7</v>
      </c>
      <c r="F97" s="566">
        <f ca="1">SUMIF(AFA!$B$3:$S$3,D97,AFA!$B$4:$J$4)</f>
        <v>0.89129999999999998</v>
      </c>
      <c r="G97" s="348">
        <v>12</v>
      </c>
      <c r="H97" s="349">
        <f t="shared" ca="1" si="62"/>
        <v>4.1467519353752946</v>
      </c>
      <c r="I97" s="488">
        <f>I96</f>
        <v>24.826371391503535</v>
      </c>
      <c r="J97" s="349">
        <f t="shared" si="25"/>
        <v>2.4826371391503539</v>
      </c>
      <c r="L97" s="350">
        <f>Appliances!F28</f>
        <v>1</v>
      </c>
      <c r="M97" s="349">
        <f>L97*SUMIF($C$6:$J$6,C97,$C$48:$J$48)</f>
        <v>5.28</v>
      </c>
      <c r="N97" s="349">
        <f>M97*E97</f>
        <v>3.6959999999999997</v>
      </c>
      <c r="O97" s="696"/>
      <c r="Q97" s="694"/>
      <c r="R97" s="694">
        <f t="shared" si="57"/>
        <v>0.53159205276212484</v>
      </c>
      <c r="S97" s="694">
        <f>R97</f>
        <v>0.53159205276212484</v>
      </c>
      <c r="T97" s="694">
        <f t="shared" ref="T97:Y97" si="66">S97</f>
        <v>0.53159205276212484</v>
      </c>
      <c r="U97" s="694">
        <f t="shared" si="66"/>
        <v>0.53159205276212484</v>
      </c>
      <c r="V97" s="694">
        <f t="shared" si="66"/>
        <v>0.53159205276212484</v>
      </c>
      <c r="W97" s="694">
        <f t="shared" si="66"/>
        <v>0.53159205276212484</v>
      </c>
      <c r="X97" s="694">
        <f t="shared" si="66"/>
        <v>0.53159205276212484</v>
      </c>
      <c r="Y97" s="694">
        <f t="shared" si="66"/>
        <v>0.53159205276212484</v>
      </c>
      <c r="AA97" s="696"/>
      <c r="AB97" s="694"/>
      <c r="AC97" s="694">
        <f t="shared" si="59"/>
        <v>0.52116867917855381</v>
      </c>
      <c r="AD97" s="786">
        <v>0</v>
      </c>
      <c r="AE97" s="786">
        <v>0</v>
      </c>
      <c r="AF97" s="694">
        <f t="shared" si="60"/>
        <v>0</v>
      </c>
      <c r="AG97" s="694">
        <f t="shared" si="60"/>
        <v>0</v>
      </c>
      <c r="AH97" s="694">
        <f t="shared" si="60"/>
        <v>0</v>
      </c>
      <c r="AI97" s="694">
        <f t="shared" si="60"/>
        <v>0</v>
      </c>
      <c r="AJ97" s="694">
        <f t="shared" si="61"/>
        <v>0</v>
      </c>
      <c r="AK97" s="705">
        <f t="shared" si="26"/>
        <v>37</v>
      </c>
      <c r="AP97"/>
      <c r="AQ97" s="765" t="s">
        <v>1504</v>
      </c>
      <c r="AR97" t="s">
        <v>1321</v>
      </c>
      <c r="AS97" s="722" t="s">
        <v>1322</v>
      </c>
      <c r="AT97" s="705" t="s">
        <v>647</v>
      </c>
      <c r="AU97" s="705" t="s">
        <v>662</v>
      </c>
      <c r="AV97" s="314" t="s">
        <v>734</v>
      </c>
      <c r="AW97" s="314"/>
      <c r="AZ97" s="705" t="s">
        <v>1520</v>
      </c>
      <c r="BB97" s="705" t="str">
        <f t="shared" si="23"/>
        <v>CEW</v>
      </c>
      <c r="BC97" s="705" t="str">
        <f t="shared" si="24"/>
        <v>Commercial - Water Heating - Oil Paraffin - Existing</v>
      </c>
      <c r="BD97" s="705" t="s">
        <v>647</v>
      </c>
      <c r="BF97" s="314" t="s">
        <v>734</v>
      </c>
    </row>
    <row r="98" spans="1:58">
      <c r="A98" s="722" t="str">
        <f>A$48&amp;" - "&amp;VLOOKUP(RIGHT(C98,3),NameConv!$E$3:$F$16,2,FALSE)&amp;" - New"</f>
        <v>Commercial - Water Heating - Electricity - New</v>
      </c>
      <c r="B98" s="722" t="str">
        <f>D98&amp;RIGHT(C98,3)&amp;"-N"</f>
        <v>CEWELC-N</v>
      </c>
      <c r="C98" s="723" t="str">
        <f>$E$6</f>
        <v>COMELC</v>
      </c>
      <c r="D98" s="723" t="str">
        <f>$B$48</f>
        <v>CEW</v>
      </c>
      <c r="E98" s="347">
        <f>(0.97/0.96)*E93</f>
        <v>1.0104166666666667</v>
      </c>
      <c r="F98" s="566">
        <f ca="1">SUMIF(AFA!$B$3:$S$3,D98,AFA!$B$4:$J$4)</f>
        <v>0.89129999999999998</v>
      </c>
      <c r="G98" s="348">
        <v>14</v>
      </c>
      <c r="H98" s="349"/>
      <c r="I98" s="349">
        <f>I93</f>
        <v>31.581453839889381</v>
      </c>
      <c r="J98" s="349">
        <f>I98*0.1</f>
        <v>3.1581453839889382</v>
      </c>
      <c r="K98" s="705">
        <v>0</v>
      </c>
      <c r="L98" s="350">
        <v>0</v>
      </c>
      <c r="M98" s="349">
        <v>0</v>
      </c>
      <c r="N98" s="349">
        <v>0</v>
      </c>
      <c r="O98" s="696"/>
      <c r="Q98" s="694"/>
      <c r="R98" s="694">
        <f t="shared" si="57"/>
        <v>0</v>
      </c>
      <c r="S98" s="694">
        <f t="shared" ref="S98:S99" si="67">MIN(1,$R98+S$52)</f>
        <v>0.03</v>
      </c>
      <c r="T98" s="786">
        <v>0.75</v>
      </c>
      <c r="U98" s="786">
        <v>1</v>
      </c>
      <c r="V98" s="786">
        <f t="shared" ref="T98:Y99" si="68">MIN(1,$R98+V$53)</f>
        <v>1</v>
      </c>
      <c r="W98" s="786">
        <f t="shared" si="68"/>
        <v>1</v>
      </c>
      <c r="X98" s="786">
        <f t="shared" si="68"/>
        <v>1</v>
      </c>
      <c r="Y98" s="786">
        <f t="shared" si="68"/>
        <v>1</v>
      </c>
      <c r="AA98" s="696"/>
      <c r="AB98" s="694"/>
      <c r="AC98" s="694">
        <f t="shared" si="59"/>
        <v>0</v>
      </c>
      <c r="AD98" s="786">
        <v>0</v>
      </c>
      <c r="AE98" s="786">
        <v>0</v>
      </c>
      <c r="AF98" s="694">
        <f t="shared" si="60"/>
        <v>0</v>
      </c>
      <c r="AG98" s="694">
        <f t="shared" si="60"/>
        <v>0</v>
      </c>
      <c r="AH98" s="694">
        <f t="shared" si="60"/>
        <v>0</v>
      </c>
      <c r="AI98" s="694">
        <f t="shared" si="60"/>
        <v>0</v>
      </c>
      <c r="AJ98" s="694">
        <f t="shared" si="61"/>
        <v>0</v>
      </c>
      <c r="AK98" s="705">
        <f t="shared" si="26"/>
        <v>38</v>
      </c>
      <c r="AP98"/>
      <c r="AQ98" s="765" t="s">
        <v>1504</v>
      </c>
      <c r="AR98" t="s">
        <v>1323</v>
      </c>
      <c r="AS98" s="722" t="s">
        <v>1324</v>
      </c>
      <c r="AT98" s="705" t="s">
        <v>647</v>
      </c>
      <c r="AU98" s="705" t="s">
        <v>662</v>
      </c>
      <c r="AV98" s="314" t="s">
        <v>734</v>
      </c>
      <c r="AW98" s="314"/>
      <c r="AZ98" s="705" t="s">
        <v>1520</v>
      </c>
      <c r="BB98" s="705" t="str">
        <f t="shared" si="23"/>
        <v>CEW</v>
      </c>
      <c r="BC98" s="705" t="str">
        <f t="shared" si="24"/>
        <v>Commercial - Water Heating - Electricity - New</v>
      </c>
      <c r="BD98" s="705" t="s">
        <v>647</v>
      </c>
      <c r="BF98" s="314" t="s">
        <v>1503</v>
      </c>
    </row>
    <row r="99" spans="1:58">
      <c r="A99" s="722" t="str">
        <f>A$48&amp;" - "&amp;VLOOKUP(RIGHT(C99,3),NameConv!$E$3:$F$16,2,FALSE)&amp;" - HP - New"</f>
        <v>Commercial - Water Heating - Electricity - HP - New</v>
      </c>
      <c r="B99" s="722" t="str">
        <f>D99&amp;RIGHT(C99,3)&amp;"HP-N"</f>
        <v>CEWELCHP-N</v>
      </c>
      <c r="C99" s="723" t="str">
        <f t="shared" ref="C99" si="69">$E$6</f>
        <v>COMELC</v>
      </c>
      <c r="D99" s="723" t="str">
        <f>$B$48</f>
        <v>CEW</v>
      </c>
      <c r="E99" s="347">
        <v>2.2599999999999998</v>
      </c>
      <c r="F99" s="566">
        <f ca="1">SUMIF(AFA!$B$3:$S$3,D99,AFA!$B$4:$J$4)</f>
        <v>0.89129999999999998</v>
      </c>
      <c r="G99" s="348">
        <v>10</v>
      </c>
      <c r="H99" s="349"/>
      <c r="I99" s="349">
        <f>I93*3</f>
        <v>94.744361519668146</v>
      </c>
      <c r="J99" s="349">
        <f>I99*0.1</f>
        <v>9.474436151966815</v>
      </c>
      <c r="K99" s="705">
        <v>0</v>
      </c>
      <c r="L99" s="350">
        <v>0</v>
      </c>
      <c r="M99" s="349">
        <v>0</v>
      </c>
      <c r="N99" s="349">
        <v>0</v>
      </c>
      <c r="O99" s="696"/>
      <c r="Q99" s="694"/>
      <c r="R99" s="694">
        <f t="shared" si="57"/>
        <v>0</v>
      </c>
      <c r="S99" s="694">
        <f t="shared" si="67"/>
        <v>0.03</v>
      </c>
      <c r="T99" s="786">
        <v>0.75</v>
      </c>
      <c r="U99" s="786">
        <v>1</v>
      </c>
      <c r="V99" s="786">
        <f t="shared" si="68"/>
        <v>1</v>
      </c>
      <c r="W99" s="786">
        <f t="shared" si="68"/>
        <v>1</v>
      </c>
      <c r="X99" s="786">
        <f t="shared" si="68"/>
        <v>1</v>
      </c>
      <c r="Y99" s="786">
        <f t="shared" si="68"/>
        <v>1</v>
      </c>
      <c r="AA99" s="696"/>
      <c r="AB99" s="694"/>
      <c r="AC99" s="694">
        <f t="shared" si="59"/>
        <v>0</v>
      </c>
      <c r="AD99" s="786">
        <v>0</v>
      </c>
      <c r="AE99" s="786">
        <v>0</v>
      </c>
      <c r="AF99" s="694">
        <f t="shared" si="60"/>
        <v>0</v>
      </c>
      <c r="AG99" s="694">
        <f t="shared" si="60"/>
        <v>0</v>
      </c>
      <c r="AH99" s="694">
        <f t="shared" si="60"/>
        <v>0</v>
      </c>
      <c r="AI99" s="694">
        <f t="shared" si="60"/>
        <v>0</v>
      </c>
      <c r="AJ99" s="694">
        <f t="shared" si="61"/>
        <v>0</v>
      </c>
      <c r="AK99" s="705">
        <f t="shared" si="26"/>
        <v>39</v>
      </c>
      <c r="AP99"/>
      <c r="AQ99" s="765" t="s">
        <v>1504</v>
      </c>
      <c r="AR99" t="s">
        <v>1325</v>
      </c>
      <c r="AS99" s="722" t="s">
        <v>1326</v>
      </c>
      <c r="AT99" s="705" t="s">
        <v>647</v>
      </c>
      <c r="AU99" s="705" t="s">
        <v>662</v>
      </c>
      <c r="AV99" s="314" t="s">
        <v>734</v>
      </c>
      <c r="AW99" s="314"/>
      <c r="AZ99" s="705" t="s">
        <v>1520</v>
      </c>
      <c r="BB99" s="705" t="str">
        <f t="shared" si="23"/>
        <v>CEW</v>
      </c>
      <c r="BC99" s="705" t="str">
        <f t="shared" si="24"/>
        <v>Commercial - Water Heating - Electricity - HP - New</v>
      </c>
      <c r="BD99" s="705" t="s">
        <v>647</v>
      </c>
      <c r="BF99" s="314" t="s">
        <v>1503</v>
      </c>
    </row>
    <row r="100" spans="1:58">
      <c r="A100" s="742" t="s">
        <v>1538</v>
      </c>
      <c r="F100" s="566"/>
      <c r="H100" s="349"/>
      <c r="I100" s="349"/>
      <c r="J100" s="349"/>
      <c r="L100" s="733"/>
      <c r="M100" s="356">
        <f>SUM(M93:M97)</f>
        <v>9.6423765055643091</v>
      </c>
      <c r="N100" s="356">
        <f>SUM(N93:N97)</f>
        <v>7.0222268760485278</v>
      </c>
      <c r="AK100" s="705">
        <f t="shared" si="26"/>
        <v>40</v>
      </c>
      <c r="AL100" s="705" t="str">
        <f>LEFT(B99,3)</f>
        <v>CEW</v>
      </c>
      <c r="AP100" s="314"/>
      <c r="AQ100" s="765" t="s">
        <v>709</v>
      </c>
      <c r="AR100"/>
      <c r="AV100" s="314"/>
      <c r="AW100" s="314"/>
      <c r="AZ100" s="705" t="s">
        <v>709</v>
      </c>
      <c r="BF100" s="314"/>
    </row>
    <row r="101" spans="1:58">
      <c r="A101" s="722" t="s">
        <v>1545</v>
      </c>
      <c r="F101" s="566"/>
      <c r="H101" s="349"/>
      <c r="I101" s="349"/>
      <c r="J101" s="349"/>
      <c r="L101" s="733"/>
      <c r="M101" s="356"/>
      <c r="N101" s="356"/>
      <c r="AK101" s="705">
        <f t="shared" si="26"/>
        <v>41</v>
      </c>
      <c r="AP101"/>
      <c r="AQ101" s="765" t="s">
        <v>709</v>
      </c>
      <c r="AR101"/>
      <c r="AV101" s="314"/>
      <c r="AW101" s="314"/>
      <c r="AZ101" s="705" t="s">
        <v>709</v>
      </c>
      <c r="BF101" s="314"/>
    </row>
    <row r="102" spans="1:58">
      <c r="A102" s="722" t="str">
        <f>A$49&amp;" - "&amp;VLOOKUP(RIGHT(C102,3),NameConv!$E$3:$F$16,2,FALSE)&amp;" - "&amp;LEFT(Appliances!B75,3)&amp;" - Existing"</f>
        <v>Commercial - Public Lights - Electricity - INC - Existing</v>
      </c>
      <c r="B102" s="722" t="str">
        <f t="shared" ref="B102:B106" si="70">D102&amp;RIGHT(C102,3)&amp;LEFT(RIGHT(A102,LEN("LIT - Existing")),3)&amp;"-E"</f>
        <v>CEGELCINC-E</v>
      </c>
      <c r="C102" s="723" t="str">
        <f t="shared" ref="C102:C107" si="71">$E$6</f>
        <v>COMELC</v>
      </c>
      <c r="D102" s="746" t="str">
        <f t="shared" ref="D102:D107" si="72">$B$49</f>
        <v>CEG</v>
      </c>
      <c r="E102" s="724">
        <f>Appliances!J75</f>
        <v>1</v>
      </c>
      <c r="F102" s="566">
        <f ca="1">SUMIF(AFA!$B$3:$S$3,D102,AFA!$B$4:$J$4)</f>
        <v>0.5464</v>
      </c>
      <c r="G102" s="348">
        <v>10</v>
      </c>
      <c r="H102" s="349">
        <f t="shared" ref="H102:H104" ca="1" si="73">(N102/F102)*(1+$H$55)</f>
        <v>0.25178255208401951</v>
      </c>
      <c r="I102" s="572">
        <f>I85</f>
        <v>0.37569687335386637</v>
      </c>
      <c r="J102" s="572">
        <f t="shared" ref="J102:J106" si="74">I102*0.1</f>
        <v>3.756968733538664E-2</v>
      </c>
      <c r="L102" s="747">
        <f>Appliances!F75</f>
        <v>4.9630008962625594E-2</v>
      </c>
      <c r="M102" s="349">
        <f t="shared" ref="M102:M104" si="75">L102*SUMIF($C$6:$J$6,C102,$C$49:$J$49)</f>
        <v>0.13757398645870825</v>
      </c>
      <c r="N102" s="349">
        <f t="shared" ref="N102:N104" si="76">M102*E102</f>
        <v>0.13757398645870825</v>
      </c>
      <c r="O102" s="696"/>
      <c r="Q102" s="694"/>
      <c r="R102" s="694">
        <f t="shared" ref="R102:R107" si="77">N102/SUMIF($D$61:$D$121,$D102,$N$61:$N$121)*(1+$P$55)</f>
        <v>1.4671510186260122E-2</v>
      </c>
      <c r="S102" s="694">
        <f>R102</f>
        <v>1.4671510186260122E-2</v>
      </c>
      <c r="T102" s="694">
        <f t="shared" ref="T102:Y102" si="78">S102</f>
        <v>1.4671510186260122E-2</v>
      </c>
      <c r="U102" s="694">
        <f t="shared" si="78"/>
        <v>1.4671510186260122E-2</v>
      </c>
      <c r="V102" s="694">
        <f t="shared" si="78"/>
        <v>1.4671510186260122E-2</v>
      </c>
      <c r="W102" s="694">
        <f t="shared" si="78"/>
        <v>1.4671510186260122E-2</v>
      </c>
      <c r="X102" s="694">
        <f t="shared" si="78"/>
        <v>1.4671510186260122E-2</v>
      </c>
      <c r="Y102" s="694">
        <f t="shared" si="78"/>
        <v>1.4671510186260122E-2</v>
      </c>
      <c r="AA102" s="696"/>
      <c r="AB102" s="694"/>
      <c r="AC102" s="694">
        <v>0.01</v>
      </c>
      <c r="AD102" s="786">
        <v>0</v>
      </c>
      <c r="AE102" s="786">
        <v>0</v>
      </c>
      <c r="AF102" s="694">
        <v>0</v>
      </c>
      <c r="AG102" s="694">
        <v>0</v>
      </c>
      <c r="AH102" s="694">
        <v>0</v>
      </c>
      <c r="AI102" s="694">
        <v>0</v>
      </c>
      <c r="AJ102" s="694">
        <v>0</v>
      </c>
      <c r="AK102" s="705">
        <f t="shared" si="26"/>
        <v>42</v>
      </c>
      <c r="AP102" s="314"/>
      <c r="AQ102" s="765" t="s">
        <v>1504</v>
      </c>
      <c r="AR102" t="s">
        <v>1389</v>
      </c>
      <c r="AS102" s="722" t="s">
        <v>1390</v>
      </c>
      <c r="AT102" s="705" t="s">
        <v>647</v>
      </c>
      <c r="AU102" s="705" t="s">
        <v>662</v>
      </c>
      <c r="AV102" s="314" t="s">
        <v>734</v>
      </c>
      <c r="AW102" s="314"/>
      <c r="AZ102" s="705" t="s">
        <v>1520</v>
      </c>
      <c r="BB102" s="705" t="str">
        <f t="shared" si="23"/>
        <v>CEG</v>
      </c>
      <c r="BC102" s="705" t="str">
        <f t="shared" si="24"/>
        <v>Commercial - Public Lights - Electricity - INC - Existing</v>
      </c>
      <c r="BD102" s="705" t="s">
        <v>647</v>
      </c>
      <c r="BF102" s="314" t="s">
        <v>1503</v>
      </c>
    </row>
    <row r="103" spans="1:58">
      <c r="A103" s="722" t="str">
        <f>A$49&amp;" - "&amp;VLOOKUP(RIGHT(C103,3),NameConv!$E$3:$F$16,2,FALSE)&amp;" - "&amp;LEFT(Appliances!B76,3)&amp;" - Existing"</f>
        <v>Commercial - Public Lights - Electricity - HAL - Existing</v>
      </c>
      <c r="B103" s="722" t="str">
        <f t="shared" si="70"/>
        <v>CEGELCHAL-E</v>
      </c>
      <c r="C103" s="723" t="str">
        <f t="shared" si="71"/>
        <v>COMELC</v>
      </c>
      <c r="D103" s="746" t="str">
        <f t="shared" si="72"/>
        <v>CEG</v>
      </c>
      <c r="E103" s="724">
        <f>Appliances!J76</f>
        <v>2</v>
      </c>
      <c r="F103" s="566">
        <f ca="1">SUMIF(AFA!$B$3:$S$3,D103,AFA!$B$4:$J$4)</f>
        <v>0.5464</v>
      </c>
      <c r="G103" s="348">
        <v>10</v>
      </c>
      <c r="H103" s="349">
        <f ca="1">(N103/F103)*(1+$H$55)</f>
        <v>0.50356510416803901</v>
      </c>
      <c r="I103" s="572">
        <f>I83</f>
        <v>1.0658202070873248</v>
      </c>
      <c r="J103" s="572">
        <f t="shared" si="74"/>
        <v>0.10658202070873249</v>
      </c>
      <c r="L103" s="747">
        <f>Appliances!F76</f>
        <v>4.9630008962625594E-2</v>
      </c>
      <c r="M103" s="349">
        <f t="shared" si="75"/>
        <v>0.13757398645870825</v>
      </c>
      <c r="N103" s="349">
        <f t="shared" si="76"/>
        <v>0.27514797291741649</v>
      </c>
      <c r="P103" s="696"/>
      <c r="Q103" s="694"/>
      <c r="R103" s="694">
        <f t="shared" si="77"/>
        <v>2.9343020372520245E-2</v>
      </c>
      <c r="S103" s="694">
        <f t="shared" ref="S103:Y107" si="79">MIN(1,$R103+S$52)</f>
        <v>5.9343020372520247E-2</v>
      </c>
      <c r="T103" s="694">
        <f t="shared" si="79"/>
        <v>0.12934302037252024</v>
      </c>
      <c r="U103" s="694">
        <f t="shared" si="79"/>
        <v>0.32934302037252022</v>
      </c>
      <c r="V103" s="694">
        <f t="shared" si="79"/>
        <v>0.57934302037252028</v>
      </c>
      <c r="W103" s="694">
        <f t="shared" si="79"/>
        <v>0.87934302037252021</v>
      </c>
      <c r="X103" s="694">
        <f t="shared" si="79"/>
        <v>0.97934302037252019</v>
      </c>
      <c r="Y103" s="694">
        <f t="shared" si="79"/>
        <v>1</v>
      </c>
      <c r="AA103" s="696"/>
      <c r="AB103" s="694"/>
      <c r="AC103" s="694">
        <f>R103/(1+$P$55+$AA$55)</f>
        <v>2.8767667031882594E-2</v>
      </c>
      <c r="AD103" s="786">
        <v>0</v>
      </c>
      <c r="AE103" s="786">
        <v>0</v>
      </c>
      <c r="AF103" s="694">
        <f t="shared" ref="AF103:AI107" si="80">$AC103*AF$52</f>
        <v>0</v>
      </c>
      <c r="AG103" s="694">
        <f t="shared" si="80"/>
        <v>0</v>
      </c>
      <c r="AH103" s="694">
        <f t="shared" si="80"/>
        <v>0</v>
      </c>
      <c r="AI103" s="694">
        <f t="shared" si="80"/>
        <v>0</v>
      </c>
      <c r="AJ103" s="694">
        <f>$AA103*AJ$52</f>
        <v>0</v>
      </c>
      <c r="AK103" s="705">
        <f t="shared" si="26"/>
        <v>43</v>
      </c>
      <c r="AP103"/>
      <c r="AQ103" s="765" t="s">
        <v>1504</v>
      </c>
      <c r="AR103" t="s">
        <v>1391</v>
      </c>
      <c r="AS103" s="722" t="s">
        <v>1392</v>
      </c>
      <c r="AT103" s="705" t="s">
        <v>647</v>
      </c>
      <c r="AU103" s="705" t="s">
        <v>662</v>
      </c>
      <c r="AV103" s="314" t="s">
        <v>734</v>
      </c>
      <c r="AW103" s="314"/>
      <c r="AZ103" s="705" t="s">
        <v>1520</v>
      </c>
      <c r="BB103" s="705" t="str">
        <f t="shared" si="23"/>
        <v>CEG</v>
      </c>
      <c r="BC103" s="705" t="str">
        <f t="shared" si="24"/>
        <v>Commercial - Public Lights - Electricity - HAL - Existing</v>
      </c>
      <c r="BD103" s="705" t="s">
        <v>647</v>
      </c>
      <c r="BF103" s="314" t="s">
        <v>1503</v>
      </c>
    </row>
    <row r="104" spans="1:58">
      <c r="A104" s="722" t="str">
        <f>A$49&amp;" - "&amp;VLOOKUP(RIGHT(C104,3),NameConv!$E$3:$F$16,2,FALSE)&amp;" - "&amp;LEFT(Appliances!B77,3)&amp;" - Existing"</f>
        <v>Commercial - Public Lights - Electricity - HPM - Existing</v>
      </c>
      <c r="B104" s="722" t="str">
        <f>D104&amp;RIGHT(C104,3)&amp;LEFT(RIGHT(A104,LEN("LIT - Existing")),3)&amp;"-E"</f>
        <v>CEGELCHPM-E</v>
      </c>
      <c r="C104" s="723" t="str">
        <f t="shared" si="71"/>
        <v>COMELC</v>
      </c>
      <c r="D104" s="746" t="str">
        <f t="shared" si="72"/>
        <v>CEG</v>
      </c>
      <c r="E104" s="724">
        <f>Appliances!J77</f>
        <v>2.4</v>
      </c>
      <c r="F104" s="566">
        <f ca="1">SUMIF(AFA!$B$3:$S$3,D104,AFA!$B$4:$J$4)</f>
        <v>0.5464</v>
      </c>
      <c r="G104" s="348">
        <v>10</v>
      </c>
      <c r="H104" s="349">
        <f t="shared" ca="1" si="73"/>
        <v>7.6415394562277434</v>
      </c>
      <c r="I104" s="572">
        <f>I105</f>
        <v>1.0658202070873248</v>
      </c>
      <c r="J104" s="572">
        <f t="shared" si="74"/>
        <v>0.10658202070873249</v>
      </c>
      <c r="L104" s="747">
        <f>Appliances!F77</f>
        <v>0.62760781171717339</v>
      </c>
      <c r="M104" s="349">
        <f t="shared" si="75"/>
        <v>1.7397238162011832</v>
      </c>
      <c r="N104" s="349">
        <f t="shared" si="76"/>
        <v>4.1753371588828392</v>
      </c>
      <c r="P104" s="696"/>
      <c r="Q104" s="694"/>
      <c r="R104" s="694">
        <f t="shared" si="77"/>
        <v>0.44527677967670315</v>
      </c>
      <c r="S104" s="694">
        <f t="shared" si="79"/>
        <v>0.47527677967670312</v>
      </c>
      <c r="T104" s="694">
        <f t="shared" si="79"/>
        <v>0.54527677967670318</v>
      </c>
      <c r="U104" s="694">
        <f t="shared" si="79"/>
        <v>0.74527677967670314</v>
      </c>
      <c r="V104" s="694">
        <f t="shared" si="79"/>
        <v>0.99527677967670325</v>
      </c>
      <c r="W104" s="694">
        <f t="shared" si="79"/>
        <v>1</v>
      </c>
      <c r="X104" s="694">
        <f t="shared" si="79"/>
        <v>1</v>
      </c>
      <c r="Y104" s="694">
        <f t="shared" si="79"/>
        <v>1</v>
      </c>
      <c r="AA104" s="696"/>
      <c r="AB104" s="694"/>
      <c r="AC104" s="694">
        <f>R104/(1+$P$55+$AA$55)</f>
        <v>0.43654586242814031</v>
      </c>
      <c r="AD104" s="786">
        <v>0</v>
      </c>
      <c r="AE104" s="786">
        <v>0</v>
      </c>
      <c r="AF104" s="694">
        <f t="shared" si="80"/>
        <v>0</v>
      </c>
      <c r="AG104" s="694">
        <f t="shared" si="80"/>
        <v>0</v>
      </c>
      <c r="AH104" s="694">
        <f t="shared" si="80"/>
        <v>0</v>
      </c>
      <c r="AI104" s="694">
        <f t="shared" si="80"/>
        <v>0</v>
      </c>
      <c r="AJ104" s="694">
        <f>$AA104*AJ$52</f>
        <v>0</v>
      </c>
      <c r="AK104" s="705">
        <f t="shared" si="26"/>
        <v>44</v>
      </c>
      <c r="AP104"/>
      <c r="AQ104" s="765" t="s">
        <v>1504</v>
      </c>
      <c r="AR104" t="s">
        <v>1393</v>
      </c>
      <c r="AS104" s="722" t="s">
        <v>1394</v>
      </c>
      <c r="AT104" s="705" t="s">
        <v>647</v>
      </c>
      <c r="AU104" s="705" t="s">
        <v>662</v>
      </c>
      <c r="AV104" s="314" t="s">
        <v>734</v>
      </c>
      <c r="AW104" s="314"/>
      <c r="AZ104" s="705" t="s">
        <v>1520</v>
      </c>
      <c r="BB104" s="705" t="str">
        <f t="shared" si="23"/>
        <v>CEG</v>
      </c>
      <c r="BC104" s="705" t="str">
        <f t="shared" si="24"/>
        <v>Commercial - Public Lights - Electricity - HPM - Existing</v>
      </c>
      <c r="BD104" s="705" t="s">
        <v>647</v>
      </c>
      <c r="BF104" s="314" t="s">
        <v>1503</v>
      </c>
    </row>
    <row r="105" spans="1:58">
      <c r="A105" s="722" t="str">
        <f>A$49&amp;" - "&amp;VLOOKUP(RIGHT(C105,3),NameConv!$E$3:$F$16,2,FALSE)&amp;" - "&amp;LEFT(Appliances!B78,3)&amp;" - Existing"</f>
        <v>Commercial - Public Lights - Electricity - HPS - Existing</v>
      </c>
      <c r="B105" s="722" t="str">
        <f t="shared" si="70"/>
        <v>CEGELCHPS-E</v>
      </c>
      <c r="C105" s="723" t="str">
        <f t="shared" si="71"/>
        <v>COMELC</v>
      </c>
      <c r="D105" s="746" t="str">
        <f t="shared" si="72"/>
        <v>CEG</v>
      </c>
      <c r="E105" s="724">
        <f>Appliances!J78</f>
        <v>6.5</v>
      </c>
      <c r="F105" s="566">
        <f ca="1">SUMIF(AFA!$B$3:$S$3,D105,AFA!$B$4:$J$4)</f>
        <v>0.5464</v>
      </c>
      <c r="G105" s="348">
        <v>12</v>
      </c>
      <c r="H105" s="349">
        <f ca="1">(N105/F105)*(1+$H$55)</f>
        <v>8.7004302651322494</v>
      </c>
      <c r="I105" s="572">
        <f>I83</f>
        <v>1.0658202070873248</v>
      </c>
      <c r="J105" s="572">
        <f t="shared" si="74"/>
        <v>0.10658202070873249</v>
      </c>
      <c r="L105" s="747">
        <f>Appliances!F78</f>
        <v>0.26384331575196845</v>
      </c>
      <c r="M105" s="349">
        <f>L105*SUMIF($C$6:$J$6,C105,$C$49:$J$49)</f>
        <v>0.73137155336434789</v>
      </c>
      <c r="N105" s="349">
        <f>M105*E105</f>
        <v>4.7539150968682611</v>
      </c>
      <c r="P105" s="696"/>
      <c r="Q105" s="694"/>
      <c r="R105" s="694">
        <f t="shared" si="77"/>
        <v>0.50697893957774143</v>
      </c>
      <c r="S105" s="694">
        <f t="shared" si="79"/>
        <v>0.53697893957774145</v>
      </c>
      <c r="T105" s="694">
        <f t="shared" si="79"/>
        <v>0.60697893957774141</v>
      </c>
      <c r="U105" s="694">
        <f t="shared" si="79"/>
        <v>0.80697893957774136</v>
      </c>
      <c r="V105" s="694">
        <f t="shared" si="79"/>
        <v>1</v>
      </c>
      <c r="W105" s="694">
        <f t="shared" si="79"/>
        <v>1</v>
      </c>
      <c r="X105" s="694">
        <f t="shared" si="79"/>
        <v>1</v>
      </c>
      <c r="Y105" s="694">
        <f t="shared" si="79"/>
        <v>1</v>
      </c>
      <c r="AA105" s="696"/>
      <c r="AB105" s="694"/>
      <c r="AC105" s="694">
        <f>R105/(1+$P$55+$AA$55)</f>
        <v>0.49703817605660922</v>
      </c>
      <c r="AD105" s="786">
        <v>0</v>
      </c>
      <c r="AE105" s="786">
        <v>0</v>
      </c>
      <c r="AF105" s="694">
        <f t="shared" si="80"/>
        <v>0</v>
      </c>
      <c r="AG105" s="694">
        <f t="shared" si="80"/>
        <v>0</v>
      </c>
      <c r="AH105" s="694">
        <f t="shared" si="80"/>
        <v>0</v>
      </c>
      <c r="AI105" s="694">
        <f t="shared" si="80"/>
        <v>0</v>
      </c>
      <c r="AJ105" s="694">
        <f>$AA105*AJ$52</f>
        <v>0</v>
      </c>
      <c r="AK105" s="705">
        <f t="shared" si="26"/>
        <v>45</v>
      </c>
      <c r="AP105"/>
      <c r="AQ105" s="765" t="s">
        <v>1504</v>
      </c>
      <c r="AR105" t="s">
        <v>1395</v>
      </c>
      <c r="AS105" s="722" t="s">
        <v>1396</v>
      </c>
      <c r="AT105" s="705" t="s">
        <v>647</v>
      </c>
      <c r="AU105" s="705" t="s">
        <v>662</v>
      </c>
      <c r="AV105" s="314" t="s">
        <v>734</v>
      </c>
      <c r="AW105" s="314"/>
      <c r="AZ105" s="705" t="s">
        <v>1520</v>
      </c>
      <c r="BB105" s="705" t="str">
        <f t="shared" si="23"/>
        <v>CEG</v>
      </c>
      <c r="BC105" s="705" t="str">
        <f t="shared" si="24"/>
        <v>Commercial - Public Lights - Electricity - HPS - Existing</v>
      </c>
      <c r="BD105" s="705" t="s">
        <v>647</v>
      </c>
      <c r="BF105" s="314" t="s">
        <v>1503</v>
      </c>
    </row>
    <row r="106" spans="1:58">
      <c r="A106" s="722" t="str">
        <f>A$49&amp;" - "&amp;VLOOKUP(RIGHT(C106,3),NameConv!$E$3:$F$16,2,FALSE)&amp;" - "&amp;LEFT(Appliances!B79,3)&amp;" - Existing"</f>
        <v>Commercial - Public Lights - Electricity - MHL - Existing</v>
      </c>
      <c r="B106" s="722" t="str">
        <f t="shared" si="70"/>
        <v>CEGELCMHL-E</v>
      </c>
      <c r="C106" s="723" t="str">
        <f t="shared" si="71"/>
        <v>COMELC</v>
      </c>
      <c r="D106" s="746" t="str">
        <f t="shared" si="72"/>
        <v>CEG</v>
      </c>
      <c r="E106" s="724">
        <f>Appliances!J79</f>
        <v>5</v>
      </c>
      <c r="F106" s="566">
        <f ca="1">SUMIF(AFA!$B$3:$S$3,D106,AFA!$B$4:$J$4)</f>
        <v>0.5464</v>
      </c>
      <c r="G106" s="348">
        <v>10</v>
      </c>
      <c r="H106" s="349">
        <f t="shared" ref="H106" ca="1" si="81">(N106/F106)*(1+$H$55)</f>
        <v>0.23562070281896844</v>
      </c>
      <c r="I106" s="572">
        <f>I84</f>
        <v>0.43103023080737402</v>
      </c>
      <c r="J106" s="572">
        <f t="shared" si="74"/>
        <v>4.3103023080737407E-2</v>
      </c>
      <c r="L106" s="747">
        <f>Appliances!F79</f>
        <v>9.2888546056069232E-3</v>
      </c>
      <c r="M106" s="349">
        <f t="shared" ref="M106:M107" si="82">L106*SUMIF($C$6:$J$6,C106,$C$49:$J$49)</f>
        <v>2.5748630404056873E-2</v>
      </c>
      <c r="N106" s="349">
        <f t="shared" ref="N106:N107" si="83">M106*E106</f>
        <v>0.12874315202028436</v>
      </c>
      <c r="P106" s="696"/>
      <c r="Q106" s="694"/>
      <c r="R106" s="694">
        <f t="shared" si="77"/>
        <v>1.3729750186775047E-2</v>
      </c>
      <c r="S106" s="694">
        <f t="shared" si="79"/>
        <v>4.3729750186775045E-2</v>
      </c>
      <c r="T106" s="694">
        <f t="shared" si="79"/>
        <v>0.11372975018677506</v>
      </c>
      <c r="U106" s="694">
        <f t="shared" si="79"/>
        <v>0.31372975018677501</v>
      </c>
      <c r="V106" s="694">
        <f t="shared" si="79"/>
        <v>0.56372975018677507</v>
      </c>
      <c r="W106" s="694">
        <f t="shared" si="79"/>
        <v>0.863729750186775</v>
      </c>
      <c r="X106" s="694">
        <f t="shared" si="79"/>
        <v>0.96372975018677498</v>
      </c>
      <c r="Y106" s="694">
        <f t="shared" si="79"/>
        <v>1</v>
      </c>
      <c r="AA106" s="696"/>
      <c r="AB106" s="694"/>
      <c r="AC106" s="694">
        <f>R106/(1+$P$55+$AA$55)</f>
        <v>1.3460539398799065E-2</v>
      </c>
      <c r="AD106" s="786">
        <v>0</v>
      </c>
      <c r="AE106" s="786">
        <v>0</v>
      </c>
      <c r="AF106" s="694">
        <f t="shared" si="80"/>
        <v>0</v>
      </c>
      <c r="AG106" s="694">
        <f t="shared" si="80"/>
        <v>0</v>
      </c>
      <c r="AH106" s="694">
        <f t="shared" si="80"/>
        <v>0</v>
      </c>
      <c r="AI106" s="694">
        <f t="shared" si="80"/>
        <v>0</v>
      </c>
      <c r="AJ106" s="694">
        <f>$AA106*AJ$52</f>
        <v>0</v>
      </c>
      <c r="AK106" s="705">
        <f t="shared" si="26"/>
        <v>46</v>
      </c>
      <c r="AP106"/>
      <c r="AQ106" s="765" t="s">
        <v>1504</v>
      </c>
      <c r="AR106" t="s">
        <v>1397</v>
      </c>
      <c r="AS106" s="722" t="s">
        <v>1398</v>
      </c>
      <c r="AT106" s="705" t="s">
        <v>647</v>
      </c>
      <c r="AU106" s="705" t="s">
        <v>662</v>
      </c>
      <c r="AV106" s="314" t="s">
        <v>734</v>
      </c>
      <c r="AW106" s="314"/>
      <c r="AZ106" s="705" t="s">
        <v>1520</v>
      </c>
      <c r="BB106" s="705" t="str">
        <f t="shared" si="23"/>
        <v>CEG</v>
      </c>
      <c r="BC106" s="705" t="str">
        <f t="shared" si="24"/>
        <v>Commercial - Public Lights - Electricity - MHL - Existing</v>
      </c>
      <c r="BD106" s="705" t="s">
        <v>647</v>
      </c>
      <c r="BF106" s="314" t="s">
        <v>1503</v>
      </c>
    </row>
    <row r="107" spans="1:58">
      <c r="A107" s="722" t="str">
        <f>A$49&amp;" - "&amp;VLOOKUP(RIGHT(C107,3),NameConv!$E$3:$F$16,2,FALSE)&amp;" - "&amp;LEFT(Appliances!B80,3)&amp;" - New"</f>
        <v>Commercial - Public Lights - Electricity - LED - New</v>
      </c>
      <c r="B107" s="722" t="str">
        <f t="shared" ref="B107" si="84">D107&amp;RIGHT(C107,3)&amp;LEFT(RIGHT(A107,LEN("LIT - NEW")),3)&amp;"-N"</f>
        <v>CEGELCLED-N</v>
      </c>
      <c r="C107" s="723" t="str">
        <f t="shared" si="71"/>
        <v>COMELC</v>
      </c>
      <c r="D107" s="746" t="str">
        <f t="shared" si="72"/>
        <v>CEG</v>
      </c>
      <c r="E107" s="724">
        <f>Appliances!J80</f>
        <v>9.8000000000000007</v>
      </c>
      <c r="F107" s="566">
        <f ca="1">SUMIF(AFA!$B$3:$S$3,D107,AFA!$B$4:$J$4)</f>
        <v>0.5464</v>
      </c>
      <c r="G107" s="348">
        <v>10</v>
      </c>
      <c r="H107" s="349"/>
      <c r="I107" s="349">
        <f>I86</f>
        <v>6.9235566660926731</v>
      </c>
      <c r="J107" s="349">
        <f>I107*0.1</f>
        <v>0.6923556666092674</v>
      </c>
      <c r="K107" s="705">
        <v>0</v>
      </c>
      <c r="L107" s="747">
        <v>0</v>
      </c>
      <c r="M107" s="349">
        <f t="shared" si="82"/>
        <v>0</v>
      </c>
      <c r="N107" s="349">
        <f t="shared" si="83"/>
        <v>0</v>
      </c>
      <c r="P107" s="696"/>
      <c r="Q107" s="694"/>
      <c r="R107" s="694">
        <f t="shared" si="77"/>
        <v>0</v>
      </c>
      <c r="S107" s="694">
        <f t="shared" si="79"/>
        <v>0.03</v>
      </c>
      <c r="T107" s="786">
        <v>0.75</v>
      </c>
      <c r="U107" s="786">
        <v>1</v>
      </c>
      <c r="V107" s="786">
        <f t="shared" ref="U107:Y107" si="85">MIN(1,$R107+V$53)</f>
        <v>1</v>
      </c>
      <c r="W107" s="786">
        <f t="shared" si="85"/>
        <v>1</v>
      </c>
      <c r="X107" s="786">
        <f t="shared" si="85"/>
        <v>1</v>
      </c>
      <c r="Y107" s="786">
        <f t="shared" si="85"/>
        <v>1</v>
      </c>
      <c r="AA107" s="696"/>
      <c r="AB107" s="694"/>
      <c r="AC107" s="694">
        <f>R107/(1+$P$55+$AA$55)</f>
        <v>0</v>
      </c>
      <c r="AD107" s="786">
        <v>0</v>
      </c>
      <c r="AE107" s="786">
        <v>0</v>
      </c>
      <c r="AF107" s="694">
        <f t="shared" si="80"/>
        <v>0</v>
      </c>
      <c r="AG107" s="694">
        <f t="shared" si="80"/>
        <v>0</v>
      </c>
      <c r="AH107" s="694">
        <f t="shared" si="80"/>
        <v>0</v>
      </c>
      <c r="AI107" s="694">
        <f t="shared" si="80"/>
        <v>0</v>
      </c>
      <c r="AJ107" s="694">
        <f>$AA107*AJ$52</f>
        <v>0</v>
      </c>
      <c r="AK107" s="705">
        <f t="shared" si="26"/>
        <v>47</v>
      </c>
      <c r="AP107"/>
      <c r="AQ107" s="765" t="s">
        <v>1504</v>
      </c>
      <c r="AR107" t="s">
        <v>1399</v>
      </c>
      <c r="AS107" s="722" t="s">
        <v>1400</v>
      </c>
      <c r="AT107" s="705" t="s">
        <v>647</v>
      </c>
      <c r="AU107" s="705" t="s">
        <v>662</v>
      </c>
      <c r="AV107" s="314" t="s">
        <v>734</v>
      </c>
      <c r="AW107" s="314"/>
      <c r="AZ107" s="705" t="s">
        <v>1520</v>
      </c>
      <c r="BB107" s="705" t="str">
        <f t="shared" si="23"/>
        <v>CEG</v>
      </c>
      <c r="BC107" s="705" t="str">
        <f t="shared" si="24"/>
        <v>Commercial - Public Lights - Electricity - LED - New</v>
      </c>
      <c r="BD107" s="705" t="s">
        <v>647</v>
      </c>
      <c r="BF107" s="314" t="s">
        <v>1503</v>
      </c>
    </row>
    <row r="108" spans="1:58">
      <c r="A108" s="742" t="s">
        <v>1538</v>
      </c>
      <c r="B108" s="722"/>
      <c r="C108" s="723"/>
      <c r="D108" s="746"/>
      <c r="E108" s="724"/>
      <c r="F108" s="566"/>
      <c r="G108" s="348"/>
      <c r="H108" s="349"/>
      <c r="I108" s="349"/>
      <c r="J108" s="349"/>
      <c r="L108" s="747"/>
      <c r="M108" s="356">
        <f>SUM(M102:M106)</f>
        <v>2.7719919728870046</v>
      </c>
      <c r="N108" s="356">
        <f>SUM(N102:N106)</f>
        <v>9.4707173671475093</v>
      </c>
      <c r="P108" s="696"/>
      <c r="Q108" s="694"/>
      <c r="R108" s="694"/>
      <c r="S108" s="694"/>
      <c r="T108" s="694"/>
      <c r="U108" s="694"/>
      <c r="V108" s="694"/>
      <c r="W108" s="694"/>
      <c r="X108" s="694"/>
      <c r="Y108" s="694"/>
      <c r="AA108" s="696"/>
      <c r="AB108" s="694"/>
      <c r="AC108" s="694"/>
      <c r="AD108" s="694"/>
      <c r="AE108" s="694"/>
      <c r="AF108" s="694"/>
      <c r="AG108" s="694"/>
      <c r="AH108" s="694"/>
      <c r="AI108" s="694"/>
      <c r="AJ108" s="694"/>
      <c r="AK108" s="705">
        <f t="shared" si="26"/>
        <v>48</v>
      </c>
      <c r="AL108" s="705" t="str">
        <f>LEFT(B107,3)</f>
        <v>CEG</v>
      </c>
      <c r="AP108"/>
      <c r="AQ108" s="765" t="s">
        <v>709</v>
      </c>
      <c r="AR108"/>
      <c r="AS108" s="722"/>
      <c r="AV108" s="314"/>
      <c r="AW108" s="314"/>
      <c r="AZ108" s="705" t="s">
        <v>709</v>
      </c>
      <c r="BF108" s="314"/>
    </row>
    <row r="109" spans="1:58">
      <c r="A109" s="722" t="s">
        <v>1546</v>
      </c>
      <c r="B109" s="722"/>
      <c r="D109" s="746"/>
      <c r="F109" s="566"/>
      <c r="H109" s="349"/>
      <c r="I109" s="349"/>
      <c r="J109" s="349"/>
      <c r="L109" s="733"/>
      <c r="M109" s="356"/>
      <c r="N109" s="356"/>
      <c r="AK109" s="705">
        <f t="shared" si="26"/>
        <v>49</v>
      </c>
      <c r="AP109"/>
      <c r="AQ109" s="765" t="s">
        <v>709</v>
      </c>
      <c r="AR109"/>
      <c r="AS109" s="722"/>
      <c r="AV109" s="314"/>
      <c r="AW109" s="314"/>
      <c r="AZ109" s="705" t="s">
        <v>709</v>
      </c>
      <c r="BF109" s="314"/>
    </row>
    <row r="110" spans="1:58">
      <c r="A110" s="722" t="str">
        <f>A$50&amp;" - "&amp;VLOOKUP(RIGHT(C110,3),NameConv!$E$3:$F$16,2,FALSE)&amp;" - "&amp;LEFT(Appliances!B83,3)&amp;" - Existing"</f>
        <v>Commercial - Public Water - Electricity -  - Existing</v>
      </c>
      <c r="B110" s="722" t="str">
        <f>D110&amp;RIGHT(C110,3)&amp;"-E"</f>
        <v>CETELC-E</v>
      </c>
      <c r="C110" s="723" t="str">
        <f>$E$6</f>
        <v>COMELC</v>
      </c>
      <c r="D110" s="746" t="str">
        <f>$B$50</f>
        <v>CET</v>
      </c>
      <c r="E110" s="705">
        <v>1</v>
      </c>
      <c r="F110" s="566">
        <f ca="1">SUMIF(AFA!$B$3:$S$3,D110,AFA!$B$4:$J$4)</f>
        <v>0.89129999999999998</v>
      </c>
      <c r="G110" s="348">
        <v>15</v>
      </c>
      <c r="H110" s="349">
        <f ca="1">(N110/F110)*(1+$H$55)</f>
        <v>3.6717176886303311</v>
      </c>
      <c r="I110" s="349">
        <v>100</v>
      </c>
      <c r="J110" s="349">
        <f>0.1*I110</f>
        <v>10</v>
      </c>
      <c r="K110" s="705">
        <v>0</v>
      </c>
      <c r="L110" s="733">
        <f>Appliances!F50</f>
        <v>1</v>
      </c>
      <c r="M110" s="349">
        <f>L110*SUMIF($C$6:$J$6,C110,$C$50:$J$50)</f>
        <v>3.2726019758762139</v>
      </c>
      <c r="N110" s="349">
        <f>M110*E110</f>
        <v>3.2726019758762139</v>
      </c>
      <c r="P110" s="696"/>
      <c r="Q110" s="694"/>
      <c r="R110" s="694">
        <f>N110/SUMIF($D$61:$D$121,$D110,$N$61:$N$121)*(1+$P$55)</f>
        <v>1.01</v>
      </c>
      <c r="S110" s="694">
        <f t="shared" ref="S110" si="86">MIN(1,$R110+S$52)</f>
        <v>1</v>
      </c>
      <c r="T110" s="786">
        <f>MIN(1,$R110+T$53)</f>
        <v>1</v>
      </c>
      <c r="U110" s="786">
        <f t="shared" ref="U110:Y110" si="87">MIN(1,$R110+U$53)</f>
        <v>1</v>
      </c>
      <c r="V110" s="786">
        <f t="shared" si="87"/>
        <v>1</v>
      </c>
      <c r="W110" s="786">
        <f t="shared" si="87"/>
        <v>1</v>
      </c>
      <c r="X110" s="786">
        <f t="shared" si="87"/>
        <v>1</v>
      </c>
      <c r="Y110" s="786">
        <f t="shared" si="87"/>
        <v>1</v>
      </c>
      <c r="AA110" s="696"/>
      <c r="AB110" s="694"/>
      <c r="AC110" s="694">
        <f>R110/(1+$P$55+$AA$55)</f>
        <v>0.99019607843137258</v>
      </c>
      <c r="AD110" s="694">
        <f t="shared" ref="AD110:AI110" si="88">$AC110*AD$52</f>
        <v>0.96049019607843134</v>
      </c>
      <c r="AE110" s="694">
        <f t="shared" si="88"/>
        <v>0.74264705882352944</v>
      </c>
      <c r="AF110" s="694">
        <f t="shared" si="88"/>
        <v>0</v>
      </c>
      <c r="AG110" s="694">
        <f t="shared" si="88"/>
        <v>0</v>
      </c>
      <c r="AH110" s="694">
        <f t="shared" si="88"/>
        <v>0</v>
      </c>
      <c r="AI110" s="694">
        <f t="shared" si="88"/>
        <v>0</v>
      </c>
      <c r="AJ110" s="694">
        <f>$AA110*AJ$52</f>
        <v>0</v>
      </c>
      <c r="AK110" s="705">
        <f t="shared" si="26"/>
        <v>50</v>
      </c>
      <c r="AP110"/>
      <c r="AQ110" s="765" t="s">
        <v>1504</v>
      </c>
      <c r="AR110" t="s">
        <v>1401</v>
      </c>
      <c r="AS110" s="722" t="s">
        <v>1402</v>
      </c>
      <c r="AT110" s="705" t="s">
        <v>647</v>
      </c>
      <c r="AU110" s="705" t="s">
        <v>662</v>
      </c>
      <c r="AV110" s="314" t="s">
        <v>734</v>
      </c>
      <c r="AW110"/>
      <c r="AZ110" s="705" t="s">
        <v>1520</v>
      </c>
      <c r="BB110" s="705" t="str">
        <f t="shared" si="23"/>
        <v>CET</v>
      </c>
      <c r="BC110" s="705" t="str">
        <f t="shared" si="24"/>
        <v>Commercial - Public Water - Electricity -  - Existing</v>
      </c>
      <c r="BD110" s="705" t="s">
        <v>647</v>
      </c>
      <c r="BF110" s="314" t="s">
        <v>1503</v>
      </c>
    </row>
    <row r="111" spans="1:58">
      <c r="A111" s="742" t="s">
        <v>1538</v>
      </c>
      <c r="F111" s="566"/>
      <c r="H111" s="349"/>
      <c r="I111" s="349"/>
      <c r="J111" s="349"/>
      <c r="L111" s="733"/>
      <c r="M111" s="356"/>
      <c r="N111" s="356"/>
      <c r="AK111" s="705">
        <f t="shared" si="26"/>
        <v>51</v>
      </c>
      <c r="AL111" s="705" t="str">
        <f>LEFT(B110,3)</f>
        <v>CET</v>
      </c>
      <c r="AP111"/>
      <c r="AQ111" s="765" t="s">
        <v>709</v>
      </c>
      <c r="AR111"/>
      <c r="AV111" s="314"/>
      <c r="AW111"/>
      <c r="AZ111" s="705" t="s">
        <v>709</v>
      </c>
      <c r="BF111" s="314"/>
    </row>
    <row r="112" spans="1:58">
      <c r="A112" s="722" t="s">
        <v>1547</v>
      </c>
      <c r="B112" s="722"/>
      <c r="C112" s="743"/>
      <c r="D112" s="743"/>
      <c r="E112" s="738"/>
      <c r="F112" s="566"/>
      <c r="G112" s="738"/>
      <c r="H112" s="349"/>
      <c r="I112" s="349"/>
      <c r="J112" s="349"/>
      <c r="K112" s="698"/>
      <c r="L112" s="745"/>
      <c r="M112" s="745"/>
      <c r="AK112" s="705">
        <f t="shared" si="26"/>
        <v>52</v>
      </c>
      <c r="AP112"/>
      <c r="AQ112" s="765" t="s">
        <v>709</v>
      </c>
      <c r="AR112"/>
      <c r="AS112" s="722"/>
      <c r="AV112"/>
      <c r="AW112"/>
      <c r="AZ112" s="705" t="s">
        <v>709</v>
      </c>
      <c r="BF112"/>
    </row>
    <row r="113" spans="1:58">
      <c r="A113" s="722" t="str">
        <f>A$51&amp;" - "&amp;VLOOKUP(RIGHT(C113,3),NameConv!$E$3:$F$16,2,FALSE)&amp;" - Existing"</f>
        <v>Commercial - Other - Coal - Existing</v>
      </c>
      <c r="B113" s="722" t="str">
        <f t="shared" ref="B113:B119" si="89">D113&amp;RIGHT(C113,3)&amp;"-E"</f>
        <v>CEOCOA-E</v>
      </c>
      <c r="C113" s="723" t="str">
        <f>$C$6</f>
        <v>COMCOA</v>
      </c>
      <c r="D113" s="723" t="str">
        <f>$B$51</f>
        <v>CEO</v>
      </c>
      <c r="E113" s="347">
        <f>Appliances!J46</f>
        <v>1</v>
      </c>
      <c r="F113" s="566">
        <f ca="1">SUMIF(AFA!$B$3:$S$3,D113,AFA!$B$4:$J$4)</f>
        <v>0.64739999999999998</v>
      </c>
      <c r="G113" s="348">
        <v>15</v>
      </c>
      <c r="H113" s="349">
        <f ca="1">(N113/F113)*(1+$H$55)</f>
        <v>0</v>
      </c>
      <c r="I113" s="349">
        <f>SUMIF('Technology costs'!$B$7:$B$28,COM_2017!B113,'Technology costs'!$L$7:$L$28)</f>
        <v>410.88682603593844</v>
      </c>
      <c r="J113" s="349">
        <f t="shared" si="25"/>
        <v>41.088682603593845</v>
      </c>
      <c r="K113" s="705">
        <v>0</v>
      </c>
      <c r="L113" s="350">
        <f>Appliances!F27</f>
        <v>1</v>
      </c>
      <c r="M113" s="349">
        <f t="shared" ref="M113:M119" si="90">L113*SUMIF($C$6:$J$6,C113,$C$51:$J$51)</f>
        <v>0</v>
      </c>
      <c r="N113" s="349">
        <f t="shared" ref="N113:N119" si="91">M113*E113</f>
        <v>0</v>
      </c>
      <c r="P113" s="696"/>
      <c r="Q113" s="694"/>
      <c r="R113" s="694">
        <f t="shared" ref="R113:R119" si="92">N113/SUMIF($D$61:$D$121,$D113,$N$61:$N$121)*(1+$P$55)</f>
        <v>0</v>
      </c>
      <c r="S113" s="699">
        <f>R113</f>
        <v>0</v>
      </c>
      <c r="T113" s="699">
        <v>0</v>
      </c>
      <c r="U113" s="699">
        <v>0</v>
      </c>
      <c r="V113" s="699">
        <v>0</v>
      </c>
      <c r="W113" s="699">
        <v>0</v>
      </c>
      <c r="X113" s="699">
        <v>0</v>
      </c>
      <c r="Y113" s="699">
        <v>0</v>
      </c>
      <c r="AA113" s="696"/>
      <c r="AB113" s="694"/>
      <c r="AC113" s="694">
        <f t="shared" ref="AC113:AC119" si="93">R113/(1+$P$55+$AA$55)</f>
        <v>0</v>
      </c>
      <c r="AD113" s="786">
        <v>0</v>
      </c>
      <c r="AE113" s="786">
        <v>0</v>
      </c>
      <c r="AF113" s="694">
        <f t="shared" ref="AF113:AI119" si="94">$AC113*AF$52</f>
        <v>0</v>
      </c>
      <c r="AG113" s="694">
        <f t="shared" si="94"/>
        <v>0</v>
      </c>
      <c r="AH113" s="694">
        <f t="shared" si="94"/>
        <v>0</v>
      </c>
      <c r="AI113" s="694">
        <f t="shared" si="94"/>
        <v>0</v>
      </c>
      <c r="AJ113" s="694">
        <f t="shared" ref="AJ113:AJ119" si="95">AI113</f>
        <v>0</v>
      </c>
      <c r="AK113" s="705">
        <f t="shared" si="26"/>
        <v>53</v>
      </c>
      <c r="AP113"/>
      <c r="AQ113" s="765" t="s">
        <v>1504</v>
      </c>
      <c r="AR113" t="s">
        <v>1327</v>
      </c>
      <c r="AS113" s="722" t="s">
        <v>1328</v>
      </c>
      <c r="AT113" s="705" t="s">
        <v>647</v>
      </c>
      <c r="AU113" s="705" t="s">
        <v>662</v>
      </c>
      <c r="AV113" s="314" t="s">
        <v>734</v>
      </c>
      <c r="AW113"/>
      <c r="AZ113" s="705" t="s">
        <v>1520</v>
      </c>
      <c r="BB113" s="705" t="str">
        <f t="shared" si="23"/>
        <v>CEO</v>
      </c>
      <c r="BC113" s="705" t="str">
        <f t="shared" si="24"/>
        <v>Commercial - Other - Coal - Existing</v>
      </c>
      <c r="BD113" s="705" t="s">
        <v>647</v>
      </c>
      <c r="BF113" s="314" t="s">
        <v>734</v>
      </c>
    </row>
    <row r="114" spans="1:58">
      <c r="A114" s="722" t="str">
        <f>A$51&amp;" - "&amp;VLOOKUP(RIGHT(C114,3),NameConv!$E$3:$F$16,2,FALSE)&amp;" - Existing"</f>
        <v>Commercial - Other - Oil Diesel - Existing</v>
      </c>
      <c r="B114" s="722" t="str">
        <f t="shared" si="89"/>
        <v>CEOODS-E</v>
      </c>
      <c r="C114" s="723" t="str">
        <f>$D$6</f>
        <v>COMODS</v>
      </c>
      <c r="D114" s="723" t="str">
        <f t="shared" ref="D114:D119" si="96">$B$51</f>
        <v>CEO</v>
      </c>
      <c r="E114" s="347">
        <f>Appliances!J47</f>
        <v>0.9</v>
      </c>
      <c r="F114" s="566">
        <f ca="1">SUMIF(AFA!$B$3:$S$3,D114,AFA!$B$4:$J$4)</f>
        <v>0.64739999999999998</v>
      </c>
      <c r="G114" s="348">
        <v>15</v>
      </c>
      <c r="H114" s="349">
        <f t="shared" ref="H114:H119" ca="1" si="97">(N114/F114)*(1+$H$55)</f>
        <v>1.4596848934198334</v>
      </c>
      <c r="I114" s="349">
        <f>SUMIF('Technology costs'!$B$7:$B$28,COM_2017!B114,'Technology costs'!$L$7:$L$28)</f>
        <v>410.88682603593844</v>
      </c>
      <c r="J114" s="349">
        <f t="shared" si="25"/>
        <v>41.088682603593845</v>
      </c>
      <c r="K114" s="705">
        <v>0</v>
      </c>
      <c r="L114" s="350">
        <f>Appliances!F27</f>
        <v>1</v>
      </c>
      <c r="M114" s="349">
        <f t="shared" si="90"/>
        <v>1.05</v>
      </c>
      <c r="N114" s="349">
        <f t="shared" si="91"/>
        <v>0.94500000000000006</v>
      </c>
      <c r="P114" s="696"/>
      <c r="Q114" s="694"/>
      <c r="R114" s="694">
        <f t="shared" si="92"/>
        <v>4.7357937146377579E-2</v>
      </c>
      <c r="S114" s="699">
        <f>R114</f>
        <v>4.7357937146377579E-2</v>
      </c>
      <c r="T114" s="699">
        <f t="shared" ref="T114:Y114" si="98">S114</f>
        <v>4.7357937146377579E-2</v>
      </c>
      <c r="U114" s="699">
        <f t="shared" si="98"/>
        <v>4.7357937146377579E-2</v>
      </c>
      <c r="V114" s="699">
        <f t="shared" si="98"/>
        <v>4.7357937146377579E-2</v>
      </c>
      <c r="W114" s="699">
        <f t="shared" si="98"/>
        <v>4.7357937146377579E-2</v>
      </c>
      <c r="X114" s="699">
        <f t="shared" si="98"/>
        <v>4.7357937146377579E-2</v>
      </c>
      <c r="Y114" s="699">
        <f t="shared" si="98"/>
        <v>4.7357937146377579E-2</v>
      </c>
      <c r="AA114" s="696"/>
      <c r="AB114" s="694"/>
      <c r="AC114" s="694">
        <f t="shared" si="93"/>
        <v>4.6429350143507429E-2</v>
      </c>
      <c r="AD114" s="786">
        <v>0</v>
      </c>
      <c r="AE114" s="786">
        <v>0</v>
      </c>
      <c r="AF114" s="694">
        <f t="shared" si="94"/>
        <v>0</v>
      </c>
      <c r="AG114" s="694">
        <f t="shared" si="94"/>
        <v>0</v>
      </c>
      <c r="AH114" s="694">
        <f t="shared" si="94"/>
        <v>0</v>
      </c>
      <c r="AI114" s="694">
        <f t="shared" si="94"/>
        <v>0</v>
      </c>
      <c r="AJ114" s="694">
        <f t="shared" si="95"/>
        <v>0</v>
      </c>
      <c r="AK114" s="705">
        <f t="shared" si="26"/>
        <v>54</v>
      </c>
      <c r="AP114"/>
      <c r="AQ114" s="765" t="s">
        <v>1504</v>
      </c>
      <c r="AR114" t="s">
        <v>1329</v>
      </c>
      <c r="AS114" s="722" t="s">
        <v>1330</v>
      </c>
      <c r="AT114" s="705" t="s">
        <v>647</v>
      </c>
      <c r="AU114" s="705" t="s">
        <v>662</v>
      </c>
      <c r="AV114" s="314" t="s">
        <v>734</v>
      </c>
      <c r="AW114"/>
      <c r="AZ114" s="705" t="s">
        <v>1520</v>
      </c>
      <c r="BB114" s="705" t="str">
        <f t="shared" si="23"/>
        <v>CEO</v>
      </c>
      <c r="BC114" s="705" t="str">
        <f t="shared" si="24"/>
        <v>Commercial - Other - Oil Diesel - Existing</v>
      </c>
      <c r="BD114" s="705" t="s">
        <v>647</v>
      </c>
      <c r="BF114" s="314" t="s">
        <v>734</v>
      </c>
    </row>
    <row r="115" spans="1:58">
      <c r="A115" s="722" t="str">
        <f>A$51&amp;" - "&amp;VLOOKUP(RIGHT(C115,3),NameConv!$E$3:$F$16,2,FALSE)&amp;" - Existing"</f>
        <v>Commercial - Other - Electricity - Existing</v>
      </c>
      <c r="B115" s="722" t="str">
        <f t="shared" si="89"/>
        <v>CEOELC-E</v>
      </c>
      <c r="C115" s="723" t="str">
        <f>$E$6</f>
        <v>COMELC</v>
      </c>
      <c r="D115" s="723" t="str">
        <f t="shared" si="96"/>
        <v>CEO</v>
      </c>
      <c r="E115" s="347">
        <f>Appliances!J45</f>
        <v>0.75</v>
      </c>
      <c r="F115" s="566">
        <f ca="1">SUMIF(AFA!$B$3:$S$3,D115,AFA!$B$4:$J$4)</f>
        <v>0.64739999999999998</v>
      </c>
      <c r="G115" s="348">
        <v>15</v>
      </c>
      <c r="H115" s="349">
        <f t="shared" ca="1" si="97"/>
        <v>25.423170549618511</v>
      </c>
      <c r="I115" s="349">
        <f>SUMIF('Technology costs'!$B$7:$B$28,COM_2017!B115,'Technology costs'!$L$7:$L$28)</f>
        <v>410.88682603593844</v>
      </c>
      <c r="J115" s="349">
        <f t="shared" si="25"/>
        <v>41.088682603593845</v>
      </c>
      <c r="K115" s="705">
        <v>0</v>
      </c>
      <c r="L115" s="350">
        <f>Appliances!F27</f>
        <v>1</v>
      </c>
      <c r="M115" s="349">
        <f t="shared" si="90"/>
        <v>21.9452808184307</v>
      </c>
      <c r="N115" s="349">
        <f t="shared" si="91"/>
        <v>16.458960613823024</v>
      </c>
      <c r="P115" s="696"/>
      <c r="Q115" s="694"/>
      <c r="R115" s="694">
        <f t="shared" si="92"/>
        <v>0.82482796004670356</v>
      </c>
      <c r="S115" s="694">
        <f t="shared" ref="S115:Y115" si="99">MIN(1,$R115+S$52)</f>
        <v>0.85482796004670358</v>
      </c>
      <c r="T115" s="694">
        <f t="shared" si="99"/>
        <v>0.92482796004670353</v>
      </c>
      <c r="U115" s="694">
        <f t="shared" si="99"/>
        <v>1</v>
      </c>
      <c r="V115" s="694">
        <f t="shared" si="99"/>
        <v>1</v>
      </c>
      <c r="W115" s="694">
        <f t="shared" si="99"/>
        <v>1</v>
      </c>
      <c r="X115" s="694">
        <f t="shared" si="99"/>
        <v>1</v>
      </c>
      <c r="Y115" s="694">
        <f t="shared" si="99"/>
        <v>1</v>
      </c>
      <c r="AA115" s="696"/>
      <c r="AB115" s="694"/>
      <c r="AC115" s="694">
        <f t="shared" si="93"/>
        <v>0.80865486279088583</v>
      </c>
      <c r="AD115" s="786">
        <v>0</v>
      </c>
      <c r="AE115" s="786">
        <v>0</v>
      </c>
      <c r="AF115" s="694">
        <f t="shared" si="94"/>
        <v>0</v>
      </c>
      <c r="AG115" s="694">
        <f t="shared" si="94"/>
        <v>0</v>
      </c>
      <c r="AH115" s="694">
        <f t="shared" si="94"/>
        <v>0</v>
      </c>
      <c r="AI115" s="694">
        <f t="shared" si="94"/>
        <v>0</v>
      </c>
      <c r="AJ115" s="694">
        <f t="shared" si="95"/>
        <v>0</v>
      </c>
      <c r="AK115" s="705">
        <f t="shared" si="26"/>
        <v>55</v>
      </c>
      <c r="AP115"/>
      <c r="AQ115" s="765" t="s">
        <v>1504</v>
      </c>
      <c r="AR115" t="s">
        <v>1331</v>
      </c>
      <c r="AS115" s="722" t="s">
        <v>1332</v>
      </c>
      <c r="AT115" s="705" t="s">
        <v>647</v>
      </c>
      <c r="AU115" s="705" t="s">
        <v>662</v>
      </c>
      <c r="AV115" s="314" t="s">
        <v>734</v>
      </c>
      <c r="AW115"/>
      <c r="AZ115" s="705" t="s">
        <v>1520</v>
      </c>
      <c r="BB115" s="705" t="str">
        <f t="shared" si="23"/>
        <v>CEO</v>
      </c>
      <c r="BC115" s="705" t="str">
        <f t="shared" si="24"/>
        <v>Commercial - Other - Electricity - Existing</v>
      </c>
      <c r="BD115" s="705" t="s">
        <v>647</v>
      </c>
      <c r="BF115" s="314" t="s">
        <v>1503</v>
      </c>
    </row>
    <row r="116" spans="1:58">
      <c r="A116" s="722" t="str">
        <f>A$51&amp;" - "&amp;VLOOKUP(RIGHT(C116,3),NameConv!$E$3:$F$16,2,FALSE)&amp;" - Existing"</f>
        <v>Commercial - Other - Gas - Existing</v>
      </c>
      <c r="B116" s="722" t="str">
        <f t="shared" si="89"/>
        <v>CEOGAS-E</v>
      </c>
      <c r="C116" s="723" t="str">
        <f>$F$6</f>
        <v>COMGAS</v>
      </c>
      <c r="D116" s="723" t="str">
        <f t="shared" si="96"/>
        <v>CEO</v>
      </c>
      <c r="E116" s="347">
        <v>1</v>
      </c>
      <c r="F116" s="566">
        <f ca="1">SUMIF(AFA!$B$3:$S$3,D116,AFA!$B$4:$J$4)</f>
        <v>0.64739999999999998</v>
      </c>
      <c r="G116" s="348">
        <v>15</v>
      </c>
      <c r="H116" s="349">
        <f t="shared" ca="1" si="97"/>
        <v>0</v>
      </c>
      <c r="I116" s="349">
        <f>SUMIF('Technology costs'!$B$7:$B$28,COM_2017!B116,'Technology costs'!$L$7:$L$28)</f>
        <v>410.88682603593844</v>
      </c>
      <c r="J116" s="349">
        <f t="shared" si="25"/>
        <v>41.088682603593845</v>
      </c>
      <c r="K116" s="705">
        <v>0</v>
      </c>
      <c r="L116" s="350">
        <f>Appliances!F27</f>
        <v>1</v>
      </c>
      <c r="M116" s="349">
        <f t="shared" si="90"/>
        <v>0</v>
      </c>
      <c r="N116" s="349">
        <f t="shared" si="91"/>
        <v>0</v>
      </c>
      <c r="P116" s="696"/>
      <c r="Q116" s="694"/>
      <c r="R116" s="694">
        <f t="shared" si="92"/>
        <v>0</v>
      </c>
      <c r="S116" s="699">
        <f>R116</f>
        <v>0</v>
      </c>
      <c r="T116" s="699">
        <f t="shared" ref="T116:Y116" si="100">S116</f>
        <v>0</v>
      </c>
      <c r="U116" s="699">
        <f t="shared" si="100"/>
        <v>0</v>
      </c>
      <c r="V116" s="699">
        <f t="shared" si="100"/>
        <v>0</v>
      </c>
      <c r="W116" s="699">
        <f t="shared" si="100"/>
        <v>0</v>
      </c>
      <c r="X116" s="699">
        <f t="shared" si="100"/>
        <v>0</v>
      </c>
      <c r="Y116" s="699">
        <f t="shared" si="100"/>
        <v>0</v>
      </c>
      <c r="AA116" s="696"/>
      <c r="AB116" s="694"/>
      <c r="AC116" s="694">
        <f t="shared" si="93"/>
        <v>0</v>
      </c>
      <c r="AD116" s="786">
        <v>0</v>
      </c>
      <c r="AE116" s="786">
        <v>0</v>
      </c>
      <c r="AF116" s="694">
        <f t="shared" si="94"/>
        <v>0</v>
      </c>
      <c r="AG116" s="694">
        <f t="shared" si="94"/>
        <v>0</v>
      </c>
      <c r="AH116" s="694">
        <f t="shared" si="94"/>
        <v>0</v>
      </c>
      <c r="AI116" s="694">
        <f t="shared" si="94"/>
        <v>0</v>
      </c>
      <c r="AJ116" s="694">
        <f t="shared" si="95"/>
        <v>0</v>
      </c>
      <c r="AK116" s="705">
        <f t="shared" si="26"/>
        <v>56</v>
      </c>
      <c r="AP116"/>
      <c r="AQ116" s="765" t="s">
        <v>1504</v>
      </c>
      <c r="AR116" t="s">
        <v>1333</v>
      </c>
      <c r="AS116" s="722" t="s">
        <v>1334</v>
      </c>
      <c r="AT116" s="705" t="s">
        <v>647</v>
      </c>
      <c r="AU116" s="705" t="s">
        <v>662</v>
      </c>
      <c r="AV116" s="314" t="s">
        <v>734</v>
      </c>
      <c r="AW116"/>
      <c r="AZ116" s="705" t="s">
        <v>1520</v>
      </c>
      <c r="BB116" s="705" t="str">
        <f t="shared" si="23"/>
        <v>CEO</v>
      </c>
      <c r="BC116" s="705" t="str">
        <f t="shared" si="24"/>
        <v>Commercial - Other - Gas - Existing</v>
      </c>
      <c r="BD116" s="705" t="s">
        <v>647</v>
      </c>
      <c r="BF116" s="314" t="s">
        <v>734</v>
      </c>
    </row>
    <row r="117" spans="1:58">
      <c r="A117" s="722" t="str">
        <f>A$51&amp;" - "&amp;VLOOKUP(RIGHT(C117,3),NameConv!$E$3:$F$16,2,FALSE)&amp;" - Existing"</f>
        <v>Commercial - Other - Oil Gasoline - Existing</v>
      </c>
      <c r="B117" s="722" t="str">
        <f t="shared" si="89"/>
        <v>CEOOGS-E</v>
      </c>
      <c r="C117" s="723" t="str">
        <f>$G$6</f>
        <v>COMOGS</v>
      </c>
      <c r="D117" s="723" t="str">
        <f t="shared" si="96"/>
        <v>CEO</v>
      </c>
      <c r="E117" s="347">
        <v>1</v>
      </c>
      <c r="F117" s="566">
        <f ca="1">SUMIF(AFA!$B$3:$S$3,D117,AFA!$B$4:$J$4)</f>
        <v>0.64739999999999998</v>
      </c>
      <c r="G117" s="348">
        <v>15</v>
      </c>
      <c r="H117" s="349">
        <f t="shared" ca="1" si="97"/>
        <v>0</v>
      </c>
      <c r="I117" s="349">
        <f>SUMIF('Technology costs'!$B$7:$B$28,COM_2017!B117,'Technology costs'!$L$7:$L$28)</f>
        <v>410.88682603593844</v>
      </c>
      <c r="J117" s="349">
        <f t="shared" si="25"/>
        <v>41.088682603593845</v>
      </c>
      <c r="K117" s="705">
        <v>0</v>
      </c>
      <c r="L117" s="350">
        <f>Appliances!F27</f>
        <v>1</v>
      </c>
      <c r="M117" s="349">
        <f t="shared" si="90"/>
        <v>0</v>
      </c>
      <c r="N117" s="349">
        <f t="shared" si="91"/>
        <v>0</v>
      </c>
      <c r="P117" s="696"/>
      <c r="Q117" s="694"/>
      <c r="R117" s="694">
        <f t="shared" si="92"/>
        <v>0</v>
      </c>
      <c r="S117" s="699">
        <f t="shared" ref="S117:Y119" si="101">R117</f>
        <v>0</v>
      </c>
      <c r="T117" s="699">
        <f t="shared" si="101"/>
        <v>0</v>
      </c>
      <c r="U117" s="699">
        <f t="shared" si="101"/>
        <v>0</v>
      </c>
      <c r="V117" s="699">
        <f t="shared" si="101"/>
        <v>0</v>
      </c>
      <c r="W117" s="699">
        <f t="shared" si="101"/>
        <v>0</v>
      </c>
      <c r="X117" s="699">
        <f t="shared" si="101"/>
        <v>0</v>
      </c>
      <c r="Y117" s="699">
        <f t="shared" si="101"/>
        <v>0</v>
      </c>
      <c r="AA117" s="696"/>
      <c r="AB117" s="694"/>
      <c r="AC117" s="694">
        <f t="shared" si="93"/>
        <v>0</v>
      </c>
      <c r="AD117" s="786">
        <v>0</v>
      </c>
      <c r="AE117" s="786">
        <v>0</v>
      </c>
      <c r="AF117" s="694">
        <f t="shared" si="94"/>
        <v>0</v>
      </c>
      <c r="AG117" s="694">
        <f t="shared" si="94"/>
        <v>0</v>
      </c>
      <c r="AH117" s="694">
        <f t="shared" si="94"/>
        <v>0</v>
      </c>
      <c r="AI117" s="694">
        <f t="shared" si="94"/>
        <v>0</v>
      </c>
      <c r="AJ117" s="694">
        <f t="shared" si="95"/>
        <v>0</v>
      </c>
      <c r="AK117" s="705">
        <f t="shared" si="26"/>
        <v>57</v>
      </c>
      <c r="AP117"/>
      <c r="AQ117" s="765" t="s">
        <v>1504</v>
      </c>
      <c r="AR117" t="s">
        <v>1335</v>
      </c>
      <c r="AS117" s="722" t="s">
        <v>1336</v>
      </c>
      <c r="AT117" s="705" t="s">
        <v>647</v>
      </c>
      <c r="AU117" s="705" t="s">
        <v>662</v>
      </c>
      <c r="AV117" s="314" t="s">
        <v>734</v>
      </c>
      <c r="AW117"/>
      <c r="AZ117" s="705" t="s">
        <v>1520</v>
      </c>
      <c r="BB117" s="705" t="str">
        <f t="shared" si="23"/>
        <v>CEO</v>
      </c>
      <c r="BC117" s="705" t="str">
        <f t="shared" si="24"/>
        <v>Commercial - Other - Oil Gasoline - Existing</v>
      </c>
      <c r="BD117" s="705" t="s">
        <v>647</v>
      </c>
      <c r="BF117" s="314" t="s">
        <v>734</v>
      </c>
    </row>
    <row r="118" spans="1:58">
      <c r="A118" s="722" t="str">
        <f>A$51&amp;" - "&amp;VLOOKUP(RIGHT(C118,3),NameConv!$E$3:$F$16,2,FALSE)&amp;" - Existing"</f>
        <v>Commercial - Other - Oil HFO - Existing</v>
      </c>
      <c r="B118" s="722" t="str">
        <f t="shared" si="89"/>
        <v>CEOOHF-E</v>
      </c>
      <c r="C118" s="723" t="str">
        <f>$H$6</f>
        <v>COMOHF</v>
      </c>
      <c r="D118" s="723" t="str">
        <f t="shared" si="96"/>
        <v>CEO</v>
      </c>
      <c r="E118" s="347">
        <v>1</v>
      </c>
      <c r="F118" s="566">
        <f ca="1">SUMIF(AFA!$B$3:$S$3,D118,AFA!$B$4:$J$4)</f>
        <v>0.64739999999999998</v>
      </c>
      <c r="G118" s="348">
        <v>15</v>
      </c>
      <c r="H118" s="349">
        <f t="shared" ca="1" si="97"/>
        <v>4.2477602718566576</v>
      </c>
      <c r="I118" s="349">
        <f>SUMIF('Technology costs'!$B$7:$B$28,COM_2017!B118,'Technology costs'!$L$7:$L$28)</f>
        <v>410.88682603593844</v>
      </c>
      <c r="J118" s="349">
        <f t="shared" si="25"/>
        <v>41.088682603593845</v>
      </c>
      <c r="K118" s="705">
        <v>0</v>
      </c>
      <c r="L118" s="350">
        <f>Appliances!F27</f>
        <v>1</v>
      </c>
      <c r="M118" s="349">
        <f t="shared" si="90"/>
        <v>2.75</v>
      </c>
      <c r="N118" s="349">
        <f t="shared" si="91"/>
        <v>2.75</v>
      </c>
      <c r="P118" s="696"/>
      <c r="Q118" s="694"/>
      <c r="R118" s="694">
        <f t="shared" si="92"/>
        <v>0.13781410280691889</v>
      </c>
      <c r="S118" s="699">
        <f t="shared" si="101"/>
        <v>0.13781410280691889</v>
      </c>
      <c r="T118" s="699">
        <f t="shared" si="101"/>
        <v>0.13781410280691889</v>
      </c>
      <c r="U118" s="699">
        <f t="shared" si="101"/>
        <v>0.13781410280691889</v>
      </c>
      <c r="V118" s="699">
        <f t="shared" si="101"/>
        <v>0.13781410280691889</v>
      </c>
      <c r="W118" s="699">
        <f t="shared" si="101"/>
        <v>0.13781410280691889</v>
      </c>
      <c r="X118" s="699">
        <f t="shared" si="101"/>
        <v>0.13781410280691889</v>
      </c>
      <c r="Y118" s="699">
        <f t="shared" si="101"/>
        <v>0.13781410280691889</v>
      </c>
      <c r="AA118" s="696"/>
      <c r="AB118" s="694"/>
      <c r="AC118" s="694">
        <f t="shared" si="93"/>
        <v>0.13511186549697929</v>
      </c>
      <c r="AD118" s="786">
        <v>0</v>
      </c>
      <c r="AE118" s="786">
        <v>0</v>
      </c>
      <c r="AF118" s="694">
        <f t="shared" si="94"/>
        <v>0</v>
      </c>
      <c r="AG118" s="694">
        <f t="shared" si="94"/>
        <v>0</v>
      </c>
      <c r="AH118" s="694">
        <f t="shared" si="94"/>
        <v>0</v>
      </c>
      <c r="AI118" s="694">
        <f t="shared" si="94"/>
        <v>0</v>
      </c>
      <c r="AJ118" s="694">
        <f t="shared" si="95"/>
        <v>0</v>
      </c>
      <c r="AK118" s="705">
        <f t="shared" si="26"/>
        <v>58</v>
      </c>
      <c r="AP118"/>
      <c r="AQ118" s="765" t="s">
        <v>1504</v>
      </c>
      <c r="AR118" t="s">
        <v>1337</v>
      </c>
      <c r="AS118" s="722" t="s">
        <v>1338</v>
      </c>
      <c r="AT118" s="705" t="s">
        <v>647</v>
      </c>
      <c r="AU118" s="705" t="s">
        <v>662</v>
      </c>
      <c r="AV118" s="314" t="s">
        <v>734</v>
      </c>
      <c r="AW118"/>
      <c r="AZ118" s="705" t="s">
        <v>1520</v>
      </c>
      <c r="BB118" s="705" t="str">
        <f t="shared" si="23"/>
        <v>CEO</v>
      </c>
      <c r="BC118" s="705" t="str">
        <f t="shared" si="24"/>
        <v>Commercial - Other - Oil HFO - Existing</v>
      </c>
      <c r="BD118" s="705" t="s">
        <v>647</v>
      </c>
      <c r="BF118" s="314" t="s">
        <v>734</v>
      </c>
    </row>
    <row r="119" spans="1:58">
      <c r="A119" s="722" t="str">
        <f>A$51&amp;" - "&amp;VLOOKUP(RIGHT(C119,3),NameConv!$E$3:$F$16,2,FALSE)&amp;" - Existing"</f>
        <v>Commercial - Other - Oil Paraffin - Existing</v>
      </c>
      <c r="B119" s="722" t="str">
        <f t="shared" si="89"/>
        <v>CEOOKE-E</v>
      </c>
      <c r="C119" s="723" t="str">
        <f>$I$6</f>
        <v>COMOKE</v>
      </c>
      <c r="D119" s="723" t="str">
        <f t="shared" si="96"/>
        <v>CEO</v>
      </c>
      <c r="E119" s="347">
        <v>1</v>
      </c>
      <c r="F119" s="566">
        <f ca="1">SUMIF(AFA!$B$3:$S$3,D119,AFA!$B$4:$J$4)</f>
        <v>0.64739999999999998</v>
      </c>
      <c r="G119" s="348">
        <v>15</v>
      </c>
      <c r="H119" s="349">
        <f t="shared" ca="1" si="97"/>
        <v>0</v>
      </c>
      <c r="I119" s="349">
        <f>SUMIF('Technology costs'!$B$7:$B$29,COM_2017!B119,'Technology costs'!$L$7:$L$29)</f>
        <v>410.88682603593844</v>
      </c>
      <c r="J119" s="349">
        <f>I119*0.1</f>
        <v>41.088682603593845</v>
      </c>
      <c r="K119" s="705">
        <v>0</v>
      </c>
      <c r="L119" s="350">
        <f>Appliances!F33</f>
        <v>1</v>
      </c>
      <c r="M119" s="349">
        <f t="shared" si="90"/>
        <v>0</v>
      </c>
      <c r="N119" s="349">
        <f t="shared" si="91"/>
        <v>0</v>
      </c>
      <c r="P119" s="696"/>
      <c r="Q119" s="694"/>
      <c r="R119" s="694">
        <f t="shared" si="92"/>
        <v>0</v>
      </c>
      <c r="S119" s="699">
        <f t="shared" si="101"/>
        <v>0</v>
      </c>
      <c r="T119" s="699">
        <f t="shared" si="101"/>
        <v>0</v>
      </c>
      <c r="U119" s="699">
        <f t="shared" si="101"/>
        <v>0</v>
      </c>
      <c r="V119" s="699">
        <f t="shared" si="101"/>
        <v>0</v>
      </c>
      <c r="W119" s="699">
        <f t="shared" si="101"/>
        <v>0</v>
      </c>
      <c r="X119" s="699">
        <f t="shared" si="101"/>
        <v>0</v>
      </c>
      <c r="Y119" s="699">
        <f t="shared" si="101"/>
        <v>0</v>
      </c>
      <c r="AA119" s="696"/>
      <c r="AB119" s="694"/>
      <c r="AC119" s="694">
        <f t="shared" si="93"/>
        <v>0</v>
      </c>
      <c r="AD119" s="786">
        <v>0</v>
      </c>
      <c r="AE119" s="786">
        <v>0</v>
      </c>
      <c r="AF119" s="694">
        <f t="shared" si="94"/>
        <v>0</v>
      </c>
      <c r="AG119" s="694">
        <f t="shared" si="94"/>
        <v>0</v>
      </c>
      <c r="AH119" s="694">
        <f t="shared" si="94"/>
        <v>0</v>
      </c>
      <c r="AI119" s="694">
        <f t="shared" si="94"/>
        <v>0</v>
      </c>
      <c r="AJ119" s="694">
        <f t="shared" si="95"/>
        <v>0</v>
      </c>
      <c r="AK119" s="705">
        <f t="shared" si="26"/>
        <v>59</v>
      </c>
      <c r="AP119"/>
      <c r="AQ119" s="765" t="s">
        <v>1504</v>
      </c>
      <c r="AR119" t="s">
        <v>1339</v>
      </c>
      <c r="AS119" s="722" t="s">
        <v>1340</v>
      </c>
      <c r="AT119" s="705" t="s">
        <v>647</v>
      </c>
      <c r="AU119" s="705" t="s">
        <v>662</v>
      </c>
      <c r="AV119" s="314" t="s">
        <v>734</v>
      </c>
      <c r="AW119"/>
      <c r="AZ119" s="705" t="s">
        <v>1520</v>
      </c>
      <c r="BB119" s="705" t="str">
        <f t="shared" si="23"/>
        <v>CEO</v>
      </c>
      <c r="BC119" s="705" t="str">
        <f t="shared" si="24"/>
        <v>Commercial - Other - Oil Paraffin - Existing</v>
      </c>
      <c r="BD119" s="705" t="s">
        <v>647</v>
      </c>
      <c r="BF119" s="314" t="s">
        <v>734</v>
      </c>
    </row>
    <row r="120" spans="1:58">
      <c r="A120" s="742" t="s">
        <v>1538</v>
      </c>
      <c r="L120" s="733"/>
      <c r="M120" s="356">
        <f>SUM(M113:M119)</f>
        <v>25.7452808184307</v>
      </c>
      <c r="N120" s="356">
        <f>SUM(N113:N119)</f>
        <v>20.153960613823024</v>
      </c>
      <c r="AK120" s="705">
        <f t="shared" si="26"/>
        <v>60</v>
      </c>
      <c r="AL120" s="705" t="str">
        <f>LEFT(B119,3)</f>
        <v>CEO</v>
      </c>
      <c r="AP120"/>
      <c r="AQ120" s="765" t="s">
        <v>709</v>
      </c>
      <c r="AR120"/>
      <c r="AU120" s="314"/>
      <c r="AV120" s="314"/>
      <c r="AW120"/>
    </row>
    <row r="121" spans="1:58" s="748" customFormat="1">
      <c r="A121" s="748" t="s">
        <v>1548</v>
      </c>
      <c r="B121" s="748">
        <f>SUMPRODUCT(--(B61:B120&lt;&gt;""))</f>
        <v>43</v>
      </c>
      <c r="O121" s="748">
        <f>ROW()-56</f>
        <v>65</v>
      </c>
      <c r="AK121" s="705">
        <f t="shared" si="26"/>
        <v>61</v>
      </c>
    </row>
    <row r="122" spans="1:58">
      <c r="AP122"/>
      <c r="AQ122"/>
      <c r="AR122"/>
      <c r="AS122"/>
      <c r="AT122" s="314"/>
      <c r="AU122" s="314"/>
      <c r="AV122" s="314"/>
      <c r="AW122"/>
    </row>
    <row r="123" spans="1:58">
      <c r="E123" s="757"/>
      <c r="AP123"/>
      <c r="AQ123"/>
      <c r="AR123"/>
      <c r="AS123"/>
      <c r="AT123" s="314"/>
      <c r="AU123" s="314"/>
      <c r="AV123" s="314"/>
      <c r="AW123"/>
    </row>
    <row r="124" spans="1:58">
      <c r="A124" s="770"/>
      <c r="B124" s="769"/>
      <c r="C124" s="770"/>
      <c r="D124" s="770"/>
      <c r="E124" s="768"/>
      <c r="F124" s="767"/>
      <c r="G124" s="768"/>
      <c r="H124" s="768"/>
      <c r="I124" s="768"/>
      <c r="J124" s="768"/>
      <c r="K124" s="768"/>
      <c r="L124" s="768"/>
      <c r="M124" s="768"/>
      <c r="N124" s="768"/>
      <c r="O124" s="768"/>
      <c r="P124" s="768"/>
      <c r="Q124" s="768"/>
      <c r="R124" s="767"/>
      <c r="AP124"/>
      <c r="AQ124"/>
      <c r="AR124"/>
      <c r="AS124"/>
      <c r="AT124" s="314"/>
      <c r="AU124" s="314"/>
      <c r="AV124" s="314"/>
      <c r="AW124"/>
    </row>
    <row r="125" spans="1:58">
      <c r="A125" s="739"/>
      <c r="B125" s="739"/>
      <c r="C125" s="739"/>
      <c r="D125" s="739"/>
      <c r="E125" s="739"/>
      <c r="F125" s="739"/>
      <c r="G125" s="739"/>
      <c r="H125" s="739"/>
      <c r="I125" s="739"/>
      <c r="J125" s="739"/>
      <c r="K125" s="739"/>
      <c r="L125" s="739"/>
      <c r="M125" s="739"/>
      <c r="N125" s="739"/>
      <c r="O125" s="739"/>
      <c r="P125" s="739"/>
      <c r="Q125" s="739"/>
      <c r="R125" s="739"/>
      <c r="AP125"/>
      <c r="AQ125"/>
      <c r="AR125"/>
      <c r="AS125"/>
      <c r="AT125" s="314"/>
      <c r="AU125" s="314"/>
      <c r="AV125"/>
      <c r="AW125"/>
    </row>
    <row r="126" spans="1:58">
      <c r="AP126"/>
      <c r="AQ126"/>
      <c r="AR126"/>
      <c r="AS126"/>
      <c r="AT126" s="314"/>
      <c r="AU126" s="314"/>
      <c r="AV126" s="314"/>
      <c r="AW126"/>
    </row>
    <row r="127" spans="1:58">
      <c r="AP127"/>
      <c r="AQ127"/>
      <c r="AR127"/>
      <c r="AS127"/>
      <c r="AT127" s="314"/>
      <c r="AU127" s="314"/>
      <c r="AV127" s="314"/>
      <c r="AW127"/>
    </row>
    <row r="128" spans="1:58">
      <c r="AP128"/>
      <c r="AQ128"/>
      <c r="AR128"/>
      <c r="AS128"/>
      <c r="AT128" s="314"/>
      <c r="AU128" s="314"/>
      <c r="AV128" s="314"/>
      <c r="AW128"/>
    </row>
    <row r="129" spans="1:49">
      <c r="A129" s="749"/>
      <c r="B129"/>
      <c r="C129"/>
      <c r="D129"/>
      <c r="E129"/>
      <c r="F129"/>
      <c r="G129"/>
      <c r="H129"/>
      <c r="I129"/>
      <c r="AP129"/>
      <c r="AQ129"/>
      <c r="AR129"/>
      <c r="AS129"/>
      <c r="AT129" s="314"/>
      <c r="AU129" s="314"/>
      <c r="AV129"/>
      <c r="AW129"/>
    </row>
    <row r="130" spans="1:49">
      <c r="A130" s="764"/>
      <c r="B130" s="764"/>
      <c r="C130" s="763"/>
      <c r="D130" s="763"/>
      <c r="E130" s="763"/>
      <c r="F130" s="763"/>
      <c r="G130" s="763"/>
      <c r="H130" s="763"/>
      <c r="I130" s="314"/>
      <c r="AP130"/>
      <c r="AQ130"/>
      <c r="AR130"/>
      <c r="AS130"/>
      <c r="AT130" s="314"/>
      <c r="AU130" s="314"/>
      <c r="AV130" s="314"/>
      <c r="AW130"/>
    </row>
    <row r="131" spans="1:49">
      <c r="A131" s="762"/>
      <c r="B131" s="739"/>
      <c r="C131" s="793"/>
      <c r="D131" s="793"/>
      <c r="E131" s="793"/>
      <c r="F131" s="793"/>
      <c r="G131" s="793"/>
      <c r="H131" s="793"/>
      <c r="I131"/>
      <c r="AP131"/>
      <c r="AQ131"/>
      <c r="AR131"/>
      <c r="AS131"/>
      <c r="AT131" s="314"/>
      <c r="AU131" s="314"/>
      <c r="AV131" s="314"/>
      <c r="AW131"/>
    </row>
    <row r="132" spans="1:49">
      <c r="AP132"/>
      <c r="AQ132"/>
      <c r="AR132"/>
      <c r="AS132"/>
      <c r="AT132" s="314"/>
      <c r="AU132" s="314"/>
      <c r="AV132" s="314"/>
      <c r="AW132"/>
    </row>
    <row r="133" spans="1:49">
      <c r="AP133"/>
      <c r="AQ133"/>
      <c r="AR133"/>
      <c r="AS133"/>
      <c r="AT133" s="314"/>
      <c r="AU133" s="314"/>
      <c r="AV133" s="314"/>
      <c r="AW133"/>
    </row>
    <row r="134" spans="1:49">
      <c r="AP134"/>
      <c r="AQ134"/>
      <c r="AR134"/>
      <c r="AS134"/>
      <c r="AT134" s="314"/>
      <c r="AU134" s="314"/>
      <c r="AV134" s="314"/>
      <c r="AW134"/>
    </row>
    <row r="135" spans="1:49">
      <c r="AP135"/>
      <c r="AQ135"/>
      <c r="AR135"/>
      <c r="AS135"/>
      <c r="AT135" s="314"/>
      <c r="AU135" s="314"/>
      <c r="AV135" s="314"/>
      <c r="AW135"/>
    </row>
    <row r="136" spans="1:49">
      <c r="AP136"/>
      <c r="AQ136"/>
      <c r="AR136"/>
      <c r="AS136"/>
      <c r="AT136" s="314"/>
      <c r="AU136" s="314"/>
      <c r="AV136"/>
      <c r="AW136"/>
    </row>
    <row r="137" spans="1:49">
      <c r="AP137"/>
      <c r="AQ137"/>
      <c r="AR137"/>
      <c r="AS137"/>
      <c r="AT137" s="314"/>
      <c r="AU137" s="314"/>
      <c r="AV137" s="314"/>
      <c r="AW137"/>
    </row>
    <row r="138" spans="1:49">
      <c r="AP138"/>
      <c r="AQ138"/>
      <c r="AR138"/>
      <c r="AS138"/>
      <c r="AT138" s="314"/>
      <c r="AU138" s="314"/>
      <c r="AV138" s="314"/>
      <c r="AW138"/>
    </row>
    <row r="139" spans="1:49">
      <c r="AP139"/>
      <c r="AQ139"/>
      <c r="AR139"/>
      <c r="AS139"/>
      <c r="AT139" s="314"/>
      <c r="AU139" s="314"/>
      <c r="AV139"/>
      <c r="AW139"/>
    </row>
    <row r="140" spans="1:49">
      <c r="AP140"/>
      <c r="AQ140"/>
      <c r="AR140"/>
      <c r="AS140"/>
      <c r="AT140" s="314"/>
      <c r="AU140" s="314"/>
      <c r="AV140" s="314"/>
      <c r="AW140"/>
    </row>
    <row r="141" spans="1:49">
      <c r="AP141"/>
      <c r="AQ141"/>
      <c r="AR141"/>
      <c r="AS141"/>
      <c r="AT141" s="314"/>
      <c r="AU141" s="314"/>
      <c r="AV141" s="314"/>
      <c r="AW141"/>
    </row>
    <row r="142" spans="1:49">
      <c r="AP142"/>
      <c r="AQ142"/>
      <c r="AR142"/>
      <c r="AS142"/>
      <c r="AT142" s="314"/>
      <c r="AU142" s="314"/>
      <c r="AV142" s="314"/>
      <c r="AW142"/>
    </row>
    <row r="143" spans="1:49">
      <c r="AP143"/>
      <c r="AQ143"/>
      <c r="AR143"/>
      <c r="AS143"/>
      <c r="AT143" s="314"/>
      <c r="AU143" s="314"/>
      <c r="AV143" s="314"/>
      <c r="AW143"/>
    </row>
    <row r="144" spans="1:49">
      <c r="AP144"/>
      <c r="AQ144"/>
      <c r="AR144"/>
      <c r="AS144"/>
      <c r="AT144" s="314"/>
      <c r="AU144" s="314"/>
      <c r="AV144" s="314"/>
      <c r="AW144"/>
    </row>
    <row r="145" spans="42:49">
      <c r="AP145"/>
      <c r="AQ145"/>
      <c r="AR145"/>
      <c r="AS145"/>
      <c r="AT145" s="314"/>
      <c r="AU145" s="314"/>
      <c r="AV145" s="314"/>
      <c r="AW145"/>
    </row>
    <row r="146" spans="42:49">
      <c r="AP146"/>
      <c r="AQ146"/>
      <c r="AR146"/>
      <c r="AS146"/>
      <c r="AT146" s="314"/>
      <c r="AU146" s="314"/>
      <c r="AV146" s="314"/>
      <c r="AW146"/>
    </row>
    <row r="147" spans="42:49">
      <c r="AP147"/>
      <c r="AQ147"/>
      <c r="AR147"/>
      <c r="AS147"/>
      <c r="AT147" s="314"/>
      <c r="AU147" s="314"/>
      <c r="AV147"/>
      <c r="AW147"/>
    </row>
    <row r="148" spans="42:49">
      <c r="AP148"/>
      <c r="AQ148"/>
      <c r="AR148"/>
      <c r="AS148"/>
      <c r="AT148" s="314"/>
      <c r="AU148" s="314"/>
      <c r="AV148" s="314"/>
      <c r="AW148"/>
    </row>
    <row r="149" spans="42:49">
      <c r="AP149"/>
      <c r="AQ149"/>
      <c r="AR149"/>
      <c r="AS149"/>
      <c r="AT149" s="314"/>
      <c r="AU149" s="314"/>
      <c r="AV149" s="314"/>
      <c r="AW149"/>
    </row>
    <row r="150" spans="42:49">
      <c r="AP150"/>
      <c r="AQ150"/>
      <c r="AR150"/>
      <c r="AS150"/>
      <c r="AT150" s="314"/>
      <c r="AU150" s="314"/>
      <c r="AV150" s="314"/>
      <c r="AW150"/>
    </row>
    <row r="151" spans="42:49">
      <c r="AP151"/>
      <c r="AQ151"/>
      <c r="AR151"/>
      <c r="AS151"/>
      <c r="AT151" s="314"/>
      <c r="AU151" s="314"/>
      <c r="AV151" s="314"/>
      <c r="AW151"/>
    </row>
    <row r="152" spans="42:49">
      <c r="AP152"/>
      <c r="AQ152"/>
      <c r="AR152"/>
      <c r="AS152"/>
      <c r="AT152" s="314"/>
      <c r="AU152" s="314"/>
      <c r="AV152" s="314"/>
      <c r="AW152"/>
    </row>
    <row r="153" spans="42:49">
      <c r="AP153"/>
      <c r="AQ153"/>
      <c r="AR153"/>
      <c r="AS153"/>
      <c r="AT153" s="314"/>
      <c r="AU153" s="314"/>
      <c r="AV153" s="314"/>
      <c r="AW153"/>
    </row>
    <row r="154" spans="42:49">
      <c r="AP154"/>
      <c r="AQ154"/>
      <c r="AR154"/>
      <c r="AS154"/>
      <c r="AT154" s="314"/>
      <c r="AU154" s="314"/>
      <c r="AV154"/>
      <c r="AW154"/>
    </row>
    <row r="155" spans="42:49">
      <c r="AP155"/>
      <c r="AQ155"/>
      <c r="AR155"/>
      <c r="AS155"/>
      <c r="AT155" s="314"/>
      <c r="AU155" s="314"/>
      <c r="AV155" s="314"/>
      <c r="AW155"/>
    </row>
    <row r="156" spans="42:49">
      <c r="AP156"/>
      <c r="AQ156"/>
      <c r="AR156"/>
      <c r="AS156"/>
      <c r="AT156" s="314"/>
      <c r="AU156" s="314"/>
      <c r="AV156"/>
      <c r="AW156"/>
    </row>
    <row r="157" spans="42:49">
      <c r="AP157"/>
      <c r="AQ157"/>
      <c r="AR157"/>
      <c r="AS157"/>
      <c r="AT157" s="314"/>
      <c r="AU157" s="314"/>
      <c r="AV157" s="314"/>
      <c r="AW157"/>
    </row>
    <row r="158" spans="42:49">
      <c r="AP158"/>
      <c r="AQ158"/>
      <c r="AR158"/>
      <c r="AS158"/>
      <c r="AT158" s="314"/>
      <c r="AU158" s="314"/>
      <c r="AV158" s="314"/>
      <c r="AW158"/>
    </row>
    <row r="159" spans="42:49">
      <c r="AP159"/>
      <c r="AQ159"/>
      <c r="AR159"/>
      <c r="AS159"/>
      <c r="AT159" s="314"/>
      <c r="AU159" s="314"/>
      <c r="AV159" s="314"/>
      <c r="AW159"/>
    </row>
    <row r="160" spans="42:49">
      <c r="AP160"/>
      <c r="AQ160"/>
      <c r="AR160"/>
      <c r="AS160"/>
      <c r="AT160" s="314"/>
      <c r="AU160" s="314"/>
      <c r="AV160" s="314"/>
      <c r="AW160"/>
    </row>
    <row r="161" spans="42:49">
      <c r="AP161"/>
      <c r="AQ161"/>
      <c r="AR161"/>
      <c r="AS161"/>
      <c r="AT161" s="314"/>
      <c r="AU161" s="314"/>
      <c r="AV161" s="314"/>
      <c r="AW161"/>
    </row>
    <row r="162" spans="42:49">
      <c r="AQ162"/>
      <c r="AR162"/>
      <c r="AS162"/>
      <c r="AT162" s="314"/>
      <c r="AU162" s="314"/>
      <c r="AV162" s="314"/>
    </row>
    <row r="163" spans="42:49">
      <c r="AQ163"/>
      <c r="AR163"/>
      <c r="AS163"/>
      <c r="AT163" s="314"/>
      <c r="AU163" s="314"/>
      <c r="AV163" s="314"/>
    </row>
    <row r="164" spans="42:49">
      <c r="AQ164"/>
    </row>
  </sheetData>
  <mergeCells count="2">
    <mergeCell ref="B1:D1"/>
    <mergeCell ref="C131:H131"/>
  </mergeCells>
  <phoneticPr fontId="120" type="noConversion"/>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67212-047E-42F3-89A5-E97FF1E70498}">
  <sheetPr codeName="Sheet53">
    <tabColor rgb="FF00B050"/>
  </sheetPr>
  <dimension ref="A1:BG121"/>
  <sheetViews>
    <sheetView topLeftCell="A46" zoomScale="115" zoomScaleNormal="115" workbookViewId="0">
      <selection activeCell="H57" sqref="H57"/>
    </sheetView>
  </sheetViews>
  <sheetFormatPr defaultColWidth="8.85546875" defaultRowHeight="12.75"/>
  <cols>
    <col min="1" max="1" width="52.7109375" customWidth="1"/>
    <col min="2" max="2" width="29.42578125" customWidth="1"/>
    <col min="3" max="17" width="8.42578125" customWidth="1"/>
    <col min="18" max="37" width="10" customWidth="1"/>
    <col min="38" max="38" width="11.7109375" customWidth="1"/>
    <col min="39" max="42" width="10" customWidth="1"/>
    <col min="45" max="45" width="18.5703125" customWidth="1"/>
    <col min="46" max="46" width="52.140625" customWidth="1"/>
    <col min="56" max="56" width="48.85546875" customWidth="1"/>
  </cols>
  <sheetData>
    <row r="1" spans="1:42" s="307" customFormat="1" ht="15.75">
      <c r="A1" s="490" t="s">
        <v>441</v>
      </c>
      <c r="B1" s="794" t="s">
        <v>638</v>
      </c>
      <c r="C1" s="794"/>
      <c r="D1" s="794"/>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 COM_2017_old'!C7</f>
        <v>26.655000000000001</v>
      </c>
      <c r="D7" s="316">
        <f>' COM_2017_old'!D7</f>
        <v>1.4990000000000001</v>
      </c>
      <c r="E7" s="316">
        <f>' COM_2017_old'!E7</f>
        <v>129.04</v>
      </c>
      <c r="F7" s="316">
        <f>' COM_2017_old'!F7</f>
        <v>1.232</v>
      </c>
      <c r="G7" s="316">
        <f>' COM_2017_old'!G7</f>
        <v>0</v>
      </c>
      <c r="H7" s="316">
        <f>' COM_2017_old'!H7</f>
        <v>0.23314278231431268</v>
      </c>
      <c r="I7" s="316">
        <f>' COM_2017_old'!I7</f>
        <v>0.52600000000000002</v>
      </c>
      <c r="J7" s="316">
        <f>' COM_2017_old'!J7</f>
        <v>0.44</v>
      </c>
      <c r="K7" s="316">
        <f>SUM(C7:J7)</f>
        <v>159.6251427823143</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0.16698497201252463</v>
      </c>
      <c r="D8" s="416">
        <f>D7/$K$7</f>
        <v>9.3907511929009358E-3</v>
      </c>
      <c r="E8" s="416">
        <f t="shared" ref="E8:J8" si="2">E7/$K$7</f>
        <v>0.80839395192257268</v>
      </c>
      <c r="F8" s="416">
        <f t="shared" si="2"/>
        <v>7.7180823680146442E-3</v>
      </c>
      <c r="G8" s="416">
        <f t="shared" si="2"/>
        <v>0</v>
      </c>
      <c r="H8" s="416">
        <f t="shared" si="2"/>
        <v>1.4605642836119912E-3</v>
      </c>
      <c r="I8" s="416">
        <f t="shared" si="2"/>
        <v>3.2952202317984599E-3</v>
      </c>
      <c r="J8" s="416">
        <f t="shared" si="2"/>
        <v>2.7564579885766584E-3</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7">
      <c r="A33" s="343" t="str">
        <f t="shared" si="4"/>
        <v>Commercial - Cooking</v>
      </c>
      <c r="B33" s="346" t="str">
        <f t="shared" si="5"/>
        <v>CNK</v>
      </c>
      <c r="C33" s="327"/>
      <c r="D33" s="327"/>
      <c r="E33" s="327">
        <f>'End use share 2006c'!G35</f>
        <v>6.3534899562964403E-2</v>
      </c>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7">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7">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7">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7">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7" ht="15">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R38" s="773"/>
      <c r="AS38" s="773" t="s">
        <v>675</v>
      </c>
      <c r="AT38" s="773"/>
      <c r="AU38" s="773"/>
    </row>
    <row r="39" spans="1:47" ht="15">
      <c r="A39" s="343" t="str">
        <f t="shared" si="4"/>
        <v>Commercial - Other</v>
      </c>
      <c r="B39" s="346" t="str">
        <f t="shared" si="5"/>
        <v>CNO</v>
      </c>
      <c r="C39" s="429">
        <f>1-SUM(C31:C38)</f>
        <v>7.1368927396386894E-4</v>
      </c>
      <c r="D39" s="429">
        <f>1-SUM(D31:D38)</f>
        <v>1</v>
      </c>
      <c r="E39" s="429">
        <f t="shared" ref="E39:J39" si="6">1-SUM(E31:E38)</f>
        <v>0.15929943132341118</v>
      </c>
      <c r="F39" s="429">
        <f t="shared" si="6"/>
        <v>1</v>
      </c>
      <c r="G39" s="429">
        <f t="shared" si="6"/>
        <v>1</v>
      </c>
      <c r="H39" s="429">
        <f t="shared" si="6"/>
        <v>1</v>
      </c>
      <c r="I39" s="429">
        <f t="shared" si="6"/>
        <v>1</v>
      </c>
      <c r="J39" s="429">
        <f t="shared" si="6"/>
        <v>0</v>
      </c>
      <c r="K39" s="307"/>
      <c r="L39" s="307"/>
      <c r="M39" s="307">
        <f>K52*1.1</f>
        <v>166.78925927698032</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R39" s="761" t="s">
        <v>1574</v>
      </c>
      <c r="AS39" s="761" t="s">
        <v>1507</v>
      </c>
      <c r="AT39" s="761" t="s">
        <v>1575</v>
      </c>
      <c r="AU39" s="761">
        <v>2017</v>
      </c>
    </row>
    <row r="40" spans="1:47">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29.320500000000003</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R40" s="760" t="s">
        <v>709</v>
      </c>
      <c r="AS40" s="759" t="s">
        <v>1576</v>
      </c>
      <c r="AT40" s="759" t="s">
        <v>1577</v>
      </c>
      <c r="AU40" s="759" t="s">
        <v>1549</v>
      </c>
    </row>
    <row r="41" spans="1:47">
      <c r="A41" s="307"/>
      <c r="B41" s="307"/>
      <c r="C41" s="325"/>
      <c r="D41" s="325"/>
      <c r="E41" s="325"/>
      <c r="F41" s="325"/>
      <c r="G41" s="325"/>
      <c r="H41" s="325"/>
      <c r="I41" s="325"/>
      <c r="J41" s="325"/>
      <c r="K41" s="307"/>
      <c r="L41" s="307"/>
      <c r="M41" s="307">
        <f>M39-M40</f>
        <v>137.46875927698031</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R41" s="772" t="s">
        <v>1537</v>
      </c>
      <c r="AS41" s="412"/>
      <c r="AT41" s="412"/>
      <c r="AU41" s="412" t="s">
        <v>647</v>
      </c>
    </row>
    <row r="42" spans="1:47">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R42" s="772" t="s">
        <v>664</v>
      </c>
      <c r="AS42" s="412" t="str">
        <f>D61</f>
        <v>CNC</v>
      </c>
      <c r="AT42" s="412" t="s">
        <v>647</v>
      </c>
      <c r="AU42" s="774">
        <f>N67</f>
        <v>0</v>
      </c>
    </row>
    <row r="43" spans="1:47">
      <c r="A43" s="343" t="str">
        <f t="shared" ref="A43:B51" si="9">A31</f>
        <v>Commercial - Cooling</v>
      </c>
      <c r="B43" s="346" t="str">
        <f t="shared" si="9"/>
        <v>CNC</v>
      </c>
      <c r="C43" s="321">
        <f t="shared" ref="C43:J49" si="10">C31*C$7</f>
        <v>0</v>
      </c>
      <c r="D43" s="321">
        <f t="shared" si="10"/>
        <v>0</v>
      </c>
      <c r="E43" s="321">
        <f>E31*E$7</f>
        <v>42.502947110953272</v>
      </c>
      <c r="F43" s="321">
        <f t="shared" si="10"/>
        <v>0</v>
      </c>
      <c r="G43" s="321">
        <f t="shared" si="10"/>
        <v>0</v>
      </c>
      <c r="H43" s="321">
        <f t="shared" si="10"/>
        <v>0</v>
      </c>
      <c r="I43" s="321">
        <f t="shared" si="10"/>
        <v>0</v>
      </c>
      <c r="J43" s="321">
        <f t="shared" si="10"/>
        <v>0</v>
      </c>
      <c r="K43" s="330">
        <f t="shared" ref="K43:K50" si="11">SUM(C43:J43)</f>
        <v>42.502947110953272</v>
      </c>
      <c r="L43" s="307"/>
      <c r="M43" s="307"/>
      <c r="N43" s="459">
        <f>E43/0.0036</f>
        <v>11806.374197487021</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R43" s="772" t="s">
        <v>664</v>
      </c>
      <c r="AS43" s="412" t="str">
        <f>D69</f>
        <v>CNH</v>
      </c>
      <c r="AT43" s="412" t="s">
        <v>647</v>
      </c>
      <c r="AU43" s="774">
        <f>N74</f>
        <v>0</v>
      </c>
    </row>
    <row r="44" spans="1:47">
      <c r="A44" s="343" t="str">
        <f t="shared" si="9"/>
        <v>Commercial - Space Heating</v>
      </c>
      <c r="B44" s="346" t="str">
        <f t="shared" si="9"/>
        <v>CNH</v>
      </c>
      <c r="C44" s="321">
        <f t="shared" si="10"/>
        <v>14.478230027590337</v>
      </c>
      <c r="D44" s="321">
        <f>D32*D$7</f>
        <v>0</v>
      </c>
      <c r="E44" s="321">
        <f>E32*E$7</f>
        <v>2.5387257525306146</v>
      </c>
      <c r="F44" s="321">
        <f t="shared" si="10"/>
        <v>0</v>
      </c>
      <c r="G44" s="321">
        <f t="shared" si="10"/>
        <v>0</v>
      </c>
      <c r="H44" s="321">
        <f t="shared" si="10"/>
        <v>0</v>
      </c>
      <c r="I44" s="321">
        <f t="shared" si="10"/>
        <v>0</v>
      </c>
      <c r="J44" s="321">
        <f t="shared" si="10"/>
        <v>0</v>
      </c>
      <c r="K44" s="330">
        <f t="shared" si="11"/>
        <v>17.016955780120952</v>
      </c>
      <c r="L44" s="307"/>
      <c r="M44" s="307"/>
      <c r="N44" s="307">
        <f t="shared" ref="N44:N51" si="12">E44/0.0036</f>
        <v>705.20159792517074</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R44" s="772" t="s">
        <v>664</v>
      </c>
      <c r="AS44" s="412" t="str">
        <f>D76</f>
        <v>CNK</v>
      </c>
      <c r="AT44" s="412" t="s">
        <v>647</v>
      </c>
      <c r="AU44" s="774">
        <f>N79</f>
        <v>0</v>
      </c>
    </row>
    <row r="45" spans="1:47">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4.4455270945583852E-2</v>
      </c>
      <c r="K45" s="330">
        <f t="shared" si="11"/>
        <v>0.24445527094558386</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R45" s="772" t="s">
        <v>664</v>
      </c>
      <c r="AS45" s="412" t="str">
        <f>D81</f>
        <v>CNL</v>
      </c>
      <c r="AT45" s="772" t="s">
        <v>647</v>
      </c>
      <c r="AU45" s="775">
        <f>N87</f>
        <v>0</v>
      </c>
    </row>
    <row r="46" spans="1:47">
      <c r="A46" s="343" t="str">
        <f t="shared" si="9"/>
        <v>Commercial - Lighting</v>
      </c>
      <c r="B46" s="346" t="str">
        <f t="shared" si="9"/>
        <v>CNL</v>
      </c>
      <c r="C46" s="321">
        <f t="shared" si="10"/>
        <v>0</v>
      </c>
      <c r="D46" s="321">
        <f>D34*D$7</f>
        <v>0</v>
      </c>
      <c r="E46" s="321">
        <f t="shared" ref="E46:E51" si="13">E34*E$7</f>
        <v>23.005336213496982</v>
      </c>
      <c r="F46" s="321">
        <f t="shared" si="10"/>
        <v>0</v>
      </c>
      <c r="G46" s="321">
        <f t="shared" si="10"/>
        <v>0</v>
      </c>
      <c r="H46" s="321">
        <f t="shared" si="10"/>
        <v>0</v>
      </c>
      <c r="I46" s="321">
        <f t="shared" si="10"/>
        <v>0</v>
      </c>
      <c r="J46" s="321">
        <f t="shared" si="10"/>
        <v>0</v>
      </c>
      <c r="K46" s="330">
        <f t="shared" si="11"/>
        <v>23.005336213496982</v>
      </c>
      <c r="L46" s="307"/>
      <c r="M46" s="307"/>
      <c r="N46" s="307">
        <f t="shared" si="12"/>
        <v>6390.3711704158286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R46" s="772" t="s">
        <v>664</v>
      </c>
      <c r="AS46" s="412" t="str">
        <f>D89</f>
        <v>CNR</v>
      </c>
      <c r="AT46" s="772" t="s">
        <v>647</v>
      </c>
      <c r="AU46" s="775">
        <f>N91</f>
        <v>0</v>
      </c>
    </row>
    <row r="47" spans="1:47">
      <c r="A47" s="343" t="str">
        <f t="shared" si="9"/>
        <v>Commercial - Refrigeration</v>
      </c>
      <c r="B47" s="346" t="str">
        <f t="shared" si="9"/>
        <v>CNR</v>
      </c>
      <c r="C47" s="321">
        <f t="shared" si="10"/>
        <v>0</v>
      </c>
      <c r="D47" s="321">
        <f>D35*D$7</f>
        <v>0</v>
      </c>
      <c r="E47" s="321">
        <f t="shared" si="13"/>
        <v>25.463499211305457</v>
      </c>
      <c r="F47" s="321">
        <f t="shared" si="10"/>
        <v>0</v>
      </c>
      <c r="G47" s="321">
        <f t="shared" si="10"/>
        <v>0</v>
      </c>
      <c r="H47" s="321">
        <f t="shared" si="10"/>
        <v>0</v>
      </c>
      <c r="I47" s="321">
        <f t="shared" si="10"/>
        <v>0</v>
      </c>
      <c r="J47" s="321">
        <f t="shared" si="10"/>
        <v>0</v>
      </c>
      <c r="K47" s="330">
        <f t="shared" si="11"/>
        <v>25.463499211305457</v>
      </c>
      <c r="L47" s="307"/>
      <c r="M47" s="307"/>
      <c r="N47" s="307">
        <f t="shared" si="12"/>
        <v>7073.1942253626275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R47" s="772" t="s">
        <v>664</v>
      </c>
      <c r="AS47" s="705" t="str">
        <f>D93</f>
        <v>CNW</v>
      </c>
      <c r="AT47" s="772" t="s">
        <v>647</v>
      </c>
      <c r="AU47" s="724">
        <f>N100</f>
        <v>0</v>
      </c>
    </row>
    <row r="48" spans="1:47">
      <c r="A48" s="343" t="str">
        <f t="shared" si="9"/>
        <v>Commercial - Water Heating</v>
      </c>
      <c r="B48" s="346" t="str">
        <f t="shared" si="9"/>
        <v>CNW</v>
      </c>
      <c r="C48" s="321">
        <f t="shared" si="10"/>
        <v>12.157746584812159</v>
      </c>
      <c r="D48" s="321">
        <f>D36*D$7</f>
        <v>0</v>
      </c>
      <c r="E48" s="321">
        <f t="shared" si="13"/>
        <v>1.1130186957207104</v>
      </c>
      <c r="F48" s="321">
        <f t="shared" si="10"/>
        <v>0</v>
      </c>
      <c r="G48" s="321">
        <f t="shared" si="10"/>
        <v>0</v>
      </c>
      <c r="H48" s="321">
        <f t="shared" si="10"/>
        <v>0</v>
      </c>
      <c r="I48" s="321">
        <f t="shared" si="10"/>
        <v>0</v>
      </c>
      <c r="J48" s="321">
        <f t="shared" si="10"/>
        <v>0.39554472905441612</v>
      </c>
      <c r="K48" s="330">
        <f t="shared" si="11"/>
        <v>13.666310009587285</v>
      </c>
      <c r="L48" s="307"/>
      <c r="M48" s="307"/>
      <c r="N48" s="307">
        <f t="shared" si="12"/>
        <v>309.17185992241957</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R48" s="772" t="s">
        <v>664</v>
      </c>
      <c r="AS48" s="705" t="str">
        <f>D102</f>
        <v>CNG</v>
      </c>
      <c r="AT48" s="772" t="s">
        <v>647</v>
      </c>
      <c r="AU48" s="724">
        <f>N108</f>
        <v>0</v>
      </c>
    </row>
    <row r="49" spans="1:59">
      <c r="A49" s="343" t="str">
        <f t="shared" si="9"/>
        <v>Commercial - Public Lights</v>
      </c>
      <c r="B49" s="346" t="str">
        <f t="shared" si="9"/>
        <v>CNG</v>
      </c>
      <c r="C49" s="321">
        <f t="shared" si="10"/>
        <v>0</v>
      </c>
      <c r="D49" s="321">
        <f t="shared" si="10"/>
        <v>0</v>
      </c>
      <c r="E49" s="321">
        <f>E37*E$7</f>
        <v>2.5965064487049987</v>
      </c>
      <c r="F49" s="321">
        <f t="shared" si="10"/>
        <v>0</v>
      </c>
      <c r="G49" s="321">
        <f t="shared" si="10"/>
        <v>0</v>
      </c>
      <c r="H49" s="321">
        <f t="shared" si="10"/>
        <v>0</v>
      </c>
      <c r="I49" s="321">
        <f t="shared" si="10"/>
        <v>0</v>
      </c>
      <c r="J49" s="321">
        <f t="shared" si="10"/>
        <v>0</v>
      </c>
      <c r="K49" s="330">
        <f t="shared" si="11"/>
        <v>2.5965064487049987</v>
      </c>
      <c r="L49" s="307"/>
      <c r="M49" s="307"/>
      <c r="N49" s="307">
        <f t="shared" si="12"/>
        <v>721.25179130694414</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R49" s="772" t="s">
        <v>664</v>
      </c>
      <c r="AS49" s="705" t="str">
        <f>D110</f>
        <v>CNT</v>
      </c>
      <c r="AT49" s="772" t="s">
        <v>647</v>
      </c>
      <c r="AU49" s="724">
        <f>N110</f>
        <v>0</v>
      </c>
    </row>
    <row r="50" spans="1:59">
      <c r="A50" s="343" t="str">
        <f t="shared" si="9"/>
        <v>Commercial - Public Water</v>
      </c>
      <c r="B50" s="346" t="str">
        <f t="shared" si="9"/>
        <v>CNT</v>
      </c>
      <c r="C50" s="321"/>
      <c r="D50" s="321"/>
      <c r="E50" s="321">
        <f t="shared" si="13"/>
        <v>3.0654245097100388</v>
      </c>
      <c r="F50" s="321"/>
      <c r="G50" s="321"/>
      <c r="H50" s="321"/>
      <c r="I50" s="321"/>
      <c r="J50" s="321"/>
      <c r="K50" s="330">
        <f t="shared" si="11"/>
        <v>3.0654245097100388</v>
      </c>
      <c r="L50" s="307"/>
      <c r="M50" s="307"/>
      <c r="N50" s="307">
        <f t="shared" si="12"/>
        <v>851.50680825278857</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R50" s="772" t="s">
        <v>664</v>
      </c>
      <c r="AS50" s="705" t="str">
        <f>D113</f>
        <v>CNO</v>
      </c>
      <c r="AT50" s="772" t="s">
        <v>647</v>
      </c>
      <c r="AU50" s="724">
        <f>N120</f>
        <v>0</v>
      </c>
    </row>
    <row r="51" spans="1:59">
      <c r="A51" s="343" t="str">
        <f t="shared" si="9"/>
        <v>Commercial - Other</v>
      </c>
      <c r="B51" s="346" t="str">
        <f t="shared" si="9"/>
        <v>CNO</v>
      </c>
      <c r="C51" s="321">
        <f>C39*C$7</f>
        <v>1.9023387597506929E-2</v>
      </c>
      <c r="D51" s="321">
        <f>D39*D$7</f>
        <v>1.4990000000000001</v>
      </c>
      <c r="E51" s="321">
        <f t="shared" si="13"/>
        <v>20.555998617972978</v>
      </c>
      <c r="F51" s="321">
        <f>F39*F$7</f>
        <v>1.232</v>
      </c>
      <c r="G51" s="321">
        <f>G39*G$7</f>
        <v>0</v>
      </c>
      <c r="H51" s="321">
        <f>H39*H$7</f>
        <v>0.23314278231431268</v>
      </c>
      <c r="I51" s="321">
        <f>I39*I$7</f>
        <v>0.52600000000000002</v>
      </c>
      <c r="J51" s="321">
        <f>J39*J$7</f>
        <v>0</v>
      </c>
      <c r="K51" s="330">
        <f>SUM(C51:J51)</f>
        <v>24.065164787884797</v>
      </c>
      <c r="L51" s="307"/>
      <c r="M51" s="307"/>
      <c r="N51" s="307">
        <f t="shared" si="12"/>
        <v>5709.9996161036051</v>
      </c>
      <c r="O51" s="307"/>
      <c r="P51" s="307"/>
      <c r="Q51" s="307">
        <v>2015</v>
      </c>
      <c r="R51" s="307">
        <v>2017</v>
      </c>
      <c r="S51" s="307">
        <v>2020</v>
      </c>
      <c r="T51" s="307">
        <v>2025</v>
      </c>
      <c r="U51" s="307">
        <v>2030</v>
      </c>
      <c r="V51" s="307">
        <v>2035</v>
      </c>
      <c r="W51" s="307">
        <v>2040</v>
      </c>
      <c r="X51" s="307">
        <v>2045</v>
      </c>
      <c r="Y51" s="307">
        <v>2050</v>
      </c>
      <c r="Z51" s="307"/>
      <c r="AA51" s="307"/>
      <c r="AB51" s="307">
        <v>2015</v>
      </c>
      <c r="AC51" s="314">
        <v>2017</v>
      </c>
      <c r="AD51" s="307">
        <v>2020</v>
      </c>
      <c r="AE51" s="307">
        <v>2025</v>
      </c>
      <c r="AF51" s="307">
        <v>2030</v>
      </c>
      <c r="AG51" s="307">
        <v>2035</v>
      </c>
      <c r="AH51" s="307">
        <v>2040</v>
      </c>
      <c r="AI51" s="307">
        <v>2045</v>
      </c>
      <c r="AJ51" s="307">
        <v>2050</v>
      </c>
      <c r="AK51" s="307"/>
      <c r="AL51" s="307"/>
      <c r="AM51" s="307"/>
      <c r="AN51" s="307"/>
      <c r="AO51" s="307"/>
      <c r="AP51" s="307"/>
    </row>
    <row r="52" spans="1:59" ht="15">
      <c r="A52" s="331" t="str">
        <f>A40</f>
        <v>Total</v>
      </c>
      <c r="B52" s="343"/>
      <c r="C52" s="330">
        <f t="shared" ref="C52:K52" si="14">SUM(C43:C51)</f>
        <v>26.655000000000001</v>
      </c>
      <c r="D52" s="330">
        <f t="shared" si="14"/>
        <v>1.4990000000000001</v>
      </c>
      <c r="E52" s="330">
        <f t="shared" si="14"/>
        <v>121.04145656039506</v>
      </c>
      <c r="F52" s="330">
        <f t="shared" si="14"/>
        <v>1.232</v>
      </c>
      <c r="G52" s="330">
        <f t="shared" si="14"/>
        <v>0</v>
      </c>
      <c r="H52" s="330">
        <f t="shared" si="14"/>
        <v>0.23314278231431268</v>
      </c>
      <c r="I52" s="330">
        <f t="shared" si="14"/>
        <v>0.52600000000000002</v>
      </c>
      <c r="J52" s="330">
        <f t="shared" si="14"/>
        <v>0.43999999999999995</v>
      </c>
      <c r="K52" s="330">
        <f t="shared" si="14"/>
        <v>151.62659934270937</v>
      </c>
      <c r="L52" s="307"/>
      <c r="M52" s="307"/>
      <c r="N52" s="307"/>
      <c r="O52" s="408" t="s">
        <v>793</v>
      </c>
      <c r="P52" s="408"/>
      <c r="Q52" s="409">
        <v>0.05</v>
      </c>
      <c r="R52" s="409"/>
      <c r="S52" s="409">
        <v>0.03</v>
      </c>
      <c r="T52" s="409">
        <v>0.1</v>
      </c>
      <c r="U52" s="409">
        <v>0.3</v>
      </c>
      <c r="V52" s="409">
        <v>0.5</v>
      </c>
      <c r="W52" s="409">
        <v>0.7</v>
      </c>
      <c r="X52" s="409">
        <v>0.9</v>
      </c>
      <c r="Y52" s="409">
        <v>1</v>
      </c>
      <c r="Z52" s="408" t="s">
        <v>794</v>
      </c>
      <c r="AA52" s="408"/>
      <c r="AB52" s="409">
        <v>0.5</v>
      </c>
      <c r="AC52" s="409"/>
      <c r="AD52" s="409">
        <v>0.97</v>
      </c>
      <c r="AE52" s="409">
        <v>0.9</v>
      </c>
      <c r="AF52" s="409">
        <v>0.7</v>
      </c>
      <c r="AG52" s="409">
        <v>0.5</v>
      </c>
      <c r="AH52" s="409">
        <v>0.3</v>
      </c>
      <c r="AI52" s="409">
        <v>0.1</v>
      </c>
      <c r="AJ52" s="409">
        <v>0</v>
      </c>
      <c r="AK52" s="307"/>
      <c r="AL52" s="307"/>
      <c r="AM52" s="307"/>
      <c r="AN52" s="307"/>
      <c r="AO52" s="307"/>
      <c r="AP52" s="307"/>
    </row>
    <row r="53" spans="1:59">
      <c r="A53" s="332"/>
      <c r="B53" s="333"/>
      <c r="C53" s="334"/>
      <c r="D53" s="334"/>
      <c r="E53" s="334"/>
      <c r="F53" s="334"/>
      <c r="G53" s="334"/>
      <c r="H53" s="334"/>
      <c r="I53" s="334"/>
      <c r="J53" s="334"/>
      <c r="K53" s="334"/>
      <c r="L53" s="307"/>
      <c r="M53" s="307"/>
      <c r="N53" s="307"/>
      <c r="AK53" s="307"/>
      <c r="AL53" s="307"/>
      <c r="AM53" s="314">
        <v>5</v>
      </c>
      <c r="AN53" s="307"/>
      <c r="AO53" s="307"/>
      <c r="AP53" s="307"/>
    </row>
    <row r="54" spans="1:59">
      <c r="A54" s="307"/>
      <c r="B54" s="307"/>
      <c r="C54" s="317"/>
      <c r="D54" s="317"/>
      <c r="E54" s="317"/>
      <c r="F54" s="317"/>
      <c r="G54" s="317"/>
      <c r="H54" s="317"/>
      <c r="I54" s="307"/>
      <c r="J54" s="307"/>
      <c r="K54" s="307"/>
      <c r="L54" s="307"/>
      <c r="M54" s="307"/>
      <c r="N54" s="307"/>
      <c r="P54" s="413">
        <v>0.02</v>
      </c>
      <c r="Q54" s="660">
        <v>2.5000000000000001E-2</v>
      </c>
      <c r="R54" s="307"/>
      <c r="S54" s="307"/>
      <c r="T54" s="307"/>
      <c r="U54" s="307"/>
      <c r="V54" s="307"/>
      <c r="W54" s="307"/>
      <c r="X54" s="307"/>
      <c r="Y54" s="307"/>
      <c r="Z54" s="314"/>
      <c r="AA54" s="413">
        <v>0.02</v>
      </c>
      <c r="AB54" s="660">
        <v>-2.5000000000000001E-2</v>
      </c>
      <c r="AK54" s="307"/>
      <c r="AL54" s="307"/>
      <c r="AM54" s="307">
        <f>12/5</f>
        <v>2.4</v>
      </c>
      <c r="AN54" s="307"/>
      <c r="AO54" s="307"/>
      <c r="AP54" s="307"/>
    </row>
    <row r="55" spans="1:59">
      <c r="A55" s="307"/>
      <c r="B55" s="307"/>
      <c r="C55" s="317"/>
      <c r="D55" s="307" t="s">
        <v>675</v>
      </c>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c r="AR55" s="749" t="s">
        <v>1490</v>
      </c>
      <c r="AY55" s="705"/>
      <c r="AZ55" s="705"/>
      <c r="BA55" s="749" t="s">
        <v>1505</v>
      </c>
      <c r="BB55" s="749"/>
      <c r="BC55" s="314"/>
      <c r="BD55" s="314"/>
      <c r="BE55" s="314"/>
      <c r="BF55" s="314"/>
      <c r="BG55" s="314"/>
    </row>
    <row r="56" spans="1:59" ht="38.25">
      <c r="A56" s="335" t="s">
        <v>676</v>
      </c>
      <c r="B56" s="335" t="s">
        <v>677</v>
      </c>
      <c r="C56" s="335" t="s">
        <v>678</v>
      </c>
      <c r="D56" s="335" t="s">
        <v>679</v>
      </c>
      <c r="E56" s="732" t="s">
        <v>731</v>
      </c>
      <c r="F56" s="732" t="s">
        <v>1551</v>
      </c>
      <c r="G56" s="732" t="s">
        <v>741</v>
      </c>
      <c r="H56" s="732" t="s">
        <v>1675</v>
      </c>
      <c r="I56" s="335" t="s">
        <v>769</v>
      </c>
      <c r="J56" s="335" t="s">
        <v>770</v>
      </c>
      <c r="K56" s="732" t="s">
        <v>1552</v>
      </c>
      <c r="L56" s="732" t="s">
        <v>1552</v>
      </c>
      <c r="M56" s="732" t="s">
        <v>1552</v>
      </c>
      <c r="N56" s="732" t="s">
        <v>1552</v>
      </c>
      <c r="O56" s="732" t="s">
        <v>1552</v>
      </c>
      <c r="P56" s="732" t="s">
        <v>1552</v>
      </c>
      <c r="Q56" s="732" t="s">
        <v>1552</v>
      </c>
      <c r="R56" s="771" t="s">
        <v>1557</v>
      </c>
      <c r="S56" s="771" t="s">
        <v>1561</v>
      </c>
      <c r="T56" s="771" t="s">
        <v>1562</v>
      </c>
      <c r="U56" s="771" t="s">
        <v>1558</v>
      </c>
      <c r="V56" s="771" t="s">
        <v>1563</v>
      </c>
      <c r="W56" s="771" t="s">
        <v>1559</v>
      </c>
      <c r="X56" s="771" t="s">
        <v>1564</v>
      </c>
      <c r="Y56" s="771" t="s">
        <v>1560</v>
      </c>
      <c r="Z56" s="732" t="s">
        <v>1552</v>
      </c>
      <c r="AA56" s="732" t="s">
        <v>1552</v>
      </c>
      <c r="AB56" s="732" t="s">
        <v>1552</v>
      </c>
      <c r="AC56" s="771" t="s">
        <v>1565</v>
      </c>
      <c r="AD56" s="771" t="s">
        <v>1566</v>
      </c>
      <c r="AE56" s="771" t="s">
        <v>1567</v>
      </c>
      <c r="AF56" s="771" t="s">
        <v>1568</v>
      </c>
      <c r="AG56" s="771" t="s">
        <v>1569</v>
      </c>
      <c r="AH56" s="771" t="s">
        <v>1570</v>
      </c>
      <c r="AI56" s="771" t="s">
        <v>1571</v>
      </c>
      <c r="AJ56" s="771" t="s">
        <v>1572</v>
      </c>
      <c r="AK56" s="732" t="s">
        <v>1552</v>
      </c>
      <c r="AL56" s="732" t="s">
        <v>1552</v>
      </c>
      <c r="AM56" s="732" t="s">
        <v>1552</v>
      </c>
      <c r="AN56" s="732" t="s">
        <v>1552</v>
      </c>
      <c r="AO56" s="732" t="s">
        <v>1552</v>
      </c>
      <c r="AR56" s="750" t="s">
        <v>1491</v>
      </c>
      <c r="AS56" s="750" t="s">
        <v>677</v>
      </c>
      <c r="AT56" s="750" t="s">
        <v>676</v>
      </c>
      <c r="AU56" s="750" t="s">
        <v>1493</v>
      </c>
      <c r="AV56" s="750" t="s">
        <v>1494</v>
      </c>
      <c r="AW56" s="750" t="s">
        <v>1495</v>
      </c>
      <c r="AX56" s="750" t="s">
        <v>1496</v>
      </c>
      <c r="AY56" s="705"/>
      <c r="AZ56" s="705"/>
      <c r="BA56" s="754" t="s">
        <v>1506</v>
      </c>
      <c r="BB56" s="750" t="s">
        <v>1492</v>
      </c>
      <c r="BC56" s="754" t="s">
        <v>1507</v>
      </c>
      <c r="BD56" s="754" t="s">
        <v>1508</v>
      </c>
      <c r="BE56" s="755" t="s">
        <v>1509</v>
      </c>
      <c r="BF56" s="755" t="s">
        <v>1488</v>
      </c>
      <c r="BG56" s="755" t="s">
        <v>1510</v>
      </c>
    </row>
    <row r="57" spans="1:59" ht="65.25" thickBot="1">
      <c r="A57" s="336" t="s">
        <v>1553</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L57" s="307"/>
      <c r="AM57" s="307"/>
      <c r="AR57" s="756" t="s">
        <v>1497</v>
      </c>
      <c r="AS57" s="751" t="s">
        <v>685</v>
      </c>
      <c r="AT57" s="751" t="s">
        <v>1489</v>
      </c>
      <c r="AU57" s="751" t="s">
        <v>1499</v>
      </c>
      <c r="AV57" s="751" t="s">
        <v>1500</v>
      </c>
      <c r="AW57" s="751" t="s">
        <v>1501</v>
      </c>
      <c r="AX57" s="753" t="s">
        <v>1502</v>
      </c>
      <c r="AY57" s="705"/>
      <c r="AZ57" s="705"/>
      <c r="BA57" s="756" t="s">
        <v>1513</v>
      </c>
      <c r="BB57" s="752" t="s">
        <v>1498</v>
      </c>
      <c r="BC57" s="756" t="s">
        <v>1514</v>
      </c>
      <c r="BD57" s="756" t="s">
        <v>1515</v>
      </c>
      <c r="BE57" s="756" t="s">
        <v>1509</v>
      </c>
      <c r="BF57" s="756" t="s">
        <v>1516</v>
      </c>
      <c r="BG57" s="756" t="s">
        <v>1517</v>
      </c>
    </row>
    <row r="58" spans="1:59" ht="25.5">
      <c r="A58" s="338" t="s">
        <v>1554</v>
      </c>
      <c r="B58" s="339"/>
      <c r="C58" s="339"/>
      <c r="D58" s="339"/>
      <c r="E58" s="340" t="s">
        <v>697</v>
      </c>
      <c r="F58" s="340" t="s">
        <v>698</v>
      </c>
      <c r="G58" s="313" t="s">
        <v>699</v>
      </c>
      <c r="H58" s="341" t="s">
        <v>700</v>
      </c>
      <c r="I58" t="s">
        <v>1665</v>
      </c>
      <c r="J58" t="s">
        <v>1666</v>
      </c>
      <c r="L58" s="308" t="s">
        <v>701</v>
      </c>
      <c r="M58" s="308" t="s">
        <v>702</v>
      </c>
      <c r="N58" s="308" t="s">
        <v>702</v>
      </c>
      <c r="O58" s="307"/>
      <c r="P58" s="314" t="s">
        <v>979</v>
      </c>
      <c r="Q58" s="307" t="str">
        <f t="shared" ref="Q58:Y58" si="15">"U"&amp;Q$51</f>
        <v>U2015</v>
      </c>
      <c r="R58" s="307" t="str">
        <f t="shared" si="15"/>
        <v>U2017</v>
      </c>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"L"&amp;AB$51</f>
        <v>L2015</v>
      </c>
      <c r="AC58" s="307" t="str">
        <f t="shared" si="16"/>
        <v>L2017</v>
      </c>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c r="AR58" s="766" t="s">
        <v>709</v>
      </c>
      <c r="AS58" s="705"/>
      <c r="AT58" s="705"/>
      <c r="AU58" s="705"/>
      <c r="AV58" s="705"/>
      <c r="AW58" s="705"/>
      <c r="AY58" s="705"/>
      <c r="AZ58" s="705"/>
      <c r="BA58" s="705" t="s">
        <v>709</v>
      </c>
      <c r="BB58" s="705"/>
      <c r="BC58" s="705"/>
      <c r="BD58" s="705"/>
      <c r="BE58" s="705"/>
      <c r="BF58" s="705"/>
      <c r="BG58" s="705"/>
    </row>
    <row r="59" spans="1:59">
      <c r="A59" s="342" t="s">
        <v>709</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c r="AR59" s="765" t="s">
        <v>709</v>
      </c>
      <c r="AS59" s="705"/>
      <c r="AT59" s="705"/>
      <c r="AU59" s="705"/>
      <c r="AV59" s="705"/>
      <c r="AW59" s="705"/>
      <c r="AX59" s="314"/>
      <c r="AY59" s="705"/>
      <c r="AZ59" s="705"/>
      <c r="BA59" s="705" t="s">
        <v>709</v>
      </c>
      <c r="BB59" s="705"/>
      <c r="BC59" s="705"/>
      <c r="BD59" s="705"/>
      <c r="BE59" s="705"/>
      <c r="BF59" s="705"/>
      <c r="BG59" s="705"/>
    </row>
    <row r="60" spans="1:59">
      <c r="A60" s="343" t="str">
        <f>"*"&amp;A43</f>
        <v>*Commercial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c r="AR60" s="766" t="s">
        <v>709</v>
      </c>
      <c r="AT60" s="705"/>
      <c r="AU60" s="705"/>
      <c r="AW60" s="314"/>
      <c r="AX60" s="314"/>
      <c r="AY60" s="705"/>
      <c r="AZ60" s="705"/>
      <c r="BA60" s="705" t="s">
        <v>709</v>
      </c>
      <c r="BB60" s="705"/>
      <c r="BC60" s="705"/>
      <c r="BD60" s="705"/>
      <c r="BE60" s="705"/>
      <c r="BF60" s="705"/>
      <c r="BG60" s="314"/>
    </row>
    <row r="61" spans="1:59"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SUMIF('Technology costs'!$B$7:$B$28,COM_2017!B61,'Technology costs'!$L$7:$L$28)</f>
        <v>54.310780405383028</v>
      </c>
      <c r="J61" s="349">
        <f>I61*0.1</f>
        <v>5.4310780405383028</v>
      </c>
      <c r="L61" s="350">
        <v>0</v>
      </c>
      <c r="M61" s="349">
        <f>L61*SUMIF($C$6:$J$6,C61,$C$43:$J$43)</f>
        <v>0</v>
      </c>
      <c r="N61" s="349">
        <f>M61*E61</f>
        <v>0</v>
      </c>
      <c r="O61" s="307"/>
      <c r="P61" s="479"/>
      <c r="Q61" s="411"/>
      <c r="R61" s="411">
        <f>' COM_2017_old'!R61</f>
        <v>3.9257950530035335E-2</v>
      </c>
      <c r="S61" s="411">
        <f t="shared" ref="S61:Y66" si="20">MIN(1,$R61+S$52)</f>
        <v>6.9257950530035334E-2</v>
      </c>
      <c r="T61" s="411">
        <f t="shared" si="20"/>
        <v>0.13925795053003534</v>
      </c>
      <c r="U61" s="411">
        <f t="shared" si="20"/>
        <v>0.33925795053003532</v>
      </c>
      <c r="V61" s="411">
        <f t="shared" si="20"/>
        <v>0.53925795053003533</v>
      </c>
      <c r="W61" s="411">
        <f t="shared" si="20"/>
        <v>0.73925795053003529</v>
      </c>
      <c r="X61" s="411">
        <f t="shared" si="20"/>
        <v>0.93925795053003536</v>
      </c>
      <c r="Y61" s="411">
        <f t="shared" si="20"/>
        <v>1</v>
      </c>
      <c r="AA61" s="479"/>
      <c r="AB61" s="411"/>
      <c r="AC61" s="479">
        <f t="shared" ref="AC61:AC66" si="21">R61/(1+$P$54+$AA$54)</f>
        <v>3.7748029355803209E-2</v>
      </c>
      <c r="AD61" s="411">
        <f t="shared" ref="AD61:AJ66" si="22">$AC61*AD$52</f>
        <v>3.6615588475129114E-2</v>
      </c>
      <c r="AE61" s="411">
        <f t="shared" si="22"/>
        <v>3.3973226420222886E-2</v>
      </c>
      <c r="AF61" s="411">
        <f t="shared" si="22"/>
        <v>2.6423620549062245E-2</v>
      </c>
      <c r="AG61" s="411">
        <f t="shared" si="22"/>
        <v>1.8874014677901604E-2</v>
      </c>
      <c r="AH61" s="411">
        <f t="shared" si="22"/>
        <v>1.1324408806740962E-2</v>
      </c>
      <c r="AI61" s="411">
        <f t="shared" si="22"/>
        <v>3.774802935580321E-3</v>
      </c>
      <c r="AJ61" s="411">
        <f t="shared" si="22"/>
        <v>0</v>
      </c>
      <c r="AK61" s="307">
        <v>1</v>
      </c>
      <c r="AL61" s="307"/>
      <c r="AM61" s="307"/>
      <c r="AN61" s="389">
        <f>P61*E61</f>
        <v>0</v>
      </c>
      <c r="AO61" s="389"/>
      <c r="AR61" s="765" t="s">
        <v>1504</v>
      </c>
      <c r="AS61" t="s">
        <v>1403</v>
      </c>
      <c r="AT61" s="722" t="s">
        <v>1362</v>
      </c>
      <c r="AU61" s="705" t="s">
        <v>647</v>
      </c>
      <c r="AV61" s="705" t="s">
        <v>662</v>
      </c>
      <c r="AW61" s="314" t="s">
        <v>734</v>
      </c>
      <c r="AX61" s="314"/>
      <c r="AY61" s="705"/>
      <c r="AZ61" s="705"/>
      <c r="BA61" s="705" t="s">
        <v>1520</v>
      </c>
      <c r="BB61" s="705"/>
      <c r="BC61" s="705" t="str">
        <f>D61</f>
        <v>CNC</v>
      </c>
      <c r="BD61" s="705" t="str">
        <f>AT61</f>
        <v>Commercial - Cooling - Electricity - Chiller - Existing</v>
      </c>
      <c r="BE61" s="705" t="s">
        <v>647</v>
      </c>
      <c r="BF61" s="705"/>
      <c r="BG61" s="314" t="s">
        <v>1503</v>
      </c>
    </row>
    <row r="62" spans="1:59"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SUMIF('Technology costs'!$B$7:$B$28,COM_2012!B62,'Technology costs'!$L$7:$L$28)</f>
        <v>91.48641577227815</v>
      </c>
      <c r="J62" s="349">
        <f>I62*0.1</f>
        <v>9.1486415772278153</v>
      </c>
      <c r="L62" s="350">
        <v>0</v>
      </c>
      <c r="M62" s="349">
        <f>L62*SUMIF($C$6:$J$6,C62,$C$43:$J$43)</f>
        <v>0</v>
      </c>
      <c r="N62" s="349">
        <f>M62*E62</f>
        <v>0</v>
      </c>
      <c r="O62" s="307"/>
      <c r="P62" s="479"/>
      <c r="Q62" s="411"/>
      <c r="R62" s="411">
        <f>' COM_2017_old'!R62</f>
        <v>0.66381625441696124</v>
      </c>
      <c r="S62" s="411">
        <f t="shared" si="20"/>
        <v>0.69381625441696126</v>
      </c>
      <c r="T62" s="411">
        <f t="shared" si="20"/>
        <v>0.76381625441696122</v>
      </c>
      <c r="U62" s="411">
        <f t="shared" si="20"/>
        <v>0.96381625441696128</v>
      </c>
      <c r="V62" s="411">
        <f t="shared" si="20"/>
        <v>1</v>
      </c>
      <c r="W62" s="411">
        <f t="shared" si="20"/>
        <v>1</v>
      </c>
      <c r="X62" s="411">
        <f t="shared" si="20"/>
        <v>1</v>
      </c>
      <c r="Y62" s="411">
        <f t="shared" si="20"/>
        <v>1</v>
      </c>
      <c r="AA62" s="410"/>
      <c r="AB62" s="411"/>
      <c r="AC62" s="479">
        <f t="shared" si="21"/>
        <v>0.63828486001630891</v>
      </c>
      <c r="AD62" s="411">
        <f t="shared" si="22"/>
        <v>0.61913631421581961</v>
      </c>
      <c r="AE62" s="411">
        <f t="shared" si="22"/>
        <v>0.57445637401467808</v>
      </c>
      <c r="AF62" s="411">
        <f t="shared" si="22"/>
        <v>0.44679940201141621</v>
      </c>
      <c r="AG62" s="411">
        <f t="shared" si="22"/>
        <v>0.31914243000815445</v>
      </c>
      <c r="AH62" s="411">
        <f t="shared" si="22"/>
        <v>0.19148545800489267</v>
      </c>
      <c r="AI62" s="411">
        <f t="shared" si="22"/>
        <v>6.3828486001630894E-2</v>
      </c>
      <c r="AJ62" s="411">
        <f t="shared" si="22"/>
        <v>0</v>
      </c>
      <c r="AK62" s="307">
        <f>AK61+1</f>
        <v>2</v>
      </c>
      <c r="AL62" s="307"/>
      <c r="AM62" s="307"/>
      <c r="AN62" s="389">
        <f t="shared" ref="AN62:AN120" si="23">P62*E62</f>
        <v>0</v>
      </c>
      <c r="AO62" s="389"/>
      <c r="AR62" s="765" t="s">
        <v>1504</v>
      </c>
      <c r="AS62" t="s">
        <v>1404</v>
      </c>
      <c r="AT62" s="722" t="s">
        <v>1364</v>
      </c>
      <c r="AU62" s="705" t="s">
        <v>647</v>
      </c>
      <c r="AV62" s="705" t="s">
        <v>662</v>
      </c>
      <c r="AW62" s="314" t="s">
        <v>734</v>
      </c>
      <c r="AX62" s="314"/>
      <c r="AY62" s="705"/>
      <c r="AZ62" s="705"/>
      <c r="BA62" s="705" t="s">
        <v>1520</v>
      </c>
      <c r="BB62" s="705"/>
      <c r="BC62" s="705" t="str">
        <f>D62</f>
        <v>CNC</v>
      </c>
      <c r="BD62" s="705" t="str">
        <f t="shared" ref="BD62:BD119" si="24">AT62</f>
        <v>Commercial - Cooling - Electricity - Central - Existing</v>
      </c>
      <c r="BE62" s="705" t="s">
        <v>647</v>
      </c>
      <c r="BF62" s="705"/>
      <c r="BG62" s="314" t="s">
        <v>1503</v>
      </c>
    </row>
    <row r="63" spans="1:59"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SUMIF('Technology costs'!$B$7:$B$28,COM_2012!B63,'Technology costs'!$L$7:$L$28)</f>
        <v>118.96450756323959</v>
      </c>
      <c r="J63" s="349">
        <f t="shared" ref="J63:J118" si="25">I63*0.1</f>
        <v>11.89645075632396</v>
      </c>
      <c r="L63" s="350">
        <v>0</v>
      </c>
      <c r="M63" s="349">
        <f>L63*SUMIF($C$6:$J$6,C63,$C$43:$J$43)</f>
        <v>0</v>
      </c>
      <c r="N63" s="349">
        <f>M63*E63</f>
        <v>0</v>
      </c>
      <c r="O63" s="351"/>
      <c r="P63" s="479"/>
      <c r="Q63" s="411"/>
      <c r="R63" s="411">
        <f>' COM_2017_old'!R63</f>
        <v>0.17844522968197882</v>
      </c>
      <c r="S63" s="411">
        <f t="shared" si="20"/>
        <v>0.20844522968197882</v>
      </c>
      <c r="T63" s="411">
        <f t="shared" si="20"/>
        <v>0.27844522968197882</v>
      </c>
      <c r="U63" s="411">
        <f t="shared" si="20"/>
        <v>0.47844522968197878</v>
      </c>
      <c r="V63" s="411">
        <f t="shared" si="20"/>
        <v>0.67844522968197885</v>
      </c>
      <c r="W63" s="411">
        <f t="shared" si="20"/>
        <v>0.8784452296819788</v>
      </c>
      <c r="X63" s="411">
        <f t="shared" si="20"/>
        <v>1</v>
      </c>
      <c r="Y63" s="411">
        <f t="shared" si="20"/>
        <v>1</v>
      </c>
      <c r="AA63" s="410"/>
      <c r="AB63" s="411"/>
      <c r="AC63" s="479">
        <f t="shared" si="21"/>
        <v>0.17158195161728731</v>
      </c>
      <c r="AD63" s="411">
        <f t="shared" si="22"/>
        <v>0.1664344930687687</v>
      </c>
      <c r="AE63" s="411">
        <f t="shared" si="22"/>
        <v>0.15442375645555859</v>
      </c>
      <c r="AF63" s="411">
        <f t="shared" si="22"/>
        <v>0.12010736613210111</v>
      </c>
      <c r="AG63" s="411">
        <f t="shared" si="22"/>
        <v>8.5790975808643657E-2</v>
      </c>
      <c r="AH63" s="411">
        <f t="shared" si="22"/>
        <v>5.1474585485186193E-2</v>
      </c>
      <c r="AI63" s="411">
        <f t="shared" si="22"/>
        <v>1.7158195161728732E-2</v>
      </c>
      <c r="AJ63" s="411">
        <f t="shared" si="22"/>
        <v>0</v>
      </c>
      <c r="AK63" s="307">
        <f>AK62+1</f>
        <v>3</v>
      </c>
      <c r="AL63" s="307"/>
      <c r="AM63" s="307"/>
      <c r="AN63" s="389">
        <f t="shared" si="23"/>
        <v>0</v>
      </c>
      <c r="AO63" s="389"/>
      <c r="AR63" s="765" t="s">
        <v>1504</v>
      </c>
      <c r="AS63" t="s">
        <v>1405</v>
      </c>
      <c r="AT63" s="722" t="s">
        <v>1366</v>
      </c>
      <c r="AU63" s="705" t="s">
        <v>647</v>
      </c>
      <c r="AV63" s="705" t="s">
        <v>662</v>
      </c>
      <c r="AW63" s="314" t="s">
        <v>734</v>
      </c>
      <c r="AX63" s="314"/>
      <c r="AY63" s="705"/>
      <c r="AZ63" s="705"/>
      <c r="BA63" s="705" t="s">
        <v>1520</v>
      </c>
      <c r="BB63" s="705"/>
      <c r="BC63" s="705" t="str">
        <f t="shared" ref="BC63:BC119" si="26">D63</f>
        <v>CNC</v>
      </c>
      <c r="BD63" s="705" t="str">
        <f t="shared" si="24"/>
        <v>Commercial - Cooling - Electricity - Heat Pump - Existing</v>
      </c>
      <c r="BE63" s="705" t="s">
        <v>647</v>
      </c>
      <c r="BF63" s="705"/>
      <c r="BG63" s="314" t="s">
        <v>1503</v>
      </c>
    </row>
    <row r="64" spans="1:59"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567">
        <f>SUMIF('Technology costs'!$B$7:$B$28,COM_2012!B64,'Technology costs'!$L$7:$L$28)</f>
        <v>49.654804773986427</v>
      </c>
      <c r="J64" s="349">
        <f t="shared" si="25"/>
        <v>4.9654804773986427</v>
      </c>
      <c r="L64" s="350">
        <v>0</v>
      </c>
      <c r="M64" s="349">
        <f>L64*SUMIF($C$6:$J$6,C64,$C$43:$J$43)</f>
        <v>0</v>
      </c>
      <c r="N64" s="349">
        <f>M64*E64</f>
        <v>0</v>
      </c>
      <c r="O64" s="307"/>
      <c r="P64" s="479"/>
      <c r="Q64" s="411"/>
      <c r="R64" s="411">
        <f>' COM_2017_old'!R64</f>
        <v>0.1284805653710247</v>
      </c>
      <c r="S64" s="411">
        <f t="shared" si="20"/>
        <v>0.1584805653710247</v>
      </c>
      <c r="T64" s="411">
        <f t="shared" si="20"/>
        <v>0.22848056537102471</v>
      </c>
      <c r="U64" s="411">
        <f t="shared" si="20"/>
        <v>0.42848056537102469</v>
      </c>
      <c r="V64" s="411">
        <f t="shared" si="20"/>
        <v>0.6284805653710247</v>
      </c>
      <c r="W64" s="411">
        <f t="shared" si="20"/>
        <v>0.82848056537102466</v>
      </c>
      <c r="X64" s="411">
        <f t="shared" si="20"/>
        <v>1</v>
      </c>
      <c r="Y64" s="411">
        <f t="shared" si="20"/>
        <v>1</v>
      </c>
      <c r="AA64" s="410"/>
      <c r="AB64" s="411"/>
      <c r="AC64" s="479">
        <f t="shared" si="21"/>
        <v>0.12353900516444682</v>
      </c>
      <c r="AD64" s="411">
        <f t="shared" si="22"/>
        <v>0.11983283500951342</v>
      </c>
      <c r="AE64" s="411">
        <f t="shared" si="22"/>
        <v>0.11118510464800214</v>
      </c>
      <c r="AF64" s="411">
        <f t="shared" si="22"/>
        <v>8.6477303615112772E-2</v>
      </c>
      <c r="AG64" s="411">
        <f t="shared" si="22"/>
        <v>6.1769502582223412E-2</v>
      </c>
      <c r="AH64" s="411">
        <f t="shared" si="22"/>
        <v>3.7061701549334046E-2</v>
      </c>
      <c r="AI64" s="411">
        <f t="shared" si="22"/>
        <v>1.2353900516444683E-2</v>
      </c>
      <c r="AJ64" s="411">
        <f t="shared" si="22"/>
        <v>0</v>
      </c>
      <c r="AK64" s="307">
        <f t="shared" ref="AK64:AK121" si="27">AK63+1</f>
        <v>4</v>
      </c>
      <c r="AL64" s="307"/>
      <c r="AM64" s="307"/>
      <c r="AN64" s="389">
        <f t="shared" si="23"/>
        <v>0</v>
      </c>
      <c r="AO64" s="389"/>
      <c r="AR64" s="765" t="s">
        <v>1504</v>
      </c>
      <c r="AS64" t="s">
        <v>1406</v>
      </c>
      <c r="AT64" s="722" t="s">
        <v>1368</v>
      </c>
      <c r="AU64" s="705" t="s">
        <v>647</v>
      </c>
      <c r="AV64" s="705" t="s">
        <v>662</v>
      </c>
      <c r="AW64" s="314" t="s">
        <v>734</v>
      </c>
      <c r="AX64" s="314"/>
      <c r="AY64" s="705"/>
      <c r="AZ64" s="705"/>
      <c r="BA64" s="705" t="s">
        <v>1520</v>
      </c>
      <c r="BB64" s="705"/>
      <c r="BC64" s="705" t="str">
        <f t="shared" si="26"/>
        <v>CNC</v>
      </c>
      <c r="BD64" s="705" t="str">
        <f t="shared" si="24"/>
        <v>Commercial - Cooling - Electricity - Room - Existing</v>
      </c>
      <c r="BE64" s="705" t="s">
        <v>647</v>
      </c>
      <c r="BF64" s="705"/>
      <c r="BG64" s="314" t="s">
        <v>1503</v>
      </c>
    </row>
    <row r="65" spans="1:59"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(10/3.74)*I62</f>
        <v>244.61608495261538</v>
      </c>
      <c r="J65" s="349">
        <f>J62</f>
        <v>9.1486415772278153</v>
      </c>
      <c r="L65" s="350">
        <v>0</v>
      </c>
      <c r="M65" s="349">
        <v>0</v>
      </c>
      <c r="N65" s="349">
        <v>0</v>
      </c>
      <c r="O65" s="307"/>
      <c r="P65" s="479"/>
      <c r="Q65" s="411"/>
      <c r="R65" s="411">
        <f>' COM_2017_old'!R65</f>
        <v>0</v>
      </c>
      <c r="S65" s="411">
        <f t="shared" si="20"/>
        <v>0.03</v>
      </c>
      <c r="T65" s="411">
        <f t="shared" si="20"/>
        <v>0.1</v>
      </c>
      <c r="U65" s="411">
        <f t="shared" si="20"/>
        <v>0.3</v>
      </c>
      <c r="V65" s="411">
        <f t="shared" si="20"/>
        <v>0.5</v>
      </c>
      <c r="W65" s="411">
        <f t="shared" si="20"/>
        <v>0.7</v>
      </c>
      <c r="X65" s="411">
        <f t="shared" si="20"/>
        <v>0.9</v>
      </c>
      <c r="Y65" s="411">
        <f t="shared" si="20"/>
        <v>1</v>
      </c>
      <c r="AA65" s="410"/>
      <c r="AB65" s="411"/>
      <c r="AC65" s="479">
        <f t="shared" si="21"/>
        <v>0</v>
      </c>
      <c r="AD65" s="411">
        <f t="shared" si="22"/>
        <v>0</v>
      </c>
      <c r="AE65" s="411">
        <f t="shared" si="22"/>
        <v>0</v>
      </c>
      <c r="AF65" s="411">
        <f t="shared" si="22"/>
        <v>0</v>
      </c>
      <c r="AG65" s="411">
        <f t="shared" si="22"/>
        <v>0</v>
      </c>
      <c r="AH65" s="411">
        <f t="shared" si="22"/>
        <v>0</v>
      </c>
      <c r="AI65" s="411">
        <f t="shared" si="22"/>
        <v>0</v>
      </c>
      <c r="AJ65" s="411">
        <f t="shared" si="22"/>
        <v>0</v>
      </c>
      <c r="AK65" s="307">
        <f t="shared" si="27"/>
        <v>5</v>
      </c>
      <c r="AL65" s="307"/>
      <c r="AM65" s="307"/>
      <c r="AN65" s="389">
        <f t="shared" si="23"/>
        <v>0</v>
      </c>
      <c r="AO65" s="389"/>
      <c r="AR65" s="765" t="s">
        <v>1504</v>
      </c>
      <c r="AS65" t="s">
        <v>1407</v>
      </c>
      <c r="AT65" s="722" t="s">
        <v>1370</v>
      </c>
      <c r="AU65" s="705" t="s">
        <v>647</v>
      </c>
      <c r="AV65" s="705" t="s">
        <v>662</v>
      </c>
      <c r="AW65" s="314" t="s">
        <v>734</v>
      </c>
      <c r="AX65" s="314"/>
      <c r="AY65" s="705"/>
      <c r="AZ65" s="705"/>
      <c r="BA65" s="705" t="s">
        <v>1520</v>
      </c>
      <c r="BB65" s="705"/>
      <c r="BC65" s="705" t="str">
        <f t="shared" si="26"/>
        <v>CNC</v>
      </c>
      <c r="BD65" s="705" t="str">
        <f t="shared" si="24"/>
        <v>Commercial - Cooling - Electricity - Central - New</v>
      </c>
      <c r="BE65" s="705" t="s">
        <v>647</v>
      </c>
      <c r="BF65" s="705"/>
      <c r="BG65" s="314" t="s">
        <v>1503</v>
      </c>
    </row>
    <row r="66" spans="1:59"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(10.68/10)*I65</f>
        <v>261.24997872939326</v>
      </c>
      <c r="J66" s="349">
        <f>(0.15/0.11)*J65</f>
        <v>12.475420332583383</v>
      </c>
      <c r="L66" s="350">
        <v>0</v>
      </c>
      <c r="M66" s="349">
        <v>0</v>
      </c>
      <c r="N66" s="349">
        <v>0</v>
      </c>
      <c r="O66" s="307"/>
      <c r="P66" s="479"/>
      <c r="Q66" s="411"/>
      <c r="R66" s="411">
        <f>' COM_2017_old'!R66</f>
        <v>0</v>
      </c>
      <c r="S66" s="411">
        <f t="shared" si="20"/>
        <v>0.03</v>
      </c>
      <c r="T66" s="411">
        <f t="shared" si="20"/>
        <v>0.1</v>
      </c>
      <c r="U66" s="411">
        <f t="shared" si="20"/>
        <v>0.3</v>
      </c>
      <c r="V66" s="411">
        <f t="shared" si="20"/>
        <v>0.5</v>
      </c>
      <c r="W66" s="411">
        <f t="shared" si="20"/>
        <v>0.7</v>
      </c>
      <c r="X66" s="411">
        <f t="shared" si="20"/>
        <v>0.9</v>
      </c>
      <c r="Y66" s="411">
        <f t="shared" si="20"/>
        <v>1</v>
      </c>
      <c r="AA66" s="410"/>
      <c r="AB66" s="411"/>
      <c r="AC66" s="479">
        <f t="shared" si="21"/>
        <v>0</v>
      </c>
      <c r="AD66" s="411">
        <f t="shared" si="22"/>
        <v>0</v>
      </c>
      <c r="AE66" s="411">
        <f t="shared" si="22"/>
        <v>0</v>
      </c>
      <c r="AF66" s="411">
        <f t="shared" si="22"/>
        <v>0</v>
      </c>
      <c r="AG66" s="411">
        <f t="shared" si="22"/>
        <v>0</v>
      </c>
      <c r="AH66" s="411">
        <f t="shared" si="22"/>
        <v>0</v>
      </c>
      <c r="AI66" s="411">
        <f t="shared" si="22"/>
        <v>0</v>
      </c>
      <c r="AJ66" s="411">
        <f t="shared" si="22"/>
        <v>0</v>
      </c>
      <c r="AK66" s="307">
        <f t="shared" si="27"/>
        <v>6</v>
      </c>
      <c r="AL66" s="307"/>
      <c r="AM66" s="307"/>
      <c r="AN66" s="389">
        <f t="shared" si="23"/>
        <v>0</v>
      </c>
      <c r="AO66" s="389"/>
      <c r="AR66" s="765" t="s">
        <v>1504</v>
      </c>
      <c r="AS66" t="s">
        <v>1408</v>
      </c>
      <c r="AT66" s="722" t="s">
        <v>1372</v>
      </c>
      <c r="AU66" s="705" t="s">
        <v>647</v>
      </c>
      <c r="AV66" s="705" t="s">
        <v>662</v>
      </c>
      <c r="AW66" s="314" t="s">
        <v>734</v>
      </c>
      <c r="AX66" s="314"/>
      <c r="AY66" s="705"/>
      <c r="AZ66" s="705"/>
      <c r="BA66" s="705" t="s">
        <v>1520</v>
      </c>
      <c r="BB66" s="705"/>
      <c r="BC66" s="705" t="str">
        <f t="shared" si="26"/>
        <v>CNC</v>
      </c>
      <c r="BD66" s="705" t="str">
        <f t="shared" si="24"/>
        <v>Commercial - Cooling - Electricity - Heat Pump - New</v>
      </c>
      <c r="BE66" s="705" t="s">
        <v>647</v>
      </c>
      <c r="BF66" s="705"/>
      <c r="BG66" s="314" t="s">
        <v>1503</v>
      </c>
    </row>
    <row r="67" spans="1:59" ht="15">
      <c r="A67" s="352" t="s">
        <v>1555</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7"/>
        <v>7</v>
      </c>
      <c r="AL67" s="307"/>
      <c r="AM67" s="307"/>
      <c r="AN67" s="389">
        <f t="shared" si="23"/>
        <v>0</v>
      </c>
      <c r="AO67" s="389">
        <f>SUM(AN61:AN66)</f>
        <v>0</v>
      </c>
      <c r="AR67" s="765" t="s">
        <v>709</v>
      </c>
      <c r="AT67" s="722"/>
      <c r="AU67" s="705"/>
      <c r="AV67" s="705"/>
      <c r="AW67" s="314"/>
      <c r="AX67" s="314"/>
      <c r="AY67" s="705"/>
      <c r="AZ67" s="705"/>
      <c r="BA67" s="705" t="s">
        <v>709</v>
      </c>
      <c r="BB67" s="705"/>
      <c r="BC67" s="705"/>
      <c r="BD67" s="705"/>
      <c r="BE67" s="705"/>
      <c r="BF67" s="705"/>
      <c r="BG67" s="314"/>
    </row>
    <row r="68" spans="1:59" ht="15">
      <c r="A68" s="343" t="str">
        <f>"*"&amp;A44</f>
        <v>*Commercial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7"/>
        <v>8</v>
      </c>
      <c r="AL68" s="307"/>
      <c r="AM68" s="307"/>
      <c r="AN68" s="389">
        <f t="shared" si="23"/>
        <v>0</v>
      </c>
      <c r="AR68" s="765" t="s">
        <v>709</v>
      </c>
      <c r="AS68" s="705"/>
      <c r="AT68" s="722"/>
      <c r="AU68" s="705"/>
      <c r="AV68" s="705"/>
      <c r="AW68" s="705"/>
      <c r="AX68" s="314"/>
      <c r="AY68" s="705"/>
      <c r="AZ68" s="705"/>
      <c r="BA68" s="705" t="s">
        <v>709</v>
      </c>
      <c r="BB68" s="705"/>
      <c r="BC68" s="705"/>
      <c r="BD68" s="705"/>
      <c r="BE68" s="705"/>
      <c r="BF68" s="705"/>
      <c r="BG68" s="705"/>
    </row>
    <row r="69" spans="1:59"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567">
        <f>I72</f>
        <v>179.45037756394217</v>
      </c>
      <c r="J69" s="349">
        <f t="shared" si="25"/>
        <v>17.945037756394218</v>
      </c>
      <c r="L69" s="350">
        <v>0</v>
      </c>
      <c r="M69" s="349">
        <f>L69*SUMIF($C$6:$J$6,C69,$C$44:$J$44)</f>
        <v>0</v>
      </c>
      <c r="N69" s="349">
        <f>M69*E69</f>
        <v>0</v>
      </c>
      <c r="P69" s="493"/>
      <c r="Q69" s="411"/>
      <c r="R69" s="411">
        <f>' COM_2017_old'!R69</f>
        <v>0.76486979209673167</v>
      </c>
      <c r="S69" s="411">
        <f>R69</f>
        <v>0.76486979209673167</v>
      </c>
      <c r="T69" s="411">
        <f t="shared" ref="T69:Y69" si="28">S69</f>
        <v>0.76486979209673167</v>
      </c>
      <c r="U69" s="411">
        <f t="shared" si="28"/>
        <v>0.76486979209673167</v>
      </c>
      <c r="V69" s="411">
        <f t="shared" si="28"/>
        <v>0.76486979209673167</v>
      </c>
      <c r="W69" s="411">
        <f t="shared" si="28"/>
        <v>0.76486979209673167</v>
      </c>
      <c r="X69" s="411">
        <f t="shared" si="28"/>
        <v>0.76486979209673167</v>
      </c>
      <c r="Y69" s="411">
        <f t="shared" si="28"/>
        <v>0.76486979209673167</v>
      </c>
      <c r="AA69" s="410"/>
      <c r="AB69" s="411"/>
      <c r="AC69" s="410">
        <f>R69/(1+$P$54+$AA$54)</f>
        <v>0.73545172316993424</v>
      </c>
      <c r="AD69" s="411">
        <f t="shared" ref="AD69:AJ73" si="29">$AC69*AD$52</f>
        <v>0.71338817147483624</v>
      </c>
      <c r="AE69" s="411">
        <f t="shared" si="29"/>
        <v>0.66190655085294081</v>
      </c>
      <c r="AF69" s="411">
        <f t="shared" si="29"/>
        <v>0.51481620621895396</v>
      </c>
      <c r="AG69" s="411">
        <f t="shared" si="29"/>
        <v>0.36772586158496712</v>
      </c>
      <c r="AH69" s="411">
        <f t="shared" si="29"/>
        <v>0.22063551695098027</v>
      </c>
      <c r="AI69" s="411">
        <f t="shared" si="29"/>
        <v>7.3545172316993424E-2</v>
      </c>
      <c r="AJ69" s="411">
        <f t="shared" si="29"/>
        <v>0</v>
      </c>
      <c r="AK69" s="307">
        <f t="shared" si="27"/>
        <v>9</v>
      </c>
      <c r="AN69" s="389">
        <f t="shared" si="23"/>
        <v>0</v>
      </c>
      <c r="AR69" s="765" t="s">
        <v>1504</v>
      </c>
      <c r="AS69" t="s">
        <v>1343</v>
      </c>
      <c r="AT69" s="722" t="s">
        <v>1298</v>
      </c>
      <c r="AU69" s="705" t="s">
        <v>647</v>
      </c>
      <c r="AV69" s="705" t="s">
        <v>662</v>
      </c>
      <c r="AW69" s="314" t="s">
        <v>734</v>
      </c>
      <c r="AX69" s="314"/>
      <c r="AY69" s="705"/>
      <c r="AZ69" s="705"/>
      <c r="BA69" s="705" t="s">
        <v>1520</v>
      </c>
      <c r="BB69" s="705"/>
      <c r="BC69" s="705" t="str">
        <f t="shared" si="26"/>
        <v>CNH</v>
      </c>
      <c r="BD69" s="705" t="str">
        <f t="shared" si="24"/>
        <v>Commercial - Space Heating - Coal - Existing</v>
      </c>
      <c r="BE69" s="705" t="s">
        <v>647</v>
      </c>
      <c r="BF69" s="705"/>
      <c r="BG69" s="314" t="s">
        <v>734</v>
      </c>
    </row>
    <row r="70" spans="1:59"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SUMIF('Technology costs'!$B$7:$B$28,COM_2012!B70,'Technology costs'!$L$7:$L$28)</f>
        <v>31.420618543499238</v>
      </c>
      <c r="J70" s="349">
        <f t="shared" si="25"/>
        <v>3.1420618543499241</v>
      </c>
      <c r="L70" s="350">
        <v>0</v>
      </c>
      <c r="M70" s="349">
        <f>L70*SUMIF($C$6:$J$6,C70,$C$44:$J$44)</f>
        <v>0</v>
      </c>
      <c r="N70" s="349">
        <f>M70*E70</f>
        <v>0</v>
      </c>
      <c r="P70" s="493"/>
      <c r="Q70" s="411"/>
      <c r="R70" s="411">
        <f>' COM_2017_old'!R70</f>
        <v>0.22353038951450355</v>
      </c>
      <c r="S70" s="411">
        <f t="shared" ref="S70:Y73" si="30">MIN(1,$R70+S$52)</f>
        <v>0.25353038951450357</v>
      </c>
      <c r="T70" s="411">
        <f t="shared" si="30"/>
        <v>0.32353038951450352</v>
      </c>
      <c r="U70" s="411">
        <f t="shared" si="30"/>
        <v>0.52353038951450359</v>
      </c>
      <c r="V70" s="411">
        <f t="shared" si="30"/>
        <v>0.72353038951450355</v>
      </c>
      <c r="W70" s="411">
        <f t="shared" si="30"/>
        <v>0.9235303895145035</v>
      </c>
      <c r="X70" s="411">
        <f t="shared" si="30"/>
        <v>1</v>
      </c>
      <c r="Y70" s="411">
        <f t="shared" si="30"/>
        <v>1</v>
      </c>
      <c r="AA70" s="410"/>
      <c r="AB70" s="411"/>
      <c r="AC70" s="410">
        <f>R70/(1+$P$54+$AA$54)</f>
        <v>0.2149330668408688</v>
      </c>
      <c r="AD70" s="411">
        <f t="shared" si="29"/>
        <v>0.20848507483564271</v>
      </c>
      <c r="AE70" s="411">
        <f t="shared" si="29"/>
        <v>0.19343976015678191</v>
      </c>
      <c r="AF70" s="411">
        <f t="shared" si="29"/>
        <v>0.15045314678860816</v>
      </c>
      <c r="AG70" s="411">
        <f t="shared" si="29"/>
        <v>0.1074665334204344</v>
      </c>
      <c r="AH70" s="411">
        <f t="shared" si="29"/>
        <v>6.4479920052260636E-2</v>
      </c>
      <c r="AI70" s="411">
        <f t="shared" si="29"/>
        <v>2.1493306684086881E-2</v>
      </c>
      <c r="AJ70" s="411">
        <f t="shared" si="29"/>
        <v>0</v>
      </c>
      <c r="AK70" s="307">
        <f t="shared" si="27"/>
        <v>10</v>
      </c>
      <c r="AN70" s="389">
        <f>P70*E70</f>
        <v>0</v>
      </c>
      <c r="AR70" s="765" t="s">
        <v>1504</v>
      </c>
      <c r="AS70" t="s">
        <v>1344</v>
      </c>
      <c r="AT70" s="722" t="s">
        <v>1300</v>
      </c>
      <c r="AU70" s="705" t="s">
        <v>647</v>
      </c>
      <c r="AV70" s="705" t="s">
        <v>662</v>
      </c>
      <c r="AW70" s="314" t="s">
        <v>734</v>
      </c>
      <c r="AX70" s="314"/>
      <c r="AY70" s="705"/>
      <c r="AZ70" s="705"/>
      <c r="BA70" s="705" t="s">
        <v>1520</v>
      </c>
      <c r="BB70" s="705"/>
      <c r="BC70" s="705" t="str">
        <f t="shared" si="26"/>
        <v>CNH</v>
      </c>
      <c r="BD70" s="705" t="str">
        <f t="shared" si="24"/>
        <v>Commercial - Space Heating - Electricity - Existing</v>
      </c>
      <c r="BE70" s="705" t="s">
        <v>647</v>
      </c>
      <c r="BF70" s="705"/>
      <c r="BG70" s="314" t="s">
        <v>1503</v>
      </c>
    </row>
    <row r="71" spans="1:59"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49.003487536247462</v>
      </c>
      <c r="J71" s="349">
        <f t="shared" si="25"/>
        <v>4.9003487536247468</v>
      </c>
      <c r="L71" s="350">
        <v>0</v>
      </c>
      <c r="M71" s="349">
        <f>L71*SUMIF($C$6:$J$6,C71,$C$44:$J$44)</f>
        <v>0</v>
      </c>
      <c r="N71" s="349">
        <f>M71*E71</f>
        <v>0</v>
      </c>
      <c r="P71" s="493"/>
      <c r="Q71" s="411"/>
      <c r="R71" s="411">
        <f>' COM_2017_old'!R71</f>
        <v>2.1599818388764753E-2</v>
      </c>
      <c r="S71" s="411">
        <f t="shared" si="30"/>
        <v>5.1599818388764748E-2</v>
      </c>
      <c r="T71" s="411">
        <f t="shared" si="30"/>
        <v>0.12159981838876475</v>
      </c>
      <c r="U71" s="411">
        <f t="shared" si="30"/>
        <v>0.32159981838876472</v>
      </c>
      <c r="V71" s="411">
        <f t="shared" si="30"/>
        <v>0.52159981838876479</v>
      </c>
      <c r="W71" s="411">
        <f t="shared" si="30"/>
        <v>0.72159981838876475</v>
      </c>
      <c r="X71" s="411">
        <f t="shared" si="30"/>
        <v>0.92159981838876481</v>
      </c>
      <c r="Y71" s="411">
        <f t="shared" si="30"/>
        <v>1</v>
      </c>
      <c r="Z71"/>
      <c r="AA71" s="410"/>
      <c r="AB71" s="411"/>
      <c r="AC71" s="410">
        <f>R71/(1+$P$54+$AA$54)</f>
        <v>2.076905614304303E-2</v>
      </c>
      <c r="AD71" s="411">
        <f t="shared" si="29"/>
        <v>2.0145984458751737E-2</v>
      </c>
      <c r="AE71" s="411">
        <f t="shared" si="29"/>
        <v>1.8692150528738728E-2</v>
      </c>
      <c r="AF71" s="411">
        <f t="shared" si="29"/>
        <v>1.4538339300130119E-2</v>
      </c>
      <c r="AG71" s="411">
        <f t="shared" si="29"/>
        <v>1.0384528071521515E-2</v>
      </c>
      <c r="AH71" s="411">
        <f t="shared" si="29"/>
        <v>6.2307168429129086E-3</v>
      </c>
      <c r="AI71" s="411">
        <f t="shared" si="29"/>
        <v>2.0769056143043032E-3</v>
      </c>
      <c r="AJ71" s="411">
        <f t="shared" si="29"/>
        <v>0</v>
      </c>
      <c r="AK71" s="314">
        <f t="shared" si="27"/>
        <v>11</v>
      </c>
      <c r="AN71" s="389">
        <f t="shared" ref="AN71:AN98" si="31">P71*E71</f>
        <v>0</v>
      </c>
      <c r="AR71" s="765" t="s">
        <v>1504</v>
      </c>
      <c r="AS71" t="s">
        <v>1345</v>
      </c>
      <c r="AT71" s="722" t="s">
        <v>1302</v>
      </c>
      <c r="AU71" s="705" t="s">
        <v>647</v>
      </c>
      <c r="AV71" s="705" t="s">
        <v>662</v>
      </c>
      <c r="AW71" s="314" t="s">
        <v>734</v>
      </c>
      <c r="AY71" s="705"/>
      <c r="AZ71" s="705"/>
      <c r="BA71" s="705" t="s">
        <v>1520</v>
      </c>
      <c r="BB71" s="705"/>
      <c r="BC71" s="705" t="str">
        <f t="shared" si="26"/>
        <v>CNH</v>
      </c>
      <c r="BD71" s="705" t="str">
        <f t="shared" si="24"/>
        <v>Commercial - Space Heating - Gas - Existing</v>
      </c>
      <c r="BE71" s="705" t="s">
        <v>647</v>
      </c>
      <c r="BF71" s="705"/>
      <c r="BG71" s="314" t="s">
        <v>734</v>
      </c>
    </row>
    <row r="72" spans="1:59"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(10.68/1.87)*I70</f>
        <v>179.45037756394217</v>
      </c>
      <c r="J72" s="349">
        <f>I72*0.1</f>
        <v>17.945037756394218</v>
      </c>
      <c r="L72" s="350">
        <v>0</v>
      </c>
      <c r="M72" s="349">
        <v>0</v>
      </c>
      <c r="N72" s="349">
        <v>0</v>
      </c>
      <c r="P72" s="493"/>
      <c r="Q72" s="411"/>
      <c r="R72" s="411">
        <f>' COM_2017_old'!R72</f>
        <v>0</v>
      </c>
      <c r="S72" s="411">
        <f t="shared" si="30"/>
        <v>0.03</v>
      </c>
      <c r="T72" s="411">
        <f t="shared" si="30"/>
        <v>0.1</v>
      </c>
      <c r="U72" s="411">
        <f t="shared" si="30"/>
        <v>0.3</v>
      </c>
      <c r="V72" s="411">
        <f t="shared" si="30"/>
        <v>0.5</v>
      </c>
      <c r="W72" s="411">
        <f t="shared" si="30"/>
        <v>0.7</v>
      </c>
      <c r="X72" s="411">
        <f t="shared" si="30"/>
        <v>0.9</v>
      </c>
      <c r="Y72" s="411">
        <f t="shared" si="30"/>
        <v>1</v>
      </c>
      <c r="AA72" s="410"/>
      <c r="AB72" s="411"/>
      <c r="AC72" s="410">
        <f>R72/(1+$P$54+$AA$54)</f>
        <v>0</v>
      </c>
      <c r="AD72" s="411">
        <f t="shared" si="29"/>
        <v>0</v>
      </c>
      <c r="AE72" s="411">
        <f t="shared" si="29"/>
        <v>0</v>
      </c>
      <c r="AF72" s="411">
        <f t="shared" si="29"/>
        <v>0</v>
      </c>
      <c r="AG72" s="411">
        <f t="shared" si="29"/>
        <v>0</v>
      </c>
      <c r="AH72" s="411">
        <f t="shared" si="29"/>
        <v>0</v>
      </c>
      <c r="AI72" s="411">
        <f t="shared" si="29"/>
        <v>0</v>
      </c>
      <c r="AJ72" s="411">
        <f t="shared" si="29"/>
        <v>0</v>
      </c>
      <c r="AK72" s="314">
        <f t="shared" si="27"/>
        <v>12</v>
      </c>
      <c r="AN72" s="389">
        <f t="shared" si="31"/>
        <v>0</v>
      </c>
      <c r="AR72" s="765" t="s">
        <v>1504</v>
      </c>
      <c r="AS72" t="s">
        <v>1346</v>
      </c>
      <c r="AT72" s="722" t="s">
        <v>1304</v>
      </c>
      <c r="AU72" s="705" t="s">
        <v>647</v>
      </c>
      <c r="AV72" s="705" t="s">
        <v>662</v>
      </c>
      <c r="AW72" s="314" t="s">
        <v>734</v>
      </c>
      <c r="AX72" s="314"/>
      <c r="AY72" s="705"/>
      <c r="AZ72" s="705"/>
      <c r="BA72" s="705" t="s">
        <v>1520</v>
      </c>
      <c r="BB72" s="705"/>
      <c r="BC72" s="705" t="str">
        <f t="shared" si="26"/>
        <v>CNH</v>
      </c>
      <c r="BD72" s="705" t="str">
        <f t="shared" si="24"/>
        <v>Commercial - Space Heating - Electricity - New</v>
      </c>
      <c r="BE72" s="705" t="s">
        <v>647</v>
      </c>
      <c r="BF72" s="705"/>
      <c r="BG72" s="314" t="s">
        <v>1503</v>
      </c>
    </row>
    <row r="73" spans="1:59"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785">
        <f>34.864360018767*Deflator!AD7</f>
        <v>49.003487536247462</v>
      </c>
      <c r="J73" s="486">
        <f>I73*0.1</f>
        <v>4.9003487536247468</v>
      </c>
      <c r="L73" s="350">
        <v>0</v>
      </c>
      <c r="M73" s="349">
        <v>0</v>
      </c>
      <c r="N73" s="349">
        <v>0</v>
      </c>
      <c r="P73" s="493"/>
      <c r="Q73" s="411"/>
      <c r="R73" s="411">
        <f>' COM_2017_old'!R73</f>
        <v>0</v>
      </c>
      <c r="S73" s="411">
        <f t="shared" si="30"/>
        <v>0.03</v>
      </c>
      <c r="T73" s="411">
        <f t="shared" si="30"/>
        <v>0.1</v>
      </c>
      <c r="U73" s="411">
        <f t="shared" si="30"/>
        <v>0.3</v>
      </c>
      <c r="V73" s="411">
        <f t="shared" si="30"/>
        <v>0.5</v>
      </c>
      <c r="W73" s="411">
        <f t="shared" si="30"/>
        <v>0.7</v>
      </c>
      <c r="X73" s="411">
        <f t="shared" si="30"/>
        <v>0.9</v>
      </c>
      <c r="Y73" s="411">
        <f t="shared" si="30"/>
        <v>1</v>
      </c>
      <c r="AA73" s="410"/>
      <c r="AB73" s="411"/>
      <c r="AC73" s="410">
        <f>R73/(1+$P$54+$AA$54)</f>
        <v>0</v>
      </c>
      <c r="AD73" s="411">
        <f t="shared" si="29"/>
        <v>0</v>
      </c>
      <c r="AE73" s="411">
        <f t="shared" si="29"/>
        <v>0</v>
      </c>
      <c r="AF73" s="411">
        <f t="shared" si="29"/>
        <v>0</v>
      </c>
      <c r="AG73" s="411">
        <f t="shared" si="29"/>
        <v>0</v>
      </c>
      <c r="AH73" s="411">
        <f t="shared" si="29"/>
        <v>0</v>
      </c>
      <c r="AI73" s="411">
        <f t="shared" si="29"/>
        <v>0</v>
      </c>
      <c r="AJ73" s="411">
        <f t="shared" si="29"/>
        <v>0</v>
      </c>
      <c r="AK73" s="314">
        <f t="shared" si="27"/>
        <v>13</v>
      </c>
      <c r="AN73" s="389">
        <f t="shared" si="31"/>
        <v>0</v>
      </c>
      <c r="AR73" s="765" t="s">
        <v>1504</v>
      </c>
      <c r="AS73" t="s">
        <v>1347</v>
      </c>
      <c r="AT73" s="722" t="s">
        <v>1306</v>
      </c>
      <c r="AU73" s="705" t="s">
        <v>647</v>
      </c>
      <c r="AV73" s="705" t="s">
        <v>662</v>
      </c>
      <c r="AW73" s="314" t="s">
        <v>734</v>
      </c>
      <c r="AX73" s="314"/>
      <c r="AY73" s="705"/>
      <c r="AZ73" s="705"/>
      <c r="BA73" s="705" t="s">
        <v>1520</v>
      </c>
      <c r="BB73" s="705"/>
      <c r="BC73" s="705" t="str">
        <f t="shared" si="26"/>
        <v>CNH</v>
      </c>
      <c r="BD73" s="705" t="str">
        <f t="shared" si="24"/>
        <v>Commercial - Space Heating - Gas - New</v>
      </c>
      <c r="BE73" s="705" t="s">
        <v>647</v>
      </c>
      <c r="BF73" s="705"/>
      <c r="BG73" s="314" t="s">
        <v>734</v>
      </c>
    </row>
    <row r="74" spans="1:59" ht="15">
      <c r="A74" s="352" t="s">
        <v>1555</v>
      </c>
      <c r="F74" s="382"/>
      <c r="I74" s="349"/>
      <c r="J74" s="349"/>
      <c r="L74" s="359"/>
      <c r="M74" s="356">
        <f>SUM(M69:M70)</f>
        <v>0</v>
      </c>
      <c r="N74" s="356">
        <f>SUM(N69:N70)</f>
        <v>0</v>
      </c>
      <c r="P74" s="479"/>
      <c r="AK74" s="314">
        <f t="shared" si="27"/>
        <v>14</v>
      </c>
      <c r="AN74" s="389">
        <f t="shared" si="31"/>
        <v>0</v>
      </c>
      <c r="AO74" s="389">
        <f>SUM(AN69:AN72)</f>
        <v>0</v>
      </c>
      <c r="AR74" s="765" t="s">
        <v>709</v>
      </c>
      <c r="AT74" s="705"/>
      <c r="AU74" s="705"/>
      <c r="AV74" s="705"/>
      <c r="AW74" s="314"/>
      <c r="AX74" s="314"/>
      <c r="AY74" s="705"/>
      <c r="AZ74" s="705"/>
      <c r="BA74" s="705" t="s">
        <v>709</v>
      </c>
      <c r="BB74" s="705"/>
      <c r="BC74" s="705"/>
      <c r="BD74" s="705"/>
      <c r="BE74" s="705"/>
      <c r="BF74" s="705"/>
      <c r="BG74" s="314"/>
    </row>
    <row r="75" spans="1:59" ht="15">
      <c r="A75" s="343" t="str">
        <f>"*"&amp;A45</f>
        <v>*Commercial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7"/>
        <v>15</v>
      </c>
      <c r="AL75" s="307"/>
      <c r="AM75" s="307"/>
      <c r="AN75" s="389">
        <f t="shared" si="31"/>
        <v>0</v>
      </c>
      <c r="AR75" s="765" t="s">
        <v>709</v>
      </c>
      <c r="AT75" s="722"/>
      <c r="AU75" s="705"/>
      <c r="AV75" s="705"/>
      <c r="AW75" s="314"/>
      <c r="AX75" s="314"/>
      <c r="AY75" s="705"/>
      <c r="AZ75" s="705"/>
      <c r="BA75" s="705" t="s">
        <v>709</v>
      </c>
      <c r="BB75" s="705"/>
      <c r="BC75" s="705"/>
      <c r="BD75" s="705"/>
      <c r="BE75" s="705"/>
      <c r="BF75" s="705"/>
      <c r="BG75" s="314"/>
    </row>
    <row r="76" spans="1:59"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SUMIF('Technology costs'!$B$7:$B$28,COM_2012!B76,'Technology costs'!$L$7:$L$28)</f>
        <v>176.62153776607363</v>
      </c>
      <c r="J76" s="349">
        <f t="shared" si="25"/>
        <v>17.662153776607365</v>
      </c>
      <c r="L76" s="350">
        <v>0</v>
      </c>
      <c r="M76" s="349">
        <f>L76*SUMIF($C$6:$J$6,C76,$C$45:$J$45)</f>
        <v>0</v>
      </c>
      <c r="N76" s="349">
        <f>M76*E76</f>
        <v>0</v>
      </c>
      <c r="P76" s="479"/>
      <c r="Q76" s="411"/>
      <c r="R76" s="411">
        <f>' COM_2017_old'!R76</f>
        <v>4.84800835839391E-3</v>
      </c>
      <c r="S76" s="411">
        <f t="shared" ref="S76:Y77" si="32">MIN(1,$R76+S$52)</f>
        <v>3.4848008358393912E-2</v>
      </c>
      <c r="T76" s="411">
        <f t="shared" si="32"/>
        <v>0.10484800835839392</v>
      </c>
      <c r="U76" s="411">
        <f t="shared" si="32"/>
        <v>0.30484800835839387</v>
      </c>
      <c r="V76" s="411">
        <f t="shared" si="32"/>
        <v>0.50484800835839394</v>
      </c>
      <c r="W76" s="411">
        <f t="shared" si="32"/>
        <v>0.7048480083583939</v>
      </c>
      <c r="X76" s="411">
        <f t="shared" si="32"/>
        <v>0.90484800835839396</v>
      </c>
      <c r="Y76" s="411">
        <f t="shared" si="32"/>
        <v>1</v>
      </c>
      <c r="AA76" s="410"/>
      <c r="AB76" s="411"/>
      <c r="AC76" s="410">
        <f>R76/(1+$P$54+$AA$54)</f>
        <v>4.6615464984556829E-3</v>
      </c>
      <c r="AD76" s="411">
        <f t="shared" ref="AD76:AJ78" si="33">$AC76*AD$52</f>
        <v>4.5217001035020125E-3</v>
      </c>
      <c r="AE76" s="411">
        <f t="shared" si="33"/>
        <v>4.195391848610115E-3</v>
      </c>
      <c r="AF76" s="411">
        <f t="shared" si="33"/>
        <v>3.263082548918978E-3</v>
      </c>
      <c r="AG76" s="411">
        <f t="shared" si="33"/>
        <v>2.3307732492278414E-3</v>
      </c>
      <c r="AH76" s="411">
        <f t="shared" si="33"/>
        <v>1.3984639495367049E-3</v>
      </c>
      <c r="AI76" s="411">
        <f t="shared" si="33"/>
        <v>4.6615464984556829E-4</v>
      </c>
      <c r="AJ76" s="411">
        <f t="shared" si="33"/>
        <v>0</v>
      </c>
      <c r="AK76" s="314">
        <f t="shared" si="27"/>
        <v>16</v>
      </c>
      <c r="AN76" s="389">
        <f t="shared" si="31"/>
        <v>0</v>
      </c>
      <c r="AO76" s="389">
        <f>AN76</f>
        <v>0</v>
      </c>
      <c r="AR76" s="765" t="s">
        <v>1504</v>
      </c>
      <c r="AS76" t="s">
        <v>1348</v>
      </c>
      <c r="AT76" s="722" t="s">
        <v>1308</v>
      </c>
      <c r="AU76" s="705" t="s">
        <v>647</v>
      </c>
      <c r="AV76" s="705" t="s">
        <v>662</v>
      </c>
      <c r="AW76" s="314" t="s">
        <v>734</v>
      </c>
      <c r="AX76" s="314"/>
      <c r="AY76" s="705"/>
      <c r="AZ76" s="705"/>
      <c r="BA76" s="705" t="s">
        <v>1520</v>
      </c>
      <c r="BB76" s="705"/>
      <c r="BC76" s="705" t="str">
        <f t="shared" si="26"/>
        <v>CNK</v>
      </c>
      <c r="BD76" s="705" t="str">
        <f t="shared" si="24"/>
        <v>Commercial - Cooking - Oil LPG - Existing</v>
      </c>
      <c r="BE76" s="705" t="s">
        <v>647</v>
      </c>
      <c r="BF76" s="705"/>
      <c r="BG76" s="314" t="s">
        <v>734</v>
      </c>
    </row>
    <row r="77" spans="1:59" s="314" customFormat="1" ht="15">
      <c r="A77" s="343" t="str">
        <f>A$45&amp;" - "&amp;VLOOKUP(RIGHT(C77,3),NameConv!$E$3:$F$16,2,FALSE)&amp;" - Existing"</f>
        <v>Commercial - Cooking - Electricity - Existing</v>
      </c>
      <c r="B77" s="343" t="str">
        <f t="shared" ref="B77:B78" si="34">D77&amp;RIGHT(C77,3)&amp;"-E"</f>
        <v>CNKELC-E</v>
      </c>
      <c r="C77" s="346" t="str">
        <f t="shared" ref="C77" si="35">$E$6</f>
        <v>COMELC</v>
      </c>
      <c r="D77" s="346" t="str">
        <f t="shared" ref="D77:D78" si="36">$B$45</f>
        <v>CNK</v>
      </c>
      <c r="E77" s="347">
        <f>Appliances!G33</f>
        <v>1</v>
      </c>
      <c r="F77" s="382">
        <f>SUMIF(AFA!$B$2:$J$2,D77,AFA!$B$4:$J$4)</f>
        <v>0.68689999999999996</v>
      </c>
      <c r="G77" s="348">
        <v>15</v>
      </c>
      <c r="H77" s="349">
        <f t="shared" ref="H77:H78" si="37">(N77/F77)*(1+$H$55)</f>
        <v>0</v>
      </c>
      <c r="I77" s="488">
        <f>I76</f>
        <v>176.62153776607363</v>
      </c>
      <c r="J77" s="349">
        <f t="shared" si="25"/>
        <v>17.662153776607365</v>
      </c>
      <c r="L77" s="350">
        <v>0</v>
      </c>
      <c r="M77" s="349">
        <f t="shared" ref="M77:M78" si="38">L77*SUMIF($C$6:$J$6,C77,$C$45:$J$45)</f>
        <v>0</v>
      </c>
      <c r="N77" s="349">
        <f t="shared" ref="N77:N78" si="39">M77*E77</f>
        <v>0</v>
      </c>
      <c r="P77" s="479"/>
      <c r="Q77" s="411"/>
      <c r="R77" s="411">
        <f>' COM_2017_old'!R77</f>
        <v>0.99342318385878692</v>
      </c>
      <c r="S77" s="411">
        <f t="shared" si="32"/>
        <v>1</v>
      </c>
      <c r="T77" s="411">
        <f t="shared" si="32"/>
        <v>1</v>
      </c>
      <c r="U77" s="411">
        <f t="shared" si="32"/>
        <v>1</v>
      </c>
      <c r="V77" s="411">
        <f t="shared" si="32"/>
        <v>1</v>
      </c>
      <c r="W77" s="411">
        <f t="shared" si="32"/>
        <v>1</v>
      </c>
      <c r="X77" s="411">
        <f t="shared" si="32"/>
        <v>1</v>
      </c>
      <c r="Y77" s="411">
        <f t="shared" si="32"/>
        <v>1</v>
      </c>
      <c r="Z77"/>
      <c r="AA77" s="410"/>
      <c r="AB77" s="411"/>
      <c r="AC77" s="410">
        <f>R77/(1+$P$54+$AA$54)</f>
        <v>0.95521459986421819</v>
      </c>
      <c r="AD77" s="411">
        <f t="shared" si="33"/>
        <v>0.92655816186829165</v>
      </c>
      <c r="AE77" s="411">
        <f t="shared" si="33"/>
        <v>0.85969313987779639</v>
      </c>
      <c r="AF77" s="411">
        <f t="shared" si="33"/>
        <v>0.66865021990495266</v>
      </c>
      <c r="AG77" s="411">
        <f t="shared" si="33"/>
        <v>0.4776072999321091</v>
      </c>
      <c r="AH77" s="411">
        <f t="shared" si="33"/>
        <v>0.28656437995926543</v>
      </c>
      <c r="AI77" s="411">
        <f t="shared" si="33"/>
        <v>9.5521459986421822E-2</v>
      </c>
      <c r="AJ77" s="411">
        <f t="shared" si="33"/>
        <v>0</v>
      </c>
      <c r="AK77" s="314">
        <f t="shared" si="27"/>
        <v>17</v>
      </c>
      <c r="AN77" s="390">
        <f t="shared" si="31"/>
        <v>0</v>
      </c>
      <c r="AO77" s="390"/>
      <c r="AR77" s="765" t="s">
        <v>1504</v>
      </c>
      <c r="AS77" t="s">
        <v>1349</v>
      </c>
      <c r="AT77" s="722" t="s">
        <v>1310</v>
      </c>
      <c r="AU77" s="705" t="s">
        <v>647</v>
      </c>
      <c r="AV77" s="705" t="s">
        <v>662</v>
      </c>
      <c r="AW77" s="314" t="s">
        <v>734</v>
      </c>
      <c r="AY77" s="705"/>
      <c r="AZ77" s="705"/>
      <c r="BA77" s="705" t="s">
        <v>1520</v>
      </c>
      <c r="BB77" s="705"/>
      <c r="BC77" s="705" t="str">
        <f t="shared" si="26"/>
        <v>CNK</v>
      </c>
      <c r="BD77" s="705" t="str">
        <f t="shared" si="24"/>
        <v>Commercial - Cooking - Electricity - Existing</v>
      </c>
      <c r="BE77" s="705" t="s">
        <v>647</v>
      </c>
      <c r="BF77" s="705"/>
      <c r="BG77" s="314" t="s">
        <v>1503</v>
      </c>
    </row>
    <row r="78" spans="1:59" s="314" customFormat="1" ht="15">
      <c r="A78" s="343" t="str">
        <f>A$45&amp;" - "&amp;VLOOKUP(RIGHT(C78,3),NameConv!$E$3:$F$16,2,FALSE)&amp;" - Existing"</f>
        <v>Commercial - Cooking - Coal - Existing</v>
      </c>
      <c r="B78" s="343" t="str">
        <f t="shared" si="34"/>
        <v>CNKCOA-E</v>
      </c>
      <c r="C78" s="346" t="str">
        <f>$C$6</f>
        <v>COMCOA</v>
      </c>
      <c r="D78" s="346" t="str">
        <f t="shared" si="36"/>
        <v>CNK</v>
      </c>
      <c r="E78" s="347">
        <f>Appliances!G36</f>
        <v>0.75</v>
      </c>
      <c r="F78" s="382">
        <f>SUMIF(AFA!$B$2:$J$2,D78,AFA!$B$4:$J$4)</f>
        <v>0.68689999999999996</v>
      </c>
      <c r="G78" s="348">
        <v>15</v>
      </c>
      <c r="H78" s="349">
        <f t="shared" si="37"/>
        <v>0</v>
      </c>
      <c r="I78" s="488">
        <f>I77</f>
        <v>176.62153776607363</v>
      </c>
      <c r="J78" s="349">
        <f t="shared" si="25"/>
        <v>17.662153776607365</v>
      </c>
      <c r="L78" s="350">
        <v>0</v>
      </c>
      <c r="M78" s="349">
        <f t="shared" si="38"/>
        <v>0</v>
      </c>
      <c r="N78" s="349">
        <f t="shared" si="39"/>
        <v>0</v>
      </c>
      <c r="P78" s="479"/>
      <c r="Q78" s="411"/>
      <c r="R78" s="411">
        <f>' COM_2017_old'!R78</f>
        <v>1.7288077828194047E-3</v>
      </c>
      <c r="S78" s="411">
        <f>R78</f>
        <v>1.7288077828194047E-3</v>
      </c>
      <c r="T78" s="411">
        <f t="shared" ref="T78:Y78" si="40">S78</f>
        <v>1.7288077828194047E-3</v>
      </c>
      <c r="U78" s="411">
        <f t="shared" si="40"/>
        <v>1.7288077828194047E-3</v>
      </c>
      <c r="V78" s="411">
        <f t="shared" si="40"/>
        <v>1.7288077828194047E-3</v>
      </c>
      <c r="W78" s="411">
        <f t="shared" si="40"/>
        <v>1.7288077828194047E-3</v>
      </c>
      <c r="X78" s="411">
        <f t="shared" si="40"/>
        <v>1.7288077828194047E-3</v>
      </c>
      <c r="Y78" s="411">
        <f t="shared" si="40"/>
        <v>1.7288077828194047E-3</v>
      </c>
      <c r="Z78"/>
      <c r="AA78" s="410"/>
      <c r="AB78" s="411"/>
      <c r="AC78" s="410">
        <f>R78/(1+$P$54+$AA$54)</f>
        <v>1.6623151757878892E-3</v>
      </c>
      <c r="AD78" s="411">
        <f t="shared" si="33"/>
        <v>1.6124457205142525E-3</v>
      </c>
      <c r="AE78" s="411">
        <f t="shared" si="33"/>
        <v>1.4960836582091003E-3</v>
      </c>
      <c r="AF78" s="411">
        <f t="shared" si="33"/>
        <v>1.1636206230515222E-3</v>
      </c>
      <c r="AG78" s="411">
        <f t="shared" si="33"/>
        <v>8.3115758789394458E-4</v>
      </c>
      <c r="AH78" s="411">
        <f t="shared" si="33"/>
        <v>4.9869455273636671E-4</v>
      </c>
      <c r="AI78" s="411">
        <f t="shared" si="33"/>
        <v>1.6623151757878894E-4</v>
      </c>
      <c r="AJ78" s="411">
        <f t="shared" si="33"/>
        <v>0</v>
      </c>
      <c r="AK78" s="314">
        <f t="shared" si="27"/>
        <v>18</v>
      </c>
      <c r="AN78" s="390">
        <f t="shared" si="31"/>
        <v>0</v>
      </c>
      <c r="AO78" s="390"/>
      <c r="AR78" s="765" t="s">
        <v>1504</v>
      </c>
      <c r="AS78" t="s">
        <v>1350</v>
      </c>
      <c r="AT78" s="722" t="s">
        <v>1312</v>
      </c>
      <c r="AU78" s="705" t="s">
        <v>647</v>
      </c>
      <c r="AV78" s="705" t="s">
        <v>662</v>
      </c>
      <c r="AW78" s="314" t="s">
        <v>734</v>
      </c>
      <c r="AY78" s="705"/>
      <c r="AZ78" s="705"/>
      <c r="BA78" s="705" t="s">
        <v>1520</v>
      </c>
      <c r="BB78" s="705"/>
      <c r="BC78" s="705" t="str">
        <f t="shared" si="26"/>
        <v>CNK</v>
      </c>
      <c r="BD78" s="705" t="str">
        <f t="shared" si="24"/>
        <v>Commercial - Cooking - Coal - Existing</v>
      </c>
      <c r="BE78" s="705" t="s">
        <v>647</v>
      </c>
      <c r="BF78" s="705"/>
      <c r="BG78" s="314" t="s">
        <v>734</v>
      </c>
    </row>
    <row r="79" spans="1:59" ht="15">
      <c r="A79" s="352" t="s">
        <v>1555</v>
      </c>
      <c r="F79" s="382"/>
      <c r="I79" s="349"/>
      <c r="J79" s="349"/>
      <c r="L79" s="359"/>
      <c r="M79" s="356"/>
      <c r="N79" s="356">
        <f>SUM(N76:N78)</f>
        <v>0</v>
      </c>
      <c r="P79" s="479"/>
      <c r="AK79" s="314">
        <f t="shared" si="27"/>
        <v>19</v>
      </c>
      <c r="AN79" s="389">
        <f t="shared" si="31"/>
        <v>0</v>
      </c>
      <c r="AR79" s="765" t="s">
        <v>709</v>
      </c>
      <c r="AT79" s="705"/>
      <c r="AU79" s="705"/>
      <c r="AV79" s="705"/>
      <c r="AW79" s="314"/>
      <c r="AX79" s="314"/>
      <c r="AY79" s="705"/>
      <c r="AZ79" s="705"/>
      <c r="BA79" s="705" t="s">
        <v>709</v>
      </c>
      <c r="BB79" s="705"/>
      <c r="BC79" s="705"/>
      <c r="BD79" s="705"/>
      <c r="BE79" s="705"/>
      <c r="BF79" s="705"/>
      <c r="BG79" s="314"/>
    </row>
    <row r="80" spans="1:59" ht="15">
      <c r="A80" s="343" t="str">
        <f>"*"&amp;A46</f>
        <v>*Commercial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7"/>
        <v>20</v>
      </c>
      <c r="AL80" s="307"/>
      <c r="AM80" s="307"/>
      <c r="AN80" s="389">
        <f t="shared" si="31"/>
        <v>0</v>
      </c>
      <c r="AR80" s="765" t="s">
        <v>709</v>
      </c>
      <c r="AT80" s="722"/>
      <c r="AU80" s="705"/>
      <c r="AV80" s="705"/>
      <c r="AW80" s="314"/>
      <c r="AX80" s="314"/>
      <c r="AY80" s="705"/>
      <c r="AZ80" s="705"/>
      <c r="BA80" s="705" t="s">
        <v>709</v>
      </c>
      <c r="BB80" s="705"/>
      <c r="BC80" s="705"/>
      <c r="BD80" s="705"/>
      <c r="BE80" s="705"/>
      <c r="BF80" s="705"/>
      <c r="BG80" s="314"/>
    </row>
    <row r="81" spans="1:59" ht="15">
      <c r="A81" s="343" t="str">
        <f>A$46&amp;" - "&amp;VLOOKUP(RIGHT(C81,3),NameConv!$E$3:$F$16,2,FALSE)&amp;" - CFL - Existing"</f>
        <v>Commercial - Lighting - Electricity - CFL - Existing</v>
      </c>
      <c r="B81" s="343" t="str">
        <f>D81&amp;RIGHT(C81,3)&amp;"CFL-E"</f>
        <v>CNLELCCFL-E</v>
      </c>
      <c r="C81" s="346" t="str">
        <f t="shared" ref="C81:C86" si="41">$E$6</f>
        <v>COMELC</v>
      </c>
      <c r="D81" s="346" t="str">
        <f t="shared" ref="D81:D86" si="42">$B$46</f>
        <v>CNL</v>
      </c>
      <c r="E81" s="347">
        <f>Appliances!G68</f>
        <v>4</v>
      </c>
      <c r="F81" s="382">
        <f>SUMIF(AFA!$B$2:$J$2,D81,AFA!$B$4:$J$4)</f>
        <v>0.55200000000000005</v>
      </c>
      <c r="G81" s="348">
        <v>5</v>
      </c>
      <c r="H81" s="349">
        <f>(N81/F81)*(1+$H$55)</f>
        <v>0</v>
      </c>
      <c r="I81" s="784">
        <f>2.52021843691898*Deflator!AD7</f>
        <v>3.5422848059078738</v>
      </c>
      <c r="J81" s="349">
        <f t="shared" si="25"/>
        <v>0.35422848059078738</v>
      </c>
      <c r="K81" s="479"/>
      <c r="L81" s="350">
        <v>0</v>
      </c>
      <c r="M81" s="349">
        <f>L81*SUMIF($C$6:$J$6,C81,$C$46:$J$46)</f>
        <v>0</v>
      </c>
      <c r="N81" s="349">
        <f>M81*E81</f>
        <v>0</v>
      </c>
      <c r="P81" s="479"/>
      <c r="Q81" s="411"/>
      <c r="R81" s="411">
        <f>' COM_2017_old'!R81</f>
        <v>5.3274725274725265E-2</v>
      </c>
      <c r="S81" s="411">
        <f t="shared" ref="S81:Y84" si="43">MIN(1,$R81+S$52)</f>
        <v>8.3274725274725264E-2</v>
      </c>
      <c r="T81" s="411">
        <f t="shared" si="43"/>
        <v>0.15327472527472527</v>
      </c>
      <c r="U81" s="411">
        <f t="shared" si="43"/>
        <v>0.35327472527472525</v>
      </c>
      <c r="V81" s="411">
        <f t="shared" si="43"/>
        <v>0.55327472527472521</v>
      </c>
      <c r="W81" s="411">
        <f t="shared" si="43"/>
        <v>0.75327472527472517</v>
      </c>
      <c r="X81" s="411">
        <f t="shared" si="43"/>
        <v>0.95327472527472534</v>
      </c>
      <c r="Y81" s="411">
        <f t="shared" si="43"/>
        <v>1</v>
      </c>
      <c r="AA81" s="410"/>
      <c r="AB81" s="411"/>
      <c r="AC81" s="410">
        <f t="shared" ref="AC81:AC86" si="44">R81/(1+$P$54+$AA$54)</f>
        <v>5.1225697379543522E-2</v>
      </c>
      <c r="AD81" s="411">
        <f t="shared" ref="AD81:AJ84" si="45">$AC81*AD$52</f>
        <v>4.9688926458157215E-2</v>
      </c>
      <c r="AE81" s="411">
        <f t="shared" si="45"/>
        <v>4.6103127641589171E-2</v>
      </c>
      <c r="AF81" s="411">
        <f t="shared" si="45"/>
        <v>3.5857988165680463E-2</v>
      </c>
      <c r="AG81" s="411">
        <f t="shared" si="45"/>
        <v>2.5612848689771761E-2</v>
      </c>
      <c r="AH81" s="411">
        <f t="shared" si="45"/>
        <v>1.5367709213863056E-2</v>
      </c>
      <c r="AI81" s="411">
        <f t="shared" si="45"/>
        <v>5.1225697379543526E-3</v>
      </c>
      <c r="AJ81" s="411">
        <f t="shared" si="45"/>
        <v>0</v>
      </c>
      <c r="AK81" s="314">
        <f t="shared" si="27"/>
        <v>21</v>
      </c>
      <c r="AN81" s="389">
        <f t="shared" si="31"/>
        <v>0</v>
      </c>
      <c r="AR81" s="765" t="s">
        <v>1504</v>
      </c>
      <c r="AS81" t="s">
        <v>1409</v>
      </c>
      <c r="AT81" s="722" t="s">
        <v>1374</v>
      </c>
      <c r="AU81" s="705" t="s">
        <v>647</v>
      </c>
      <c r="AV81" s="705" t="s">
        <v>662</v>
      </c>
      <c r="AW81" s="314" t="s">
        <v>734</v>
      </c>
      <c r="AX81" s="314"/>
      <c r="AY81" s="705"/>
      <c r="AZ81" s="705"/>
      <c r="BA81" s="705" t="s">
        <v>1520</v>
      </c>
      <c r="BB81" s="705"/>
      <c r="BC81" s="705" t="str">
        <f t="shared" si="26"/>
        <v>CNL</v>
      </c>
      <c r="BD81" s="705" t="str">
        <f t="shared" si="24"/>
        <v>Commercial - Lighting - Electricity - CFL - Existing</v>
      </c>
      <c r="BE81" s="705" t="s">
        <v>647</v>
      </c>
      <c r="BF81" s="705"/>
      <c r="BG81" s="314" t="s">
        <v>1503</v>
      </c>
    </row>
    <row r="82" spans="1:59" ht="15">
      <c r="A82" s="343" t="str">
        <f>A$46&amp;" - "&amp;VLOOKUP(RIGHT(C82,3),NameConv!$E$3:$F$16,2,FALSE)&amp;" - FLU - Existing"</f>
        <v>Commercial - Lighting - Electricity - FLU - Existing</v>
      </c>
      <c r="B82" s="343" t="str">
        <f>D82&amp;RIGHT(C82,3)&amp;"FLU-E"</f>
        <v>CNLELCFLU-E</v>
      </c>
      <c r="C82" s="346" t="str">
        <f t="shared" si="41"/>
        <v>COMELC</v>
      </c>
      <c r="D82" s="346" t="str">
        <f t="shared" si="42"/>
        <v>CNL</v>
      </c>
      <c r="E82" s="347">
        <f>Appliances!G69</f>
        <v>4.5</v>
      </c>
      <c r="F82" s="382">
        <f>SUMIF(AFA!$B$2:$J$2,D82,AFA!$B$4:$J$4)</f>
        <v>0.55200000000000005</v>
      </c>
      <c r="G82" s="405">
        <v>5</v>
      </c>
      <c r="H82" s="349">
        <f>(N82/F82)*(1+$H$55)</f>
        <v>0</v>
      </c>
      <c r="I82" s="569">
        <f>('Technology costs'!I15/'Technology costs'!I14)*I81</f>
        <v>2.9545163093523632</v>
      </c>
      <c r="J82" s="349">
        <f t="shared" si="25"/>
        <v>0.29545163093523635</v>
      </c>
      <c r="K82" s="479"/>
      <c r="L82" s="350">
        <v>0</v>
      </c>
      <c r="M82" s="349">
        <f>L82*SUMIF($C$6:$J$6,C82,$C$46:$J$46)</f>
        <v>0</v>
      </c>
      <c r="N82" s="349">
        <f t="shared" ref="N82:N86" si="46">M82*E82</f>
        <v>0</v>
      </c>
      <c r="P82" s="479"/>
      <c r="Q82" s="411"/>
      <c r="R82" s="411">
        <f>COM_2012!P82</f>
        <v>0.70615384615384602</v>
      </c>
      <c r="S82" s="411">
        <f t="shared" si="43"/>
        <v>0.73615384615384605</v>
      </c>
      <c r="T82" s="411">
        <f t="shared" si="43"/>
        <v>0.806153846153846</v>
      </c>
      <c r="U82" s="411">
        <f t="shared" si="43"/>
        <v>1</v>
      </c>
      <c r="V82" s="411">
        <f t="shared" si="43"/>
        <v>1</v>
      </c>
      <c r="W82" s="411">
        <f t="shared" si="43"/>
        <v>1</v>
      </c>
      <c r="X82" s="411">
        <f t="shared" si="43"/>
        <v>1</v>
      </c>
      <c r="Y82" s="411">
        <f t="shared" si="43"/>
        <v>1</v>
      </c>
      <c r="AA82" s="410"/>
      <c r="AB82" s="411"/>
      <c r="AC82" s="410">
        <f t="shared" si="44"/>
        <v>0.67899408284023655</v>
      </c>
      <c r="AD82" s="411">
        <f t="shared" si="45"/>
        <v>0.65862426035502941</v>
      </c>
      <c r="AE82" s="411">
        <f t="shared" si="45"/>
        <v>0.61109467455621291</v>
      </c>
      <c r="AF82" s="411">
        <f t="shared" si="45"/>
        <v>0.47529585798816554</v>
      </c>
      <c r="AG82" s="411">
        <f t="shared" si="45"/>
        <v>0.33949704142011827</v>
      </c>
      <c r="AH82" s="411">
        <f t="shared" si="45"/>
        <v>0.20369822485207095</v>
      </c>
      <c r="AI82" s="411">
        <f t="shared" si="45"/>
        <v>6.789940828402366E-2</v>
      </c>
      <c r="AJ82" s="411">
        <f t="shared" si="45"/>
        <v>0</v>
      </c>
      <c r="AK82" s="314">
        <f t="shared" si="27"/>
        <v>22</v>
      </c>
      <c r="AN82" s="389">
        <f t="shared" si="31"/>
        <v>0</v>
      </c>
      <c r="AR82" s="765" t="s">
        <v>1504</v>
      </c>
      <c r="AS82" t="s">
        <v>1410</v>
      </c>
      <c r="AT82" s="722" t="s">
        <v>1376</v>
      </c>
      <c r="AU82" s="705" t="s">
        <v>647</v>
      </c>
      <c r="AV82" s="705" t="s">
        <v>662</v>
      </c>
      <c r="AW82" s="314" t="s">
        <v>734</v>
      </c>
      <c r="AX82" s="314"/>
      <c r="AY82" s="705"/>
      <c r="AZ82" s="705"/>
      <c r="BA82" s="705" t="s">
        <v>1520</v>
      </c>
      <c r="BB82" s="705"/>
      <c r="BC82" s="705" t="str">
        <f t="shared" si="26"/>
        <v>CNL</v>
      </c>
      <c r="BD82" s="705" t="str">
        <f t="shared" si="24"/>
        <v>Commercial - Lighting - Electricity - FLU - Existing</v>
      </c>
      <c r="BE82" s="705" t="s">
        <v>647</v>
      </c>
      <c r="BF82" s="705"/>
      <c r="BG82" s="314" t="s">
        <v>1503</v>
      </c>
    </row>
    <row r="83" spans="1:59" ht="15">
      <c r="A83" s="343" t="str">
        <f>A$46&amp;" - "&amp;VLOOKUP(RIGHT(C83,3),NameConv!$E$3:$F$16,2,FALSE)&amp;" - HAL - Existing"</f>
        <v>Commercial - Lighting - Electricity - HAL - Existing</v>
      </c>
      <c r="B83" s="343" t="str">
        <f>D83&amp;RIGHT(C83,3)&amp;"HAL-E"</f>
        <v>CNLELCHAL-E</v>
      </c>
      <c r="C83" s="346" t="str">
        <f t="shared" si="41"/>
        <v>COMELC</v>
      </c>
      <c r="D83" s="346" t="str">
        <f t="shared" si="42"/>
        <v>CNL</v>
      </c>
      <c r="E83" s="347">
        <f>Appliances!G70</f>
        <v>2</v>
      </c>
      <c r="F83" s="382">
        <f>SUMIF(AFA!$B$2:$J$2,D83,AFA!$B$4:$J$4)</f>
        <v>0.55200000000000005</v>
      </c>
      <c r="G83" s="405">
        <v>5</v>
      </c>
      <c r="H83" s="349">
        <f>(N83/F83)*(1+$H$55)</f>
        <v>0</v>
      </c>
      <c r="I83" s="569">
        <f>('Technology costs'!I16/'Technology costs'!I14)*COM_2012!I81</f>
        <v>0.75829581287827852</v>
      </c>
      <c r="J83" s="349">
        <f t="shared" si="25"/>
        <v>7.5829581287827852E-2</v>
      </c>
      <c r="K83" s="479"/>
      <c r="L83" s="350">
        <v>0</v>
      </c>
      <c r="M83" s="349">
        <f t="shared" ref="M83:M86" si="47">L83*SUMIF($C$6:$J$6,C83,$C$46:$J$46)</f>
        <v>0</v>
      </c>
      <c r="N83" s="349">
        <f t="shared" si="46"/>
        <v>0</v>
      </c>
      <c r="P83" s="479"/>
      <c r="Q83" s="411"/>
      <c r="R83" s="411">
        <f>COM_2012!P83</f>
        <v>8.9670329670329656E-3</v>
      </c>
      <c r="S83" s="411">
        <f t="shared" si="43"/>
        <v>3.8967032967032966E-2</v>
      </c>
      <c r="T83" s="411">
        <f t="shared" si="43"/>
        <v>0.10896703296703297</v>
      </c>
      <c r="U83" s="411">
        <f t="shared" si="43"/>
        <v>0.30896703296703293</v>
      </c>
      <c r="V83" s="411">
        <f t="shared" si="43"/>
        <v>0.50896703296703294</v>
      </c>
      <c r="W83" s="411">
        <f t="shared" si="43"/>
        <v>0.7089670329670329</v>
      </c>
      <c r="X83" s="411">
        <f t="shared" si="43"/>
        <v>0.90896703296703296</v>
      </c>
      <c r="Y83" s="411">
        <f t="shared" si="43"/>
        <v>1</v>
      </c>
      <c r="AA83" s="410"/>
      <c r="AB83" s="411"/>
      <c r="AC83" s="410">
        <f t="shared" si="44"/>
        <v>8.622147083685543E-3</v>
      </c>
      <c r="AD83" s="411">
        <f t="shared" si="45"/>
        <v>8.3634826711749769E-3</v>
      </c>
      <c r="AE83" s="411">
        <f t="shared" si="45"/>
        <v>7.7599323753169891E-3</v>
      </c>
      <c r="AF83" s="411">
        <f t="shared" si="45"/>
        <v>6.0355029585798794E-3</v>
      </c>
      <c r="AG83" s="411">
        <f t="shared" si="45"/>
        <v>4.3110735418427715E-3</v>
      </c>
      <c r="AH83" s="411">
        <f t="shared" si="45"/>
        <v>2.5866441251056627E-3</v>
      </c>
      <c r="AI83" s="411">
        <f t="shared" si="45"/>
        <v>8.6221470836855439E-4</v>
      </c>
      <c r="AJ83" s="411">
        <f t="shared" si="45"/>
        <v>0</v>
      </c>
      <c r="AK83" s="314">
        <f t="shared" si="27"/>
        <v>23</v>
      </c>
      <c r="AN83" s="389">
        <f t="shared" si="31"/>
        <v>0</v>
      </c>
      <c r="AR83" s="765" t="s">
        <v>1504</v>
      </c>
      <c r="AS83" t="s">
        <v>1411</v>
      </c>
      <c r="AT83" s="722" t="s">
        <v>1378</v>
      </c>
      <c r="AU83" s="705" t="s">
        <v>647</v>
      </c>
      <c r="AV83" s="705" t="s">
        <v>662</v>
      </c>
      <c r="AW83" s="314" t="s">
        <v>734</v>
      </c>
      <c r="AX83" s="314"/>
      <c r="AY83" s="705"/>
      <c r="AZ83" s="705"/>
      <c r="BA83" s="705" t="s">
        <v>1520</v>
      </c>
      <c r="BB83" s="705"/>
      <c r="BC83" s="705" t="str">
        <f t="shared" si="26"/>
        <v>CNL</v>
      </c>
      <c r="BD83" s="705" t="str">
        <f t="shared" si="24"/>
        <v>Commercial - Lighting - Electricity - HAL - Existing</v>
      </c>
      <c r="BE83" s="705" t="s">
        <v>647</v>
      </c>
      <c r="BF83" s="705"/>
      <c r="BG83" s="314" t="s">
        <v>1503</v>
      </c>
    </row>
    <row r="84" spans="1:59" ht="15">
      <c r="A84" s="343" t="str">
        <f>A$46&amp;" - "&amp;VLOOKUP(RIGHT(C84,3),NameConv!$E$3:$F$16,2,FALSE)&amp;" - HID - Existing"</f>
        <v>Commercial - Lighting - Electricity - HID - Existing</v>
      </c>
      <c r="B84" s="343" t="str">
        <f>D84&amp;RIGHT(C84,3)&amp;"HID-E"</f>
        <v>CNLELCHID-E</v>
      </c>
      <c r="C84" s="346" t="str">
        <f t="shared" si="41"/>
        <v>COMELC</v>
      </c>
      <c r="D84" s="346" t="str">
        <f t="shared" si="42"/>
        <v>CNL</v>
      </c>
      <c r="E84" s="347">
        <f>Appliances!G71</f>
        <v>7</v>
      </c>
      <c r="F84" s="382">
        <f>SUMIF(AFA!$B$2:$J$2,D84,AFA!$B$4:$J$4)</f>
        <v>0.55200000000000005</v>
      </c>
      <c r="G84" s="405">
        <v>5</v>
      </c>
      <c r="H84" s="349">
        <f>(N84/F84)*(1+$H$55)</f>
        <v>0</v>
      </c>
      <c r="I84" s="569">
        <f>('Technology costs'!I17/'Technology costs'!I14)*COM_2012!I81</f>
        <v>0.30666374785518619</v>
      </c>
      <c r="J84" s="349">
        <f t="shared" si="25"/>
        <v>3.0666374785518619E-2</v>
      </c>
      <c r="K84" s="479"/>
      <c r="L84" s="350">
        <v>0</v>
      </c>
      <c r="M84" s="349">
        <f t="shared" si="47"/>
        <v>0</v>
      </c>
      <c r="N84" s="349">
        <f t="shared" si="46"/>
        <v>0</v>
      </c>
      <c r="P84" s="479"/>
      <c r="Q84" s="411"/>
      <c r="R84" s="411">
        <f>COM_2012!P84</f>
        <v>0.23538461538461539</v>
      </c>
      <c r="S84" s="411">
        <f t="shared" si="43"/>
        <v>0.26538461538461539</v>
      </c>
      <c r="T84" s="411">
        <f t="shared" si="43"/>
        <v>0.33538461538461539</v>
      </c>
      <c r="U84" s="411">
        <f t="shared" si="43"/>
        <v>0.53538461538461535</v>
      </c>
      <c r="V84" s="411">
        <f t="shared" si="43"/>
        <v>0.73538461538461541</v>
      </c>
      <c r="W84" s="411">
        <f t="shared" si="43"/>
        <v>0.93538461538461537</v>
      </c>
      <c r="X84" s="411">
        <f t="shared" si="43"/>
        <v>1</v>
      </c>
      <c r="Y84" s="411">
        <f t="shared" si="43"/>
        <v>1</v>
      </c>
      <c r="AA84" s="410"/>
      <c r="AB84" s="411"/>
      <c r="AC84" s="410">
        <f t="shared" si="44"/>
        <v>0.22633136094674555</v>
      </c>
      <c r="AD84" s="411">
        <f t="shared" si="45"/>
        <v>0.21954142011834318</v>
      </c>
      <c r="AE84" s="411">
        <f t="shared" si="45"/>
        <v>0.20369822485207101</v>
      </c>
      <c r="AF84" s="411">
        <f t="shared" si="45"/>
        <v>0.15843195266272186</v>
      </c>
      <c r="AG84" s="411">
        <f t="shared" si="45"/>
        <v>0.11316568047337278</v>
      </c>
      <c r="AH84" s="411">
        <f t="shared" si="45"/>
        <v>6.789940828402366E-2</v>
      </c>
      <c r="AI84" s="411">
        <f t="shared" si="45"/>
        <v>2.2633136094674558E-2</v>
      </c>
      <c r="AJ84" s="411">
        <f t="shared" si="45"/>
        <v>0</v>
      </c>
      <c r="AK84" s="314">
        <f t="shared" si="27"/>
        <v>24</v>
      </c>
      <c r="AN84" s="389">
        <f t="shared" si="31"/>
        <v>0</v>
      </c>
      <c r="AR84" s="765" t="s">
        <v>1504</v>
      </c>
      <c r="AS84" t="s">
        <v>1412</v>
      </c>
      <c r="AT84" s="722" t="s">
        <v>1380</v>
      </c>
      <c r="AU84" s="705" t="s">
        <v>647</v>
      </c>
      <c r="AV84" s="705" t="s">
        <v>662</v>
      </c>
      <c r="AW84" s="314" t="s">
        <v>734</v>
      </c>
      <c r="AX84" s="314"/>
      <c r="AY84" s="705"/>
      <c r="AZ84" s="705"/>
      <c r="BA84" s="705" t="s">
        <v>1520</v>
      </c>
      <c r="BB84" s="705"/>
      <c r="BC84" s="705" t="str">
        <f t="shared" si="26"/>
        <v>CNL</v>
      </c>
      <c r="BD84" s="705" t="str">
        <f t="shared" si="24"/>
        <v>Commercial - Lighting - Electricity - HID - Existing</v>
      </c>
      <c r="BE84" s="705" t="s">
        <v>647</v>
      </c>
      <c r="BF84" s="705"/>
      <c r="BG84" s="314" t="s">
        <v>1503</v>
      </c>
    </row>
    <row r="85" spans="1:59" ht="15">
      <c r="A85" s="343" t="str">
        <f>A$46&amp;" - "&amp;VLOOKUP(RIGHT(C85,3),NameConv!$E$3:$F$16,2,FALSE)&amp;" - INC - Existing"</f>
        <v>Commercial - Lighting - Electricity - INC - Existing</v>
      </c>
      <c r="B85" s="343" t="str">
        <f>D85&amp;RIGHT(C85,3)&amp;"INC-E"</f>
        <v>CNLELCINC-E</v>
      </c>
      <c r="C85" s="346" t="str">
        <f t="shared" si="41"/>
        <v>COMELC</v>
      </c>
      <c r="D85" s="346" t="str">
        <f t="shared" si="42"/>
        <v>CNL</v>
      </c>
      <c r="E85" s="347">
        <f>Appliances!G72</f>
        <v>1</v>
      </c>
      <c r="F85" s="382">
        <f>SUMIF(AFA!$B$2:$J$2,D85,AFA!$B$4:$J$4)</f>
        <v>0.55200000000000005</v>
      </c>
      <c r="G85" s="348">
        <v>2</v>
      </c>
      <c r="H85" s="349">
        <f>(N85/F85)*(1+$H$55)</f>
        <v>0</v>
      </c>
      <c r="I85" s="784">
        <f>0.267295894824741*Deflator!AD7</f>
        <v>0.37569687335386637</v>
      </c>
      <c r="J85" s="349">
        <f t="shared" si="25"/>
        <v>3.756968733538664E-2</v>
      </c>
      <c r="K85" s="479"/>
      <c r="L85" s="350">
        <v>0</v>
      </c>
      <c r="M85" s="349">
        <f t="shared" si="47"/>
        <v>0</v>
      </c>
      <c r="N85" s="349">
        <f t="shared" si="46"/>
        <v>0</v>
      </c>
      <c r="P85" s="479"/>
      <c r="Q85" s="411"/>
      <c r="R85" s="411">
        <f>COM_2012!P85</f>
        <v>1.5692307692307693E-2</v>
      </c>
      <c r="S85" s="411">
        <f>R85</f>
        <v>1.5692307692307693E-2</v>
      </c>
      <c r="T85" s="411">
        <v>0.01</v>
      </c>
      <c r="U85" s="411">
        <f t="shared" ref="U85:Y85" si="48">T85</f>
        <v>0.01</v>
      </c>
      <c r="V85" s="411">
        <f t="shared" si="48"/>
        <v>0.01</v>
      </c>
      <c r="W85" s="411">
        <f t="shared" si="48"/>
        <v>0.01</v>
      </c>
      <c r="X85" s="411">
        <f t="shared" si="48"/>
        <v>0.01</v>
      </c>
      <c r="Y85" s="411">
        <f t="shared" si="48"/>
        <v>0.01</v>
      </c>
      <c r="AA85" s="410"/>
      <c r="AB85" s="411"/>
      <c r="AC85" s="410">
        <f t="shared" si="44"/>
        <v>1.5088757396449704E-2</v>
      </c>
      <c r="AD85" s="411">
        <f>$AC85*AD$52</f>
        <v>1.4636094674556214E-2</v>
      </c>
      <c r="AE85" s="411">
        <v>0</v>
      </c>
      <c r="AF85" s="411">
        <f>AE85</f>
        <v>0</v>
      </c>
      <c r="AG85" s="411">
        <f t="shared" ref="AG85:AJ85" si="49">AF85</f>
        <v>0</v>
      </c>
      <c r="AH85" s="411">
        <f t="shared" si="49"/>
        <v>0</v>
      </c>
      <c r="AI85" s="411">
        <f t="shared" si="49"/>
        <v>0</v>
      </c>
      <c r="AJ85" s="411">
        <f t="shared" si="49"/>
        <v>0</v>
      </c>
      <c r="AK85" s="314">
        <f t="shared" si="27"/>
        <v>25</v>
      </c>
      <c r="AN85" s="389">
        <f t="shared" si="31"/>
        <v>0</v>
      </c>
      <c r="AR85" s="765" t="s">
        <v>1504</v>
      </c>
      <c r="AS85" t="s">
        <v>1413</v>
      </c>
      <c r="AT85" s="722" t="s">
        <v>1382</v>
      </c>
      <c r="AU85" s="705" t="s">
        <v>647</v>
      </c>
      <c r="AV85" s="705" t="s">
        <v>662</v>
      </c>
      <c r="AW85" s="314" t="s">
        <v>734</v>
      </c>
      <c r="AX85" s="314"/>
      <c r="AY85" s="705"/>
      <c r="AZ85" s="705"/>
      <c r="BA85" s="705" t="s">
        <v>1520</v>
      </c>
      <c r="BB85" s="705"/>
      <c r="BC85" s="705" t="str">
        <f t="shared" si="26"/>
        <v>CNL</v>
      </c>
      <c r="BD85" s="705" t="str">
        <f t="shared" si="24"/>
        <v>Commercial - Lighting - Electricity - INC - Existing</v>
      </c>
      <c r="BE85" s="705" t="s">
        <v>647</v>
      </c>
      <c r="BF85" s="705"/>
      <c r="BG85" s="314" t="s">
        <v>1503</v>
      </c>
    </row>
    <row r="86" spans="1:59" ht="15">
      <c r="A86" s="343" t="str">
        <f>A$46&amp;" - "&amp;VLOOKUP(RIGHT(C86,3),NameConv!$E$3:$F$16,2,FALSE)&amp;" - LED - New"</f>
        <v>Commercial - Lighting - Electricity - LED - New</v>
      </c>
      <c r="B86" s="343" t="str">
        <f>D86&amp;RIGHT(C86,3)&amp;"LED-N"</f>
        <v>CNLELCLED-N</v>
      </c>
      <c r="C86" s="346" t="str">
        <f t="shared" si="41"/>
        <v>COMELC</v>
      </c>
      <c r="D86" s="346" t="str">
        <f t="shared" si="42"/>
        <v>CNL</v>
      </c>
      <c r="E86" s="347">
        <v>9.8000000000000007</v>
      </c>
      <c r="F86" s="382">
        <f>SUMIF(AFA!$B$2:$J$2,D86,AFA!$B$4:$J$4)</f>
        <v>0.55200000000000005</v>
      </c>
      <c r="G86" s="348">
        <v>10</v>
      </c>
      <c r="H86" s="349">
        <v>0</v>
      </c>
      <c r="I86" s="784">
        <f>4.92588149034165*Deflator!AD7</f>
        <v>6.9235566660926731</v>
      </c>
      <c r="J86" s="349">
        <f t="shared" si="25"/>
        <v>0.6923556666092674</v>
      </c>
      <c r="K86" s="479"/>
      <c r="L86" s="350">
        <v>0</v>
      </c>
      <c r="M86" s="349">
        <f t="shared" si="47"/>
        <v>0</v>
      </c>
      <c r="N86" s="349">
        <f t="shared" si="46"/>
        <v>0</v>
      </c>
      <c r="P86" s="479"/>
      <c r="Q86" s="411"/>
      <c r="R86" s="411">
        <f>COM_2012!P86</f>
        <v>0</v>
      </c>
      <c r="S86" s="411">
        <f t="shared" ref="S86:Y86" si="50">MIN(1,$R86+S$52)</f>
        <v>0.03</v>
      </c>
      <c r="T86" s="411">
        <f t="shared" si="50"/>
        <v>0.1</v>
      </c>
      <c r="U86" s="411">
        <f t="shared" si="50"/>
        <v>0.3</v>
      </c>
      <c r="V86" s="411">
        <f t="shared" si="50"/>
        <v>0.5</v>
      </c>
      <c r="W86" s="411">
        <f t="shared" si="50"/>
        <v>0.7</v>
      </c>
      <c r="X86" s="411">
        <f t="shared" si="50"/>
        <v>0.9</v>
      </c>
      <c r="Y86" s="411">
        <f t="shared" si="50"/>
        <v>1</v>
      </c>
      <c r="AA86" s="410"/>
      <c r="AB86" s="411"/>
      <c r="AC86" s="410">
        <f t="shared" si="44"/>
        <v>0</v>
      </c>
      <c r="AD86" s="411">
        <f>$AC86*AD$52</f>
        <v>0</v>
      </c>
      <c r="AE86" s="411">
        <f t="shared" ref="AE86:AJ86" si="51">$AC86*AE$52</f>
        <v>0</v>
      </c>
      <c r="AF86" s="411">
        <f t="shared" si="51"/>
        <v>0</v>
      </c>
      <c r="AG86" s="411">
        <f t="shared" si="51"/>
        <v>0</v>
      </c>
      <c r="AH86" s="411">
        <f t="shared" si="51"/>
        <v>0</v>
      </c>
      <c r="AI86" s="411">
        <f t="shared" si="51"/>
        <v>0</v>
      </c>
      <c r="AJ86" s="411">
        <f t="shared" si="51"/>
        <v>0</v>
      </c>
      <c r="AK86" s="314">
        <f t="shared" si="27"/>
        <v>26</v>
      </c>
      <c r="AN86" s="389">
        <f t="shared" si="31"/>
        <v>0</v>
      </c>
      <c r="AR86" s="765" t="s">
        <v>1504</v>
      </c>
      <c r="AS86" t="s">
        <v>1414</v>
      </c>
      <c r="AT86" s="722" t="s">
        <v>1384</v>
      </c>
      <c r="AU86" s="705" t="s">
        <v>647</v>
      </c>
      <c r="AV86" s="705" t="s">
        <v>662</v>
      </c>
      <c r="AW86" s="314" t="s">
        <v>734</v>
      </c>
      <c r="AX86" s="314"/>
      <c r="AY86" s="705"/>
      <c r="AZ86" s="705"/>
      <c r="BA86" s="705" t="s">
        <v>1520</v>
      </c>
      <c r="BB86" s="705"/>
      <c r="BC86" s="705" t="str">
        <f t="shared" si="26"/>
        <v>CNL</v>
      </c>
      <c r="BD86" s="705" t="str">
        <f t="shared" si="24"/>
        <v>Commercial - Lighting - Electricity - LED - New</v>
      </c>
      <c r="BE86" s="705" t="s">
        <v>647</v>
      </c>
      <c r="BF86" s="705"/>
      <c r="BG86" s="314" t="s">
        <v>1503</v>
      </c>
    </row>
    <row r="87" spans="1:59" ht="15">
      <c r="A87" s="352" t="s">
        <v>1555</v>
      </c>
      <c r="F87" s="382"/>
      <c r="H87" s="349"/>
      <c r="I87" s="349"/>
      <c r="J87" s="349"/>
      <c r="K87" s="479"/>
      <c r="L87" s="359">
        <f>SUM(L81:L85)</f>
        <v>0</v>
      </c>
      <c r="M87" s="356">
        <f>SUM(M81:M85)</f>
        <v>0</v>
      </c>
      <c r="N87" s="356">
        <f>SUM(N81:N85)</f>
        <v>0</v>
      </c>
      <c r="P87" s="479"/>
      <c r="R87" s="359"/>
      <c r="S87" s="359"/>
      <c r="T87" s="359"/>
      <c r="AK87" s="314">
        <f t="shared" si="27"/>
        <v>27</v>
      </c>
      <c r="AN87" s="389">
        <f t="shared" si="31"/>
        <v>0</v>
      </c>
      <c r="AO87" s="389">
        <f>SUM(AN81:AN86)</f>
        <v>0</v>
      </c>
      <c r="AR87" s="765" t="s">
        <v>709</v>
      </c>
      <c r="AT87" s="705"/>
      <c r="AU87" s="705"/>
      <c r="AV87" s="705"/>
      <c r="AW87" s="314"/>
      <c r="AX87" s="314"/>
      <c r="AY87" s="705"/>
      <c r="AZ87" s="705"/>
      <c r="BA87" s="705" t="s">
        <v>709</v>
      </c>
      <c r="BB87" s="705"/>
      <c r="BC87" s="705"/>
      <c r="BD87" s="705"/>
      <c r="BE87" s="705"/>
      <c r="BF87" s="705"/>
      <c r="BG87" s="314"/>
    </row>
    <row r="88" spans="1:59" ht="15">
      <c r="A88" s="343" t="str">
        <f>"*"&amp;A47</f>
        <v>*Commercial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7"/>
        <v>28</v>
      </c>
      <c r="AL88" s="307"/>
      <c r="AM88" s="307"/>
      <c r="AN88" s="389">
        <f t="shared" si="31"/>
        <v>0</v>
      </c>
      <c r="AR88" s="765" t="s">
        <v>709</v>
      </c>
      <c r="AT88" s="722"/>
      <c r="AU88" s="705"/>
      <c r="AV88" s="705"/>
      <c r="AW88" s="314"/>
      <c r="AX88" s="314"/>
      <c r="AY88" s="705"/>
      <c r="AZ88" s="705"/>
      <c r="BA88" s="705" t="s">
        <v>709</v>
      </c>
      <c r="BB88" s="705"/>
      <c r="BC88" s="705"/>
      <c r="BD88" s="705"/>
      <c r="BE88" s="705"/>
      <c r="BF88" s="705"/>
      <c r="BG88" s="314"/>
    </row>
    <row r="89" spans="1:59"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SUMIF('Technology costs'!$B$7:$B$28,COM_2012!B89,'Technology costs'!$L$7:$L$28)</f>
        <v>1734.2705050470356</v>
      </c>
      <c r="J89" s="349">
        <f t="shared" si="25"/>
        <v>173.42705050470357</v>
      </c>
      <c r="L89" s="350">
        <v>0</v>
      </c>
      <c r="M89" s="349">
        <f>L89*SUMIF($C$6:$J$6,C89,$C$47:$J$47)</f>
        <v>0</v>
      </c>
      <c r="N89" s="349">
        <f>M89*E89</f>
        <v>0</v>
      </c>
      <c r="P89" s="479"/>
      <c r="Q89" s="411"/>
      <c r="R89" s="411">
        <f>' COM_2017_old'!R89</f>
        <v>1</v>
      </c>
      <c r="S89" s="411">
        <f t="shared" ref="S89:Y90" si="52">MIN(1,$R89+S$52)</f>
        <v>1</v>
      </c>
      <c r="T89" s="411">
        <f t="shared" si="52"/>
        <v>1</v>
      </c>
      <c r="U89" s="411">
        <f t="shared" si="52"/>
        <v>1</v>
      </c>
      <c r="V89" s="411">
        <f t="shared" si="52"/>
        <v>1</v>
      </c>
      <c r="W89" s="411">
        <f t="shared" si="52"/>
        <v>1</v>
      </c>
      <c r="X89" s="411">
        <f t="shared" si="52"/>
        <v>1</v>
      </c>
      <c r="Y89" s="411">
        <f t="shared" si="52"/>
        <v>1</v>
      </c>
      <c r="AA89" s="410"/>
      <c r="AB89" s="411"/>
      <c r="AC89" s="410">
        <f>R89/(1+$P$54+$AA$54)</f>
        <v>0.96153846153846145</v>
      </c>
      <c r="AD89" s="411">
        <f t="shared" ref="AD89:AJ90" si="53">$AC89*AD$52</f>
        <v>0.9326923076923076</v>
      </c>
      <c r="AE89" s="411">
        <f t="shared" si="53"/>
        <v>0.86538461538461531</v>
      </c>
      <c r="AF89" s="411">
        <f t="shared" si="53"/>
        <v>0.67307692307692302</v>
      </c>
      <c r="AG89" s="411">
        <f t="shared" si="53"/>
        <v>0.48076923076923073</v>
      </c>
      <c r="AH89" s="411">
        <f t="shared" si="53"/>
        <v>0.28846153846153844</v>
      </c>
      <c r="AI89" s="411">
        <f t="shared" si="53"/>
        <v>9.6153846153846145E-2</v>
      </c>
      <c r="AJ89" s="411">
        <f t="shared" si="53"/>
        <v>0</v>
      </c>
      <c r="AK89" s="314">
        <f t="shared" si="27"/>
        <v>29</v>
      </c>
      <c r="AN89" s="389">
        <f t="shared" si="31"/>
        <v>0</v>
      </c>
      <c r="AR89" s="765" t="s">
        <v>1504</v>
      </c>
      <c r="AS89" t="s">
        <v>1415</v>
      </c>
      <c r="AT89" s="722" t="s">
        <v>1386</v>
      </c>
      <c r="AU89" s="705" t="s">
        <v>647</v>
      </c>
      <c r="AV89" s="705" t="s">
        <v>662</v>
      </c>
      <c r="AW89" s="314" t="s">
        <v>734</v>
      </c>
      <c r="AX89" s="314"/>
      <c r="AY89" s="705"/>
      <c r="AZ89" s="705"/>
      <c r="BA89" s="705" t="s">
        <v>1520</v>
      </c>
      <c r="BB89" s="705"/>
      <c r="BC89" s="705" t="str">
        <f t="shared" si="26"/>
        <v>CNR</v>
      </c>
      <c r="BD89" s="705" t="str">
        <f t="shared" si="24"/>
        <v>Commercial - Refrigeration - Electricity - Existing</v>
      </c>
      <c r="BE89" s="705" t="s">
        <v>647</v>
      </c>
      <c r="BF89" s="705"/>
      <c r="BG89" s="314" t="s">
        <v>1503</v>
      </c>
    </row>
    <row r="90" spans="1:59"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(99.33/95.72)*I89</f>
        <v>1799.6770713155252</v>
      </c>
      <c r="J90" s="349">
        <f t="shared" si="25"/>
        <v>179.96770713155252</v>
      </c>
      <c r="L90" s="350">
        <v>0</v>
      </c>
      <c r="M90" s="349">
        <v>0</v>
      </c>
      <c r="N90" s="349">
        <v>0</v>
      </c>
      <c r="P90" s="479"/>
      <c r="Q90" s="411"/>
      <c r="R90" s="411">
        <f>' COM_2017_old'!R90</f>
        <v>0</v>
      </c>
      <c r="S90" s="411">
        <f t="shared" si="52"/>
        <v>0.03</v>
      </c>
      <c r="T90" s="411">
        <f t="shared" si="52"/>
        <v>0.1</v>
      </c>
      <c r="U90" s="411">
        <f t="shared" si="52"/>
        <v>0.3</v>
      </c>
      <c r="V90" s="411">
        <f t="shared" si="52"/>
        <v>0.5</v>
      </c>
      <c r="W90" s="411">
        <f t="shared" si="52"/>
        <v>0.7</v>
      </c>
      <c r="X90" s="411">
        <f t="shared" si="52"/>
        <v>0.9</v>
      </c>
      <c r="Y90" s="411">
        <f t="shared" si="52"/>
        <v>1</v>
      </c>
      <c r="AA90" s="410"/>
      <c r="AB90" s="411"/>
      <c r="AC90" s="410">
        <f>R90/(1+$P$54+$AA$54)</f>
        <v>0</v>
      </c>
      <c r="AD90" s="411">
        <f t="shared" si="53"/>
        <v>0</v>
      </c>
      <c r="AE90" s="411">
        <f t="shared" si="53"/>
        <v>0</v>
      </c>
      <c r="AF90" s="411">
        <f t="shared" si="53"/>
        <v>0</v>
      </c>
      <c r="AG90" s="411">
        <f t="shared" si="53"/>
        <v>0</v>
      </c>
      <c r="AH90" s="411">
        <f t="shared" si="53"/>
        <v>0</v>
      </c>
      <c r="AI90" s="411">
        <f t="shared" si="53"/>
        <v>0</v>
      </c>
      <c r="AJ90" s="411">
        <f t="shared" si="53"/>
        <v>0</v>
      </c>
      <c r="AK90" s="314">
        <f t="shared" si="27"/>
        <v>30</v>
      </c>
      <c r="AN90" s="389">
        <f t="shared" si="31"/>
        <v>0</v>
      </c>
      <c r="AR90" s="765" t="s">
        <v>1504</v>
      </c>
      <c r="AS90" t="s">
        <v>1416</v>
      </c>
      <c r="AT90" s="722" t="s">
        <v>1388</v>
      </c>
      <c r="AU90" s="705" t="s">
        <v>647</v>
      </c>
      <c r="AV90" s="705" t="s">
        <v>662</v>
      </c>
      <c r="AW90" s="314" t="s">
        <v>734</v>
      </c>
      <c r="AX90" s="314"/>
      <c r="AY90" s="705"/>
      <c r="AZ90" s="705"/>
      <c r="BA90" s="705" t="s">
        <v>1520</v>
      </c>
      <c r="BB90" s="705"/>
      <c r="BC90" s="705" t="str">
        <f t="shared" si="26"/>
        <v>CNR</v>
      </c>
      <c r="BD90" s="705" t="str">
        <f t="shared" si="24"/>
        <v>Commercial - Refrigeration - Electricity - New</v>
      </c>
      <c r="BE90" s="705" t="s">
        <v>647</v>
      </c>
      <c r="BF90" s="705"/>
      <c r="BG90" s="314" t="s">
        <v>1503</v>
      </c>
    </row>
    <row r="91" spans="1:59" ht="15">
      <c r="A91" s="352" t="s">
        <v>1555</v>
      </c>
      <c r="F91" s="382"/>
      <c r="H91" s="349"/>
      <c r="I91" s="349"/>
      <c r="J91" s="349"/>
      <c r="L91" s="359">
        <f>SUM(L89)</f>
        <v>0</v>
      </c>
      <c r="M91" s="356">
        <f>SUM(M89)</f>
        <v>0</v>
      </c>
      <c r="N91" s="356">
        <f>SUM(N89)</f>
        <v>0</v>
      </c>
      <c r="P91" s="479"/>
      <c r="AK91" s="314">
        <f t="shared" si="27"/>
        <v>31</v>
      </c>
      <c r="AN91" s="389">
        <f t="shared" si="31"/>
        <v>0</v>
      </c>
      <c r="AO91" s="389">
        <f>SUM(AN89:AN90)</f>
        <v>0</v>
      </c>
      <c r="AR91" s="765" t="s">
        <v>709</v>
      </c>
      <c r="AT91" s="705"/>
      <c r="AU91" s="705"/>
      <c r="AV91" s="705"/>
      <c r="AW91" s="314"/>
      <c r="AX91" s="314"/>
      <c r="AY91" s="705"/>
      <c r="AZ91" s="705"/>
      <c r="BA91" s="705" t="s">
        <v>709</v>
      </c>
      <c r="BB91" s="705"/>
      <c r="BC91" s="705"/>
      <c r="BD91" s="705"/>
      <c r="BE91" s="705"/>
      <c r="BF91" s="705"/>
      <c r="BG91" s="314"/>
    </row>
    <row r="92" spans="1:59" ht="15">
      <c r="A92" s="343" t="str">
        <f>"*"&amp;A48</f>
        <v>*Commercial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7"/>
        <v>32</v>
      </c>
      <c r="AL92" s="307"/>
      <c r="AM92" s="307"/>
      <c r="AN92" s="389">
        <f t="shared" si="31"/>
        <v>0</v>
      </c>
      <c r="AR92" s="765" t="s">
        <v>709</v>
      </c>
      <c r="AT92" s="722"/>
      <c r="AU92" s="705"/>
      <c r="AV92" s="705"/>
      <c r="AW92" s="314"/>
      <c r="AX92" s="314"/>
      <c r="AY92" s="705"/>
      <c r="AZ92" s="705"/>
      <c r="BA92" s="705" t="s">
        <v>709</v>
      </c>
      <c r="BB92" s="705"/>
      <c r="BC92" s="705"/>
      <c r="BD92" s="705"/>
      <c r="BE92" s="705"/>
      <c r="BF92" s="705"/>
      <c r="BG92" s="314"/>
    </row>
    <row r="93" spans="1:59"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SUMIF('Technology costs'!$B$7:$B$28,COM_2012!B93,'Technology costs'!$L$7:$L$28)</f>
        <v>31.581453839889381</v>
      </c>
      <c r="J93" s="349">
        <f t="shared" si="25"/>
        <v>3.1581453839889382</v>
      </c>
      <c r="L93" s="350">
        <v>0</v>
      </c>
      <c r="M93" s="349">
        <f>L93*SUMIF($C$6:$J$6,C93,$C$48:$J$48)</f>
        <v>0</v>
      </c>
      <c r="N93" s="349">
        <f>M93*E93</f>
        <v>0</v>
      </c>
      <c r="P93" s="479"/>
      <c r="Q93" s="411"/>
      <c r="R93" s="411">
        <f>' COM_2017_old'!R93</f>
        <v>0.11649695170636573</v>
      </c>
      <c r="S93" s="411">
        <f t="shared" ref="S93:Y93" si="54">MIN(1,$R93+S$52)</f>
        <v>0.14649695170636573</v>
      </c>
      <c r="T93" s="411">
        <f t="shared" si="54"/>
        <v>0.21649695170636574</v>
      </c>
      <c r="U93" s="411">
        <f t="shared" si="54"/>
        <v>0.41649695170636569</v>
      </c>
      <c r="V93" s="411">
        <f t="shared" si="54"/>
        <v>0.61649695170636576</v>
      </c>
      <c r="W93" s="411">
        <f t="shared" si="54"/>
        <v>0.81649695170636571</v>
      </c>
      <c r="X93" s="411">
        <f t="shared" si="54"/>
        <v>1</v>
      </c>
      <c r="Y93" s="411">
        <f t="shared" si="54"/>
        <v>1</v>
      </c>
      <c r="AA93" s="410"/>
      <c r="AB93" s="411"/>
      <c r="AC93" s="410">
        <f t="shared" ref="AC93:AC99" si="55">R93/(1+$P$54+$AA$54)</f>
        <v>0.11201629971765935</v>
      </c>
      <c r="AD93" s="411">
        <f t="shared" ref="AD93:AJ99" si="56">$AC93*AD$52</f>
        <v>0.10865581072612956</v>
      </c>
      <c r="AE93" s="411">
        <f t="shared" si="56"/>
        <v>0.10081466974589341</v>
      </c>
      <c r="AF93" s="411">
        <f t="shared" si="56"/>
        <v>7.841140980236154E-2</v>
      </c>
      <c r="AG93" s="411">
        <f t="shared" si="56"/>
        <v>5.6008149858829674E-2</v>
      </c>
      <c r="AH93" s="411">
        <f t="shared" si="56"/>
        <v>3.3604889915297802E-2</v>
      </c>
      <c r="AI93" s="411">
        <f t="shared" si="56"/>
        <v>1.1201629971765936E-2</v>
      </c>
      <c r="AJ93" s="411">
        <f t="shared" si="56"/>
        <v>0</v>
      </c>
      <c r="AK93" s="314">
        <f t="shared" si="27"/>
        <v>33</v>
      </c>
      <c r="AN93" s="389">
        <f t="shared" si="31"/>
        <v>0</v>
      </c>
      <c r="AR93" s="765" t="s">
        <v>1504</v>
      </c>
      <c r="AS93" t="s">
        <v>1351</v>
      </c>
      <c r="AT93" s="722" t="s">
        <v>1314</v>
      </c>
      <c r="AU93" s="705" t="s">
        <v>647</v>
      </c>
      <c r="AV93" s="705" t="s">
        <v>662</v>
      </c>
      <c r="AW93" s="314" t="s">
        <v>734</v>
      </c>
      <c r="AX93" s="314"/>
      <c r="AY93" s="705"/>
      <c r="AZ93" s="705"/>
      <c r="BA93" s="705" t="s">
        <v>1520</v>
      </c>
      <c r="BB93" s="705"/>
      <c r="BC93" s="705" t="str">
        <f t="shared" si="26"/>
        <v>CNW</v>
      </c>
      <c r="BD93" s="705" t="str">
        <f t="shared" si="24"/>
        <v>Commercial - Water Heating - Electricity - Existing</v>
      </c>
      <c r="BE93" s="705" t="s">
        <v>647</v>
      </c>
      <c r="BF93" s="705"/>
      <c r="BG93" s="314" t="s">
        <v>1503</v>
      </c>
    </row>
    <row r="94" spans="1:59"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SUMIF('Technology costs'!$B$7:$B$28,COM_2012!B94,'Technology costs'!$L$7:$L$28)</f>
        <v>211.94584531928834</v>
      </c>
      <c r="J94" s="349">
        <f t="shared" si="25"/>
        <v>21.194584531928836</v>
      </c>
      <c r="L94" s="350">
        <v>0</v>
      </c>
      <c r="M94" s="349">
        <f>L94*SUMIF($C$6:$J$6,C94,$C$48:$J$48)</f>
        <v>0</v>
      </c>
      <c r="N94" s="349">
        <f>M94*E94</f>
        <v>0</v>
      </c>
      <c r="P94" s="479"/>
      <c r="Q94" s="411"/>
      <c r="R94" s="411">
        <f>' COM_2017_old'!R94</f>
        <v>0.7635130059510683</v>
      </c>
      <c r="S94" s="411">
        <f>R94</f>
        <v>0.7635130059510683</v>
      </c>
      <c r="T94" s="411">
        <f t="shared" ref="T94:Y94" si="57">S94</f>
        <v>0.7635130059510683</v>
      </c>
      <c r="U94" s="411">
        <f t="shared" si="57"/>
        <v>0.7635130059510683</v>
      </c>
      <c r="V94" s="411">
        <f t="shared" si="57"/>
        <v>0.7635130059510683</v>
      </c>
      <c r="W94" s="411">
        <f t="shared" si="57"/>
        <v>0.7635130059510683</v>
      </c>
      <c r="X94" s="411">
        <f t="shared" si="57"/>
        <v>0.7635130059510683</v>
      </c>
      <c r="Y94" s="411">
        <f t="shared" si="57"/>
        <v>0.7635130059510683</v>
      </c>
      <c r="AA94" s="410"/>
      <c r="AB94" s="411"/>
      <c r="AC94" s="410">
        <f t="shared" si="55"/>
        <v>0.73414712110679647</v>
      </c>
      <c r="AD94" s="411">
        <f t="shared" si="56"/>
        <v>0.71212270747359252</v>
      </c>
      <c r="AE94" s="411">
        <f t="shared" si="56"/>
        <v>0.66073240899611685</v>
      </c>
      <c r="AF94" s="411">
        <f t="shared" si="56"/>
        <v>0.51390298477475749</v>
      </c>
      <c r="AG94" s="411">
        <f t="shared" si="56"/>
        <v>0.36707356055339824</v>
      </c>
      <c r="AH94" s="411">
        <f t="shared" si="56"/>
        <v>0.22024413633203893</v>
      </c>
      <c r="AI94" s="411">
        <f t="shared" si="56"/>
        <v>7.3414712110679653E-2</v>
      </c>
      <c r="AJ94" s="411">
        <f t="shared" si="56"/>
        <v>0</v>
      </c>
      <c r="AK94" s="314">
        <f t="shared" si="27"/>
        <v>34</v>
      </c>
      <c r="AN94" s="389">
        <f t="shared" si="31"/>
        <v>0</v>
      </c>
      <c r="AR94" s="765" t="s">
        <v>1504</v>
      </c>
      <c r="AS94" t="s">
        <v>1352</v>
      </c>
      <c r="AT94" s="722" t="s">
        <v>1316</v>
      </c>
      <c r="AU94" s="705" t="s">
        <v>647</v>
      </c>
      <c r="AV94" s="705" t="s">
        <v>662</v>
      </c>
      <c r="AW94" s="314" t="s">
        <v>734</v>
      </c>
      <c r="AX94" s="314"/>
      <c r="AY94" s="705"/>
      <c r="AZ94" s="705"/>
      <c r="BA94" s="705" t="s">
        <v>1520</v>
      </c>
      <c r="BB94" s="705"/>
      <c r="BC94" s="705" t="str">
        <f t="shared" si="26"/>
        <v>CNW</v>
      </c>
      <c r="BD94" s="705" t="str">
        <f t="shared" si="24"/>
        <v>Commercial - Water Heating - Coal - Existing</v>
      </c>
      <c r="BE94" s="705" t="s">
        <v>647</v>
      </c>
      <c r="BF94" s="705"/>
      <c r="BG94" s="314" t="s">
        <v>734</v>
      </c>
    </row>
    <row r="95" spans="1:59"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SUMIF('Technology costs'!$B$7:$B$28,COM_2012!B95,'Technology costs'!$L$7:$L$28)</f>
        <v>24.826371391503535</v>
      </c>
      <c r="J95" s="349">
        <f t="shared" si="25"/>
        <v>2.4826371391503539</v>
      </c>
      <c r="L95" s="350">
        <v>0</v>
      </c>
      <c r="M95" s="349">
        <f>L95*SUMIF($C$6:$J$6,C95,$C$48:$J$48)</f>
        <v>0</v>
      </c>
      <c r="N95" s="349">
        <f>M95*E95</f>
        <v>0</v>
      </c>
      <c r="P95" s="479"/>
      <c r="Q95" s="411"/>
      <c r="R95" s="411">
        <f>' COM_2017_old'!R95</f>
        <v>2.8152477272266215E-2</v>
      </c>
      <c r="S95" s="411">
        <f t="shared" ref="S95:Y96" si="58">MIN(1,$R95+S$52)</f>
        <v>5.8152477272266218E-2</v>
      </c>
      <c r="T95" s="411">
        <f t="shared" si="58"/>
        <v>0.12815247727226622</v>
      </c>
      <c r="U95" s="411">
        <f t="shared" si="58"/>
        <v>0.32815247727226621</v>
      </c>
      <c r="V95" s="411">
        <f t="shared" si="58"/>
        <v>0.52815247727226622</v>
      </c>
      <c r="W95" s="411">
        <f t="shared" si="58"/>
        <v>0.72815247727226617</v>
      </c>
      <c r="X95" s="411">
        <f t="shared" si="58"/>
        <v>0.92815247727226624</v>
      </c>
      <c r="Y95" s="411">
        <f t="shared" si="58"/>
        <v>1</v>
      </c>
      <c r="AA95" s="410"/>
      <c r="AB95" s="411"/>
      <c r="AC95" s="410">
        <f t="shared" si="55"/>
        <v>2.7069689684871358E-2</v>
      </c>
      <c r="AD95" s="411">
        <f t="shared" si="56"/>
        <v>2.6257598994325216E-2</v>
      </c>
      <c r="AE95" s="411">
        <f t="shared" si="56"/>
        <v>2.4362720716384224E-2</v>
      </c>
      <c r="AF95" s="411">
        <f t="shared" si="56"/>
        <v>1.8948782779409951E-2</v>
      </c>
      <c r="AG95" s="411">
        <f t="shared" si="56"/>
        <v>1.3534844842435679E-2</v>
      </c>
      <c r="AH95" s="411">
        <f t="shared" si="56"/>
        <v>8.1209069054614079E-3</v>
      </c>
      <c r="AI95" s="411">
        <f t="shared" si="56"/>
        <v>2.7069689684871361E-3</v>
      </c>
      <c r="AJ95" s="411">
        <f t="shared" si="56"/>
        <v>0</v>
      </c>
      <c r="AK95" s="314">
        <f t="shared" si="27"/>
        <v>35</v>
      </c>
      <c r="AN95" s="389">
        <f t="shared" si="31"/>
        <v>0</v>
      </c>
      <c r="AR95" s="765" t="s">
        <v>1504</v>
      </c>
      <c r="AS95" t="s">
        <v>1353</v>
      </c>
      <c r="AT95" s="722" t="s">
        <v>1318</v>
      </c>
      <c r="AU95" s="705" t="s">
        <v>647</v>
      </c>
      <c r="AV95" s="705" t="s">
        <v>662</v>
      </c>
      <c r="AW95" s="314" t="s">
        <v>734</v>
      </c>
      <c r="AX95" s="314"/>
      <c r="AY95" s="705"/>
      <c r="AZ95" s="705"/>
      <c r="BA95" s="705" t="s">
        <v>1520</v>
      </c>
      <c r="BB95" s="705"/>
      <c r="BC95" s="705" t="str">
        <f t="shared" si="26"/>
        <v>CNW</v>
      </c>
      <c r="BD95" s="705" t="str">
        <f t="shared" si="24"/>
        <v>Commercial - Water Heating - Oil LPG - Existing</v>
      </c>
      <c r="BE95" s="705" t="s">
        <v>647</v>
      </c>
      <c r="BF95" s="705"/>
      <c r="BG95" s="314" t="s">
        <v>734</v>
      </c>
    </row>
    <row r="96" spans="1:59" s="314" customFormat="1" ht="15">
      <c r="A96" s="343" t="str">
        <f>A$48&amp;" - "&amp;VLOOKUP(RIGHT(C96,3),NameConv!$E$3:$F$16,2,FALSE)&amp;" - Existing"</f>
        <v>Commercial - Water Heating - Gas - Existing</v>
      </c>
      <c r="B96" s="343" t="str">
        <f t="shared" ref="B96:B97" si="59">D96&amp;RIGHT(C96,3)&amp;"-E"</f>
        <v>CNWGAS-E</v>
      </c>
      <c r="C96" s="346" t="str">
        <f>$F$6</f>
        <v>COMGAS</v>
      </c>
      <c r="D96" s="346" t="str">
        <f t="shared" ref="D96:D97" si="60">$B$48</f>
        <v>CNW</v>
      </c>
      <c r="E96" s="347">
        <f>Appliances!G27</f>
        <v>0.75</v>
      </c>
      <c r="F96" s="382">
        <f>SUMIF(AFA!$B$2:$J$2,D96,AFA!$B$4:$J$4)</f>
        <v>0.89129999999999998</v>
      </c>
      <c r="G96" s="348">
        <v>12</v>
      </c>
      <c r="H96" s="349">
        <f t="shared" ref="H96:H97" si="61">(N96/F96)*(1+$H$55)</f>
        <v>0</v>
      </c>
      <c r="I96" s="488">
        <f>I95</f>
        <v>24.826371391503535</v>
      </c>
      <c r="J96" s="349">
        <f t="shared" si="25"/>
        <v>2.4826371391503539</v>
      </c>
      <c r="L96" s="350">
        <v>0</v>
      </c>
      <c r="M96" s="349">
        <f>L96*SUMIF($C$6:$J$6,C96,$C$48:$J$48)</f>
        <v>0</v>
      </c>
      <c r="N96" s="349">
        <f>M96*E96</f>
        <v>0</v>
      </c>
      <c r="P96" s="479"/>
      <c r="Q96" s="411"/>
      <c r="R96" s="411">
        <f>' COM_2017_old'!R96</f>
        <v>6.3298969282823983E-2</v>
      </c>
      <c r="S96" s="411">
        <f t="shared" si="58"/>
        <v>9.3298969282823982E-2</v>
      </c>
      <c r="T96" s="411">
        <f t="shared" si="58"/>
        <v>0.163298969282824</v>
      </c>
      <c r="U96" s="411">
        <f t="shared" si="58"/>
        <v>0.36329896928282396</v>
      </c>
      <c r="V96" s="411">
        <f t="shared" si="58"/>
        <v>0.56329896928282397</v>
      </c>
      <c r="W96" s="411">
        <f t="shared" si="58"/>
        <v>0.76329896928282392</v>
      </c>
      <c r="X96" s="411">
        <f t="shared" si="58"/>
        <v>0.96329896928282399</v>
      </c>
      <c r="Y96" s="411">
        <f t="shared" si="58"/>
        <v>1</v>
      </c>
      <c r="Z96"/>
      <c r="AA96" s="410"/>
      <c r="AB96" s="411"/>
      <c r="AC96" s="410">
        <f t="shared" si="55"/>
        <v>6.0864393541176905E-2</v>
      </c>
      <c r="AD96" s="411">
        <f t="shared" si="56"/>
        <v>5.9038461734941594E-2</v>
      </c>
      <c r="AE96" s="411">
        <f t="shared" si="56"/>
        <v>5.4777954187059212E-2</v>
      </c>
      <c r="AF96" s="411">
        <f t="shared" si="56"/>
        <v>4.2605075478823834E-2</v>
      </c>
      <c r="AG96" s="411">
        <f t="shared" si="56"/>
        <v>3.0432196770588452E-2</v>
      </c>
      <c r="AH96" s="411">
        <f t="shared" si="56"/>
        <v>1.8259318062353071E-2</v>
      </c>
      <c r="AI96" s="411">
        <f t="shared" si="56"/>
        <v>6.0864393541176908E-3</v>
      </c>
      <c r="AJ96" s="411">
        <f t="shared" si="56"/>
        <v>0</v>
      </c>
      <c r="AK96" s="314">
        <f t="shared" si="27"/>
        <v>36</v>
      </c>
      <c r="AN96" s="390">
        <f t="shared" si="31"/>
        <v>0</v>
      </c>
      <c r="AR96" s="765" t="s">
        <v>1504</v>
      </c>
      <c r="AS96" t="s">
        <v>1354</v>
      </c>
      <c r="AT96" s="722" t="s">
        <v>1320</v>
      </c>
      <c r="AU96" s="705" t="s">
        <v>647</v>
      </c>
      <c r="AV96" s="705" t="s">
        <v>662</v>
      </c>
      <c r="AW96" s="314" t="s">
        <v>734</v>
      </c>
      <c r="AY96" s="705"/>
      <c r="AZ96" s="705"/>
      <c r="BA96" s="705" t="s">
        <v>1520</v>
      </c>
      <c r="BB96" s="705"/>
      <c r="BC96" s="705" t="str">
        <f t="shared" si="26"/>
        <v>CNW</v>
      </c>
      <c r="BD96" s="705" t="str">
        <f t="shared" si="24"/>
        <v>Commercial - Water Heating - Gas - Existing</v>
      </c>
      <c r="BE96" s="705" t="s">
        <v>647</v>
      </c>
      <c r="BF96" s="705"/>
      <c r="BG96" s="314" t="s">
        <v>734</v>
      </c>
    </row>
    <row r="97" spans="1:59" s="314" customFormat="1" ht="15">
      <c r="A97" s="343" t="str">
        <f>A$48&amp;" - "&amp;VLOOKUP(RIGHT(C97,3),NameConv!$E$3:$F$16,2,FALSE)&amp;" - Existing"</f>
        <v>Commercial - Water Heating - Oil Paraffin - Existing</v>
      </c>
      <c r="B97" s="343" t="str">
        <f t="shared" si="59"/>
        <v>CNWOKE-E</v>
      </c>
      <c r="C97" s="346" t="s">
        <v>1101</v>
      </c>
      <c r="D97" s="346" t="str">
        <f t="shared" si="60"/>
        <v>CNW</v>
      </c>
      <c r="E97" s="347">
        <f>Appliances!G28</f>
        <v>0.7</v>
      </c>
      <c r="F97" s="382">
        <f>SUMIF(AFA!$B$2:$J$2,D97,AFA!$B$4:$J$4)</f>
        <v>0.89129999999999998</v>
      </c>
      <c r="G97" s="348">
        <v>12</v>
      </c>
      <c r="H97" s="349">
        <f t="shared" si="61"/>
        <v>0</v>
      </c>
      <c r="I97" s="488">
        <f>I96</f>
        <v>24.826371391503535</v>
      </c>
      <c r="J97" s="349">
        <f t="shared" si="25"/>
        <v>2.4826371391503539</v>
      </c>
      <c r="L97" s="350">
        <v>0</v>
      </c>
      <c r="M97" s="349">
        <f>L97*SUMIF($C$6:$J$6,C97,$C$48:$J$48)</f>
        <v>0</v>
      </c>
      <c r="N97" s="349">
        <f>M97*E97</f>
        <v>0</v>
      </c>
      <c r="P97" s="479"/>
      <c r="Q97" s="411"/>
      <c r="R97" s="411">
        <f>' COM_2017_old'!R97</f>
        <v>3.8538595787475684E-2</v>
      </c>
      <c r="S97" s="411">
        <f>R97</f>
        <v>3.8538595787475684E-2</v>
      </c>
      <c r="T97" s="411">
        <f t="shared" ref="T97:Y97" si="62">S97</f>
        <v>3.8538595787475684E-2</v>
      </c>
      <c r="U97" s="411">
        <f t="shared" si="62"/>
        <v>3.8538595787475684E-2</v>
      </c>
      <c r="V97" s="411">
        <f t="shared" si="62"/>
        <v>3.8538595787475684E-2</v>
      </c>
      <c r="W97" s="411">
        <f t="shared" si="62"/>
        <v>3.8538595787475684E-2</v>
      </c>
      <c r="X97" s="411">
        <f t="shared" si="62"/>
        <v>3.8538595787475684E-2</v>
      </c>
      <c r="Y97" s="411">
        <f t="shared" si="62"/>
        <v>3.8538595787475684E-2</v>
      </c>
      <c r="Z97"/>
      <c r="AA97" s="410"/>
      <c r="AB97" s="411"/>
      <c r="AC97" s="410">
        <f t="shared" si="55"/>
        <v>3.7056342103342001E-2</v>
      </c>
      <c r="AD97" s="411">
        <f t="shared" si="56"/>
        <v>3.5944651840241738E-2</v>
      </c>
      <c r="AE97" s="411">
        <f t="shared" si="56"/>
        <v>3.33507078930078E-2</v>
      </c>
      <c r="AF97" s="411">
        <f t="shared" si="56"/>
        <v>2.5939439472339398E-2</v>
      </c>
      <c r="AG97" s="411">
        <f t="shared" si="56"/>
        <v>1.8528171051671E-2</v>
      </c>
      <c r="AH97" s="411">
        <f t="shared" si="56"/>
        <v>1.1116902631002601E-2</v>
      </c>
      <c r="AI97" s="411">
        <f t="shared" si="56"/>
        <v>3.7056342103342003E-3</v>
      </c>
      <c r="AJ97" s="411">
        <f t="shared" si="56"/>
        <v>0</v>
      </c>
      <c r="AK97" s="314">
        <f t="shared" si="27"/>
        <v>37</v>
      </c>
      <c r="AN97" s="390">
        <f t="shared" si="31"/>
        <v>0</v>
      </c>
      <c r="AR97" s="765" t="s">
        <v>1504</v>
      </c>
      <c r="AS97" t="s">
        <v>1355</v>
      </c>
      <c r="AT97" s="722" t="s">
        <v>1322</v>
      </c>
      <c r="AU97" s="705" t="s">
        <v>647</v>
      </c>
      <c r="AV97" s="705" t="s">
        <v>662</v>
      </c>
      <c r="AW97" s="314" t="s">
        <v>734</v>
      </c>
      <c r="AY97" s="705"/>
      <c r="AZ97" s="705"/>
      <c r="BA97" s="705" t="s">
        <v>1520</v>
      </c>
      <c r="BB97" s="705"/>
      <c r="BC97" s="705" t="str">
        <f t="shared" si="26"/>
        <v>CNW</v>
      </c>
      <c r="BD97" s="705" t="str">
        <f t="shared" si="24"/>
        <v>Commercial - Water Heating - Oil Paraffin - Existing</v>
      </c>
      <c r="BE97" s="705" t="s">
        <v>647</v>
      </c>
      <c r="BF97" s="705"/>
      <c r="BG97" s="314" t="s">
        <v>734</v>
      </c>
    </row>
    <row r="98" spans="1:59"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I93</f>
        <v>31.581453839889381</v>
      </c>
      <c r="J98" s="349">
        <f>I98*0.1</f>
        <v>3.1581453839889382</v>
      </c>
      <c r="L98" s="350">
        <v>0</v>
      </c>
      <c r="M98" s="349">
        <v>0</v>
      </c>
      <c r="N98" s="349">
        <v>0</v>
      </c>
      <c r="P98" s="479"/>
      <c r="Q98" s="411"/>
      <c r="R98" s="411">
        <f>' COM_2017_old'!R98</f>
        <v>0</v>
      </c>
      <c r="S98" s="411">
        <f t="shared" ref="S98:Y99" si="63">MIN(1,$R98+S$52)</f>
        <v>0.03</v>
      </c>
      <c r="T98" s="411">
        <f t="shared" si="63"/>
        <v>0.1</v>
      </c>
      <c r="U98" s="411">
        <f t="shared" si="63"/>
        <v>0.3</v>
      </c>
      <c r="V98" s="411">
        <f t="shared" si="63"/>
        <v>0.5</v>
      </c>
      <c r="W98" s="411">
        <f t="shared" si="63"/>
        <v>0.7</v>
      </c>
      <c r="X98" s="411">
        <f t="shared" si="63"/>
        <v>0.9</v>
      </c>
      <c r="Y98" s="411">
        <f t="shared" si="63"/>
        <v>1</v>
      </c>
      <c r="AA98" s="410"/>
      <c r="AB98" s="411"/>
      <c r="AC98" s="410">
        <f t="shared" si="55"/>
        <v>0</v>
      </c>
      <c r="AD98" s="411">
        <f t="shared" si="56"/>
        <v>0</v>
      </c>
      <c r="AE98" s="411">
        <f t="shared" si="56"/>
        <v>0</v>
      </c>
      <c r="AF98" s="411">
        <f t="shared" si="56"/>
        <v>0</v>
      </c>
      <c r="AG98" s="411">
        <f t="shared" si="56"/>
        <v>0</v>
      </c>
      <c r="AH98" s="411">
        <f t="shared" si="56"/>
        <v>0</v>
      </c>
      <c r="AI98" s="411">
        <f t="shared" si="56"/>
        <v>0</v>
      </c>
      <c r="AJ98" s="411">
        <f t="shared" si="56"/>
        <v>0</v>
      </c>
      <c r="AK98" s="314">
        <f t="shared" si="27"/>
        <v>38</v>
      </c>
      <c r="AN98" s="389">
        <f t="shared" si="31"/>
        <v>0</v>
      </c>
      <c r="AR98" s="765" t="s">
        <v>1504</v>
      </c>
      <c r="AS98" t="s">
        <v>1356</v>
      </c>
      <c r="AT98" s="722" t="s">
        <v>1324</v>
      </c>
      <c r="AU98" s="705" t="s">
        <v>647</v>
      </c>
      <c r="AV98" s="705" t="s">
        <v>662</v>
      </c>
      <c r="AW98" s="314" t="s">
        <v>734</v>
      </c>
      <c r="AX98" s="314"/>
      <c r="AY98" s="705"/>
      <c r="AZ98" s="705"/>
      <c r="BA98" s="705" t="s">
        <v>1520</v>
      </c>
      <c r="BB98" s="705"/>
      <c r="BC98" s="705" t="str">
        <f t="shared" si="26"/>
        <v>CNW</v>
      </c>
      <c r="BD98" s="705" t="str">
        <f t="shared" si="24"/>
        <v>Commercial - Water Heating - Electricity - New</v>
      </c>
      <c r="BE98" s="705" t="s">
        <v>647</v>
      </c>
      <c r="BF98" s="705"/>
      <c r="BG98" s="314" t="s">
        <v>1503</v>
      </c>
    </row>
    <row r="99" spans="1:59" ht="15">
      <c r="A99" s="343" t="str">
        <f>A$48&amp;" - "&amp;VLOOKUP(RIGHT(C99,3),NameConv!$E$3:$F$16,2,FALSE)&amp;" - HP - New"</f>
        <v>Commercial - Water Heating - Electricity - HP - New</v>
      </c>
      <c r="B99" s="343" t="str">
        <f>D99&amp;RIGHT(C99,3)&amp;"HP-N"</f>
        <v>CNWELCHP-N</v>
      </c>
      <c r="C99" s="346" t="str">
        <f t="shared" ref="C99" si="64">$E$6</f>
        <v>COMELC</v>
      </c>
      <c r="D99" s="346" t="str">
        <f>$B$48</f>
        <v>CNW</v>
      </c>
      <c r="E99" s="347">
        <v>2.2599999999999998</v>
      </c>
      <c r="F99" s="382">
        <f>SUMIF(AFA!$B$2:$J$2,D99,AFA!$B$4:$J$4)</f>
        <v>0.89129999999999998</v>
      </c>
      <c r="G99" s="348">
        <v>10</v>
      </c>
      <c r="H99" s="349">
        <f>(N99/F99)*(1+$H$55)</f>
        <v>0</v>
      </c>
      <c r="I99" s="349">
        <f>I93*3</f>
        <v>94.744361519668146</v>
      </c>
      <c r="J99" s="349">
        <f>I99*0.1</f>
        <v>9.474436151966815</v>
      </c>
      <c r="L99" s="350">
        <v>0</v>
      </c>
      <c r="M99" s="349">
        <v>0</v>
      </c>
      <c r="N99" s="349">
        <v>0</v>
      </c>
      <c r="P99" s="479"/>
      <c r="Q99" s="411"/>
      <c r="R99" s="411">
        <f>' COM_2017_old'!R99</f>
        <v>0</v>
      </c>
      <c r="S99" s="411">
        <f t="shared" si="63"/>
        <v>0.03</v>
      </c>
      <c r="T99" s="411">
        <f t="shared" si="63"/>
        <v>0.1</v>
      </c>
      <c r="U99" s="411">
        <f t="shared" si="63"/>
        <v>0.3</v>
      </c>
      <c r="V99" s="411">
        <f t="shared" si="63"/>
        <v>0.5</v>
      </c>
      <c r="W99" s="411">
        <f t="shared" si="63"/>
        <v>0.7</v>
      </c>
      <c r="X99" s="411">
        <f t="shared" si="63"/>
        <v>0.9</v>
      </c>
      <c r="Y99" s="411">
        <f t="shared" si="63"/>
        <v>1</v>
      </c>
      <c r="AA99" s="410"/>
      <c r="AB99" s="411"/>
      <c r="AC99" s="410">
        <f t="shared" si="55"/>
        <v>0</v>
      </c>
      <c r="AD99" s="411">
        <f t="shared" si="56"/>
        <v>0</v>
      </c>
      <c r="AE99" s="411">
        <f t="shared" si="56"/>
        <v>0</v>
      </c>
      <c r="AF99" s="411">
        <f t="shared" si="56"/>
        <v>0</v>
      </c>
      <c r="AG99" s="411">
        <f t="shared" si="56"/>
        <v>0</v>
      </c>
      <c r="AH99" s="411">
        <f t="shared" si="56"/>
        <v>0</v>
      </c>
      <c r="AI99" s="411">
        <f t="shared" si="56"/>
        <v>0</v>
      </c>
      <c r="AJ99" s="411">
        <f t="shared" si="56"/>
        <v>0</v>
      </c>
      <c r="AK99" s="314">
        <f t="shared" si="27"/>
        <v>39</v>
      </c>
      <c r="AN99" s="389"/>
      <c r="AR99" s="765" t="s">
        <v>1504</v>
      </c>
      <c r="AS99" t="s">
        <v>1357</v>
      </c>
      <c r="AT99" s="722" t="s">
        <v>1326</v>
      </c>
      <c r="AU99" s="705" t="s">
        <v>647</v>
      </c>
      <c r="AV99" s="705" t="s">
        <v>662</v>
      </c>
      <c r="AW99" s="314" t="s">
        <v>734</v>
      </c>
      <c r="AX99" s="314"/>
      <c r="AY99" s="705"/>
      <c r="AZ99" s="705"/>
      <c r="BA99" s="705" t="s">
        <v>1520</v>
      </c>
      <c r="BB99" s="705"/>
      <c r="BC99" s="705" t="str">
        <f t="shared" si="26"/>
        <v>CNW</v>
      </c>
      <c r="BD99" s="705" t="str">
        <f t="shared" si="24"/>
        <v>Commercial - Water Heating - Electricity - HP - New</v>
      </c>
      <c r="BE99" s="705" t="s">
        <v>647</v>
      </c>
      <c r="BF99" s="705"/>
      <c r="BG99" s="314" t="s">
        <v>1503</v>
      </c>
    </row>
    <row r="100" spans="1:59" ht="15">
      <c r="A100" s="352" t="s">
        <v>1555</v>
      </c>
      <c r="F100" s="382"/>
      <c r="H100" s="349"/>
      <c r="I100" s="349"/>
      <c r="J100" s="349"/>
      <c r="L100" s="359"/>
      <c r="M100" s="356">
        <f>SUM(M93:M95)</f>
        <v>0</v>
      </c>
      <c r="N100" s="356">
        <f>SUM(N93:N95)</f>
        <v>0</v>
      </c>
      <c r="P100" s="479"/>
      <c r="AK100" s="314">
        <f t="shared" si="27"/>
        <v>40</v>
      </c>
      <c r="AN100" s="389">
        <f t="shared" si="23"/>
        <v>0</v>
      </c>
      <c r="AO100" s="389">
        <f>SUM(AN93:AN98)</f>
        <v>0</v>
      </c>
      <c r="AR100" s="765" t="s">
        <v>709</v>
      </c>
      <c r="AT100" s="705"/>
      <c r="AU100" s="705"/>
      <c r="AV100" s="705"/>
      <c r="AW100" s="314"/>
      <c r="AX100" s="314"/>
      <c r="AY100" s="705"/>
      <c r="AZ100" s="705"/>
      <c r="BA100" s="705" t="s">
        <v>709</v>
      </c>
      <c r="BB100" s="705"/>
      <c r="BC100" s="705"/>
      <c r="BD100" s="705"/>
      <c r="BE100" s="705"/>
      <c r="BF100" s="705"/>
      <c r="BG100" s="314"/>
    </row>
    <row r="101" spans="1:59" ht="15">
      <c r="A101" s="343" t="str">
        <f>"*"&amp;A49</f>
        <v>*Commercial - Public Lights</v>
      </c>
      <c r="F101" s="382"/>
      <c r="H101" s="349"/>
      <c r="I101" s="349"/>
      <c r="J101" s="349"/>
      <c r="L101" s="359"/>
      <c r="M101" s="356"/>
      <c r="N101" s="356"/>
      <c r="P101" s="479"/>
      <c r="AK101" s="314">
        <f t="shared" si="27"/>
        <v>41</v>
      </c>
      <c r="AN101" s="389"/>
      <c r="AO101" s="389"/>
      <c r="AR101" s="765" t="s">
        <v>709</v>
      </c>
      <c r="AT101" s="705"/>
      <c r="AU101" s="705"/>
      <c r="AV101" s="705"/>
      <c r="AW101" s="314"/>
      <c r="AX101" s="314"/>
      <c r="AY101" s="705"/>
      <c r="AZ101" s="705"/>
      <c r="BA101" s="705" t="s">
        <v>709</v>
      </c>
      <c r="BB101" s="705"/>
      <c r="BC101" s="705"/>
      <c r="BD101" s="705"/>
      <c r="BE101" s="705"/>
      <c r="BF101" s="705"/>
      <c r="BG101" s="314"/>
    </row>
    <row r="102" spans="1:59" ht="15">
      <c r="A102" s="343" t="str">
        <f>A$49&amp;" - "&amp;VLOOKUP(RIGHT(C102,3),NameConv!$E$3:$F$16,2,FALSE)&amp;" - "&amp;LEFT(Appliances!B75,3)&amp;" - Existing"</f>
        <v>Commercial - Public Lights - Electricity - INC - Existing</v>
      </c>
      <c r="B102" s="343" t="str">
        <f t="shared" ref="B102:B106" si="65">D102&amp;RIGHT(C102,3)&amp;LEFT(RIGHT(A102,LEN("LIT - Existing")),3)&amp;"-E"</f>
        <v>CNGELCINC-E</v>
      </c>
      <c r="C102" s="346" t="str">
        <f t="shared" ref="C102:C107" si="66">$E$6</f>
        <v>COMELC</v>
      </c>
      <c r="D102" s="430" t="str">
        <f t="shared" ref="D102:D107" si="67">$B$49</f>
        <v>CNG</v>
      </c>
      <c r="E102" s="389">
        <f>Appliances!H75</f>
        <v>1</v>
      </c>
      <c r="F102" s="382">
        <f>SUMIF(AFA!$B$2:$J$2,D102,AFA!$B$4:$J$4)</f>
        <v>0.5464</v>
      </c>
      <c r="G102" s="348">
        <v>9</v>
      </c>
      <c r="H102" s="349">
        <f t="shared" ref="H102:H107" si="68">(N102/F102)*(1+$H$55)</f>
        <v>0</v>
      </c>
      <c r="I102" s="572">
        <f>I85</f>
        <v>0.37569687335386637</v>
      </c>
      <c r="J102" s="572">
        <f t="shared" ref="J102:J106" si="69">I102*0.1</f>
        <v>3.756968733538664E-2</v>
      </c>
      <c r="L102" s="455">
        <v>0</v>
      </c>
      <c r="M102" s="349">
        <f t="shared" ref="M102:M107" si="70">L102*SUMIF($C$6:$J$6,C102,$C$49:$J$49)</f>
        <v>0</v>
      </c>
      <c r="N102" s="349">
        <f t="shared" ref="N102:N107" si="71">M102*E102</f>
        <v>0</v>
      </c>
      <c r="P102" s="479"/>
      <c r="Q102" s="411"/>
      <c r="R102" s="411">
        <f>' COM_2017_old'!R102</f>
        <v>1.4671510186260122E-2</v>
      </c>
      <c r="S102" s="411">
        <f>R102</f>
        <v>1.4671510186260122E-2</v>
      </c>
      <c r="T102" s="411">
        <f>S102</f>
        <v>1.4671510186260122E-2</v>
      </c>
      <c r="U102" s="411">
        <f>T102</f>
        <v>1.4671510186260122E-2</v>
      </c>
      <c r="V102" s="411">
        <f t="shared" ref="V102:Y102" si="72">U102</f>
        <v>1.4671510186260122E-2</v>
      </c>
      <c r="W102" s="411">
        <f t="shared" si="72"/>
        <v>1.4671510186260122E-2</v>
      </c>
      <c r="X102" s="411">
        <f t="shared" si="72"/>
        <v>1.4671510186260122E-2</v>
      </c>
      <c r="Y102" s="411">
        <f t="shared" si="72"/>
        <v>1.4671510186260122E-2</v>
      </c>
      <c r="AA102" s="410"/>
      <c r="AB102" s="411"/>
      <c r="AC102" s="410">
        <f t="shared" ref="AC102:AC107" si="73">R102/(1+$P$54+$AA$54)</f>
        <v>1.4107221332942425E-2</v>
      </c>
      <c r="AD102" s="411">
        <f>AC102</f>
        <v>1.4107221332942425E-2</v>
      </c>
      <c r="AE102" s="411">
        <f>AD102</f>
        <v>1.4107221332942425E-2</v>
      </c>
      <c r="AF102" s="411">
        <v>0</v>
      </c>
      <c r="AG102" s="411">
        <v>0</v>
      </c>
      <c r="AH102" s="411">
        <v>0</v>
      </c>
      <c r="AI102" s="411">
        <v>0</v>
      </c>
      <c r="AJ102" s="411">
        <v>0</v>
      </c>
      <c r="AK102" s="314">
        <f t="shared" si="27"/>
        <v>42</v>
      </c>
      <c r="AN102" s="389"/>
      <c r="AO102" s="389"/>
      <c r="AR102" s="765" t="s">
        <v>1504</v>
      </c>
      <c r="AS102" t="s">
        <v>1417</v>
      </c>
      <c r="AT102" s="722" t="s">
        <v>1390</v>
      </c>
      <c r="AU102" s="705" t="s">
        <v>647</v>
      </c>
      <c r="AV102" s="705" t="s">
        <v>662</v>
      </c>
      <c r="AW102" s="314" t="s">
        <v>734</v>
      </c>
      <c r="AX102" s="314"/>
      <c r="AY102" s="705"/>
      <c r="AZ102" s="705"/>
      <c r="BA102" s="705" t="s">
        <v>1520</v>
      </c>
      <c r="BB102" s="705"/>
      <c r="BC102" s="705" t="str">
        <f t="shared" si="26"/>
        <v>CNG</v>
      </c>
      <c r="BD102" s="705" t="str">
        <f t="shared" si="24"/>
        <v>Commercial - Public Lights - Electricity - INC - Existing</v>
      </c>
      <c r="BE102" s="705" t="s">
        <v>647</v>
      </c>
      <c r="BF102" s="705"/>
      <c r="BG102" s="314" t="s">
        <v>1503</v>
      </c>
    </row>
    <row r="103" spans="1:59" ht="15">
      <c r="A103" s="343" t="str">
        <f>A$49&amp;" - "&amp;VLOOKUP(RIGHT(C103,3),NameConv!$E$3:$F$16,2,FALSE)&amp;" - "&amp;LEFT(Appliances!B76,3)&amp;" - Existing"</f>
        <v>Commercial - Public Lights - Electricity - HAL - Existing</v>
      </c>
      <c r="B103" s="343" t="str">
        <f t="shared" si="65"/>
        <v>CNGELCHAL-E</v>
      </c>
      <c r="C103" s="346" t="str">
        <f t="shared" si="66"/>
        <v>COMELC</v>
      </c>
      <c r="D103" s="430" t="str">
        <f t="shared" si="67"/>
        <v>CNG</v>
      </c>
      <c r="E103" s="389">
        <f>Appliances!H76</f>
        <v>2</v>
      </c>
      <c r="F103" s="382">
        <f>SUMIF(AFA!$B$2:$J$2,D103,AFA!$B$4:$J$4)</f>
        <v>0.5464</v>
      </c>
      <c r="G103" s="348">
        <v>10</v>
      </c>
      <c r="H103" s="349">
        <f t="shared" si="68"/>
        <v>0</v>
      </c>
      <c r="I103" s="572">
        <f>I83</f>
        <v>0.75829581287827852</v>
      </c>
      <c r="J103" s="572">
        <f t="shared" si="69"/>
        <v>7.5829581287827852E-2</v>
      </c>
      <c r="L103" s="455">
        <v>0</v>
      </c>
      <c r="M103" s="349">
        <f t="shared" si="70"/>
        <v>0</v>
      </c>
      <c r="N103" s="349">
        <f t="shared" si="71"/>
        <v>0</v>
      </c>
      <c r="P103" s="479"/>
      <c r="Q103" s="411"/>
      <c r="R103" s="411">
        <f>' COM_2017_old'!R103</f>
        <v>2.9343020372520245E-2</v>
      </c>
      <c r="S103" s="411">
        <f t="shared" ref="S103:Y107" si="74">MIN(1,$R103+S$52)</f>
        <v>5.9343020372520247E-2</v>
      </c>
      <c r="T103" s="411">
        <f t="shared" si="74"/>
        <v>0.12934302037252024</v>
      </c>
      <c r="U103" s="411">
        <f t="shared" si="74"/>
        <v>0.32934302037252022</v>
      </c>
      <c r="V103" s="411">
        <f t="shared" si="74"/>
        <v>0.52934302037252023</v>
      </c>
      <c r="W103" s="411">
        <f t="shared" si="74"/>
        <v>0.72934302037252019</v>
      </c>
      <c r="X103" s="411">
        <f t="shared" si="74"/>
        <v>0.92934302037252026</v>
      </c>
      <c r="Y103" s="411">
        <f t="shared" si="74"/>
        <v>1</v>
      </c>
      <c r="AA103" s="410"/>
      <c r="AB103" s="411"/>
      <c r="AC103" s="410">
        <f t="shared" si="73"/>
        <v>2.821444266588485E-2</v>
      </c>
      <c r="AD103" s="411">
        <f t="shared" ref="AD103:AJ107" si="75">$AC103*AD$52</f>
        <v>2.7368009385908304E-2</v>
      </c>
      <c r="AE103" s="411">
        <f t="shared" si="75"/>
        <v>2.5392998399296367E-2</v>
      </c>
      <c r="AF103" s="411">
        <f t="shared" si="75"/>
        <v>1.9750109866119393E-2</v>
      </c>
      <c r="AG103" s="411">
        <f t="shared" si="75"/>
        <v>1.4107221332942425E-2</v>
      </c>
      <c r="AH103" s="411">
        <f t="shared" si="75"/>
        <v>8.464332799765455E-3</v>
      </c>
      <c r="AI103" s="411">
        <f t="shared" si="75"/>
        <v>2.821444266588485E-3</v>
      </c>
      <c r="AJ103" s="411">
        <f t="shared" si="75"/>
        <v>0</v>
      </c>
      <c r="AK103" s="314">
        <f t="shared" si="27"/>
        <v>43</v>
      </c>
      <c r="AN103" s="389"/>
      <c r="AO103" s="389"/>
      <c r="AR103" s="765" t="s">
        <v>1504</v>
      </c>
      <c r="AS103" t="s">
        <v>1418</v>
      </c>
      <c r="AT103" s="722" t="s">
        <v>1392</v>
      </c>
      <c r="AU103" s="705" t="s">
        <v>647</v>
      </c>
      <c r="AV103" s="705" t="s">
        <v>662</v>
      </c>
      <c r="AW103" s="314" t="s">
        <v>734</v>
      </c>
      <c r="AX103" s="314"/>
      <c r="AY103" s="705"/>
      <c r="AZ103" s="705"/>
      <c r="BA103" s="705" t="s">
        <v>1520</v>
      </c>
      <c r="BB103" s="705"/>
      <c r="BC103" s="705" t="str">
        <f t="shared" si="26"/>
        <v>CNG</v>
      </c>
      <c r="BD103" s="705" t="str">
        <f t="shared" si="24"/>
        <v>Commercial - Public Lights - Electricity - HAL - Existing</v>
      </c>
      <c r="BE103" s="705" t="s">
        <v>647</v>
      </c>
      <c r="BF103" s="705"/>
      <c r="BG103" s="314" t="s">
        <v>1503</v>
      </c>
    </row>
    <row r="104" spans="1:59" ht="15">
      <c r="A104" s="343" t="str">
        <f>A$49&amp;" - "&amp;VLOOKUP(RIGHT(C104,3),NameConv!$E$3:$F$16,2,FALSE)&amp;" - "&amp;LEFT(Appliances!B77,3)&amp;" - Existing"</f>
        <v>Commercial - Public Lights - Electricity - HPM - Existing</v>
      </c>
      <c r="B104" s="343" t="str">
        <f t="shared" si="65"/>
        <v>CNGELCHPM-E</v>
      </c>
      <c r="C104" s="346" t="str">
        <f t="shared" si="66"/>
        <v>COMELC</v>
      </c>
      <c r="D104" s="430" t="str">
        <f t="shared" si="67"/>
        <v>CNG</v>
      </c>
      <c r="E104" s="389">
        <f>Appliances!H77</f>
        <v>2.4</v>
      </c>
      <c r="F104" s="382">
        <f>SUMIF(AFA!$B$2:$J$2,D104,AFA!$B$4:$J$4)</f>
        <v>0.5464</v>
      </c>
      <c r="G104" s="348">
        <v>11</v>
      </c>
      <c r="H104" s="349">
        <f t="shared" si="68"/>
        <v>0</v>
      </c>
      <c r="I104" s="572">
        <f>I105</f>
        <v>0.75829581287827852</v>
      </c>
      <c r="J104" s="572">
        <f t="shared" si="69"/>
        <v>7.5829581287827852E-2</v>
      </c>
      <c r="L104" s="455">
        <v>0</v>
      </c>
      <c r="M104" s="349">
        <f t="shared" si="70"/>
        <v>0</v>
      </c>
      <c r="N104" s="349">
        <f t="shared" si="71"/>
        <v>0</v>
      </c>
      <c r="P104" s="479"/>
      <c r="Q104" s="411"/>
      <c r="R104" s="411">
        <f>' COM_2017_old'!R104</f>
        <v>0.4452767796767032</v>
      </c>
      <c r="S104" s="411">
        <f t="shared" si="74"/>
        <v>0.47527677967670323</v>
      </c>
      <c r="T104" s="411">
        <f t="shared" si="74"/>
        <v>0.54527677967670318</v>
      </c>
      <c r="U104" s="411">
        <f t="shared" si="74"/>
        <v>0.74527677967670325</v>
      </c>
      <c r="V104" s="411">
        <f t="shared" si="74"/>
        <v>0.9452767796767032</v>
      </c>
      <c r="W104" s="411">
        <f t="shared" si="74"/>
        <v>1</v>
      </c>
      <c r="X104" s="411">
        <f t="shared" si="74"/>
        <v>1</v>
      </c>
      <c r="Y104" s="411">
        <f t="shared" si="74"/>
        <v>1</v>
      </c>
      <c r="AA104" s="410"/>
      <c r="AB104" s="411"/>
      <c r="AC104" s="410">
        <f t="shared" si="73"/>
        <v>0.42815074968913769</v>
      </c>
      <c r="AD104" s="411">
        <f t="shared" si="75"/>
        <v>0.41530622719846355</v>
      </c>
      <c r="AE104" s="411">
        <f t="shared" si="75"/>
        <v>0.38533567472022395</v>
      </c>
      <c r="AF104" s="411">
        <f t="shared" si="75"/>
        <v>0.29970552478239637</v>
      </c>
      <c r="AG104" s="411">
        <f t="shared" si="75"/>
        <v>0.21407537484456884</v>
      </c>
      <c r="AH104" s="411">
        <f t="shared" si="75"/>
        <v>0.12844522490674129</v>
      </c>
      <c r="AI104" s="411">
        <f t="shared" si="75"/>
        <v>4.281507496891377E-2</v>
      </c>
      <c r="AJ104" s="411">
        <f t="shared" si="75"/>
        <v>0</v>
      </c>
      <c r="AK104" s="314">
        <f t="shared" si="27"/>
        <v>44</v>
      </c>
      <c r="AN104" s="389"/>
      <c r="AO104" s="389"/>
      <c r="AR104" s="765" t="s">
        <v>1504</v>
      </c>
      <c r="AS104" t="s">
        <v>1419</v>
      </c>
      <c r="AT104" s="722" t="s">
        <v>1394</v>
      </c>
      <c r="AU104" s="705" t="s">
        <v>647</v>
      </c>
      <c r="AV104" s="705" t="s">
        <v>662</v>
      </c>
      <c r="AW104" s="314" t="s">
        <v>734</v>
      </c>
      <c r="AX104" s="314"/>
      <c r="AY104" s="705"/>
      <c r="AZ104" s="705"/>
      <c r="BA104" s="705" t="s">
        <v>1520</v>
      </c>
      <c r="BB104" s="705"/>
      <c r="BC104" s="705" t="str">
        <f t="shared" si="26"/>
        <v>CNG</v>
      </c>
      <c r="BD104" s="705" t="str">
        <f t="shared" si="24"/>
        <v>Commercial - Public Lights - Electricity - HPM - Existing</v>
      </c>
      <c r="BE104" s="705" t="s">
        <v>647</v>
      </c>
      <c r="BF104" s="705"/>
      <c r="BG104" s="314" t="s">
        <v>1503</v>
      </c>
    </row>
    <row r="105" spans="1:59" ht="15">
      <c r="A105" s="343" t="str">
        <f>A$49&amp;" - "&amp;VLOOKUP(RIGHT(C105,3),NameConv!$E$3:$F$16,2,FALSE)&amp;" - "&amp;LEFT(Appliances!B78,3)&amp;" - Existing"</f>
        <v>Commercial - Public Lights - Electricity - HPS - Existing</v>
      </c>
      <c r="B105" s="343" t="str">
        <f t="shared" si="65"/>
        <v>CNGELCHPS-E</v>
      </c>
      <c r="C105" s="346" t="str">
        <f t="shared" si="66"/>
        <v>COMELC</v>
      </c>
      <c r="D105" s="430" t="str">
        <f t="shared" si="67"/>
        <v>CNG</v>
      </c>
      <c r="E105" s="389">
        <f>Appliances!H78</f>
        <v>6.5</v>
      </c>
      <c r="F105" s="382">
        <f>SUMIF(AFA!$B$2:$J$2,D105,AFA!$B$4:$J$4)</f>
        <v>0.5464</v>
      </c>
      <c r="G105" s="348">
        <v>12</v>
      </c>
      <c r="H105" s="349">
        <f t="shared" si="68"/>
        <v>0</v>
      </c>
      <c r="I105" s="572">
        <f>I83</f>
        <v>0.75829581287827852</v>
      </c>
      <c r="J105" s="572">
        <f t="shared" si="69"/>
        <v>7.5829581287827852E-2</v>
      </c>
      <c r="L105" s="455">
        <v>0</v>
      </c>
      <c r="M105" s="349">
        <f t="shared" si="70"/>
        <v>0</v>
      </c>
      <c r="N105" s="349">
        <f t="shared" si="71"/>
        <v>0</v>
      </c>
      <c r="P105" s="479"/>
      <c r="Q105" s="411"/>
      <c r="R105" s="411">
        <f>' COM_2017_old'!R105</f>
        <v>0.50697893957774143</v>
      </c>
      <c r="S105" s="411">
        <f t="shared" si="74"/>
        <v>0.53697893957774145</v>
      </c>
      <c r="T105" s="411">
        <f t="shared" si="74"/>
        <v>0.60697893957774141</v>
      </c>
      <c r="U105" s="411">
        <f t="shared" si="74"/>
        <v>0.80697893957774136</v>
      </c>
      <c r="V105" s="411">
        <f t="shared" si="74"/>
        <v>1</v>
      </c>
      <c r="W105" s="411">
        <f t="shared" si="74"/>
        <v>1</v>
      </c>
      <c r="X105" s="411">
        <f t="shared" si="74"/>
        <v>1</v>
      </c>
      <c r="Y105" s="411">
        <f t="shared" si="74"/>
        <v>1</v>
      </c>
      <c r="AA105" s="410"/>
      <c r="AB105" s="411"/>
      <c r="AC105" s="410">
        <f t="shared" si="73"/>
        <v>0.4874797495939821</v>
      </c>
      <c r="AD105" s="411">
        <f t="shared" si="75"/>
        <v>0.47285535710616261</v>
      </c>
      <c r="AE105" s="411">
        <f t="shared" si="75"/>
        <v>0.4387317746345839</v>
      </c>
      <c r="AF105" s="411">
        <f t="shared" si="75"/>
        <v>0.34123582471578745</v>
      </c>
      <c r="AG105" s="411">
        <f t="shared" si="75"/>
        <v>0.24373987479699105</v>
      </c>
      <c r="AH105" s="411">
        <f t="shared" si="75"/>
        <v>0.14624392487819463</v>
      </c>
      <c r="AI105" s="411">
        <f t="shared" si="75"/>
        <v>4.8747974959398213E-2</v>
      </c>
      <c r="AJ105" s="411">
        <f t="shared" si="75"/>
        <v>0</v>
      </c>
      <c r="AK105" s="314">
        <f t="shared" si="27"/>
        <v>45</v>
      </c>
      <c r="AN105" s="389"/>
      <c r="AO105" s="389"/>
      <c r="AR105" s="765" t="s">
        <v>1504</v>
      </c>
      <c r="AS105" t="s">
        <v>1420</v>
      </c>
      <c r="AT105" s="722" t="s">
        <v>1396</v>
      </c>
      <c r="AU105" s="705" t="s">
        <v>647</v>
      </c>
      <c r="AV105" s="705" t="s">
        <v>662</v>
      </c>
      <c r="AW105" s="314" t="s">
        <v>734</v>
      </c>
      <c r="AX105" s="314"/>
      <c r="AY105" s="705"/>
      <c r="AZ105" s="705"/>
      <c r="BA105" s="705" t="s">
        <v>1520</v>
      </c>
      <c r="BB105" s="705"/>
      <c r="BC105" s="705" t="str">
        <f t="shared" si="26"/>
        <v>CNG</v>
      </c>
      <c r="BD105" s="705" t="str">
        <f t="shared" si="24"/>
        <v>Commercial - Public Lights - Electricity - HPS - Existing</v>
      </c>
      <c r="BE105" s="705" t="s">
        <v>647</v>
      </c>
      <c r="BF105" s="705"/>
      <c r="BG105" s="314" t="s">
        <v>1503</v>
      </c>
    </row>
    <row r="106" spans="1:59" ht="15">
      <c r="A106" s="343" t="str">
        <f>A$49&amp;" - "&amp;VLOOKUP(RIGHT(C106,3),NameConv!$E$3:$F$16,2,FALSE)&amp;" - "&amp;LEFT(Appliances!B79,3)&amp;" - Existing"</f>
        <v>Commercial - Public Lights - Electricity - MHL - Existing</v>
      </c>
      <c r="B106" s="343" t="str">
        <f t="shared" si="65"/>
        <v>CNGELCMHL-E</v>
      </c>
      <c r="C106" s="346" t="str">
        <f t="shared" si="66"/>
        <v>COMELC</v>
      </c>
      <c r="D106" s="430" t="str">
        <f t="shared" si="67"/>
        <v>CNG</v>
      </c>
      <c r="E106" s="389">
        <f>Appliances!H79</f>
        <v>5</v>
      </c>
      <c r="F106" s="382">
        <f>SUMIF(AFA!$B$2:$J$2,D106,AFA!$B$4:$J$4)</f>
        <v>0.5464</v>
      </c>
      <c r="G106" s="348">
        <v>10</v>
      </c>
      <c r="H106" s="349">
        <f t="shared" si="68"/>
        <v>0</v>
      </c>
      <c r="I106" s="572">
        <f>I84</f>
        <v>0.30666374785518619</v>
      </c>
      <c r="J106" s="572">
        <f t="shared" si="69"/>
        <v>3.0666374785518619E-2</v>
      </c>
      <c r="L106" s="455">
        <v>0</v>
      </c>
      <c r="M106" s="349">
        <f t="shared" si="70"/>
        <v>0</v>
      </c>
      <c r="N106" s="349">
        <f t="shared" si="71"/>
        <v>0</v>
      </c>
      <c r="P106" s="479"/>
      <c r="Q106" s="411"/>
      <c r="R106" s="411">
        <f>' COM_2017_old'!R106</f>
        <v>1.3729750186775049E-2</v>
      </c>
      <c r="S106" s="411">
        <f t="shared" si="74"/>
        <v>4.3729750186775052E-2</v>
      </c>
      <c r="T106" s="411">
        <f t="shared" si="74"/>
        <v>0.11372975018677506</v>
      </c>
      <c r="U106" s="411">
        <f t="shared" si="74"/>
        <v>0.31372975018677501</v>
      </c>
      <c r="V106" s="411">
        <f t="shared" si="74"/>
        <v>0.51372975018677502</v>
      </c>
      <c r="W106" s="411">
        <f t="shared" si="74"/>
        <v>0.71372975018677498</v>
      </c>
      <c r="X106" s="411">
        <f t="shared" si="74"/>
        <v>0.91372975018677505</v>
      </c>
      <c r="Y106" s="411">
        <f t="shared" si="74"/>
        <v>1</v>
      </c>
      <c r="AA106" s="410"/>
      <c r="AB106" s="411"/>
      <c r="AC106" s="410">
        <f t="shared" si="73"/>
        <v>1.3201682871899085E-2</v>
      </c>
      <c r="AD106" s="411">
        <f t="shared" si="75"/>
        <v>1.2805632385742113E-2</v>
      </c>
      <c r="AE106" s="411">
        <f t="shared" si="75"/>
        <v>1.1881514584709176E-2</v>
      </c>
      <c r="AF106" s="411">
        <f t="shared" si="75"/>
        <v>9.2411780103293598E-3</v>
      </c>
      <c r="AG106" s="411">
        <f t="shared" si="75"/>
        <v>6.6008414359495426E-3</v>
      </c>
      <c r="AH106" s="411">
        <f t="shared" si="75"/>
        <v>3.9605048615697254E-3</v>
      </c>
      <c r="AI106" s="411">
        <f t="shared" si="75"/>
        <v>1.3201682871899086E-3</v>
      </c>
      <c r="AJ106" s="411">
        <f t="shared" si="75"/>
        <v>0</v>
      </c>
      <c r="AK106" s="314">
        <f t="shared" si="27"/>
        <v>46</v>
      </c>
      <c r="AN106" s="389"/>
      <c r="AO106" s="389"/>
      <c r="AR106" s="765" t="s">
        <v>1504</v>
      </c>
      <c r="AS106" t="s">
        <v>1421</v>
      </c>
      <c r="AT106" s="722" t="s">
        <v>1398</v>
      </c>
      <c r="AU106" s="705" t="s">
        <v>647</v>
      </c>
      <c r="AV106" s="705" t="s">
        <v>662</v>
      </c>
      <c r="AW106" s="314" t="s">
        <v>734</v>
      </c>
      <c r="AX106" s="314"/>
      <c r="AY106" s="705"/>
      <c r="AZ106" s="705"/>
      <c r="BA106" s="705" t="s">
        <v>1520</v>
      </c>
      <c r="BB106" s="705"/>
      <c r="BC106" s="705" t="str">
        <f t="shared" si="26"/>
        <v>CNG</v>
      </c>
      <c r="BD106" s="705" t="str">
        <f t="shared" si="24"/>
        <v>Commercial - Public Lights - Electricity - MHL - Existing</v>
      </c>
      <c r="BE106" s="705" t="s">
        <v>647</v>
      </c>
      <c r="BF106" s="705"/>
      <c r="BG106" s="314" t="s">
        <v>1503</v>
      </c>
    </row>
    <row r="107" spans="1:59" ht="15">
      <c r="A107" s="343" t="str">
        <f>A$49&amp;" - "&amp;VLOOKUP(RIGHT(C107,3),NameConv!$E$3:$F$16,2,FALSE)&amp;" - "&amp;LEFT(Appliances!B80,3)&amp;" - New"</f>
        <v>Commercial - Public Lights - Electricity - LED - New</v>
      </c>
      <c r="B107" s="343" t="str">
        <f t="shared" ref="B107" si="76">D107&amp;RIGHT(C107,3)&amp;LEFT(RIGHT(A107,LEN("LIT - NEW")),3)&amp;"-N"</f>
        <v>CNGELCLED-N</v>
      </c>
      <c r="C107" s="346" t="str">
        <f t="shared" si="66"/>
        <v>COMELC</v>
      </c>
      <c r="D107" s="430" t="str">
        <f t="shared" si="67"/>
        <v>CNG</v>
      </c>
      <c r="E107" s="389">
        <f>Appliances!H80</f>
        <v>9.8000000000000007</v>
      </c>
      <c r="F107" s="382">
        <f>SUMIF(AFA!$B$2:$J$2,D107,AFA!$B$4:$J$4)</f>
        <v>0.5464</v>
      </c>
      <c r="G107" s="348">
        <v>10</v>
      </c>
      <c r="H107" s="349">
        <f t="shared" si="68"/>
        <v>0</v>
      </c>
      <c r="I107" s="349">
        <f>I86</f>
        <v>6.9235566660926731</v>
      </c>
      <c r="J107" s="349">
        <f>I107*0.1</f>
        <v>0.6923556666092674</v>
      </c>
      <c r="L107" s="455">
        <v>0</v>
      </c>
      <c r="M107" s="349">
        <f t="shared" si="70"/>
        <v>0</v>
      </c>
      <c r="N107" s="349">
        <f t="shared" si="71"/>
        <v>0</v>
      </c>
      <c r="P107" s="479"/>
      <c r="Q107" s="411"/>
      <c r="R107" s="411">
        <f>' COM_2017_old'!R107</f>
        <v>0</v>
      </c>
      <c r="S107" s="411">
        <f t="shared" si="74"/>
        <v>0.03</v>
      </c>
      <c r="T107" s="411">
        <f t="shared" si="74"/>
        <v>0.1</v>
      </c>
      <c r="U107" s="411">
        <f t="shared" si="74"/>
        <v>0.3</v>
      </c>
      <c r="V107" s="411">
        <f t="shared" si="74"/>
        <v>0.5</v>
      </c>
      <c r="W107" s="411">
        <f t="shared" si="74"/>
        <v>0.7</v>
      </c>
      <c r="X107" s="411">
        <f t="shared" si="74"/>
        <v>0.9</v>
      </c>
      <c r="Y107" s="411">
        <f t="shared" si="74"/>
        <v>1</v>
      </c>
      <c r="AA107" s="410"/>
      <c r="AB107" s="411"/>
      <c r="AC107" s="410">
        <f t="shared" si="73"/>
        <v>0</v>
      </c>
      <c r="AD107" s="411">
        <f t="shared" si="75"/>
        <v>0</v>
      </c>
      <c r="AE107" s="411">
        <f t="shared" si="75"/>
        <v>0</v>
      </c>
      <c r="AF107" s="411">
        <f t="shared" si="75"/>
        <v>0</v>
      </c>
      <c r="AG107" s="411">
        <f t="shared" si="75"/>
        <v>0</v>
      </c>
      <c r="AH107" s="411">
        <f t="shared" si="75"/>
        <v>0</v>
      </c>
      <c r="AI107" s="411">
        <f t="shared" si="75"/>
        <v>0</v>
      </c>
      <c r="AJ107" s="411">
        <f t="shared" si="75"/>
        <v>0</v>
      </c>
      <c r="AK107" s="314">
        <f t="shared" si="27"/>
        <v>47</v>
      </c>
      <c r="AN107" s="389"/>
      <c r="AO107" s="389"/>
      <c r="AR107" s="765" t="s">
        <v>1504</v>
      </c>
      <c r="AS107" t="s">
        <v>1422</v>
      </c>
      <c r="AT107" s="722" t="s">
        <v>1400</v>
      </c>
      <c r="AU107" s="705" t="s">
        <v>647</v>
      </c>
      <c r="AV107" s="705" t="s">
        <v>662</v>
      </c>
      <c r="AW107" s="314" t="s">
        <v>734</v>
      </c>
      <c r="AX107" s="314"/>
      <c r="AY107" s="705"/>
      <c r="AZ107" s="705"/>
      <c r="BA107" s="705" t="s">
        <v>1520</v>
      </c>
      <c r="BB107" s="705"/>
      <c r="BC107" s="705" t="str">
        <f t="shared" si="26"/>
        <v>CNG</v>
      </c>
      <c r="BD107" s="705" t="str">
        <f t="shared" si="24"/>
        <v>Commercial - Public Lights - Electricity - LED - New</v>
      </c>
      <c r="BE107" s="705" t="s">
        <v>647</v>
      </c>
      <c r="BF107" s="705"/>
      <c r="BG107" s="314" t="s">
        <v>1503</v>
      </c>
    </row>
    <row r="108" spans="1:59" ht="15">
      <c r="A108" s="352" t="s">
        <v>1555</v>
      </c>
      <c r="B108" s="343"/>
      <c r="C108" s="346"/>
      <c r="D108" s="430"/>
      <c r="E108" s="389"/>
      <c r="F108" s="382"/>
      <c r="G108" s="348"/>
      <c r="H108" s="349"/>
      <c r="I108" s="349"/>
      <c r="J108" s="349"/>
      <c r="L108" s="455"/>
      <c r="M108" s="349"/>
      <c r="N108" s="349">
        <f>SUM(N102:N107)</f>
        <v>0</v>
      </c>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7"/>
        <v>48</v>
      </c>
      <c r="AN108" s="389"/>
      <c r="AO108" s="389"/>
      <c r="AR108" s="765" t="s">
        <v>709</v>
      </c>
      <c r="AT108" s="722"/>
      <c r="AU108" s="705"/>
      <c r="AV108" s="705"/>
      <c r="AW108" s="314"/>
      <c r="AX108" s="314"/>
      <c r="AY108" s="705"/>
      <c r="AZ108" s="705"/>
      <c r="BA108" s="705" t="s">
        <v>709</v>
      </c>
      <c r="BB108" s="705"/>
      <c r="BC108" s="705"/>
      <c r="BD108" s="705"/>
      <c r="BE108" s="705"/>
      <c r="BF108" s="705"/>
      <c r="BG108" s="314"/>
    </row>
    <row r="109" spans="1:59" ht="15">
      <c r="A109" s="343" t="str">
        <f>"*"&amp;A50</f>
        <v>*Commercial - Public Water</v>
      </c>
      <c r="B109" s="343"/>
      <c r="D109" s="430"/>
      <c r="F109" s="382"/>
      <c r="H109" s="349"/>
      <c r="I109" s="349"/>
      <c r="J109" s="349"/>
      <c r="L109" s="359"/>
      <c r="M109" s="356"/>
      <c r="N109" s="356"/>
      <c r="P109" s="479"/>
      <c r="AK109" s="314">
        <f t="shared" si="27"/>
        <v>49</v>
      </c>
      <c r="AN109" s="389"/>
      <c r="AO109" s="389"/>
      <c r="AR109" s="765" t="s">
        <v>709</v>
      </c>
      <c r="AT109" s="722"/>
      <c r="AU109" s="705"/>
      <c r="AV109" s="705"/>
      <c r="AW109" s="314"/>
      <c r="AX109" s="314"/>
      <c r="AY109" s="705"/>
      <c r="AZ109" s="705"/>
      <c r="BA109" s="705" t="s">
        <v>709</v>
      </c>
      <c r="BB109" s="705"/>
      <c r="BC109" s="705"/>
      <c r="BD109" s="705"/>
      <c r="BE109" s="705"/>
      <c r="BF109" s="705"/>
      <c r="BG109" s="314"/>
    </row>
    <row r="110" spans="1:59"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v>100</v>
      </c>
      <c r="J110" s="349">
        <f>0.1*I110</f>
        <v>10</v>
      </c>
      <c r="L110" s="359">
        <v>0</v>
      </c>
      <c r="M110" s="349">
        <f>L110*SUMIF($C$6:$J$6,C110,$C$50:$J$50)</f>
        <v>0</v>
      </c>
      <c r="N110" s="349">
        <f>M110*E110</f>
        <v>0</v>
      </c>
      <c r="P110" s="479"/>
      <c r="Q110" s="411"/>
      <c r="R110" s="411">
        <f>COM_2012!P110</f>
        <v>1</v>
      </c>
      <c r="S110" s="411">
        <f t="shared" ref="S110:Y110" si="77">MIN(1,$R110+S$52)</f>
        <v>1</v>
      </c>
      <c r="T110" s="411">
        <f t="shared" si="77"/>
        <v>1</v>
      </c>
      <c r="U110" s="411">
        <f t="shared" si="77"/>
        <v>1</v>
      </c>
      <c r="V110" s="411">
        <f t="shared" si="77"/>
        <v>1</v>
      </c>
      <c r="W110" s="411">
        <f t="shared" si="77"/>
        <v>1</v>
      </c>
      <c r="X110" s="411">
        <f t="shared" si="77"/>
        <v>1</v>
      </c>
      <c r="Y110" s="411">
        <f t="shared" si="77"/>
        <v>1</v>
      </c>
      <c r="AA110" s="410"/>
      <c r="AB110" s="411"/>
      <c r="AC110" s="410">
        <f>R110/(1+$P$54+$AA$54)</f>
        <v>0.96153846153846145</v>
      </c>
      <c r="AD110" s="411">
        <f t="shared" ref="AD110:AJ110" si="78">$AC110*AD$52</f>
        <v>0.9326923076923076</v>
      </c>
      <c r="AE110" s="411">
        <f t="shared" si="78"/>
        <v>0.86538461538461531</v>
      </c>
      <c r="AF110" s="411">
        <f t="shared" si="78"/>
        <v>0.67307692307692302</v>
      </c>
      <c r="AG110" s="411">
        <f t="shared" si="78"/>
        <v>0.48076923076923073</v>
      </c>
      <c r="AH110" s="411">
        <f t="shared" si="78"/>
        <v>0.28846153846153844</v>
      </c>
      <c r="AI110" s="411">
        <f t="shared" si="78"/>
        <v>9.6153846153846145E-2</v>
      </c>
      <c r="AJ110" s="411">
        <f t="shared" si="78"/>
        <v>0</v>
      </c>
      <c r="AK110" s="314">
        <f t="shared" si="27"/>
        <v>50</v>
      </c>
      <c r="AN110" s="389"/>
      <c r="AO110" s="389"/>
      <c r="AR110" s="765" t="s">
        <v>1504</v>
      </c>
      <c r="AS110" t="s">
        <v>1423</v>
      </c>
      <c r="AT110" s="722" t="s">
        <v>1402</v>
      </c>
      <c r="AU110" s="705" t="s">
        <v>647</v>
      </c>
      <c r="AV110" s="705" t="s">
        <v>662</v>
      </c>
      <c r="AW110" s="314" t="s">
        <v>734</v>
      </c>
      <c r="AY110" s="705"/>
      <c r="AZ110" s="705"/>
      <c r="BA110" s="705" t="s">
        <v>1520</v>
      </c>
      <c r="BB110" s="705"/>
      <c r="BC110" s="705" t="str">
        <f t="shared" si="26"/>
        <v>CNT</v>
      </c>
      <c r="BD110" s="705" t="str">
        <f t="shared" si="24"/>
        <v>Commercial - Public Water - Electricity -  - Existing</v>
      </c>
      <c r="BE110" s="705" t="s">
        <v>647</v>
      </c>
      <c r="BF110" s="705"/>
      <c r="BG110" s="314" t="s">
        <v>1503</v>
      </c>
    </row>
    <row r="111" spans="1:59" ht="15">
      <c r="A111" s="352" t="s">
        <v>1555</v>
      </c>
      <c r="F111" s="382"/>
      <c r="H111" s="349"/>
      <c r="I111" s="349"/>
      <c r="J111" s="349"/>
      <c r="L111" s="359"/>
      <c r="M111" s="356"/>
      <c r="N111" s="356"/>
      <c r="P111" s="479"/>
      <c r="AK111" s="314">
        <f t="shared" si="27"/>
        <v>51</v>
      </c>
      <c r="AN111" s="389"/>
      <c r="AO111" s="389"/>
      <c r="AR111" s="765" t="s">
        <v>709</v>
      </c>
      <c r="AT111" s="705"/>
      <c r="AU111" s="705"/>
      <c r="AV111" s="705"/>
      <c r="AW111" s="314"/>
      <c r="AY111" s="705"/>
      <c r="AZ111" s="705"/>
      <c r="BA111" s="705" t="s">
        <v>709</v>
      </c>
      <c r="BB111" s="705"/>
      <c r="BC111" s="705"/>
      <c r="BD111" s="705"/>
      <c r="BE111" s="705"/>
      <c r="BF111" s="705"/>
      <c r="BG111" s="314"/>
    </row>
    <row r="112" spans="1:59" ht="15">
      <c r="A112" s="343" t="str">
        <f>"*"&amp;A51</f>
        <v>*Commercial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7"/>
        <v>52</v>
      </c>
      <c r="AL112" s="307"/>
      <c r="AM112" s="307"/>
      <c r="AN112" s="389">
        <f t="shared" si="23"/>
        <v>0</v>
      </c>
      <c r="AR112" s="765" t="s">
        <v>709</v>
      </c>
      <c r="AT112" s="722"/>
      <c r="AU112" s="705"/>
      <c r="AV112" s="705"/>
      <c r="AY112" s="705"/>
      <c r="AZ112" s="705"/>
      <c r="BA112" s="705" t="s">
        <v>709</v>
      </c>
      <c r="BB112" s="705"/>
      <c r="BC112" s="705"/>
      <c r="BD112" s="705"/>
      <c r="BE112" s="705"/>
      <c r="BF112" s="705"/>
    </row>
    <row r="113" spans="1:59" ht="15">
      <c r="A113" s="343" t="str">
        <f>A$51&amp;" - "&amp;VLOOKUP(RIGHT(C113,3),NameConv!$E$3:$F$16,2,FALSE)&amp;" - Existing"</f>
        <v>Commercial - Other - Coal - Existing</v>
      </c>
      <c r="B113" s="343" t="str">
        <f t="shared" ref="B113:B119" si="79">D113&amp;RIGHT(C113,3)&amp;"-E"</f>
        <v>CNOCOA-E</v>
      </c>
      <c r="C113" s="346" t="str">
        <f>$C$6</f>
        <v>COMCOA</v>
      </c>
      <c r="D113" s="346" t="str">
        <f>$B$51</f>
        <v>CNO</v>
      </c>
      <c r="E113" s="347">
        <f>Appliances!G46</f>
        <v>1</v>
      </c>
      <c r="F113" s="382">
        <f>SUMIF(AFA!$B$2:$J$2,D113,AFA!$B$4:$J$4)</f>
        <v>0.64739999999999998</v>
      </c>
      <c r="G113" s="348">
        <v>15</v>
      </c>
      <c r="H113" s="349">
        <f t="shared" ref="H113:H119" si="80">(N113/F113)*(1+$H$55)</f>
        <v>0</v>
      </c>
      <c r="I113" s="349">
        <f>SUMIF('Technology costs'!$B$7:$B$28,COM_2012!B113,'Technology costs'!$L$7:$L$28)</f>
        <v>410.88682603593844</v>
      </c>
      <c r="J113" s="349">
        <f t="shared" si="25"/>
        <v>41.088682603593845</v>
      </c>
      <c r="L113" s="350">
        <v>0</v>
      </c>
      <c r="M113" s="349">
        <f t="shared" ref="M113:M119" si="81">L113*SUMIF($C$6:$J$6,C113,$C$51:$J$51)</f>
        <v>0</v>
      </c>
      <c r="N113" s="349">
        <f t="shared" ref="N113:N119" si="82">M113*E113</f>
        <v>0</v>
      </c>
      <c r="P113" s="479"/>
      <c r="Q113" s="411"/>
      <c r="R113" s="411">
        <f>' COM_2017_old'!R113</f>
        <v>0</v>
      </c>
      <c r="S113" s="411">
        <f>R113</f>
        <v>0</v>
      </c>
      <c r="T113" s="411">
        <f>S113</f>
        <v>0</v>
      </c>
      <c r="U113" s="411">
        <f>T113</f>
        <v>0</v>
      </c>
      <c r="V113" s="411">
        <f t="shared" ref="V113" si="83">U113</f>
        <v>0</v>
      </c>
      <c r="W113" s="411">
        <f t="shared" ref="W113" si="84">V113</f>
        <v>0</v>
      </c>
      <c r="X113" s="411">
        <f t="shared" ref="X113" si="85">W113</f>
        <v>0</v>
      </c>
      <c r="Y113" s="411">
        <f t="shared" ref="Y113" si="86">X113</f>
        <v>0</v>
      </c>
      <c r="AA113" s="410"/>
      <c r="AB113" s="411"/>
      <c r="AC113" s="410">
        <f t="shared" ref="AC113:AC119" si="87">R113/(1+$P$54+$AA$54)</f>
        <v>0</v>
      </c>
      <c r="AD113" s="411">
        <f t="shared" ref="AD113:AJ119" si="88">$AC113*AD$52</f>
        <v>0</v>
      </c>
      <c r="AE113" s="411">
        <f t="shared" si="88"/>
        <v>0</v>
      </c>
      <c r="AF113" s="411">
        <f t="shared" si="88"/>
        <v>0</v>
      </c>
      <c r="AG113" s="411">
        <f t="shared" si="88"/>
        <v>0</v>
      </c>
      <c r="AH113" s="411">
        <f t="shared" si="88"/>
        <v>0</v>
      </c>
      <c r="AI113" s="411">
        <f t="shared" si="88"/>
        <v>0</v>
      </c>
      <c r="AJ113" s="411">
        <f t="shared" si="88"/>
        <v>0</v>
      </c>
      <c r="AK113" s="314">
        <f t="shared" si="27"/>
        <v>53</v>
      </c>
      <c r="AN113" s="389">
        <f t="shared" si="23"/>
        <v>0</v>
      </c>
      <c r="AR113" s="765" t="s">
        <v>1504</v>
      </c>
      <c r="AS113" t="s">
        <v>1424</v>
      </c>
      <c r="AT113" s="722" t="s">
        <v>1328</v>
      </c>
      <c r="AU113" s="705" t="s">
        <v>647</v>
      </c>
      <c r="AV113" s="705" t="s">
        <v>662</v>
      </c>
      <c r="AW113" s="314" t="s">
        <v>734</v>
      </c>
      <c r="AY113" s="705"/>
      <c r="AZ113" s="705"/>
      <c r="BA113" s="705" t="s">
        <v>1520</v>
      </c>
      <c r="BB113" s="705"/>
      <c r="BC113" s="705" t="str">
        <f t="shared" si="26"/>
        <v>CNO</v>
      </c>
      <c r="BD113" s="705" t="str">
        <f t="shared" si="24"/>
        <v>Commercial - Other - Coal - Existing</v>
      </c>
      <c r="BE113" s="705" t="s">
        <v>647</v>
      </c>
      <c r="BF113" s="705"/>
      <c r="BG113" s="314" t="s">
        <v>734</v>
      </c>
    </row>
    <row r="114" spans="1:59" ht="15">
      <c r="A114" s="343" t="str">
        <f>A$51&amp;" - "&amp;VLOOKUP(RIGHT(C114,3),NameConv!$E$3:$F$16,2,FALSE)&amp;" - Existing"</f>
        <v>Commercial - Other - Oil Diesel - Existing</v>
      </c>
      <c r="B114" s="343" t="str">
        <f t="shared" si="79"/>
        <v>CNOODS-E</v>
      </c>
      <c r="C114" s="346" t="str">
        <f>$D$6</f>
        <v>COMODS</v>
      </c>
      <c r="D114" s="346" t="str">
        <f t="shared" ref="D114:D119" si="89">$B$51</f>
        <v>CNO</v>
      </c>
      <c r="E114" s="347">
        <f>Appliances!G47</f>
        <v>0.9</v>
      </c>
      <c r="F114" s="382">
        <f>SUMIF(AFA!$B$2:$J$2,D114,AFA!$B$4:$J$4)</f>
        <v>0.64739999999999998</v>
      </c>
      <c r="G114" s="348">
        <v>15</v>
      </c>
      <c r="H114" s="349">
        <f t="shared" si="80"/>
        <v>0</v>
      </c>
      <c r="I114" s="349">
        <f>SUMIF('Technology costs'!$B$7:$B$28,COM_2012!B114,'Technology costs'!$L$7:$L$28)</f>
        <v>410.88682603593844</v>
      </c>
      <c r="J114" s="349">
        <f t="shared" si="25"/>
        <v>41.088682603593845</v>
      </c>
      <c r="L114" s="350">
        <v>0</v>
      </c>
      <c r="M114" s="349">
        <f t="shared" si="81"/>
        <v>0</v>
      </c>
      <c r="N114" s="349">
        <f t="shared" si="82"/>
        <v>0</v>
      </c>
      <c r="P114" s="479"/>
      <c r="Q114" s="411"/>
      <c r="R114" s="411">
        <f>' COM_2017_old'!R114</f>
        <v>8.0155986977309329E-2</v>
      </c>
      <c r="S114" s="411">
        <f t="shared" ref="S114:Y118" si="90">MIN(1,$R114+S$52)</f>
        <v>0.11015598697730933</v>
      </c>
      <c r="T114" s="411">
        <f t="shared" si="90"/>
        <v>0.18015598697730933</v>
      </c>
      <c r="U114" s="411">
        <f t="shared" si="90"/>
        <v>0.38015598697730935</v>
      </c>
      <c r="V114" s="411">
        <f t="shared" si="90"/>
        <v>0.5801559869773093</v>
      </c>
      <c r="W114" s="411">
        <f t="shared" si="90"/>
        <v>0.78015598697730926</v>
      </c>
      <c r="X114" s="411">
        <f t="shared" si="90"/>
        <v>0.98015598697730932</v>
      </c>
      <c r="Y114" s="411">
        <f t="shared" si="90"/>
        <v>1</v>
      </c>
      <c r="AA114" s="410"/>
      <c r="AB114" s="411"/>
      <c r="AC114" s="410">
        <f t="shared" si="87"/>
        <v>7.7073064401258967E-2</v>
      </c>
      <c r="AD114" s="411">
        <f t="shared" si="88"/>
        <v>7.4760872469221196E-2</v>
      </c>
      <c r="AE114" s="411">
        <f t="shared" si="88"/>
        <v>6.9365757961133076E-2</v>
      </c>
      <c r="AF114" s="411">
        <f t="shared" si="88"/>
        <v>5.3951145080881273E-2</v>
      </c>
      <c r="AG114" s="411">
        <f t="shared" si="88"/>
        <v>3.8536532200629484E-2</v>
      </c>
      <c r="AH114" s="411">
        <f t="shared" si="88"/>
        <v>2.3121919320377691E-2</v>
      </c>
      <c r="AI114" s="411">
        <f t="shared" si="88"/>
        <v>7.7073064401258972E-3</v>
      </c>
      <c r="AJ114" s="411">
        <f t="shared" si="88"/>
        <v>0</v>
      </c>
      <c r="AK114" s="314">
        <f t="shared" si="27"/>
        <v>54</v>
      </c>
      <c r="AN114" s="389">
        <f t="shared" si="23"/>
        <v>0</v>
      </c>
      <c r="AR114" s="765" t="s">
        <v>1504</v>
      </c>
      <c r="AS114" t="s">
        <v>1425</v>
      </c>
      <c r="AT114" s="722" t="s">
        <v>1330</v>
      </c>
      <c r="AU114" s="705" t="s">
        <v>647</v>
      </c>
      <c r="AV114" s="705" t="s">
        <v>662</v>
      </c>
      <c r="AW114" s="314" t="s">
        <v>734</v>
      </c>
      <c r="AY114" s="705"/>
      <c r="AZ114" s="705"/>
      <c r="BA114" s="705" t="s">
        <v>1520</v>
      </c>
      <c r="BB114" s="705"/>
      <c r="BC114" s="705" t="str">
        <f t="shared" si="26"/>
        <v>CNO</v>
      </c>
      <c r="BD114" s="705" t="str">
        <f t="shared" si="24"/>
        <v>Commercial - Other - Oil Diesel - Existing</v>
      </c>
      <c r="BE114" s="705" t="s">
        <v>647</v>
      </c>
      <c r="BF114" s="705"/>
      <c r="BG114" s="314" t="s">
        <v>734</v>
      </c>
    </row>
    <row r="115" spans="1:59" ht="15">
      <c r="A115" s="343" t="str">
        <f>A$51&amp;" - "&amp;VLOOKUP(RIGHT(C115,3),NameConv!$E$3:$F$16,2,FALSE)&amp;" - Existing"</f>
        <v>Commercial - Other - Electricity - Existing</v>
      </c>
      <c r="B115" s="343" t="str">
        <f t="shared" si="79"/>
        <v>CNOELC-E</v>
      </c>
      <c r="C115" s="346" t="str">
        <f>$E$6</f>
        <v>COMELC</v>
      </c>
      <c r="D115" s="346" t="str">
        <f t="shared" si="89"/>
        <v>CNO</v>
      </c>
      <c r="E115" s="347">
        <f>Appliances!G45</f>
        <v>0.75</v>
      </c>
      <c r="F115" s="382">
        <f>SUMIF(AFA!$B$2:$J$2,D115,AFA!$B$4:$J$4)</f>
        <v>0.64739999999999998</v>
      </c>
      <c r="G115" s="348">
        <v>15</v>
      </c>
      <c r="H115" s="349">
        <f t="shared" si="80"/>
        <v>0</v>
      </c>
      <c r="I115" s="349">
        <f>SUMIF('Technology costs'!$B$7:$B$28,COM_2012!B115,'Technology costs'!$L$7:$L$28)</f>
        <v>410.88682603593844</v>
      </c>
      <c r="J115" s="349">
        <f t="shared" si="25"/>
        <v>41.088682603593845</v>
      </c>
      <c r="L115" s="350">
        <v>0</v>
      </c>
      <c r="M115" s="349">
        <f t="shared" si="81"/>
        <v>0</v>
      </c>
      <c r="N115" s="349">
        <f t="shared" si="82"/>
        <v>0</v>
      </c>
      <c r="P115" s="479"/>
      <c r="Q115" s="411"/>
      <c r="R115" s="411">
        <f>' COM_2017_old'!R115</f>
        <v>0.91599197105171759</v>
      </c>
      <c r="S115" s="411">
        <f t="shared" si="90"/>
        <v>0.94599197105171762</v>
      </c>
      <c r="T115" s="411">
        <f t="shared" si="90"/>
        <v>1</v>
      </c>
      <c r="U115" s="411">
        <f t="shared" si="90"/>
        <v>1</v>
      </c>
      <c r="V115" s="411">
        <f t="shared" si="90"/>
        <v>1</v>
      </c>
      <c r="W115" s="411">
        <f t="shared" si="90"/>
        <v>1</v>
      </c>
      <c r="X115" s="411">
        <f t="shared" si="90"/>
        <v>1</v>
      </c>
      <c r="Y115" s="411">
        <f t="shared" si="90"/>
        <v>1</v>
      </c>
      <c r="AA115" s="410"/>
      <c r="AB115" s="411"/>
      <c r="AC115" s="410">
        <f t="shared" si="87"/>
        <v>0.88076151062665153</v>
      </c>
      <c r="AD115" s="411">
        <f t="shared" si="88"/>
        <v>0.85433866530785196</v>
      </c>
      <c r="AE115" s="411">
        <f t="shared" si="88"/>
        <v>0.79268535956398645</v>
      </c>
      <c r="AF115" s="411">
        <f t="shared" si="88"/>
        <v>0.61653305743865605</v>
      </c>
      <c r="AG115" s="411">
        <f t="shared" si="88"/>
        <v>0.44038075531332577</v>
      </c>
      <c r="AH115" s="411">
        <f t="shared" si="88"/>
        <v>0.26422845318799543</v>
      </c>
      <c r="AI115" s="411">
        <f t="shared" si="88"/>
        <v>8.8076151062665156E-2</v>
      </c>
      <c r="AJ115" s="411">
        <f t="shared" si="88"/>
        <v>0</v>
      </c>
      <c r="AK115" s="314">
        <f t="shared" si="27"/>
        <v>55</v>
      </c>
      <c r="AN115" s="389">
        <f t="shared" si="23"/>
        <v>0</v>
      </c>
      <c r="AR115" s="765" t="s">
        <v>1504</v>
      </c>
      <c r="AS115" t="s">
        <v>1426</v>
      </c>
      <c r="AT115" s="722" t="s">
        <v>1332</v>
      </c>
      <c r="AU115" s="705" t="s">
        <v>647</v>
      </c>
      <c r="AV115" s="705" t="s">
        <v>662</v>
      </c>
      <c r="AW115" s="314" t="s">
        <v>734</v>
      </c>
      <c r="AY115" s="705"/>
      <c r="AZ115" s="705"/>
      <c r="BA115" s="705" t="s">
        <v>1520</v>
      </c>
      <c r="BB115" s="705"/>
      <c r="BC115" s="705" t="str">
        <f t="shared" si="26"/>
        <v>CNO</v>
      </c>
      <c r="BD115" s="705" t="str">
        <f t="shared" si="24"/>
        <v>Commercial - Other - Electricity - Existing</v>
      </c>
      <c r="BE115" s="705" t="s">
        <v>647</v>
      </c>
      <c r="BF115" s="705"/>
      <c r="BG115" s="314" t="s">
        <v>1503</v>
      </c>
    </row>
    <row r="116" spans="1:59" ht="15">
      <c r="A116" s="343" t="str">
        <f>A$51&amp;" - "&amp;VLOOKUP(RIGHT(C116,3),NameConv!$E$3:$F$16,2,FALSE)&amp;" - Existing"</f>
        <v>Commercial - Other - Gas - Existing</v>
      </c>
      <c r="B116" s="343" t="str">
        <f t="shared" si="79"/>
        <v>CNOGAS-E</v>
      </c>
      <c r="C116" s="346" t="str">
        <f>$F$6</f>
        <v>COMGAS</v>
      </c>
      <c r="D116" s="346" t="str">
        <f t="shared" si="89"/>
        <v>CNO</v>
      </c>
      <c r="E116" s="347">
        <v>1</v>
      </c>
      <c r="F116" s="382">
        <f>SUMIF(AFA!$B$2:$J$2,D116,AFA!$B$4:$J$4)</f>
        <v>0.64739999999999998</v>
      </c>
      <c r="G116" s="348">
        <v>15</v>
      </c>
      <c r="H116" s="349">
        <f t="shared" si="80"/>
        <v>0</v>
      </c>
      <c r="I116" s="349">
        <f>SUMIF('Technology costs'!$B$7:$B$28,COM_2012!B116,'Technology costs'!$L$7:$L$28)</f>
        <v>410.88682603593844</v>
      </c>
      <c r="J116" s="349">
        <f t="shared" si="25"/>
        <v>41.088682603593845</v>
      </c>
      <c r="L116" s="350">
        <v>0</v>
      </c>
      <c r="M116" s="349">
        <f t="shared" si="81"/>
        <v>0</v>
      </c>
      <c r="N116" s="349">
        <f t="shared" si="82"/>
        <v>0</v>
      </c>
      <c r="P116" s="479"/>
      <c r="Q116" s="411"/>
      <c r="R116" s="411">
        <f>' COM_2017_old'!R116</f>
        <v>0</v>
      </c>
      <c r="S116" s="411">
        <f t="shared" si="90"/>
        <v>0.03</v>
      </c>
      <c r="T116" s="411">
        <f t="shared" si="90"/>
        <v>0.1</v>
      </c>
      <c r="U116" s="411">
        <f t="shared" si="90"/>
        <v>0.3</v>
      </c>
      <c r="V116" s="411">
        <f t="shared" si="90"/>
        <v>0.5</v>
      </c>
      <c r="W116" s="411">
        <f t="shared" si="90"/>
        <v>0.7</v>
      </c>
      <c r="X116" s="411">
        <f t="shared" si="90"/>
        <v>0.9</v>
      </c>
      <c r="Y116" s="411">
        <f t="shared" si="90"/>
        <v>1</v>
      </c>
      <c r="AA116" s="410"/>
      <c r="AB116" s="411"/>
      <c r="AC116" s="410">
        <f t="shared" si="87"/>
        <v>0</v>
      </c>
      <c r="AD116" s="411">
        <f t="shared" si="88"/>
        <v>0</v>
      </c>
      <c r="AE116" s="411">
        <f t="shared" si="88"/>
        <v>0</v>
      </c>
      <c r="AF116" s="411">
        <f t="shared" si="88"/>
        <v>0</v>
      </c>
      <c r="AG116" s="411">
        <f t="shared" si="88"/>
        <v>0</v>
      </c>
      <c r="AH116" s="411">
        <f t="shared" si="88"/>
        <v>0</v>
      </c>
      <c r="AI116" s="411">
        <f t="shared" si="88"/>
        <v>0</v>
      </c>
      <c r="AJ116" s="411">
        <f t="shared" si="88"/>
        <v>0</v>
      </c>
      <c r="AK116" s="314">
        <f t="shared" si="27"/>
        <v>56</v>
      </c>
      <c r="AN116" s="389">
        <f t="shared" si="23"/>
        <v>0</v>
      </c>
      <c r="AR116" s="765" t="s">
        <v>1504</v>
      </c>
      <c r="AS116" t="s">
        <v>1427</v>
      </c>
      <c r="AT116" s="722" t="s">
        <v>1334</v>
      </c>
      <c r="AU116" s="705" t="s">
        <v>647</v>
      </c>
      <c r="AV116" s="705" t="s">
        <v>662</v>
      </c>
      <c r="AW116" s="314" t="s">
        <v>734</v>
      </c>
      <c r="AY116" s="705"/>
      <c r="AZ116" s="705"/>
      <c r="BA116" s="705" t="s">
        <v>1520</v>
      </c>
      <c r="BB116" s="705"/>
      <c r="BC116" s="705" t="str">
        <f t="shared" si="26"/>
        <v>CNO</v>
      </c>
      <c r="BD116" s="705" t="str">
        <f t="shared" si="24"/>
        <v>Commercial - Other - Gas - Existing</v>
      </c>
      <c r="BE116" s="705" t="s">
        <v>647</v>
      </c>
      <c r="BF116" s="705"/>
      <c r="BG116" s="314" t="s">
        <v>734</v>
      </c>
    </row>
    <row r="117" spans="1:59" ht="15">
      <c r="A117" s="343" t="str">
        <f>A$51&amp;" - "&amp;VLOOKUP(RIGHT(C117,3),NameConv!$E$3:$F$16,2,FALSE)&amp;" - Existing"</f>
        <v>Commercial - Other - Oil Gasoline - Existing</v>
      </c>
      <c r="B117" s="343" t="str">
        <f t="shared" si="79"/>
        <v>CNOOGS-E</v>
      </c>
      <c r="C117" s="346" t="str">
        <f>$G$6</f>
        <v>COMOGS</v>
      </c>
      <c r="D117" s="346" t="str">
        <f t="shared" si="89"/>
        <v>CNO</v>
      </c>
      <c r="E117" s="347">
        <v>1</v>
      </c>
      <c r="F117" s="382">
        <f>SUMIF(AFA!$B$2:$J$2,D117,AFA!$B$4:$J$4)</f>
        <v>0.64739999999999998</v>
      </c>
      <c r="G117" s="348">
        <v>15</v>
      </c>
      <c r="H117" s="349">
        <f t="shared" si="80"/>
        <v>0</v>
      </c>
      <c r="I117" s="349">
        <f>SUMIF('Technology costs'!$B$7:$B$28,COM_2012!B117,'Technology costs'!$L$7:$L$28)</f>
        <v>410.88682603593844</v>
      </c>
      <c r="J117" s="349">
        <f t="shared" si="25"/>
        <v>41.088682603593845</v>
      </c>
      <c r="L117" s="350">
        <v>0</v>
      </c>
      <c r="M117" s="349">
        <f t="shared" si="81"/>
        <v>0</v>
      </c>
      <c r="N117" s="349">
        <f t="shared" si="82"/>
        <v>0</v>
      </c>
      <c r="P117" s="479"/>
      <c r="Q117" s="411"/>
      <c r="R117" s="411">
        <f>' COM_2017_old'!R117</f>
        <v>0</v>
      </c>
      <c r="S117" s="411">
        <f t="shared" si="90"/>
        <v>0.03</v>
      </c>
      <c r="T117" s="411">
        <f t="shared" si="90"/>
        <v>0.1</v>
      </c>
      <c r="U117" s="411">
        <f t="shared" si="90"/>
        <v>0.3</v>
      </c>
      <c r="V117" s="411">
        <f t="shared" si="90"/>
        <v>0.5</v>
      </c>
      <c r="W117" s="411">
        <f t="shared" si="90"/>
        <v>0.7</v>
      </c>
      <c r="X117" s="411">
        <f t="shared" si="90"/>
        <v>0.9</v>
      </c>
      <c r="Y117" s="411">
        <f t="shared" si="90"/>
        <v>1</v>
      </c>
      <c r="AA117" s="410"/>
      <c r="AB117" s="411"/>
      <c r="AC117" s="410">
        <f t="shared" si="87"/>
        <v>0</v>
      </c>
      <c r="AD117" s="411">
        <f t="shared" si="88"/>
        <v>0</v>
      </c>
      <c r="AE117" s="411">
        <f t="shared" si="88"/>
        <v>0</v>
      </c>
      <c r="AF117" s="411">
        <f t="shared" si="88"/>
        <v>0</v>
      </c>
      <c r="AG117" s="411">
        <f t="shared" si="88"/>
        <v>0</v>
      </c>
      <c r="AH117" s="411">
        <f t="shared" si="88"/>
        <v>0</v>
      </c>
      <c r="AI117" s="411">
        <f t="shared" si="88"/>
        <v>0</v>
      </c>
      <c r="AJ117" s="411">
        <f t="shared" si="88"/>
        <v>0</v>
      </c>
      <c r="AK117" s="314">
        <f t="shared" si="27"/>
        <v>57</v>
      </c>
      <c r="AN117" s="389">
        <f t="shared" si="23"/>
        <v>0</v>
      </c>
      <c r="AR117" s="765" t="s">
        <v>1504</v>
      </c>
      <c r="AS117" t="s">
        <v>1428</v>
      </c>
      <c r="AT117" s="722" t="s">
        <v>1336</v>
      </c>
      <c r="AU117" s="705" t="s">
        <v>647</v>
      </c>
      <c r="AV117" s="705" t="s">
        <v>662</v>
      </c>
      <c r="AW117" s="314" t="s">
        <v>734</v>
      </c>
      <c r="AY117" s="705"/>
      <c r="AZ117" s="705"/>
      <c r="BA117" s="705" t="s">
        <v>1520</v>
      </c>
      <c r="BB117" s="705"/>
      <c r="BC117" s="705" t="str">
        <f t="shared" si="26"/>
        <v>CNO</v>
      </c>
      <c r="BD117" s="705" t="str">
        <f t="shared" si="24"/>
        <v>Commercial - Other - Oil Gasoline - Existing</v>
      </c>
      <c r="BE117" s="705" t="s">
        <v>647</v>
      </c>
      <c r="BF117" s="705"/>
      <c r="BG117" s="314" t="s">
        <v>734</v>
      </c>
    </row>
    <row r="118" spans="1:59" ht="15">
      <c r="A118" s="343" t="str">
        <f>A$51&amp;" - "&amp;VLOOKUP(RIGHT(C118,3),NameConv!$E$3:$F$16,2,FALSE)&amp;" - Existing"</f>
        <v>Commercial - Other - Oil HFO - Existing</v>
      </c>
      <c r="B118" s="343" t="str">
        <f t="shared" si="79"/>
        <v>CNOOHF-E</v>
      </c>
      <c r="C118" s="346" t="str">
        <f>$H$6</f>
        <v>COMOHF</v>
      </c>
      <c r="D118" s="346" t="str">
        <f t="shared" si="89"/>
        <v>CNO</v>
      </c>
      <c r="E118" s="347">
        <v>1</v>
      </c>
      <c r="F118" s="382">
        <f>SUMIF(AFA!$B$2:$J$2,D118,AFA!$B$4:$J$4)</f>
        <v>0.64739999999999998</v>
      </c>
      <c r="G118" s="348">
        <v>15</v>
      </c>
      <c r="H118" s="349">
        <f t="shared" si="80"/>
        <v>0</v>
      </c>
      <c r="I118" s="349">
        <f>SUMIF('Technology costs'!$B$7:$B$28,COM_2012!B118,'Technology costs'!$L$7:$L$28)</f>
        <v>410.88682603593844</v>
      </c>
      <c r="J118" s="349">
        <f t="shared" si="25"/>
        <v>41.088682603593845</v>
      </c>
      <c r="L118" s="350">
        <v>0</v>
      </c>
      <c r="M118" s="349">
        <f t="shared" si="81"/>
        <v>0</v>
      </c>
      <c r="N118" s="349">
        <f t="shared" si="82"/>
        <v>0</v>
      </c>
      <c r="P118" s="479"/>
      <c r="Q118" s="411"/>
      <c r="R118" s="411">
        <f>' COM_2017_old'!R118</f>
        <v>1.3852041970973023E-2</v>
      </c>
      <c r="S118" s="411">
        <f t="shared" si="90"/>
        <v>4.3852041970973019E-2</v>
      </c>
      <c r="T118" s="411">
        <f t="shared" si="90"/>
        <v>0.11385204197097303</v>
      </c>
      <c r="U118" s="411">
        <f t="shared" si="90"/>
        <v>0.31385204197097299</v>
      </c>
      <c r="V118" s="411">
        <f t="shared" si="90"/>
        <v>0.51385204197097301</v>
      </c>
      <c r="W118" s="411">
        <f t="shared" si="90"/>
        <v>0.71385204197097296</v>
      </c>
      <c r="X118" s="411">
        <f t="shared" si="90"/>
        <v>0.91385204197097303</v>
      </c>
      <c r="Y118" s="411">
        <f t="shared" si="90"/>
        <v>1</v>
      </c>
      <c r="AA118" s="410"/>
      <c r="AB118" s="411"/>
      <c r="AC118" s="410">
        <f t="shared" si="87"/>
        <v>1.3319271125935599E-2</v>
      </c>
      <c r="AD118" s="411">
        <f t="shared" si="88"/>
        <v>1.2919692992157531E-2</v>
      </c>
      <c r="AE118" s="411">
        <f t="shared" si="88"/>
        <v>1.198734401334204E-2</v>
      </c>
      <c r="AF118" s="411">
        <f t="shared" si="88"/>
        <v>9.3234897881549188E-3</v>
      </c>
      <c r="AG118" s="411">
        <f t="shared" si="88"/>
        <v>6.6596355629677997E-3</v>
      </c>
      <c r="AH118" s="411">
        <f t="shared" si="88"/>
        <v>3.9957813377806796E-3</v>
      </c>
      <c r="AI118" s="411">
        <f t="shared" si="88"/>
        <v>1.33192711259356E-3</v>
      </c>
      <c r="AJ118" s="411">
        <f t="shared" si="88"/>
        <v>0</v>
      </c>
      <c r="AK118" s="314">
        <f t="shared" si="27"/>
        <v>58</v>
      </c>
      <c r="AN118" s="389">
        <f t="shared" si="23"/>
        <v>0</v>
      </c>
      <c r="AR118" s="765" t="s">
        <v>1504</v>
      </c>
      <c r="AS118" t="s">
        <v>1429</v>
      </c>
      <c r="AT118" s="722" t="s">
        <v>1338</v>
      </c>
      <c r="AU118" s="705" t="s">
        <v>647</v>
      </c>
      <c r="AV118" s="705" t="s">
        <v>662</v>
      </c>
      <c r="AW118" s="314" t="s">
        <v>734</v>
      </c>
      <c r="AY118" s="705"/>
      <c r="AZ118" s="705"/>
      <c r="BA118" s="705" t="s">
        <v>1520</v>
      </c>
      <c r="BB118" s="705"/>
      <c r="BC118" s="705" t="str">
        <f t="shared" si="26"/>
        <v>CNO</v>
      </c>
      <c r="BD118" s="705" t="str">
        <f t="shared" si="24"/>
        <v>Commercial - Other - Oil HFO - Existing</v>
      </c>
      <c r="BE118" s="705" t="s">
        <v>647</v>
      </c>
      <c r="BF118" s="705"/>
      <c r="BG118" s="314" t="s">
        <v>734</v>
      </c>
    </row>
    <row r="119" spans="1:59" ht="15">
      <c r="A119" s="343" t="str">
        <f>A$51&amp;" - "&amp;VLOOKUP(RIGHT(C119,3),NameConv!$E$3:$F$16,2,FALSE)&amp;" - Existing"</f>
        <v>Commercial - Other - Oil Paraffin - Existing</v>
      </c>
      <c r="B119" s="343" t="str">
        <f t="shared" si="79"/>
        <v>CNOOKE-E</v>
      </c>
      <c r="C119" s="346" t="str">
        <f>$I$6</f>
        <v>COMOKE</v>
      </c>
      <c r="D119" s="346" t="str">
        <f t="shared" si="89"/>
        <v>CNO</v>
      </c>
      <c r="E119" s="347">
        <v>1</v>
      </c>
      <c r="F119" s="382">
        <f>SUMIF(AFA!$B$2:$J$2,D119,AFA!$B$4:$J$4)</f>
        <v>0.64739999999999998</v>
      </c>
      <c r="G119" s="348">
        <v>15</v>
      </c>
      <c r="H119" s="349">
        <f t="shared" si="80"/>
        <v>0</v>
      </c>
      <c r="I119" s="349">
        <f>SUMIF('Technology costs'!$B$7:$B$29,COM_2012!B119,'Technology costs'!$L$7:$L$29)</f>
        <v>410.88682603593844</v>
      </c>
      <c r="J119" s="349">
        <f>I119*0.1</f>
        <v>41.088682603593845</v>
      </c>
      <c r="L119" s="350">
        <v>0</v>
      </c>
      <c r="M119" s="349">
        <f t="shared" si="81"/>
        <v>0</v>
      </c>
      <c r="N119" s="349">
        <f t="shared" si="82"/>
        <v>0</v>
      </c>
      <c r="P119" s="479"/>
      <c r="Q119" s="411"/>
      <c r="R119" s="411">
        <f>' COM_2017_old'!R119</f>
        <v>0</v>
      </c>
      <c r="S119" s="411">
        <f t="shared" ref="S119:Y119" si="91">R119</f>
        <v>0</v>
      </c>
      <c r="T119" s="411">
        <f t="shared" si="91"/>
        <v>0</v>
      </c>
      <c r="U119" s="411">
        <f t="shared" si="91"/>
        <v>0</v>
      </c>
      <c r="V119" s="411">
        <f t="shared" si="91"/>
        <v>0</v>
      </c>
      <c r="W119" s="411">
        <f t="shared" si="91"/>
        <v>0</v>
      </c>
      <c r="X119" s="411">
        <f t="shared" si="91"/>
        <v>0</v>
      </c>
      <c r="Y119" s="411">
        <f t="shared" si="91"/>
        <v>0</v>
      </c>
      <c r="AA119" s="410"/>
      <c r="AB119" s="411"/>
      <c r="AC119" s="410">
        <f t="shared" si="87"/>
        <v>0</v>
      </c>
      <c r="AD119" s="411">
        <f t="shared" si="88"/>
        <v>0</v>
      </c>
      <c r="AE119" s="411">
        <f t="shared" si="88"/>
        <v>0</v>
      </c>
      <c r="AF119" s="411">
        <f t="shared" si="88"/>
        <v>0</v>
      </c>
      <c r="AG119" s="411">
        <f t="shared" si="88"/>
        <v>0</v>
      </c>
      <c r="AH119" s="411">
        <f t="shared" si="88"/>
        <v>0</v>
      </c>
      <c r="AI119" s="411">
        <f t="shared" si="88"/>
        <v>0</v>
      </c>
      <c r="AJ119" s="411">
        <f t="shared" si="88"/>
        <v>0</v>
      </c>
      <c r="AK119" s="314">
        <f t="shared" si="27"/>
        <v>59</v>
      </c>
      <c r="AN119" s="389">
        <f t="shared" si="23"/>
        <v>0</v>
      </c>
      <c r="AR119" s="765" t="s">
        <v>1504</v>
      </c>
      <c r="AS119" t="s">
        <v>1430</v>
      </c>
      <c r="AT119" s="722" t="s">
        <v>1340</v>
      </c>
      <c r="AU119" s="705" t="s">
        <v>647</v>
      </c>
      <c r="AV119" s="705" t="s">
        <v>662</v>
      </c>
      <c r="AW119" s="314" t="s">
        <v>734</v>
      </c>
      <c r="AY119" s="705"/>
      <c r="AZ119" s="705"/>
      <c r="BA119" s="705" t="s">
        <v>1520</v>
      </c>
      <c r="BB119" s="705"/>
      <c r="BC119" s="705" t="str">
        <f t="shared" si="26"/>
        <v>CNO</v>
      </c>
      <c r="BD119" s="705" t="str">
        <f t="shared" si="24"/>
        <v>Commercial - Other - Oil Paraffin - Existing</v>
      </c>
      <c r="BE119" s="705" t="s">
        <v>647</v>
      </c>
      <c r="BF119" s="705"/>
      <c r="BG119" s="314" t="s">
        <v>734</v>
      </c>
    </row>
    <row r="120" spans="1:59">
      <c r="A120" s="352" t="s">
        <v>1555</v>
      </c>
      <c r="L120" s="359"/>
      <c r="M120" s="356">
        <f>SUM(M113:M119)</f>
        <v>0</v>
      </c>
      <c r="N120" s="356">
        <f>SUM(N113:N119)</f>
        <v>0</v>
      </c>
      <c r="P120" s="479"/>
      <c r="AK120" s="314">
        <f t="shared" si="27"/>
        <v>60</v>
      </c>
      <c r="AN120" s="389">
        <f t="shared" si="23"/>
        <v>0</v>
      </c>
      <c r="AO120" t="e">
        <f>SUM(AN113:AN119)/SUM(P113:P119)</f>
        <v>#DIV/0!</v>
      </c>
      <c r="AR120" s="765" t="s">
        <v>709</v>
      </c>
      <c r="AT120" s="705"/>
      <c r="AU120" s="705"/>
      <c r="AV120" s="314"/>
      <c r="AW120" s="314"/>
      <c r="AY120" s="705"/>
      <c r="AZ120" s="705"/>
      <c r="BA120" s="705"/>
      <c r="BB120" s="705"/>
      <c r="BC120" s="705"/>
      <c r="BD120" s="705"/>
      <c r="BE120" s="705"/>
      <c r="BF120" s="705"/>
      <c r="BG120" s="705"/>
    </row>
    <row r="121" spans="1:59" s="361" customFormat="1">
      <c r="A121" s="360" t="s">
        <v>1556</v>
      </c>
      <c r="B121" s="361">
        <f>SUMPRODUCT(--(B61:B120&lt;&gt;""))</f>
        <v>43</v>
      </c>
      <c r="O121" s="361">
        <f>ROW()-56</f>
        <v>65</v>
      </c>
      <c r="AK121" s="314">
        <f t="shared" si="27"/>
        <v>61</v>
      </c>
    </row>
  </sheetData>
  <mergeCells count="1">
    <mergeCell ref="B1:D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8"/>
  <dimension ref="A1:W32"/>
  <sheetViews>
    <sheetView workbookViewId="0">
      <selection activeCell="F17" sqref="F17"/>
    </sheetView>
  </sheetViews>
  <sheetFormatPr defaultColWidth="11.42578125" defaultRowHeight="12.75"/>
  <cols>
    <col min="1" max="1" width="11.42578125" style="1"/>
    <col min="2" max="3" width="15" style="1" customWidth="1"/>
    <col min="4" max="5" width="11.42578125" style="1"/>
    <col min="6" max="6" width="14" style="1" customWidth="1"/>
    <col min="7" max="8" width="11.42578125" style="1"/>
    <col min="9" max="9" width="24.140625" style="1" customWidth="1"/>
    <col min="10"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row>
    <row r="3" spans="1:23">
      <c r="A3" s="21" t="s">
        <v>181</v>
      </c>
    </row>
    <row r="4" spans="1:23">
      <c r="A4" s="46" t="s">
        <v>182</v>
      </c>
    </row>
    <row r="5" spans="1:23">
      <c r="A5" s="47" t="s">
        <v>183</v>
      </c>
      <c r="B5" s="41"/>
      <c r="C5" s="41"/>
      <c r="D5" s="41"/>
      <c r="E5" s="41"/>
      <c r="F5" s="41"/>
      <c r="G5" s="41"/>
      <c r="N5" s="41"/>
      <c r="O5" s="41"/>
      <c r="P5" s="41"/>
      <c r="Q5" s="41"/>
      <c r="R5" s="41"/>
      <c r="S5" s="41"/>
      <c r="T5" s="41"/>
      <c r="U5" s="41"/>
      <c r="V5" s="41"/>
      <c r="W5" s="41"/>
    </row>
    <row r="6" spans="1:23">
      <c r="B6" s="41"/>
      <c r="C6" s="41"/>
      <c r="D6" s="41"/>
      <c r="E6" s="41"/>
      <c r="F6" s="41"/>
      <c r="G6" s="41"/>
      <c r="N6" s="41"/>
      <c r="O6" s="41"/>
      <c r="P6" s="41"/>
      <c r="Q6" s="41"/>
      <c r="R6" s="41"/>
      <c r="S6" s="41"/>
      <c r="T6" s="41"/>
      <c r="U6" s="41"/>
      <c r="V6" s="41"/>
      <c r="W6" s="41"/>
    </row>
    <row r="7" spans="1:23" s="44" customFormat="1">
      <c r="A7" s="42" t="s">
        <v>524</v>
      </c>
      <c r="B7" s="43"/>
      <c r="C7" s="43"/>
      <c r="D7" s="43"/>
      <c r="E7" s="43"/>
      <c r="F7" s="43"/>
      <c r="G7" s="43"/>
      <c r="H7" s="43"/>
      <c r="I7" s="43"/>
      <c r="J7" s="43"/>
      <c r="K7" s="43"/>
      <c r="L7" s="43"/>
      <c r="M7" s="43"/>
      <c r="N7" s="43"/>
      <c r="O7" s="43"/>
      <c r="P7" s="43"/>
      <c r="Q7" s="43"/>
      <c r="R7" s="43"/>
      <c r="S7" s="43"/>
      <c r="T7" s="43"/>
      <c r="U7" s="43"/>
      <c r="V7" s="43"/>
      <c r="W7" s="43"/>
    </row>
    <row r="9" spans="1:23" ht="25.5">
      <c r="A9" s="9"/>
      <c r="B9" s="223" t="s">
        <v>42</v>
      </c>
      <c r="C9" s="223" t="s">
        <v>468</v>
      </c>
      <c r="D9" s="223" t="s">
        <v>469</v>
      </c>
      <c r="E9" s="223" t="s">
        <v>470</v>
      </c>
      <c r="F9" s="223" t="s">
        <v>471</v>
      </c>
      <c r="G9" s="223" t="s">
        <v>472</v>
      </c>
      <c r="H9" s="223" t="s">
        <v>43</v>
      </c>
      <c r="I9" s="9" t="s">
        <v>525</v>
      </c>
    </row>
    <row r="10" spans="1:23" ht="38.25">
      <c r="A10" s="9">
        <v>2001</v>
      </c>
      <c r="B10" s="63">
        <f>'End use share 2001'!B30</f>
        <v>192.82227918136772</v>
      </c>
      <c r="C10" s="63">
        <f>'End use share 2001'!C30</f>
        <v>165.62422630478213</v>
      </c>
      <c r="D10" s="63">
        <f>'End use share 2001'!D30</f>
        <v>121.4395134703916</v>
      </c>
      <c r="E10" s="63">
        <f>'End use share 2001'!E30</f>
        <v>315.44728348051859</v>
      </c>
      <c r="F10" s="63">
        <f>'End use share 2001'!F30</f>
        <v>42.641403448060323</v>
      </c>
      <c r="G10" s="63">
        <f>'End use share 2001'!G30</f>
        <v>6.1728212164208811</v>
      </c>
      <c r="H10" s="63">
        <f>'End use share 2001'!H30</f>
        <v>132.62365359084572</v>
      </c>
      <c r="I10" s="58" t="s">
        <v>526</v>
      </c>
    </row>
    <row r="11" spans="1:23">
      <c r="A11" s="224" t="s">
        <v>527</v>
      </c>
      <c r="B11" s="63">
        <f>'End use share 2006c'!B29</f>
        <v>218.17943671489073</v>
      </c>
      <c r="C11" s="63">
        <f>'End use share 2006c'!C29</f>
        <v>85.604129326719132</v>
      </c>
      <c r="D11" s="63">
        <f>'End use share 2006c'!D29</f>
        <v>108.96184669609595</v>
      </c>
      <c r="E11" s="63">
        <f>'End use share 2006c'!E29</f>
        <v>403.09209017123828</v>
      </c>
      <c r="F11" s="63">
        <f>'End use share 2006c'!F29</f>
        <v>241.49231565906314</v>
      </c>
      <c r="G11" s="63">
        <f>'End use share 2006c'!G29</f>
        <v>80.903983997986387</v>
      </c>
      <c r="H11" s="63">
        <f>'End use share 2006c'!J29</f>
        <v>201.94204307156565</v>
      </c>
      <c r="I11" s="58"/>
    </row>
    <row r="12" spans="1:23">
      <c r="A12" s="6"/>
    </row>
    <row r="13" spans="1:23" ht="25.5">
      <c r="A13" s="12"/>
      <c r="B13" s="223" t="s">
        <v>42</v>
      </c>
      <c r="C13" s="223" t="s">
        <v>468</v>
      </c>
      <c r="D13" s="223" t="s">
        <v>469</v>
      </c>
      <c r="E13" s="223" t="s">
        <v>470</v>
      </c>
      <c r="F13" s="223" t="s">
        <v>471</v>
      </c>
      <c r="G13" s="223" t="s">
        <v>472</v>
      </c>
      <c r="H13" s="223" t="s">
        <v>43</v>
      </c>
    </row>
    <row r="14" spans="1:23">
      <c r="A14" s="12">
        <f t="shared" ref="A14:H15" si="0">A10</f>
        <v>2001</v>
      </c>
      <c r="B14" s="63">
        <f t="shared" si="0"/>
        <v>192.82227918136772</v>
      </c>
      <c r="C14" s="63">
        <f t="shared" si="0"/>
        <v>165.62422630478213</v>
      </c>
      <c r="D14" s="63">
        <f t="shared" si="0"/>
        <v>121.4395134703916</v>
      </c>
      <c r="E14" s="63">
        <f>E10</f>
        <v>315.44728348051859</v>
      </c>
      <c r="F14" s="63">
        <f t="shared" si="0"/>
        <v>42.641403448060323</v>
      </c>
      <c r="G14" s="63">
        <f t="shared" si="0"/>
        <v>6.1728212164208811</v>
      </c>
      <c r="H14" s="63">
        <f t="shared" si="0"/>
        <v>132.62365359084572</v>
      </c>
    </row>
    <row r="15" spans="1:23">
      <c r="A15" s="12">
        <v>2006</v>
      </c>
      <c r="B15" s="63">
        <f t="shared" si="0"/>
        <v>218.17943671489073</v>
      </c>
      <c r="C15" s="63">
        <f t="shared" si="0"/>
        <v>85.604129326719132</v>
      </c>
      <c r="D15" s="63">
        <f t="shared" si="0"/>
        <v>108.96184669609595</v>
      </c>
      <c r="E15" s="63">
        <f t="shared" si="0"/>
        <v>403.09209017123828</v>
      </c>
      <c r="F15" s="63">
        <f t="shared" si="0"/>
        <v>241.49231565906314</v>
      </c>
      <c r="G15" s="63">
        <f t="shared" si="0"/>
        <v>80.903983997986387</v>
      </c>
      <c r="H15" s="63">
        <f t="shared" si="0"/>
        <v>201.94204307156565</v>
      </c>
    </row>
    <row r="16" spans="1:23">
      <c r="G16" s="103"/>
    </row>
    <row r="17" spans="1:7">
      <c r="G17" s="103"/>
    </row>
    <row r="18" spans="1:7">
      <c r="A18" s="143" t="s">
        <v>467</v>
      </c>
      <c r="B18" s="14">
        <v>2001</v>
      </c>
      <c r="C18" s="14">
        <v>2006</v>
      </c>
      <c r="D18" s="14">
        <v>1994</v>
      </c>
      <c r="G18" s="103"/>
    </row>
    <row r="19" spans="1:7">
      <c r="A19" s="225" t="s">
        <v>137</v>
      </c>
      <c r="B19" s="226">
        <f>'End use share 2001'!I24</f>
        <v>731.26290587106166</v>
      </c>
      <c r="C19" s="226">
        <f>'2006 Energy data '!B11/'floor space forecast_SA'!$C$34</f>
        <v>1098.0528704307048</v>
      </c>
      <c r="D19" s="226">
        <f>'End use share 1994'!J19</f>
        <v>816.09831029185875</v>
      </c>
      <c r="G19" s="103"/>
    </row>
    <row r="20" spans="1:7">
      <c r="A20" s="225" t="s">
        <v>138</v>
      </c>
      <c r="B20" s="226">
        <f>'End use share 2001'!I25</f>
        <v>0.1381718083601868</v>
      </c>
      <c r="C20" s="226">
        <f>'2006 Energy data '!B12/'floor space forecast_SA'!$C$34</f>
        <v>9.7810037339389325E-2</v>
      </c>
      <c r="D20" s="226">
        <f>'End use share 1994'!J20</f>
        <v>30.952380952380956</v>
      </c>
    </row>
    <row r="21" spans="1:7">
      <c r="A21" s="225" t="s">
        <v>139</v>
      </c>
      <c r="B21" s="226">
        <f>'End use share 2001'!I26</f>
        <v>1.7271476045023351</v>
      </c>
      <c r="C21" s="226">
        <f>'2006 Energy data '!B13/'floor space forecast_SA'!$C$34</f>
        <v>2.6245693352736135</v>
      </c>
      <c r="D21" s="226">
        <f>'End use share 1994'!J21</f>
        <v>2.350230414746544</v>
      </c>
    </row>
    <row r="22" spans="1:7">
      <c r="A22" s="225" t="s">
        <v>141</v>
      </c>
      <c r="B22" s="226">
        <f>'End use share 2001'!I27</f>
        <v>230.28634726697803</v>
      </c>
      <c r="C22" s="226">
        <f>'2006 Energy data '!B14/'floor space forecast_SA'!$C$34</f>
        <v>609.58475604485409</v>
      </c>
      <c r="D22" s="226">
        <f>'End use share 1994'!J22</f>
        <v>250.38402457757297</v>
      </c>
    </row>
    <row r="23" spans="1:7">
      <c r="A23" s="225" t="s">
        <v>464</v>
      </c>
      <c r="B23" s="226">
        <f>'End use share 2001'!I28</f>
        <v>0</v>
      </c>
      <c r="C23" s="226">
        <f>'2006 Energy data '!B15/'floor space forecast_SA'!$C$34</f>
        <v>144.81273229119734</v>
      </c>
      <c r="D23" s="226">
        <f>'End use share 1994'!J23</f>
        <v>43.824884792626733</v>
      </c>
    </row>
    <row r="24" spans="1:7">
      <c r="A24" s="225" t="s">
        <v>473</v>
      </c>
      <c r="B24" s="226">
        <f>'End use share 2001'!I29</f>
        <v>13.356608141484722</v>
      </c>
      <c r="C24" s="226">
        <f>'2006 Energy data '!B16/'floor space forecast_SA'!$C$34</f>
        <v>7.0441973808183702</v>
      </c>
      <c r="D24" s="226">
        <f>'End use share 1994'!J24</f>
        <v>6.1213517665130572</v>
      </c>
    </row>
    <row r="26" spans="1:7">
      <c r="A26" s="143" t="s">
        <v>110</v>
      </c>
      <c r="B26" s="14">
        <v>2001</v>
      </c>
      <c r="C26" s="14">
        <v>2006</v>
      </c>
    </row>
    <row r="27" spans="1:7">
      <c r="A27" s="225" t="s">
        <v>137</v>
      </c>
      <c r="B27" s="226">
        <f>'End use share 2001'!B10</f>
        <v>63509.010807600003</v>
      </c>
      <c r="C27" s="226">
        <f>'2006 Energy data '!B11</f>
        <v>134716.5874136934</v>
      </c>
    </row>
    <row r="28" spans="1:7">
      <c r="A28" s="225" t="s">
        <v>138</v>
      </c>
      <c r="B28" s="226">
        <f>'End use share 2001'!B11</f>
        <v>12</v>
      </c>
      <c r="C28" s="226">
        <f>'2006 Energy data '!B12</f>
        <v>12</v>
      </c>
    </row>
    <row r="29" spans="1:7">
      <c r="A29" s="225" t="s">
        <v>139</v>
      </c>
      <c r="B29" s="226">
        <f>'End use share 2001'!B12</f>
        <v>150</v>
      </c>
      <c r="C29" s="226">
        <f>'2006 Energy data '!B13</f>
        <v>322</v>
      </c>
    </row>
    <row r="30" spans="1:7">
      <c r="A30" s="225" t="s">
        <v>141</v>
      </c>
      <c r="B30" s="226">
        <f>'End use share 2001'!B13</f>
        <v>20000</v>
      </c>
      <c r="C30" s="226">
        <f>'2006 Energy data '!B14</f>
        <v>74788</v>
      </c>
    </row>
    <row r="31" spans="1:7">
      <c r="A31" s="225" t="s">
        <v>464</v>
      </c>
      <c r="B31" s="226">
        <f>'End use share 2001'!B14</f>
        <v>0</v>
      </c>
      <c r="C31" s="226">
        <f>'2006 Energy data '!B15</f>
        <v>17766.61</v>
      </c>
    </row>
    <row r="32" spans="1:7">
      <c r="A32" s="225" t="s">
        <v>473</v>
      </c>
      <c r="B32" s="226">
        <f>'End use share 2001'!B15</f>
        <v>1160</v>
      </c>
      <c r="C32" s="226">
        <f>'2006 Energy data '!B16</f>
        <v>864.23</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G61"/>
  <sheetViews>
    <sheetView workbookViewId="0">
      <selection activeCell="AD8" sqref="AD8"/>
    </sheetView>
  </sheetViews>
  <sheetFormatPr defaultColWidth="9.140625" defaultRowHeight="12.75"/>
  <cols>
    <col min="1" max="1" width="12.85546875" style="461" customWidth="1"/>
    <col min="2" max="2" width="6.85546875" style="461" customWidth="1"/>
    <col min="3" max="23" width="5.42578125" style="461" customWidth="1"/>
    <col min="24" max="28" width="9.140625" style="461"/>
    <col min="29" max="29" width="15.140625" style="461" customWidth="1"/>
    <col min="30" max="30" width="9.140625" style="461"/>
    <col min="31" max="31" width="12.140625" style="461" customWidth="1"/>
    <col min="32" max="16384" width="9.140625" style="461"/>
  </cols>
  <sheetData>
    <row r="1" spans="1:33" ht="15.95" customHeight="1">
      <c r="A1" s="460" t="s">
        <v>849</v>
      </c>
      <c r="B1" s="460">
        <v>1991</v>
      </c>
      <c r="C1" s="460">
        <v>1992</v>
      </c>
      <c r="D1" s="460">
        <v>1993</v>
      </c>
      <c r="E1" s="460">
        <v>1994</v>
      </c>
      <c r="F1" s="460">
        <v>1995</v>
      </c>
      <c r="G1" s="460">
        <v>1996</v>
      </c>
      <c r="H1" s="460">
        <v>1997</v>
      </c>
      <c r="I1" s="460">
        <v>1998</v>
      </c>
      <c r="J1" s="460">
        <v>1999</v>
      </c>
      <c r="K1" s="460">
        <v>2000</v>
      </c>
      <c r="L1" s="460">
        <v>2001</v>
      </c>
      <c r="M1" s="460">
        <v>2002</v>
      </c>
      <c r="N1" s="460">
        <v>2003</v>
      </c>
      <c r="O1" s="460">
        <v>2004</v>
      </c>
      <c r="P1" s="460">
        <v>2005</v>
      </c>
      <c r="Q1" s="460">
        <v>2006</v>
      </c>
      <c r="R1" s="460">
        <v>2007</v>
      </c>
      <c r="S1" s="460">
        <v>2008</v>
      </c>
      <c r="T1" s="460">
        <v>2009</v>
      </c>
      <c r="U1" s="460">
        <v>2010</v>
      </c>
      <c r="V1" s="460">
        <v>2011</v>
      </c>
      <c r="W1" s="460">
        <v>2012</v>
      </c>
      <c r="X1" s="460">
        <v>2013</v>
      </c>
      <c r="Y1" s="460">
        <v>2014</v>
      </c>
    </row>
    <row r="2" spans="1:33" ht="15.95" customHeight="1">
      <c r="A2" s="462" t="s">
        <v>441</v>
      </c>
      <c r="B2" s="463">
        <v>15.727008694067001</v>
      </c>
      <c r="C2" s="463">
        <v>14.5711517216375</v>
      </c>
      <c r="D2" s="463">
        <v>13.0875688743451</v>
      </c>
      <c r="E2" s="463">
        <v>9.5940101543789797</v>
      </c>
      <c r="F2" s="463">
        <v>10.250325952765699</v>
      </c>
      <c r="G2" s="463">
        <v>8.0896615070995495</v>
      </c>
      <c r="H2" s="463">
        <v>8.1064754482185197</v>
      </c>
      <c r="I2" s="463">
        <v>7.7104128133594703</v>
      </c>
      <c r="J2" s="463">
        <v>7.0732294482553897</v>
      </c>
      <c r="K2" s="463">
        <v>8.8095447928848092</v>
      </c>
      <c r="L2" s="463">
        <v>7.6669259373051499</v>
      </c>
      <c r="M2" s="463">
        <v>10.749452406287</v>
      </c>
      <c r="N2" s="463">
        <v>5.5502297825584197</v>
      </c>
      <c r="O2" s="463">
        <v>6.3718942256896698</v>
      </c>
      <c r="P2" s="463">
        <v>5.4446739251013696</v>
      </c>
      <c r="Q2" s="463">
        <v>6.5276131156196397</v>
      </c>
      <c r="R2" s="463">
        <v>8.0789494503003905</v>
      </c>
      <c r="S2" s="463">
        <v>8.2981478890096305</v>
      </c>
      <c r="T2" s="463">
        <v>7.6506324188053698</v>
      </c>
      <c r="U2" s="463">
        <v>7.86160857528444</v>
      </c>
      <c r="V2" s="463">
        <v>8.0056170979316192</v>
      </c>
      <c r="W2" s="464">
        <v>8.0056170979316192</v>
      </c>
      <c r="AC2" s="783">
        <v>84.25</v>
      </c>
    </row>
    <row r="3" spans="1:33" ht="15.95" customHeight="1">
      <c r="A3" s="465">
        <f>B12</f>
        <v>2012</v>
      </c>
      <c r="B3" s="466">
        <f t="shared" ref="B3:W3" si="0">IF(B1=$A$3,1,IF(B1&lt;$A3,C3/(1+C2/100),A3*(B2/100+1)))</f>
        <v>0.1827117902340894</v>
      </c>
      <c r="C3" s="466">
        <f t="shared" si="0"/>
        <v>0.20933500240241862</v>
      </c>
      <c r="D3" s="466">
        <f t="shared" si="0"/>
        <v>0.23673186501994711</v>
      </c>
      <c r="E3" s="466">
        <f t="shared" si="0"/>
        <v>0.25944394418861155</v>
      </c>
      <c r="F3" s="466">
        <f t="shared" si="0"/>
        <v>0.28603779413265573</v>
      </c>
      <c r="G3" s="466">
        <f t="shared" si="0"/>
        <v>0.30917728346036183</v>
      </c>
      <c r="H3" s="466">
        <f t="shared" si="0"/>
        <v>0.33424066403554503</v>
      </c>
      <c r="I3" s="466">
        <f t="shared" si="0"/>
        <v>0.36001199902279946</v>
      </c>
      <c r="J3" s="466">
        <f t="shared" si="0"/>
        <v>0.38547647375493305</v>
      </c>
      <c r="K3" s="466">
        <f t="shared" si="0"/>
        <v>0.41943519637640669</v>
      </c>
      <c r="L3" s="466">
        <f t="shared" si="0"/>
        <v>0.45159298223757627</v>
      </c>
      <c r="M3" s="466">
        <f t="shared" si="0"/>
        <v>0.50013675493333665</v>
      </c>
      <c r="N3" s="466">
        <f t="shared" si="0"/>
        <v>0.52789549405916791</v>
      </c>
      <c r="O3" s="466">
        <f t="shared" si="0"/>
        <v>0.56153243656279994</v>
      </c>
      <c r="P3" s="466">
        <f t="shared" si="0"/>
        <v>0.59210604671732114</v>
      </c>
      <c r="Q3" s="466">
        <f t="shared" si="0"/>
        <v>0.630756438681218</v>
      </c>
      <c r="R3" s="466">
        <f t="shared" si="0"/>
        <v>0.68171493251678861</v>
      </c>
      <c r="S3" s="466">
        <f t="shared" si="0"/>
        <v>0.73828464579849384</v>
      </c>
      <c r="T3" s="466">
        <f t="shared" si="0"/>
        <v>0.79476809025301576</v>
      </c>
      <c r="U3" s="466">
        <f>IF(U1=$A$3,1,IF(U1&lt;$A3,V3/(1+V2/100),T3*(U2/100+1)))</f>
        <v>0.85724964658997127</v>
      </c>
      <c r="V3" s="466">
        <f t="shared" si="0"/>
        <v>0.92587777086933631</v>
      </c>
      <c r="W3" s="466">
        <f t="shared" si="0"/>
        <v>1</v>
      </c>
      <c r="AB3" s="782"/>
      <c r="AC3" s="782"/>
      <c r="AD3" s="782"/>
      <c r="AE3" s="782" t="s">
        <v>920</v>
      </c>
      <c r="AF3" s="782" t="s">
        <v>1652</v>
      </c>
      <c r="AG3" s="782"/>
    </row>
    <row r="4" spans="1:33" ht="15.95" customHeight="1">
      <c r="A4" s="465" t="s">
        <v>850</v>
      </c>
      <c r="B4" s="466">
        <f t="shared" ref="B4:W4" si="1">1/B3</f>
        <v>5.4731005520705871</v>
      </c>
      <c r="C4" s="466">
        <f t="shared" si="1"/>
        <v>4.7770319751764845</v>
      </c>
      <c r="D4" s="466">
        <f t="shared" si="1"/>
        <v>4.2241884079092591</v>
      </c>
      <c r="E4" s="466">
        <f t="shared" si="1"/>
        <v>3.8543971536025374</v>
      </c>
      <c r="F4" s="466">
        <f t="shared" si="1"/>
        <v>3.4960415039986992</v>
      </c>
      <c r="G4" s="466">
        <f t="shared" si="1"/>
        <v>3.2343902786383247</v>
      </c>
      <c r="H4" s="466">
        <f t="shared" si="1"/>
        <v>2.9918561910637371</v>
      </c>
      <c r="I4" s="466">
        <f t="shared" si="1"/>
        <v>2.7776851958111273</v>
      </c>
      <c r="J4" s="466">
        <f t="shared" si="1"/>
        <v>2.5941920404609458</v>
      </c>
      <c r="K4" s="466">
        <f t="shared" si="1"/>
        <v>2.3841585270840904</v>
      </c>
      <c r="L4" s="466">
        <f t="shared" si="1"/>
        <v>2.2143833924193159</v>
      </c>
      <c r="M4" s="466">
        <f t="shared" si="1"/>
        <v>1.9994531298410376</v>
      </c>
      <c r="N4" s="466">
        <f t="shared" si="1"/>
        <v>1.8943143316315509</v>
      </c>
      <c r="O4" s="466">
        <f>1/O3</f>
        <v>1.7808410251794302</v>
      </c>
      <c r="P4" s="466">
        <f t="shared" si="1"/>
        <v>1.6888866539095024</v>
      </c>
      <c r="Q4" s="466">
        <f t="shared" si="1"/>
        <v>1.5853980057513077</v>
      </c>
      <c r="R4" s="466">
        <f t="shared" si="1"/>
        <v>1.4668888010244268</v>
      </c>
      <c r="S4" s="466">
        <f t="shared" si="1"/>
        <v>1.3544911243798754</v>
      </c>
      <c r="T4" s="466">
        <f t="shared" si="1"/>
        <v>1.2582286735765251</v>
      </c>
      <c r="U4" s="466">
        <f>1/U3</f>
        <v>1.1665213324705017</v>
      </c>
      <c r="V4" s="466">
        <f t="shared" si="1"/>
        <v>1.0800561709793162</v>
      </c>
      <c r="W4" s="466">
        <f t="shared" si="1"/>
        <v>1</v>
      </c>
      <c r="AB4" s="782"/>
      <c r="AC4" s="782" t="s">
        <v>1653</v>
      </c>
      <c r="AD4" s="782">
        <v>2015</v>
      </c>
      <c r="AE4" s="782"/>
      <c r="AF4" s="782"/>
      <c r="AG4" s="782"/>
    </row>
    <row r="5" spans="1:33">
      <c r="A5" s="461" t="s">
        <v>851</v>
      </c>
      <c r="AB5" s="782"/>
      <c r="AC5" s="782" t="s">
        <v>1654</v>
      </c>
      <c r="AD5" s="782">
        <v>2022</v>
      </c>
      <c r="AE5" s="782"/>
      <c r="AF5" s="782"/>
      <c r="AG5" s="782"/>
    </row>
    <row r="6" spans="1:33">
      <c r="A6" s="467" t="s">
        <v>852</v>
      </c>
      <c r="AB6" s="782"/>
      <c r="AC6" s="782"/>
      <c r="AD6" s="782"/>
      <c r="AE6" s="782"/>
      <c r="AF6" s="782"/>
      <c r="AG6" s="782"/>
    </row>
    <row r="7" spans="1:33">
      <c r="A7" s="461" t="s">
        <v>853</v>
      </c>
      <c r="AB7" s="782"/>
      <c r="AC7" s="782" t="s">
        <v>1659</v>
      </c>
      <c r="AD7" s="782">
        <v>1.4055467391304348</v>
      </c>
      <c r="AE7" s="782" t="s">
        <v>1660</v>
      </c>
      <c r="AF7" s="782"/>
      <c r="AG7" s="782"/>
    </row>
    <row r="8" spans="1:33">
      <c r="AB8" s="782"/>
      <c r="AC8" s="782" t="s">
        <v>1661</v>
      </c>
      <c r="AD8" s="782">
        <v>1.2347347505031283</v>
      </c>
      <c r="AE8" s="782" t="s">
        <v>1662</v>
      </c>
      <c r="AF8" s="782"/>
      <c r="AG8" s="782"/>
    </row>
    <row r="9" spans="1:33">
      <c r="A9" s="461" t="s">
        <v>854</v>
      </c>
      <c r="AB9" s="782"/>
      <c r="AC9" s="782"/>
      <c r="AD9" s="782" t="s">
        <v>1655</v>
      </c>
      <c r="AE9" s="782"/>
      <c r="AF9" s="782" t="s">
        <v>1656</v>
      </c>
      <c r="AG9" s="782"/>
    </row>
    <row r="10" spans="1:33" ht="15">
      <c r="B10" s="468">
        <v>2010</v>
      </c>
      <c r="C10" s="461" t="s">
        <v>855</v>
      </c>
      <c r="E10" s="461">
        <v>2005</v>
      </c>
      <c r="G10" s="461">
        <v>2006</v>
      </c>
      <c r="AB10" s="782" t="s">
        <v>885</v>
      </c>
      <c r="AC10" s="782" t="s">
        <v>1661</v>
      </c>
      <c r="AD10" s="782">
        <v>12.937225000000003</v>
      </c>
      <c r="AE10" s="782" t="s">
        <v>1663</v>
      </c>
      <c r="AF10" s="782">
        <v>18.183874412146743</v>
      </c>
      <c r="AG10" s="782" t="s">
        <v>1660</v>
      </c>
    </row>
    <row r="11" spans="1:33">
      <c r="A11" s="461" t="s">
        <v>856</v>
      </c>
      <c r="AB11" s="782" t="s">
        <v>1657</v>
      </c>
      <c r="AC11" s="782" t="s">
        <v>1661</v>
      </c>
      <c r="AD11" s="782">
        <v>1.2347347505031283</v>
      </c>
      <c r="AE11" s="782" t="s">
        <v>1664</v>
      </c>
      <c r="AF11" s="782">
        <v>20.312384723033116</v>
      </c>
      <c r="AG11" s="782" t="s">
        <v>1660</v>
      </c>
    </row>
    <row r="12" spans="1:33" ht="15">
      <c r="B12" s="468">
        <v>2012</v>
      </c>
      <c r="C12" s="461" t="s">
        <v>855</v>
      </c>
      <c r="E12" s="461">
        <v>2010</v>
      </c>
      <c r="G12" s="461">
        <v>2010</v>
      </c>
      <c r="AB12" s="782" t="s">
        <v>1658</v>
      </c>
      <c r="AC12" s="782" t="s">
        <v>1661</v>
      </c>
      <c r="AD12" s="782"/>
      <c r="AE12" s="782"/>
      <c r="AF12" s="782">
        <v>19.248129567589928</v>
      </c>
      <c r="AG12" s="782" t="s">
        <v>1660</v>
      </c>
    </row>
    <row r="13" spans="1:33">
      <c r="A13" s="461" t="s">
        <v>857</v>
      </c>
    </row>
    <row r="14" spans="1:33" ht="15">
      <c r="A14" s="461" t="s">
        <v>858</v>
      </c>
      <c r="B14" s="469">
        <f>1/B15</f>
        <v>1.1665213324705017</v>
      </c>
      <c r="E14" s="469">
        <f>1/E15</f>
        <v>1.6888866539095024</v>
      </c>
      <c r="G14" s="469">
        <f>1/G15</f>
        <v>1.5853980057513077</v>
      </c>
    </row>
    <row r="15" spans="1:33" ht="15">
      <c r="A15" s="461" t="s">
        <v>859</v>
      </c>
      <c r="B15" s="470">
        <f>SUMIF($B$1:$U$1,B10,$B$3:$U$3)</f>
        <v>0.85724964658997127</v>
      </c>
      <c r="E15" s="470">
        <f>SUMIF($B$1:$U$1,E10,$B$3:$U$3)</f>
        <v>0.59210604671732114</v>
      </c>
      <c r="G15" s="470">
        <f>SUMIF($B$1:$U$1,G10,$B$3:$U$3)</f>
        <v>0.630756438681218</v>
      </c>
      <c r="AD15" s="461" t="s">
        <v>860</v>
      </c>
    </row>
    <row r="16" spans="1:33">
      <c r="AC16" s="461" t="s">
        <v>861</v>
      </c>
      <c r="AD16" s="461">
        <v>18000</v>
      </c>
      <c r="AE16" s="461" t="s">
        <v>862</v>
      </c>
      <c r="AG16" s="461" t="s">
        <v>863</v>
      </c>
    </row>
    <row r="17" spans="1:33">
      <c r="A17" s="461" t="s">
        <v>864</v>
      </c>
      <c r="AD17" s="461">
        <v>60000</v>
      </c>
      <c r="AE17" s="461" t="s">
        <v>862</v>
      </c>
      <c r="AG17" s="461" t="s">
        <v>865</v>
      </c>
    </row>
    <row r="18" spans="1:33" ht="15.95" customHeight="1">
      <c r="A18" s="460" t="s">
        <v>849</v>
      </c>
      <c r="B18" s="460">
        <v>1991</v>
      </c>
      <c r="C18" s="460">
        <v>1992</v>
      </c>
      <c r="D18" s="460">
        <v>1993</v>
      </c>
      <c r="E18" s="460">
        <v>1994</v>
      </c>
      <c r="F18" s="460">
        <v>1995</v>
      </c>
      <c r="G18" s="460">
        <v>1996</v>
      </c>
      <c r="H18" s="460">
        <v>1997</v>
      </c>
      <c r="I18" s="460">
        <v>1998</v>
      </c>
      <c r="J18" s="460">
        <v>1999</v>
      </c>
      <c r="K18" s="460">
        <v>2000</v>
      </c>
      <c r="L18" s="460">
        <v>2001</v>
      </c>
      <c r="M18" s="460">
        <v>2002</v>
      </c>
      <c r="N18" s="460">
        <v>2003</v>
      </c>
      <c r="O18" s="460">
        <v>2004</v>
      </c>
      <c r="P18" s="460">
        <v>2005</v>
      </c>
      <c r="Q18" s="460">
        <v>2006</v>
      </c>
      <c r="R18" s="460">
        <v>2007</v>
      </c>
      <c r="S18" s="460">
        <v>2008</v>
      </c>
      <c r="T18" s="460">
        <v>2009</v>
      </c>
      <c r="U18" s="460">
        <v>2010</v>
      </c>
      <c r="V18" s="460">
        <v>2011</v>
      </c>
      <c r="W18" s="460">
        <v>2012</v>
      </c>
      <c r="AC18" s="461" t="s">
        <v>866</v>
      </c>
      <c r="AD18" s="461">
        <f>AD16*$U$3/$W$3</f>
        <v>15430.493638619482</v>
      </c>
    </row>
    <row r="19" spans="1:33" ht="15.95" customHeight="1">
      <c r="A19" s="462" t="s">
        <v>867</v>
      </c>
      <c r="B19" s="463">
        <v>3.3994252378249699</v>
      </c>
      <c r="C19" s="463">
        <v>2.1054788150436798</v>
      </c>
      <c r="D19" s="463">
        <v>2.1924332890308</v>
      </c>
      <c r="E19" s="463">
        <v>2.0360309460728101</v>
      </c>
      <c r="F19" s="463">
        <v>2.3263787079223999</v>
      </c>
      <c r="G19" s="463">
        <v>1.7717629484628601</v>
      </c>
      <c r="H19" s="463">
        <v>1.9273567571815799</v>
      </c>
      <c r="I19" s="463">
        <v>1.40484777965119</v>
      </c>
      <c r="J19" s="463">
        <v>1.46629433153518</v>
      </c>
      <c r="K19" s="463">
        <v>2.16372748272435</v>
      </c>
      <c r="L19" s="463">
        <v>2.2670948334750798</v>
      </c>
      <c r="M19" s="463">
        <v>1.62388362869481</v>
      </c>
      <c r="N19" s="463">
        <v>2.1064716540000599</v>
      </c>
      <c r="O19" s="463">
        <v>2.81143588475513</v>
      </c>
      <c r="P19" s="463">
        <v>3.3192629134245202</v>
      </c>
      <c r="Q19" s="463">
        <v>3.2259815170873898</v>
      </c>
      <c r="R19" s="463">
        <v>2.8991114963123001</v>
      </c>
      <c r="S19" s="463">
        <v>2.2113470368721799</v>
      </c>
      <c r="T19" s="463">
        <v>1.0634549810596601</v>
      </c>
      <c r="U19" s="463">
        <v>1.1523263484864299</v>
      </c>
      <c r="V19" s="463">
        <v>2.7312834324597901</v>
      </c>
      <c r="W19" s="464">
        <v>2.7312834324597901</v>
      </c>
      <c r="AD19" s="461">
        <f>AD17*$U$3/$W$3</f>
        <v>51434.978795398274</v>
      </c>
    </row>
    <row r="20" spans="1:33">
      <c r="A20" s="465">
        <v>2005</v>
      </c>
      <c r="B20" s="466">
        <f t="shared" ref="B20:W20" si="2">IF(B18=$A$20,1,IF(B18&lt;$A20,C20/(1+C19/100),A20*(B19/100+1)))</f>
        <v>0.74677203369346579</v>
      </c>
      <c r="C20" s="466">
        <f t="shared" si="2"/>
        <v>0.76249516065955258</v>
      </c>
      <c r="D20" s="466">
        <f t="shared" si="2"/>
        <v>0.77921235838910152</v>
      </c>
      <c r="E20" s="466">
        <f t="shared" si="2"/>
        <v>0.79507736314152744</v>
      </c>
      <c r="F20" s="466">
        <f t="shared" si="2"/>
        <v>0.81357387362916278</v>
      </c>
      <c r="G20" s="466">
        <f t="shared" si="2"/>
        <v>0.82798847408049836</v>
      </c>
      <c r="H20" s="466">
        <f t="shared" si="2"/>
        <v>0.84394676588437356</v>
      </c>
      <c r="I20" s="466">
        <f t="shared" si="2"/>
        <v>0.85580293328633827</v>
      </c>
      <c r="J20" s="466">
        <f t="shared" si="2"/>
        <v>0.86835152318622766</v>
      </c>
      <c r="K20" s="466">
        <f t="shared" si="2"/>
        <v>0.8871402837400636</v>
      </c>
      <c r="L20" s="466">
        <f t="shared" si="2"/>
        <v>0.90725259527841062</v>
      </c>
      <c r="M20" s="466">
        <f t="shared" si="2"/>
        <v>0.92198532164404556</v>
      </c>
      <c r="N20" s="466">
        <f t="shared" si="2"/>
        <v>0.94140668109851866</v>
      </c>
      <c r="O20" s="466">
        <f t="shared" si="2"/>
        <v>0.96787372635240465</v>
      </c>
      <c r="P20" s="466">
        <f t="shared" si="2"/>
        <v>1</v>
      </c>
      <c r="Q20" s="466">
        <f t="shared" si="2"/>
        <v>1.032259815170874</v>
      </c>
      <c r="R20" s="466">
        <f t="shared" si="2"/>
        <v>1.0621861781443049</v>
      </c>
      <c r="S20" s="466">
        <f t="shared" si="2"/>
        <v>1.0856748007207648</v>
      </c>
      <c r="T20" s="466">
        <f t="shared" si="2"/>
        <v>1.0972204634671394</v>
      </c>
      <c r="U20" s="466">
        <f t="shared" si="2"/>
        <v>1.1098640239686561</v>
      </c>
      <c r="V20" s="466">
        <f t="shared" si="2"/>
        <v>1.1401775561781435</v>
      </c>
      <c r="W20" s="466">
        <f t="shared" si="2"/>
        <v>1.1713190368706621</v>
      </c>
      <c r="AC20" s="461" t="s">
        <v>868</v>
      </c>
      <c r="AD20" s="461">
        <f>AD18/$AC$34</f>
        <v>2085.2018430566868</v>
      </c>
    </row>
    <row r="21" spans="1:33">
      <c r="A21" s="465" t="s">
        <v>850</v>
      </c>
      <c r="B21" s="466">
        <f t="shared" ref="B21:W21" si="3">1/B20</f>
        <v>1.3390967455678435</v>
      </c>
      <c r="C21" s="466">
        <f t="shared" si="3"/>
        <v>1.3114837333983962</v>
      </c>
      <c r="D21" s="466">
        <f t="shared" si="3"/>
        <v>1.2833472021251588</v>
      </c>
      <c r="E21" s="466">
        <f t="shared" si="3"/>
        <v>1.2577392419383915</v>
      </c>
      <c r="F21" s="466">
        <f t="shared" si="3"/>
        <v>1.2291446817720852</v>
      </c>
      <c r="G21" s="466">
        <f t="shared" si="3"/>
        <v>1.2077462806599146</v>
      </c>
      <c r="H21" s="466">
        <f t="shared" si="3"/>
        <v>1.1849088596863073</v>
      </c>
      <c r="I21" s="466">
        <f t="shared" si="3"/>
        <v>1.1684933074018988</v>
      </c>
      <c r="J21" s="466">
        <f t="shared" si="3"/>
        <v>1.1516073540479514</v>
      </c>
      <c r="K21" s="466">
        <f t="shared" si="3"/>
        <v>1.1272174404978377</v>
      </c>
      <c r="L21" s="466">
        <f t="shared" si="3"/>
        <v>1.1022288668054212</v>
      </c>
      <c r="M21" s="466">
        <f t="shared" si="3"/>
        <v>1.0846159657041414</v>
      </c>
      <c r="N21" s="466">
        <f t="shared" si="3"/>
        <v>1.0622401774683703</v>
      </c>
      <c r="O21" s="466">
        <f t="shared" si="3"/>
        <v>1.0331926291342453</v>
      </c>
      <c r="P21" s="466">
        <f t="shared" si="3"/>
        <v>1</v>
      </c>
      <c r="Q21" s="466">
        <f t="shared" si="3"/>
        <v>0.96874835705433926</v>
      </c>
      <c r="R21" s="466">
        <f t="shared" si="3"/>
        <v>0.94145454024552699</v>
      </c>
      <c r="S21" s="466">
        <f t="shared" si="3"/>
        <v>0.92108612941565327</v>
      </c>
      <c r="T21" s="466">
        <f t="shared" si="3"/>
        <v>0.91139386595112382</v>
      </c>
      <c r="U21" s="466">
        <f t="shared" si="3"/>
        <v>0.90101127561932859</v>
      </c>
      <c r="V21" s="466">
        <f t="shared" si="3"/>
        <v>0.87705638001855046</v>
      </c>
      <c r="W21" s="466">
        <f t="shared" si="3"/>
        <v>0.8537383654854922</v>
      </c>
      <c r="AD21" s="461">
        <f>AD19/$AC$34</f>
        <v>6950.6728101889557</v>
      </c>
    </row>
    <row r="22" spans="1:33">
      <c r="AC22" s="461" t="s">
        <v>869</v>
      </c>
      <c r="AD22" s="461">
        <v>2</v>
      </c>
    </row>
    <row r="23" spans="1:33">
      <c r="A23" s="471" t="s">
        <v>870</v>
      </c>
      <c r="AD23" s="461">
        <v>2</v>
      </c>
    </row>
    <row r="24" spans="1:33" ht="15.95" customHeight="1">
      <c r="A24" s="460" t="s">
        <v>849</v>
      </c>
      <c r="B24" s="460">
        <v>1991</v>
      </c>
      <c r="C24" s="460">
        <v>1992</v>
      </c>
      <c r="D24" s="460">
        <v>1993</v>
      </c>
      <c r="E24" s="460">
        <v>1994</v>
      </c>
      <c r="F24" s="460">
        <v>1995</v>
      </c>
      <c r="G24" s="460">
        <v>1996</v>
      </c>
      <c r="H24" s="460">
        <v>1997</v>
      </c>
      <c r="I24" s="460">
        <v>1998</v>
      </c>
      <c r="J24" s="460">
        <v>1999</v>
      </c>
      <c r="K24" s="460">
        <v>2000</v>
      </c>
      <c r="L24" s="460">
        <v>2001</v>
      </c>
      <c r="M24" s="460">
        <v>2002</v>
      </c>
      <c r="N24" s="460">
        <v>2003</v>
      </c>
      <c r="O24" s="460">
        <v>2004</v>
      </c>
      <c r="P24" s="460">
        <v>2005</v>
      </c>
      <c r="Q24" s="460">
        <v>2006</v>
      </c>
      <c r="R24" s="460">
        <v>2007</v>
      </c>
      <c r="S24" s="460">
        <v>2008</v>
      </c>
      <c r="T24" s="460">
        <v>2009</v>
      </c>
      <c r="U24" s="460">
        <v>2010</v>
      </c>
      <c r="V24" s="460">
        <v>2011</v>
      </c>
      <c r="W24" s="460">
        <v>2012</v>
      </c>
      <c r="X24" s="460">
        <v>2013</v>
      </c>
      <c r="Y24" s="460">
        <v>2014</v>
      </c>
      <c r="AC24" s="461" t="s">
        <v>871</v>
      </c>
      <c r="AD24" s="461">
        <f>AD20/AD22</f>
        <v>1042.6009215283434</v>
      </c>
    </row>
    <row r="25" spans="1:33" ht="15.95" customHeight="1">
      <c r="A25" s="462" t="s">
        <v>441</v>
      </c>
      <c r="B25" s="463">
        <v>2.7613150000000002</v>
      </c>
      <c r="C25" s="463">
        <v>2.8520141666666698</v>
      </c>
      <c r="D25" s="463">
        <v>3.2677415833333301</v>
      </c>
      <c r="E25" s="463">
        <v>3.5507983333333302</v>
      </c>
      <c r="F25" s="463">
        <v>3.6270850000000001</v>
      </c>
      <c r="G25" s="463">
        <v>4.2993491666666701</v>
      </c>
      <c r="H25" s="463">
        <v>4.6079616666666698</v>
      </c>
      <c r="I25" s="463">
        <v>5.52828416666667</v>
      </c>
      <c r="J25" s="463">
        <v>6.1094841666666699</v>
      </c>
      <c r="K25" s="463">
        <v>6.9398283333333302</v>
      </c>
      <c r="L25" s="463">
        <v>8.6091808333333297</v>
      </c>
      <c r="M25" s="463">
        <v>10.540746666666699</v>
      </c>
      <c r="N25" s="463">
        <v>7.5647491666666697</v>
      </c>
      <c r="O25" s="463">
        <v>6.4596925000000001</v>
      </c>
      <c r="P25" s="463">
        <v>6.3593283333333304</v>
      </c>
      <c r="Q25" s="463">
        <v>6.7715491666666701</v>
      </c>
      <c r="R25" s="463">
        <v>7.0453650000000003</v>
      </c>
      <c r="S25" s="463">
        <v>8.26122333333333</v>
      </c>
      <c r="T25" s="463">
        <v>8.4736741582488797</v>
      </c>
      <c r="U25" s="463">
        <v>7.3212219611528804</v>
      </c>
      <c r="V25" s="463">
        <v>7.2611321323273499</v>
      </c>
      <c r="W25" s="464">
        <v>8.5</v>
      </c>
      <c r="Y25" s="461">
        <v>10.34</v>
      </c>
      <c r="AD25" s="461">
        <f>AD21/AD23</f>
        <v>3475.3364050944779</v>
      </c>
    </row>
    <row r="26" spans="1:33">
      <c r="A26" s="465">
        <v>2010</v>
      </c>
      <c r="B26" s="466">
        <f t="shared" ref="B26:W26" si="4">IF(B24=$A$26,1,IF(B24&lt;$A26,C26/(1+C25/100),A26*(B25/100+1)))</f>
        <v>0.31883125624066799</v>
      </c>
      <c r="C26" s="466">
        <f t="shared" si="4"/>
        <v>0.32792436883641318</v>
      </c>
      <c r="D26" s="466">
        <f t="shared" si="4"/>
        <v>0.33864008979876403</v>
      </c>
      <c r="E26" s="466">
        <f t="shared" si="4"/>
        <v>0.35066451646333707</v>
      </c>
      <c r="F26" s="466">
        <f t="shared" si="4"/>
        <v>0.36338341654030126</v>
      </c>
      <c r="G26" s="466">
        <f>IF(G24=$A$26,1,IF(G24&lt;$A26,H26/(1+H25/100),F26*(G25/100+1)))</f>
        <v>0.37900653843113158</v>
      </c>
      <c r="H26" s="466">
        <f t="shared" si="4"/>
        <v>0.39647101443619837</v>
      </c>
      <c r="I26" s="466">
        <f t="shared" si="4"/>
        <v>0.41838905875269744</v>
      </c>
      <c r="J26" s="466">
        <f t="shared" si="4"/>
        <v>0.44395047205225924</v>
      </c>
      <c r="K26" s="466">
        <f t="shared" si="4"/>
        <v>0.47475987269770897</v>
      </c>
      <c r="L26" s="466">
        <f t="shared" si="4"/>
        <v>0.51563280866235783</v>
      </c>
      <c r="M26" s="466">
        <f t="shared" si="4"/>
        <v>0.56998435675367509</v>
      </c>
      <c r="N26" s="466">
        <f t="shared" si="4"/>
        <v>0.61310224363132915</v>
      </c>
      <c r="O26" s="466">
        <f t="shared" si="4"/>
        <v>0.65270676328051391</v>
      </c>
      <c r="P26" s="466">
        <f>IF(P24=$A$26,1,IF(P24&lt;$A26,Q26/(1+Q25/100),O26*(P25/100+1)))</f>
        <v>0.6942145294113945</v>
      </c>
      <c r="Q26" s="466">
        <f t="shared" si="4"/>
        <v>0.74122360759263073</v>
      </c>
      <c r="R26" s="466">
        <f t="shared" si="4"/>
        <v>0.79344551621369919</v>
      </c>
      <c r="S26" s="466">
        <f t="shared" si="4"/>
        <v>0.85899382233643229</v>
      </c>
      <c r="T26" s="466">
        <f t="shared" si="4"/>
        <v>0.93178215988070889</v>
      </c>
      <c r="U26" s="466">
        <f t="shared" si="4"/>
        <v>1</v>
      </c>
      <c r="V26" s="466">
        <f>IF(V24=$A$26,1,IF(V24&lt;$A26,W26/(1+W25/100),U26*(V25/100+1)))</f>
        <v>1.0726113213232735</v>
      </c>
      <c r="W26" s="466">
        <f t="shared" si="4"/>
        <v>1.1637832836357518</v>
      </c>
    </row>
    <row r="27" spans="1:33">
      <c r="A27" s="465" t="s">
        <v>850</v>
      </c>
      <c r="B27" s="466">
        <f t="shared" ref="B27:W27" si="5">1/B26</f>
        <v>3.136455351934365</v>
      </c>
      <c r="C27" s="466">
        <f t="shared" si="5"/>
        <v>3.0494836463308261</v>
      </c>
      <c r="D27" s="466">
        <f t="shared" si="5"/>
        <v>2.9529876412277334</v>
      </c>
      <c r="E27" s="466">
        <f t="shared" si="5"/>
        <v>2.8517285127266438</v>
      </c>
      <c r="F27" s="466">
        <f>1/F26</f>
        <v>2.7519142439707189</v>
      </c>
      <c r="G27" s="466">
        <f t="shared" si="5"/>
        <v>2.6384769089721329</v>
      </c>
      <c r="H27" s="466">
        <f t="shared" si="5"/>
        <v>2.5222524814885903</v>
      </c>
      <c r="I27" s="466">
        <f t="shared" si="5"/>
        <v>2.3901198635098218</v>
      </c>
      <c r="J27" s="466">
        <f t="shared" si="5"/>
        <v>2.2525035177398931</v>
      </c>
      <c r="K27" s="466">
        <f t="shared" si="5"/>
        <v>2.1063279723236508</v>
      </c>
      <c r="L27" s="466">
        <f t="shared" si="5"/>
        <v>1.9393645695163886</v>
      </c>
      <c r="M27" s="466">
        <f t="shared" si="5"/>
        <v>1.7544341141140489</v>
      </c>
      <c r="N27" s="466">
        <f t="shared" si="5"/>
        <v>1.6310493239710282</v>
      </c>
      <c r="O27" s="466">
        <f t="shared" si="5"/>
        <v>1.5320815659607772</v>
      </c>
      <c r="P27" s="466">
        <f>1/P26</f>
        <v>1.4404769097066761</v>
      </c>
      <c r="Q27" s="466">
        <f t="shared" si="5"/>
        <v>1.3491205484507318</v>
      </c>
      <c r="R27" s="466">
        <f t="shared" si="5"/>
        <v>1.2603259827744357</v>
      </c>
      <c r="S27" s="466">
        <f t="shared" si="5"/>
        <v>1.1641527261279201</v>
      </c>
      <c r="T27" s="466">
        <f t="shared" si="5"/>
        <v>1.0732122196115288</v>
      </c>
      <c r="U27" s="466">
        <f t="shared" si="5"/>
        <v>1</v>
      </c>
      <c r="V27" s="466">
        <f>1/V26</f>
        <v>0.93230416285957762</v>
      </c>
      <c r="W27" s="466">
        <f t="shared" si="5"/>
        <v>0.85926650954799788</v>
      </c>
    </row>
    <row r="29" spans="1:33">
      <c r="A29" s="471" t="s">
        <v>872</v>
      </c>
    </row>
    <row r="30" spans="1:33" ht="15.95" customHeight="1">
      <c r="A30" s="460" t="s">
        <v>849</v>
      </c>
      <c r="B30" s="460">
        <v>1991</v>
      </c>
      <c r="C30" s="460">
        <v>1992</v>
      </c>
      <c r="D30" s="460">
        <v>1993</v>
      </c>
      <c r="E30" s="460">
        <v>1994</v>
      </c>
      <c r="F30" s="460">
        <v>1995</v>
      </c>
      <c r="G30" s="460">
        <v>1996</v>
      </c>
      <c r="H30" s="460">
        <v>1997</v>
      </c>
      <c r="I30" s="460">
        <v>1998</v>
      </c>
      <c r="J30" s="460">
        <v>1999</v>
      </c>
      <c r="K30" s="460">
        <v>2000</v>
      </c>
      <c r="L30" s="460">
        <v>2001</v>
      </c>
      <c r="M30" s="460">
        <v>2002</v>
      </c>
      <c r="N30" s="460">
        <v>2003</v>
      </c>
      <c r="O30" s="460">
        <v>2004</v>
      </c>
      <c r="P30" s="460">
        <v>2005</v>
      </c>
      <c r="Q30" s="460">
        <v>2006</v>
      </c>
      <c r="R30" s="460">
        <v>2007</v>
      </c>
      <c r="S30" s="460">
        <v>2008</v>
      </c>
      <c r="T30" s="460">
        <v>2009</v>
      </c>
      <c r="U30" s="460">
        <v>2010</v>
      </c>
      <c r="V30" s="460">
        <v>2011</v>
      </c>
      <c r="W30" s="460">
        <v>2012</v>
      </c>
    </row>
    <row r="31" spans="1:33" ht="15.95" customHeight="1">
      <c r="A31" s="462" t="s">
        <v>441</v>
      </c>
      <c r="B31" s="463">
        <v>120.919166666666</v>
      </c>
      <c r="C31" s="463">
        <v>124.9175</v>
      </c>
      <c r="D31" s="463">
        <v>122.595</v>
      </c>
      <c r="E31" s="463">
        <v>117.354166666667</v>
      </c>
      <c r="F31" s="463">
        <v>114.07250000000001</v>
      </c>
      <c r="G31" s="463">
        <v>105.07</v>
      </c>
      <c r="H31" s="463">
        <v>110.886666666667</v>
      </c>
      <c r="I31" s="463">
        <v>101.948333333333</v>
      </c>
      <c r="J31" s="463">
        <v>96.432500000000005</v>
      </c>
      <c r="K31" s="463">
        <v>93.360833333333304</v>
      </c>
      <c r="L31" s="463">
        <v>82.358333333333306</v>
      </c>
      <c r="M31" s="463">
        <v>70.561666666666696</v>
      </c>
      <c r="N31" s="463">
        <v>91.406666666666695</v>
      </c>
      <c r="O31" s="463">
        <v>99.689166666666793</v>
      </c>
      <c r="P31" s="463">
        <v>100</v>
      </c>
      <c r="Q31" s="463">
        <v>96.115833333333299</v>
      </c>
      <c r="R31" s="463">
        <v>90.378333333333302</v>
      </c>
      <c r="S31" s="463">
        <v>80.405000000000001</v>
      </c>
      <c r="T31" s="463">
        <v>87.792500000000004</v>
      </c>
      <c r="U31" s="463">
        <v>101.2</v>
      </c>
      <c r="V31" s="463">
        <v>99.1</v>
      </c>
      <c r="W31" s="463"/>
    </row>
    <row r="33" spans="1:29">
      <c r="Y33" s="461" t="s">
        <v>873</v>
      </c>
    </row>
    <row r="34" spans="1:29">
      <c r="Y34" s="461" t="s">
        <v>874</v>
      </c>
      <c r="AA34" s="461" t="s">
        <v>875</v>
      </c>
      <c r="AC34" s="461">
        <v>7.4</v>
      </c>
    </row>
    <row r="35" spans="1:29">
      <c r="Y35" s="461" t="s">
        <v>876</v>
      </c>
      <c r="AA35" s="461" t="s">
        <v>877</v>
      </c>
      <c r="AC35" s="461">
        <v>8.5</v>
      </c>
    </row>
    <row r="36" spans="1:29">
      <c r="Y36" s="461" t="s">
        <v>878</v>
      </c>
      <c r="AC36" s="472">
        <v>0.3</v>
      </c>
    </row>
    <row r="37" spans="1:29">
      <c r="Y37" s="461" t="s">
        <v>879</v>
      </c>
      <c r="AA37" s="461" t="s">
        <v>880</v>
      </c>
      <c r="AC37" s="473">
        <v>37205</v>
      </c>
    </row>
    <row r="38" spans="1:29">
      <c r="A38" s="461" t="s">
        <v>881</v>
      </c>
      <c r="AA38" s="461" t="s">
        <v>882</v>
      </c>
      <c r="AC38" s="473">
        <f>AC37/AC34</f>
        <v>5027.7027027027025</v>
      </c>
    </row>
    <row r="39" spans="1:29">
      <c r="A39" s="474" t="s">
        <v>849</v>
      </c>
      <c r="B39" s="474">
        <v>2003</v>
      </c>
      <c r="C39" s="474">
        <v>2004</v>
      </c>
      <c r="D39" s="474">
        <v>2005</v>
      </c>
      <c r="E39" s="474">
        <v>2006</v>
      </c>
      <c r="F39" s="474">
        <v>2007</v>
      </c>
      <c r="G39" s="474">
        <v>2008</v>
      </c>
      <c r="H39" s="474">
        <v>2009</v>
      </c>
      <c r="I39" s="474">
        <v>2010</v>
      </c>
      <c r="J39" s="474">
        <v>2011</v>
      </c>
      <c r="K39" s="474">
        <v>2012</v>
      </c>
      <c r="Y39" s="461" t="s">
        <v>883</v>
      </c>
      <c r="AA39" s="461" t="s">
        <v>880</v>
      </c>
      <c r="AC39" s="475">
        <f>AC36*AC37</f>
        <v>11161.5</v>
      </c>
    </row>
    <row r="40" spans="1:29">
      <c r="A40" s="476" t="s">
        <v>441</v>
      </c>
      <c r="B40" s="463">
        <v>95.390925069982401</v>
      </c>
      <c r="C40" s="463">
        <v>96.712453616301005</v>
      </c>
      <c r="D40" s="463">
        <v>100</v>
      </c>
      <c r="E40" s="463">
        <v>104.641624894213</v>
      </c>
      <c r="F40" s="463">
        <v>112.06952672352099</v>
      </c>
      <c r="G40" s="463">
        <v>124.99837250179</v>
      </c>
      <c r="H40" s="463">
        <v>133.91075646116801</v>
      </c>
      <c r="I40" s="463">
        <v>139.6231820845</v>
      </c>
      <c r="J40" s="463">
        <v>146.59809127010001</v>
      </c>
      <c r="K40" s="463"/>
      <c r="Y40" s="461" t="s">
        <v>884</v>
      </c>
      <c r="AA40" s="461" t="s">
        <v>882</v>
      </c>
      <c r="AC40" s="475">
        <f>(1-AC36)*AC38</f>
        <v>3519.3918918918916</v>
      </c>
    </row>
    <row r="41" spans="1:29">
      <c r="C41" s="477">
        <f t="shared" ref="C41:I41" si="6">D40/C40-1</f>
        <v>3.3992999461497142E-2</v>
      </c>
      <c r="D41" s="477">
        <f t="shared" si="6"/>
        <v>4.6416248942130034E-2</v>
      </c>
      <c r="E41" s="477">
        <f t="shared" si="6"/>
        <v>7.0984198083861916E-2</v>
      </c>
      <c r="F41" s="477">
        <f t="shared" si="6"/>
        <v>0.11536450769676998</v>
      </c>
      <c r="G41" s="477">
        <f t="shared" si="6"/>
        <v>7.1300000000003028E-2</v>
      </c>
      <c r="H41" s="477">
        <f t="shared" si="6"/>
        <v>4.2658452347616338E-2</v>
      </c>
      <c r="I41" s="477">
        <f t="shared" si="6"/>
        <v>4.9955237242614858E-2</v>
      </c>
    </row>
    <row r="44" spans="1:29">
      <c r="Y44" s="461" t="s">
        <v>885</v>
      </c>
    </row>
    <row r="45" spans="1:29">
      <c r="Y45" s="461" t="s">
        <v>886</v>
      </c>
      <c r="AA45" s="461" t="s">
        <v>887</v>
      </c>
    </row>
    <row r="46" spans="1:29">
      <c r="Y46" s="461" t="s">
        <v>884</v>
      </c>
      <c r="AA46" s="461" t="s">
        <v>887</v>
      </c>
      <c r="AC46" s="473">
        <f>AC40*W20/U20</f>
        <v>3714.2664616162451</v>
      </c>
    </row>
    <row r="47" spans="1:29">
      <c r="Y47" s="461" t="s">
        <v>888</v>
      </c>
      <c r="AA47" s="461" t="s">
        <v>889</v>
      </c>
      <c r="AC47" s="475">
        <f>AC39*W3/U3</f>
        <v>13020.127852369505</v>
      </c>
    </row>
    <row r="48" spans="1:29">
      <c r="Y48" s="461" t="s">
        <v>890</v>
      </c>
      <c r="AA48" s="461" t="s">
        <v>889</v>
      </c>
      <c r="AC48" s="475">
        <f>AC47+AC46*AC35</f>
        <v>44591.39277610759</v>
      </c>
    </row>
    <row r="49" spans="25:31">
      <c r="AA49" s="461" t="s">
        <v>880</v>
      </c>
      <c r="AC49" s="475">
        <f>AC48*U3/W3</f>
        <v>38225.955698272832</v>
      </c>
      <c r="AD49" s="478">
        <f>AC49/AC37-1</f>
        <v>2.7441357298019886E-2</v>
      </c>
    </row>
    <row r="53" spans="25:31">
      <c r="Y53" s="461" t="s">
        <v>891</v>
      </c>
    </row>
    <row r="54" spans="25:31">
      <c r="Y54" s="461" t="s">
        <v>886</v>
      </c>
      <c r="AA54" s="461" t="s">
        <v>892</v>
      </c>
      <c r="AC54" s="461">
        <v>6131</v>
      </c>
    </row>
    <row r="55" spans="25:31">
      <c r="Y55" s="461" t="s">
        <v>893</v>
      </c>
      <c r="AC55" s="472" t="e">
        <f>#REF!</f>
        <v>#REF!</v>
      </c>
    </row>
    <row r="56" spans="25:31">
      <c r="Y56" s="461" t="s">
        <v>894</v>
      </c>
      <c r="AC56" s="461" t="e">
        <f>AC54/AC55</f>
        <v>#REF!</v>
      </c>
      <c r="AD56" s="461" t="e">
        <f>AC56*8.5</f>
        <v>#REF!</v>
      </c>
      <c r="AE56" s="461" t="e">
        <f>AD56*U3/W3</f>
        <v>#REF!</v>
      </c>
    </row>
    <row r="57" spans="25:31">
      <c r="Y57" s="461" t="s">
        <v>884</v>
      </c>
      <c r="AA57" s="461" t="s">
        <v>887</v>
      </c>
      <c r="AC57" s="473" t="e">
        <f>AC56*(1-AC36)</f>
        <v>#REF!</v>
      </c>
    </row>
    <row r="58" spans="25:31">
      <c r="Y58" s="461" t="s">
        <v>888</v>
      </c>
      <c r="AA58" s="461" t="s">
        <v>889</v>
      </c>
      <c r="AC58" s="475" t="e">
        <f>AC56*AC35*AC36</f>
        <v>#REF!</v>
      </c>
    </row>
    <row r="59" spans="25:31">
      <c r="Y59" s="461" t="s">
        <v>884</v>
      </c>
      <c r="AA59" s="461" t="s">
        <v>895</v>
      </c>
      <c r="AC59" s="475" t="e">
        <f>AC57*U20/W20</f>
        <v>#REF!</v>
      </c>
    </row>
    <row r="60" spans="25:31">
      <c r="Y60" s="461" t="s">
        <v>888</v>
      </c>
      <c r="AA60" s="461" t="s">
        <v>896</v>
      </c>
      <c r="AC60" s="475" t="e">
        <f>AC58*U3/W3</f>
        <v>#REF!</v>
      </c>
    </row>
    <row r="61" spans="25:31">
      <c r="Y61" s="461" t="s">
        <v>644</v>
      </c>
      <c r="AC61" s="475" t="e">
        <f>AC59*AC34+AC60</f>
        <v>#REF!</v>
      </c>
    </row>
  </sheetData>
  <hyperlinks>
    <hyperlink ref="A6" r:id="rId1" xr:uid="{00000000-0004-0000-0800-000000000000}"/>
  </hyperlinks>
  <pageMargins left="0.75" right="0.75" top="1" bottom="1" header="0.5" footer="0.5"/>
  <pageSetup orientation="portrait" horizontalDpi="301"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dimension ref="A1:L42"/>
  <sheetViews>
    <sheetView workbookViewId="0">
      <selection activeCell="L10" sqref="L10"/>
    </sheetView>
  </sheetViews>
  <sheetFormatPr defaultColWidth="8.85546875" defaultRowHeight="12.75"/>
  <cols>
    <col min="1" max="1" width="50" customWidth="1"/>
    <col min="2" max="2" width="17" customWidth="1"/>
    <col min="3" max="3" width="8.42578125" customWidth="1"/>
    <col min="4" max="4" width="14.85546875" customWidth="1"/>
    <col min="5" max="5" width="12" customWidth="1"/>
    <col min="6" max="6" width="15" customWidth="1"/>
    <col min="7" max="7" width="10.5703125" customWidth="1"/>
    <col min="8" max="8" width="14.140625" customWidth="1"/>
    <col min="9" max="9" width="16.85546875" customWidth="1"/>
  </cols>
  <sheetData>
    <row r="1" spans="1:12">
      <c r="A1" s="314"/>
    </row>
    <row r="4" spans="1:12" ht="13.5" thickBot="1">
      <c r="B4" s="480" t="s">
        <v>923</v>
      </c>
      <c r="C4" s="481">
        <f>Deflator!P25</f>
        <v>6.3593283333333304</v>
      </c>
      <c r="D4" t="s">
        <v>920</v>
      </c>
      <c r="E4" s="458"/>
    </row>
    <row r="5" spans="1:12" ht="13.5" thickBot="1">
      <c r="D5" s="795" t="s">
        <v>781</v>
      </c>
      <c r="E5" s="796"/>
      <c r="F5" s="797"/>
      <c r="G5" s="795" t="s">
        <v>780</v>
      </c>
      <c r="H5" s="796"/>
      <c r="I5" s="797"/>
      <c r="J5" s="314"/>
    </row>
    <row r="6" spans="1:12">
      <c r="C6" s="314" t="s">
        <v>777</v>
      </c>
      <c r="D6" s="314" t="s">
        <v>778</v>
      </c>
      <c r="E6" s="314" t="s">
        <v>442</v>
      </c>
      <c r="F6" s="314" t="s">
        <v>1195</v>
      </c>
      <c r="G6" s="392" t="s">
        <v>782</v>
      </c>
      <c r="H6" s="393" t="s">
        <v>1196</v>
      </c>
      <c r="I6" s="394" t="s">
        <v>786</v>
      </c>
      <c r="L6" t="s">
        <v>1660</v>
      </c>
    </row>
    <row r="7" spans="1:12" ht="15">
      <c r="A7" s="385" t="str">
        <f>COM_2012!A61</f>
        <v>Commercial - Cooling - Electricity - Chiller - Existing</v>
      </c>
      <c r="B7" s="385" t="str">
        <f>COM_2012!B61</f>
        <v>CECELCCHIL-E</v>
      </c>
      <c r="D7" s="389">
        <v>3.2238678090575279</v>
      </c>
      <c r="E7">
        <v>2005</v>
      </c>
      <c r="F7" s="402">
        <v>38.640323294395252</v>
      </c>
      <c r="G7" s="395">
        <v>199.095</v>
      </c>
      <c r="H7" s="389">
        <v>500.36706830953932</v>
      </c>
      <c r="I7" s="548">
        <f>H7</f>
        <v>500.36706830953932</v>
      </c>
      <c r="L7">
        <f>F7*Deflator!$AD$7</f>
        <v>54.310780405383028</v>
      </c>
    </row>
    <row r="8" spans="1:12" ht="15">
      <c r="A8" s="385" t="str">
        <f>COM_2012!A62</f>
        <v>Commercial - Cooling - Electricity - Central - Existing</v>
      </c>
      <c r="B8" s="385" t="str">
        <f>COM_2012!B62</f>
        <v>CECELCCEN-E</v>
      </c>
      <c r="D8" s="389">
        <v>5.4305997552019587</v>
      </c>
      <c r="E8">
        <v>2005</v>
      </c>
      <c r="F8" s="402">
        <v>65.089557839163547</v>
      </c>
      <c r="G8" s="395">
        <v>122.52</v>
      </c>
      <c r="H8" s="389">
        <v>307.91819588279344</v>
      </c>
      <c r="I8" s="400">
        <f t="shared" ref="I8:I12" si="0">H8</f>
        <v>307.91819588279344</v>
      </c>
      <c r="L8">
        <f>F8*Deflator!$AD$7</f>
        <v>91.48641577227815</v>
      </c>
    </row>
    <row r="9" spans="1:12" ht="15">
      <c r="A9" s="385" t="str">
        <f>COM_2012!A63</f>
        <v>Commercial - Cooling - Electricity - Heat Pump - Existing</v>
      </c>
      <c r="B9" s="385" t="str">
        <f>COM_2012!B63</f>
        <v>CECELCHP-E</v>
      </c>
      <c r="D9" s="389">
        <v>7.0616891064871483</v>
      </c>
      <c r="E9">
        <v>2005</v>
      </c>
      <c r="F9" s="402">
        <v>84.639310989287338</v>
      </c>
      <c r="G9" s="395">
        <v>321.61500000000001</v>
      </c>
      <c r="H9" s="389">
        <v>808.28526419233276</v>
      </c>
      <c r="I9" s="400">
        <f t="shared" si="0"/>
        <v>808.28526419233276</v>
      </c>
      <c r="L9">
        <f>F9*Deflator!$AD$7</f>
        <v>118.96450756323959</v>
      </c>
    </row>
    <row r="10" spans="1:12" ht="15">
      <c r="A10" s="385" t="str">
        <f>COM_2012!A64</f>
        <v>Commercial - Cooling - Electricity - Room - Existing</v>
      </c>
      <c r="B10" s="385" t="str">
        <f>COM_2012!B64</f>
        <v>CECELCROOM-E</v>
      </c>
      <c r="D10" s="389">
        <v>2.9474908200734395</v>
      </c>
      <c r="E10">
        <v>2005</v>
      </c>
      <c r="F10" s="402">
        <v>35.327750683485782</v>
      </c>
      <c r="G10" s="395">
        <v>168.465</v>
      </c>
      <c r="H10" s="389">
        <v>423.38751933884095</v>
      </c>
      <c r="I10" s="400">
        <f t="shared" si="0"/>
        <v>423.38751933884095</v>
      </c>
      <c r="L10">
        <f>F10*Deflator!$AD$7</f>
        <v>49.654804773986427</v>
      </c>
    </row>
    <row r="11" spans="1:12" ht="15">
      <c r="A11" s="386" t="str">
        <f>COM_2012!A69</f>
        <v>Commercial - Space Heating - Coal - Existing</v>
      </c>
      <c r="B11" s="386" t="str">
        <f>COM_2012!B69</f>
        <v>CEHCOA-E</v>
      </c>
      <c r="D11" s="389"/>
      <c r="E11">
        <v>2005</v>
      </c>
      <c r="F11" s="402">
        <f>I11</f>
        <v>962.2443621337294</v>
      </c>
      <c r="G11" s="396">
        <v>382.875</v>
      </c>
      <c r="H11" s="389">
        <v>962.2443621337294</v>
      </c>
      <c r="I11" s="400">
        <f t="shared" si="0"/>
        <v>962.2443621337294</v>
      </c>
      <c r="L11">
        <f>F11*Deflator!$AD$7</f>
        <v>1352.4794254437086</v>
      </c>
    </row>
    <row r="12" spans="1:12" ht="15">
      <c r="A12" s="386" t="str">
        <f>COM_2012!A70</f>
        <v>Commercial - Space Heating - Electricity - Existing</v>
      </c>
      <c r="B12" s="386" t="str">
        <f>COM_2012!B70</f>
        <v>CEHELC-E</v>
      </c>
      <c r="D12" s="389">
        <v>1.8651162790697675</v>
      </c>
      <c r="E12">
        <v>2005</v>
      </c>
      <c r="F12" s="402">
        <v>22.35473048938816</v>
      </c>
      <c r="G12" s="396">
        <v>229.72499999999999</v>
      </c>
      <c r="H12" s="389">
        <v>577.34661728023764</v>
      </c>
      <c r="I12" s="400">
        <f t="shared" si="0"/>
        <v>577.34661728023764</v>
      </c>
      <c r="L12">
        <f>F12*Deflator!$AD$7</f>
        <v>31.420618543499238</v>
      </c>
    </row>
    <row r="13" spans="1:12" ht="15">
      <c r="A13" s="384" t="str">
        <f>COM_2012!A76</f>
        <v>Commercial - Cooking - Oil LPG - Existing</v>
      </c>
      <c r="B13" s="384" t="str">
        <f>COM_2012!B76</f>
        <v>CEKOLP-E</v>
      </c>
      <c r="D13" s="389"/>
      <c r="E13">
        <v>2005</v>
      </c>
      <c r="F13" s="402">
        <f>I13</f>
        <v>125.66038029823434</v>
      </c>
      <c r="G13" s="397" t="s">
        <v>784</v>
      </c>
      <c r="H13" s="389"/>
      <c r="I13" s="400">
        <f>I19</f>
        <v>125.66038029823434</v>
      </c>
      <c r="J13" s="314"/>
      <c r="L13">
        <f>F13*Deflator!$AD$7</f>
        <v>176.62153776607363</v>
      </c>
    </row>
    <row r="14" spans="1:12" ht="15">
      <c r="A14" s="387" t="str">
        <f>COM_2012!A81</f>
        <v>Commercial - Lighting - Electricity - CFL - Existing</v>
      </c>
      <c r="B14" s="387" t="str">
        <f>COM_2012!B81</f>
        <v>CELELCCFL-E</v>
      </c>
      <c r="D14" s="389">
        <v>66.299877600979201</v>
      </c>
      <c r="E14">
        <v>2005</v>
      </c>
      <c r="F14" s="402">
        <v>794.6506670289333</v>
      </c>
      <c r="G14" s="395">
        <v>45.2</v>
      </c>
      <c r="H14" s="389">
        <v>113.59698378960385</v>
      </c>
      <c r="I14" s="548">
        <f>H14</f>
        <v>113.59698378960385</v>
      </c>
      <c r="J14">
        <f>H14*Deflator!$AD$7</f>
        <v>159.66587014053056</v>
      </c>
      <c r="L14">
        <f>F14*Deflator!$AD$7</f>
        <v>1116.9186537903422</v>
      </c>
    </row>
    <row r="15" spans="1:12" ht="15">
      <c r="A15" s="387" t="str">
        <f>COM_2012!A82</f>
        <v>Commercial - Lighting - Electricity - FLU - Existing</v>
      </c>
      <c r="B15" s="387" t="str">
        <f>COM_2012!B82</f>
        <v>CELELCFLU-E</v>
      </c>
      <c r="D15" s="389">
        <v>66.581150550795599</v>
      </c>
      <c r="E15">
        <v>2005</v>
      </c>
      <c r="F15" s="402">
        <v>798.02192117413699</v>
      </c>
      <c r="G15" s="395">
        <v>37.700000000000003</v>
      </c>
      <c r="H15" s="389">
        <v>94.747926744868693</v>
      </c>
      <c r="I15" s="400">
        <f t="shared" ref="I15:I22" si="1">H15</f>
        <v>94.747926744868693</v>
      </c>
      <c r="J15">
        <f>H15*Deflator!$AD$7</f>
        <v>133.17263947561949</v>
      </c>
      <c r="L15">
        <f>F15*Deflator!$AD$7</f>
        <v>1121.6571090609132</v>
      </c>
    </row>
    <row r="16" spans="1:12" ht="15">
      <c r="A16" s="387" t="str">
        <f>COM_2012!A83</f>
        <v>Commercial - Lighting - Electricity - HAL - Existing</v>
      </c>
      <c r="B16" s="387" t="str">
        <f>COM_2012!B83</f>
        <v>CELELCHAL-E</v>
      </c>
      <c r="D16" s="389">
        <v>80.897184822521425</v>
      </c>
      <c r="E16">
        <v>2005</v>
      </c>
      <c r="F16" s="402">
        <v>969.6096615271897</v>
      </c>
      <c r="G16" s="395">
        <v>13.6</v>
      </c>
      <c r="H16" s="389">
        <v>34.179623441119737</v>
      </c>
      <c r="I16" s="400">
        <f t="shared" si="1"/>
        <v>34.179623441119737</v>
      </c>
      <c r="J16">
        <f>H16*Deflator!$AD$7</f>
        <v>48.04105827237202</v>
      </c>
      <c r="L16">
        <f>F16*Deflator!$AD$7</f>
        <v>1362.8316979889062</v>
      </c>
    </row>
    <row r="17" spans="1:12" ht="15">
      <c r="A17" s="387" t="str">
        <f>COM_2012!A84</f>
        <v>Commercial - Lighting - Electricity - HID - Existing</v>
      </c>
      <c r="B17" s="387" t="str">
        <f>COM_2012!B84</f>
        <v>CELELCHID-E</v>
      </c>
      <c r="D17" s="389">
        <v>61.527417380660957</v>
      </c>
      <c r="E17">
        <v>2005</v>
      </c>
      <c r="F17" s="402">
        <v>737.44937443727213</v>
      </c>
      <c r="G17" s="395">
        <v>5.5</v>
      </c>
      <c r="H17" s="389">
        <v>13.822641832805777</v>
      </c>
      <c r="I17" s="400">
        <f t="shared" si="1"/>
        <v>13.822641832805777</v>
      </c>
      <c r="J17">
        <f>H17*Deflator!$AD$7</f>
        <v>19.428369154268097</v>
      </c>
      <c r="L17">
        <f>F17*Deflator!$AD$7</f>
        <v>1036.5195635140869</v>
      </c>
    </row>
    <row r="18" spans="1:12" ht="15">
      <c r="A18" s="387" t="str">
        <f>COM_2012!A85</f>
        <v>Commercial - Lighting - Electricity - INC - Existing</v>
      </c>
      <c r="B18" s="387" t="str">
        <f>COM_2012!B85</f>
        <v>CELELCINC-E</v>
      </c>
      <c r="D18" s="389">
        <v>18.720195838433295</v>
      </c>
      <c r="E18">
        <v>2005</v>
      </c>
      <c r="F18" s="402">
        <v>224.37471452743031</v>
      </c>
      <c r="G18" s="395">
        <v>74.8</v>
      </c>
      <c r="H18" s="389">
        <v>187.98792892615856</v>
      </c>
      <c r="I18" s="400">
        <f t="shared" si="1"/>
        <v>187.98792892615856</v>
      </c>
      <c r="J18">
        <f>H18*Deflator!$AD$7</f>
        <v>264.22582049804612</v>
      </c>
      <c r="L18">
        <f>F18*Deflator!$AD$7</f>
        <v>315.36914834735188</v>
      </c>
    </row>
    <row r="19" spans="1:12" ht="15">
      <c r="A19" s="384" t="str">
        <f>COM_2012!A89</f>
        <v>Commercial - Refrigeration - Electricity - Existing</v>
      </c>
      <c r="B19" s="384" t="str">
        <f>COM_2012!B89</f>
        <v>CERELC-E</v>
      </c>
      <c r="D19" s="389">
        <v>102.94565483476133</v>
      </c>
      <c r="E19">
        <v>2005</v>
      </c>
      <c r="F19" s="402">
        <v>1233.8760830678398</v>
      </c>
      <c r="G19" s="395">
        <v>50</v>
      </c>
      <c r="H19" s="389">
        <v>125.66038029823434</v>
      </c>
      <c r="I19" s="400">
        <f t="shared" si="1"/>
        <v>125.66038029823434</v>
      </c>
      <c r="L19">
        <f>F19*Deflator!$AD$7</f>
        <v>1734.2705050470356</v>
      </c>
    </row>
    <row r="20" spans="1:12" ht="15">
      <c r="A20" s="388" t="str">
        <f>COM_2012!A93</f>
        <v>Commercial - Water Heating - Electricity - Existing</v>
      </c>
      <c r="B20" s="388" t="str">
        <f>COM_2012!B93</f>
        <v>CEWELC-E</v>
      </c>
      <c r="D20" s="389">
        <v>1.8746634026927786</v>
      </c>
      <c r="E20">
        <v>2005</v>
      </c>
      <c r="F20" s="402">
        <v>22.469159481261919</v>
      </c>
      <c r="G20" s="395">
        <v>40</v>
      </c>
      <c r="H20" s="389">
        <v>100.52830423858747</v>
      </c>
      <c r="I20" s="400">
        <f t="shared" si="1"/>
        <v>100.52830423858747</v>
      </c>
      <c r="L20">
        <f>F20*Deflator!$AD$7</f>
        <v>31.581453839889381</v>
      </c>
    </row>
    <row r="21" spans="1:12" ht="15">
      <c r="A21" s="388" t="str">
        <f>COM_2012!A94</f>
        <v>Commercial - Water Heating - Coal - Existing</v>
      </c>
      <c r="B21" s="388" t="str">
        <f>COM_2012!B94</f>
        <v>CEWCOA-E</v>
      </c>
      <c r="D21" s="389"/>
      <c r="E21">
        <v>2005</v>
      </c>
      <c r="F21" s="402">
        <f>I21</f>
        <v>150.79245635788121</v>
      </c>
      <c r="G21" s="395">
        <v>60</v>
      </c>
      <c r="H21" s="389">
        <v>150.79245635788121</v>
      </c>
      <c r="I21" s="400">
        <f t="shared" si="1"/>
        <v>150.79245635788121</v>
      </c>
      <c r="L21">
        <f>F21*Deflator!$AD$7</f>
        <v>211.94584531928834</v>
      </c>
    </row>
    <row r="22" spans="1:12" ht="15">
      <c r="A22" s="388" t="str">
        <f>COM_2012!A95</f>
        <v>Commercial - Water Heating - Oil LPG - Existing</v>
      </c>
      <c r="B22" s="388" t="str">
        <f>COM_2012!B95</f>
        <v>CEWOLP-E</v>
      </c>
      <c r="D22" s="389">
        <v>1.4736842105263159</v>
      </c>
      <c r="E22">
        <v>2005</v>
      </c>
      <c r="F22" s="402">
        <v>17.663141822564214</v>
      </c>
      <c r="G22" s="395">
        <v>60</v>
      </c>
      <c r="H22" s="389">
        <v>150.79245635788121</v>
      </c>
      <c r="I22" s="400">
        <f t="shared" si="1"/>
        <v>150.79245635788121</v>
      </c>
      <c r="L22">
        <f>F22*Deflator!$AD$7</f>
        <v>24.826371391503535</v>
      </c>
    </row>
    <row r="23" spans="1:12" ht="15">
      <c r="A23" t="str">
        <f>COM_2012!A113</f>
        <v>Commercial - Other - Coal - Existing</v>
      </c>
      <c r="B23" t="str">
        <f>COM_2012!B113</f>
        <v>CEOCOA-E</v>
      </c>
      <c r="D23" s="389"/>
      <c r="E23">
        <v>2005</v>
      </c>
      <c r="F23" s="402">
        <f>I23</f>
        <v>292.33238183892803</v>
      </c>
      <c r="G23" s="397" t="s">
        <v>785</v>
      </c>
      <c r="H23" s="389"/>
      <c r="I23" s="400">
        <f t="shared" ref="I23:I29" si="2">AVERAGE($I$7:$I$22)</f>
        <v>292.33238183892803</v>
      </c>
      <c r="J23" s="314"/>
      <c r="L23">
        <f>F23*Deflator!$AD$7</f>
        <v>410.88682603593844</v>
      </c>
    </row>
    <row r="24" spans="1:12" ht="15">
      <c r="A24" t="str">
        <f>COM_2012!A114</f>
        <v>Commercial - Other - Oil Diesel - Existing</v>
      </c>
      <c r="B24" t="str">
        <f>COM_2012!B114</f>
        <v>CEOODS-E</v>
      </c>
      <c r="D24" s="390"/>
      <c r="E24">
        <v>2005</v>
      </c>
      <c r="F24" s="402">
        <f t="shared" ref="F24:F29" si="3">I24</f>
        <v>292.33238183892803</v>
      </c>
      <c r="G24" s="397" t="s">
        <v>785</v>
      </c>
      <c r="H24" s="389"/>
      <c r="I24" s="400">
        <f t="shared" si="2"/>
        <v>292.33238183892803</v>
      </c>
      <c r="J24" s="314"/>
      <c r="L24">
        <f>F24*Deflator!$AD$7</f>
        <v>410.88682603593844</v>
      </c>
    </row>
    <row r="25" spans="1:12" ht="15">
      <c r="A25" t="str">
        <f>COM_2012!A115</f>
        <v>Commercial - Other - Electricity - Existing</v>
      </c>
      <c r="B25" t="str">
        <f>COM_2012!B115</f>
        <v>CEOELC-E</v>
      </c>
      <c r="D25" s="389">
        <v>139.96988984088128</v>
      </c>
      <c r="E25">
        <v>2005</v>
      </c>
      <c r="F25" s="402">
        <f t="shared" si="3"/>
        <v>292.33238183892803</v>
      </c>
      <c r="G25" s="397" t="s">
        <v>785</v>
      </c>
      <c r="H25" s="389"/>
      <c r="I25" s="400">
        <f t="shared" si="2"/>
        <v>292.33238183892803</v>
      </c>
      <c r="J25" s="314"/>
      <c r="L25">
        <f>F25*Deflator!$AD$7</f>
        <v>410.88682603593844</v>
      </c>
    </row>
    <row r="26" spans="1:12" ht="15">
      <c r="A26" t="str">
        <f>COM_2012!A116</f>
        <v>Commercial - Other - Gas - Existing</v>
      </c>
      <c r="B26" t="str">
        <f>COM_2012!B116</f>
        <v>CEOGAS-E</v>
      </c>
      <c r="D26" s="389"/>
      <c r="E26">
        <v>2005</v>
      </c>
      <c r="F26" s="402">
        <f t="shared" si="3"/>
        <v>292.33238183892803</v>
      </c>
      <c r="G26" s="397" t="s">
        <v>785</v>
      </c>
      <c r="H26" s="389"/>
      <c r="I26" s="400">
        <f t="shared" si="2"/>
        <v>292.33238183892803</v>
      </c>
      <c r="J26" s="314"/>
      <c r="L26">
        <f>F26*Deflator!$AD$7</f>
        <v>410.88682603593844</v>
      </c>
    </row>
    <row r="27" spans="1:12" ht="15">
      <c r="A27" t="str">
        <f>COM_2012!A117</f>
        <v>Commercial - Other - Oil Gasoline - Existing</v>
      </c>
      <c r="B27" t="str">
        <f>COM_2012!B117</f>
        <v>CEOOGS-E</v>
      </c>
      <c r="D27" s="389"/>
      <c r="E27">
        <v>2005</v>
      </c>
      <c r="F27" s="402">
        <f t="shared" si="3"/>
        <v>292.33238183892803</v>
      </c>
      <c r="G27" s="397" t="s">
        <v>785</v>
      </c>
      <c r="H27" s="389"/>
      <c r="I27" s="400">
        <f t="shared" si="2"/>
        <v>292.33238183892803</v>
      </c>
      <c r="J27" s="314"/>
      <c r="L27">
        <f>F27*Deflator!$AD$7</f>
        <v>410.88682603593844</v>
      </c>
    </row>
    <row r="28" spans="1:12" ht="15">
      <c r="A28" t="str">
        <f>COM_2012!A118</f>
        <v>Commercial - Other - Oil HFO - Existing</v>
      </c>
      <c r="B28" t="str">
        <f>COM_2012!B118</f>
        <v>CEOOHF-E</v>
      </c>
      <c r="D28" s="389"/>
      <c r="E28">
        <v>2005</v>
      </c>
      <c r="F28" s="402">
        <f t="shared" si="3"/>
        <v>292.33238183892803</v>
      </c>
      <c r="G28" s="397" t="s">
        <v>785</v>
      </c>
      <c r="H28" s="389"/>
      <c r="I28" s="400">
        <f t="shared" si="2"/>
        <v>292.33238183892803</v>
      </c>
      <c r="J28" s="314"/>
      <c r="L28">
        <f>F28*Deflator!$AD$7</f>
        <v>410.88682603593844</v>
      </c>
    </row>
    <row r="29" spans="1:12" ht="15.75" thickBot="1">
      <c r="A29" t="str">
        <f>COM_2012!A119</f>
        <v>Commercial - Other - Oil Paraffin - Existing</v>
      </c>
      <c r="B29" t="str">
        <f>COM_2012!B119</f>
        <v>CEOOKE-E</v>
      </c>
      <c r="D29" s="389"/>
      <c r="E29">
        <v>2005</v>
      </c>
      <c r="F29" s="402">
        <f t="shared" si="3"/>
        <v>292.33238183892803</v>
      </c>
      <c r="G29" s="398" t="s">
        <v>785</v>
      </c>
      <c r="H29" s="399"/>
      <c r="I29" s="401">
        <f t="shared" si="2"/>
        <v>292.33238183892803</v>
      </c>
      <c r="J29" s="314"/>
      <c r="L29">
        <f>F29*Deflator!$AD$7</f>
        <v>410.88682603593844</v>
      </c>
    </row>
    <row r="30" spans="1:12">
      <c r="D30" s="390" t="s">
        <v>847</v>
      </c>
    </row>
    <row r="31" spans="1:12" ht="15">
      <c r="A31" s="314"/>
      <c r="F31" s="389">
        <f>F18</f>
        <v>224.37471452743031</v>
      </c>
      <c r="I31" s="457">
        <f>I18</f>
        <v>187.98792892615856</v>
      </c>
    </row>
    <row r="32" spans="1:12">
      <c r="A32" s="314"/>
      <c r="F32" s="389">
        <f>F16</f>
        <v>969.6096615271897</v>
      </c>
      <c r="I32">
        <f>I16</f>
        <v>34.179623441119737</v>
      </c>
    </row>
    <row r="33" spans="1:10">
      <c r="A33" s="314"/>
      <c r="E33">
        <v>2011</v>
      </c>
      <c r="I33">
        <f>I17</f>
        <v>13.822641832805777</v>
      </c>
    </row>
    <row r="34" spans="1:10">
      <c r="A34" s="314" t="str">
        <f>COM_2012!A105</f>
        <v>Commercial - Public Lights - Electricity - HPS - Existing</v>
      </c>
      <c r="E34">
        <v>2011</v>
      </c>
      <c r="I34">
        <f>I17</f>
        <v>13.822641832805777</v>
      </c>
    </row>
    <row r="35" spans="1:10">
      <c r="A35" s="314" t="str">
        <f>COM_2012!A106</f>
        <v>Commercial - Public Lights - Electricity - MHL - Existing</v>
      </c>
      <c r="E35">
        <v>2011</v>
      </c>
      <c r="I35">
        <f>I17</f>
        <v>13.822641832805777</v>
      </c>
    </row>
    <row r="36" spans="1:10">
      <c r="A36" s="314" t="str">
        <f>COM_2012!A107</f>
        <v>Commercial - Public Lights - Electricity - LED - New</v>
      </c>
      <c r="I36">
        <f>I32</f>
        <v>34.179623441119737</v>
      </c>
    </row>
    <row r="37" spans="1:10">
      <c r="A37" s="314" t="str">
        <f>COM_2012!A108</f>
        <v>\I: Share Check &amp; sub-totals</v>
      </c>
      <c r="E37">
        <v>2011</v>
      </c>
      <c r="I37">
        <f t="shared" ref="I37:I39" si="4">I33</f>
        <v>13.822641832805777</v>
      </c>
    </row>
    <row r="38" spans="1:10">
      <c r="A38" s="314" t="str">
        <f>COM_2012!A109</f>
        <v>\I:Commercial - Public Water</v>
      </c>
      <c r="E38">
        <v>2011</v>
      </c>
      <c r="I38">
        <f t="shared" si="4"/>
        <v>13.822641832805777</v>
      </c>
    </row>
    <row r="39" spans="1:10">
      <c r="A39" s="314" t="str">
        <f>COM_2012!A110</f>
        <v>Commercial - Public Water - Electricity -  - Existing</v>
      </c>
      <c r="E39">
        <v>2011</v>
      </c>
      <c r="I39">
        <f t="shared" si="4"/>
        <v>13.822641832805777</v>
      </c>
    </row>
    <row r="40" spans="1:10">
      <c r="A40" s="314" t="str">
        <f>COM_2012!A107</f>
        <v>Commercial - Public Lights - Electricity - LED - New</v>
      </c>
      <c r="E40">
        <v>2011</v>
      </c>
      <c r="I40">
        <f>I39*J42</f>
        <v>25.986566645674859</v>
      </c>
      <c r="J40" t="s">
        <v>848</v>
      </c>
    </row>
    <row r="41" spans="1:10">
      <c r="A41" s="314"/>
    </row>
    <row r="42" spans="1:10">
      <c r="J42">
        <f>4700/2500</f>
        <v>1.88</v>
      </c>
    </row>
  </sheetData>
  <mergeCells count="2">
    <mergeCell ref="G5:I5"/>
    <mergeCell ref="D5:F5"/>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8"/>
  <dimension ref="A1:B1"/>
  <sheetViews>
    <sheetView workbookViewId="0"/>
  </sheetViews>
  <sheetFormatPr defaultColWidth="11.42578125" defaultRowHeight="11.25"/>
  <cols>
    <col min="1" max="1" width="12.140625" style="304" customWidth="1"/>
    <col min="2" max="2" width="42.42578125" style="304" customWidth="1"/>
    <col min="3" max="3" width="28.42578125" style="304" customWidth="1"/>
    <col min="4" max="4" width="21.7109375" style="304" customWidth="1"/>
    <col min="5" max="16384" width="11.42578125" style="304"/>
  </cols>
  <sheetData>
    <row r="1" spans="1:2">
      <c r="A1" s="303" t="s">
        <v>636</v>
      </c>
      <c r="B1" s="304" t="s">
        <v>637</v>
      </c>
    </row>
  </sheetData>
  <pageMargins left="0.75" right="0.75" top="1" bottom="1" header="0.5" footer="0.5"/>
  <pageSetup paperSize="9" orientation="portrait" horizontalDpi="1200" verticalDpi="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3">
    <tabColor rgb="FF92D050"/>
  </sheetPr>
  <dimension ref="A1:AB203"/>
  <sheetViews>
    <sheetView zoomScale="81"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t="s">
        <v>489</v>
      </c>
      <c r="E2" s="1" t="s">
        <v>138</v>
      </c>
      <c r="F2" s="1" t="s">
        <v>490</v>
      </c>
      <c r="G2" s="1" t="s">
        <v>491</v>
      </c>
      <c r="H2" s="1" t="s">
        <v>492</v>
      </c>
      <c r="I2" s="1" t="s">
        <v>465</v>
      </c>
      <c r="J2" s="1" t="s">
        <v>493</v>
      </c>
      <c r="K2" s="1" t="s">
        <v>494</v>
      </c>
      <c r="L2" s="1" t="s">
        <v>224</v>
      </c>
      <c r="M2" s="1"/>
    </row>
    <row r="3" spans="1:26">
      <c r="A3" s="21" t="s">
        <v>181</v>
      </c>
      <c r="D3" s="1"/>
      <c r="L3" s="1"/>
      <c r="M3" s="1"/>
    </row>
    <row r="4" spans="1:26">
      <c r="A4" s="46" t="s">
        <v>182</v>
      </c>
      <c r="D4" s="1"/>
      <c r="L4" s="1"/>
      <c r="M4" s="1"/>
    </row>
    <row r="5" spans="1:26">
      <c r="A5" s="47" t="s">
        <v>183</v>
      </c>
      <c r="B5" s="41"/>
      <c r="C5" s="41"/>
      <c r="D5" s="41"/>
      <c r="E5" s="41"/>
      <c r="F5" s="41"/>
      <c r="G5" s="41"/>
      <c r="H5" s="41"/>
      <c r="I5" s="41"/>
      <c r="J5" s="41"/>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534</v>
      </c>
      <c r="E10" s="237" t="s">
        <v>535</v>
      </c>
      <c r="F10" s="237" t="s">
        <v>536</v>
      </c>
      <c r="G10" s="238" t="s">
        <v>537</v>
      </c>
      <c r="H10" s="238" t="s">
        <v>538</v>
      </c>
      <c r="I10" s="238" t="s">
        <v>539</v>
      </c>
      <c r="J10" s="238" t="s">
        <v>540</v>
      </c>
      <c r="K10" s="237" t="s">
        <v>541</v>
      </c>
      <c r="L10" s="237" t="s">
        <v>542</v>
      </c>
      <c r="M10" s="50"/>
    </row>
    <row r="11" spans="1:26">
      <c r="A11" s="12" t="s">
        <v>543</v>
      </c>
      <c r="C11" s="12" t="s">
        <v>137</v>
      </c>
      <c r="D11" s="239">
        <f>'2006 Energy data '!B11</f>
        <v>134716.5874136934</v>
      </c>
      <c r="E11" s="240">
        <f>'End use share 2006c'!C35</f>
        <v>1.9673944145463536E-2</v>
      </c>
      <c r="F11" s="220">
        <v>1</v>
      </c>
      <c r="G11" s="241">
        <f>C110</f>
        <v>1</v>
      </c>
      <c r="H11" s="241">
        <f>D110</f>
        <v>1</v>
      </c>
      <c r="I11" s="242">
        <f t="shared" ref="I11:I16" si="0">(H11-G11)/8</f>
        <v>0</v>
      </c>
      <c r="J11" s="532">
        <v>1</v>
      </c>
      <c r="K11" s="243">
        <f t="shared" ref="K11:K16" si="1">E11*D11*F11</f>
        <v>2650.4066162444601</v>
      </c>
      <c r="L11" s="64">
        <f t="shared" ref="L11:L16" si="2">J11*E11*D11</f>
        <v>2650.4066162444601</v>
      </c>
    </row>
    <row r="12" spans="1:26">
      <c r="A12" s="12" t="s">
        <v>544</v>
      </c>
      <c r="B12" s="12"/>
      <c r="C12" s="12" t="s">
        <v>138</v>
      </c>
      <c r="D12" s="239">
        <f>'2006 Energy data '!B12</f>
        <v>12</v>
      </c>
      <c r="E12" s="240">
        <f>'End use share 2006c'!C41</f>
        <v>0</v>
      </c>
      <c r="F12" s="220"/>
      <c r="G12" s="241"/>
      <c r="H12" s="241"/>
      <c r="I12" s="242">
        <f t="shared" si="0"/>
        <v>0</v>
      </c>
      <c r="J12" s="244"/>
      <c r="K12" s="243">
        <f t="shared" si="1"/>
        <v>0</v>
      </c>
      <c r="L12" s="64">
        <f t="shared" si="2"/>
        <v>0</v>
      </c>
    </row>
    <row r="13" spans="1:26">
      <c r="A13" s="12" t="s">
        <v>545</v>
      </c>
      <c r="B13" s="12"/>
      <c r="C13" s="12" t="s">
        <v>140</v>
      </c>
      <c r="D13" s="239">
        <v>0</v>
      </c>
      <c r="E13" s="240">
        <f>'End use share 2006c'!C37</f>
        <v>1.2391573729863693E-3</v>
      </c>
      <c r="F13" s="220"/>
      <c r="G13" s="241"/>
      <c r="H13" s="241"/>
      <c r="I13" s="242">
        <f t="shared" si="0"/>
        <v>0</v>
      </c>
      <c r="J13" s="244"/>
      <c r="K13" s="243">
        <f t="shared" si="1"/>
        <v>0</v>
      </c>
      <c r="L13" s="64">
        <f t="shared" si="2"/>
        <v>0</v>
      </c>
    </row>
    <row r="14" spans="1:26">
      <c r="A14" s="12" t="s">
        <v>546</v>
      </c>
      <c r="B14" s="12"/>
      <c r="C14" s="12" t="s">
        <v>453</v>
      </c>
      <c r="D14" s="239">
        <f>'2006 Energy data '!B14</f>
        <v>74788</v>
      </c>
      <c r="E14" s="240">
        <f>'End use share 2006c'!C38</f>
        <v>0.54317126346240241</v>
      </c>
      <c r="F14" s="220">
        <v>1</v>
      </c>
      <c r="G14" s="241">
        <f>C111</f>
        <v>0.65</v>
      </c>
      <c r="H14" s="241">
        <f>D111</f>
        <v>0.8</v>
      </c>
      <c r="I14" s="242">
        <f t="shared" si="0"/>
        <v>1.8750000000000003E-2</v>
      </c>
      <c r="J14" s="244">
        <v>0.60000000000000009</v>
      </c>
      <c r="K14" s="243">
        <f t="shared" si="1"/>
        <v>40622.692451826151</v>
      </c>
      <c r="L14" s="64">
        <f t="shared" si="2"/>
        <v>24373.615471095694</v>
      </c>
    </row>
    <row r="15" spans="1:26">
      <c r="A15" s="12" t="s">
        <v>547</v>
      </c>
      <c r="B15" s="12"/>
      <c r="C15" s="12" t="s">
        <v>548</v>
      </c>
      <c r="D15" s="239">
        <f>'2006 Energy data '!B15</f>
        <v>17766.61</v>
      </c>
      <c r="E15" s="240">
        <f>'End use share 2006c'!C40</f>
        <v>0</v>
      </c>
      <c r="F15" s="220">
        <v>1</v>
      </c>
      <c r="G15" s="241"/>
      <c r="H15" s="241"/>
      <c r="I15" s="242">
        <f t="shared" si="0"/>
        <v>0</v>
      </c>
      <c r="J15" s="244"/>
      <c r="K15" s="243">
        <f t="shared" si="1"/>
        <v>0</v>
      </c>
      <c r="L15" s="64">
        <f t="shared" si="2"/>
        <v>0</v>
      </c>
    </row>
    <row r="16" spans="1:26">
      <c r="A16" s="12" t="s">
        <v>549</v>
      </c>
      <c r="B16" s="12"/>
      <c r="C16" s="12" t="s">
        <v>550</v>
      </c>
      <c r="D16" s="239">
        <f>'2006 Energy data '!B16</f>
        <v>864.23</v>
      </c>
      <c r="E16" s="240">
        <f>'End use share 2006c'!C41</f>
        <v>0</v>
      </c>
      <c r="F16" s="220">
        <v>1</v>
      </c>
      <c r="G16" s="241">
        <f>C113</f>
        <v>0.75</v>
      </c>
      <c r="H16" s="241">
        <f>D113</f>
        <v>0.92</v>
      </c>
      <c r="I16" s="242">
        <f t="shared" si="0"/>
        <v>2.1250000000000005E-2</v>
      </c>
      <c r="J16" s="244">
        <v>0.69</v>
      </c>
      <c r="K16" s="243">
        <f t="shared" si="1"/>
        <v>0</v>
      </c>
      <c r="L16" s="64">
        <f t="shared" si="2"/>
        <v>0</v>
      </c>
    </row>
    <row r="17" spans="1:13">
      <c r="A17" s="12" t="s">
        <v>224</v>
      </c>
      <c r="B17" s="12"/>
      <c r="C17" s="12"/>
      <c r="D17" s="239"/>
      <c r="E17" s="244"/>
      <c r="F17" s="220"/>
      <c r="G17" s="220"/>
      <c r="H17" s="220"/>
      <c r="I17" s="220"/>
      <c r="J17" s="220"/>
      <c r="K17" s="243">
        <f>SUM(K11:K16)</f>
        <v>43273.099068070609</v>
      </c>
      <c r="L17" s="243">
        <f>SUM(L11:L16)</f>
        <v>27024.022087340156</v>
      </c>
    </row>
    <row r="19" spans="1:13" ht="38.25">
      <c r="A19" s="245" t="s">
        <v>551</v>
      </c>
      <c r="B19" s="246" t="s">
        <v>532</v>
      </c>
      <c r="C19" s="246" t="s">
        <v>533</v>
      </c>
      <c r="D19" s="236" t="s">
        <v>534</v>
      </c>
      <c r="E19" s="237" t="s">
        <v>535</v>
      </c>
      <c r="F19" s="237" t="s">
        <v>536</v>
      </c>
      <c r="G19" s="238" t="s">
        <v>537</v>
      </c>
      <c r="H19" s="238" t="s">
        <v>538</v>
      </c>
      <c r="I19" s="238"/>
      <c r="J19" s="238" t="s">
        <v>540</v>
      </c>
      <c r="K19" s="237" t="s">
        <v>541</v>
      </c>
      <c r="L19" s="237" t="s">
        <v>542</v>
      </c>
    </row>
    <row r="20" spans="1:13">
      <c r="A20" s="12" t="s">
        <v>552</v>
      </c>
      <c r="B20" s="15"/>
      <c r="C20" s="12" t="s">
        <v>137</v>
      </c>
      <c r="D20" s="239">
        <f>'2006 Energy data '!B11</f>
        <v>134716.5874136934</v>
      </c>
      <c r="E20" s="220">
        <f>'End use share 2006c'!D35</f>
        <v>8.6253773691933548E-3</v>
      </c>
      <c r="F20" s="220">
        <v>1</v>
      </c>
      <c r="G20" s="241">
        <f t="shared" ref="G20:H25" si="3">C116</f>
        <v>1</v>
      </c>
      <c r="H20" s="241">
        <f t="shared" si="3"/>
        <v>1</v>
      </c>
      <c r="I20" s="242">
        <f t="shared" ref="I20:I25" si="4">(H20-G20)/8</f>
        <v>0</v>
      </c>
      <c r="J20" s="532">
        <v>1</v>
      </c>
      <c r="K20" s="64">
        <f t="shared" ref="K20:K25" si="5">E20*D20</f>
        <v>1161.9814043330293</v>
      </c>
      <c r="L20" s="64">
        <f t="shared" ref="L20:L25" si="6">J20*E20*D20</f>
        <v>1161.9814043330293</v>
      </c>
    </row>
    <row r="21" spans="1:13">
      <c r="A21" s="12" t="s">
        <v>553</v>
      </c>
      <c r="B21" s="12"/>
      <c r="C21" s="12" t="s">
        <v>138</v>
      </c>
      <c r="D21" s="239">
        <f>'2006 Energy data '!B12</f>
        <v>12</v>
      </c>
      <c r="E21" s="220">
        <f>'End use share 2006c'!D41</f>
        <v>0.89896529330549124</v>
      </c>
      <c r="F21" s="220">
        <v>1</v>
      </c>
      <c r="G21" s="241">
        <f t="shared" si="3"/>
        <v>0.75</v>
      </c>
      <c r="H21" s="241">
        <f t="shared" si="3"/>
        <v>0.91</v>
      </c>
      <c r="I21" s="242">
        <f t="shared" si="4"/>
        <v>2.0000000000000004E-2</v>
      </c>
      <c r="J21" s="244">
        <v>0.68</v>
      </c>
      <c r="K21" s="64">
        <f t="shared" si="5"/>
        <v>10.787583519665894</v>
      </c>
      <c r="L21" s="64">
        <f t="shared" si="6"/>
        <v>7.3355567933728087</v>
      </c>
    </row>
    <row r="22" spans="1:13">
      <c r="A22" s="12" t="s">
        <v>554</v>
      </c>
      <c r="B22" s="12"/>
      <c r="C22" s="12" t="s">
        <v>139</v>
      </c>
      <c r="D22" s="239">
        <f>'2006 Energy data '!B13</f>
        <v>322</v>
      </c>
      <c r="E22" s="220">
        <f>'End use share 2006c'!D36</f>
        <v>1</v>
      </c>
      <c r="F22" s="220">
        <v>1</v>
      </c>
      <c r="G22" s="241">
        <f t="shared" si="3"/>
        <v>0.7</v>
      </c>
      <c r="H22" s="241">
        <f t="shared" si="3"/>
        <v>0.91</v>
      </c>
      <c r="I22" s="242">
        <f t="shared" si="4"/>
        <v>2.6250000000000009E-2</v>
      </c>
      <c r="J22" s="244">
        <v>0.68</v>
      </c>
      <c r="K22" s="64">
        <f t="shared" si="5"/>
        <v>322</v>
      </c>
      <c r="L22" s="64">
        <f t="shared" si="6"/>
        <v>218.96</v>
      </c>
    </row>
    <row r="23" spans="1:13">
      <c r="A23" s="12" t="s">
        <v>555</v>
      </c>
      <c r="B23" s="12"/>
      <c r="C23" s="1" t="s">
        <v>453</v>
      </c>
      <c r="D23" s="239">
        <f>'2006 Energy data '!B14</f>
        <v>74788</v>
      </c>
      <c r="E23" s="220">
        <f>'End use share 2006c'!D38</f>
        <v>0.45611504726363378</v>
      </c>
      <c r="F23" s="220">
        <v>1</v>
      </c>
      <c r="G23" s="241">
        <f t="shared" si="3"/>
        <v>0.65</v>
      </c>
      <c r="H23" s="241">
        <f t="shared" si="3"/>
        <v>0.8</v>
      </c>
      <c r="I23" s="242">
        <f t="shared" si="4"/>
        <v>1.8750000000000003E-2</v>
      </c>
      <c r="J23" s="244">
        <v>0.60000000000000009</v>
      </c>
      <c r="K23" s="64">
        <f t="shared" si="5"/>
        <v>34111.932154752642</v>
      </c>
      <c r="L23" s="64">
        <f t="shared" si="6"/>
        <v>20467.159292851589</v>
      </c>
    </row>
    <row r="24" spans="1:13">
      <c r="A24" s="12" t="s">
        <v>556</v>
      </c>
      <c r="B24" s="12"/>
      <c r="C24" s="12" t="s">
        <v>548</v>
      </c>
      <c r="D24" s="239">
        <f>'2006 Energy data '!B15</f>
        <v>17766.61</v>
      </c>
      <c r="E24" s="220">
        <f>'End use share 2006c'!D40</f>
        <v>0</v>
      </c>
      <c r="F24" s="220">
        <v>1</v>
      </c>
      <c r="G24" s="241">
        <f t="shared" si="3"/>
        <v>0.65</v>
      </c>
      <c r="H24" s="241">
        <f t="shared" si="3"/>
        <v>0.85</v>
      </c>
      <c r="I24" s="242">
        <f t="shared" si="4"/>
        <v>2.4999999999999994E-2</v>
      </c>
      <c r="J24" s="244">
        <v>0.64</v>
      </c>
      <c r="K24" s="64">
        <f t="shared" si="5"/>
        <v>0</v>
      </c>
      <c r="L24" s="64">
        <f t="shared" si="6"/>
        <v>0</v>
      </c>
    </row>
    <row r="25" spans="1:13">
      <c r="A25" s="12" t="s">
        <v>557</v>
      </c>
      <c r="B25" s="12"/>
      <c r="C25" s="12" t="s">
        <v>550</v>
      </c>
      <c r="D25" s="239">
        <f>'2006 Energy data '!B16</f>
        <v>864.23</v>
      </c>
      <c r="E25" s="220">
        <f>'End use share 2006c'!D41</f>
        <v>0.89896529330549124</v>
      </c>
      <c r="F25" s="220">
        <v>1</v>
      </c>
      <c r="G25" s="241">
        <f t="shared" si="3"/>
        <v>0.75</v>
      </c>
      <c r="H25" s="241">
        <f t="shared" si="3"/>
        <v>0.92</v>
      </c>
      <c r="I25" s="242">
        <f t="shared" si="4"/>
        <v>2.1250000000000005E-2</v>
      </c>
      <c r="J25" s="244">
        <v>0.69</v>
      </c>
      <c r="K25" s="64">
        <f t="shared" si="5"/>
        <v>776.9127754334047</v>
      </c>
      <c r="L25" s="64">
        <f t="shared" si="6"/>
        <v>536.06981504904923</v>
      </c>
    </row>
    <row r="26" spans="1:13">
      <c r="K26" s="64">
        <f>SUM(K20:K25)</f>
        <v>36383.61391803874</v>
      </c>
      <c r="L26" s="64">
        <f>SUM(L20:L25)</f>
        <v>22391.50606902704</v>
      </c>
    </row>
    <row r="27" spans="1:13">
      <c r="K27" s="41"/>
    </row>
    <row r="28" spans="1:13" ht="38.25">
      <c r="A28" s="245" t="s">
        <v>149</v>
      </c>
      <c r="B28" s="246" t="s">
        <v>532</v>
      </c>
      <c r="C28" s="246" t="s">
        <v>533</v>
      </c>
      <c r="D28" s="236" t="s">
        <v>534</v>
      </c>
      <c r="E28" s="237" t="s">
        <v>535</v>
      </c>
      <c r="F28" s="237" t="s">
        <v>536</v>
      </c>
      <c r="G28" s="238" t="s">
        <v>537</v>
      </c>
      <c r="H28" s="238" t="s">
        <v>538</v>
      </c>
      <c r="I28" s="238"/>
      <c r="J28" s="238" t="s">
        <v>540</v>
      </c>
      <c r="K28" s="237" t="s">
        <v>541</v>
      </c>
      <c r="L28" s="237" t="s">
        <v>542</v>
      </c>
      <c r="M28" s="1"/>
    </row>
    <row r="29" spans="1:13">
      <c r="A29" s="12" t="s">
        <v>558</v>
      </c>
      <c r="B29" s="12"/>
      <c r="C29" s="12" t="s">
        <v>137</v>
      </c>
      <c r="D29" s="239">
        <f>'2006 Energy data '!B11</f>
        <v>134716.5874136934</v>
      </c>
      <c r="E29" s="77">
        <f>'End use share 2006c'!G35</f>
        <v>6.3534899562964403E-2</v>
      </c>
      <c r="F29" s="220">
        <v>1</v>
      </c>
      <c r="G29" s="220">
        <f t="shared" ref="G29:H31" si="7">C126</f>
        <v>1</v>
      </c>
      <c r="H29" s="220">
        <f t="shared" si="7"/>
        <v>1</v>
      </c>
      <c r="I29" s="242">
        <f>(H29-G29)/8</f>
        <v>0</v>
      </c>
      <c r="J29" s="244">
        <v>1</v>
      </c>
      <c r="K29" s="247">
        <f>E29*D29</f>
        <v>8559.2048507943255</v>
      </c>
      <c r="L29" s="247">
        <f>J29*E29*D29</f>
        <v>8559.2048507943255</v>
      </c>
      <c r="M29" s="1"/>
    </row>
    <row r="30" spans="1:13">
      <c r="A30" s="12" t="s">
        <v>559</v>
      </c>
      <c r="B30" s="12"/>
      <c r="C30" s="12" t="s">
        <v>138</v>
      </c>
      <c r="D30" s="239">
        <f>'2006 Energy data '!B12</f>
        <v>12</v>
      </c>
      <c r="E30" s="220">
        <f>'End use share 2006c'!G41</f>
        <v>0.10103470669450876</v>
      </c>
      <c r="F30" s="220">
        <v>1</v>
      </c>
      <c r="G30" s="220">
        <f t="shared" si="7"/>
        <v>0.9</v>
      </c>
      <c r="H30" s="220">
        <f t="shared" si="7"/>
        <v>0.9</v>
      </c>
      <c r="I30" s="242">
        <f>(H30-G30)/8</f>
        <v>0</v>
      </c>
      <c r="J30" s="244">
        <v>0.9</v>
      </c>
      <c r="K30" s="247">
        <f>E30*D30</f>
        <v>1.2124164803341051</v>
      </c>
      <c r="L30" s="247">
        <f>J30*E30*D30</f>
        <v>1.0911748323006947</v>
      </c>
      <c r="M30" s="1"/>
    </row>
    <row r="31" spans="1:13">
      <c r="A31" s="12" t="s">
        <v>560</v>
      </c>
      <c r="B31" s="12"/>
      <c r="C31" s="12" t="s">
        <v>453</v>
      </c>
      <c r="D31" s="239">
        <f>'2006 Energy data '!B14</f>
        <v>74788</v>
      </c>
      <c r="E31" s="77">
        <f>'End use share 2006c'!G38</f>
        <v>7.1368927396390168E-4</v>
      </c>
      <c r="F31" s="220">
        <v>1</v>
      </c>
      <c r="G31" s="220">
        <f t="shared" si="7"/>
        <v>0.75</v>
      </c>
      <c r="H31" s="220">
        <f t="shared" si="7"/>
        <v>0.75</v>
      </c>
      <c r="I31" s="242">
        <f>(H31-G31)/8</f>
        <v>0</v>
      </c>
      <c r="J31" s="244">
        <v>0.75</v>
      </c>
      <c r="K31" s="247">
        <f>E31*D31</f>
        <v>53.37539342121228</v>
      </c>
      <c r="L31" s="247">
        <f>J31*E31*D31</f>
        <v>40.031545065909206</v>
      </c>
      <c r="M31" s="1"/>
    </row>
    <row r="32" spans="1:13">
      <c r="K32" s="247">
        <f>SUM(K29:K31)</f>
        <v>8613.7926606958717</v>
      </c>
      <c r="L32" s="247">
        <f>SUM(L29:L31)</f>
        <v>8600.327570692536</v>
      </c>
      <c r="M32" s="1"/>
    </row>
    <row r="33" spans="1:16">
      <c r="L33" s="1"/>
      <c r="M33" s="1"/>
    </row>
    <row r="34" spans="1:16" ht="38.25">
      <c r="A34" s="245" t="s">
        <v>83</v>
      </c>
      <c r="B34" s="246" t="s">
        <v>532</v>
      </c>
      <c r="C34" s="246" t="s">
        <v>533</v>
      </c>
      <c r="D34" s="236" t="s">
        <v>534</v>
      </c>
      <c r="E34" s="237" t="s">
        <v>535</v>
      </c>
      <c r="F34" s="237" t="s">
        <v>536</v>
      </c>
      <c r="G34" s="238" t="s">
        <v>537</v>
      </c>
      <c r="H34" s="238" t="s">
        <v>538</v>
      </c>
      <c r="I34" s="238"/>
      <c r="J34" s="238" t="s">
        <v>540</v>
      </c>
      <c r="K34" s="237" t="s">
        <v>541</v>
      </c>
      <c r="L34" s="237" t="s">
        <v>542</v>
      </c>
      <c r="M34" s="1"/>
    </row>
    <row r="35" spans="1:16">
      <c r="A35" s="12" t="s">
        <v>561</v>
      </c>
      <c r="B35" s="12" t="s">
        <v>562</v>
      </c>
      <c r="C35" s="12" t="s">
        <v>137</v>
      </c>
      <c r="D35" s="239">
        <f>'2006 Energy data '!B11</f>
        <v>134716.5874136934</v>
      </c>
      <c r="E35" s="220">
        <f>'End use share 2006c'!J35</f>
        <v>0.15929943132341109</v>
      </c>
      <c r="F35" s="220">
        <v>1</v>
      </c>
      <c r="G35" s="241">
        <f t="shared" ref="G35:H37" si="8">C132</f>
        <v>0.75</v>
      </c>
      <c r="H35" s="241">
        <f t="shared" si="8"/>
        <v>0.75</v>
      </c>
      <c r="I35" s="242">
        <f>(H35-G35)/8</f>
        <v>0</v>
      </c>
      <c r="J35" s="244">
        <v>0.75</v>
      </c>
      <c r="K35" s="64">
        <f>E35*D35</f>
        <v>21460.27576483196</v>
      </c>
      <c r="L35" s="64">
        <f>J35*E35*D35</f>
        <v>16095.20682362397</v>
      </c>
      <c r="M35" s="1"/>
    </row>
    <row r="36" spans="1:16">
      <c r="A36" s="12" t="s">
        <v>563</v>
      </c>
      <c r="B36" s="12"/>
      <c r="C36" s="12" t="s">
        <v>453</v>
      </c>
      <c r="D36" s="239">
        <f>'2006 Energy data '!B14</f>
        <v>74788</v>
      </c>
      <c r="E36" s="248">
        <f>'End use share 2006c'!J38</f>
        <v>0</v>
      </c>
      <c r="F36" s="220">
        <v>1</v>
      </c>
      <c r="G36" s="241">
        <f t="shared" si="8"/>
        <v>1</v>
      </c>
      <c r="H36" s="241">
        <f t="shared" si="8"/>
        <v>1</v>
      </c>
      <c r="I36" s="242">
        <f>(H36-G36)/8</f>
        <v>0</v>
      </c>
      <c r="J36" s="244">
        <v>1</v>
      </c>
      <c r="K36" s="64">
        <f>E36*D36</f>
        <v>0</v>
      </c>
      <c r="L36" s="64">
        <f>J36*E36*D36</f>
        <v>0</v>
      </c>
      <c r="M36" s="1"/>
    </row>
    <row r="37" spans="1:16">
      <c r="A37" s="12" t="s">
        <v>564</v>
      </c>
      <c r="B37" s="12"/>
      <c r="C37" s="12" t="s">
        <v>565</v>
      </c>
      <c r="D37" s="239">
        <f>'2006 Energy data '!B15</f>
        <v>17766.61</v>
      </c>
      <c r="E37" s="220">
        <f>'End use share 2006c'!J40</f>
        <v>1</v>
      </c>
      <c r="F37" s="220">
        <v>1</v>
      </c>
      <c r="G37" s="241">
        <f t="shared" si="8"/>
        <v>0.9</v>
      </c>
      <c r="H37" s="241">
        <f t="shared" si="8"/>
        <v>0.9</v>
      </c>
      <c r="I37" s="242">
        <f>(H37-G37)/8</f>
        <v>0</v>
      </c>
      <c r="J37" s="244">
        <v>0.9</v>
      </c>
      <c r="K37" s="64">
        <f>E37*D37</f>
        <v>17766.61</v>
      </c>
      <c r="L37" s="64">
        <f>J37*E37*D37</f>
        <v>15989.949000000001</v>
      </c>
      <c r="M37" s="1"/>
    </row>
    <row r="38" spans="1:16">
      <c r="D38" s="172"/>
      <c r="E38" s="265"/>
      <c r="F38" s="265"/>
      <c r="G38" s="452"/>
      <c r="H38" s="452"/>
      <c r="I38" s="453"/>
      <c r="J38" s="263"/>
      <c r="K38" s="64"/>
      <c r="L38" s="64"/>
      <c r="M38" s="1"/>
    </row>
    <row r="39" spans="1:16">
      <c r="A39" s="12" t="s">
        <v>820</v>
      </c>
      <c r="B39" s="12"/>
      <c r="C39" s="12"/>
      <c r="D39" s="239"/>
      <c r="E39" s="220"/>
      <c r="F39" s="220"/>
      <c r="G39" s="241"/>
      <c r="H39" s="241"/>
      <c r="I39" s="242"/>
      <c r="J39" s="244"/>
      <c r="K39" s="64"/>
      <c r="L39" s="64"/>
      <c r="M39" s="1"/>
    </row>
    <row r="40" spans="1:16">
      <c r="A40" s="12" t="s">
        <v>844</v>
      </c>
      <c r="B40" s="12" t="s">
        <v>846</v>
      </c>
      <c r="C40" s="12" t="s">
        <v>137</v>
      </c>
      <c r="D40" s="239"/>
      <c r="E40" s="220">
        <v>1</v>
      </c>
      <c r="F40" s="220">
        <v>1</v>
      </c>
      <c r="G40" s="241"/>
      <c r="H40" s="241"/>
      <c r="I40" s="242"/>
      <c r="J40" s="533">
        <v>1</v>
      </c>
      <c r="K40" s="64">
        <v>5389.7525213553126</v>
      </c>
      <c r="L40" s="64"/>
      <c r="M40" s="1"/>
    </row>
    <row r="41" spans="1:16">
      <c r="A41" s="12" t="s">
        <v>845</v>
      </c>
      <c r="B41" s="12"/>
      <c r="C41" s="12" t="s">
        <v>137</v>
      </c>
      <c r="D41" s="56"/>
      <c r="E41" s="12"/>
      <c r="F41" s="12"/>
      <c r="G41" s="12"/>
      <c r="H41" s="12"/>
      <c r="I41" s="12"/>
      <c r="J41" s="12"/>
      <c r="K41" s="64">
        <f>SUM(K35:K37)</f>
        <v>39226.885764831961</v>
      </c>
      <c r="L41" s="64">
        <f>SUM(L35:L37)</f>
        <v>32085.155823623973</v>
      </c>
      <c r="M41" s="1"/>
    </row>
    <row r="42" spans="1:16">
      <c r="L42" s="1"/>
      <c r="M42" s="1"/>
    </row>
    <row r="43" spans="1:16" s="234" customFormat="1">
      <c r="A43" s="229" t="s">
        <v>566</v>
      </c>
      <c r="D43" s="249"/>
    </row>
    <row r="44" spans="1:16" ht="13.5" customHeight="1">
      <c r="L44" s="1"/>
      <c r="M44" s="1"/>
      <c r="N44" s="798" t="s">
        <v>567</v>
      </c>
      <c r="O44" s="798"/>
      <c r="P44" s="798"/>
    </row>
    <row r="45" spans="1:16" ht="38.25">
      <c r="A45" s="245" t="s">
        <v>40</v>
      </c>
      <c r="B45" s="246" t="s">
        <v>532</v>
      </c>
      <c r="C45" s="246" t="s">
        <v>533</v>
      </c>
      <c r="D45" s="236" t="s">
        <v>534</v>
      </c>
      <c r="E45" s="237" t="s">
        <v>535</v>
      </c>
      <c r="F45" s="237" t="s">
        <v>536</v>
      </c>
      <c r="G45" s="238" t="s">
        <v>568</v>
      </c>
      <c r="H45" s="237" t="s">
        <v>569</v>
      </c>
      <c r="I45" s="237"/>
      <c r="J45" s="238" t="s">
        <v>570</v>
      </c>
      <c r="K45" s="237" t="s">
        <v>541</v>
      </c>
      <c r="L45" s="237" t="s">
        <v>542</v>
      </c>
      <c r="M45" s="1"/>
      <c r="N45" s="237" t="s">
        <v>571</v>
      </c>
      <c r="O45" s="250" t="s">
        <v>572</v>
      </c>
      <c r="P45" s="250" t="s">
        <v>573</v>
      </c>
    </row>
    <row r="46" spans="1:16">
      <c r="A46" s="12" t="s">
        <v>574</v>
      </c>
      <c r="B46" s="12" t="s">
        <v>575</v>
      </c>
      <c r="C46" s="12" t="s">
        <v>137</v>
      </c>
      <c r="D46" s="281">
        <f>'2006 Energy data '!B11</f>
        <v>134716.5874136934</v>
      </c>
      <c r="E46" s="244">
        <f>'End use share 2006c'!E35</f>
        <v>0.32937807742524239</v>
      </c>
      <c r="F46" s="241">
        <v>0.05</v>
      </c>
      <c r="G46" s="251">
        <f t="shared" ref="G46:H49" si="9">C94</f>
        <v>2</v>
      </c>
      <c r="H46" s="251">
        <f t="shared" si="9"/>
        <v>2.9830508474576201</v>
      </c>
      <c r="I46" s="242">
        <f>(H46-G46)/8</f>
        <v>0.12288135593220251</v>
      </c>
      <c r="J46" s="41">
        <v>2.2000000000000002</v>
      </c>
      <c r="K46" s="64">
        <f>D46*E46*F46</f>
        <v>2218.6345279805969</v>
      </c>
      <c r="L46" s="64">
        <f>D46*F46*E46*J46</f>
        <v>4880.9959615573143</v>
      </c>
      <c r="M46" s="1"/>
      <c r="N46" s="252">
        <f>F46*J46</f>
        <v>0.11000000000000001</v>
      </c>
      <c r="O46" s="253">
        <f>P46/J46</f>
        <v>2853.9707791750416</v>
      </c>
      <c r="P46" s="253">
        <f>F46*$N$50*$E$50</f>
        <v>6278.7357141850916</v>
      </c>
    </row>
    <row r="47" spans="1:16">
      <c r="A47" s="12" t="s">
        <v>576</v>
      </c>
      <c r="B47" s="12" t="s">
        <v>577</v>
      </c>
      <c r="C47" s="12" t="s">
        <v>137</v>
      </c>
      <c r="D47" s="239"/>
      <c r="E47" s="244"/>
      <c r="F47" s="241">
        <v>0.60000000000000009</v>
      </c>
      <c r="G47" s="251">
        <f t="shared" si="9"/>
        <v>3</v>
      </c>
      <c r="H47" s="251">
        <f t="shared" si="9"/>
        <v>4.2288135593220302</v>
      </c>
      <c r="I47" s="242">
        <f>(H47-G47)/8</f>
        <v>0.15360169491525377</v>
      </c>
      <c r="J47" s="41">
        <v>3.1</v>
      </c>
      <c r="K47" s="64">
        <f>D46*E46*F47</f>
        <v>26623.614335767168</v>
      </c>
      <c r="L47" s="64">
        <f>D46*F47*E46*J47</f>
        <v>82533.204440878209</v>
      </c>
      <c r="M47" s="1"/>
      <c r="N47" s="252">
        <f>F47*J47</f>
        <v>1.8600000000000003</v>
      </c>
      <c r="O47" s="253">
        <f>P47/J47</f>
        <v>24304.783409748739</v>
      </c>
      <c r="P47" s="253">
        <f>F47*$N$50*$E$50</f>
        <v>75344.8285702211</v>
      </c>
    </row>
    <row r="48" spans="1:16">
      <c r="A48" s="12" t="s">
        <v>578</v>
      </c>
      <c r="B48" s="12" t="s">
        <v>579</v>
      </c>
      <c r="C48" s="12" t="s">
        <v>137</v>
      </c>
      <c r="D48" s="239"/>
      <c r="E48" s="244"/>
      <c r="F48" s="241">
        <v>0.2</v>
      </c>
      <c r="G48" s="251">
        <f t="shared" si="9"/>
        <v>2.2000000000000002</v>
      </c>
      <c r="H48" s="251">
        <f t="shared" si="9"/>
        <v>3.2813559322033901</v>
      </c>
      <c r="I48" s="242">
        <f>(H48-G48)/8</f>
        <v>0.13516949152542374</v>
      </c>
      <c r="J48" s="41">
        <v>2.5</v>
      </c>
      <c r="K48" s="64">
        <f>D46*E46*F48</f>
        <v>8874.5381119223875</v>
      </c>
      <c r="L48" s="64">
        <f>D46*F48*E46*J48</f>
        <v>22186.345279805973</v>
      </c>
      <c r="M48" s="1"/>
      <c r="N48" s="252">
        <f>F48*J48</f>
        <v>0.5</v>
      </c>
      <c r="O48" s="253">
        <f>P48/J48</f>
        <v>10045.977142696147</v>
      </c>
      <c r="P48" s="253">
        <f>F48*$N$50*$E$50</f>
        <v>25114.942856740367</v>
      </c>
    </row>
    <row r="49" spans="1:28">
      <c r="A49" s="12" t="s">
        <v>580</v>
      </c>
      <c r="B49" s="12" t="s">
        <v>581</v>
      </c>
      <c r="C49" s="12" t="s">
        <v>137</v>
      </c>
      <c r="D49" s="239"/>
      <c r="E49" s="244"/>
      <c r="F49" s="241">
        <v>0.15</v>
      </c>
      <c r="G49" s="251">
        <f t="shared" si="9"/>
        <v>2</v>
      </c>
      <c r="H49" s="251">
        <f t="shared" si="9"/>
        <v>3.2288135593220302</v>
      </c>
      <c r="I49" s="242">
        <f>(H49-G49)/8</f>
        <v>0.15360169491525377</v>
      </c>
      <c r="J49" s="41">
        <v>2.4</v>
      </c>
      <c r="K49" s="64">
        <f>D46*E46*F49</f>
        <v>6655.9035839417911</v>
      </c>
      <c r="L49" s="64">
        <f>D46*F49*E46*J49</f>
        <v>15974.168601460296</v>
      </c>
      <c r="M49" s="1"/>
      <c r="N49" s="252">
        <f>F49*J49</f>
        <v>0.36</v>
      </c>
      <c r="O49" s="253">
        <f>P49/J49</f>
        <v>7848.4196427313636</v>
      </c>
      <c r="P49" s="253">
        <f>F49*$N$50*$E$50</f>
        <v>18836.207142555271</v>
      </c>
    </row>
    <row r="50" spans="1:28" s="255" customFormat="1">
      <c r="A50" s="254"/>
      <c r="B50" s="254" t="s">
        <v>224</v>
      </c>
      <c r="C50" s="255" t="s">
        <v>224</v>
      </c>
      <c r="D50" s="256"/>
      <c r="E50" s="257">
        <f>D46*E46</f>
        <v>44372.69055961194</v>
      </c>
      <c r="F50" s="258">
        <f>SUM(F46:F49)</f>
        <v>1</v>
      </c>
      <c r="G50" s="258"/>
      <c r="H50" s="258"/>
      <c r="I50" s="258"/>
      <c r="J50" s="259"/>
      <c r="K50" s="260">
        <f>SUM(K46:K49)</f>
        <v>44372.690559611947</v>
      </c>
      <c r="L50" s="260">
        <f>SUM(L46:L49)</f>
        <v>125574.71428370179</v>
      </c>
      <c r="M50" s="1"/>
      <c r="N50" s="261">
        <f>SUM(N46:N49)</f>
        <v>2.8300000000000005</v>
      </c>
      <c r="O50" s="262">
        <f>SUM(O46:O49)</f>
        <v>45053.150974351294</v>
      </c>
      <c r="P50" s="262">
        <f>SUM(P46:P49)</f>
        <v>125574.71428370183</v>
      </c>
    </row>
    <row r="51" spans="1:28">
      <c r="D51" s="172"/>
      <c r="E51" s="263"/>
      <c r="F51" s="263"/>
      <c r="G51" s="263"/>
      <c r="H51" s="263"/>
      <c r="I51" s="263"/>
      <c r="J51" s="41"/>
      <c r="K51" s="41"/>
      <c r="M51" s="1"/>
    </row>
    <row r="52" spans="1:28" ht="38.25">
      <c r="A52" s="245" t="s">
        <v>150</v>
      </c>
      <c r="B52" s="246" t="s">
        <v>532</v>
      </c>
      <c r="C52" s="246" t="s">
        <v>533</v>
      </c>
      <c r="D52" s="236" t="s">
        <v>534</v>
      </c>
      <c r="E52" s="237" t="s">
        <v>535</v>
      </c>
      <c r="F52" s="237" t="s">
        <v>536</v>
      </c>
      <c r="G52" s="238" t="s">
        <v>568</v>
      </c>
      <c r="H52" s="237" t="s">
        <v>569</v>
      </c>
      <c r="I52" s="237"/>
      <c r="J52" s="238" t="s">
        <v>570</v>
      </c>
      <c r="K52" s="237" t="s">
        <v>541</v>
      </c>
      <c r="L52" s="237" t="s">
        <v>542</v>
      </c>
      <c r="M52" s="1"/>
    </row>
    <row r="53" spans="1:28">
      <c r="A53" s="12" t="s">
        <v>582</v>
      </c>
      <c r="B53" s="12"/>
      <c r="C53" s="12" t="s">
        <v>137</v>
      </c>
      <c r="D53" s="239">
        <f>'2006 Energy data '!$B$11</f>
        <v>134716.5874136934</v>
      </c>
      <c r="E53" s="244">
        <f>'End use share 2006c'!F35</f>
        <v>0.19733027907087305</v>
      </c>
      <c r="F53" s="220">
        <v>1</v>
      </c>
      <c r="G53" s="264">
        <f>C107</f>
        <v>1</v>
      </c>
      <c r="H53" s="264">
        <f>D107</f>
        <v>1</v>
      </c>
      <c r="I53" s="264"/>
      <c r="J53" s="41">
        <v>1</v>
      </c>
      <c r="K53" s="64">
        <f>D53*E53*F53</f>
        <v>26583.661789819784</v>
      </c>
      <c r="L53" s="64">
        <f>D53*F53*E53*J53</f>
        <v>26583.661789819784</v>
      </c>
      <c r="M53" s="1"/>
    </row>
    <row r="54" spans="1:28">
      <c r="D54" s="172"/>
      <c r="E54" s="263"/>
      <c r="F54" s="265"/>
      <c r="G54" s="265"/>
      <c r="H54" s="265"/>
      <c r="I54" s="265"/>
      <c r="J54" s="266"/>
      <c r="K54" s="267"/>
      <c r="L54" s="267"/>
      <c r="M54" s="267"/>
    </row>
    <row r="55" spans="1:28" s="234" customFormat="1">
      <c r="A55" s="229" t="s">
        <v>583</v>
      </c>
      <c r="D55" s="268"/>
      <c r="E55" s="269"/>
      <c r="F55" s="270"/>
      <c r="G55" s="270"/>
      <c r="H55" s="270"/>
      <c r="I55" s="270"/>
      <c r="J55" s="271"/>
      <c r="K55" s="272"/>
      <c r="L55" s="272"/>
      <c r="M55" s="272"/>
      <c r="N55" s="272"/>
    </row>
    <row r="56" spans="1:28" ht="13.5" customHeight="1">
      <c r="D56" s="172"/>
      <c r="E56" s="263"/>
      <c r="F56" s="265"/>
      <c r="G56" s="265"/>
      <c r="H56" s="265"/>
      <c r="I56" s="265"/>
      <c r="J56" s="266"/>
      <c r="K56" s="267"/>
      <c r="L56" s="267"/>
      <c r="M56" s="267"/>
      <c r="N56" s="798" t="s">
        <v>567</v>
      </c>
      <c r="O56" s="798"/>
      <c r="P56" s="798"/>
    </row>
    <row r="57" spans="1:28" ht="38.25">
      <c r="A57" s="245" t="s">
        <v>148</v>
      </c>
      <c r="B57" s="246" t="s">
        <v>532</v>
      </c>
      <c r="C57" s="246" t="s">
        <v>533</v>
      </c>
      <c r="D57" s="236" t="s">
        <v>534</v>
      </c>
      <c r="E57" s="273" t="s">
        <v>535</v>
      </c>
      <c r="F57" s="237" t="s">
        <v>536</v>
      </c>
      <c r="G57" s="237" t="s">
        <v>584</v>
      </c>
      <c r="H57" s="237" t="s">
        <v>585</v>
      </c>
      <c r="I57" s="237"/>
      <c r="J57" s="237" t="s">
        <v>586</v>
      </c>
      <c r="K57" s="237" t="s">
        <v>541</v>
      </c>
      <c r="L57" s="237" t="s">
        <v>542</v>
      </c>
      <c r="M57" s="1"/>
      <c r="N57" s="237" t="s">
        <v>571</v>
      </c>
      <c r="O57" s="250" t="s">
        <v>572</v>
      </c>
      <c r="P57" s="250" t="s">
        <v>573</v>
      </c>
    </row>
    <row r="58" spans="1:28">
      <c r="A58" s="12" t="s">
        <v>587</v>
      </c>
      <c r="B58" s="74" t="s">
        <v>588</v>
      </c>
      <c r="C58" s="12" t="s">
        <v>137</v>
      </c>
      <c r="D58" s="239">
        <f>'2006 Energy data '!$B$11</f>
        <v>134716.5874136934</v>
      </c>
      <c r="E58" s="244">
        <f>'End use share 2006c'!B35</f>
        <v>0.17828065881507271</v>
      </c>
      <c r="F58" s="241">
        <v>0.06</v>
      </c>
      <c r="G58" s="264">
        <f t="shared" ref="G58:H62" si="10">C100</f>
        <v>4</v>
      </c>
      <c r="H58" s="264">
        <f t="shared" si="10"/>
        <v>4</v>
      </c>
      <c r="I58" s="242">
        <f>(H58-G58)/8</f>
        <v>0</v>
      </c>
      <c r="J58" s="41">
        <v>4</v>
      </c>
      <c r="K58" s="64">
        <f>D58*E58*F58</f>
        <v>1441.0417174458955</v>
      </c>
      <c r="L58" s="64">
        <f>D58*F58*E58*J58</f>
        <v>5764.1668697835821</v>
      </c>
      <c r="M58" s="1"/>
      <c r="N58" s="252">
        <f>F58*J58</f>
        <v>0.24</v>
      </c>
      <c r="O58" s="253">
        <f>P58/J58</f>
        <v>1639.184953594706</v>
      </c>
      <c r="P58" s="253">
        <f>F58*$N$63*$E$63</f>
        <v>6556.7398143788241</v>
      </c>
    </row>
    <row r="59" spans="1:28">
      <c r="A59" s="12" t="s">
        <v>589</v>
      </c>
      <c r="B59" s="74" t="s">
        <v>590</v>
      </c>
      <c r="C59" s="12" t="s">
        <v>137</v>
      </c>
      <c r="D59" s="239"/>
      <c r="E59" s="244"/>
      <c r="F59" s="241">
        <v>0.7</v>
      </c>
      <c r="G59" s="264">
        <f t="shared" si="10"/>
        <v>4.5</v>
      </c>
      <c r="H59" s="264">
        <f t="shared" si="10"/>
        <v>4.5</v>
      </c>
      <c r="I59" s="242">
        <f>(H59-G59)/8</f>
        <v>0</v>
      </c>
      <c r="J59" s="41">
        <v>4.5</v>
      </c>
      <c r="K59" s="64">
        <f>D58*E58*F59</f>
        <v>16812.153370202115</v>
      </c>
      <c r="L59" s="64">
        <f>D58*F59*E58*J59</f>
        <v>75654.690165909502</v>
      </c>
      <c r="M59" s="1"/>
      <c r="N59" s="252">
        <f>F59*J59</f>
        <v>3.15</v>
      </c>
      <c r="O59" s="253">
        <f>P59/J59</f>
        <v>16998.955074315469</v>
      </c>
      <c r="P59" s="253">
        <f>F59*$N$63*$E$63</f>
        <v>76495.297834419616</v>
      </c>
      <c r="S59" s="255" t="s">
        <v>841</v>
      </c>
    </row>
    <row r="60" spans="1:28">
      <c r="A60" s="12" t="s">
        <v>591</v>
      </c>
      <c r="B60" s="74" t="s">
        <v>592</v>
      </c>
      <c r="C60" s="12" t="s">
        <v>137</v>
      </c>
      <c r="D60" s="239"/>
      <c r="E60" s="244"/>
      <c r="F60" s="241">
        <v>0.02</v>
      </c>
      <c r="G60" s="264">
        <f t="shared" si="10"/>
        <v>2</v>
      </c>
      <c r="H60" s="264">
        <f t="shared" si="10"/>
        <v>2</v>
      </c>
      <c r="I60" s="242">
        <f>(H60-G60)/8</f>
        <v>0</v>
      </c>
      <c r="J60" s="41">
        <v>2</v>
      </c>
      <c r="K60" s="64">
        <f>D58*E58*F60</f>
        <v>480.34723914863184</v>
      </c>
      <c r="L60" s="64">
        <f>D58*F60*E58*J60</f>
        <v>960.69447829726369</v>
      </c>
      <c r="M60" s="1"/>
      <c r="N60" s="252">
        <f>F60*J60</f>
        <v>0.04</v>
      </c>
      <c r="O60" s="253">
        <f>P60/J60</f>
        <v>1092.7899690631375</v>
      </c>
      <c r="P60" s="253">
        <f>F60*$N$63*$E$63</f>
        <v>2185.579938126275</v>
      </c>
      <c r="S60" s="255" t="s">
        <v>842</v>
      </c>
    </row>
    <row r="61" spans="1:28">
      <c r="A61" s="12" t="s">
        <v>593</v>
      </c>
      <c r="B61" s="74" t="s">
        <v>594</v>
      </c>
      <c r="C61" s="12" t="s">
        <v>137</v>
      </c>
      <c r="D61" s="239"/>
      <c r="E61" s="244"/>
      <c r="F61" s="241">
        <v>0.15</v>
      </c>
      <c r="G61" s="264">
        <f t="shared" si="10"/>
        <v>7</v>
      </c>
      <c r="H61" s="264">
        <f t="shared" si="10"/>
        <v>7</v>
      </c>
      <c r="I61" s="242">
        <f>(H61-G61)/8</f>
        <v>0</v>
      </c>
      <c r="J61" s="41">
        <v>7</v>
      </c>
      <c r="K61" s="64">
        <f>D58*E58*F61</f>
        <v>3602.6042936147387</v>
      </c>
      <c r="L61" s="64">
        <f>D58*F61*E58*J61</f>
        <v>25218.230055303171</v>
      </c>
      <c r="M61" s="1"/>
      <c r="N61" s="252">
        <f>F61*J61</f>
        <v>1.05</v>
      </c>
      <c r="O61" s="253">
        <f>P61/J61</f>
        <v>2341.6927908495804</v>
      </c>
      <c r="P61" s="253">
        <f>F61*$N$63*$E$63</f>
        <v>16391.849535947062</v>
      </c>
      <c r="U61" s="443" t="s">
        <v>840</v>
      </c>
      <c r="V61" s="441"/>
      <c r="W61" s="441"/>
      <c r="X61" s="442"/>
      <c r="Z61" s="495" t="s">
        <v>981</v>
      </c>
      <c r="AA61" s="441"/>
      <c r="AB61" s="442"/>
    </row>
    <row r="62" spans="1:28">
      <c r="A62" s="12" t="s">
        <v>595</v>
      </c>
      <c r="B62" s="74" t="s">
        <v>596</v>
      </c>
      <c r="C62" s="12" t="s">
        <v>137</v>
      </c>
      <c r="D62" s="239"/>
      <c r="E62" s="244"/>
      <c r="F62" s="241">
        <v>7.0000000000000007E-2</v>
      </c>
      <c r="G62" s="264">
        <f t="shared" si="10"/>
        <v>1</v>
      </c>
      <c r="H62" s="264">
        <f t="shared" si="10"/>
        <v>1</v>
      </c>
      <c r="I62" s="242">
        <f>(H62-G62)/8</f>
        <v>0</v>
      </c>
      <c r="J62" s="41">
        <v>1</v>
      </c>
      <c r="K62" s="64">
        <f>D58*E58*F62</f>
        <v>1681.2153370202116</v>
      </c>
      <c r="L62" s="64">
        <f>D58*F62*E58*J62</f>
        <v>1681.2153370202116</v>
      </c>
      <c r="M62" s="1"/>
      <c r="N62" s="252">
        <f>F62*J62</f>
        <v>7.0000000000000007E-2</v>
      </c>
      <c r="O62" s="253">
        <f>P62/J62</f>
        <v>7649.5297834419625</v>
      </c>
      <c r="P62" s="253">
        <f>F62*$N$63*$E$63</f>
        <v>7649.5297834419625</v>
      </c>
      <c r="R62" s="1" t="s">
        <v>843</v>
      </c>
      <c r="S62" s="1" t="s">
        <v>830</v>
      </c>
      <c r="X62" s="444"/>
      <c r="Z62" s="443"/>
      <c r="AB62" s="444"/>
    </row>
    <row r="63" spans="1:28" s="255" customFormat="1">
      <c r="C63" s="255" t="s">
        <v>224</v>
      </c>
      <c r="D63" s="274"/>
      <c r="E63" s="257">
        <f>E58*D58</f>
        <v>24017.361957431593</v>
      </c>
      <c r="F63" s="258">
        <f>SUM(F58:F62)</f>
        <v>1</v>
      </c>
      <c r="G63" s="258"/>
      <c r="H63" s="258"/>
      <c r="I63" s="258"/>
      <c r="J63" s="259"/>
      <c r="K63" s="260">
        <f>SUM(K58:K62)</f>
        <v>24017.361957431593</v>
      </c>
      <c r="L63" s="260">
        <f>SUM(L58:L62)</f>
        <v>109278.99690631373</v>
      </c>
      <c r="N63" s="252">
        <f>SUM(N58:N62)</f>
        <v>4.55</v>
      </c>
      <c r="O63" s="253">
        <f>SUM(O58:O62)</f>
        <v>29722.152571264858</v>
      </c>
      <c r="P63" s="253">
        <f>SUM(P58:P62)</f>
        <v>109278.99690631374</v>
      </c>
      <c r="U63" s="445"/>
      <c r="V63" s="255" t="s">
        <v>835</v>
      </c>
      <c r="X63" s="446"/>
      <c r="Z63" s="445"/>
      <c r="AB63" s="446"/>
    </row>
    <row r="64" spans="1:28" s="255" customFormat="1">
      <c r="A64" s="6" t="s">
        <v>810</v>
      </c>
      <c r="C64" s="1"/>
      <c r="D64" s="274"/>
      <c r="E64" s="431"/>
      <c r="F64" s="432"/>
      <c r="G64" s="432"/>
      <c r="H64" s="432"/>
      <c r="I64" s="432"/>
      <c r="J64" s="433"/>
      <c r="K64" s="434"/>
      <c r="L64" s="434"/>
      <c r="N64" s="435"/>
      <c r="O64" s="436"/>
      <c r="P64" s="436"/>
      <c r="U64" s="445"/>
      <c r="X64" s="446"/>
      <c r="Z64" s="445"/>
      <c r="AB64" s="446"/>
    </row>
    <row r="65" spans="1:28" s="255" customFormat="1">
      <c r="A65" s="1" t="s">
        <v>823</v>
      </c>
      <c r="B65" s="1" t="s">
        <v>898</v>
      </c>
      <c r="C65" s="12" t="s">
        <v>137</v>
      </c>
      <c r="D65" s="274"/>
      <c r="E65" s="431"/>
      <c r="F65" s="451">
        <f>AA68</f>
        <v>4.9500000000000002E-2</v>
      </c>
      <c r="H65" s="439">
        <f>G62</f>
        <v>1</v>
      </c>
      <c r="I65" s="432"/>
      <c r="J65" s="439">
        <f t="shared" ref="J65:J70" si="11">H65</f>
        <v>1</v>
      </c>
      <c r="K65" s="434"/>
      <c r="L65" s="434"/>
      <c r="N65" s="435"/>
      <c r="O65" s="436"/>
      <c r="P65" s="436"/>
      <c r="R65" s="432">
        <f>S65/H65</f>
        <v>0.05</v>
      </c>
      <c r="S65" s="437">
        <v>0.05</v>
      </c>
      <c r="U65" s="445" t="s">
        <v>831</v>
      </c>
      <c r="V65" s="255" t="s">
        <v>833</v>
      </c>
      <c r="W65" s="255">
        <f>130/20</f>
        <v>6.5</v>
      </c>
      <c r="X65" s="446"/>
      <c r="Z65" s="443" t="s">
        <v>982</v>
      </c>
      <c r="AA65" s="496">
        <v>0.62760781171717339</v>
      </c>
      <c r="AB65" s="446"/>
    </row>
    <row r="66" spans="1:28" s="255" customFormat="1">
      <c r="A66" s="1" t="s">
        <v>824</v>
      </c>
      <c r="B66" s="1" t="s">
        <v>899</v>
      </c>
      <c r="C66" s="1" t="s">
        <v>137</v>
      </c>
      <c r="D66" s="274"/>
      <c r="E66" s="431"/>
      <c r="F66" s="451">
        <f>AA69</f>
        <v>4.9500000000000002E-2</v>
      </c>
      <c r="H66" s="439">
        <f>G60</f>
        <v>2</v>
      </c>
      <c r="I66" s="432"/>
      <c r="J66" s="439">
        <f t="shared" si="11"/>
        <v>2</v>
      </c>
      <c r="K66" s="434"/>
      <c r="L66" s="434"/>
      <c r="N66" s="435"/>
      <c r="O66" s="436"/>
      <c r="P66" s="436"/>
      <c r="R66" s="432">
        <f t="shared" ref="R66:R70" si="12">S66/H66</f>
        <v>2.5000000000000001E-2</v>
      </c>
      <c r="S66" s="437">
        <v>0.05</v>
      </c>
      <c r="U66" s="445" t="s">
        <v>832</v>
      </c>
      <c r="V66" s="255" t="s">
        <v>834</v>
      </c>
      <c r="W66" s="255">
        <f>48/20</f>
        <v>2.4</v>
      </c>
      <c r="X66" s="446"/>
      <c r="Z66" s="443" t="s">
        <v>983</v>
      </c>
      <c r="AA66" s="497">
        <v>0.26384331575196845</v>
      </c>
      <c r="AB66" s="446"/>
    </row>
    <row r="67" spans="1:28" s="255" customFormat="1">
      <c r="A67" s="1" t="s">
        <v>825</v>
      </c>
      <c r="B67" s="1" t="s">
        <v>985</v>
      </c>
      <c r="C67" s="1" t="str">
        <f>C58</f>
        <v>Electricity</v>
      </c>
      <c r="D67" s="274"/>
      <c r="E67" s="431"/>
      <c r="F67" s="451">
        <f>AA65</f>
        <v>0.62760781171717339</v>
      </c>
      <c r="H67" s="439">
        <f>W66</f>
        <v>2.4</v>
      </c>
      <c r="I67" s="432"/>
      <c r="J67" s="439">
        <f t="shared" si="11"/>
        <v>2.4</v>
      </c>
      <c r="K67" s="434"/>
      <c r="L67" s="434"/>
      <c r="N67" s="435"/>
      <c r="O67" s="436"/>
      <c r="P67" s="436"/>
      <c r="R67" s="432">
        <f t="shared" si="12"/>
        <v>0.16666666666666669</v>
      </c>
      <c r="S67" s="437">
        <v>0.4</v>
      </c>
      <c r="U67" s="445" t="s">
        <v>836</v>
      </c>
      <c r="V67" s="447" t="s">
        <v>837</v>
      </c>
      <c r="W67" s="255">
        <v>1</v>
      </c>
      <c r="X67" s="446"/>
      <c r="Z67" s="443" t="s">
        <v>984</v>
      </c>
      <c r="AA67" s="497">
        <v>9.2888546056069232E-3</v>
      </c>
      <c r="AB67" s="446"/>
    </row>
    <row r="68" spans="1:28" s="255" customFormat="1">
      <c r="A68" s="1" t="s">
        <v>826</v>
      </c>
      <c r="B68" s="1" t="s">
        <v>831</v>
      </c>
      <c r="C68" s="1" t="str">
        <f>C67</f>
        <v>Electricity</v>
      </c>
      <c r="D68" s="274"/>
      <c r="E68" s="431"/>
      <c r="F68" s="451">
        <f>AA66</f>
        <v>0.26384331575196845</v>
      </c>
      <c r="H68" s="439">
        <f>W65</f>
        <v>6.5</v>
      </c>
      <c r="I68" s="432"/>
      <c r="J68" s="439">
        <f t="shared" si="11"/>
        <v>6.5</v>
      </c>
      <c r="K68" s="434"/>
      <c r="L68" s="434"/>
      <c r="N68" s="435"/>
      <c r="O68" s="436"/>
      <c r="P68" s="436"/>
      <c r="R68" s="432">
        <f t="shared" si="12"/>
        <v>6.9230769230769235E-2</v>
      </c>
      <c r="S68" s="437">
        <v>0.45</v>
      </c>
      <c r="U68" s="445" t="s">
        <v>839</v>
      </c>
      <c r="V68" s="255" t="s">
        <v>838</v>
      </c>
      <c r="W68" s="255">
        <f>100/20</f>
        <v>5</v>
      </c>
      <c r="X68" s="446"/>
      <c r="Z68" s="445" t="s">
        <v>987</v>
      </c>
      <c r="AA68" s="498">
        <f>9.9/2/100</f>
        <v>4.9500000000000002E-2</v>
      </c>
      <c r="AB68" s="446" t="s">
        <v>986</v>
      </c>
    </row>
    <row r="69" spans="1:28" s="255" customFormat="1">
      <c r="A69" s="1" t="s">
        <v>827</v>
      </c>
      <c r="B69" s="1" t="s">
        <v>897</v>
      </c>
      <c r="C69" s="1" t="str">
        <f>C68</f>
        <v>Electricity</v>
      </c>
      <c r="D69" s="274"/>
      <c r="E69" s="275"/>
      <c r="F69" s="451">
        <f>AA67</f>
        <v>9.2888546056069232E-3</v>
      </c>
      <c r="H69" s="439">
        <f>W68</f>
        <v>5</v>
      </c>
      <c r="I69" s="432"/>
      <c r="J69" s="439">
        <f t="shared" si="11"/>
        <v>5</v>
      </c>
      <c r="K69" s="434"/>
      <c r="L69" s="434"/>
      <c r="N69" s="435"/>
      <c r="O69" s="436"/>
      <c r="P69" s="436"/>
      <c r="R69" s="432">
        <f t="shared" si="12"/>
        <v>0.01</v>
      </c>
      <c r="S69" s="438">
        <v>0.05</v>
      </c>
      <c r="U69" s="448"/>
      <c r="V69" s="449"/>
      <c r="W69" s="449"/>
      <c r="X69" s="450"/>
      <c r="Z69" s="448" t="s">
        <v>988</v>
      </c>
      <c r="AA69" s="498">
        <f>9.9/2/100</f>
        <v>4.9500000000000002E-2</v>
      </c>
      <c r="AB69" s="450" t="s">
        <v>986</v>
      </c>
    </row>
    <row r="70" spans="1:28" s="255" customFormat="1">
      <c r="A70" s="1" t="s">
        <v>829</v>
      </c>
      <c r="B70" s="1" t="s">
        <v>828</v>
      </c>
      <c r="C70" s="1" t="str">
        <f>C69</f>
        <v>Electricity</v>
      </c>
      <c r="D70" s="274"/>
      <c r="E70" s="275"/>
      <c r="F70" s="451">
        <f t="shared" ref="F70" si="13">R70/SUM($R$65:$R$70)</f>
        <v>0</v>
      </c>
      <c r="H70" s="440">
        <v>9.8000000000000007</v>
      </c>
      <c r="I70" s="276"/>
      <c r="J70" s="439">
        <f t="shared" si="11"/>
        <v>9.8000000000000007</v>
      </c>
      <c r="K70" s="278"/>
      <c r="L70" s="278"/>
      <c r="R70" s="432">
        <f t="shared" si="12"/>
        <v>0</v>
      </c>
      <c r="S70" s="438">
        <v>0</v>
      </c>
    </row>
    <row r="71" spans="1:28" s="255" customFormat="1">
      <c r="G71" s="276"/>
      <c r="H71" s="276"/>
      <c r="I71" s="276"/>
      <c r="J71" s="277"/>
      <c r="K71" s="278"/>
      <c r="L71" s="278"/>
    </row>
    <row r="72" spans="1:28" s="255" customFormat="1">
      <c r="A72" s="1"/>
      <c r="B72" s="1"/>
      <c r="C72" s="1"/>
      <c r="D72" s="274"/>
      <c r="E72" s="275"/>
      <c r="F72" s="499">
        <f>SUM(F65:F70)</f>
        <v>0.99973998207474879</v>
      </c>
      <c r="G72" s="276"/>
      <c r="H72" s="276"/>
      <c r="I72" s="276"/>
      <c r="J72" s="277"/>
      <c r="K72" s="278"/>
      <c r="L72" s="278"/>
    </row>
    <row r="73" spans="1:28" s="234" customFormat="1">
      <c r="A73" s="229" t="s">
        <v>597</v>
      </c>
      <c r="D73" s="268"/>
      <c r="E73" s="269"/>
      <c r="F73" s="270"/>
      <c r="G73" s="270"/>
      <c r="H73" s="270"/>
      <c r="I73" s="270"/>
      <c r="J73" s="271"/>
      <c r="K73" s="272"/>
      <c r="L73" s="272"/>
      <c r="M73" s="272"/>
      <c r="N73" s="272"/>
    </row>
    <row r="74" spans="1:28">
      <c r="A74" s="48"/>
      <c r="D74" s="172"/>
      <c r="E74" s="263"/>
      <c r="F74" s="265"/>
      <c r="G74" s="265"/>
      <c r="H74" s="265"/>
      <c r="I74" s="265"/>
      <c r="J74" s="266"/>
      <c r="K74" s="267"/>
      <c r="L74" s="267"/>
      <c r="M74" s="267"/>
      <c r="N74" s="267"/>
    </row>
    <row r="75" spans="1:28" ht="38.25">
      <c r="A75" s="9" t="s">
        <v>224</v>
      </c>
      <c r="B75" s="250" t="s">
        <v>598</v>
      </c>
      <c r="C75" s="250" t="s">
        <v>599</v>
      </c>
      <c r="D75" s="622" t="s">
        <v>600</v>
      </c>
      <c r="E75" s="623" t="s">
        <v>601</v>
      </c>
      <c r="F75" s="250" t="s">
        <v>602</v>
      </c>
      <c r="G75" s="250" t="s">
        <v>603</v>
      </c>
      <c r="H75" s="250" t="s">
        <v>604</v>
      </c>
      <c r="I75" s="250"/>
      <c r="L75" s="1"/>
      <c r="M75" s="1"/>
    </row>
    <row r="76" spans="1:28">
      <c r="A76" s="9"/>
      <c r="B76" s="14" t="s">
        <v>605</v>
      </c>
      <c r="C76" s="14" t="s">
        <v>605</v>
      </c>
      <c r="D76" s="279" t="s">
        <v>605</v>
      </c>
      <c r="E76" s="14" t="s">
        <v>605</v>
      </c>
      <c r="F76" s="14" t="s">
        <v>605</v>
      </c>
      <c r="G76" s="14" t="s">
        <v>605</v>
      </c>
      <c r="H76" s="14" t="s">
        <v>605</v>
      </c>
      <c r="I76" s="14"/>
      <c r="L76" s="1"/>
      <c r="M76" s="1"/>
    </row>
    <row r="77" spans="1:28">
      <c r="A77" s="12" t="s">
        <v>531</v>
      </c>
      <c r="B77" s="280">
        <f>'End use share 1994'!D25</f>
        <v>197.77265745007682</v>
      </c>
      <c r="C77" s="280">
        <f>'End use share 2001'!C30</f>
        <v>165.62422630478213</v>
      </c>
      <c r="D77" s="281">
        <f>'End use share 2006c'!C29</f>
        <v>85.604129326719132</v>
      </c>
      <c r="E77" s="100">
        <f>K17/'floor space forecast_SA'!$C$34</f>
        <v>352.71195296992329</v>
      </c>
      <c r="F77" s="100">
        <f>L17/'floor space forecast_SA'!$C$34</f>
        <v>220.26838411860189</v>
      </c>
      <c r="G77" s="100"/>
      <c r="H77" s="100"/>
      <c r="I77" s="100"/>
      <c r="L77" s="1"/>
      <c r="M77" s="1"/>
    </row>
    <row r="78" spans="1:28">
      <c r="A78" s="12" t="s">
        <v>551</v>
      </c>
      <c r="B78" s="280">
        <f>'End use share 1994'!E25</f>
        <v>170.56067588325652</v>
      </c>
      <c r="C78" s="280">
        <f>'End use share 2001'!D30</f>
        <v>121.4395134703916</v>
      </c>
      <c r="D78" s="281">
        <f>'End use share 2006c'!D29</f>
        <v>108.96184669609595</v>
      </c>
      <c r="E78" s="100">
        <f>K26/'floor space forecast_SA'!$C$34</f>
        <v>296.55688632210786</v>
      </c>
      <c r="F78" s="100">
        <f>L26/'floor space forecast_SA'!$C$34</f>
        <v>182.50950372472479</v>
      </c>
      <c r="G78" s="100"/>
      <c r="H78" s="100"/>
      <c r="I78" s="100"/>
      <c r="L78" s="1"/>
      <c r="M78" s="1"/>
    </row>
    <row r="79" spans="1:28">
      <c r="A79" s="12" t="s">
        <v>149</v>
      </c>
      <c r="B79" s="280">
        <f>'End use share 1994'!H25</f>
        <v>16.144393241167435</v>
      </c>
      <c r="C79" s="280">
        <f>'End use share 2001'!G30</f>
        <v>6.1728212164208811</v>
      </c>
      <c r="D79" s="281">
        <f>'End use share 2006c'!G29</f>
        <v>80.903983997986387</v>
      </c>
      <c r="E79" s="100">
        <f>K32/'floor space forecast_SA'!$C$34</f>
        <v>70.209615148035084</v>
      </c>
      <c r="F79" s="100">
        <f>L32/'floor space forecast_SA'!$C$34</f>
        <v>70.09986340170137</v>
      </c>
      <c r="G79" s="100"/>
      <c r="H79" s="100"/>
      <c r="I79" s="100"/>
      <c r="L79" s="1"/>
      <c r="M79" s="1"/>
    </row>
    <row r="80" spans="1:28">
      <c r="A80" s="12" t="s">
        <v>83</v>
      </c>
      <c r="B80" s="280">
        <f>'End use share 1994'!I25</f>
        <v>150.43010752688173</v>
      </c>
      <c r="C80" s="280">
        <f>'End use share 2001'!H30</f>
        <v>132.62365359084572</v>
      </c>
      <c r="D80" s="281">
        <f>'End use share 2006c'!J29</f>
        <v>201.94204307156565</v>
      </c>
      <c r="E80" s="100">
        <f>K41/'floor space forecast_SA'!$C$34</f>
        <v>319.7319301138478</v>
      </c>
      <c r="F80" s="100">
        <f>L41/'floor space forecast_SA'!$C$34</f>
        <v>261.52085742906547</v>
      </c>
      <c r="G80" s="100"/>
      <c r="H80" s="100"/>
      <c r="I80" s="100"/>
      <c r="L80" s="1"/>
      <c r="M80" s="1"/>
    </row>
    <row r="81" spans="1:13">
      <c r="A81" s="12" t="s">
        <v>40</v>
      </c>
      <c r="B81" s="280">
        <f>'End use share 1994'!F25</f>
        <v>352.04301075268819</v>
      </c>
      <c r="C81" s="280">
        <f>'End use share 2001'!E30</f>
        <v>315.44728348051859</v>
      </c>
      <c r="D81" s="281">
        <f>'End use share 2006c'!E29</f>
        <v>403.09209017123828</v>
      </c>
      <c r="E81" s="100">
        <f>K50/'floor space forecast_SA'!$C$34</f>
        <v>361.67454337373442</v>
      </c>
      <c r="F81" s="100">
        <f>L50/'floor space forecast_SA'!$C$34</f>
        <v>1023.5389577476682</v>
      </c>
      <c r="G81" s="100">
        <f>O50/'floor space forecast_SA'!$C$34</f>
        <v>367.22086492153704</v>
      </c>
      <c r="H81" s="100">
        <f>P50/'floor space forecast_SA'!$C$34</f>
        <v>1023.5389577476685</v>
      </c>
      <c r="I81" s="100"/>
      <c r="L81" s="1"/>
      <c r="M81" s="1"/>
    </row>
    <row r="82" spans="1:13">
      <c r="A82" s="12" t="s">
        <v>150</v>
      </c>
      <c r="B82" s="280">
        <f>'End use share 1994'!G25</f>
        <v>47.588325652841789</v>
      </c>
      <c r="C82" s="280">
        <f>'End use share 2001'!F30</f>
        <v>42.641403448060323</v>
      </c>
      <c r="D82" s="281">
        <f>'End use share 2006c'!F29</f>
        <v>241.49231565906314</v>
      </c>
      <c r="E82" s="100">
        <f>K53/'floor space forecast_SA'!$C$34</f>
        <v>216.6790793566642</v>
      </c>
      <c r="F82" s="100">
        <f>L53/'floor space forecast_SA'!$C$34</f>
        <v>216.6790793566642</v>
      </c>
      <c r="G82" s="100">
        <f>O53/'floor space forecast_SA'!$C$34</f>
        <v>0</v>
      </c>
      <c r="H82" s="100">
        <f>P53/'floor space forecast_SA'!$C$34</f>
        <v>0</v>
      </c>
      <c r="I82" s="100"/>
      <c r="L82" s="1"/>
      <c r="M82" s="1"/>
    </row>
    <row r="83" spans="1:13">
      <c r="A83" s="12" t="s">
        <v>148</v>
      </c>
      <c r="B83" s="280">
        <f>'End use share 1994'!C25</f>
        <v>215.19201228878651</v>
      </c>
      <c r="C83" s="280">
        <f>'End use share 2001'!B30</f>
        <v>192.82227918136772</v>
      </c>
      <c r="D83" s="281">
        <f>'End use share 2006c'!B29</f>
        <v>218.17943671489073</v>
      </c>
      <c r="E83" s="100">
        <f>K63/'floor space forecast_SA'!$C$34</f>
        <v>195.76158915416772</v>
      </c>
      <c r="F83" s="100">
        <f>L63/'floor space forecast_SA'!$C$34</f>
        <v>890.715230651463</v>
      </c>
      <c r="G83" s="100">
        <f>O63/'floor space forecast_SA'!$C$34</f>
        <v>242.26040440020353</v>
      </c>
      <c r="H83" s="100">
        <f>P63/'floor space forecast_SA'!$C$34</f>
        <v>890.71523065146312</v>
      </c>
      <c r="I83" s="100"/>
      <c r="L83" s="1"/>
      <c r="M83" s="1"/>
    </row>
    <row r="84" spans="1:13">
      <c r="F84" s="41"/>
      <c r="G84" s="41"/>
      <c r="H84" s="41"/>
      <c r="I84" s="41"/>
      <c r="L84" s="1"/>
    </row>
    <row r="85" spans="1:13">
      <c r="F85" s="41"/>
      <c r="G85" s="41"/>
      <c r="H85" s="41"/>
      <c r="I85" s="41"/>
      <c r="L85" s="1"/>
    </row>
    <row r="86" spans="1:13">
      <c r="L86" s="1"/>
      <c r="M86" s="1"/>
    </row>
    <row r="87" spans="1:13" s="234" customFormat="1">
      <c r="A87" s="282" t="s">
        <v>606</v>
      </c>
      <c r="D87" s="249"/>
      <c r="M87" s="283"/>
    </row>
    <row r="88" spans="1:13">
      <c r="A88" s="1" t="s">
        <v>607</v>
      </c>
      <c r="J88" s="73"/>
      <c r="L88" s="1"/>
      <c r="M88" s="1"/>
    </row>
    <row r="89" spans="1:13">
      <c r="A89" s="1" t="s">
        <v>608</v>
      </c>
      <c r="J89" s="73"/>
      <c r="L89" s="1"/>
      <c r="M89" s="1"/>
    </row>
    <row r="90" spans="1:13">
      <c r="J90" s="73"/>
      <c r="L90" s="1"/>
      <c r="M90" s="1"/>
    </row>
    <row r="91" spans="1:13">
      <c r="A91" s="284" t="s">
        <v>609</v>
      </c>
      <c r="B91" s="148" t="s">
        <v>610</v>
      </c>
      <c r="C91" s="149" t="s">
        <v>611</v>
      </c>
      <c r="D91" s="285">
        <v>2008</v>
      </c>
      <c r="L91" s="1"/>
      <c r="M91" s="1"/>
    </row>
    <row r="92" spans="1:13">
      <c r="A92" s="284"/>
      <c r="B92" s="148"/>
      <c r="C92" s="286" t="s">
        <v>612</v>
      </c>
      <c r="D92" s="287" t="s">
        <v>613</v>
      </c>
      <c r="L92" s="1"/>
      <c r="M92" s="1"/>
    </row>
    <row r="93" spans="1:13">
      <c r="A93" s="284" t="s">
        <v>40</v>
      </c>
      <c r="B93" s="149"/>
      <c r="C93" s="149"/>
      <c r="D93" s="285"/>
      <c r="L93" s="1"/>
      <c r="M93" s="1"/>
    </row>
    <row r="94" spans="1:13">
      <c r="A94" s="288" t="s">
        <v>449</v>
      </c>
      <c r="B94" s="150" t="s">
        <v>614</v>
      </c>
      <c r="C94" s="264">
        <v>2</v>
      </c>
      <c r="D94" s="289">
        <v>2.9830508474576201</v>
      </c>
      <c r="L94" s="1"/>
      <c r="M94" s="1"/>
    </row>
    <row r="95" spans="1:13">
      <c r="A95" s="288"/>
      <c r="B95" s="150" t="s">
        <v>615</v>
      </c>
      <c r="C95" s="264">
        <v>3</v>
      </c>
      <c r="D95" s="289">
        <v>4.2288135593220302</v>
      </c>
      <c r="L95" s="1"/>
      <c r="M95" s="1"/>
    </row>
    <row r="96" spans="1:13">
      <c r="A96" s="288"/>
      <c r="B96" s="150" t="s">
        <v>616</v>
      </c>
      <c r="C96" s="264">
        <v>2.2000000000000002</v>
      </c>
      <c r="D96" s="289">
        <v>3.2813559322033901</v>
      </c>
      <c r="L96" s="1"/>
      <c r="M96" s="1"/>
    </row>
    <row r="97" spans="1:13">
      <c r="A97" s="288"/>
      <c r="B97" s="150" t="s">
        <v>617</v>
      </c>
      <c r="C97" s="264">
        <v>2</v>
      </c>
      <c r="D97" s="289">
        <v>3.2288135593220302</v>
      </c>
      <c r="L97" s="1"/>
      <c r="M97" s="1"/>
    </row>
    <row r="98" spans="1:13">
      <c r="C98" s="290"/>
      <c r="D98" s="290"/>
      <c r="L98" s="1"/>
      <c r="M98" s="1"/>
    </row>
    <row r="99" spans="1:13">
      <c r="A99" s="291" t="s">
        <v>618</v>
      </c>
      <c r="B99" s="292"/>
      <c r="C99" s="293"/>
      <c r="D99" s="294"/>
      <c r="L99" s="1"/>
      <c r="M99" s="1"/>
    </row>
    <row r="100" spans="1:13">
      <c r="A100" s="288" t="s">
        <v>449</v>
      </c>
      <c r="B100" s="150" t="s">
        <v>588</v>
      </c>
      <c r="C100" s="264">
        <v>4</v>
      </c>
      <c r="D100" s="294">
        <v>4</v>
      </c>
      <c r="L100" s="1"/>
      <c r="M100" s="1"/>
    </row>
    <row r="101" spans="1:13">
      <c r="A101" s="288"/>
      <c r="B101" s="150" t="s">
        <v>619</v>
      </c>
      <c r="C101" s="264">
        <v>4.5</v>
      </c>
      <c r="D101" s="294">
        <v>4.5</v>
      </c>
      <c r="L101" s="1"/>
      <c r="M101" s="1"/>
    </row>
    <row r="102" spans="1:13">
      <c r="A102" s="288"/>
      <c r="B102" s="150" t="s">
        <v>592</v>
      </c>
      <c r="C102" s="264">
        <v>2</v>
      </c>
      <c r="D102" s="294">
        <v>2</v>
      </c>
      <c r="L102" s="1"/>
      <c r="M102" s="1"/>
    </row>
    <row r="103" spans="1:13">
      <c r="A103" s="288"/>
      <c r="B103" s="150" t="s">
        <v>620</v>
      </c>
      <c r="C103" s="264">
        <v>7</v>
      </c>
      <c r="D103" s="294">
        <v>7</v>
      </c>
      <c r="L103" s="1"/>
      <c r="M103" s="1"/>
    </row>
    <row r="104" spans="1:13">
      <c r="A104" s="288"/>
      <c r="B104" s="150" t="s">
        <v>596</v>
      </c>
      <c r="C104" s="264">
        <v>1</v>
      </c>
      <c r="D104" s="294">
        <v>1</v>
      </c>
      <c r="L104" s="1"/>
      <c r="M104" s="1"/>
    </row>
    <row r="105" spans="1:13">
      <c r="C105" s="290"/>
      <c r="D105" s="290"/>
      <c r="L105" s="1"/>
      <c r="M105" s="1"/>
    </row>
    <row r="106" spans="1:13">
      <c r="A106" s="284" t="s">
        <v>150</v>
      </c>
      <c r="B106" s="149"/>
      <c r="C106" s="295"/>
      <c r="D106" s="296"/>
      <c r="L106" s="1"/>
      <c r="M106" s="1"/>
    </row>
    <row r="107" spans="1:13">
      <c r="A107" s="288" t="s">
        <v>449</v>
      </c>
      <c r="B107" s="150" t="s">
        <v>621</v>
      </c>
      <c r="C107" s="297">
        <v>1</v>
      </c>
      <c r="D107" s="294">
        <v>1</v>
      </c>
      <c r="L107" s="1"/>
      <c r="M107" s="1"/>
    </row>
    <row r="108" spans="1:13">
      <c r="C108" s="290"/>
      <c r="D108" s="290"/>
      <c r="L108" s="1"/>
      <c r="M108" s="1"/>
    </row>
    <row r="109" spans="1:13">
      <c r="A109" s="284" t="s">
        <v>39</v>
      </c>
      <c r="B109" s="149"/>
      <c r="C109" s="295"/>
      <c r="D109" s="296"/>
      <c r="L109" s="1"/>
      <c r="M109" s="1"/>
    </row>
    <row r="110" spans="1:13">
      <c r="A110" s="288" t="s">
        <v>449</v>
      </c>
      <c r="B110" s="150" t="s">
        <v>622</v>
      </c>
      <c r="C110" s="297">
        <v>1</v>
      </c>
      <c r="D110" s="294">
        <v>1</v>
      </c>
      <c r="L110" s="1"/>
      <c r="M110" s="1"/>
    </row>
    <row r="111" spans="1:13">
      <c r="A111" s="288" t="s">
        <v>141</v>
      </c>
      <c r="B111" s="150" t="s">
        <v>623</v>
      </c>
      <c r="C111" s="297">
        <v>0.65</v>
      </c>
      <c r="D111" s="294">
        <v>0.8</v>
      </c>
      <c r="L111" s="1"/>
      <c r="M111" s="1"/>
    </row>
    <row r="112" spans="1:13">
      <c r="A112" s="288" t="s">
        <v>142</v>
      </c>
      <c r="B112" s="150" t="s">
        <v>623</v>
      </c>
      <c r="C112" s="297"/>
      <c r="D112" s="294">
        <v>0.85</v>
      </c>
      <c r="L112" s="1"/>
      <c r="M112" s="1"/>
    </row>
    <row r="113" spans="1:13">
      <c r="A113" s="288" t="s">
        <v>624</v>
      </c>
      <c r="B113" s="150" t="s">
        <v>623</v>
      </c>
      <c r="C113" s="297">
        <v>0.75</v>
      </c>
      <c r="D113" s="294">
        <v>0.92</v>
      </c>
      <c r="L113" s="1"/>
      <c r="M113" s="1"/>
    </row>
    <row r="114" spans="1:13">
      <c r="C114" s="290"/>
      <c r="D114" s="290"/>
      <c r="L114" s="1"/>
      <c r="M114" s="1"/>
    </row>
    <row r="115" spans="1:13">
      <c r="A115" s="284" t="s">
        <v>147</v>
      </c>
      <c r="B115" s="149"/>
      <c r="C115" s="295"/>
      <c r="D115" s="296"/>
      <c r="L115" s="1"/>
      <c r="M115" s="1"/>
    </row>
    <row r="116" spans="1:13">
      <c r="A116" s="288" t="s">
        <v>449</v>
      </c>
      <c r="B116" s="150"/>
      <c r="C116" s="297">
        <v>1</v>
      </c>
      <c r="D116" s="294">
        <v>1</v>
      </c>
      <c r="L116" s="1"/>
      <c r="M116" s="1"/>
    </row>
    <row r="117" spans="1:13">
      <c r="A117" s="288" t="s">
        <v>138</v>
      </c>
      <c r="B117" s="150"/>
      <c r="C117" s="297">
        <v>0.75</v>
      </c>
      <c r="D117" s="294">
        <v>0.91</v>
      </c>
      <c r="L117" s="1"/>
      <c r="M117" s="1"/>
    </row>
    <row r="118" spans="1:13">
      <c r="A118" s="288" t="s">
        <v>452</v>
      </c>
      <c r="B118" s="150"/>
      <c r="C118" s="297">
        <v>0.7</v>
      </c>
      <c r="D118" s="294">
        <v>0.91</v>
      </c>
      <c r="L118" s="1"/>
      <c r="M118" s="1"/>
    </row>
    <row r="119" spans="1:13">
      <c r="A119" s="288" t="s">
        <v>453</v>
      </c>
      <c r="B119" s="150" t="s">
        <v>625</v>
      </c>
      <c r="C119" s="297">
        <v>0.65</v>
      </c>
      <c r="D119" s="294">
        <v>0.8</v>
      </c>
      <c r="L119" s="1"/>
      <c r="M119" s="1"/>
    </row>
    <row r="120" spans="1:13">
      <c r="A120" s="288" t="s">
        <v>142</v>
      </c>
      <c r="B120" s="150" t="s">
        <v>625</v>
      </c>
      <c r="C120" s="297">
        <v>0.65</v>
      </c>
      <c r="D120" s="294">
        <v>0.85</v>
      </c>
      <c r="L120" s="1"/>
      <c r="M120" s="1"/>
    </row>
    <row r="121" spans="1:13">
      <c r="A121" s="288" t="s">
        <v>456</v>
      </c>
      <c r="B121" s="150" t="s">
        <v>625</v>
      </c>
      <c r="C121" s="297">
        <v>0.75</v>
      </c>
      <c r="D121" s="294">
        <v>0.92</v>
      </c>
      <c r="L121" s="1"/>
      <c r="M121" s="1"/>
    </row>
    <row r="122" spans="1:13">
      <c r="A122" s="288" t="s">
        <v>626</v>
      </c>
      <c r="B122" s="150"/>
      <c r="C122" s="297"/>
      <c r="D122" s="298">
        <v>3.0303030303030298</v>
      </c>
      <c r="L122" s="1"/>
      <c r="M122" s="1"/>
    </row>
    <row r="123" spans="1:13">
      <c r="A123" s="74" t="s">
        <v>627</v>
      </c>
      <c r="B123" s="150"/>
      <c r="C123" s="297"/>
      <c r="D123" s="294">
        <v>10</v>
      </c>
      <c r="L123" s="1"/>
      <c r="M123" s="1"/>
    </row>
    <row r="124" spans="1:13">
      <c r="C124" s="290"/>
      <c r="D124" s="290"/>
      <c r="L124" s="1"/>
      <c r="M124" s="1"/>
    </row>
    <row r="125" spans="1:13">
      <c r="A125" s="534" t="s">
        <v>149</v>
      </c>
      <c r="B125" s="535"/>
      <c r="C125" s="536"/>
      <c r="D125" s="537"/>
      <c r="L125" s="1"/>
      <c r="M125" s="1"/>
    </row>
    <row r="126" spans="1:13">
      <c r="A126" s="538" t="s">
        <v>137</v>
      </c>
      <c r="B126" s="12" t="s">
        <v>558</v>
      </c>
      <c r="C126" s="264">
        <v>1</v>
      </c>
      <c r="D126" s="539">
        <v>1</v>
      </c>
      <c r="L126" s="1"/>
      <c r="M126" s="1"/>
    </row>
    <row r="127" spans="1:13">
      <c r="A127" s="538" t="s">
        <v>138</v>
      </c>
      <c r="B127" s="12" t="s">
        <v>560</v>
      </c>
      <c r="C127" s="264">
        <v>0.9</v>
      </c>
      <c r="D127" s="539">
        <v>0.9</v>
      </c>
      <c r="L127" s="1"/>
      <c r="M127" s="1"/>
    </row>
    <row r="128" spans="1:13">
      <c r="A128" s="540" t="s">
        <v>453</v>
      </c>
      <c r="B128" s="541" t="s">
        <v>559</v>
      </c>
      <c r="C128" s="542">
        <v>0.75</v>
      </c>
      <c r="D128" s="543">
        <v>0.75</v>
      </c>
      <c r="L128" s="1"/>
      <c r="M128" s="1"/>
    </row>
    <row r="129" spans="1:13">
      <c r="D129" s="1"/>
      <c r="L129" s="1"/>
      <c r="M129" s="1"/>
    </row>
    <row r="130" spans="1:13">
      <c r="C130" s="290"/>
      <c r="D130" s="290"/>
      <c r="L130" s="1"/>
      <c r="M130" s="1"/>
    </row>
    <row r="131" spans="1:13">
      <c r="A131" s="284" t="s">
        <v>628</v>
      </c>
      <c r="B131" s="149"/>
      <c r="C131" s="295"/>
      <c r="D131" s="294"/>
      <c r="L131" s="1"/>
      <c r="M131" s="1"/>
    </row>
    <row r="132" spans="1:13">
      <c r="A132" s="288" t="s">
        <v>141</v>
      </c>
      <c r="B132" s="150" t="s">
        <v>629</v>
      </c>
      <c r="C132" s="297">
        <v>0.75</v>
      </c>
      <c r="D132" s="294">
        <v>0.75</v>
      </c>
      <c r="L132" s="1"/>
      <c r="M132" s="1"/>
    </row>
    <row r="133" spans="1:13">
      <c r="A133" s="288" t="s">
        <v>630</v>
      </c>
      <c r="B133" s="150" t="s">
        <v>629</v>
      </c>
      <c r="C133" s="297">
        <v>1</v>
      </c>
      <c r="D133" s="294">
        <v>1</v>
      </c>
      <c r="L133" s="1"/>
      <c r="M133" s="1"/>
    </row>
    <row r="134" spans="1:13">
      <c r="A134" s="288" t="s">
        <v>138</v>
      </c>
      <c r="B134" s="150" t="s">
        <v>629</v>
      </c>
      <c r="C134" s="297">
        <v>0.9</v>
      </c>
      <c r="D134" s="294">
        <v>0.9</v>
      </c>
      <c r="L134" s="1"/>
      <c r="M134" s="1"/>
    </row>
    <row r="135" spans="1:13">
      <c r="L135" s="1"/>
      <c r="M135" s="1"/>
    </row>
    <row r="136" spans="1:13">
      <c r="L136" s="1"/>
      <c r="M136" s="1"/>
    </row>
    <row r="143" spans="1:13">
      <c r="D143" s="1"/>
    </row>
    <row r="144" spans="1:13">
      <c r="D144" s="1"/>
    </row>
    <row r="145" spans="4:4">
      <c r="D145" s="1"/>
    </row>
    <row r="146" spans="4:4">
      <c r="D146" s="1"/>
    </row>
    <row r="147" spans="4:4">
      <c r="D147" s="1"/>
    </row>
    <row r="148" spans="4:4">
      <c r="D148" s="1"/>
    </row>
    <row r="149" spans="4:4">
      <c r="D149" s="1"/>
    </row>
    <row r="151" spans="4:4">
      <c r="D151" s="1"/>
    </row>
    <row r="152" spans="4:4">
      <c r="D152" s="1"/>
    </row>
    <row r="153" spans="4:4">
      <c r="D153" s="1"/>
    </row>
    <row r="154" spans="4:4">
      <c r="D154" s="1"/>
    </row>
    <row r="155" spans="4:4">
      <c r="D155" s="1"/>
    </row>
    <row r="157" spans="4:4">
      <c r="D157" s="1"/>
    </row>
    <row r="158" spans="4:4">
      <c r="D158" s="1"/>
    </row>
    <row r="159" spans="4:4">
      <c r="D159" s="1"/>
    </row>
    <row r="160" spans="4:4">
      <c r="D160" s="1"/>
    </row>
    <row r="161" spans="4:4">
      <c r="D161" s="1"/>
    </row>
    <row r="162" spans="4:4">
      <c r="D162" s="1"/>
    </row>
    <row r="163" spans="4:4">
      <c r="D163" s="1"/>
    </row>
    <row r="164" spans="4:4">
      <c r="D164" s="1"/>
    </row>
    <row r="172" spans="4:4">
      <c r="D172" s="1"/>
    </row>
    <row r="177" spans="4:4">
      <c r="D177" s="1"/>
    </row>
    <row r="179" spans="4:4">
      <c r="D179" s="1"/>
    </row>
    <row r="180" spans="4:4">
      <c r="D180" s="1"/>
    </row>
    <row r="181" spans="4:4">
      <c r="D181" s="1"/>
    </row>
    <row r="183" spans="4:4">
      <c r="D183" s="1"/>
    </row>
    <row r="187" spans="4:4">
      <c r="D187" s="1"/>
    </row>
    <row r="188" spans="4:4">
      <c r="D188" s="1"/>
    </row>
    <row r="190" spans="4:4">
      <c r="D190" s="1"/>
    </row>
    <row r="193" spans="4:4">
      <c r="D193" s="1"/>
    </row>
    <row r="196" spans="4:4">
      <c r="D196" s="1"/>
    </row>
    <row r="197" spans="4:4">
      <c r="D197" s="1"/>
    </row>
    <row r="198" spans="4:4">
      <c r="D198" s="1"/>
    </row>
    <row r="199" spans="4:4">
      <c r="D199" s="1"/>
    </row>
    <row r="201" spans="4:4">
      <c r="D201" s="1"/>
    </row>
    <row r="203" spans="4:4">
      <c r="D203" s="1"/>
    </row>
  </sheetData>
  <sheetProtection selectLockedCells="1" selectUnlockedCells="1"/>
  <mergeCells count="2">
    <mergeCell ref="N44:P44"/>
    <mergeCell ref="N56:P5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A32F-EF89-498B-9094-3AADBEB00281}">
  <sheetPr codeName="Sheet55">
    <tabColor rgb="FF92D050"/>
  </sheetPr>
  <dimension ref="A1:AB213"/>
  <sheetViews>
    <sheetView zoomScale="64" workbookViewId="0">
      <selection activeCell="D63" sqref="D63"/>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98" t="s">
        <v>567</v>
      </c>
      <c r="O54" s="798"/>
      <c r="P54" s="798"/>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8" t="s">
        <v>567</v>
      </c>
      <c r="O66" s="798"/>
      <c r="P66" s="798"/>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tabColor rgb="FF92D050"/>
  </sheetPr>
  <dimension ref="A1:AB213"/>
  <sheetViews>
    <sheetView zoomScale="59" workbookViewId="0">
      <selection activeCell="D11" sqref="D11"/>
    </sheetView>
  </sheetViews>
  <sheetFormatPr defaultColWidth="11.42578125" defaultRowHeight="12.75"/>
  <cols>
    <col min="1" max="1" width="20.42578125" style="1" customWidth="1"/>
    <col min="2" max="2" width="24.42578125" style="1" customWidth="1"/>
    <col min="3" max="3" width="20.7109375" style="1" customWidth="1"/>
    <col min="4" max="4" width="19.7109375" style="68" customWidth="1"/>
    <col min="5" max="5" width="19.85546875" style="1" customWidth="1"/>
    <col min="6" max="6" width="25.85546875" style="1" customWidth="1"/>
    <col min="7" max="10" width="30.42578125" style="1" customWidth="1"/>
    <col min="11" max="11" width="19.7109375" style="1" customWidth="1"/>
    <col min="12" max="12" width="19.7109375" style="41" customWidth="1"/>
    <col min="13" max="13" width="15.28515625" style="41" customWidth="1"/>
    <col min="14" max="14" width="16.140625" style="1" customWidth="1"/>
    <col min="15" max="15" width="19.42578125" style="1" customWidth="1"/>
    <col min="16" max="16" width="15.140625" style="1" customWidth="1"/>
    <col min="17" max="16384" width="11.42578125" style="1"/>
  </cols>
  <sheetData>
    <row r="1" spans="1:26" s="44" customFormat="1">
      <c r="A1" s="42" t="s">
        <v>179</v>
      </c>
      <c r="B1" s="43"/>
      <c r="C1" s="43"/>
      <c r="D1" s="43"/>
      <c r="E1" s="43"/>
      <c r="F1" s="43"/>
      <c r="G1" s="43"/>
      <c r="H1" s="43"/>
      <c r="I1" s="43"/>
      <c r="J1" s="43"/>
      <c r="K1" s="43"/>
      <c r="L1" s="43"/>
      <c r="M1" s="43"/>
      <c r="N1" s="43"/>
      <c r="O1" s="43"/>
      <c r="P1" s="43"/>
      <c r="Q1" s="43"/>
      <c r="R1" s="43"/>
      <c r="S1" s="43"/>
      <c r="T1" s="43"/>
      <c r="U1" s="43"/>
      <c r="V1" s="43"/>
      <c r="W1" s="43"/>
      <c r="X1" s="43"/>
      <c r="Y1" s="43"/>
      <c r="Z1" s="43"/>
    </row>
    <row r="2" spans="1:26">
      <c r="A2" s="45" t="s">
        <v>180</v>
      </c>
      <c r="D2" s="1"/>
      <c r="L2" s="1"/>
      <c r="M2" s="1"/>
    </row>
    <row r="3" spans="1:26">
      <c r="A3" s="21" t="s">
        <v>181</v>
      </c>
      <c r="D3" s="1"/>
      <c r="L3" s="1"/>
      <c r="M3" s="1"/>
    </row>
    <row r="4" spans="1:26">
      <c r="A4" s="46" t="s">
        <v>182</v>
      </c>
      <c r="D4" s="1"/>
      <c r="L4" s="1"/>
      <c r="M4" s="1"/>
    </row>
    <row r="5" spans="1:26">
      <c r="A5" s="47" t="s">
        <v>183</v>
      </c>
      <c r="B5" s="41"/>
      <c r="C5" s="41"/>
      <c r="D5" s="41"/>
      <c r="E5" s="41"/>
      <c r="F5" s="41"/>
      <c r="G5" s="41"/>
      <c r="H5" s="41"/>
      <c r="I5" s="41"/>
      <c r="J5" s="627" t="s">
        <v>1275</v>
      </c>
      <c r="L5" s="1"/>
      <c r="M5" s="1"/>
      <c r="Q5" s="41"/>
      <c r="R5" s="41"/>
      <c r="S5" s="41"/>
      <c r="T5" s="41"/>
      <c r="U5" s="41"/>
      <c r="V5" s="41"/>
      <c r="W5" s="41"/>
      <c r="X5" s="41"/>
      <c r="Y5" s="41"/>
      <c r="Z5" s="41"/>
    </row>
    <row r="6" spans="1:26">
      <c r="L6" s="1"/>
      <c r="M6" s="1"/>
    </row>
    <row r="7" spans="1:26" s="55" customFormat="1">
      <c r="A7" s="51" t="s">
        <v>528</v>
      </c>
      <c r="B7" s="227"/>
      <c r="C7" s="227"/>
      <c r="D7" s="228"/>
      <c r="E7" s="53"/>
      <c r="F7" s="53"/>
      <c r="G7" s="53"/>
      <c r="H7" s="53"/>
      <c r="I7" s="53"/>
      <c r="J7" s="52"/>
      <c r="K7" s="52"/>
      <c r="L7" s="53"/>
      <c r="M7" s="53"/>
    </row>
    <row r="8" spans="1:26" s="234" customFormat="1">
      <c r="A8" s="229" t="s">
        <v>529</v>
      </c>
      <c r="B8" s="230"/>
      <c r="C8" s="230"/>
      <c r="D8" s="231"/>
      <c r="E8" s="232"/>
      <c r="F8" s="232"/>
      <c r="G8" s="232"/>
      <c r="H8" s="232"/>
      <c r="I8" s="232"/>
      <c r="J8" s="233"/>
      <c r="K8" s="233"/>
      <c r="L8" s="232"/>
      <c r="M8" s="232"/>
    </row>
    <row r="9" spans="1:26">
      <c r="A9" s="138"/>
      <c r="B9" s="138"/>
      <c r="C9" s="138"/>
      <c r="D9" s="235"/>
      <c r="E9" s="50"/>
      <c r="F9" s="50"/>
      <c r="G9" s="50"/>
      <c r="H9" s="50"/>
      <c r="I9" s="50"/>
      <c r="J9" s="49"/>
      <c r="K9" s="49" t="s">
        <v>185</v>
      </c>
      <c r="L9" s="50" t="s">
        <v>530</v>
      </c>
      <c r="M9" s="50"/>
    </row>
    <row r="10" spans="1:26" ht="38.25">
      <c r="A10" s="188" t="s">
        <v>531</v>
      </c>
      <c r="B10" s="188" t="s">
        <v>532</v>
      </c>
      <c r="C10" s="188" t="s">
        <v>533</v>
      </c>
      <c r="D10" s="236" t="s">
        <v>1272</v>
      </c>
      <c r="E10" s="237" t="s">
        <v>535</v>
      </c>
      <c r="F10" s="237" t="s">
        <v>536</v>
      </c>
      <c r="G10" s="238" t="s">
        <v>537</v>
      </c>
      <c r="H10" s="238" t="s">
        <v>538</v>
      </c>
      <c r="I10" s="238" t="s">
        <v>539</v>
      </c>
      <c r="J10" s="238" t="s">
        <v>540</v>
      </c>
      <c r="K10" s="237" t="s">
        <v>541</v>
      </c>
      <c r="L10" s="237" t="s">
        <v>542</v>
      </c>
      <c r="M10" s="50"/>
    </row>
    <row r="11" spans="1:26">
      <c r="A11" s="12" t="s">
        <v>543</v>
      </c>
      <c r="C11" s="12" t="s">
        <v>489</v>
      </c>
      <c r="D11" s="624">
        <f>VLOOKUP($C11,'End use share 2006c'!$A$3:$B$11,2,)</f>
        <v>162539.27368122499</v>
      </c>
      <c r="E11" s="625">
        <f>VLOOKUP($C11,'End use share 2006c'!$A$35:$J$42,3,)</f>
        <v>1.9673944145463536E-2</v>
      </c>
      <c r="F11" s="220">
        <v>1</v>
      </c>
      <c r="G11" s="241">
        <f>C120</f>
        <v>1</v>
      </c>
      <c r="H11" s="241">
        <f>D120</f>
        <v>1</v>
      </c>
      <c r="I11" s="242">
        <f t="shared" ref="I11:I16" si="0">(H11-G11)/8</f>
        <v>0</v>
      </c>
      <c r="J11" s="532">
        <v>1</v>
      </c>
      <c r="K11" s="628">
        <f t="shared" ref="K11:K16" si="1">E11*D11*F11</f>
        <v>3197.7885918486318</v>
      </c>
      <c r="L11" s="629">
        <f t="shared" ref="L11:L16" si="2">J11*E11*D11</f>
        <v>3197.7885918486318</v>
      </c>
    </row>
    <row r="12" spans="1:26">
      <c r="A12" s="12" t="s">
        <v>544</v>
      </c>
      <c r="B12" s="12"/>
      <c r="C12" s="12" t="s">
        <v>138</v>
      </c>
      <c r="D12" s="624">
        <f>VLOOKUP($C12,'End use share 2006c'!$A$3:$B$11,2,)</f>
        <v>4034.8708055603502</v>
      </c>
      <c r="E12" s="625">
        <f>VLOOKUP($C12,'End use share 2006c'!$A$35:$J$42,3,)</f>
        <v>0</v>
      </c>
      <c r="F12" s="220">
        <v>1</v>
      </c>
      <c r="G12" s="241"/>
      <c r="H12" s="241"/>
      <c r="I12" s="242">
        <f t="shared" si="0"/>
        <v>0</v>
      </c>
      <c r="J12" s="244"/>
      <c r="K12" s="628">
        <f t="shared" si="1"/>
        <v>0</v>
      </c>
      <c r="L12" s="629">
        <f t="shared" si="2"/>
        <v>0</v>
      </c>
    </row>
    <row r="13" spans="1:26">
      <c r="A13" s="12" t="s">
        <v>545</v>
      </c>
      <c r="B13" s="12"/>
      <c r="C13" s="12" t="s">
        <v>493</v>
      </c>
      <c r="D13" s="624">
        <f>VLOOKUP($C13,'End use share 2006c'!$A$3:$B$11,2,)</f>
        <v>0</v>
      </c>
      <c r="E13" s="625">
        <f>VLOOKUP($C13,'End use share 2006c'!$A$35:$J$42,3,)</f>
        <v>1.2391573729863693E-3</v>
      </c>
      <c r="F13" s="220">
        <v>1</v>
      </c>
      <c r="G13" s="241"/>
      <c r="H13" s="241"/>
      <c r="I13" s="242">
        <f t="shared" si="0"/>
        <v>0</v>
      </c>
      <c r="J13" s="244"/>
      <c r="K13" s="628">
        <f t="shared" si="1"/>
        <v>0</v>
      </c>
      <c r="L13" s="629">
        <f t="shared" si="2"/>
        <v>0</v>
      </c>
    </row>
    <row r="14" spans="1:26">
      <c r="A14" s="12" t="s">
        <v>546</v>
      </c>
      <c r="B14" s="12"/>
      <c r="C14" s="12" t="s">
        <v>491</v>
      </c>
      <c r="D14" s="624">
        <f>VLOOKUP($C14,'End use share 2006c'!$A$3:$B$11,2,)</f>
        <v>15025.9521504608</v>
      </c>
      <c r="E14" s="625">
        <f>VLOOKUP($C14,'End use share 2006c'!$A$35:$J$42,3,)</f>
        <v>0.54317126346240241</v>
      </c>
      <c r="F14" s="220">
        <v>1</v>
      </c>
      <c r="G14" s="241">
        <f>C121</f>
        <v>0.65</v>
      </c>
      <c r="H14" s="241">
        <f>D121</f>
        <v>0.8</v>
      </c>
      <c r="I14" s="242">
        <f t="shared" si="0"/>
        <v>1.8750000000000003E-2</v>
      </c>
      <c r="J14" s="244">
        <v>0.60000000000000009</v>
      </c>
      <c r="K14" s="628">
        <f t="shared" si="1"/>
        <v>8161.6654142913949</v>
      </c>
      <c r="L14" s="629">
        <f t="shared" si="2"/>
        <v>4896.999248574838</v>
      </c>
    </row>
    <row r="15" spans="1:26">
      <c r="A15" s="12" t="s">
        <v>547</v>
      </c>
      <c r="B15" s="12"/>
      <c r="C15" s="12" t="s">
        <v>492</v>
      </c>
      <c r="D15" s="624">
        <f>VLOOKUP($C15,'End use share 2006c'!$A$3:$B$11,2,)</f>
        <v>233.142782314313</v>
      </c>
      <c r="E15" s="625">
        <f>VLOOKUP($C15,'End use share 2006c'!$A$35:$J$42,3,)</f>
        <v>0</v>
      </c>
      <c r="F15" s="220">
        <v>1</v>
      </c>
      <c r="G15" s="241"/>
      <c r="H15" s="241"/>
      <c r="I15" s="242">
        <f t="shared" si="0"/>
        <v>0</v>
      </c>
      <c r="J15" s="244"/>
      <c r="K15" s="628">
        <f t="shared" si="1"/>
        <v>0</v>
      </c>
      <c r="L15" s="629">
        <f t="shared" si="2"/>
        <v>0</v>
      </c>
    </row>
    <row r="16" spans="1:26">
      <c r="A16" s="12" t="s">
        <v>549</v>
      </c>
      <c r="B16" s="12"/>
      <c r="C16" s="12" t="s">
        <v>465</v>
      </c>
      <c r="D16" s="624">
        <f>VLOOKUP($C16,'End use share 2006c'!$A$3:$B$11,2,)</f>
        <v>35</v>
      </c>
      <c r="E16" s="625">
        <f>VLOOKUP($C16,'End use share 2006c'!$A$35:$J$42,3,)</f>
        <v>0.288582183186951</v>
      </c>
      <c r="F16" s="220">
        <v>1</v>
      </c>
      <c r="G16" s="241">
        <f>C123</f>
        <v>0.75</v>
      </c>
      <c r="H16" s="241">
        <f>D123</f>
        <v>0.92</v>
      </c>
      <c r="I16" s="242">
        <f t="shared" si="0"/>
        <v>2.1250000000000005E-2</v>
      </c>
      <c r="J16" s="244">
        <v>0.69</v>
      </c>
      <c r="K16" s="628">
        <f t="shared" si="1"/>
        <v>10.100376411543285</v>
      </c>
      <c r="L16" s="629">
        <f t="shared" si="2"/>
        <v>6.9692597239648659</v>
      </c>
    </row>
    <row r="17" spans="1:13">
      <c r="A17" s="12" t="s">
        <v>1270</v>
      </c>
      <c r="B17" s="12"/>
      <c r="C17" s="12" t="s">
        <v>490</v>
      </c>
      <c r="D17" s="624">
        <f>VLOOKUP($C17,'End use share 2006c'!$A$3:$B$11,2,)</f>
        <v>2564.1871713843898</v>
      </c>
      <c r="E17" s="625">
        <f>VLOOKUP($C17,'End use share 2006c'!$A$35:$J$42,3,)</f>
        <v>0</v>
      </c>
      <c r="F17" s="220">
        <v>1</v>
      </c>
      <c r="G17" s="241"/>
      <c r="H17" s="241"/>
      <c r="I17" s="242"/>
      <c r="J17" s="244"/>
      <c r="K17" s="628"/>
      <c r="L17" s="628"/>
    </row>
    <row r="18" spans="1:13">
      <c r="A18" s="12" t="s">
        <v>1271</v>
      </c>
      <c r="B18" s="12"/>
      <c r="C18" s="12" t="s">
        <v>494</v>
      </c>
      <c r="D18" s="624">
        <f>VLOOKUP($C18,'End use share 2006c'!$A$3:$B$11,2,)</f>
        <v>695.47475469735889</v>
      </c>
      <c r="E18" s="625">
        <f>VLOOKUP($C18,'End use share 2006c'!$A$35:$J$42,3,)</f>
        <v>0</v>
      </c>
      <c r="F18" s="220">
        <v>1</v>
      </c>
      <c r="G18" s="241"/>
      <c r="H18" s="241"/>
      <c r="I18" s="242"/>
      <c r="J18" s="244"/>
      <c r="K18" s="628"/>
      <c r="L18" s="628"/>
    </row>
    <row r="19" spans="1:13">
      <c r="A19" s="12" t="s">
        <v>224</v>
      </c>
      <c r="B19" s="12"/>
      <c r="C19" s="12"/>
      <c r="D19" s="239"/>
      <c r="E19" s="244"/>
      <c r="F19" s="220"/>
      <c r="G19" s="220"/>
      <c r="H19" s="220"/>
      <c r="I19" s="220"/>
      <c r="J19" s="220"/>
      <c r="K19" s="628">
        <f>SUM(K11:K16)</f>
        <v>11369.554382551569</v>
      </c>
      <c r="L19" s="628">
        <f>SUM(L11:L16)</f>
        <v>8101.7571001474344</v>
      </c>
    </row>
    <row r="21" spans="1:13" ht="38.25">
      <c r="A21" s="245" t="s">
        <v>551</v>
      </c>
      <c r="B21" s="246" t="s">
        <v>532</v>
      </c>
      <c r="C21" s="246" t="s">
        <v>533</v>
      </c>
      <c r="D21" s="236" t="str">
        <f>D10</f>
        <v>Total fuel consumption in 2012/TJ</v>
      </c>
      <c r="E21" s="237" t="s">
        <v>535</v>
      </c>
      <c r="F21" s="237" t="s">
        <v>536</v>
      </c>
      <c r="G21" s="238" t="s">
        <v>537</v>
      </c>
      <c r="H21" s="238" t="s">
        <v>538</v>
      </c>
      <c r="I21" s="238"/>
      <c r="J21" s="238" t="s">
        <v>540</v>
      </c>
      <c r="K21" s="237" t="s">
        <v>541</v>
      </c>
      <c r="L21" s="237" t="s">
        <v>542</v>
      </c>
    </row>
    <row r="22" spans="1:13">
      <c r="A22" s="12" t="s">
        <v>552</v>
      </c>
      <c r="B22" s="15"/>
      <c r="C22" s="12" t="str">
        <f>C11</f>
        <v xml:space="preserve">Electricity </v>
      </c>
      <c r="D22" s="624">
        <f>VLOOKUP($C22,'End use share 2006c'!$A$3:$B$11,2,)</f>
        <v>162539.27368122499</v>
      </c>
      <c r="E22" s="625">
        <f>VLOOKUP($C22,'End use share 2006c'!$A$35:$J$42,4,)</f>
        <v>8.6253773691933548E-3</v>
      </c>
      <c r="F22" s="220">
        <v>1</v>
      </c>
      <c r="G22" s="241">
        <f t="shared" ref="G22:H27" si="3">C126</f>
        <v>1</v>
      </c>
      <c r="H22" s="241">
        <f t="shared" si="3"/>
        <v>1</v>
      </c>
      <c r="I22" s="242">
        <f t="shared" ref="I22:I28" si="4">(H22-G22)/8</f>
        <v>0</v>
      </c>
      <c r="J22" s="532">
        <v>1</v>
      </c>
      <c r="K22" s="629">
        <f t="shared" ref="K22:K28" si="5">E22*D22</f>
        <v>1401.9625728151632</v>
      </c>
      <c r="L22" s="629">
        <f t="shared" ref="L22:L28" si="6">J22*E22*D22</f>
        <v>1401.9625728151632</v>
      </c>
    </row>
    <row r="23" spans="1:13">
      <c r="A23" s="12" t="s">
        <v>553</v>
      </c>
      <c r="B23" s="12"/>
      <c r="C23" s="12" t="str">
        <f t="shared" ref="C23:C29" si="7">C12</f>
        <v>LPG</v>
      </c>
      <c r="D23" s="624">
        <f>VLOOKUP($C23,'End use share 2006c'!$A$3:$B$11,2,)</f>
        <v>4034.8708055603502</v>
      </c>
      <c r="E23" s="625">
        <f>VLOOKUP($C23,'End use share 2006c'!$A$35:$J$42,4,)</f>
        <v>0.89896529330549124</v>
      </c>
      <c r="F23" s="220">
        <v>1</v>
      </c>
      <c r="G23" s="241">
        <f t="shared" si="3"/>
        <v>0.75</v>
      </c>
      <c r="H23" s="241">
        <f t="shared" si="3"/>
        <v>0.91</v>
      </c>
      <c r="I23" s="242">
        <f t="shared" si="4"/>
        <v>2.0000000000000004E-2</v>
      </c>
      <c r="J23" s="244">
        <v>0.68</v>
      </c>
      <c r="K23" s="629">
        <f t="shared" si="5"/>
        <v>3627.208817170324</v>
      </c>
      <c r="L23" s="629">
        <f t="shared" si="6"/>
        <v>2466.5019956758201</v>
      </c>
    </row>
    <row r="24" spans="1:13">
      <c r="A24" s="12" t="s">
        <v>554</v>
      </c>
      <c r="B24" s="12"/>
      <c r="C24" s="12" t="str">
        <f t="shared" si="7"/>
        <v xml:space="preserve">Wood </v>
      </c>
      <c r="D24" s="624">
        <f>VLOOKUP($C24,'End use share 2006c'!$A$3:$B$11,2,)</f>
        <v>0</v>
      </c>
      <c r="E24" s="625">
        <f>VLOOKUP($C24,'End use share 2006c'!$A$35:$J$42,4,)</f>
        <v>0</v>
      </c>
      <c r="F24" s="220">
        <v>1</v>
      </c>
      <c r="G24" s="241">
        <f t="shared" si="3"/>
        <v>0.7</v>
      </c>
      <c r="H24" s="241">
        <f t="shared" si="3"/>
        <v>0.91</v>
      </c>
      <c r="I24" s="242">
        <f t="shared" si="4"/>
        <v>2.6250000000000009E-2</v>
      </c>
      <c r="J24" s="244">
        <v>0.68</v>
      </c>
      <c r="K24" s="629">
        <f t="shared" si="5"/>
        <v>0</v>
      </c>
      <c r="L24" s="629">
        <f t="shared" si="6"/>
        <v>0</v>
      </c>
    </row>
    <row r="25" spans="1:13">
      <c r="A25" s="12" t="s">
        <v>555</v>
      </c>
      <c r="B25" s="12"/>
      <c r="C25" s="12" t="str">
        <f t="shared" si="7"/>
        <v xml:space="preserve">Coal </v>
      </c>
      <c r="D25" s="624">
        <f>VLOOKUP($C25,'End use share 2006c'!$A$3:$B$11,2,)</f>
        <v>15025.9521504608</v>
      </c>
      <c r="E25" s="625">
        <f>VLOOKUP($C25,'End use share 2006c'!$A$35:$J$42,4,)</f>
        <v>0.45611504726363378</v>
      </c>
      <c r="F25" s="220">
        <v>1</v>
      </c>
      <c r="G25" s="241">
        <f t="shared" si="3"/>
        <v>0.65</v>
      </c>
      <c r="H25" s="241">
        <f t="shared" si="3"/>
        <v>0.8</v>
      </c>
      <c r="I25" s="242">
        <f t="shared" si="4"/>
        <v>1.8750000000000003E-2</v>
      </c>
      <c r="J25" s="244">
        <v>0.60000000000000009</v>
      </c>
      <c r="K25" s="629">
        <f t="shared" si="5"/>
        <v>6853.5628752885277</v>
      </c>
      <c r="L25" s="629">
        <f t="shared" si="6"/>
        <v>4112.1377251731174</v>
      </c>
    </row>
    <row r="26" spans="1:13">
      <c r="A26" s="12" t="s">
        <v>556</v>
      </c>
      <c r="B26" s="12"/>
      <c r="C26" s="12" t="str">
        <f t="shared" si="7"/>
        <v xml:space="preserve">HFO </v>
      </c>
      <c r="D26" s="624">
        <f>VLOOKUP($C26,'End use share 2006c'!$A$3:$B$11,2,)</f>
        <v>233.142782314313</v>
      </c>
      <c r="E26" s="625">
        <f>VLOOKUP($C26,'End use share 2006c'!$A$35:$J$42,4,)</f>
        <v>0</v>
      </c>
      <c r="F26" s="220">
        <v>1</v>
      </c>
      <c r="G26" s="241">
        <f t="shared" si="3"/>
        <v>0.65</v>
      </c>
      <c r="H26" s="241">
        <f t="shared" si="3"/>
        <v>0.85</v>
      </c>
      <c r="I26" s="242">
        <f t="shared" si="4"/>
        <v>2.4999999999999994E-2</v>
      </c>
      <c r="J26" s="244">
        <v>0.64</v>
      </c>
      <c r="K26" s="629">
        <f t="shared" si="5"/>
        <v>0</v>
      </c>
      <c r="L26" s="629">
        <f t="shared" si="6"/>
        <v>0</v>
      </c>
    </row>
    <row r="27" spans="1:13">
      <c r="A27" s="12" t="s">
        <v>557</v>
      </c>
      <c r="B27" s="12"/>
      <c r="C27" s="12" t="str">
        <f t="shared" si="7"/>
        <v>Gas</v>
      </c>
      <c r="D27" s="624">
        <f>VLOOKUP($C27,'End use share 2006c'!$A$3:$B$11,2,)</f>
        <v>35</v>
      </c>
      <c r="E27" s="625">
        <f>VLOOKUP($C27,'End use share 2006c'!$A$35:$J$42,4,)</f>
        <v>0.71141781681304894</v>
      </c>
      <c r="F27" s="220">
        <v>1</v>
      </c>
      <c r="G27" s="241">
        <f t="shared" si="3"/>
        <v>0.75</v>
      </c>
      <c r="H27" s="241">
        <f t="shared" si="3"/>
        <v>0.92</v>
      </c>
      <c r="I27" s="242">
        <f t="shared" si="4"/>
        <v>2.1250000000000005E-2</v>
      </c>
      <c r="J27" s="244">
        <v>0.69</v>
      </c>
      <c r="K27" s="629">
        <f t="shared" si="5"/>
        <v>24.899623588456713</v>
      </c>
      <c r="L27" s="629">
        <f t="shared" si="6"/>
        <v>17.180740276035131</v>
      </c>
    </row>
    <row r="28" spans="1:13">
      <c r="A28" s="12" t="s">
        <v>1273</v>
      </c>
      <c r="B28" s="12"/>
      <c r="C28" s="12" t="str">
        <f t="shared" si="7"/>
        <v xml:space="preserve">Paraffin </v>
      </c>
      <c r="D28" s="624">
        <f>VLOOKUP($C28,'End use share 2006c'!$A$3:$B$11,2,)</f>
        <v>2564.1871713843898</v>
      </c>
      <c r="E28" s="625">
        <f>VLOOKUP($C28,'End use share 2006c'!$A$35:$J$42,4,)</f>
        <v>1</v>
      </c>
      <c r="F28" s="220">
        <v>1</v>
      </c>
      <c r="G28" s="241">
        <f>C128</f>
        <v>0.7</v>
      </c>
      <c r="H28" s="241">
        <f>D128</f>
        <v>0.91</v>
      </c>
      <c r="I28" s="242">
        <f t="shared" si="4"/>
        <v>2.6250000000000009E-2</v>
      </c>
      <c r="J28" s="626">
        <v>0.7</v>
      </c>
      <c r="K28" s="629">
        <f t="shared" si="5"/>
        <v>2564.1871713843898</v>
      </c>
      <c r="L28" s="629">
        <f t="shared" si="6"/>
        <v>1794.9310199690726</v>
      </c>
    </row>
    <row r="29" spans="1:13">
      <c r="A29" s="12" t="s">
        <v>1274</v>
      </c>
      <c r="B29" s="12"/>
      <c r="C29" s="12" t="str">
        <f t="shared" si="7"/>
        <v xml:space="preserve">Diesel </v>
      </c>
      <c r="D29" s="624">
        <f>VLOOKUP($C29,'End use share 2006c'!$A$3:$B$11,2,)</f>
        <v>695.47475469735889</v>
      </c>
      <c r="E29" s="625">
        <f>VLOOKUP($C29,'End use share 2006c'!$A$35:$J$42,4,)</f>
        <v>0</v>
      </c>
      <c r="F29" s="220">
        <v>1</v>
      </c>
      <c r="G29" s="241"/>
      <c r="H29" s="241"/>
      <c r="I29" s="242"/>
      <c r="J29" s="244"/>
      <c r="K29" s="629"/>
      <c r="L29" s="629"/>
    </row>
    <row r="30" spans="1:13">
      <c r="K30" s="629">
        <f>SUM(K22:K27)</f>
        <v>11907.633888862472</v>
      </c>
      <c r="L30" s="629">
        <f>SUM(L22:L28)</f>
        <v>9792.714053909207</v>
      </c>
    </row>
    <row r="31" spans="1:13">
      <c r="K31" s="41"/>
    </row>
    <row r="32" spans="1:13" ht="38.25">
      <c r="A32" s="245" t="s">
        <v>149</v>
      </c>
      <c r="B32" s="246" t="s">
        <v>532</v>
      </c>
      <c r="C32" s="246" t="s">
        <v>533</v>
      </c>
      <c r="D32" s="236" t="str">
        <f>D21</f>
        <v>Total fuel consumption in 2012/TJ</v>
      </c>
      <c r="E32" s="237" t="s">
        <v>535</v>
      </c>
      <c r="F32" s="237" t="s">
        <v>536</v>
      </c>
      <c r="G32" s="238" t="s">
        <v>537</v>
      </c>
      <c r="H32" s="238" t="s">
        <v>538</v>
      </c>
      <c r="I32" s="238"/>
      <c r="J32" s="238" t="s">
        <v>540</v>
      </c>
      <c r="K32" s="237" t="s">
        <v>541</v>
      </c>
      <c r="L32" s="237" t="s">
        <v>542</v>
      </c>
      <c r="M32" s="1"/>
    </row>
    <row r="33" spans="1:13">
      <c r="A33" s="12" t="s">
        <v>558</v>
      </c>
      <c r="B33" s="12"/>
      <c r="C33" s="12" t="str">
        <f>C22</f>
        <v xml:space="preserve">Electricity </v>
      </c>
      <c r="D33" s="624">
        <f>VLOOKUP($C33,'End use share 2006c'!$A$3:$B$11,2,)</f>
        <v>162539.27368122499</v>
      </c>
      <c r="E33" s="625">
        <f>VLOOKUP($C33,'End use share 2006c'!$A$35:$J$42,7,)</f>
        <v>6.3534899562964403E-2</v>
      </c>
      <c r="F33" s="220">
        <v>1</v>
      </c>
      <c r="G33" s="220">
        <f t="shared" ref="G33:H34" si="8">C136</f>
        <v>1</v>
      </c>
      <c r="H33" s="220">
        <f t="shared" si="8"/>
        <v>1</v>
      </c>
      <c r="I33" s="242">
        <f>(H33-G33)/8</f>
        <v>0</v>
      </c>
      <c r="J33" s="244">
        <v>1</v>
      </c>
      <c r="K33" s="247">
        <f>E33*D33</f>
        <v>10326.916428373814</v>
      </c>
      <c r="L33" s="247">
        <f>J33*E33*D33</f>
        <v>10326.916428373814</v>
      </c>
      <c r="M33" s="1"/>
    </row>
    <row r="34" spans="1:13">
      <c r="A34" s="12" t="s">
        <v>559</v>
      </c>
      <c r="B34" s="12"/>
      <c r="C34" s="12" t="str">
        <f t="shared" ref="C34:C40" si="9">C23</f>
        <v>LPG</v>
      </c>
      <c r="D34" s="624">
        <f>VLOOKUP($C34,'End use share 2006c'!$A$3:$B$11,2,)</f>
        <v>4034.8708055603502</v>
      </c>
      <c r="E34" s="625">
        <f>VLOOKUP($C34,'End use share 2006c'!$A$35:$J$42,7,)</f>
        <v>0.10103470669450876</v>
      </c>
      <c r="F34" s="220">
        <v>1</v>
      </c>
      <c r="G34" s="220">
        <f t="shared" si="8"/>
        <v>0.9</v>
      </c>
      <c r="H34" s="220">
        <f t="shared" si="8"/>
        <v>0.9</v>
      </c>
      <c r="I34" s="242">
        <f>(H34-G34)/8</f>
        <v>0</v>
      </c>
      <c r="J34" s="244">
        <v>0.9</v>
      </c>
      <c r="K34" s="247">
        <f>E34*D34</f>
        <v>407.66198839002624</v>
      </c>
      <c r="L34" s="247">
        <f>J34*E34*D34</f>
        <v>366.89578955102365</v>
      </c>
      <c r="M34" s="1"/>
    </row>
    <row r="35" spans="1:13">
      <c r="A35" s="12" t="s">
        <v>560</v>
      </c>
      <c r="B35" s="12"/>
      <c r="C35" s="12" t="str">
        <f t="shared" si="9"/>
        <v xml:space="preserve">Wood </v>
      </c>
      <c r="D35" s="624">
        <f>VLOOKUP($C35,'End use share 2006c'!$A$3:$B$11,2,)</f>
        <v>0</v>
      </c>
      <c r="E35" s="625">
        <f>VLOOKUP($C35,'End use share 2006c'!$A$35:$J$42,7,)</f>
        <v>0.99876084262701359</v>
      </c>
      <c r="F35" s="220">
        <v>1</v>
      </c>
      <c r="G35" s="220"/>
      <c r="H35" s="220"/>
      <c r="I35" s="242">
        <f>(H35-G35)/8</f>
        <v>0</v>
      </c>
      <c r="J35" s="244"/>
      <c r="K35" s="247">
        <f>E35*D35</f>
        <v>0</v>
      </c>
      <c r="L35" s="247">
        <f>J35*E35*D35</f>
        <v>0</v>
      </c>
      <c r="M35" s="1"/>
    </row>
    <row r="36" spans="1:13">
      <c r="A36" s="12" t="s">
        <v>1276</v>
      </c>
      <c r="B36" s="12"/>
      <c r="C36" s="12" t="str">
        <f t="shared" si="9"/>
        <v xml:space="preserve">Coal </v>
      </c>
      <c r="D36" s="624">
        <f>VLOOKUP($C36,'End use share 2006c'!$A$3:$B$11,2,)</f>
        <v>15025.9521504608</v>
      </c>
      <c r="E36" s="625">
        <f>VLOOKUP($C36,'End use share 2006c'!$A$35:$J$42,7,)</f>
        <v>7.1368927396390168E-4</v>
      </c>
      <c r="F36" s="220">
        <v>1</v>
      </c>
      <c r="G36" s="220">
        <f>C138</f>
        <v>0.75</v>
      </c>
      <c r="H36" s="220">
        <f>D138</f>
        <v>0.75</v>
      </c>
      <c r="I36" s="242">
        <f t="shared" ref="I36:I40" si="10">(H36-G36)/8</f>
        <v>0</v>
      </c>
      <c r="J36" s="244">
        <v>0.75</v>
      </c>
      <c r="K36" s="247">
        <f t="shared" ref="K36:K40" si="11">E36*D36</f>
        <v>10.723860880878696</v>
      </c>
      <c r="L36" s="247">
        <f t="shared" ref="L36:L40" si="12">J36*E36*D36</f>
        <v>8.0428956606590205</v>
      </c>
      <c r="M36" s="1"/>
    </row>
    <row r="37" spans="1:13">
      <c r="A37" s="12" t="s">
        <v>1277</v>
      </c>
      <c r="B37" s="12"/>
      <c r="C37" s="12" t="str">
        <f t="shared" si="9"/>
        <v xml:space="preserve">HFO </v>
      </c>
      <c r="D37" s="624">
        <f>VLOOKUP($C37,'End use share 2006c'!$A$3:$B$11,2,)</f>
        <v>233.142782314313</v>
      </c>
      <c r="E37" s="625">
        <f>VLOOKUP($C37,'End use share 2006c'!$A$35:$J$42,7,)</f>
        <v>0</v>
      </c>
      <c r="F37" s="220">
        <v>1</v>
      </c>
      <c r="G37" s="220"/>
      <c r="H37" s="220"/>
      <c r="I37" s="242">
        <f t="shared" si="10"/>
        <v>0</v>
      </c>
      <c r="J37" s="244"/>
      <c r="K37" s="247">
        <f t="shared" si="11"/>
        <v>0</v>
      </c>
      <c r="L37" s="247">
        <f t="shared" si="12"/>
        <v>0</v>
      </c>
      <c r="M37" s="1"/>
    </row>
    <row r="38" spans="1:13">
      <c r="A38" s="12" t="s">
        <v>1278</v>
      </c>
      <c r="B38" s="12"/>
      <c r="C38" s="12" t="str">
        <f t="shared" si="9"/>
        <v>Gas</v>
      </c>
      <c r="D38" s="624">
        <f>VLOOKUP($C38,'End use share 2006c'!$A$3:$B$11,2,)</f>
        <v>35</v>
      </c>
      <c r="E38" s="625">
        <f>VLOOKUP($C38,'End use share 2006c'!$A$35:$J$42,7,)</f>
        <v>0</v>
      </c>
      <c r="F38" s="220">
        <v>1</v>
      </c>
      <c r="G38" s="220"/>
      <c r="H38" s="220"/>
      <c r="I38" s="242">
        <f t="shared" si="10"/>
        <v>0</v>
      </c>
      <c r="J38" s="244"/>
      <c r="K38" s="247">
        <f t="shared" si="11"/>
        <v>0</v>
      </c>
      <c r="L38" s="247">
        <f t="shared" si="12"/>
        <v>0</v>
      </c>
      <c r="M38" s="1"/>
    </row>
    <row r="39" spans="1:13">
      <c r="A39" s="12" t="s">
        <v>1279</v>
      </c>
      <c r="B39" s="12"/>
      <c r="C39" s="12" t="str">
        <f t="shared" si="9"/>
        <v xml:space="preserve">Paraffin </v>
      </c>
      <c r="D39" s="624">
        <f>VLOOKUP($C39,'End use share 2006c'!$A$3:$B$11,2,)</f>
        <v>2564.1871713843898</v>
      </c>
      <c r="E39" s="625">
        <f>VLOOKUP($C39,'End use share 2006c'!$A$35:$J$42,7,)</f>
        <v>0</v>
      </c>
      <c r="F39" s="220">
        <v>1</v>
      </c>
      <c r="G39" s="220"/>
      <c r="H39" s="220"/>
      <c r="I39" s="242">
        <f t="shared" si="10"/>
        <v>0</v>
      </c>
      <c r="J39" s="244"/>
      <c r="K39" s="247">
        <f t="shared" si="11"/>
        <v>0</v>
      </c>
      <c r="L39" s="247">
        <f t="shared" si="12"/>
        <v>0</v>
      </c>
      <c r="M39" s="1"/>
    </row>
    <row r="40" spans="1:13">
      <c r="A40" s="12" t="s">
        <v>1280</v>
      </c>
      <c r="B40" s="12"/>
      <c r="C40" s="12" t="str">
        <f t="shared" si="9"/>
        <v xml:space="preserve">Diesel </v>
      </c>
      <c r="D40" s="624">
        <f>VLOOKUP($C40,'End use share 2006c'!$A$3:$B$11,2,)</f>
        <v>695.47475469735889</v>
      </c>
      <c r="E40" s="625">
        <f>VLOOKUP($C40,'End use share 2006c'!$A$35:$J$42,7,)</f>
        <v>0</v>
      </c>
      <c r="F40" s="220">
        <v>1</v>
      </c>
      <c r="G40" s="220"/>
      <c r="H40" s="220"/>
      <c r="I40" s="242">
        <f t="shared" si="10"/>
        <v>0</v>
      </c>
      <c r="J40" s="244"/>
      <c r="K40" s="247">
        <f t="shared" si="11"/>
        <v>0</v>
      </c>
      <c r="L40" s="247">
        <f t="shared" si="12"/>
        <v>0</v>
      </c>
      <c r="M40" s="1"/>
    </row>
    <row r="41" spans="1:13">
      <c r="D41" s="172"/>
      <c r="E41" s="78"/>
      <c r="F41" s="265"/>
      <c r="G41" s="265"/>
      <c r="H41" s="265"/>
      <c r="I41" s="453"/>
      <c r="J41" s="263"/>
      <c r="K41" s="247"/>
      <c r="L41" s="247"/>
      <c r="M41" s="1"/>
    </row>
    <row r="42" spans="1:13">
      <c r="K42" s="247">
        <f>SUM(K33:K35)</f>
        <v>10734.578416763839</v>
      </c>
      <c r="L42" s="247">
        <f>SUM(L33:L35)</f>
        <v>10693.812217924837</v>
      </c>
      <c r="M42" s="1"/>
    </row>
    <row r="43" spans="1:13">
      <c r="A43" s="1" t="s">
        <v>1263</v>
      </c>
      <c r="L43" s="1"/>
      <c r="M43" s="1"/>
    </row>
    <row r="44" spans="1:13" ht="38.25">
      <c r="A44" s="245" t="s">
        <v>83</v>
      </c>
      <c r="B44" s="246" t="s">
        <v>532</v>
      </c>
      <c r="C44" s="246" t="s">
        <v>533</v>
      </c>
      <c r="D44" s="236" t="str">
        <f>D32</f>
        <v>Total fuel consumption in 2012/TJ</v>
      </c>
      <c r="E44" s="237" t="s">
        <v>535</v>
      </c>
      <c r="F44" s="237" t="s">
        <v>536</v>
      </c>
      <c r="G44" s="238" t="s">
        <v>537</v>
      </c>
      <c r="H44" s="238" t="s">
        <v>538</v>
      </c>
      <c r="I44" s="238"/>
      <c r="J44" s="238" t="s">
        <v>540</v>
      </c>
      <c r="K44" s="237" t="s">
        <v>541</v>
      </c>
      <c r="L44" s="237" t="s">
        <v>542</v>
      </c>
      <c r="M44" s="1"/>
    </row>
    <row r="45" spans="1:13">
      <c r="A45" s="12" t="s">
        <v>561</v>
      </c>
      <c r="B45" s="12" t="s">
        <v>562</v>
      </c>
      <c r="C45" s="12" t="str">
        <f>C33</f>
        <v xml:space="preserve">Electricity </v>
      </c>
      <c r="D45" s="624">
        <f>VLOOKUP($C45,'End use share 2006c'!$A$3:$B$11,2,)</f>
        <v>162539.27368122499</v>
      </c>
      <c r="E45" s="625">
        <f>VLOOKUP($C45,'End use share 2006c'!$A$35:$J$42,10,)</f>
        <v>0.15929943132341109</v>
      </c>
      <c r="F45" s="220">
        <v>1</v>
      </c>
      <c r="G45" s="241">
        <f t="shared" ref="G45:H47" si="13">C142</f>
        <v>0.75</v>
      </c>
      <c r="H45" s="241">
        <f t="shared" si="13"/>
        <v>0.75</v>
      </c>
      <c r="I45" s="242">
        <f>(H45-G45)/8</f>
        <v>0</v>
      </c>
      <c r="J45" s="244">
        <v>0.75</v>
      </c>
      <c r="K45" s="64">
        <f>E45*D45</f>
        <v>25892.413865139421</v>
      </c>
      <c r="L45" s="64">
        <f>J45*E45*D45</f>
        <v>19419.310398854566</v>
      </c>
      <c r="M45" s="1"/>
    </row>
    <row r="46" spans="1:13">
      <c r="A46" s="12" t="s">
        <v>563</v>
      </c>
      <c r="B46" s="12"/>
      <c r="C46" s="12" t="str">
        <f>C40</f>
        <v xml:space="preserve">Diesel </v>
      </c>
      <c r="D46" s="624">
        <f>VLOOKUP($C46,'End use share 2006c'!$A$3:$B$11,2,)</f>
        <v>695.47475469735889</v>
      </c>
      <c r="E46" s="625">
        <f>VLOOKUP($C46,'End use share 2006c'!$A$35:$J$42,10,)</f>
        <v>1</v>
      </c>
      <c r="F46" s="220">
        <v>1</v>
      </c>
      <c r="G46" s="241">
        <f t="shared" si="13"/>
        <v>1</v>
      </c>
      <c r="H46" s="241">
        <f t="shared" si="13"/>
        <v>1</v>
      </c>
      <c r="I46" s="242">
        <f>(H46-G46)/8</f>
        <v>0</v>
      </c>
      <c r="J46" s="244">
        <v>1</v>
      </c>
      <c r="K46" s="64">
        <f>E46*D46</f>
        <v>695.47475469735889</v>
      </c>
      <c r="L46" s="64">
        <f>J46*E46*D46</f>
        <v>695.47475469735889</v>
      </c>
      <c r="M46" s="1"/>
    </row>
    <row r="47" spans="1:13">
      <c r="A47" s="12" t="s">
        <v>564</v>
      </c>
      <c r="B47" s="12"/>
      <c r="C47" s="12" t="str">
        <f>C37</f>
        <v xml:space="preserve">HFO </v>
      </c>
      <c r="D47" s="624">
        <f>VLOOKUP($C47,'End use share 2006c'!$A$3:$B$11,2,)</f>
        <v>233.142782314313</v>
      </c>
      <c r="E47" s="625">
        <f>VLOOKUP($C47,'End use share 2006c'!$A$35:$J$42,10,)</f>
        <v>1</v>
      </c>
      <c r="F47" s="220">
        <v>1</v>
      </c>
      <c r="G47" s="241">
        <f t="shared" si="13"/>
        <v>0.9</v>
      </c>
      <c r="H47" s="241">
        <f t="shared" si="13"/>
        <v>0.9</v>
      </c>
      <c r="I47" s="242">
        <f>(H47-G47)/8</f>
        <v>0</v>
      </c>
      <c r="J47" s="244">
        <v>0.9</v>
      </c>
      <c r="K47" s="64">
        <f>E47*D47</f>
        <v>233.142782314313</v>
      </c>
      <c r="L47" s="64">
        <f>J47*E47*D47</f>
        <v>209.82850408288169</v>
      </c>
      <c r="M47" s="1"/>
    </row>
    <row r="48" spans="1:13">
      <c r="D48" s="172"/>
      <c r="E48" s="265"/>
      <c r="F48" s="265"/>
      <c r="G48" s="452"/>
      <c r="H48" s="452"/>
      <c r="I48" s="453"/>
      <c r="J48" s="263"/>
      <c r="K48" s="64"/>
      <c r="L48" s="64"/>
      <c r="M48" s="1"/>
    </row>
    <row r="49" spans="1:16">
      <c r="A49" s="630" t="s">
        <v>820</v>
      </c>
      <c r="B49" s="12"/>
      <c r="C49" s="12"/>
      <c r="D49" s="239"/>
      <c r="E49" s="220"/>
      <c r="F49" s="220"/>
      <c r="G49" s="241"/>
      <c r="H49" s="241"/>
      <c r="I49" s="242"/>
      <c r="J49" s="244"/>
      <c r="K49" s="64"/>
      <c r="L49" s="64"/>
      <c r="M49" s="1"/>
    </row>
    <row r="50" spans="1:16">
      <c r="A50" s="12" t="s">
        <v>844</v>
      </c>
      <c r="B50" s="12" t="s">
        <v>846</v>
      </c>
      <c r="C50" s="12" t="str">
        <f>C45</f>
        <v xml:space="preserve">Electricity </v>
      </c>
      <c r="D50" s="624">
        <f>VLOOKUP($C50,'End use share 2006c'!$A$3:$B$11,2,)</f>
        <v>162539.27368122499</v>
      </c>
      <c r="E50" s="625">
        <f>VLOOKUP($C50,'End use share 2006c'!$A$35:$J$42,9,)</f>
        <v>2.3755614613376001E-2</v>
      </c>
      <c r="F50" s="220">
        <v>1</v>
      </c>
      <c r="G50" s="241"/>
      <c r="H50" s="241"/>
      <c r="I50" s="242"/>
      <c r="J50" s="533">
        <v>1</v>
      </c>
      <c r="K50" s="64">
        <f>E50*D50</f>
        <v>3861.2203451092296</v>
      </c>
      <c r="L50" s="64">
        <f>J50*E50*D50</f>
        <v>3861.2203451092296</v>
      </c>
      <c r="M50" s="1"/>
    </row>
    <row r="51" spans="1:16">
      <c r="A51" s="12" t="s">
        <v>845</v>
      </c>
      <c r="B51" s="12"/>
      <c r="C51" s="12" t="str">
        <f>C50</f>
        <v xml:space="preserve">Electricity </v>
      </c>
      <c r="D51" s="56"/>
      <c r="E51" s="12"/>
      <c r="F51" s="12"/>
      <c r="G51" s="12"/>
      <c r="H51" s="12"/>
      <c r="I51" s="12"/>
      <c r="J51" s="12"/>
      <c r="K51" s="64">
        <f>SUM(K45:K47)</f>
        <v>26821.031402151093</v>
      </c>
      <c r="L51" s="64">
        <f>SUM(L45:L47)</f>
        <v>20324.613657634807</v>
      </c>
      <c r="M51" s="1"/>
    </row>
    <row r="52" spans="1:16">
      <c r="L52" s="1"/>
      <c r="M52" s="1"/>
    </row>
    <row r="53" spans="1:16" s="234" customFormat="1">
      <c r="A53" s="229" t="s">
        <v>566</v>
      </c>
      <c r="D53" s="249"/>
    </row>
    <row r="54" spans="1:16" ht="13.5" customHeight="1">
      <c r="L54" s="1"/>
      <c r="M54" s="1"/>
      <c r="N54" s="798" t="s">
        <v>567</v>
      </c>
      <c r="O54" s="798"/>
      <c r="P54" s="798"/>
    </row>
    <row r="55" spans="1:16" ht="38.25">
      <c r="A55" s="245" t="s">
        <v>40</v>
      </c>
      <c r="B55" s="246" t="s">
        <v>532</v>
      </c>
      <c r="C55" s="246" t="s">
        <v>533</v>
      </c>
      <c r="D55" s="236" t="str">
        <f>D44</f>
        <v>Total fuel consumption in 2012/TJ</v>
      </c>
      <c r="E55" s="237" t="s">
        <v>535</v>
      </c>
      <c r="F55" s="237" t="s">
        <v>536</v>
      </c>
      <c r="G55" s="238" t="s">
        <v>568</v>
      </c>
      <c r="H55" s="237" t="s">
        <v>569</v>
      </c>
      <c r="I55" s="237"/>
      <c r="J55" s="238" t="s">
        <v>570</v>
      </c>
      <c r="K55" s="237" t="s">
        <v>541</v>
      </c>
      <c r="L55" s="237" t="s">
        <v>542</v>
      </c>
      <c r="M55" s="1"/>
      <c r="N55" s="237" t="s">
        <v>571</v>
      </c>
      <c r="O55" s="250" t="s">
        <v>572</v>
      </c>
      <c r="P55" s="250" t="s">
        <v>573</v>
      </c>
    </row>
    <row r="56" spans="1:16">
      <c r="A56" s="12" t="s">
        <v>574</v>
      </c>
      <c r="B56" s="12" t="s">
        <v>575</v>
      </c>
      <c r="C56" s="12" t="str">
        <f>C50</f>
        <v xml:space="preserve">Electricity </v>
      </c>
      <c r="D56" s="624">
        <f>VLOOKUP($C56,'End use share 2006c'!$A$3:$B$11,2,)</f>
        <v>162539.27368122499</v>
      </c>
      <c r="E56" s="625">
        <f>VLOOKUP($C56,'End use share 2006c'!$A$35:$J$42,5,)</f>
        <v>0.32937807742524239</v>
      </c>
      <c r="F56" s="241">
        <v>0.05</v>
      </c>
      <c r="G56" s="251">
        <f t="shared" ref="G56:H59" si="14">C104</f>
        <v>2</v>
      </c>
      <c r="H56" s="251">
        <f t="shared" si="14"/>
        <v>2.9830508474576201</v>
      </c>
      <c r="I56" s="242">
        <f>(H56-G56)/8</f>
        <v>0.12288135593220251</v>
      </c>
      <c r="J56" s="41">
        <v>2.2000000000000002</v>
      </c>
      <c r="K56" s="64">
        <f>D56*E56*F56</f>
        <v>2676.8436735608593</v>
      </c>
      <c r="L56" s="64">
        <f>D56*F56*E56*J56</f>
        <v>5889.0560818338918</v>
      </c>
      <c r="M56" s="1"/>
      <c r="N56" s="252">
        <f>F56*J56</f>
        <v>0.11000000000000001</v>
      </c>
      <c r="O56" s="253">
        <f>P56/J56</f>
        <v>3443.3943618987428</v>
      </c>
      <c r="P56" s="253">
        <f>F56*$N$60*$E$60</f>
        <v>7575.4675961772346</v>
      </c>
    </row>
    <row r="57" spans="1:16">
      <c r="A57" s="12" t="s">
        <v>576</v>
      </c>
      <c r="B57" s="12" t="s">
        <v>577</v>
      </c>
      <c r="C57" s="12" t="str">
        <f>C56</f>
        <v xml:space="preserve">Electricity </v>
      </c>
      <c r="D57" s="239"/>
      <c r="E57" s="244"/>
      <c r="F57" s="241">
        <v>0.60000000000000009</v>
      </c>
      <c r="G57" s="251">
        <f t="shared" si="14"/>
        <v>3</v>
      </c>
      <c r="H57" s="251">
        <f t="shared" si="14"/>
        <v>4.2288135593220302</v>
      </c>
      <c r="I57" s="242">
        <f>(H57-G57)/8</f>
        <v>0.15360169491525377</v>
      </c>
      <c r="J57" s="41">
        <v>3.1</v>
      </c>
      <c r="K57" s="64">
        <f>D56*E56*F57</f>
        <v>32122.124082730315</v>
      </c>
      <c r="L57" s="64">
        <f>D56*F57*E56*J57</f>
        <v>99578.584656463994</v>
      </c>
      <c r="M57" s="1"/>
      <c r="N57" s="252">
        <f>F57*J57</f>
        <v>1.8600000000000003</v>
      </c>
      <c r="O57" s="253">
        <f>P57/J57</f>
        <v>29324.390694879618</v>
      </c>
      <c r="P57" s="253">
        <f>F57*$N$60*$E$60</f>
        <v>90905.611154126818</v>
      </c>
    </row>
    <row r="58" spans="1:16">
      <c r="A58" s="12" t="s">
        <v>578</v>
      </c>
      <c r="B58" s="12" t="s">
        <v>579</v>
      </c>
      <c r="C58" s="12" t="str">
        <f t="shared" ref="C58:C59" si="15">C57</f>
        <v xml:space="preserve">Electricity </v>
      </c>
      <c r="D58" s="239"/>
      <c r="E58" s="244"/>
      <c r="F58" s="241">
        <v>0.2</v>
      </c>
      <c r="G58" s="251">
        <f t="shared" si="14"/>
        <v>2.2000000000000002</v>
      </c>
      <c r="H58" s="251">
        <f t="shared" si="14"/>
        <v>3.2813559322033901</v>
      </c>
      <c r="I58" s="242">
        <f>(H58-G58)/8</f>
        <v>0.13516949152542374</v>
      </c>
      <c r="J58" s="41">
        <v>2.5</v>
      </c>
      <c r="K58" s="64">
        <f>D56*E56*F58</f>
        <v>10707.374694243437</v>
      </c>
      <c r="L58" s="64">
        <f>D56*F58*E56*J58</f>
        <v>26768.436735608597</v>
      </c>
      <c r="M58" s="1"/>
      <c r="N58" s="252">
        <f>F58*J58</f>
        <v>0.5</v>
      </c>
      <c r="O58" s="253">
        <f>P58/J58</f>
        <v>12120.748153883575</v>
      </c>
      <c r="P58" s="253">
        <f>F58*$N$60*$E$60</f>
        <v>30301.870384708938</v>
      </c>
    </row>
    <row r="59" spans="1:16">
      <c r="A59" s="12" t="s">
        <v>580</v>
      </c>
      <c r="B59" s="12" t="s">
        <v>581</v>
      </c>
      <c r="C59" s="12" t="str">
        <f t="shared" si="15"/>
        <v xml:space="preserve">Electricity </v>
      </c>
      <c r="D59" s="239"/>
      <c r="E59" s="244"/>
      <c r="F59" s="241">
        <v>0.15</v>
      </c>
      <c r="G59" s="251">
        <f t="shared" si="14"/>
        <v>2</v>
      </c>
      <c r="H59" s="251">
        <f t="shared" si="14"/>
        <v>3.2288135593220302</v>
      </c>
      <c r="I59" s="242">
        <f>(H59-G59)/8</f>
        <v>0.15360169491525377</v>
      </c>
      <c r="J59" s="41">
        <v>2.4</v>
      </c>
      <c r="K59" s="64">
        <f>D56*E56*F59</f>
        <v>8030.5310206825779</v>
      </c>
      <c r="L59" s="64">
        <f>D56*F59*E56*J59</f>
        <v>19273.274449638189</v>
      </c>
      <c r="M59" s="1"/>
      <c r="N59" s="252">
        <f>F59*J59</f>
        <v>0.36</v>
      </c>
      <c r="O59" s="253">
        <f>P59/J59</f>
        <v>9469.3344952215411</v>
      </c>
      <c r="P59" s="253">
        <f>F59*$N$60*$E$60</f>
        <v>22726.402788531697</v>
      </c>
    </row>
    <row r="60" spans="1:16" s="255" customFormat="1">
      <c r="A60" s="254"/>
      <c r="B60" s="254" t="s">
        <v>224</v>
      </c>
      <c r="C60" s="255" t="s">
        <v>224</v>
      </c>
      <c r="D60" s="256"/>
      <c r="E60" s="257">
        <f>D56*E56</f>
        <v>53536.873471217186</v>
      </c>
      <c r="F60" s="258">
        <f>SUM(F56:F59)</f>
        <v>1</v>
      </c>
      <c r="G60" s="258"/>
      <c r="H60" s="258"/>
      <c r="I60" s="258"/>
      <c r="J60" s="259"/>
      <c r="K60" s="260">
        <f>SUM(K56:K59)</f>
        <v>53536.873471217186</v>
      </c>
      <c r="L60" s="260">
        <f>SUM(L56:L59)</f>
        <v>151509.35192354466</v>
      </c>
      <c r="M60" s="1"/>
      <c r="N60" s="261">
        <f>SUM(N56:N59)</f>
        <v>2.8300000000000005</v>
      </c>
      <c r="O60" s="262">
        <f>SUM(O56:O59)</f>
        <v>54357.867705883473</v>
      </c>
      <c r="P60" s="262">
        <f>SUM(P56:P59)</f>
        <v>151509.35192354469</v>
      </c>
    </row>
    <row r="61" spans="1:16">
      <c r="D61" s="172"/>
      <c r="E61" s="263"/>
      <c r="F61" s="263"/>
      <c r="G61" s="263"/>
      <c r="H61" s="263"/>
      <c r="I61" s="263"/>
      <c r="J61" s="41"/>
      <c r="K61" s="41"/>
      <c r="M61" s="1"/>
    </row>
    <row r="62" spans="1:16" ht="38.25">
      <c r="A62" s="245" t="s">
        <v>150</v>
      </c>
      <c r="B62" s="246" t="s">
        <v>532</v>
      </c>
      <c r="C62" s="246" t="s">
        <v>533</v>
      </c>
      <c r="D62" s="236" t="str">
        <f>D55</f>
        <v>Total fuel consumption in 2012/TJ</v>
      </c>
      <c r="E62" s="237" t="s">
        <v>535</v>
      </c>
      <c r="F62" s="237" t="s">
        <v>536</v>
      </c>
      <c r="G62" s="238" t="s">
        <v>568</v>
      </c>
      <c r="H62" s="237" t="s">
        <v>569</v>
      </c>
      <c r="I62" s="237"/>
      <c r="J62" s="238" t="s">
        <v>570</v>
      </c>
      <c r="K62" s="237" t="s">
        <v>541</v>
      </c>
      <c r="L62" s="237" t="s">
        <v>542</v>
      </c>
      <c r="M62" s="1"/>
    </row>
    <row r="63" spans="1:16">
      <c r="A63" s="12" t="s">
        <v>582</v>
      </c>
      <c r="B63" s="12"/>
      <c r="C63" s="12" t="str">
        <f>C56</f>
        <v xml:space="preserve">Electricity </v>
      </c>
      <c r="D63" s="624">
        <f>VLOOKUP($C63,'End use share 2006c'!$A$3:$B$11,2,)</f>
        <v>162539.27368122499</v>
      </c>
      <c r="E63" s="625">
        <f>VLOOKUP($C63,'End use share 2006c'!$A$35:$J$42,6,)</f>
        <v>0.19733027907087305</v>
      </c>
      <c r="F63" s="220">
        <v>1</v>
      </c>
      <c r="G63" s="264">
        <f>C117</f>
        <v>1</v>
      </c>
      <c r="H63" s="264">
        <f>D117</f>
        <v>1</v>
      </c>
      <c r="I63" s="264"/>
      <c r="J63" s="41">
        <v>1</v>
      </c>
      <c r="K63" s="64">
        <f>D63*E63*F63</f>
        <v>32073.92023549314</v>
      </c>
      <c r="L63" s="64">
        <f>D63*F63*E63*J63</f>
        <v>32073.92023549314</v>
      </c>
      <c r="M63" s="1"/>
    </row>
    <row r="64" spans="1:16">
      <c r="D64" s="172"/>
      <c r="E64" s="263"/>
      <c r="F64" s="265"/>
      <c r="G64" s="265"/>
      <c r="H64" s="265"/>
      <c r="I64" s="265"/>
      <c r="J64" s="266"/>
      <c r="K64" s="267"/>
      <c r="L64" s="267"/>
      <c r="M64" s="267"/>
    </row>
    <row r="65" spans="1:28" s="234" customFormat="1">
      <c r="A65" s="229" t="s">
        <v>583</v>
      </c>
      <c r="D65" s="268"/>
      <c r="E65" s="269"/>
      <c r="F65" s="270"/>
      <c r="G65" s="270"/>
      <c r="H65" s="270"/>
      <c r="I65" s="270"/>
      <c r="J65" s="271"/>
      <c r="K65" s="272"/>
      <c r="L65" s="272"/>
      <c r="M65" s="272"/>
      <c r="N65" s="272"/>
    </row>
    <row r="66" spans="1:28" ht="13.5" customHeight="1">
      <c r="D66" s="172"/>
      <c r="E66" s="263"/>
      <c r="F66" s="265"/>
      <c r="G66" s="265"/>
      <c r="H66" s="265"/>
      <c r="I66" s="265"/>
      <c r="J66" s="266"/>
      <c r="K66" s="267"/>
      <c r="L66" s="267"/>
      <c r="M66" s="267"/>
      <c r="N66" s="798" t="s">
        <v>567</v>
      </c>
      <c r="O66" s="798"/>
      <c r="P66" s="798"/>
    </row>
    <row r="67" spans="1:28" ht="38.25">
      <c r="A67" s="245" t="s">
        <v>148</v>
      </c>
      <c r="B67" s="246" t="s">
        <v>532</v>
      </c>
      <c r="C67" s="246" t="s">
        <v>533</v>
      </c>
      <c r="D67" s="236" t="str">
        <f>D62</f>
        <v>Total fuel consumption in 2012/TJ</v>
      </c>
      <c r="E67" s="273" t="s">
        <v>535</v>
      </c>
      <c r="F67" s="237" t="s">
        <v>536</v>
      </c>
      <c r="G67" s="237" t="s">
        <v>584</v>
      </c>
      <c r="H67" s="237" t="s">
        <v>585</v>
      </c>
      <c r="I67" s="237"/>
      <c r="J67" s="237" t="s">
        <v>586</v>
      </c>
      <c r="K67" s="237" t="s">
        <v>541</v>
      </c>
      <c r="L67" s="237" t="s">
        <v>542</v>
      </c>
      <c r="M67" s="1"/>
      <c r="N67" s="237" t="s">
        <v>571</v>
      </c>
      <c r="O67" s="250" t="s">
        <v>572</v>
      </c>
      <c r="P67" s="250" t="s">
        <v>573</v>
      </c>
    </row>
    <row r="68" spans="1:28">
      <c r="A68" s="12" t="s">
        <v>587</v>
      </c>
      <c r="B68" s="74" t="s">
        <v>588</v>
      </c>
      <c r="C68" s="12" t="str">
        <f>C63</f>
        <v xml:space="preserve">Electricity </v>
      </c>
      <c r="D68" s="624">
        <f>VLOOKUP($C68,'End use share 2006c'!$A$3:$B$11,2,)</f>
        <v>162539.27368122499</v>
      </c>
      <c r="E68" s="625">
        <f>VLOOKUP($C68,'End use share 2006c'!$A$35:$J$42,2,)</f>
        <v>0.17828065881507271</v>
      </c>
      <c r="F68" s="241">
        <v>0.06</v>
      </c>
      <c r="G68" s="264">
        <f t="shared" ref="G68:H72" si="16">C110</f>
        <v>4</v>
      </c>
      <c r="H68" s="264">
        <f t="shared" si="16"/>
        <v>4</v>
      </c>
      <c r="I68" s="242">
        <f>(H68-G68)/8</f>
        <v>0</v>
      </c>
      <c r="J68" s="41">
        <v>4</v>
      </c>
      <c r="K68" s="64">
        <f>D68*E68*F68</f>
        <v>1738.656527712732</v>
      </c>
      <c r="L68" s="64">
        <f>D68*F68*E68*J68</f>
        <v>6954.6261108509279</v>
      </c>
      <c r="M68" s="1"/>
      <c r="N68" s="252">
        <f>F68*J68</f>
        <v>0.24</v>
      </c>
      <c r="O68" s="253">
        <f>P68/J68</f>
        <v>1977.7218002732325</v>
      </c>
      <c r="P68" s="253">
        <f>F68*$N$73*$E$73</f>
        <v>7910.8872010929299</v>
      </c>
    </row>
    <row r="69" spans="1:28">
      <c r="A69" s="12" t="s">
        <v>589</v>
      </c>
      <c r="B69" s="74" t="s">
        <v>590</v>
      </c>
      <c r="C69" s="12" t="str">
        <f>C68</f>
        <v xml:space="preserve">Electricity </v>
      </c>
      <c r="D69" s="239"/>
      <c r="E69" s="244"/>
      <c r="F69" s="241">
        <v>0.7</v>
      </c>
      <c r="G69" s="264">
        <f t="shared" si="16"/>
        <v>4.5</v>
      </c>
      <c r="H69" s="264">
        <f t="shared" si="16"/>
        <v>4.5</v>
      </c>
      <c r="I69" s="242">
        <f>(H69-G69)/8</f>
        <v>0</v>
      </c>
      <c r="J69" s="41">
        <v>4.5</v>
      </c>
      <c r="K69" s="64">
        <f>D68*E68*F69</f>
        <v>20284.326156648538</v>
      </c>
      <c r="L69" s="64">
        <f>D68*F69*E68*J69</f>
        <v>91279.467704918425</v>
      </c>
      <c r="M69" s="1"/>
      <c r="N69" s="252">
        <f>F69*J69</f>
        <v>3.15</v>
      </c>
      <c r="O69" s="253">
        <f>P69/J69</f>
        <v>20509.707558389076</v>
      </c>
      <c r="P69" s="253">
        <f>F69*$N$73*$E$73</f>
        <v>92293.684012750848</v>
      </c>
      <c r="S69" s="255" t="s">
        <v>841</v>
      </c>
    </row>
    <row r="70" spans="1:28">
      <c r="A70" s="12" t="s">
        <v>591</v>
      </c>
      <c r="B70" s="74" t="s">
        <v>592</v>
      </c>
      <c r="C70" s="12" t="str">
        <f t="shared" ref="C70:C72" si="17">C69</f>
        <v xml:space="preserve">Electricity </v>
      </c>
      <c r="D70" s="239"/>
      <c r="E70" s="244"/>
      <c r="F70" s="241">
        <v>0.02</v>
      </c>
      <c r="G70" s="264">
        <f t="shared" si="16"/>
        <v>2</v>
      </c>
      <c r="H70" s="264">
        <f t="shared" si="16"/>
        <v>2</v>
      </c>
      <c r="I70" s="242">
        <f>(H70-G70)/8</f>
        <v>0</v>
      </c>
      <c r="J70" s="41">
        <v>2</v>
      </c>
      <c r="K70" s="64">
        <f>D68*E68*F70</f>
        <v>579.552175904244</v>
      </c>
      <c r="L70" s="64">
        <f>D68*F70*E68*J70</f>
        <v>1159.104351808488</v>
      </c>
      <c r="M70" s="1"/>
      <c r="N70" s="252">
        <f>F70*J70</f>
        <v>0.04</v>
      </c>
      <c r="O70" s="253">
        <f>P70/J70</f>
        <v>1318.4812001821551</v>
      </c>
      <c r="P70" s="253">
        <f>F70*$N$73*$E$73</f>
        <v>2636.9624003643103</v>
      </c>
      <c r="S70" s="255" t="s">
        <v>842</v>
      </c>
    </row>
    <row r="71" spans="1:28">
      <c r="A71" s="12" t="s">
        <v>593</v>
      </c>
      <c r="B71" s="74" t="s">
        <v>594</v>
      </c>
      <c r="C71" s="12" t="str">
        <f t="shared" si="17"/>
        <v xml:space="preserve">Electricity </v>
      </c>
      <c r="D71" s="239"/>
      <c r="E71" s="244"/>
      <c r="F71" s="241">
        <v>0.15</v>
      </c>
      <c r="G71" s="264">
        <f t="shared" si="16"/>
        <v>7</v>
      </c>
      <c r="H71" s="264">
        <f t="shared" si="16"/>
        <v>7</v>
      </c>
      <c r="I71" s="242">
        <f>(H71-G71)/8</f>
        <v>0</v>
      </c>
      <c r="J71" s="41">
        <v>7</v>
      </c>
      <c r="K71" s="64">
        <f>D68*E68*F71</f>
        <v>4346.64131928183</v>
      </c>
      <c r="L71" s="64">
        <f>D68*F71*E68*J71</f>
        <v>30426.489234972811</v>
      </c>
      <c r="M71" s="1"/>
      <c r="N71" s="252">
        <f>F71*J71</f>
        <v>1.05</v>
      </c>
      <c r="O71" s="253">
        <f>P71/J71</f>
        <v>2825.3168575331897</v>
      </c>
      <c r="P71" s="253">
        <f>F71*$N$73*$E$73</f>
        <v>19777.218002732327</v>
      </c>
      <c r="U71" s="443" t="s">
        <v>840</v>
      </c>
      <c r="V71" s="441"/>
      <c r="W71" s="441"/>
      <c r="X71" s="442"/>
      <c r="Z71" s="495" t="s">
        <v>981</v>
      </c>
      <c r="AA71" s="441"/>
      <c r="AB71" s="442"/>
    </row>
    <row r="72" spans="1:28">
      <c r="A72" s="12" t="s">
        <v>595</v>
      </c>
      <c r="B72" s="74" t="s">
        <v>596</v>
      </c>
      <c r="C72" s="12" t="str">
        <f t="shared" si="17"/>
        <v xml:space="preserve">Electricity </v>
      </c>
      <c r="D72" s="239"/>
      <c r="E72" s="244"/>
      <c r="F72" s="241">
        <v>7.0000000000000007E-2</v>
      </c>
      <c r="G72" s="264">
        <f t="shared" si="16"/>
        <v>1</v>
      </c>
      <c r="H72" s="264">
        <f t="shared" si="16"/>
        <v>1</v>
      </c>
      <c r="I72" s="242">
        <f>(H72-G72)/8</f>
        <v>0</v>
      </c>
      <c r="J72" s="41">
        <v>1</v>
      </c>
      <c r="K72" s="64">
        <f>D68*E68*F72</f>
        <v>2028.4326156648542</v>
      </c>
      <c r="L72" s="64">
        <f>D68*F72*E68*J72</f>
        <v>2028.4326156648542</v>
      </c>
      <c r="M72" s="1"/>
      <c r="N72" s="252">
        <f>F72*J72</f>
        <v>7.0000000000000007E-2</v>
      </c>
      <c r="O72" s="253">
        <f>P72/J72</f>
        <v>9229.3684012750855</v>
      </c>
      <c r="P72" s="253">
        <f>F72*$N$73*$E$73</f>
        <v>9229.3684012750855</v>
      </c>
      <c r="R72" s="1" t="s">
        <v>843</v>
      </c>
      <c r="S72" s="1" t="s">
        <v>830</v>
      </c>
      <c r="X72" s="444"/>
      <c r="Z72" s="443"/>
      <c r="AB72" s="444"/>
    </row>
    <row r="73" spans="1:28" s="255" customFormat="1">
      <c r="C73" s="255" t="s">
        <v>224</v>
      </c>
      <c r="D73" s="274"/>
      <c r="E73" s="257">
        <f>E68*D68</f>
        <v>28977.6087952122</v>
      </c>
      <c r="F73" s="258">
        <f>SUM(F68:F72)</f>
        <v>1</v>
      </c>
      <c r="G73" s="258"/>
      <c r="H73" s="258"/>
      <c r="I73" s="258"/>
      <c r="J73" s="259"/>
      <c r="K73" s="260">
        <f>SUM(K68:K72)</f>
        <v>28977.608795212196</v>
      </c>
      <c r="L73" s="260">
        <f>SUM(L68:L72)</f>
        <v>131848.1200182155</v>
      </c>
      <c r="N73" s="252">
        <f>SUM(N68:N72)</f>
        <v>4.55</v>
      </c>
      <c r="O73" s="253">
        <f>SUM(O68:O72)</f>
        <v>35860.595817652742</v>
      </c>
      <c r="P73" s="253">
        <f>SUM(P68:P72)</f>
        <v>131848.1200182155</v>
      </c>
      <c r="U73" s="445"/>
      <c r="V73" s="255" t="s">
        <v>835</v>
      </c>
      <c r="X73" s="446"/>
      <c r="Z73" s="445"/>
      <c r="AB73" s="446"/>
    </row>
    <row r="74" spans="1:28" s="255" customFormat="1">
      <c r="A74" s="631" t="s">
        <v>810</v>
      </c>
      <c r="C74" s="1"/>
      <c r="D74" s="274"/>
      <c r="E74" s="431"/>
      <c r="F74" s="432"/>
      <c r="G74" s="432"/>
      <c r="H74" s="432"/>
      <c r="I74" s="432"/>
      <c r="J74" s="433"/>
      <c r="K74" s="434"/>
      <c r="L74" s="434"/>
      <c r="N74" s="435"/>
      <c r="O74" s="436"/>
      <c r="P74" s="436"/>
      <c r="U74" s="445"/>
      <c r="X74" s="446"/>
      <c r="Z74" s="445"/>
      <c r="AB74" s="446"/>
    </row>
    <row r="75" spans="1:28" s="255" customFormat="1">
      <c r="A75" s="1" t="s">
        <v>823</v>
      </c>
      <c r="B75" s="1" t="s">
        <v>898</v>
      </c>
      <c r="C75" s="12" t="s">
        <v>137</v>
      </c>
      <c r="D75" s="274"/>
      <c r="E75" s="431"/>
      <c r="F75" s="451">
        <f>AA78</f>
        <v>4.9630008962625594E-2</v>
      </c>
      <c r="H75" s="439">
        <f>G72</f>
        <v>1</v>
      </c>
      <c r="I75" s="432"/>
      <c r="J75" s="439">
        <f t="shared" ref="J75:J80" si="18">H75</f>
        <v>1</v>
      </c>
      <c r="K75" s="434"/>
      <c r="L75" s="434"/>
      <c r="N75" s="435"/>
      <c r="O75" s="436"/>
      <c r="P75" s="436"/>
      <c r="R75" s="432">
        <f>S75/H75</f>
        <v>0.05</v>
      </c>
      <c r="S75" s="437">
        <v>0.05</v>
      </c>
      <c r="U75" s="445" t="s">
        <v>831</v>
      </c>
      <c r="V75" s="255" t="s">
        <v>833</v>
      </c>
      <c r="W75" s="255">
        <f>130/20</f>
        <v>6.5</v>
      </c>
      <c r="X75" s="446"/>
      <c r="Z75" s="443" t="s">
        <v>982</v>
      </c>
      <c r="AA75" s="496">
        <v>0.62760781171717339</v>
      </c>
      <c r="AB75" s="446"/>
    </row>
    <row r="76" spans="1:28" s="255" customFormat="1">
      <c r="A76" s="1" t="s">
        <v>824</v>
      </c>
      <c r="B76" s="1" t="s">
        <v>899</v>
      </c>
      <c r="C76" s="1" t="s">
        <v>137</v>
      </c>
      <c r="D76" s="274"/>
      <c r="E76" s="431"/>
      <c r="F76" s="451">
        <f>AA79</f>
        <v>4.9630008962625594E-2</v>
      </c>
      <c r="H76" s="439">
        <f>G70</f>
        <v>2</v>
      </c>
      <c r="I76" s="432"/>
      <c r="J76" s="439">
        <f t="shared" si="18"/>
        <v>2</v>
      </c>
      <c r="K76" s="434"/>
      <c r="L76" s="434"/>
      <c r="N76" s="435"/>
      <c r="O76" s="436"/>
      <c r="P76" s="436"/>
      <c r="R76" s="432">
        <f t="shared" ref="R76:R80" si="19">S76/H76</f>
        <v>2.5000000000000001E-2</v>
      </c>
      <c r="S76" s="437">
        <v>0.05</v>
      </c>
      <c r="U76" s="445" t="s">
        <v>832</v>
      </c>
      <c r="V76" s="255" t="s">
        <v>834</v>
      </c>
      <c r="W76" s="255">
        <f>48/20</f>
        <v>2.4</v>
      </c>
      <c r="X76" s="446"/>
      <c r="Z76" s="443" t="s">
        <v>983</v>
      </c>
      <c r="AA76" s="497">
        <v>0.26384331575196845</v>
      </c>
      <c r="AB76" s="446"/>
    </row>
    <row r="77" spans="1:28" s="255" customFormat="1">
      <c r="A77" s="1" t="s">
        <v>825</v>
      </c>
      <c r="B77" s="1" t="s">
        <v>985</v>
      </c>
      <c r="C77" s="1" t="str">
        <f>C68</f>
        <v xml:space="preserve">Electricity </v>
      </c>
      <c r="D77" s="274"/>
      <c r="E77" s="431"/>
      <c r="F77" s="451">
        <f>AA75</f>
        <v>0.62760781171717339</v>
      </c>
      <c r="H77" s="439">
        <f>W76</f>
        <v>2.4</v>
      </c>
      <c r="I77" s="432"/>
      <c r="J77" s="439">
        <f t="shared" si="18"/>
        <v>2.4</v>
      </c>
      <c r="K77" s="434"/>
      <c r="L77" s="434"/>
      <c r="N77" s="435"/>
      <c r="O77" s="436"/>
      <c r="P77" s="436"/>
      <c r="R77" s="432">
        <f t="shared" si="19"/>
        <v>0.16666666666666669</v>
      </c>
      <c r="S77" s="437">
        <v>0.4</v>
      </c>
      <c r="U77" s="445" t="s">
        <v>836</v>
      </c>
      <c r="V77" s="447" t="s">
        <v>837</v>
      </c>
      <c r="W77" s="255">
        <v>1</v>
      </c>
      <c r="X77" s="446"/>
      <c r="Z77" s="443" t="s">
        <v>984</v>
      </c>
      <c r="AA77" s="497">
        <v>9.2888546056069232E-3</v>
      </c>
      <c r="AB77" s="446"/>
    </row>
    <row r="78" spans="1:28" s="255" customFormat="1">
      <c r="A78" s="1" t="s">
        <v>826</v>
      </c>
      <c r="B78" s="1" t="s">
        <v>831</v>
      </c>
      <c r="C78" s="1" t="str">
        <f>C77</f>
        <v xml:space="preserve">Electricity </v>
      </c>
      <c r="D78" s="274"/>
      <c r="E78" s="431"/>
      <c r="F78" s="451">
        <f>AA76</f>
        <v>0.26384331575196845</v>
      </c>
      <c r="H78" s="439">
        <f>W75</f>
        <v>6.5</v>
      </c>
      <c r="I78" s="432"/>
      <c r="J78" s="439">
        <f t="shared" si="18"/>
        <v>6.5</v>
      </c>
      <c r="K78" s="434"/>
      <c r="L78" s="434"/>
      <c r="N78" s="435"/>
      <c r="O78" s="436"/>
      <c r="P78" s="436"/>
      <c r="R78" s="432">
        <f t="shared" si="19"/>
        <v>6.9230769230769235E-2</v>
      </c>
      <c r="S78" s="437">
        <v>0.45</v>
      </c>
      <c r="U78" s="445" t="s">
        <v>839</v>
      </c>
      <c r="V78" s="255" t="s">
        <v>838</v>
      </c>
      <c r="W78" s="255">
        <f>100/20</f>
        <v>5</v>
      </c>
      <c r="X78" s="446"/>
      <c r="Z78" s="445" t="s">
        <v>987</v>
      </c>
      <c r="AA78" s="498">
        <f>(1-SUM($AA$75:$AA$77))/2</f>
        <v>4.9630008962625594E-2</v>
      </c>
      <c r="AB78" s="446" t="s">
        <v>986</v>
      </c>
    </row>
    <row r="79" spans="1:28" s="255" customFormat="1">
      <c r="A79" s="1" t="s">
        <v>827</v>
      </c>
      <c r="B79" s="1" t="s">
        <v>897</v>
      </c>
      <c r="C79" s="1" t="str">
        <f>C78</f>
        <v xml:space="preserve">Electricity </v>
      </c>
      <c r="D79" s="274"/>
      <c r="E79" s="275"/>
      <c r="F79" s="451">
        <f>AA77</f>
        <v>9.2888546056069232E-3</v>
      </c>
      <c r="H79" s="439">
        <f>W78</f>
        <v>5</v>
      </c>
      <c r="I79" s="432"/>
      <c r="J79" s="439">
        <f t="shared" si="18"/>
        <v>5</v>
      </c>
      <c r="K79" s="434"/>
      <c r="L79" s="434"/>
      <c r="N79" s="435"/>
      <c r="O79" s="436"/>
      <c r="P79" s="436"/>
      <c r="R79" s="432">
        <f t="shared" si="19"/>
        <v>0.01</v>
      </c>
      <c r="S79" s="438">
        <v>0.05</v>
      </c>
      <c r="U79" s="448"/>
      <c r="V79" s="449"/>
      <c r="W79" s="449"/>
      <c r="X79" s="450"/>
      <c r="Z79" s="448" t="s">
        <v>988</v>
      </c>
      <c r="AA79" s="498">
        <f>(1-SUM($AA$75:$AA$77))/2</f>
        <v>4.9630008962625594E-2</v>
      </c>
      <c r="AB79" s="450" t="s">
        <v>986</v>
      </c>
    </row>
    <row r="80" spans="1:28" s="255" customFormat="1">
      <c r="A80" s="1" t="s">
        <v>829</v>
      </c>
      <c r="B80" s="1" t="s">
        <v>828</v>
      </c>
      <c r="C80" s="1" t="str">
        <f>C79</f>
        <v xml:space="preserve">Electricity </v>
      </c>
      <c r="D80" s="274"/>
      <c r="E80" s="275"/>
      <c r="F80" s="451">
        <f t="shared" ref="F80" si="20">R80/SUM($R$75:$R$80)</f>
        <v>0</v>
      </c>
      <c r="H80" s="440">
        <v>9.8000000000000007</v>
      </c>
      <c r="I80" s="276"/>
      <c r="J80" s="439">
        <f t="shared" si="18"/>
        <v>9.8000000000000007</v>
      </c>
      <c r="K80" s="278"/>
      <c r="L80" s="278"/>
      <c r="R80" s="432">
        <f t="shared" si="19"/>
        <v>0</v>
      </c>
      <c r="S80" s="438">
        <v>0</v>
      </c>
    </row>
    <row r="81" spans="1:27" s="255" customFormat="1">
      <c r="G81" s="276"/>
      <c r="H81" s="276"/>
      <c r="I81" s="276"/>
      <c r="J81" s="277"/>
      <c r="K81" s="278"/>
      <c r="L81" s="278"/>
      <c r="R81" s="497"/>
      <c r="S81" s="636"/>
      <c r="AA81" s="635">
        <f>SUM(AA75:AA79)</f>
        <v>1</v>
      </c>
    </row>
    <row r="82" spans="1:27" s="255" customFormat="1">
      <c r="A82" s="1"/>
      <c r="B82" s="1"/>
      <c r="C82" s="1"/>
      <c r="D82" s="274"/>
      <c r="E82" s="275"/>
      <c r="F82" s="499">
        <f>SUM(F75:F80)</f>
        <v>1</v>
      </c>
      <c r="G82" s="276"/>
      <c r="H82" s="276"/>
      <c r="I82" s="276"/>
      <c r="J82" s="277"/>
      <c r="K82" s="278"/>
      <c r="L82" s="278"/>
    </row>
    <row r="83" spans="1:27" s="234" customFormat="1">
      <c r="A83" s="229" t="s">
        <v>597</v>
      </c>
      <c r="D83" s="268"/>
      <c r="E83" s="269"/>
      <c r="F83" s="270"/>
      <c r="G83" s="270"/>
      <c r="H83" s="270"/>
      <c r="I83" s="270"/>
      <c r="J83" s="271"/>
      <c r="K83" s="272"/>
      <c r="L83" s="272"/>
      <c r="M83" s="272"/>
      <c r="N83" s="272"/>
    </row>
    <row r="84" spans="1:27">
      <c r="A84" s="48"/>
      <c r="D84" s="172"/>
      <c r="E84" s="263"/>
      <c r="F84" s="265"/>
      <c r="G84" s="265"/>
      <c r="H84" s="265"/>
      <c r="I84" s="265"/>
      <c r="J84" s="266"/>
      <c r="K84" s="267"/>
      <c r="L84" s="267"/>
      <c r="M84" s="267"/>
      <c r="N84" s="267"/>
    </row>
    <row r="85" spans="1:27" ht="38.25">
      <c r="A85" s="9" t="s">
        <v>224</v>
      </c>
      <c r="B85" s="250" t="s">
        <v>598</v>
      </c>
      <c r="C85" s="250" t="s">
        <v>599</v>
      </c>
      <c r="D85" s="622" t="s">
        <v>1284</v>
      </c>
      <c r="E85" s="623" t="s">
        <v>1285</v>
      </c>
      <c r="F85" s="250" t="s">
        <v>1286</v>
      </c>
      <c r="G85" s="250" t="s">
        <v>1287</v>
      </c>
      <c r="H85" s="250" t="s">
        <v>1288</v>
      </c>
      <c r="I85" s="250"/>
      <c r="L85" s="1"/>
      <c r="M85" s="1"/>
    </row>
    <row r="86" spans="1:27">
      <c r="A86" s="9"/>
      <c r="B86" s="14" t="s">
        <v>605</v>
      </c>
      <c r="C86" s="14" t="s">
        <v>605</v>
      </c>
      <c r="D86" s="279" t="s">
        <v>605</v>
      </c>
      <c r="E86" s="14" t="s">
        <v>605</v>
      </c>
      <c r="F86" s="14" t="s">
        <v>605</v>
      </c>
      <c r="G86" s="14" t="s">
        <v>605</v>
      </c>
      <c r="H86" s="14" t="s">
        <v>605</v>
      </c>
      <c r="I86" s="14"/>
      <c r="L86" s="1"/>
      <c r="M86" s="1"/>
    </row>
    <row r="87" spans="1:27">
      <c r="A87" s="12" t="s">
        <v>531</v>
      </c>
      <c r="B87" s="280">
        <f>'End use share 1994'!D25</f>
        <v>197.77265745007682</v>
      </c>
      <c r="C87" s="280">
        <f>'End use share 2001'!C30</f>
        <v>165.62422630478213</v>
      </c>
      <c r="D87" s="281">
        <f>'End use share 2006c'!C29</f>
        <v>85.604129326719132</v>
      </c>
      <c r="E87" s="100">
        <f>K19/'floor space forecast_SA'!$C$34</f>
        <v>92.671378224132212</v>
      </c>
      <c r="F87" s="100">
        <f>L19/'floor space forecast_SA'!$C$40</f>
        <v>61.00009193315806</v>
      </c>
      <c r="G87" s="100"/>
      <c r="H87" s="100"/>
      <c r="I87" s="100"/>
      <c r="L87" s="1"/>
      <c r="M87" s="1"/>
    </row>
    <row r="88" spans="1:27">
      <c r="A88" s="12" t="s">
        <v>551</v>
      </c>
      <c r="B88" s="280">
        <f>'End use share 1994'!E25</f>
        <v>170.56067588325652</v>
      </c>
      <c r="C88" s="280">
        <f>'End use share 2001'!D30</f>
        <v>121.4395134703916</v>
      </c>
      <c r="D88" s="281">
        <f>'End use share 2006c'!D29</f>
        <v>108.96184669609595</v>
      </c>
      <c r="E88" s="100">
        <f>K30/'floor space forecast_SA'!$C$34</f>
        <v>97.057176274451351</v>
      </c>
      <c r="F88" s="100">
        <f>L30/'floor space forecast_SA'!$C$40</f>
        <v>73.731716488108489</v>
      </c>
      <c r="G88" s="100"/>
      <c r="H88" s="100"/>
      <c r="I88" s="100"/>
      <c r="L88" s="1"/>
      <c r="M88" s="1"/>
    </row>
    <row r="89" spans="1:27">
      <c r="A89" s="12" t="s">
        <v>149</v>
      </c>
      <c r="B89" s="280">
        <f>'End use share 1994'!H25</f>
        <v>16.144393241167435</v>
      </c>
      <c r="C89" s="280">
        <f>'End use share 2001'!G30</f>
        <v>6.1728212164208811</v>
      </c>
      <c r="D89" s="281">
        <f>'End use share 2006c'!G29</f>
        <v>80.903983997986387</v>
      </c>
      <c r="E89" s="100">
        <f>K42/'floor space forecast_SA'!$C$34</f>
        <v>87.495792980522822</v>
      </c>
      <c r="F89" s="100">
        <f>L42/'floor space forecast_SA'!$C$40</f>
        <v>80.516302864408644</v>
      </c>
      <c r="G89" s="100"/>
      <c r="H89" s="100"/>
      <c r="I89" s="100"/>
      <c r="L89" s="1"/>
      <c r="M89" s="1"/>
    </row>
    <row r="90" spans="1:27">
      <c r="A90" s="12" t="s">
        <v>83</v>
      </c>
      <c r="B90" s="280">
        <f>'End use share 1994'!I25</f>
        <v>150.43010752688173</v>
      </c>
      <c r="C90" s="280">
        <f>'End use share 2001'!H30</f>
        <v>132.62365359084572</v>
      </c>
      <c r="D90" s="281">
        <f>'End use share 2006c'!J29</f>
        <v>201.94204307156565</v>
      </c>
      <c r="E90" s="100">
        <f>K51/'floor space forecast_SA'!$C$34</f>
        <v>218.61384024377767</v>
      </c>
      <c r="F90" s="100">
        <f>L51/'floor space forecast_SA'!$C$40</f>
        <v>153.02894005537163</v>
      </c>
      <c r="G90" s="100"/>
      <c r="H90" s="100"/>
      <c r="I90" s="100"/>
      <c r="L90" s="1"/>
      <c r="M90" s="1"/>
    </row>
    <row r="91" spans="1:27">
      <c r="A91" s="12" t="s">
        <v>40</v>
      </c>
      <c r="B91" s="280">
        <f>'End use share 1994'!F25</f>
        <v>352.04301075268819</v>
      </c>
      <c r="C91" s="280">
        <f>'End use share 2001'!E30</f>
        <v>315.44728348051859</v>
      </c>
      <c r="D91" s="281">
        <f>'End use share 2006c'!E29</f>
        <v>403.09209017123828</v>
      </c>
      <c r="E91" s="100">
        <f>K60/'floor space forecast_SA'!$C$34</f>
        <v>436.37029943782625</v>
      </c>
      <c r="F91" s="632">
        <f>L60/'floor space forecast_SA'!$C$40</f>
        <v>1140.7506151846044</v>
      </c>
      <c r="G91" s="100">
        <f>O60/'floor space forecast_SA'!$C$40</f>
        <v>409.27355465754391</v>
      </c>
      <c r="H91" s="100">
        <f>P60/'floor space forecast_SA'!$C$40</f>
        <v>1140.7506151846046</v>
      </c>
      <c r="I91" s="100"/>
      <c r="L91" s="1"/>
      <c r="M91" s="1"/>
    </row>
    <row r="92" spans="1:27">
      <c r="A92" s="12" t="s">
        <v>150</v>
      </c>
      <c r="B92" s="280">
        <f>'End use share 1994'!G25</f>
        <v>47.588325652841789</v>
      </c>
      <c r="C92" s="280">
        <f>'End use share 2001'!F30</f>
        <v>42.641403448060323</v>
      </c>
      <c r="D92" s="281">
        <f>'End use share 2006c'!F29</f>
        <v>241.49231565906314</v>
      </c>
      <c r="E92" s="100">
        <f>K63/'floor space forecast_SA'!$C$34</f>
        <v>261.42927798784825</v>
      </c>
      <c r="F92" s="100">
        <f>L63/'floor space forecast_SA'!$C$40</f>
        <v>241.49231565906314</v>
      </c>
      <c r="G92" s="100">
        <f>O63/'floor space forecast_SA'!$C$40</f>
        <v>0</v>
      </c>
      <c r="H92" s="100">
        <f>P63/'floor space forecast_SA'!$C$40</f>
        <v>0</v>
      </c>
      <c r="I92" s="100"/>
      <c r="L92" s="1"/>
      <c r="M92" s="1"/>
    </row>
    <row r="93" spans="1:27">
      <c r="A93" s="12" t="s">
        <v>148</v>
      </c>
      <c r="B93" s="280">
        <f>'End use share 1994'!C25</f>
        <v>215.19201228878651</v>
      </c>
      <c r="C93" s="280">
        <f>'End use share 2001'!B30</f>
        <v>192.82227918136772</v>
      </c>
      <c r="D93" s="281">
        <f>'End use share 2006c'!B29</f>
        <v>218.17943671489073</v>
      </c>
      <c r="E93" s="100">
        <f>K73/'floor space forecast_SA'!$C$34</f>
        <v>236.19174985549347</v>
      </c>
      <c r="F93" s="632">
        <f>L73/'floor space forecast_SA'!$C$40</f>
        <v>992.71643705275278</v>
      </c>
      <c r="G93" s="100">
        <f>O73/'floor space forecast_SA'!$C$40</f>
        <v>270.00311347458603</v>
      </c>
      <c r="H93" s="100">
        <f>P73/'floor space forecast_SA'!$C$40</f>
        <v>992.71643705275278</v>
      </c>
      <c r="I93" s="100"/>
      <c r="L93" s="1"/>
      <c r="M93" s="1"/>
    </row>
    <row r="94" spans="1:27">
      <c r="F94" s="41"/>
      <c r="G94" s="41"/>
      <c r="H94" s="41"/>
      <c r="I94" s="41"/>
      <c r="L94" s="1"/>
    </row>
    <row r="95" spans="1:27">
      <c r="F95" s="41"/>
      <c r="G95" s="41"/>
      <c r="H95" s="41"/>
      <c r="I95" s="41"/>
      <c r="L95" s="1"/>
    </row>
    <row r="96" spans="1:27">
      <c r="L96" s="1"/>
      <c r="M96" s="1"/>
    </row>
    <row r="97" spans="1:13" s="234" customFormat="1">
      <c r="A97" s="282" t="s">
        <v>606</v>
      </c>
      <c r="D97" s="249"/>
      <c r="M97" s="283"/>
    </row>
    <row r="98" spans="1:13">
      <c r="A98" s="1" t="s">
        <v>607</v>
      </c>
      <c r="J98" s="73"/>
      <c r="L98" s="1"/>
      <c r="M98" s="1"/>
    </row>
    <row r="99" spans="1:13">
      <c r="A99" s="1" t="s">
        <v>608</v>
      </c>
      <c r="J99" s="73"/>
      <c r="L99" s="1"/>
      <c r="M99" s="1"/>
    </row>
    <row r="100" spans="1:13">
      <c r="J100" s="73"/>
      <c r="L100" s="1"/>
      <c r="M100" s="1"/>
    </row>
    <row r="101" spans="1:13">
      <c r="A101" s="284" t="s">
        <v>609</v>
      </c>
      <c r="B101" s="148" t="s">
        <v>610</v>
      </c>
      <c r="C101" s="149" t="s">
        <v>611</v>
      </c>
      <c r="D101" s="285">
        <v>2008</v>
      </c>
      <c r="L101" s="1"/>
      <c r="M101" s="1"/>
    </row>
    <row r="102" spans="1:13">
      <c r="A102" s="284"/>
      <c r="B102" s="148"/>
      <c r="C102" s="286" t="s">
        <v>612</v>
      </c>
      <c r="D102" s="287" t="s">
        <v>613</v>
      </c>
      <c r="L102" s="1"/>
      <c r="M102" s="1"/>
    </row>
    <row r="103" spans="1:13">
      <c r="A103" s="284" t="s">
        <v>40</v>
      </c>
      <c r="B103" s="149"/>
      <c r="C103" s="149"/>
      <c r="D103" s="285"/>
      <c r="L103" s="1"/>
      <c r="M103" s="1"/>
    </row>
    <row r="104" spans="1:13">
      <c r="A104" s="288" t="s">
        <v>449</v>
      </c>
      <c r="B104" s="150" t="s">
        <v>614</v>
      </c>
      <c r="C104" s="264">
        <v>2</v>
      </c>
      <c r="D104" s="289">
        <v>2.9830508474576201</v>
      </c>
      <c r="L104" s="1"/>
      <c r="M104" s="1"/>
    </row>
    <row r="105" spans="1:13">
      <c r="A105" s="288"/>
      <c r="B105" s="150" t="s">
        <v>615</v>
      </c>
      <c r="C105" s="264">
        <v>3</v>
      </c>
      <c r="D105" s="289">
        <v>4.2288135593220302</v>
      </c>
      <c r="L105" s="1"/>
      <c r="M105" s="1"/>
    </row>
    <row r="106" spans="1:13">
      <c r="A106" s="288"/>
      <c r="B106" s="150" t="s">
        <v>616</v>
      </c>
      <c r="C106" s="264">
        <v>2.2000000000000002</v>
      </c>
      <c r="D106" s="289">
        <v>3.2813559322033901</v>
      </c>
      <c r="L106" s="1"/>
      <c r="M106" s="1"/>
    </row>
    <row r="107" spans="1:13">
      <c r="A107" s="288"/>
      <c r="B107" s="150" t="s">
        <v>617</v>
      </c>
      <c r="C107" s="264">
        <v>2</v>
      </c>
      <c r="D107" s="289">
        <v>3.2288135593220302</v>
      </c>
      <c r="L107" s="1"/>
      <c r="M107" s="1"/>
    </row>
    <row r="108" spans="1:13">
      <c r="C108" s="290"/>
      <c r="D108" s="290"/>
      <c r="L108" s="1"/>
      <c r="M108" s="1"/>
    </row>
    <row r="109" spans="1:13">
      <c r="A109" s="291" t="s">
        <v>618</v>
      </c>
      <c r="B109" s="292"/>
      <c r="C109" s="293"/>
      <c r="D109" s="294"/>
      <c r="L109" s="1"/>
      <c r="M109" s="1"/>
    </row>
    <row r="110" spans="1:13">
      <c r="A110" s="288" t="s">
        <v>449</v>
      </c>
      <c r="B110" s="150" t="s">
        <v>588</v>
      </c>
      <c r="C110" s="264">
        <v>4</v>
      </c>
      <c r="D110" s="294">
        <v>4</v>
      </c>
      <c r="L110" s="1"/>
      <c r="M110" s="1"/>
    </row>
    <row r="111" spans="1:13">
      <c r="A111" s="288"/>
      <c r="B111" s="150" t="s">
        <v>619</v>
      </c>
      <c r="C111" s="264">
        <v>4.5</v>
      </c>
      <c r="D111" s="294">
        <v>4.5</v>
      </c>
      <c r="L111" s="1"/>
      <c r="M111" s="1"/>
    </row>
    <row r="112" spans="1:13">
      <c r="A112" s="288"/>
      <c r="B112" s="150" t="s">
        <v>592</v>
      </c>
      <c r="C112" s="264">
        <v>2</v>
      </c>
      <c r="D112" s="294">
        <v>2</v>
      </c>
      <c r="L112" s="1"/>
      <c r="M112" s="1"/>
    </row>
    <row r="113" spans="1:13">
      <c r="A113" s="288"/>
      <c r="B113" s="150" t="s">
        <v>620</v>
      </c>
      <c r="C113" s="264">
        <v>7</v>
      </c>
      <c r="D113" s="294">
        <v>7</v>
      </c>
      <c r="L113" s="1"/>
      <c r="M113" s="1"/>
    </row>
    <row r="114" spans="1:13">
      <c r="A114" s="288"/>
      <c r="B114" s="150" t="s">
        <v>596</v>
      </c>
      <c r="C114" s="264">
        <v>1</v>
      </c>
      <c r="D114" s="294">
        <v>1</v>
      </c>
      <c r="L114" s="1"/>
      <c r="M114" s="1"/>
    </row>
    <row r="115" spans="1:13">
      <c r="C115" s="290"/>
      <c r="D115" s="290"/>
      <c r="L115" s="1"/>
      <c r="M115" s="1"/>
    </row>
    <row r="116" spans="1:13">
      <c r="A116" s="284" t="s">
        <v>150</v>
      </c>
      <c r="B116" s="149"/>
      <c r="C116" s="295"/>
      <c r="D116" s="296"/>
      <c r="L116" s="1"/>
      <c r="M116" s="1"/>
    </row>
    <row r="117" spans="1:13">
      <c r="A117" s="288" t="s">
        <v>449</v>
      </c>
      <c r="B117" s="150" t="s">
        <v>621</v>
      </c>
      <c r="C117" s="297">
        <v>1</v>
      </c>
      <c r="D117" s="294">
        <v>1</v>
      </c>
      <c r="L117" s="1"/>
      <c r="M117" s="1"/>
    </row>
    <row r="118" spans="1:13">
      <c r="C118" s="290"/>
      <c r="D118" s="290"/>
      <c r="L118" s="1"/>
      <c r="M118" s="1"/>
    </row>
    <row r="119" spans="1:13">
      <c r="A119" s="284" t="s">
        <v>39</v>
      </c>
      <c r="B119" s="149"/>
      <c r="C119" s="295"/>
      <c r="D119" s="296"/>
      <c r="L119" s="1"/>
      <c r="M119" s="1"/>
    </row>
    <row r="120" spans="1:13">
      <c r="A120" s="288" t="s">
        <v>449</v>
      </c>
      <c r="B120" s="150" t="s">
        <v>622</v>
      </c>
      <c r="C120" s="297">
        <v>1</v>
      </c>
      <c r="D120" s="294">
        <v>1</v>
      </c>
      <c r="L120" s="1"/>
      <c r="M120" s="1"/>
    </row>
    <row r="121" spans="1:13">
      <c r="A121" s="288" t="s">
        <v>141</v>
      </c>
      <c r="B121" s="150" t="s">
        <v>623</v>
      </c>
      <c r="C121" s="297">
        <v>0.65</v>
      </c>
      <c r="D121" s="294">
        <v>0.8</v>
      </c>
      <c r="L121" s="1"/>
      <c r="M121" s="1"/>
    </row>
    <row r="122" spans="1:13">
      <c r="A122" s="288" t="s">
        <v>142</v>
      </c>
      <c r="B122" s="150" t="s">
        <v>623</v>
      </c>
      <c r="C122" s="297"/>
      <c r="D122" s="294">
        <v>0.85</v>
      </c>
      <c r="L122" s="1"/>
      <c r="M122" s="1"/>
    </row>
    <row r="123" spans="1:13">
      <c r="A123" s="288" t="s">
        <v>624</v>
      </c>
      <c r="B123" s="150" t="s">
        <v>623</v>
      </c>
      <c r="C123" s="297">
        <v>0.75</v>
      </c>
      <c r="D123" s="294">
        <v>0.92</v>
      </c>
      <c r="L123" s="1"/>
      <c r="M123" s="1"/>
    </row>
    <row r="124" spans="1:13">
      <c r="C124" s="290"/>
      <c r="D124" s="290"/>
      <c r="L124" s="1"/>
      <c r="M124" s="1"/>
    </row>
    <row r="125" spans="1:13">
      <c r="A125" s="284" t="s">
        <v>147</v>
      </c>
      <c r="B125" s="149"/>
      <c r="C125" s="295"/>
      <c r="D125" s="296"/>
      <c r="L125" s="1"/>
      <c r="M125" s="1"/>
    </row>
    <row r="126" spans="1:13">
      <c r="A126" s="288" t="s">
        <v>449</v>
      </c>
      <c r="B126" s="150"/>
      <c r="C126" s="297">
        <v>1</v>
      </c>
      <c r="D126" s="294">
        <v>1</v>
      </c>
      <c r="L126" s="1"/>
      <c r="M126" s="1"/>
    </row>
    <row r="127" spans="1:13">
      <c r="A127" s="288" t="s">
        <v>138</v>
      </c>
      <c r="B127" s="150"/>
      <c r="C127" s="297">
        <v>0.75</v>
      </c>
      <c r="D127" s="294">
        <v>0.91</v>
      </c>
      <c r="L127" s="1"/>
      <c r="M127" s="1"/>
    </row>
    <row r="128" spans="1:13">
      <c r="A128" s="288" t="s">
        <v>452</v>
      </c>
      <c r="B128" s="150"/>
      <c r="C128" s="297">
        <v>0.7</v>
      </c>
      <c r="D128" s="294">
        <v>0.91</v>
      </c>
      <c r="L128" s="1"/>
      <c r="M128" s="1"/>
    </row>
    <row r="129" spans="1:13">
      <c r="A129" s="288" t="s">
        <v>453</v>
      </c>
      <c r="B129" s="150" t="s">
        <v>625</v>
      </c>
      <c r="C129" s="297">
        <v>0.65</v>
      </c>
      <c r="D129" s="294">
        <v>0.8</v>
      </c>
      <c r="L129" s="1"/>
      <c r="M129" s="1"/>
    </row>
    <row r="130" spans="1:13">
      <c r="A130" s="288" t="s">
        <v>142</v>
      </c>
      <c r="B130" s="150" t="s">
        <v>625</v>
      </c>
      <c r="C130" s="297">
        <v>0.65</v>
      </c>
      <c r="D130" s="294">
        <v>0.85</v>
      </c>
      <c r="L130" s="1"/>
      <c r="M130" s="1"/>
    </row>
    <row r="131" spans="1:13">
      <c r="A131" s="288" t="s">
        <v>456</v>
      </c>
      <c r="B131" s="150" t="s">
        <v>625</v>
      </c>
      <c r="C131" s="297">
        <v>0.75</v>
      </c>
      <c r="D131" s="294">
        <v>0.92</v>
      </c>
      <c r="L131" s="1"/>
      <c r="M131" s="1"/>
    </row>
    <row r="132" spans="1:13">
      <c r="A132" s="288" t="s">
        <v>626</v>
      </c>
      <c r="B132" s="150"/>
      <c r="C132" s="297"/>
      <c r="D132" s="298">
        <v>3.0303030303030298</v>
      </c>
      <c r="L132" s="1"/>
      <c r="M132" s="1"/>
    </row>
    <row r="133" spans="1:13">
      <c r="A133" s="74" t="s">
        <v>627</v>
      </c>
      <c r="B133" s="150"/>
      <c r="C133" s="297"/>
      <c r="D133" s="294">
        <v>10</v>
      </c>
      <c r="L133" s="1"/>
      <c r="M133" s="1"/>
    </row>
    <row r="134" spans="1:13">
      <c r="C134" s="290"/>
      <c r="D134" s="290"/>
      <c r="L134" s="1"/>
      <c r="M134" s="1"/>
    </row>
    <row r="135" spans="1:13">
      <c r="A135" s="534" t="s">
        <v>149</v>
      </c>
      <c r="B135" s="535"/>
      <c r="C135" s="536"/>
      <c r="D135" s="537"/>
      <c r="L135" s="1"/>
      <c r="M135" s="1"/>
    </row>
    <row r="136" spans="1:13">
      <c r="A136" s="538" t="s">
        <v>137</v>
      </c>
      <c r="B136" s="12" t="s">
        <v>558</v>
      </c>
      <c r="C136" s="264">
        <v>1</v>
      </c>
      <c r="D136" s="539">
        <v>1</v>
      </c>
      <c r="L136" s="1"/>
      <c r="M136" s="1"/>
    </row>
    <row r="137" spans="1:13">
      <c r="A137" s="538" t="s">
        <v>138</v>
      </c>
      <c r="B137" s="12" t="s">
        <v>560</v>
      </c>
      <c r="C137" s="264">
        <v>0.9</v>
      </c>
      <c r="D137" s="539">
        <v>0.9</v>
      </c>
      <c r="L137" s="1"/>
      <c r="M137" s="1"/>
    </row>
    <row r="138" spans="1:13">
      <c r="A138" s="540" t="s">
        <v>453</v>
      </c>
      <c r="B138" s="541" t="s">
        <v>559</v>
      </c>
      <c r="C138" s="542">
        <v>0.75</v>
      </c>
      <c r="D138" s="543">
        <v>0.75</v>
      </c>
      <c r="L138" s="1"/>
      <c r="M138" s="1"/>
    </row>
    <row r="139" spans="1:13">
      <c r="D139" s="1"/>
      <c r="L139" s="1"/>
      <c r="M139" s="1"/>
    </row>
    <row r="140" spans="1:13">
      <c r="C140" s="290"/>
      <c r="D140" s="290"/>
      <c r="L140" s="1"/>
      <c r="M140" s="1"/>
    </row>
    <row r="141" spans="1:13">
      <c r="A141" s="284" t="s">
        <v>628</v>
      </c>
      <c r="B141" s="149"/>
      <c r="C141" s="295"/>
      <c r="D141" s="294"/>
      <c r="L141" s="1"/>
      <c r="M141" s="1"/>
    </row>
    <row r="142" spans="1:13">
      <c r="A142" s="288" t="s">
        <v>141</v>
      </c>
      <c r="B142" s="150" t="s">
        <v>629</v>
      </c>
      <c r="C142" s="297">
        <v>0.75</v>
      </c>
      <c r="D142" s="294">
        <v>0.75</v>
      </c>
      <c r="L142" s="1"/>
      <c r="M142" s="1"/>
    </row>
    <row r="143" spans="1:13">
      <c r="A143" s="288" t="s">
        <v>630</v>
      </c>
      <c r="B143" s="150" t="s">
        <v>629</v>
      </c>
      <c r="C143" s="297">
        <v>1</v>
      </c>
      <c r="D143" s="294">
        <v>1</v>
      </c>
      <c r="L143" s="1"/>
      <c r="M143" s="1"/>
    </row>
    <row r="144" spans="1:13">
      <c r="A144" s="288" t="s">
        <v>138</v>
      </c>
      <c r="B144" s="150" t="s">
        <v>629</v>
      </c>
      <c r="C144" s="297">
        <v>0.9</v>
      </c>
      <c r="D144" s="294">
        <v>0.9</v>
      </c>
      <c r="L144" s="1"/>
      <c r="M144" s="1"/>
    </row>
    <row r="145" spans="4:13">
      <c r="L145" s="1"/>
      <c r="M145" s="1"/>
    </row>
    <row r="146" spans="4:13">
      <c r="L146" s="1"/>
      <c r="M146" s="1"/>
    </row>
    <row r="153" spans="4:13">
      <c r="D153" s="1"/>
    </row>
    <row r="154" spans="4:13">
      <c r="D154" s="1"/>
    </row>
    <row r="155" spans="4:13">
      <c r="D155" s="1"/>
    </row>
    <row r="156" spans="4:13">
      <c r="D156" s="1"/>
    </row>
    <row r="157" spans="4:13">
      <c r="D157" s="1"/>
    </row>
    <row r="158" spans="4:13">
      <c r="D158" s="1"/>
    </row>
    <row r="159" spans="4:13">
      <c r="D159" s="1"/>
    </row>
    <row r="161" s="1" customFormat="1"/>
    <row r="162" s="1" customFormat="1"/>
    <row r="163" s="1" customFormat="1"/>
    <row r="164" s="1" customFormat="1"/>
    <row r="165" s="1" customFormat="1"/>
    <row r="167" s="1" customFormat="1"/>
    <row r="168" s="1" customFormat="1"/>
    <row r="169" s="1" customFormat="1"/>
    <row r="170" s="1" customFormat="1"/>
    <row r="171" s="1" customFormat="1"/>
    <row r="172" s="1" customFormat="1"/>
    <row r="173" s="1" customFormat="1"/>
    <row r="174" s="1" customFormat="1"/>
    <row r="182" s="1" customFormat="1"/>
    <row r="187" s="1" customFormat="1"/>
    <row r="189" s="1" customFormat="1"/>
    <row r="190" s="1" customFormat="1"/>
    <row r="191" s="1" customFormat="1"/>
    <row r="193" s="1" customFormat="1"/>
    <row r="197" s="1" customFormat="1"/>
    <row r="198" s="1" customFormat="1"/>
    <row r="200" s="1" customFormat="1"/>
    <row r="203" s="1" customFormat="1"/>
    <row r="206" s="1" customFormat="1"/>
    <row r="207" s="1" customFormat="1"/>
    <row r="208" s="1" customFormat="1"/>
    <row r="209" s="1" customFormat="1"/>
    <row r="211" s="1" customFormat="1"/>
    <row r="213" s="1" customFormat="1"/>
  </sheetData>
  <sheetProtection selectLockedCells="1" selectUnlockedCells="1"/>
  <mergeCells count="2">
    <mergeCell ref="N54:P54"/>
    <mergeCell ref="N66:P66"/>
  </mergeCells>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C2F41-626C-404B-9E29-3F1527C3DE71}">
  <sheetPr codeName="Sheet54">
    <tabColor rgb="FF00B0F0"/>
  </sheetPr>
  <dimension ref="A1:IV172"/>
  <sheetViews>
    <sheetView zoomScale="76" workbookViewId="0">
      <selection activeCell="B72" sqref="B72"/>
    </sheetView>
  </sheetViews>
  <sheetFormatPr defaultColWidth="9" defaultRowHeight="12.75"/>
  <cols>
    <col min="1" max="1" width="34.425781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 width="12.42578125" style="68" bestFit="1" customWidth="1"/>
    <col min="17" max="16384" width="9" style="68"/>
  </cols>
  <sheetData>
    <row r="1" spans="1:256" s="158" customFormat="1" ht="12.75" customHeight="1">
      <c r="A1" s="799" t="s">
        <v>1262</v>
      </c>
      <c r="B1" s="799"/>
      <c r="C1" s="799"/>
      <c r="D1" s="799"/>
      <c r="E1" s="799"/>
      <c r="F1" s="799"/>
      <c r="G1" s="799"/>
      <c r="H1" s="799"/>
      <c r="I1" s="799"/>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685"/>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9" t="s">
        <v>1268</v>
      </c>
      <c r="B14" s="799"/>
      <c r="C14" s="799"/>
      <c r="D14" s="799"/>
      <c r="E14" s="799"/>
      <c r="F14" s="799"/>
      <c r="G14" s="799"/>
      <c r="H14" s="799"/>
      <c r="I14" s="799"/>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1487</v>
      </c>
      <c r="B16" s="677">
        <f>'floor space forecast_SA'!$C$46</f>
        <v>141.38227599999999</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9" t="s">
        <v>1269</v>
      </c>
      <c r="B18" s="799"/>
      <c r="C18" s="799"/>
      <c r="D18" s="799"/>
      <c r="E18" s="799"/>
      <c r="F18" s="799"/>
      <c r="G18" s="799"/>
      <c r="H18" s="799"/>
      <c r="I18" s="799"/>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205.64553936266159</v>
      </c>
      <c r="C21" s="192">
        <f t="shared" ref="C21:J21" si="1">$B3*C$35/$B$16</f>
        <v>23.722690322526095</v>
      </c>
      <c r="D21" s="192">
        <f t="shared" si="1"/>
        <v>9.5998758701371365</v>
      </c>
      <c r="E21" s="192">
        <f t="shared" si="1"/>
        <v>392.55009635862098</v>
      </c>
      <c r="F21" s="192">
        <f t="shared" si="1"/>
        <v>205.81962736215161</v>
      </c>
      <c r="G21" s="192">
        <f t="shared" si="1"/>
        <v>74.625632410318261</v>
      </c>
      <c r="H21" s="192">
        <f t="shared" si="1"/>
        <v>22.410240242951268</v>
      </c>
      <c r="I21" s="192">
        <f t="shared" si="1"/>
        <v>26.45743465936528</v>
      </c>
      <c r="J21" s="192">
        <f t="shared" si="1"/>
        <v>188.81278116249294</v>
      </c>
      <c r="K21" s="192">
        <f t="shared" ref="K21:K29" si="2">SUM(B21:J21)</f>
        <v>1149.6439177512252</v>
      </c>
      <c r="L21" s="193">
        <f t="shared" ref="L21:L29" si="3">K21/$B$163</f>
        <v>319.34553270867366</v>
      </c>
      <c r="M21" s="1"/>
      <c r="N21" s="1"/>
      <c r="O21" s="1"/>
      <c r="P21" s="1"/>
      <c r="Q21" s="161"/>
    </row>
    <row r="22" spans="1:256">
      <c r="A22" s="56" t="s">
        <v>490</v>
      </c>
      <c r="B22" s="192">
        <f>$B5*B$36/$B$16</f>
        <v>0</v>
      </c>
      <c r="C22" s="192">
        <f t="shared" ref="C22:J22" si="4">$B5*C$36/$B$16</f>
        <v>0</v>
      </c>
      <c r="D22" s="192">
        <f t="shared" si="4"/>
        <v>18.136553208298825</v>
      </c>
      <c r="E22" s="192">
        <f t="shared" si="4"/>
        <v>0</v>
      </c>
      <c r="F22" s="192">
        <f t="shared" si="4"/>
        <v>0</v>
      </c>
      <c r="G22" s="192">
        <f t="shared" si="4"/>
        <v>0</v>
      </c>
      <c r="H22" s="192">
        <f t="shared" si="4"/>
        <v>0</v>
      </c>
      <c r="I22" s="192">
        <f t="shared" si="4"/>
        <v>0</v>
      </c>
      <c r="J22" s="192">
        <f t="shared" si="4"/>
        <v>0</v>
      </c>
      <c r="K22" s="194">
        <f t="shared" si="2"/>
        <v>18.136553208298825</v>
      </c>
      <c r="L22" s="193">
        <f t="shared" si="3"/>
        <v>5.0379314467496732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57.727642001543359</v>
      </c>
      <c r="D24" s="192">
        <f t="shared" si="6"/>
        <v>48.475403488967231</v>
      </c>
      <c r="E24" s="192">
        <f t="shared" si="6"/>
        <v>0</v>
      </c>
      <c r="F24" s="192">
        <f t="shared" si="6"/>
        <v>0</v>
      </c>
      <c r="G24" s="192">
        <f t="shared" si="6"/>
        <v>7.5850107837270184E-2</v>
      </c>
      <c r="H24" s="192">
        <f t="shared" si="6"/>
        <v>0</v>
      </c>
      <c r="I24" s="192">
        <f t="shared" si="6"/>
        <v>0</v>
      </c>
      <c r="J24" s="192">
        <f t="shared" si="6"/>
        <v>0</v>
      </c>
      <c r="K24" s="194">
        <f t="shared" si="2"/>
        <v>106.27889559834786</v>
      </c>
      <c r="L24" s="193">
        <f t="shared" si="3"/>
        <v>29.521915443985517</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4.9191084934674478</v>
      </c>
      <c r="K25" s="194">
        <f t="shared" si="2"/>
        <v>4.9191084934674478</v>
      </c>
      <c r="L25" s="193">
        <f t="shared" si="3"/>
        <v>1.3664190259631799</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1.6490241132793266</v>
      </c>
      <c r="K26" s="194">
        <f t="shared" si="2"/>
        <v>1.6490241132793266</v>
      </c>
      <c r="L26" s="193">
        <f t="shared" si="3"/>
        <v>0.45806225368870185</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25.655329082199273</v>
      </c>
      <c r="E27" s="192">
        <f t="shared" si="9"/>
        <v>0</v>
      </c>
      <c r="F27" s="192">
        <f t="shared" si="9"/>
        <v>0</v>
      </c>
      <c r="G27" s="192">
        <f t="shared" si="9"/>
        <v>2.883402360774177</v>
      </c>
      <c r="H27" s="192">
        <f t="shared" si="9"/>
        <v>0</v>
      </c>
      <c r="I27" s="192">
        <f t="shared" si="9"/>
        <v>0</v>
      </c>
      <c r="J27" s="192">
        <f t="shared" si="9"/>
        <v>0</v>
      </c>
      <c r="K27" s="194">
        <f t="shared" si="2"/>
        <v>28.53873144297345</v>
      </c>
      <c r="L27" s="193">
        <f t="shared" si="3"/>
        <v>7.9274254008259586</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7.1440188242147734E-2</v>
      </c>
      <c r="D28" s="192">
        <f t="shared" si="10"/>
        <v>0.17611559449259903</v>
      </c>
      <c r="E28" s="192">
        <f t="shared" si="10"/>
        <v>0</v>
      </c>
      <c r="F28" s="192">
        <f t="shared" si="10"/>
        <v>0</v>
      </c>
      <c r="G28" s="192">
        <f t="shared" si="10"/>
        <v>0</v>
      </c>
      <c r="H28" s="192">
        <f t="shared" si="10"/>
        <v>0</v>
      </c>
      <c r="I28" s="192">
        <f t="shared" si="10"/>
        <v>0</v>
      </c>
      <c r="J28" s="192">
        <f t="shared" si="10"/>
        <v>0</v>
      </c>
      <c r="K28" s="194">
        <f t="shared" si="2"/>
        <v>0.24755578273474677</v>
      </c>
      <c r="L28" s="193">
        <f t="shared" si="3"/>
        <v>6.8765495204096319E-2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205.64553936266159</v>
      </c>
      <c r="C29" s="192">
        <f t="shared" ref="C29:J29" si="11">SUM(C21:C28)</f>
        <v>81.5217725123116</v>
      </c>
      <c r="D29" s="192">
        <f t="shared" si="11"/>
        <v>102.04327724409507</v>
      </c>
      <c r="E29" s="192">
        <f t="shared" si="11"/>
        <v>392.55009635862098</v>
      </c>
      <c r="F29" s="192">
        <f t="shared" si="11"/>
        <v>205.81962736215161</v>
      </c>
      <c r="G29" s="192">
        <f t="shared" si="11"/>
        <v>77.584884878929699</v>
      </c>
      <c r="H29" s="192">
        <f t="shared" si="11"/>
        <v>22.410240242951268</v>
      </c>
      <c r="I29" s="192">
        <f t="shared" si="11"/>
        <v>26.45743465936528</v>
      </c>
      <c r="J29" s="192">
        <f t="shared" si="11"/>
        <v>195.38091376923973</v>
      </c>
      <c r="K29" s="192">
        <f t="shared" si="2"/>
        <v>1309.4137863903268</v>
      </c>
      <c r="L29" s="193">
        <f t="shared" si="3"/>
        <v>363.72605177509075</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I30" si="12">B29/$B$163</f>
        <v>57.123760934072664</v>
      </c>
      <c r="C30" s="64">
        <f t="shared" si="12"/>
        <v>22.644936808975444</v>
      </c>
      <c r="D30" s="64">
        <f t="shared" si="12"/>
        <v>28.345354790026406</v>
      </c>
      <c r="E30" s="64">
        <f t="shared" si="12"/>
        <v>109.04169343295027</v>
      </c>
      <c r="F30" s="64">
        <f t="shared" si="12"/>
        <v>57.172118711708777</v>
      </c>
      <c r="G30" s="64">
        <f t="shared" si="12"/>
        <v>21.551356910813805</v>
      </c>
      <c r="H30" s="64">
        <f t="shared" si="12"/>
        <v>6.2250667341531294</v>
      </c>
      <c r="I30" s="64">
        <f t="shared" si="12"/>
        <v>7.3492874053792443</v>
      </c>
      <c r="J30" s="64">
        <f>J29/$B$163</f>
        <v>54.272476047011033</v>
      </c>
      <c r="K30" s="64">
        <f>K29/$B$163</f>
        <v>363.72605177509075</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9" t="s">
        <v>1282</v>
      </c>
      <c r="B32" s="799"/>
      <c r="C32" s="799"/>
      <c r="D32" s="799"/>
      <c r="E32" s="799"/>
      <c r="F32" s="799"/>
      <c r="G32" s="799"/>
      <c r="H32" s="799"/>
      <c r="I32" s="799"/>
      <c r="J32" s="799"/>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81">
        <f>B72</f>
        <v>0.17887759521654065</v>
      </c>
      <c r="C35" s="186">
        <f t="shared" ref="C35:F35" si="13">C72</f>
        <v>2.0634815664426903E-2</v>
      </c>
      <c r="D35" s="186">
        <f t="shared" si="13"/>
        <v>8.3503037087475657E-3</v>
      </c>
      <c r="E35" s="186">
        <f t="shared" si="13"/>
        <v>0.3414536364672579</v>
      </c>
      <c r="F35" s="186">
        <f t="shared" si="13"/>
        <v>0.17902902297325907</v>
      </c>
      <c r="G35" s="186">
        <f>G72</f>
        <v>6.4911953395352745E-2</v>
      </c>
      <c r="H35" s="427">
        <f>H72</f>
        <v>1.9493201239899647E-2</v>
      </c>
      <c r="I35" s="427">
        <f t="shared" ref="I35" si="14">I72</f>
        <v>2.3013590774365742E-2</v>
      </c>
      <c r="J35" s="186">
        <f>J72</f>
        <v>0.16423588056014987</v>
      </c>
      <c r="K35" s="1" t="s">
        <v>1360</v>
      </c>
      <c r="L35" s="496"/>
      <c r="M35" s="1"/>
      <c r="N35" s="1"/>
      <c r="O35" s="1"/>
      <c r="P35" s="1"/>
      <c r="Q35" s="1"/>
      <c r="R35" s="1"/>
      <c r="S35" s="161"/>
    </row>
    <row r="36" spans="1:256">
      <c r="A36" s="56" t="s">
        <v>490</v>
      </c>
      <c r="B36" s="186">
        <f>K78</f>
        <v>0</v>
      </c>
      <c r="C36" s="164">
        <f t="shared" ref="B36:G42" si="15">L78</f>
        <v>0</v>
      </c>
      <c r="D36" s="164">
        <f t="shared" si="15"/>
        <v>1</v>
      </c>
      <c r="E36" s="186">
        <f t="shared" si="15"/>
        <v>0</v>
      </c>
      <c r="F36" s="186">
        <f t="shared" si="15"/>
        <v>0</v>
      </c>
      <c r="G36" s="186">
        <f>P78</f>
        <v>0</v>
      </c>
      <c r="H36" s="186">
        <f t="shared" ref="H36:J42" si="16">Q78</f>
        <v>0</v>
      </c>
      <c r="I36" s="186">
        <f t="shared" si="16"/>
        <v>0</v>
      </c>
      <c r="J36" s="186">
        <f t="shared" si="16"/>
        <v>0</v>
      </c>
      <c r="K36" s="415" t="s">
        <v>499</v>
      </c>
      <c r="L36" s="496"/>
      <c r="M36" s="1"/>
      <c r="N36" s="1"/>
      <c r="O36" s="1"/>
      <c r="P36" s="1"/>
      <c r="Q36" s="1"/>
      <c r="R36" s="1"/>
      <c r="S36" s="161"/>
    </row>
    <row r="37" spans="1:256">
      <c r="A37" s="56" t="s">
        <v>493</v>
      </c>
      <c r="B37" s="186">
        <f t="shared" si="15"/>
        <v>0</v>
      </c>
      <c r="C37" s="164">
        <f t="shared" si="15"/>
        <v>1.2391573729863693E-3</v>
      </c>
      <c r="D37" s="164">
        <f t="shared" si="15"/>
        <v>0</v>
      </c>
      <c r="E37" s="186">
        <f t="shared" si="15"/>
        <v>0</v>
      </c>
      <c r="F37" s="186">
        <f t="shared" si="15"/>
        <v>0</v>
      </c>
      <c r="G37" s="186">
        <f t="shared" si="15"/>
        <v>0.99876084262701359</v>
      </c>
      <c r="H37" s="186">
        <f t="shared" si="16"/>
        <v>0</v>
      </c>
      <c r="I37" s="186">
        <f t="shared" si="16"/>
        <v>0</v>
      </c>
      <c r="J37" s="186">
        <f t="shared" si="16"/>
        <v>0</v>
      </c>
      <c r="K37" s="415"/>
      <c r="L37" s="496"/>
      <c r="M37" s="1"/>
      <c r="N37" s="1"/>
      <c r="O37" s="1"/>
      <c r="P37" s="1"/>
      <c r="Q37" s="1"/>
      <c r="R37" s="1"/>
      <c r="S37" s="161"/>
    </row>
    <row r="38" spans="1:256">
      <c r="A38" s="56" t="s">
        <v>491</v>
      </c>
      <c r="B38" s="186">
        <f t="shared" si="15"/>
        <v>0</v>
      </c>
      <c r="C38" s="164">
        <f t="shared" si="15"/>
        <v>0.54317126346240241</v>
      </c>
      <c r="D38" s="164">
        <f t="shared" si="15"/>
        <v>0.45611504726363378</v>
      </c>
      <c r="E38" s="186">
        <f t="shared" si="15"/>
        <v>0</v>
      </c>
      <c r="F38" s="186">
        <f t="shared" si="15"/>
        <v>0</v>
      </c>
      <c r="G38" s="186">
        <f t="shared" si="15"/>
        <v>7.1368927396390168E-4</v>
      </c>
      <c r="H38" s="186">
        <f t="shared" si="16"/>
        <v>0</v>
      </c>
      <c r="I38" s="186">
        <f t="shared" si="16"/>
        <v>0</v>
      </c>
      <c r="J38" s="186">
        <f t="shared" si="16"/>
        <v>0</v>
      </c>
      <c r="K38" s="415"/>
      <c r="L38" s="496"/>
      <c r="M38" s="1"/>
      <c r="N38" s="1"/>
      <c r="O38" s="1"/>
      <c r="P38" s="1"/>
      <c r="Q38" s="1"/>
      <c r="R38" s="1"/>
      <c r="S38" s="161"/>
    </row>
    <row r="39" spans="1:256">
      <c r="A39" s="56" t="s">
        <v>494</v>
      </c>
      <c r="B39" s="186">
        <f t="shared" si="15"/>
        <v>0</v>
      </c>
      <c r="C39" s="164">
        <f t="shared" si="15"/>
        <v>0</v>
      </c>
      <c r="D39" s="164">
        <f t="shared" si="15"/>
        <v>0</v>
      </c>
      <c r="E39" s="186">
        <f t="shared" si="15"/>
        <v>0</v>
      </c>
      <c r="F39" s="186">
        <f t="shared" si="15"/>
        <v>0</v>
      </c>
      <c r="G39" s="186">
        <f t="shared" si="15"/>
        <v>0</v>
      </c>
      <c r="H39" s="186">
        <f t="shared" si="16"/>
        <v>0</v>
      </c>
      <c r="I39" s="186">
        <f t="shared" si="16"/>
        <v>0</v>
      </c>
      <c r="J39" s="186">
        <f t="shared" si="16"/>
        <v>1</v>
      </c>
      <c r="K39" s="415"/>
      <c r="L39" s="496"/>
      <c r="M39" s="1"/>
      <c r="N39" s="1"/>
      <c r="O39" s="1"/>
      <c r="P39" s="1"/>
      <c r="Q39" s="1"/>
      <c r="R39" s="1"/>
      <c r="S39" s="161"/>
    </row>
    <row r="40" spans="1:256">
      <c r="A40" s="56" t="s">
        <v>492</v>
      </c>
      <c r="B40" s="186">
        <f t="shared" si="15"/>
        <v>0</v>
      </c>
      <c r="C40" s="164">
        <f t="shared" si="15"/>
        <v>0</v>
      </c>
      <c r="D40" s="164">
        <f t="shared" si="15"/>
        <v>0</v>
      </c>
      <c r="E40" s="186">
        <f t="shared" si="15"/>
        <v>0</v>
      </c>
      <c r="F40" s="186">
        <f t="shared" si="15"/>
        <v>0</v>
      </c>
      <c r="G40" s="186">
        <f t="shared" si="15"/>
        <v>0</v>
      </c>
      <c r="H40" s="186">
        <f t="shared" si="16"/>
        <v>0</v>
      </c>
      <c r="I40" s="186">
        <f t="shared" si="16"/>
        <v>0</v>
      </c>
      <c r="J40" s="186">
        <f t="shared" si="16"/>
        <v>1</v>
      </c>
      <c r="K40" s="415"/>
      <c r="L40" s="496"/>
      <c r="M40" s="1"/>
      <c r="N40" s="1"/>
      <c r="O40" s="1"/>
      <c r="P40" s="1"/>
      <c r="Q40" s="1"/>
      <c r="R40" s="1"/>
      <c r="S40" s="161"/>
    </row>
    <row r="41" spans="1:256">
      <c r="A41" s="56" t="s">
        <v>138</v>
      </c>
      <c r="B41" s="186">
        <f t="shared" si="15"/>
        <v>0</v>
      </c>
      <c r="C41" s="164">
        <f t="shared" si="15"/>
        <v>0</v>
      </c>
      <c r="D41" s="164">
        <f t="shared" si="15"/>
        <v>0.89896529330549124</v>
      </c>
      <c r="E41" s="186">
        <f t="shared" si="15"/>
        <v>0</v>
      </c>
      <c r="F41" s="186">
        <f t="shared" si="15"/>
        <v>0</v>
      </c>
      <c r="G41" s="186">
        <f t="shared" si="15"/>
        <v>0.10103470669450876</v>
      </c>
      <c r="H41" s="186">
        <f t="shared" si="16"/>
        <v>0</v>
      </c>
      <c r="I41" s="186">
        <f t="shared" si="16"/>
        <v>0</v>
      </c>
      <c r="J41" s="186">
        <f t="shared" si="16"/>
        <v>0</v>
      </c>
      <c r="K41" s="415"/>
      <c r="L41" s="496"/>
      <c r="M41" s="1"/>
      <c r="N41" s="1"/>
      <c r="O41" s="1"/>
      <c r="P41" s="1"/>
      <c r="Q41" s="1"/>
      <c r="R41" s="1"/>
      <c r="S41" s="161"/>
    </row>
    <row r="42" spans="1:256">
      <c r="A42" s="56" t="s">
        <v>465</v>
      </c>
      <c r="B42" s="612">
        <f t="shared" si="15"/>
        <v>0</v>
      </c>
      <c r="C42" s="612">
        <f>'End use share 2001'!C40</f>
        <v>0.288582183186951</v>
      </c>
      <c r="D42" s="612">
        <f>'End use share 2001'!D40</f>
        <v>0.71141781681304894</v>
      </c>
      <c r="E42" s="612">
        <f t="shared" si="15"/>
        <v>0</v>
      </c>
      <c r="F42" s="612">
        <f t="shared" si="15"/>
        <v>0</v>
      </c>
      <c r="G42" s="612">
        <f t="shared" si="15"/>
        <v>0</v>
      </c>
      <c r="H42" s="612">
        <f t="shared" si="16"/>
        <v>0</v>
      </c>
      <c r="I42" s="612">
        <f t="shared" si="16"/>
        <v>0</v>
      </c>
      <c r="J42" s="612">
        <f t="shared" si="16"/>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9" t="s">
        <v>500</v>
      </c>
      <c r="B44" s="799"/>
      <c r="C44" s="799"/>
      <c r="D44" s="799"/>
      <c r="E44" s="799"/>
      <c r="F44" s="799"/>
      <c r="G44" s="799"/>
      <c r="H44" s="799"/>
      <c r="I44" s="799"/>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678" t="s">
        <v>1484</v>
      </c>
      <c r="E46" s="82" t="s">
        <v>502</v>
      </c>
      <c r="F46" s="615"/>
      <c r="G46" s="678" t="s">
        <v>1482</v>
      </c>
      <c r="H46" s="615"/>
      <c r="I46" s="615"/>
      <c r="K46" s="198"/>
      <c r="L46" s="198"/>
      <c r="M46" s="198"/>
      <c r="N46" s="198"/>
      <c r="O46" s="198"/>
      <c r="P46" s="198"/>
      <c r="Q46" s="198"/>
      <c r="R46" s="161"/>
    </row>
    <row r="47" spans="1:256">
      <c r="A47" s="199" t="s">
        <v>226</v>
      </c>
      <c r="B47" s="59">
        <v>6</v>
      </c>
      <c r="C47" s="59">
        <f>11+18+4+4</f>
        <v>37</v>
      </c>
      <c r="D47" s="200">
        <f>G47</f>
        <v>0.26860718548373147</v>
      </c>
      <c r="E47" s="200">
        <v>0.38030816130722506</v>
      </c>
      <c r="F47" s="79"/>
      <c r="G47" s="679">
        <f>STATSSA_Annual!B36/SUM(STATSSA_Annual!$B$36:$E$36)</f>
        <v>0.26860718548373147</v>
      </c>
      <c r="H47" s="79"/>
      <c r="I47" s="700">
        <v>2018</v>
      </c>
      <c r="J47" s="701">
        <f>SUM(STATSSA_Annual!$B$36:$E$36)</f>
        <v>2312440</v>
      </c>
      <c r="K47" s="702">
        <f>STATSSA_Annual!B36</f>
        <v>621138</v>
      </c>
      <c r="L47" s="703">
        <f>STATSSA_Annual!B36/SUM(STATSSA_Annual!$B$36:$E$36)</f>
        <v>0.26860718548373147</v>
      </c>
      <c r="M47" s="198"/>
      <c r="N47" s="198"/>
      <c r="O47" s="198"/>
      <c r="P47" s="198"/>
      <c r="Q47" s="198"/>
      <c r="R47" s="161"/>
    </row>
    <row r="48" spans="1:256">
      <c r="A48" s="199" t="s">
        <v>73</v>
      </c>
      <c r="B48" s="59">
        <v>8</v>
      </c>
      <c r="C48" s="59">
        <f>30</f>
        <v>30</v>
      </c>
      <c r="D48" s="200">
        <f>G48</f>
        <v>0.15268461019529156</v>
      </c>
      <c r="E48" s="200">
        <v>0.28136742327155401</v>
      </c>
      <c r="F48" s="79"/>
      <c r="G48" s="679">
        <f>STATSSA_Annual!C36/SUM(STATSSA_Annual!$B$36:$E$36)</f>
        <v>0.15268461019529156</v>
      </c>
      <c r="I48" s="700">
        <v>2012</v>
      </c>
      <c r="J48" s="701">
        <f>SUM(STATSSA_Annual!$B$30:$E$30)</f>
        <v>2322246</v>
      </c>
      <c r="K48" s="704">
        <f>STATSSA_Annual!B30</f>
        <v>462586</v>
      </c>
      <c r="L48" s="703">
        <f>STATSSA_Annual!B30/SUM(STATSSA_Annual!$B$30:$E$30)</f>
        <v>0.19919767328698165</v>
      </c>
      <c r="M48" s="198"/>
      <c r="N48" s="198"/>
      <c r="O48" s="198"/>
      <c r="P48" s="198"/>
      <c r="Q48" s="198"/>
      <c r="R48" s="161"/>
    </row>
    <row r="49" spans="1:20">
      <c r="A49" s="199" t="s">
        <v>1194</v>
      </c>
      <c r="B49" s="59"/>
      <c r="C49" s="59"/>
      <c r="D49" s="200"/>
      <c r="E49" s="200"/>
      <c r="F49" s="79"/>
      <c r="G49" s="679">
        <f>STATSSA_Annual!D36/SUM(STATSSA_Annual!$B$36:$E$36)</f>
        <v>0.48400347684696682</v>
      </c>
      <c r="L49" s="198"/>
      <c r="M49" s="198"/>
      <c r="N49" s="198"/>
      <c r="O49" s="198"/>
      <c r="P49" s="198"/>
      <c r="Q49" s="198"/>
      <c r="R49" s="161"/>
    </row>
    <row r="50" spans="1:20">
      <c r="A50" s="199" t="s">
        <v>227</v>
      </c>
      <c r="B50" s="59">
        <v>9</v>
      </c>
      <c r="C50" s="59">
        <f>12+7+14</f>
        <v>33</v>
      </c>
      <c r="D50" s="200">
        <f>G50+G49</f>
        <v>0.57870820432097692</v>
      </c>
      <c r="E50" s="200">
        <v>0.33832441542122105</v>
      </c>
      <c r="F50" s="79"/>
      <c r="G50" s="679">
        <f>STATSSA_Annual!E36/SUM(STATSSA_Annual!$B$36:$E$36)</f>
        <v>9.4704727474010139E-2</v>
      </c>
      <c r="H50" s="79"/>
      <c r="I50" s="197"/>
      <c r="K50" s="198"/>
      <c r="L50" s="198"/>
      <c r="M50" s="198"/>
      <c r="N50" s="198"/>
      <c r="O50" s="198"/>
      <c r="P50" s="198"/>
      <c r="Q50" s="198"/>
      <c r="R50" s="161"/>
    </row>
    <row r="51" spans="1:20">
      <c r="A51" s="199"/>
      <c r="B51" s="1"/>
      <c r="C51" s="1"/>
      <c r="D51" s="201">
        <f>SUM(D47:D50)</f>
        <v>1</v>
      </c>
      <c r="E51" s="201">
        <f>SUM(G47:G50)</f>
        <v>1</v>
      </c>
      <c r="F51" s="79"/>
      <c r="G51" s="680">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799" t="s">
        <v>1359</v>
      </c>
      <c r="B53" s="799"/>
      <c r="C53" s="799"/>
      <c r="D53" s="799"/>
      <c r="E53" s="799"/>
      <c r="F53" s="799"/>
      <c r="G53" s="799"/>
      <c r="H53" s="799"/>
      <c r="I53" s="799"/>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10.763447106305179</v>
      </c>
      <c r="I56" s="424">
        <f>M56</f>
        <v>12.70728003972085</v>
      </c>
      <c r="J56" s="202">
        <v>93</v>
      </c>
      <c r="K56" s="203">
        <f>SUM(B56:J56)</f>
        <v>515.47072714602609</v>
      </c>
      <c r="L56" s="190">
        <f>L$59/3</f>
        <v>10.763447106305179</v>
      </c>
      <c r="M56" s="190">
        <f t="shared" ref="L56:M58" si="17">M$59/3</f>
        <v>12.70728003972085</v>
      </c>
      <c r="N56" s="1"/>
      <c r="O56" s="389">
        <v>4565281948.4851208</v>
      </c>
      <c r="P56" s="190">
        <v>5389752521.3553123</v>
      </c>
      <c r="Q56" s="1"/>
      <c r="R56" s="1"/>
      <c r="S56" s="421">
        <v>263.5</v>
      </c>
      <c r="T56" s="425">
        <v>85.25</v>
      </c>
    </row>
    <row r="57" spans="1:20">
      <c r="A57" s="199" t="s">
        <v>73</v>
      </c>
      <c r="B57" s="202">
        <v>140</v>
      </c>
      <c r="C57" s="202">
        <v>19</v>
      </c>
      <c r="D57" s="202">
        <v>8</v>
      </c>
      <c r="E57" s="202">
        <v>217</v>
      </c>
      <c r="F57" s="202">
        <v>209</v>
      </c>
      <c r="G57" s="202">
        <v>16</v>
      </c>
      <c r="H57" s="424">
        <f t="shared" ref="H57:I58" si="18">L57</f>
        <v>10.763447106305179</v>
      </c>
      <c r="I57" s="424">
        <f t="shared" si="18"/>
        <v>12.70728003972085</v>
      </c>
      <c r="J57" s="202">
        <v>93</v>
      </c>
      <c r="K57" s="203">
        <f>SUM(B57:J57)</f>
        <v>725.47072714602609</v>
      </c>
      <c r="L57" s="190">
        <f t="shared" si="17"/>
        <v>10.763447106305179</v>
      </c>
      <c r="M57" s="190">
        <f t="shared" si="17"/>
        <v>12.70728003972085</v>
      </c>
      <c r="N57" s="1"/>
      <c r="O57" s="1"/>
      <c r="P57" s="1"/>
      <c r="Q57" s="1"/>
      <c r="R57" s="1"/>
      <c r="S57" s="421">
        <v>313.88</v>
      </c>
      <c r="T57" s="425">
        <v>85.25</v>
      </c>
    </row>
    <row r="58" spans="1:20">
      <c r="A58" s="199" t="s">
        <v>227</v>
      </c>
      <c r="B58" s="202">
        <v>85</v>
      </c>
      <c r="C58" s="202">
        <v>4</v>
      </c>
      <c r="D58" s="202">
        <v>4</v>
      </c>
      <c r="E58" s="202">
        <v>159</v>
      </c>
      <c r="F58" s="202">
        <v>105</v>
      </c>
      <c r="G58" s="202">
        <v>54</v>
      </c>
      <c r="H58" s="424">
        <f t="shared" si="18"/>
        <v>10.763447106305179</v>
      </c>
      <c r="I58" s="424">
        <f t="shared" si="18"/>
        <v>12.70728003972085</v>
      </c>
      <c r="J58" s="202">
        <v>89</v>
      </c>
      <c r="K58" s="203">
        <f>SUM(B58:J58)</f>
        <v>523.47072714602609</v>
      </c>
      <c r="L58" s="190">
        <f t="shared" si="17"/>
        <v>10.763447106305179</v>
      </c>
      <c r="M58" s="190">
        <f t="shared" si="17"/>
        <v>12.70728003972085</v>
      </c>
      <c r="N58" s="1"/>
      <c r="O58" s="1"/>
      <c r="P58" s="1"/>
      <c r="Q58" s="1"/>
      <c r="R58" s="1"/>
      <c r="S58" s="421">
        <v>228.63</v>
      </c>
      <c r="T58" s="425">
        <v>112.38</v>
      </c>
    </row>
    <row r="59" spans="1:20">
      <c r="A59" s="204"/>
      <c r="B59" s="205"/>
      <c r="C59" s="205"/>
      <c r="D59" s="205"/>
      <c r="E59" s="205"/>
      <c r="F59" s="205"/>
      <c r="G59" s="205"/>
      <c r="J59" s="205"/>
      <c r="K59" s="205"/>
      <c r="L59" s="424">
        <f>O56/(1000000*$B$16)</f>
        <v>32.290341318915537</v>
      </c>
      <c r="M59" s="424">
        <f>P56/(1000000*$B$16)</f>
        <v>38.121840119162549</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0.20369730902343727</v>
      </c>
      <c r="C61" s="206">
        <f t="shared" ref="C61:G61" si="19">C56/$K56</f>
        <v>4.4619410547991026E-2</v>
      </c>
      <c r="D61" s="206">
        <f t="shared" si="19"/>
        <v>7.7598974866071348E-3</v>
      </c>
      <c r="E61" s="206">
        <f t="shared" si="19"/>
        <v>0.45783395170982094</v>
      </c>
      <c r="F61" s="206">
        <f t="shared" si="19"/>
        <v>4.4619410547991026E-2</v>
      </c>
      <c r="G61" s="206">
        <f t="shared" si="19"/>
        <v>1.551979497321427E-2</v>
      </c>
      <c r="J61" s="206">
        <f t="shared" ref="J61" si="20">J56/$K56</f>
        <v>0.18041761656361588</v>
      </c>
      <c r="K61" s="71">
        <f>SUM(B61:J61)</f>
        <v>0.95446739085267762</v>
      </c>
      <c r="L61" s="1"/>
      <c r="M61" s="1"/>
      <c r="N61" s="1"/>
      <c r="O61" s="1"/>
      <c r="P61" s="1"/>
      <c r="Q61" s="1"/>
      <c r="R61" s="1"/>
    </row>
    <row r="62" spans="1:20">
      <c r="A62" s="199" t="s">
        <v>73</v>
      </c>
      <c r="B62" s="206">
        <f>B57/$K$57</f>
        <v>0.1929781516488675</v>
      </c>
      <c r="C62" s="206">
        <f t="shared" ref="C62:G62" si="21">C57/$K$57</f>
        <v>2.6189892009489162E-2</v>
      </c>
      <c r="D62" s="206">
        <f t="shared" si="21"/>
        <v>1.1027322951363857E-2</v>
      </c>
      <c r="E62" s="206">
        <f t="shared" si="21"/>
        <v>0.29911613505574464</v>
      </c>
      <c r="F62" s="206">
        <f t="shared" si="21"/>
        <v>0.28808881210438075</v>
      </c>
      <c r="G62" s="206">
        <f t="shared" si="21"/>
        <v>2.2054645902727713E-2</v>
      </c>
      <c r="J62" s="206">
        <f t="shared" ref="J62" si="22">J57/$K$57</f>
        <v>0.12819262930960484</v>
      </c>
      <c r="K62" s="71">
        <f>SUM(B62:J62)</f>
        <v>0.96764758898217851</v>
      </c>
      <c r="L62" s="1"/>
      <c r="M62" s="1"/>
      <c r="N62" s="1"/>
      <c r="O62" s="1"/>
      <c r="P62" s="1"/>
      <c r="Q62" s="1"/>
      <c r="R62" s="1"/>
    </row>
    <row r="63" spans="1:20">
      <c r="A63" s="199" t="s">
        <v>227</v>
      </c>
      <c r="B63" s="206">
        <f>B58/$K$58</f>
        <v>0.16237775216853456</v>
      </c>
      <c r="C63" s="206">
        <f t="shared" ref="C63:G63" si="23">C58/$K$58</f>
        <v>7.6413059844016263E-3</v>
      </c>
      <c r="D63" s="206">
        <f t="shared" si="23"/>
        <v>7.6413059844016263E-3</v>
      </c>
      <c r="E63" s="206">
        <f t="shared" si="23"/>
        <v>0.30374191287996466</v>
      </c>
      <c r="F63" s="206">
        <f t="shared" si="23"/>
        <v>0.20058428209054269</v>
      </c>
      <c r="G63" s="206">
        <f t="shared" si="23"/>
        <v>0.10315763078942196</v>
      </c>
      <c r="J63" s="206">
        <f t="shared" ref="J63" si="24">J58/$K$58</f>
        <v>0.17001905815293619</v>
      </c>
      <c r="K63" s="71">
        <f>SUM(B63:J63)</f>
        <v>0.95516324805020325</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9" si="25">B56*$D47</f>
        <v>28.203754475791804</v>
      </c>
      <c r="C68" s="202">
        <f t="shared" si="25"/>
        <v>6.177965266125824</v>
      </c>
      <c r="D68" s="202">
        <f t="shared" si="25"/>
        <v>1.0744287419349259</v>
      </c>
      <c r="E68" s="202">
        <f t="shared" si="25"/>
        <v>63.391295774160625</v>
      </c>
      <c r="F68" s="202">
        <f t="shared" si="25"/>
        <v>6.177965266125824</v>
      </c>
      <c r="G68" s="202">
        <f t="shared" si="25"/>
        <v>2.1488574838698518</v>
      </c>
      <c r="H68" s="202">
        <f t="shared" si="25"/>
        <v>2.8911392333276482</v>
      </c>
      <c r="I68" s="202">
        <f t="shared" si="25"/>
        <v>3.413266726623017</v>
      </c>
      <c r="J68" s="202">
        <f t="shared" si="25"/>
        <v>24.980468249987027</v>
      </c>
      <c r="K68" s="203">
        <f>SUM(B68:J68)</f>
        <v>138.45914121794655</v>
      </c>
      <c r="L68" s="1"/>
      <c r="M68" s="1"/>
      <c r="N68" s="1"/>
      <c r="O68" s="1"/>
      <c r="P68" s="1"/>
      <c r="Q68" s="1"/>
      <c r="R68" s="1"/>
    </row>
    <row r="69" spans="1:26">
      <c r="A69" s="199" t="s">
        <v>73</v>
      </c>
      <c r="B69" s="202">
        <f>B57*$D48</f>
        <v>21.375845427340817</v>
      </c>
      <c r="C69" s="202">
        <f>C57*$D48</f>
        <v>2.9010075937105397</v>
      </c>
      <c r="D69" s="202">
        <f>D57*$D48</f>
        <v>1.2214768815623325</v>
      </c>
      <c r="E69" s="202">
        <f>E57*$D48</f>
        <v>33.132560412378268</v>
      </c>
      <c r="F69" s="202">
        <f>F57*$D48</f>
        <v>31.911083530815937</v>
      </c>
      <c r="G69" s="202">
        <f t="shared" si="25"/>
        <v>2.4429537631246649</v>
      </c>
      <c r="H69" s="202">
        <f t="shared" si="25"/>
        <v>1.6434127257838451</v>
      </c>
      <c r="I69" s="202">
        <f t="shared" si="25"/>
        <v>1.940206099507187</v>
      </c>
      <c r="J69" s="202">
        <f>J57*$D48</f>
        <v>14.199668748162114</v>
      </c>
      <c r="K69" s="203">
        <f>SUM(B69:J69)</f>
        <v>110.7682151823857</v>
      </c>
      <c r="L69" s="198"/>
      <c r="M69" s="198"/>
      <c r="N69" s="198"/>
      <c r="O69" s="198"/>
      <c r="P69" s="198"/>
      <c r="Q69" s="198"/>
      <c r="R69" s="161"/>
    </row>
    <row r="70" spans="1:26">
      <c r="A70" s="199" t="s">
        <v>227</v>
      </c>
      <c r="B70" s="202">
        <f>B58*$D50</f>
        <v>49.190197367283041</v>
      </c>
      <c r="C70" s="202">
        <f t="shared" ref="C70:I70" si="26">C58*$D50</f>
        <v>2.3148328172839077</v>
      </c>
      <c r="D70" s="202">
        <f>D58*$D50</f>
        <v>2.3148328172839077</v>
      </c>
      <c r="E70" s="202">
        <f t="shared" si="26"/>
        <v>92.014604487035328</v>
      </c>
      <c r="F70" s="202">
        <f t="shared" si="26"/>
        <v>60.764361453702577</v>
      </c>
      <c r="G70" s="202">
        <f t="shared" si="26"/>
        <v>31.250243033332755</v>
      </c>
      <c r="H70" s="202">
        <f t="shared" si="26"/>
        <v>6.2288951471936853</v>
      </c>
      <c r="I70" s="202">
        <f t="shared" si="26"/>
        <v>7.3538072135906454</v>
      </c>
      <c r="J70" s="202">
        <f>J58*$D50</f>
        <v>51.505030184566948</v>
      </c>
      <c r="K70" s="203">
        <f>SUM(B70:J70)</f>
        <v>302.93680452127285</v>
      </c>
      <c r="L70" s="198"/>
      <c r="M70" s="198"/>
      <c r="N70" s="198"/>
      <c r="O70" s="198"/>
      <c r="P70" s="198"/>
      <c r="Q70" s="198"/>
      <c r="R70" s="161"/>
    </row>
    <row r="71" spans="1:26">
      <c r="A71" s="204" t="s">
        <v>505</v>
      </c>
      <c r="B71" s="205">
        <f t="shared" ref="B71:I71" si="27">SUM(B68:B70)</f>
        <v>98.769797270415665</v>
      </c>
      <c r="C71" s="205">
        <f t="shared" si="27"/>
        <v>11.393805677120271</v>
      </c>
      <c r="D71" s="205">
        <f t="shared" si="27"/>
        <v>4.6107384407811658</v>
      </c>
      <c r="E71" s="205">
        <f t="shared" si="27"/>
        <v>188.53846067357421</v>
      </c>
      <c r="F71" s="205">
        <f t="shared" si="27"/>
        <v>98.853410250644345</v>
      </c>
      <c r="G71" s="205">
        <f t="shared" si="27"/>
        <v>35.842054280327275</v>
      </c>
      <c r="H71" s="205">
        <f>SUM(H68:H70)</f>
        <v>10.763447106305179</v>
      </c>
      <c r="I71" s="205">
        <f t="shared" si="27"/>
        <v>12.70728003972085</v>
      </c>
      <c r="J71" s="205">
        <f>SUM(J68:J70)</f>
        <v>90.685167182716086</v>
      </c>
      <c r="K71" s="205">
        <f>SUM(B71:J71)</f>
        <v>552.164160921605</v>
      </c>
      <c r="L71" s="198"/>
      <c r="M71" s="198"/>
      <c r="N71" s="198"/>
      <c r="O71" s="198"/>
      <c r="P71" s="198"/>
      <c r="Q71" s="198"/>
      <c r="R71" s="161"/>
    </row>
    <row r="72" spans="1:26">
      <c r="A72" s="204" t="s">
        <v>1483</v>
      </c>
      <c r="B72" s="683">
        <f t="shared" ref="B72:G72" si="28">B71/$K$71</f>
        <v>0.17887759521654065</v>
      </c>
      <c r="C72" s="207">
        <f t="shared" si="28"/>
        <v>2.0634815664426903E-2</v>
      </c>
      <c r="D72" s="207">
        <f>D71/$K$71</f>
        <v>8.3503037087475657E-3</v>
      </c>
      <c r="E72" s="207">
        <f t="shared" si="28"/>
        <v>0.3414536364672579</v>
      </c>
      <c r="F72" s="207">
        <f t="shared" si="28"/>
        <v>0.17902902297325907</v>
      </c>
      <c r="G72" s="207">
        <f t="shared" si="28"/>
        <v>6.4911953395352745E-2</v>
      </c>
      <c r="H72" s="207">
        <f>H71/$K$71</f>
        <v>1.9493201239899647E-2</v>
      </c>
      <c r="I72" s="207">
        <f t="shared" ref="I72" si="29">I71/$K$71</f>
        <v>2.3013590774365742E-2</v>
      </c>
      <c r="J72" s="207">
        <f>J71/$K$71</f>
        <v>0.16423588056014987</v>
      </c>
      <c r="K72" s="205">
        <f>SUM(B72:J72)</f>
        <v>1</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799" t="s">
        <v>507</v>
      </c>
      <c r="B75" s="799"/>
      <c r="C75" s="799"/>
      <c r="D75" s="799"/>
      <c r="E75" s="799"/>
      <c r="F75" s="799"/>
      <c r="G75" s="799"/>
      <c r="H75" s="799"/>
      <c r="I75" s="799"/>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30">SUM(B78:H78)</f>
        <v>15530.400000000001</v>
      </c>
      <c r="J78" s="1"/>
      <c r="K78" s="164">
        <f t="shared" ref="K78:P83" si="31">B78/$I78</f>
        <v>0</v>
      </c>
      <c r="L78" s="164">
        <f t="shared" si="31"/>
        <v>0</v>
      </c>
      <c r="M78" s="164">
        <f t="shared" si="31"/>
        <v>1</v>
      </c>
      <c r="N78" s="164">
        <f t="shared" si="31"/>
        <v>0</v>
      </c>
      <c r="O78" s="164">
        <f t="shared" si="31"/>
        <v>0</v>
      </c>
      <c r="P78" s="164">
        <f t="shared" si="31"/>
        <v>0</v>
      </c>
      <c r="Q78" s="426">
        <v>0</v>
      </c>
      <c r="R78" s="426">
        <v>0</v>
      </c>
      <c r="S78" s="164">
        <f t="shared" ref="S78:S83" si="32">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30"/>
        <v>33119.279999999999</v>
      </c>
      <c r="J79" s="1"/>
      <c r="K79" s="164">
        <f t="shared" si="31"/>
        <v>0</v>
      </c>
      <c r="L79" s="164">
        <f t="shared" si="31"/>
        <v>1.2391573729863693E-3</v>
      </c>
      <c r="M79" s="164">
        <f t="shared" si="31"/>
        <v>0</v>
      </c>
      <c r="N79" s="164">
        <f t="shared" si="31"/>
        <v>0</v>
      </c>
      <c r="O79" s="164">
        <f t="shared" si="31"/>
        <v>0</v>
      </c>
      <c r="P79" s="65">
        <f t="shared" si="31"/>
        <v>0.99876084262701359</v>
      </c>
      <c r="Q79" s="426">
        <v>0</v>
      </c>
      <c r="R79" s="426">
        <v>0</v>
      </c>
      <c r="S79" s="164">
        <f t="shared" si="32"/>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30"/>
        <v>208494.09599999999</v>
      </c>
      <c r="J80" s="1"/>
      <c r="K80" s="164">
        <f t="shared" si="31"/>
        <v>0</v>
      </c>
      <c r="L80" s="164">
        <f t="shared" si="31"/>
        <v>0.54317126346240241</v>
      </c>
      <c r="M80" s="164">
        <f t="shared" si="31"/>
        <v>0.45611504726363378</v>
      </c>
      <c r="N80" s="164">
        <f t="shared" si="31"/>
        <v>0</v>
      </c>
      <c r="O80" s="164">
        <f t="shared" si="31"/>
        <v>0</v>
      </c>
      <c r="P80" s="65">
        <f t="shared" si="31"/>
        <v>7.1368927396390168E-4</v>
      </c>
      <c r="Q80" s="426">
        <v>0</v>
      </c>
      <c r="R80" s="426">
        <v>0</v>
      </c>
      <c r="S80" s="164">
        <f t="shared" si="32"/>
        <v>0</v>
      </c>
      <c r="T80" s="1"/>
      <c r="U80" s="1"/>
      <c r="V80" s="1"/>
      <c r="W80" s="1"/>
      <c r="X80" s="1"/>
      <c r="Y80" s="1"/>
      <c r="Z80" s="1"/>
    </row>
    <row r="81" spans="1:256">
      <c r="A81" s="12" t="s">
        <v>494</v>
      </c>
      <c r="B81" s="12"/>
      <c r="C81" s="12">
        <f>G138</f>
        <v>0</v>
      </c>
      <c r="D81" s="12"/>
      <c r="E81" s="12"/>
      <c r="F81" s="12"/>
      <c r="G81" s="12">
        <f>H138</f>
        <v>0</v>
      </c>
      <c r="H81" s="12">
        <f>I138</f>
        <v>46488.353999999999</v>
      </c>
      <c r="I81" s="209">
        <f t="shared" si="30"/>
        <v>46488.353999999999</v>
      </c>
      <c r="J81" s="1"/>
      <c r="K81" s="164">
        <f t="shared" si="31"/>
        <v>0</v>
      </c>
      <c r="L81" s="164">
        <f t="shared" si="31"/>
        <v>0</v>
      </c>
      <c r="M81" s="164">
        <f t="shared" si="31"/>
        <v>0</v>
      </c>
      <c r="N81" s="164">
        <f t="shared" si="31"/>
        <v>0</v>
      </c>
      <c r="O81" s="164">
        <f t="shared" si="31"/>
        <v>0</v>
      </c>
      <c r="P81" s="164">
        <f t="shared" si="31"/>
        <v>0</v>
      </c>
      <c r="Q81" s="426">
        <v>0</v>
      </c>
      <c r="R81" s="426">
        <v>0</v>
      </c>
      <c r="S81" s="164">
        <f t="shared" si="32"/>
        <v>1</v>
      </c>
      <c r="T81" s="1"/>
      <c r="U81" s="1"/>
      <c r="V81" s="1"/>
      <c r="W81" s="1"/>
      <c r="X81" s="1"/>
      <c r="Y81" s="1"/>
      <c r="Z81" s="1"/>
    </row>
    <row r="82" spans="1:256">
      <c r="A82" s="56" t="s">
        <v>142</v>
      </c>
      <c r="B82" s="164"/>
      <c r="C82" s="12">
        <f>G148</f>
        <v>0</v>
      </c>
      <c r="D82" s="164"/>
      <c r="E82" s="164"/>
      <c r="F82" s="164"/>
      <c r="G82" s="12">
        <f>H148</f>
        <v>0</v>
      </c>
      <c r="H82" s="12">
        <f>I148</f>
        <v>12096</v>
      </c>
      <c r="I82" s="209">
        <f t="shared" si="30"/>
        <v>12096</v>
      </c>
      <c r="J82" s="1"/>
      <c r="K82" s="164">
        <f t="shared" si="31"/>
        <v>0</v>
      </c>
      <c r="L82" s="164">
        <f t="shared" si="31"/>
        <v>0</v>
      </c>
      <c r="M82" s="164">
        <f t="shared" si="31"/>
        <v>0</v>
      </c>
      <c r="N82" s="164">
        <f t="shared" si="31"/>
        <v>0</v>
      </c>
      <c r="O82" s="164">
        <f t="shared" si="31"/>
        <v>0</v>
      </c>
      <c r="P82" s="164">
        <f t="shared" si="31"/>
        <v>0</v>
      </c>
      <c r="Q82" s="426">
        <v>0</v>
      </c>
      <c r="R82" s="426">
        <v>0</v>
      </c>
      <c r="S82" s="164">
        <f t="shared" si="32"/>
        <v>1</v>
      </c>
      <c r="T82" s="1"/>
      <c r="U82" s="1"/>
      <c r="V82" s="1"/>
      <c r="W82" s="1"/>
      <c r="X82" s="1"/>
      <c r="Y82" s="1"/>
      <c r="Z82" s="1"/>
    </row>
    <row r="83" spans="1:256">
      <c r="A83" s="56" t="s">
        <v>138</v>
      </c>
      <c r="B83" s="164"/>
      <c r="C83" s="1"/>
      <c r="D83" s="12">
        <f>G158</f>
        <v>163454.76</v>
      </c>
      <c r="E83" s="164"/>
      <c r="F83" s="164"/>
      <c r="G83" s="12">
        <f>H158</f>
        <v>18370.68</v>
      </c>
      <c r="H83" s="12">
        <f>I158</f>
        <v>0</v>
      </c>
      <c r="I83" s="209">
        <f t="shared" si="30"/>
        <v>181825.44</v>
      </c>
      <c r="K83" s="164">
        <f t="shared" si="31"/>
        <v>0</v>
      </c>
      <c r="L83" s="164">
        <f t="shared" si="31"/>
        <v>0</v>
      </c>
      <c r="M83" s="164">
        <f t="shared" si="31"/>
        <v>0.89896529330549124</v>
      </c>
      <c r="N83" s="164">
        <f t="shared" si="31"/>
        <v>0</v>
      </c>
      <c r="O83" s="164">
        <f t="shared" si="31"/>
        <v>0</v>
      </c>
      <c r="P83" s="65">
        <f t="shared" si="31"/>
        <v>0.10103470669450876</v>
      </c>
      <c r="Q83" s="426">
        <v>0</v>
      </c>
      <c r="R83" s="426">
        <v>0</v>
      </c>
      <c r="S83" s="164">
        <f t="shared" si="32"/>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33">B151*$G88</f>
        <v>0</v>
      </c>
      <c r="H151" s="67">
        <f t="shared" si="33"/>
        <v>0</v>
      </c>
      <c r="I151" s="67">
        <f t="shared" si="33"/>
        <v>0</v>
      </c>
    </row>
    <row r="152" spans="1:9">
      <c r="A152" s="219" t="s">
        <v>79</v>
      </c>
      <c r="B152" s="220"/>
      <c r="C152" s="220">
        <v>1</v>
      </c>
      <c r="D152" s="220"/>
      <c r="E152" s="1"/>
      <c r="F152" s="219" t="s">
        <v>79</v>
      </c>
      <c r="G152" s="67">
        <f t="shared" si="33"/>
        <v>0</v>
      </c>
      <c r="H152" s="67">
        <f t="shared" si="33"/>
        <v>186</v>
      </c>
      <c r="I152" s="67">
        <f t="shared" si="33"/>
        <v>0</v>
      </c>
    </row>
    <row r="153" spans="1:9">
      <c r="A153" s="219" t="s">
        <v>513</v>
      </c>
      <c r="B153" s="220"/>
      <c r="C153" s="220"/>
      <c r="D153" s="220"/>
      <c r="E153" s="1"/>
      <c r="F153" s="219" t="s">
        <v>513</v>
      </c>
      <c r="G153" s="67">
        <f t="shared" si="33"/>
        <v>0</v>
      </c>
      <c r="H153" s="67">
        <f t="shared" si="33"/>
        <v>0</v>
      </c>
      <c r="I153" s="67">
        <f t="shared" si="33"/>
        <v>0</v>
      </c>
    </row>
    <row r="154" spans="1:9">
      <c r="A154" s="12" t="s">
        <v>514</v>
      </c>
      <c r="B154" s="220"/>
      <c r="C154" s="220"/>
      <c r="D154" s="220"/>
      <c r="E154" s="1"/>
      <c r="F154" s="12" t="s">
        <v>514</v>
      </c>
      <c r="G154" s="67">
        <f t="shared" si="33"/>
        <v>0</v>
      </c>
      <c r="H154" s="67">
        <f t="shared" si="33"/>
        <v>0</v>
      </c>
      <c r="I154" s="67">
        <f t="shared" si="33"/>
        <v>0</v>
      </c>
    </row>
    <row r="155" spans="1:9">
      <c r="A155" s="217" t="s">
        <v>515</v>
      </c>
      <c r="B155" s="220">
        <v>0.9</v>
      </c>
      <c r="C155" s="220">
        <v>0.1</v>
      </c>
      <c r="D155" s="220"/>
      <c r="E155" s="1"/>
      <c r="F155" s="217" t="s">
        <v>515</v>
      </c>
      <c r="G155" s="67">
        <f t="shared" si="33"/>
        <v>163428.84</v>
      </c>
      <c r="H155" s="67">
        <f t="shared" si="33"/>
        <v>18158.760000000002</v>
      </c>
      <c r="I155" s="67">
        <f t="shared" si="33"/>
        <v>0</v>
      </c>
    </row>
    <row r="156" spans="1:9">
      <c r="A156" s="217" t="s">
        <v>516</v>
      </c>
      <c r="B156" s="220">
        <v>0.5</v>
      </c>
      <c r="C156" s="220">
        <v>0.5</v>
      </c>
      <c r="D156" s="220"/>
      <c r="E156" s="1"/>
      <c r="F156" s="217" t="s">
        <v>516</v>
      </c>
      <c r="G156" s="67">
        <f t="shared" si="33"/>
        <v>25.92</v>
      </c>
      <c r="H156" s="67">
        <f t="shared" si="33"/>
        <v>25.92</v>
      </c>
      <c r="I156" s="67">
        <f t="shared" si="33"/>
        <v>0</v>
      </c>
    </row>
    <row r="157" spans="1:9">
      <c r="A157" s="217" t="s">
        <v>517</v>
      </c>
      <c r="B157" s="220"/>
      <c r="C157" s="220"/>
      <c r="D157" s="220"/>
      <c r="E157" s="1"/>
      <c r="F157" s="217" t="s">
        <v>517</v>
      </c>
      <c r="G157" s="67">
        <f t="shared" si="33"/>
        <v>0</v>
      </c>
      <c r="H157" s="67">
        <f t="shared" si="33"/>
        <v>0</v>
      </c>
      <c r="I157" s="67">
        <f t="shared" si="33"/>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75:I75"/>
    <mergeCell ref="A1:I1"/>
    <mergeCell ref="A14:I14"/>
    <mergeCell ref="A18:I18"/>
    <mergeCell ref="A32:J32"/>
    <mergeCell ref="A44:I44"/>
    <mergeCell ref="A53:I53"/>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7">
    <tabColor rgb="FF00B0F0"/>
  </sheetPr>
  <dimension ref="A1:IV172"/>
  <sheetViews>
    <sheetView zoomScale="93" workbookViewId="0">
      <selection activeCell="B10" sqref="B10"/>
    </sheetView>
  </sheetViews>
  <sheetFormatPr defaultColWidth="9" defaultRowHeight="12.75"/>
  <cols>
    <col min="1" max="1" width="24.140625" style="68" customWidth="1"/>
    <col min="2" max="2" width="14.28515625" style="68" customWidth="1"/>
    <col min="3" max="3" width="15.140625" style="68" customWidth="1"/>
    <col min="4" max="4" width="12" style="68" customWidth="1"/>
    <col min="5" max="5" width="10" style="68" customWidth="1"/>
    <col min="6" max="6" width="12.85546875" style="68" customWidth="1"/>
    <col min="7" max="7" width="10.28515625" style="68" customWidth="1"/>
    <col min="8" max="8" width="13.140625" style="68" customWidth="1"/>
    <col min="9" max="9" width="12.140625" style="68" customWidth="1"/>
    <col min="10" max="10" width="12.85546875" style="68" customWidth="1"/>
    <col min="11" max="11" width="14.140625" style="68" customWidth="1"/>
    <col min="12" max="13" width="9" style="68"/>
    <col min="14" max="14" width="12.140625" style="68" customWidth="1"/>
    <col min="15" max="15" width="13.7109375" style="68" bestFit="1" customWidth="1"/>
    <col min="16" max="16384" width="9" style="68"/>
  </cols>
  <sheetData>
    <row r="1" spans="1:256" s="158" customFormat="1" ht="12.75" customHeight="1">
      <c r="A1" s="799" t="s">
        <v>1262</v>
      </c>
      <c r="B1" s="799"/>
      <c r="C1" s="799"/>
      <c r="D1" s="799"/>
      <c r="E1" s="799"/>
      <c r="F1" s="799"/>
      <c r="G1" s="799"/>
      <c r="H1" s="799"/>
      <c r="I1" s="799"/>
      <c r="J1" s="156"/>
      <c r="K1" s="156"/>
      <c r="L1" s="156"/>
      <c r="M1" s="156"/>
      <c r="N1" s="156"/>
      <c r="O1" s="156"/>
      <c r="P1" s="156"/>
      <c r="Q1" s="156"/>
      <c r="R1" s="4"/>
      <c r="S1" s="4"/>
    </row>
    <row r="2" spans="1:256">
      <c r="A2" s="187"/>
      <c r="B2" s="41" t="s">
        <v>110</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188" t="s">
        <v>489</v>
      </c>
      <c r="B3" s="682">
        <v>162539.27368122499</v>
      </c>
      <c r="C3" s="1"/>
      <c r="D3" s="671">
        <f>B3/$B$11</f>
        <v>0.87798366696631425</v>
      </c>
      <c r="E3" s="1"/>
      <c r="F3" s="24"/>
      <c r="G3" s="614"/>
      <c r="H3" s="582"/>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188" t="s">
        <v>138</v>
      </c>
      <c r="B4" s="682">
        <v>4034.8708055603502</v>
      </c>
      <c r="C4" s="1"/>
      <c r="D4" s="671">
        <f t="shared" ref="D4:D10" si="0">B4/$B$11</f>
        <v>2.1795044270647584E-2</v>
      </c>
      <c r="E4" s="1"/>
      <c r="F4" s="24"/>
      <c r="G4" s="614"/>
      <c r="H4" s="582"/>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188" t="s">
        <v>490</v>
      </c>
      <c r="B5" s="682">
        <v>2564.1871713843898</v>
      </c>
      <c r="C5" s="1"/>
      <c r="D5" s="671">
        <f t="shared" si="0"/>
        <v>1.3850895260768586E-2</v>
      </c>
      <c r="E5" s="1"/>
      <c r="F5" s="613"/>
      <c r="G5" s="614"/>
      <c r="H5" s="582"/>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88" t="s">
        <v>491</v>
      </c>
      <c r="B6" s="682">
        <v>15025.9521504608</v>
      </c>
      <c r="C6" s="1"/>
      <c r="D6" s="671">
        <f t="shared" si="0"/>
        <v>8.1165248680730551E-2</v>
      </c>
      <c r="E6" s="1"/>
      <c r="F6" s="613"/>
      <c r="G6" s="614"/>
      <c r="H6" s="582"/>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c r="A7" s="188" t="s">
        <v>492</v>
      </c>
      <c r="B7" s="682">
        <v>233.142782314313</v>
      </c>
      <c r="C7" s="1"/>
      <c r="D7" s="671">
        <f t="shared" si="0"/>
        <v>1.2593605859498446E-3</v>
      </c>
      <c r="E7" s="1"/>
      <c r="F7" s="613"/>
      <c r="G7" s="614"/>
      <c r="H7" s="582"/>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row>
    <row r="8" spans="1:256">
      <c r="A8" s="188" t="s">
        <v>465</v>
      </c>
      <c r="B8" s="682">
        <v>35</v>
      </c>
      <c r="C8" s="1"/>
      <c r="D8" s="671">
        <f t="shared" si="0"/>
        <v>1.8905848197702739E-4</v>
      </c>
      <c r="E8" s="1"/>
      <c r="F8" s="613"/>
      <c r="G8" s="614"/>
      <c r="H8" s="58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188" t="s">
        <v>493</v>
      </c>
      <c r="B9" s="682"/>
      <c r="C9" s="1"/>
      <c r="D9" s="671">
        <f t="shared" si="0"/>
        <v>0</v>
      </c>
      <c r="E9" s="1"/>
      <c r="F9" s="613"/>
      <c r="G9" s="614"/>
      <c r="H9" s="58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88" t="s">
        <v>494</v>
      </c>
      <c r="B10" s="684">
        <v>695.47475469735889</v>
      </c>
      <c r="C10" s="1"/>
      <c r="D10" s="671">
        <f t="shared" si="0"/>
        <v>3.7567257536122336E-3</v>
      </c>
      <c r="E10" s="1"/>
      <c r="F10" s="613"/>
      <c r="G10" s="614"/>
      <c r="H10" s="582"/>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88" t="s">
        <v>224</v>
      </c>
      <c r="B11" s="682">
        <f>SUM(B3:B10)</f>
        <v>185127.9013456422</v>
      </c>
      <c r="C11" s="1"/>
      <c r="D11" s="581">
        <f>SUM(D3:D10)</f>
        <v>1</v>
      </c>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88"/>
      <c r="B12" s="189"/>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s="158" customFormat="1" ht="12.75" customHeight="1">
      <c r="A14" s="799" t="s">
        <v>1268</v>
      </c>
      <c r="B14" s="799"/>
      <c r="C14" s="799"/>
      <c r="D14" s="799"/>
      <c r="E14" s="799"/>
      <c r="F14" s="799"/>
      <c r="G14" s="799"/>
      <c r="H14" s="799"/>
      <c r="I14" s="799"/>
      <c r="J14" s="156"/>
      <c r="K14" s="156"/>
      <c r="L14" s="156"/>
      <c r="M14" s="156"/>
      <c r="N14" s="156"/>
      <c r="O14" s="156"/>
      <c r="P14" s="156"/>
      <c r="Q14" s="156"/>
      <c r="R14" s="4"/>
      <c r="S14" s="4"/>
    </row>
    <row r="15" spans="1:2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t="s">
        <v>484</v>
      </c>
      <c r="B16" s="672">
        <f>'floor space forecast_SA'!$C$40</f>
        <v>132.81548999999998</v>
      </c>
      <c r="C16" s="1" t="s">
        <v>485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s="158" customFormat="1" ht="12.75" customHeight="1">
      <c r="A18" s="799" t="s">
        <v>1269</v>
      </c>
      <c r="B18" s="799"/>
      <c r="C18" s="799"/>
      <c r="D18" s="799"/>
      <c r="E18" s="799"/>
      <c r="F18" s="799"/>
      <c r="G18" s="799"/>
      <c r="H18" s="799"/>
      <c r="I18" s="799"/>
      <c r="J18" s="156"/>
      <c r="K18" s="156"/>
      <c r="L18" s="156"/>
      <c r="M18" s="156"/>
      <c r="N18" s="156"/>
      <c r="O18" s="156"/>
      <c r="P18" s="156"/>
      <c r="Q18" s="156"/>
      <c r="R18" s="4"/>
      <c r="S18" s="4"/>
    </row>
    <row r="19" spans="1:256">
      <c r="A19" s="1"/>
      <c r="B19" s="1"/>
      <c r="C19" s="1"/>
      <c r="D19" s="1"/>
      <c r="E19" s="1"/>
      <c r="F19" s="1"/>
      <c r="G19" s="1"/>
      <c r="H19" s="1"/>
      <c r="I19" s="1"/>
      <c r="J19" s="1"/>
      <c r="K19" s="1"/>
      <c r="L19" s="1"/>
      <c r="M19" s="1"/>
      <c r="N19" s="1"/>
      <c r="O19" s="1" t="s">
        <v>495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ht="25.5">
      <c r="A20" s="191" t="s">
        <v>467</v>
      </c>
      <c r="B20" s="160" t="s">
        <v>42</v>
      </c>
      <c r="C20" s="160" t="s">
        <v>146</v>
      </c>
      <c r="D20" s="160" t="s">
        <v>469</v>
      </c>
      <c r="E20" s="160" t="s">
        <v>470</v>
      </c>
      <c r="F20" s="160" t="s">
        <v>471</v>
      </c>
      <c r="G20" s="160" t="s">
        <v>472</v>
      </c>
      <c r="H20" s="418" t="s">
        <v>815</v>
      </c>
      <c r="I20" s="418" t="s">
        <v>816</v>
      </c>
      <c r="J20" s="160" t="s">
        <v>43</v>
      </c>
      <c r="K20" s="160" t="s">
        <v>496</v>
      </c>
      <c r="L20" s="160" t="s">
        <v>497</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c r="A21" s="56" t="s">
        <v>489</v>
      </c>
      <c r="B21" s="192">
        <f>$B3*B$35/$B$16</f>
        <v>218.17943671489073</v>
      </c>
      <c r="C21" s="192">
        <f t="shared" ref="C21:J21" si="1">$B3*C$35/$B$16</f>
        <v>24.076925002111064</v>
      </c>
      <c r="D21" s="192">
        <f t="shared" si="1"/>
        <v>10.55571584922183</v>
      </c>
      <c r="E21" s="192">
        <f t="shared" si="1"/>
        <v>403.09209017123828</v>
      </c>
      <c r="F21" s="192">
        <f t="shared" si="1"/>
        <v>241.49231565906314</v>
      </c>
      <c r="G21" s="192">
        <f t="shared" si="1"/>
        <v>77.753855580955317</v>
      </c>
      <c r="H21" s="192">
        <f t="shared" si="1"/>
        <v>24.624909157931629</v>
      </c>
      <c r="I21" s="192">
        <f t="shared" si="1"/>
        <v>29.072063394934055</v>
      </c>
      <c r="J21" s="192">
        <f t="shared" si="1"/>
        <v>194.95025666915376</v>
      </c>
      <c r="K21" s="192">
        <f t="shared" ref="K21:K29" si="2">SUM(B21:J21)</f>
        <v>1223.7975681994999</v>
      </c>
      <c r="L21" s="193">
        <f t="shared" ref="L21:L29" si="3">K21/$B$163</f>
        <v>339.94376894430553</v>
      </c>
      <c r="M21" s="1"/>
      <c r="N21" s="1"/>
      <c r="O21" s="1"/>
      <c r="P21" s="1"/>
      <c r="Q21" s="161"/>
    </row>
    <row r="22" spans="1:256">
      <c r="A22" s="56" t="s">
        <v>490</v>
      </c>
      <c r="B22" s="192">
        <f>$B5*B$36/$B$16</f>
        <v>0</v>
      </c>
      <c r="C22" s="192">
        <f t="shared" ref="C22:J22" si="4">$B5*C$36/$B$16</f>
        <v>0</v>
      </c>
      <c r="D22" s="192">
        <f t="shared" si="4"/>
        <v>19.306386411587912</v>
      </c>
      <c r="E22" s="192">
        <f t="shared" si="4"/>
        <v>0</v>
      </c>
      <c r="F22" s="192">
        <f t="shared" si="4"/>
        <v>0</v>
      </c>
      <c r="G22" s="192">
        <f t="shared" si="4"/>
        <v>0</v>
      </c>
      <c r="H22" s="192">
        <f t="shared" si="4"/>
        <v>0</v>
      </c>
      <c r="I22" s="192">
        <f t="shared" si="4"/>
        <v>0</v>
      </c>
      <c r="J22" s="192">
        <f t="shared" si="4"/>
        <v>0</v>
      </c>
      <c r="K22" s="194">
        <f t="shared" si="2"/>
        <v>19.306386411587912</v>
      </c>
      <c r="L22" s="193">
        <f t="shared" si="3"/>
        <v>5.3628851143299752</v>
      </c>
      <c r="M22" s="1"/>
      <c r="N22" s="1"/>
      <c r="O22" s="1"/>
      <c r="P22" s="1"/>
      <c r="Q22" s="161"/>
      <c r="R22" s="1"/>
      <c r="S22" s="1"/>
      <c r="T22" s="1"/>
      <c r="U22" s="1"/>
      <c r="V22" s="1"/>
      <c r="W22" s="1"/>
      <c r="X22" s="1"/>
      <c r="Y22" s="1"/>
      <c r="Z22" s="1"/>
      <c r="AA22" s="1"/>
      <c r="AB22" s="1"/>
      <c r="AC22" s="1"/>
      <c r="AD22" s="1"/>
      <c r="AE22" s="1"/>
      <c r="AF22" s="1"/>
      <c r="AG22" s="1"/>
      <c r="AH22" s="1"/>
    </row>
    <row r="23" spans="1:256">
      <c r="A23" s="56" t="s">
        <v>493</v>
      </c>
      <c r="B23" s="192">
        <f>$B9*B$37/$B$16</f>
        <v>0</v>
      </c>
      <c r="C23" s="192">
        <f t="shared" ref="C23:J23" si="5">$B9*C$37/$B$16</f>
        <v>0</v>
      </c>
      <c r="D23" s="192">
        <f t="shared" si="5"/>
        <v>0</v>
      </c>
      <c r="E23" s="192">
        <f t="shared" si="5"/>
        <v>0</v>
      </c>
      <c r="F23" s="192">
        <f t="shared" si="5"/>
        <v>0</v>
      </c>
      <c r="G23" s="192">
        <f t="shared" si="5"/>
        <v>0</v>
      </c>
      <c r="H23" s="192">
        <f t="shared" si="5"/>
        <v>0</v>
      </c>
      <c r="I23" s="192">
        <f t="shared" si="5"/>
        <v>0</v>
      </c>
      <c r="J23" s="192">
        <f t="shared" si="5"/>
        <v>0</v>
      </c>
      <c r="K23" s="194">
        <f t="shared" si="2"/>
        <v>0</v>
      </c>
      <c r="L23" s="193">
        <f t="shared" si="3"/>
        <v>0</v>
      </c>
      <c r="M23" s="1"/>
      <c r="N23" s="1"/>
      <c r="O23" s="1"/>
      <c r="P23" s="1"/>
      <c r="Q23" s="161"/>
      <c r="R23" s="1"/>
      <c r="S23" s="1"/>
      <c r="T23" s="1"/>
      <c r="U23" s="1"/>
      <c r="V23" s="1"/>
      <c r="W23" s="1"/>
      <c r="X23" s="1"/>
      <c r="Y23" s="1"/>
      <c r="Z23" s="1"/>
      <c r="AA23" s="1"/>
      <c r="AB23" s="1"/>
      <c r="AC23" s="1"/>
      <c r="AD23" s="1"/>
      <c r="AE23" s="1"/>
      <c r="AF23" s="1"/>
      <c r="AG23" s="1"/>
      <c r="AH23" s="1"/>
    </row>
    <row r="24" spans="1:256">
      <c r="A24" s="56" t="s">
        <v>491</v>
      </c>
      <c r="B24" s="192">
        <f>$B6*B$38/$B$16</f>
        <v>0</v>
      </c>
      <c r="C24" s="192">
        <f t="shared" ref="C24:J24" si="6">$B6*C$38/$B$16</f>
        <v>61.451156143695258</v>
      </c>
      <c r="D24" s="192">
        <f t="shared" si="6"/>
        <v>51.602135227513962</v>
      </c>
      <c r="E24" s="192">
        <f t="shared" si="6"/>
        <v>0</v>
      </c>
      <c r="F24" s="192">
        <f t="shared" si="6"/>
        <v>0</v>
      </c>
      <c r="G24" s="192">
        <f t="shared" si="6"/>
        <v>8.0742546527356851E-2</v>
      </c>
      <c r="H24" s="192">
        <f t="shared" si="6"/>
        <v>0</v>
      </c>
      <c r="I24" s="192">
        <f t="shared" si="6"/>
        <v>0</v>
      </c>
      <c r="J24" s="192">
        <f t="shared" si="6"/>
        <v>0</v>
      </c>
      <c r="K24" s="194">
        <f t="shared" si="2"/>
        <v>113.13403391773657</v>
      </c>
      <c r="L24" s="193">
        <f t="shared" si="3"/>
        <v>31.426120532704601</v>
      </c>
      <c r="M24" s="1"/>
      <c r="N24" s="1"/>
      <c r="O24" s="1"/>
      <c r="P24" s="1"/>
      <c r="Q24" s="161"/>
      <c r="R24" s="1"/>
      <c r="S24" s="1"/>
      <c r="T24" s="1"/>
      <c r="U24" s="1"/>
      <c r="V24" s="1"/>
      <c r="W24" s="1"/>
      <c r="X24" s="1"/>
      <c r="Y24" s="1"/>
      <c r="Z24" s="1"/>
      <c r="AA24" s="1"/>
      <c r="AB24" s="1"/>
      <c r="AC24" s="1"/>
      <c r="AD24" s="1"/>
      <c r="AE24" s="1"/>
      <c r="AF24" s="1"/>
      <c r="AG24" s="1"/>
      <c r="AH24" s="1"/>
    </row>
    <row r="25" spans="1:256">
      <c r="A25" s="56" t="s">
        <v>494</v>
      </c>
      <c r="B25" s="192">
        <f>$B10*B$39/$B$16</f>
        <v>0</v>
      </c>
      <c r="C25" s="192">
        <f t="shared" ref="C25:J25" si="7">$B10*C$39/$B$16</f>
        <v>0</v>
      </c>
      <c r="D25" s="192">
        <f t="shared" si="7"/>
        <v>0</v>
      </c>
      <c r="E25" s="192">
        <f t="shared" si="7"/>
        <v>0</v>
      </c>
      <c r="F25" s="192">
        <f t="shared" si="7"/>
        <v>0</v>
      </c>
      <c r="G25" s="192">
        <f t="shared" si="7"/>
        <v>0</v>
      </c>
      <c r="H25" s="192">
        <f t="shared" si="7"/>
        <v>0</v>
      </c>
      <c r="I25" s="192">
        <f t="shared" si="7"/>
        <v>0</v>
      </c>
      <c r="J25" s="192">
        <f t="shared" si="7"/>
        <v>5.2363979133560328</v>
      </c>
      <c r="K25" s="194">
        <f t="shared" si="2"/>
        <v>5.2363979133560328</v>
      </c>
      <c r="L25" s="193">
        <f t="shared" si="3"/>
        <v>1.4545549759322314</v>
      </c>
      <c r="M25" s="1"/>
      <c r="N25" s="1"/>
      <c r="O25" s="1"/>
      <c r="P25" s="1"/>
      <c r="Q25" s="161"/>
      <c r="R25" s="1"/>
      <c r="S25" s="1"/>
      <c r="T25" s="1"/>
      <c r="U25" s="1"/>
      <c r="V25" s="1"/>
      <c r="W25" s="1"/>
      <c r="X25" s="1"/>
      <c r="Y25" s="1"/>
      <c r="Z25" s="1"/>
      <c r="AA25" s="1"/>
      <c r="AB25" s="1"/>
      <c r="AC25" s="1"/>
      <c r="AD25" s="1"/>
      <c r="AE25" s="1"/>
      <c r="AF25" s="1"/>
      <c r="AG25" s="1"/>
      <c r="AH25" s="1"/>
    </row>
    <row r="26" spans="1:256">
      <c r="A26" s="56" t="s">
        <v>492</v>
      </c>
      <c r="B26" s="192">
        <f>$B7*B$40/$B$16</f>
        <v>0</v>
      </c>
      <c r="C26" s="192">
        <f t="shared" ref="C26:J26" si="8">$B7*C$40/$B$16</f>
        <v>0</v>
      </c>
      <c r="D26" s="192">
        <f t="shared" si="8"/>
        <v>0</v>
      </c>
      <c r="E26" s="192">
        <f t="shared" si="8"/>
        <v>0</v>
      </c>
      <c r="F26" s="192">
        <f t="shared" si="8"/>
        <v>0</v>
      </c>
      <c r="G26" s="192">
        <f t="shared" si="8"/>
        <v>0</v>
      </c>
      <c r="H26" s="192">
        <f t="shared" si="8"/>
        <v>0</v>
      </c>
      <c r="I26" s="192">
        <f t="shared" si="8"/>
        <v>0</v>
      </c>
      <c r="J26" s="192">
        <f t="shared" si="8"/>
        <v>1.7553884890558551</v>
      </c>
      <c r="K26" s="194">
        <f t="shared" si="2"/>
        <v>1.7553884890558551</v>
      </c>
      <c r="L26" s="193">
        <f t="shared" si="3"/>
        <v>0.48760791362662642</v>
      </c>
      <c r="M26" s="1"/>
      <c r="N26" s="1"/>
      <c r="O26" s="1"/>
      <c r="P26" s="1"/>
      <c r="Q26" s="161"/>
      <c r="R26" s="1"/>
      <c r="S26" s="1"/>
      <c r="T26" s="1"/>
      <c r="U26" s="1"/>
      <c r="V26" s="1"/>
      <c r="W26" s="1"/>
      <c r="X26" s="1"/>
      <c r="Y26" s="1"/>
      <c r="Z26" s="1"/>
      <c r="AA26" s="1"/>
      <c r="AB26" s="1"/>
      <c r="AC26" s="1"/>
      <c r="AD26" s="1"/>
      <c r="AE26" s="1"/>
      <c r="AF26" s="1"/>
      <c r="AG26" s="1"/>
      <c r="AH26" s="1"/>
    </row>
    <row r="27" spans="1:256">
      <c r="A27" s="56" t="s">
        <v>138</v>
      </c>
      <c r="B27" s="192">
        <f>$B4*B$41/$B$16</f>
        <v>0</v>
      </c>
      <c r="C27" s="192">
        <f t="shared" ref="C27:J27" si="9">$B4*C$41/$B$16</f>
        <v>0</v>
      </c>
      <c r="D27" s="192">
        <f t="shared" si="9"/>
        <v>27.310133909608922</v>
      </c>
      <c r="E27" s="192">
        <f t="shared" si="9"/>
        <v>0</v>
      </c>
      <c r="F27" s="192">
        <f t="shared" si="9"/>
        <v>0</v>
      </c>
      <c r="G27" s="192">
        <f t="shared" si="9"/>
        <v>3.069385870503706</v>
      </c>
      <c r="H27" s="192">
        <f t="shared" si="9"/>
        <v>0</v>
      </c>
      <c r="I27" s="192">
        <f t="shared" si="9"/>
        <v>0</v>
      </c>
      <c r="J27" s="192">
        <f t="shared" si="9"/>
        <v>0</v>
      </c>
      <c r="K27" s="194">
        <f t="shared" si="2"/>
        <v>30.379519780112627</v>
      </c>
      <c r="L27" s="193">
        <f t="shared" si="3"/>
        <v>8.4387554944757301</v>
      </c>
      <c r="M27" s="1"/>
      <c r="N27" s="1"/>
      <c r="O27" s="1"/>
      <c r="P27" s="1"/>
      <c r="Q27" s="161"/>
      <c r="R27" s="1"/>
      <c r="S27" s="1"/>
      <c r="T27" s="1"/>
      <c r="U27" s="1"/>
      <c r="V27" s="1"/>
      <c r="W27" s="1"/>
      <c r="X27" s="1"/>
      <c r="Y27" s="1"/>
      <c r="Z27" s="1"/>
      <c r="AA27" s="1"/>
      <c r="AB27" s="1"/>
      <c r="AC27" s="1"/>
      <c r="AD27" s="1"/>
      <c r="AE27" s="1"/>
      <c r="AF27" s="1"/>
      <c r="AG27" s="1"/>
      <c r="AH27" s="1"/>
    </row>
    <row r="28" spans="1:256">
      <c r="A28" s="56" t="s">
        <v>465</v>
      </c>
      <c r="B28" s="192">
        <f>$B8*B$42/$B$16</f>
        <v>0</v>
      </c>
      <c r="C28" s="192">
        <f t="shared" ref="C28:J28" si="10">$B8*C$42/$B$16</f>
        <v>7.6048180912808336E-2</v>
      </c>
      <c r="D28" s="192">
        <f t="shared" si="10"/>
        <v>0.18747529816331451</v>
      </c>
      <c r="E28" s="192">
        <f t="shared" si="10"/>
        <v>0</v>
      </c>
      <c r="F28" s="192">
        <f t="shared" si="10"/>
        <v>0</v>
      </c>
      <c r="G28" s="192">
        <f t="shared" si="10"/>
        <v>0</v>
      </c>
      <c r="H28" s="192">
        <f t="shared" si="10"/>
        <v>0</v>
      </c>
      <c r="I28" s="192">
        <f t="shared" si="10"/>
        <v>0</v>
      </c>
      <c r="J28" s="192">
        <f t="shared" si="10"/>
        <v>0</v>
      </c>
      <c r="K28" s="194">
        <f t="shared" si="2"/>
        <v>0.26352347907612284</v>
      </c>
      <c r="L28" s="193">
        <f t="shared" si="3"/>
        <v>7.3200966410034124E-2</v>
      </c>
      <c r="M28" s="1"/>
      <c r="N28" s="1"/>
      <c r="O28" s="1"/>
      <c r="P28" s="1"/>
      <c r="Q28" s="161"/>
      <c r="R28" s="1"/>
      <c r="S28" s="1"/>
      <c r="T28" s="1"/>
      <c r="U28" s="1"/>
      <c r="V28" s="1"/>
      <c r="W28" s="1"/>
      <c r="X28" s="1"/>
      <c r="Y28" s="1"/>
      <c r="Z28" s="1"/>
      <c r="AA28" s="1"/>
      <c r="AB28" s="1"/>
      <c r="AC28" s="1"/>
      <c r="AD28" s="1"/>
      <c r="AE28" s="1"/>
      <c r="AF28" s="1"/>
      <c r="AG28" s="1"/>
      <c r="AH28" s="1"/>
    </row>
    <row r="29" spans="1:256">
      <c r="A29" s="184" t="s">
        <v>498</v>
      </c>
      <c r="B29" s="192">
        <f>SUM(B21:B28)</f>
        <v>218.17943671489073</v>
      </c>
      <c r="C29" s="192">
        <f t="shared" ref="C29:J29" si="11">SUM(C21:C28)</f>
        <v>85.604129326719132</v>
      </c>
      <c r="D29" s="192">
        <f t="shared" si="11"/>
        <v>108.96184669609595</v>
      </c>
      <c r="E29" s="192">
        <f t="shared" si="11"/>
        <v>403.09209017123828</v>
      </c>
      <c r="F29" s="192">
        <f t="shared" si="11"/>
        <v>241.49231565906314</v>
      </c>
      <c r="G29" s="192">
        <f t="shared" si="11"/>
        <v>80.903983997986387</v>
      </c>
      <c r="H29" s="192">
        <f t="shared" si="11"/>
        <v>24.624909157931629</v>
      </c>
      <c r="I29" s="192">
        <f t="shared" si="11"/>
        <v>29.072063394934055</v>
      </c>
      <c r="J29" s="192">
        <f t="shared" si="11"/>
        <v>201.94204307156565</v>
      </c>
      <c r="K29" s="192">
        <f t="shared" si="2"/>
        <v>1393.8728181904251</v>
      </c>
      <c r="L29" s="193">
        <f t="shared" si="3"/>
        <v>387.18689394178472</v>
      </c>
      <c r="M29" s="1"/>
      <c r="N29" s="1"/>
      <c r="O29" s="1"/>
      <c r="P29" s="1"/>
      <c r="Q29" s="161"/>
      <c r="R29" s="1"/>
      <c r="S29" s="1"/>
      <c r="T29" s="1"/>
      <c r="U29" s="1"/>
      <c r="V29" s="1"/>
      <c r="W29" s="1"/>
      <c r="X29" s="1"/>
      <c r="Y29" s="1"/>
      <c r="Z29" s="1"/>
      <c r="AA29" s="1"/>
      <c r="AB29" s="1"/>
      <c r="AC29" s="1"/>
      <c r="AD29" s="1"/>
      <c r="AE29" s="1"/>
      <c r="AF29" s="1"/>
      <c r="AG29" s="1"/>
      <c r="AH29" s="1"/>
    </row>
    <row r="30" spans="1:256">
      <c r="A30" s="195" t="s">
        <v>497</v>
      </c>
      <c r="B30" s="64">
        <f t="shared" ref="B30:G30" si="12">B29/$B$163</f>
        <v>60.605399087469642</v>
      </c>
      <c r="C30" s="64">
        <f t="shared" si="12"/>
        <v>23.778924812977536</v>
      </c>
      <c r="D30" s="64">
        <f t="shared" si="12"/>
        <v>30.267179637804428</v>
      </c>
      <c r="E30" s="64">
        <f t="shared" si="12"/>
        <v>111.97002504756618</v>
      </c>
      <c r="F30" s="64">
        <f t="shared" si="12"/>
        <v>67.081198794184203</v>
      </c>
      <c r="G30" s="64">
        <f t="shared" si="12"/>
        <v>22.473328888329551</v>
      </c>
      <c r="H30" s="64">
        <f t="shared" ref="H30:I30" si="13">H29/$B$163</f>
        <v>6.8402525438698971</v>
      </c>
      <c r="I30" s="64">
        <f t="shared" si="13"/>
        <v>8.0755731652594598</v>
      </c>
      <c r="J30" s="64">
        <f>J29/$B$163</f>
        <v>56.095011964323788</v>
      </c>
      <c r="K30" s="64">
        <f>K29/$B$163</f>
        <v>387.18689394178472</v>
      </c>
      <c r="L30" s="1"/>
      <c r="M30" s="1"/>
      <c r="N30" s="1"/>
      <c r="O30" s="1"/>
      <c r="P30" s="1"/>
      <c r="Q30" s="1"/>
      <c r="R30" s="161"/>
      <c r="S30" s="1"/>
      <c r="T30" s="1"/>
      <c r="U30" s="1"/>
      <c r="V30" s="1"/>
      <c r="W30" s="1"/>
      <c r="X30" s="1"/>
      <c r="Y30" s="1"/>
      <c r="Z30" s="1"/>
      <c r="AA30" s="1"/>
      <c r="AB30" s="1"/>
      <c r="AC30" s="1"/>
      <c r="AD30" s="1"/>
      <c r="AE30" s="1"/>
      <c r="AF30" s="1"/>
      <c r="AG30" s="1"/>
      <c r="AH30" s="1"/>
      <c r="AI30" s="1"/>
    </row>
    <row r="31" spans="1:256">
      <c r="A31" s="1"/>
      <c r="B31" s="196"/>
      <c r="C31" s="196"/>
      <c r="D31" s="196"/>
      <c r="E31" s="196"/>
      <c r="F31" s="197"/>
      <c r="G31" s="196"/>
      <c r="H31" s="196"/>
      <c r="J31" s="197"/>
      <c r="K31" s="197"/>
      <c r="M31" s="198"/>
      <c r="N31" s="198"/>
      <c r="O31" s="198"/>
      <c r="P31" s="198"/>
      <c r="Q31" s="198"/>
      <c r="R31" s="198"/>
      <c r="S31" s="161"/>
      <c r="T31" s="1"/>
      <c r="U31" s="1"/>
      <c r="V31" s="1"/>
      <c r="W31" s="1"/>
      <c r="X31" s="1"/>
      <c r="Y31" s="1"/>
      <c r="Z31" s="1"/>
      <c r="AA31" s="1"/>
      <c r="AB31" s="1"/>
      <c r="AC31" s="1"/>
      <c r="AD31" s="1"/>
      <c r="AE31" s="1"/>
      <c r="AF31" s="1"/>
      <c r="AG31" s="1"/>
      <c r="AH31" s="1"/>
      <c r="AI31" s="1"/>
      <c r="AJ31" s="1"/>
    </row>
    <row r="32" spans="1:256" ht="12.75" customHeight="1">
      <c r="A32" s="799" t="s">
        <v>1282</v>
      </c>
      <c r="B32" s="799"/>
      <c r="C32" s="799"/>
      <c r="D32" s="799"/>
      <c r="E32" s="799"/>
      <c r="F32" s="799"/>
      <c r="G32" s="799"/>
      <c r="H32" s="799"/>
      <c r="I32" s="799"/>
      <c r="J32" s="799"/>
      <c r="K32" s="156"/>
      <c r="L32" s="156"/>
      <c r="M32" s="156"/>
      <c r="N32" s="156"/>
      <c r="O32" s="156"/>
      <c r="P32" s="156"/>
      <c r="Q32" s="156"/>
      <c r="R32" s="156"/>
      <c r="S32" s="4"/>
      <c r="T32" s="4"/>
    </row>
    <row r="33" spans="1:256">
      <c r="A33" s="169"/>
      <c r="B33" s="197"/>
      <c r="C33" s="197"/>
      <c r="D33" s="197"/>
      <c r="E33" s="197"/>
      <c r="F33" s="197"/>
      <c r="G33" s="197"/>
      <c r="H33" s="197"/>
      <c r="I33" s="197"/>
      <c r="J33" s="197"/>
      <c r="L33" s="198"/>
      <c r="M33" s="198"/>
      <c r="N33" s="198"/>
      <c r="O33" s="198" t="s">
        <v>137</v>
      </c>
      <c r="P33" s="198"/>
      <c r="Q33" s="198"/>
      <c r="R33" s="198"/>
      <c r="S33" s="161"/>
      <c r="T33" s="1"/>
      <c r="U33" s="1"/>
      <c r="V33" s="1"/>
      <c r="W33" s="1"/>
      <c r="X33" s="1"/>
      <c r="Y33" s="1"/>
      <c r="Z33" s="1"/>
      <c r="AA33" s="1"/>
      <c r="AB33" s="1"/>
      <c r="AC33" s="1"/>
      <c r="AD33" s="1"/>
      <c r="AE33" s="1"/>
      <c r="AF33" s="1"/>
      <c r="AG33" s="1"/>
      <c r="AH33" s="1"/>
      <c r="AI33" s="1"/>
      <c r="AJ33" s="1"/>
    </row>
    <row r="34" spans="1:256" ht="25.5">
      <c r="A34" s="1"/>
      <c r="B34" s="160" t="s">
        <v>42</v>
      </c>
      <c r="C34" s="160" t="s">
        <v>146</v>
      </c>
      <c r="D34" s="160" t="s">
        <v>469</v>
      </c>
      <c r="E34" s="160" t="s">
        <v>470</v>
      </c>
      <c r="F34" s="160" t="s">
        <v>471</v>
      </c>
      <c r="G34" s="160" t="s">
        <v>472</v>
      </c>
      <c r="H34" s="418" t="s">
        <v>819</v>
      </c>
      <c r="I34" s="418" t="s">
        <v>818</v>
      </c>
      <c r="J34" s="160" t="s">
        <v>43</v>
      </c>
      <c r="K34" s="1" t="s">
        <v>185</v>
      </c>
      <c r="L34" s="1"/>
      <c r="M34" s="1"/>
      <c r="N34" s="1"/>
      <c r="O34" s="1"/>
      <c r="P34" s="1"/>
      <c r="Q34" s="1"/>
      <c r="R34" s="1"/>
      <c r="S34" s="161"/>
      <c r="T34" s="1"/>
      <c r="U34" s="1"/>
      <c r="V34" s="1"/>
      <c r="W34" s="1"/>
      <c r="X34" s="1"/>
      <c r="Y34" s="1"/>
      <c r="Z34" s="1"/>
      <c r="AA34" s="1"/>
      <c r="AB34" s="1"/>
      <c r="AC34" s="1"/>
      <c r="AD34" s="1"/>
      <c r="AE34" s="1"/>
      <c r="AF34" s="1"/>
      <c r="AG34" s="1"/>
      <c r="AH34" s="1"/>
      <c r="AI34" s="1"/>
      <c r="AJ34" s="1"/>
    </row>
    <row r="35" spans="1:256">
      <c r="A35" s="56" t="s">
        <v>489</v>
      </c>
      <c r="B35" s="673">
        <f>B72</f>
        <v>0.17828065881507271</v>
      </c>
      <c r="C35" s="186">
        <f t="shared" ref="C35:F35" si="14">C72</f>
        <v>1.9673944145463536E-2</v>
      </c>
      <c r="D35" s="186">
        <f t="shared" si="14"/>
        <v>8.6253773691933548E-3</v>
      </c>
      <c r="E35" s="186">
        <f t="shared" si="14"/>
        <v>0.32937807742524239</v>
      </c>
      <c r="F35" s="186">
        <f t="shared" si="14"/>
        <v>0.19733027907087305</v>
      </c>
      <c r="G35" s="186">
        <f>G72</f>
        <v>6.3534899562964403E-2</v>
      </c>
      <c r="H35" s="427">
        <f>H72</f>
        <v>2.0121717674403277E-2</v>
      </c>
      <c r="I35" s="427">
        <f t="shared" ref="I35" si="15">I72</f>
        <v>2.3755614613376001E-2</v>
      </c>
      <c r="J35" s="186">
        <f>J72</f>
        <v>0.15929943132341109</v>
      </c>
      <c r="K35" s="1" t="s">
        <v>1360</v>
      </c>
      <c r="L35" s="496"/>
      <c r="M35" s="1"/>
      <c r="N35" s="1"/>
      <c r="O35" s="1"/>
      <c r="P35" s="1"/>
      <c r="Q35" s="1"/>
      <c r="R35" s="1"/>
      <c r="S35" s="161"/>
    </row>
    <row r="36" spans="1:256">
      <c r="A36" s="56" t="s">
        <v>490</v>
      </c>
      <c r="B36" s="186">
        <f>K78</f>
        <v>0</v>
      </c>
      <c r="C36" s="164">
        <f t="shared" ref="B36:G41" si="16">L78</f>
        <v>0</v>
      </c>
      <c r="D36" s="164">
        <f t="shared" si="16"/>
        <v>1</v>
      </c>
      <c r="E36" s="186">
        <f t="shared" si="16"/>
        <v>0</v>
      </c>
      <c r="F36" s="186">
        <f t="shared" si="16"/>
        <v>0</v>
      </c>
      <c r="G36" s="186">
        <f>P78</f>
        <v>0</v>
      </c>
      <c r="H36" s="186">
        <f t="shared" ref="H36:I36" si="17">Q78</f>
        <v>0</v>
      </c>
      <c r="I36" s="186">
        <f t="shared" si="17"/>
        <v>0</v>
      </c>
      <c r="J36" s="186">
        <f t="shared" ref="J36:J41" si="18">S78</f>
        <v>0</v>
      </c>
      <c r="K36" s="415" t="s">
        <v>499</v>
      </c>
      <c r="L36" s="496"/>
      <c r="M36" s="1"/>
      <c r="N36" s="1"/>
      <c r="O36" s="1"/>
      <c r="P36" s="1"/>
      <c r="Q36" s="1"/>
      <c r="R36" s="1"/>
      <c r="S36" s="161"/>
    </row>
    <row r="37" spans="1:256">
      <c r="A37" s="56" t="s">
        <v>493</v>
      </c>
      <c r="B37" s="186">
        <f t="shared" si="16"/>
        <v>0</v>
      </c>
      <c r="C37" s="164">
        <f t="shared" si="16"/>
        <v>1.2391573729863693E-3</v>
      </c>
      <c r="D37" s="164">
        <f t="shared" si="16"/>
        <v>0</v>
      </c>
      <c r="E37" s="186">
        <f t="shared" si="16"/>
        <v>0</v>
      </c>
      <c r="F37" s="186">
        <f t="shared" si="16"/>
        <v>0</v>
      </c>
      <c r="G37" s="186">
        <f t="shared" si="16"/>
        <v>0.99876084262701359</v>
      </c>
      <c r="H37" s="186">
        <f t="shared" ref="H37:H41" si="19">Q79</f>
        <v>0</v>
      </c>
      <c r="I37" s="186">
        <f t="shared" ref="I37:I41" si="20">R79</f>
        <v>0</v>
      </c>
      <c r="J37" s="186">
        <f t="shared" si="18"/>
        <v>0</v>
      </c>
      <c r="K37" s="415"/>
      <c r="L37" s="496"/>
      <c r="M37" s="1"/>
      <c r="N37" s="1"/>
      <c r="O37" s="1"/>
      <c r="P37" s="1"/>
      <c r="Q37" s="1"/>
      <c r="R37" s="1"/>
      <c r="S37" s="161"/>
    </row>
    <row r="38" spans="1:256">
      <c r="A38" s="56" t="s">
        <v>491</v>
      </c>
      <c r="B38" s="186">
        <f t="shared" si="16"/>
        <v>0</v>
      </c>
      <c r="C38" s="164">
        <f t="shared" si="16"/>
        <v>0.54317126346240241</v>
      </c>
      <c r="D38" s="164">
        <f t="shared" si="16"/>
        <v>0.45611504726363378</v>
      </c>
      <c r="E38" s="186">
        <f t="shared" si="16"/>
        <v>0</v>
      </c>
      <c r="F38" s="186">
        <f t="shared" si="16"/>
        <v>0</v>
      </c>
      <c r="G38" s="186">
        <f t="shared" si="16"/>
        <v>7.1368927396390168E-4</v>
      </c>
      <c r="H38" s="186">
        <f t="shared" si="19"/>
        <v>0</v>
      </c>
      <c r="I38" s="186">
        <f t="shared" si="20"/>
        <v>0</v>
      </c>
      <c r="J38" s="186">
        <f t="shared" si="18"/>
        <v>0</v>
      </c>
      <c r="K38" s="415"/>
      <c r="L38" s="496"/>
      <c r="M38" s="1"/>
      <c r="N38" s="1"/>
      <c r="O38" s="1"/>
      <c r="P38" s="1"/>
      <c r="Q38" s="1"/>
      <c r="R38" s="1"/>
      <c r="S38" s="161"/>
    </row>
    <row r="39" spans="1:256">
      <c r="A39" s="56" t="s">
        <v>494</v>
      </c>
      <c r="B39" s="186">
        <f t="shared" si="16"/>
        <v>0</v>
      </c>
      <c r="C39" s="164">
        <f t="shared" si="16"/>
        <v>0</v>
      </c>
      <c r="D39" s="164">
        <f t="shared" si="16"/>
        <v>0</v>
      </c>
      <c r="E39" s="186">
        <f t="shared" si="16"/>
        <v>0</v>
      </c>
      <c r="F39" s="186">
        <f t="shared" si="16"/>
        <v>0</v>
      </c>
      <c r="G39" s="186">
        <f t="shared" si="16"/>
        <v>0</v>
      </c>
      <c r="H39" s="186">
        <f t="shared" si="19"/>
        <v>0</v>
      </c>
      <c r="I39" s="186">
        <f t="shared" si="20"/>
        <v>0</v>
      </c>
      <c r="J39" s="186">
        <f t="shared" si="18"/>
        <v>1</v>
      </c>
      <c r="K39" s="415"/>
      <c r="L39" s="496"/>
      <c r="M39" s="1"/>
      <c r="N39" s="1"/>
      <c r="O39" s="1"/>
      <c r="P39" s="1"/>
      <c r="Q39" s="1"/>
      <c r="R39" s="1"/>
      <c r="S39" s="161"/>
    </row>
    <row r="40" spans="1:256">
      <c r="A40" s="56" t="s">
        <v>492</v>
      </c>
      <c r="B40" s="186">
        <f t="shared" si="16"/>
        <v>0</v>
      </c>
      <c r="C40" s="164">
        <f t="shared" si="16"/>
        <v>0</v>
      </c>
      <c r="D40" s="164">
        <f t="shared" si="16"/>
        <v>0</v>
      </c>
      <c r="E40" s="186">
        <f t="shared" si="16"/>
        <v>0</v>
      </c>
      <c r="F40" s="186">
        <f t="shared" si="16"/>
        <v>0</v>
      </c>
      <c r="G40" s="186">
        <f t="shared" si="16"/>
        <v>0</v>
      </c>
      <c r="H40" s="186">
        <f t="shared" si="19"/>
        <v>0</v>
      </c>
      <c r="I40" s="186">
        <f t="shared" si="20"/>
        <v>0</v>
      </c>
      <c r="J40" s="186">
        <f t="shared" si="18"/>
        <v>1</v>
      </c>
      <c r="K40" s="415"/>
      <c r="L40" s="496"/>
      <c r="M40" s="1"/>
      <c r="N40" s="1"/>
      <c r="O40" s="1"/>
      <c r="P40" s="1"/>
      <c r="Q40" s="1"/>
      <c r="R40" s="1"/>
      <c r="S40" s="161"/>
    </row>
    <row r="41" spans="1:256">
      <c r="A41" s="56" t="s">
        <v>138</v>
      </c>
      <c r="B41" s="186">
        <f t="shared" si="16"/>
        <v>0</v>
      </c>
      <c r="C41" s="164">
        <f t="shared" si="16"/>
        <v>0</v>
      </c>
      <c r="D41" s="164">
        <f t="shared" si="16"/>
        <v>0.89896529330549124</v>
      </c>
      <c r="E41" s="186">
        <f t="shared" si="16"/>
        <v>0</v>
      </c>
      <c r="F41" s="186">
        <f t="shared" si="16"/>
        <v>0</v>
      </c>
      <c r="G41" s="186">
        <f t="shared" si="16"/>
        <v>0.10103470669450876</v>
      </c>
      <c r="H41" s="186">
        <f t="shared" si="19"/>
        <v>0</v>
      </c>
      <c r="I41" s="186">
        <f t="shared" si="20"/>
        <v>0</v>
      </c>
      <c r="J41" s="186">
        <f t="shared" si="18"/>
        <v>0</v>
      </c>
      <c r="K41" s="415"/>
      <c r="L41" s="496"/>
      <c r="M41" s="1"/>
      <c r="N41" s="1"/>
      <c r="O41" s="1"/>
      <c r="P41" s="1"/>
      <c r="Q41" s="1"/>
      <c r="R41" s="1"/>
      <c r="S41" s="161"/>
    </row>
    <row r="42" spans="1:256">
      <c r="A42" s="56" t="s">
        <v>465</v>
      </c>
      <c r="B42" s="612">
        <f t="shared" ref="B42" si="21">K84</f>
        <v>0</v>
      </c>
      <c r="C42" s="612">
        <f>'End use share 2001'!C40</f>
        <v>0.288582183186951</v>
      </c>
      <c r="D42" s="612">
        <f>'End use share 2001'!D40</f>
        <v>0.71141781681304894</v>
      </c>
      <c r="E42" s="612">
        <f t="shared" ref="E42" si="22">N84</f>
        <v>0</v>
      </c>
      <c r="F42" s="612">
        <f t="shared" ref="F42" si="23">O84</f>
        <v>0</v>
      </c>
      <c r="G42" s="612">
        <f t="shared" ref="G42" si="24">P84</f>
        <v>0</v>
      </c>
      <c r="H42" s="612">
        <f t="shared" ref="H42" si="25">Q84</f>
        <v>0</v>
      </c>
      <c r="I42" s="612">
        <f t="shared" ref="I42" si="26">R84</f>
        <v>0</v>
      </c>
      <c r="J42" s="612">
        <f t="shared" ref="J42" si="27">S84</f>
        <v>0</v>
      </c>
      <c r="K42" s="415"/>
      <c r="L42" s="496"/>
      <c r="M42" s="1"/>
      <c r="N42" s="1"/>
      <c r="O42" s="1"/>
      <c r="P42" s="1"/>
      <c r="Q42" s="1"/>
      <c r="R42" s="1"/>
      <c r="S42" s="161"/>
    </row>
    <row r="43" spans="1:256">
      <c r="A43" s="169"/>
      <c r="B43" s="79"/>
      <c r="C43" s="79"/>
      <c r="D43" s="79"/>
      <c r="E43" s="79"/>
      <c r="F43" s="79"/>
      <c r="G43" s="79"/>
      <c r="H43" s="79"/>
      <c r="I43" s="79"/>
      <c r="J43" s="197"/>
      <c r="L43" s="198"/>
      <c r="M43" s="198"/>
      <c r="N43" s="198"/>
      <c r="O43" s="198"/>
      <c r="P43" s="198"/>
      <c r="Q43" s="198"/>
      <c r="R43" s="198"/>
      <c r="S43" s="161"/>
    </row>
    <row r="44" spans="1:256" s="158" customFormat="1" ht="12.75" customHeight="1">
      <c r="A44" s="799" t="s">
        <v>500</v>
      </c>
      <c r="B44" s="799"/>
      <c r="C44" s="799"/>
      <c r="D44" s="799"/>
      <c r="E44" s="799"/>
      <c r="F44" s="799"/>
      <c r="G44" s="799"/>
      <c r="H44" s="799"/>
      <c r="I44" s="799"/>
      <c r="J44" s="156"/>
      <c r="K44" s="4"/>
      <c r="L44" s="4"/>
      <c r="M44" s="4"/>
      <c r="N44" s="4"/>
      <c r="O44" s="4"/>
      <c r="P44" s="4"/>
      <c r="Q44" s="4"/>
      <c r="R44" s="4"/>
      <c r="S44" s="4"/>
    </row>
    <row r="45" spans="1:2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row>
    <row r="46" spans="1:256" ht="25.5">
      <c r="A46" s="1"/>
      <c r="B46" s="14" t="s">
        <v>211</v>
      </c>
      <c r="C46" s="14" t="s">
        <v>501</v>
      </c>
      <c r="D46" s="82" t="s">
        <v>1265</v>
      </c>
      <c r="E46" s="82" t="s">
        <v>502</v>
      </c>
      <c r="F46" s="615"/>
      <c r="G46" s="82" t="s">
        <v>1264</v>
      </c>
      <c r="H46" s="615"/>
      <c r="I46" s="615"/>
      <c r="K46" s="198"/>
      <c r="L46" s="198"/>
      <c r="M46" s="198"/>
      <c r="N46" s="198"/>
      <c r="O46" s="198"/>
      <c r="P46" s="198"/>
      <c r="Q46" s="198"/>
      <c r="R46" s="161"/>
    </row>
    <row r="47" spans="1:256">
      <c r="A47" s="199" t="s">
        <v>226</v>
      </c>
      <c r="B47" s="59">
        <v>6</v>
      </c>
      <c r="C47" s="59">
        <f>11+18+4+4</f>
        <v>37</v>
      </c>
      <c r="D47" s="200">
        <f>G47</f>
        <v>0.19919767328698165</v>
      </c>
      <c r="E47" s="200">
        <v>0.38030816130722506</v>
      </c>
      <c r="F47" s="79"/>
      <c r="G47" s="674">
        <f>STATSSA_Annual!B30/SUM(STATSSA_Annual!$B$30:$E$30)</f>
        <v>0.19919767328698165</v>
      </c>
      <c r="H47" s="79"/>
      <c r="I47" s="197"/>
      <c r="K47" s="198"/>
      <c r="L47" s="198"/>
      <c r="M47" s="198"/>
      <c r="N47" s="198"/>
      <c r="O47" s="198"/>
      <c r="P47" s="198"/>
      <c r="Q47" s="198"/>
      <c r="R47" s="161"/>
    </row>
    <row r="48" spans="1:256">
      <c r="A48" s="199" t="s">
        <v>73</v>
      </c>
      <c r="B48" s="59">
        <v>8</v>
      </c>
      <c r="C48" s="59">
        <f>30</f>
        <v>30</v>
      </c>
      <c r="D48" s="200">
        <f>G48</f>
        <v>0.22786517879673385</v>
      </c>
      <c r="E48" s="200">
        <v>0.28136742327155401</v>
      </c>
      <c r="F48" s="79"/>
      <c r="G48" s="674">
        <f>STATSSA_Annual!C30/SUM(STATSSA_Annual!$B$30:$E$30)</f>
        <v>0.22786517879673385</v>
      </c>
      <c r="H48" s="79"/>
      <c r="I48" s="197"/>
      <c r="K48" s="198"/>
      <c r="L48" s="198"/>
      <c r="M48" s="198"/>
      <c r="N48" s="198"/>
      <c r="O48" s="198"/>
      <c r="P48" s="198"/>
      <c r="Q48" s="198"/>
      <c r="R48" s="161"/>
    </row>
    <row r="49" spans="1:20">
      <c r="A49" s="199" t="s">
        <v>1194</v>
      </c>
      <c r="B49" s="59"/>
      <c r="C49" s="59"/>
      <c r="D49" s="200"/>
      <c r="E49" s="200"/>
      <c r="F49" s="79"/>
      <c r="G49" s="674">
        <f>STATSSA_Annual!D30/SUM(STATSSA_Annual!$B$30:$E$30)</f>
        <v>0.48653803257708272</v>
      </c>
      <c r="H49" s="79"/>
      <c r="I49" s="197"/>
      <c r="K49" s="198"/>
      <c r="L49" s="198"/>
      <c r="M49" s="198"/>
      <c r="N49" s="198"/>
      <c r="O49" s="198"/>
      <c r="P49" s="198"/>
      <c r="Q49" s="198"/>
      <c r="R49" s="161"/>
    </row>
    <row r="50" spans="1:20">
      <c r="A50" s="199" t="s">
        <v>227</v>
      </c>
      <c r="B50" s="59">
        <v>9</v>
      </c>
      <c r="C50" s="59">
        <f>12+7+14</f>
        <v>33</v>
      </c>
      <c r="D50" s="200">
        <f>G50+G49</f>
        <v>0.57293714791628447</v>
      </c>
      <c r="E50" s="200">
        <v>0.33832441542122105</v>
      </c>
      <c r="F50" s="79"/>
      <c r="G50" s="674">
        <f>STATSSA_Annual!E30/SUM(STATSSA_Annual!$B$30:$E$30)</f>
        <v>8.639911533920179E-2</v>
      </c>
      <c r="H50" s="79"/>
      <c r="I50" s="197"/>
      <c r="K50" s="198"/>
      <c r="L50" s="198"/>
      <c r="M50" s="198"/>
      <c r="N50" s="198"/>
      <c r="O50" s="198"/>
      <c r="P50" s="198"/>
      <c r="Q50" s="198"/>
      <c r="R50" s="161"/>
    </row>
    <row r="51" spans="1:20">
      <c r="A51" s="199"/>
      <c r="B51" s="1"/>
      <c r="C51" s="1"/>
      <c r="D51" s="201">
        <f>SUM(D47:D50)</f>
        <v>1</v>
      </c>
      <c r="E51" s="201">
        <f>SUM(G47:G50)</f>
        <v>1</v>
      </c>
      <c r="F51" s="79"/>
      <c r="G51" s="675">
        <f>SUM(G47:G50)</f>
        <v>1</v>
      </c>
      <c r="H51" s="79"/>
      <c r="I51" s="197"/>
      <c r="K51" s="198"/>
      <c r="L51" s="198"/>
      <c r="M51" s="198"/>
      <c r="N51" s="198"/>
      <c r="O51" s="198"/>
      <c r="P51" s="198"/>
      <c r="Q51" s="198"/>
      <c r="R51" s="161"/>
    </row>
    <row r="52" spans="1:20">
      <c r="A52" s="169"/>
      <c r="B52" s="79"/>
      <c r="C52" s="79"/>
      <c r="D52" s="79"/>
      <c r="E52" s="79"/>
      <c r="F52" s="79"/>
      <c r="G52" s="79"/>
      <c r="H52" s="79"/>
      <c r="I52" s="197"/>
      <c r="K52" s="198"/>
      <c r="L52" s="198"/>
      <c r="M52" s="198"/>
      <c r="N52" s="198"/>
      <c r="O52" s="198"/>
      <c r="P52" s="198"/>
      <c r="Q52" s="198"/>
      <c r="R52" s="161"/>
    </row>
    <row r="53" spans="1:20" s="158" customFormat="1" ht="12.75" customHeight="1">
      <c r="A53" s="799" t="s">
        <v>1359</v>
      </c>
      <c r="B53" s="799"/>
      <c r="C53" s="799"/>
      <c r="D53" s="799"/>
      <c r="E53" s="799"/>
      <c r="F53" s="799"/>
      <c r="G53" s="799"/>
      <c r="H53" s="799"/>
      <c r="I53" s="799"/>
      <c r="J53" s="156"/>
      <c r="K53" s="4"/>
      <c r="L53" s="4"/>
      <c r="M53" s="4"/>
      <c r="N53" s="4"/>
      <c r="O53" s="4"/>
      <c r="P53" s="4"/>
      <c r="Q53" s="4"/>
      <c r="R53" s="4"/>
      <c r="S53" s="4"/>
    </row>
    <row r="54" spans="1:20">
      <c r="A54" s="169"/>
      <c r="B54" s="79"/>
      <c r="C54" s="79"/>
      <c r="D54" s="79"/>
      <c r="E54" s="79"/>
      <c r="F54" s="79"/>
      <c r="G54" s="79"/>
      <c r="H54" s="79"/>
      <c r="J54" s="197"/>
      <c r="K54" s="1"/>
      <c r="L54" s="419" t="s">
        <v>809</v>
      </c>
      <c r="M54" s="419"/>
      <c r="N54" s="1"/>
      <c r="O54" s="1"/>
      <c r="P54" s="1"/>
      <c r="Q54" s="1"/>
      <c r="R54" s="1"/>
    </row>
    <row r="55" spans="1:20" ht="25.5">
      <c r="A55" s="191" t="s">
        <v>503</v>
      </c>
      <c r="B55" s="160" t="s">
        <v>42</v>
      </c>
      <c r="C55" s="160" t="s">
        <v>468</v>
      </c>
      <c r="D55" s="160" t="s">
        <v>469</v>
      </c>
      <c r="E55" s="160" t="s">
        <v>470</v>
      </c>
      <c r="F55" s="160" t="s">
        <v>471</v>
      </c>
      <c r="G55" s="160" t="s">
        <v>472</v>
      </c>
      <c r="H55" s="418" t="s">
        <v>810</v>
      </c>
      <c r="I55" s="418" t="s">
        <v>812</v>
      </c>
      <c r="J55" s="160" t="s">
        <v>43</v>
      </c>
      <c r="K55" s="160" t="s">
        <v>496</v>
      </c>
      <c r="L55" s="182" t="s">
        <v>810</v>
      </c>
      <c r="M55" s="182" t="s">
        <v>921</v>
      </c>
      <c r="O55" s="1" t="s">
        <v>115</v>
      </c>
      <c r="P55"/>
      <c r="Q55" s="1"/>
      <c r="R55" s="1"/>
      <c r="S55" s="422" t="s">
        <v>813</v>
      </c>
      <c r="T55" s="423" t="s">
        <v>814</v>
      </c>
    </row>
    <row r="56" spans="1:20">
      <c r="A56" s="199" t="s">
        <v>226</v>
      </c>
      <c r="B56" s="202">
        <v>105</v>
      </c>
      <c r="C56" s="202">
        <v>23</v>
      </c>
      <c r="D56" s="202">
        <v>4</v>
      </c>
      <c r="E56" s="202">
        <v>236</v>
      </c>
      <c r="F56" s="202">
        <v>23</v>
      </c>
      <c r="G56" s="202">
        <v>8</v>
      </c>
      <c r="H56" s="424">
        <f>L56</f>
        <v>11.457704590744953</v>
      </c>
      <c r="I56" s="424">
        <f>M56</f>
        <v>13.526917483684352</v>
      </c>
      <c r="J56" s="202">
        <v>93</v>
      </c>
      <c r="K56" s="203">
        <f>SUM(B56:J56)</f>
        <v>516.98462207442935</v>
      </c>
      <c r="L56" s="190">
        <f>L$59/3</f>
        <v>11.457704590744953</v>
      </c>
      <c r="M56" s="190">
        <f t="shared" ref="L56:M58" si="28">M$59/3</f>
        <v>13.526917483684352</v>
      </c>
      <c r="N56" s="1"/>
      <c r="O56" s="389">
        <v>4565281948.4851208</v>
      </c>
      <c r="P56" s="420">
        <v>5389752521.3553123</v>
      </c>
      <c r="Q56" s="1"/>
      <c r="R56" s="1"/>
      <c r="S56" s="421">
        <v>263.5</v>
      </c>
      <c r="T56" s="425">
        <v>85.25</v>
      </c>
    </row>
    <row r="57" spans="1:20">
      <c r="A57" s="199" t="s">
        <v>73</v>
      </c>
      <c r="B57" s="202">
        <v>140</v>
      </c>
      <c r="C57" s="202">
        <v>19</v>
      </c>
      <c r="D57" s="202">
        <v>8</v>
      </c>
      <c r="E57" s="202">
        <v>217</v>
      </c>
      <c r="F57" s="202">
        <v>209</v>
      </c>
      <c r="G57" s="202">
        <v>16</v>
      </c>
      <c r="H57" s="424">
        <f t="shared" ref="H57:H58" si="29">L57</f>
        <v>11.457704590744953</v>
      </c>
      <c r="I57" s="424">
        <f t="shared" ref="I57:I58" si="30">M57</f>
        <v>13.526917483684352</v>
      </c>
      <c r="J57" s="202">
        <v>93</v>
      </c>
      <c r="K57" s="203">
        <f>SUM(B57:J57)</f>
        <v>726.98462207442924</v>
      </c>
      <c r="L57" s="190">
        <f t="shared" si="28"/>
        <v>11.457704590744953</v>
      </c>
      <c r="M57" s="190">
        <f t="shared" si="28"/>
        <v>13.526917483684352</v>
      </c>
      <c r="N57" s="1"/>
      <c r="O57" s="1"/>
      <c r="P57" s="1"/>
      <c r="Q57" s="1"/>
      <c r="R57" s="1"/>
      <c r="S57" s="421">
        <v>313.88</v>
      </c>
      <c r="T57" s="425">
        <v>85.25</v>
      </c>
    </row>
    <row r="58" spans="1:20">
      <c r="A58" s="199" t="s">
        <v>227</v>
      </c>
      <c r="B58" s="202">
        <v>85</v>
      </c>
      <c r="C58" s="202">
        <v>4</v>
      </c>
      <c r="D58" s="202">
        <v>4</v>
      </c>
      <c r="E58" s="202">
        <v>159</v>
      </c>
      <c r="F58" s="202">
        <v>105</v>
      </c>
      <c r="G58" s="202">
        <v>54</v>
      </c>
      <c r="H58" s="424">
        <f t="shared" si="29"/>
        <v>11.457704590744953</v>
      </c>
      <c r="I58" s="424">
        <f t="shared" si="30"/>
        <v>13.526917483684352</v>
      </c>
      <c r="J58" s="202">
        <v>89</v>
      </c>
      <c r="K58" s="203">
        <f>SUM(B58:J58)</f>
        <v>524.98462207442935</v>
      </c>
      <c r="L58" s="190">
        <f t="shared" si="28"/>
        <v>11.457704590744953</v>
      </c>
      <c r="M58" s="190">
        <f t="shared" si="28"/>
        <v>13.526917483684352</v>
      </c>
      <c r="N58" s="1"/>
      <c r="O58" s="1"/>
      <c r="P58" s="1"/>
      <c r="Q58" s="1"/>
      <c r="R58" s="1"/>
      <c r="S58" s="421">
        <v>228.63</v>
      </c>
      <c r="T58" s="425">
        <v>112.38</v>
      </c>
    </row>
    <row r="59" spans="1:20">
      <c r="A59" s="204"/>
      <c r="B59" s="205"/>
      <c r="C59" s="205"/>
      <c r="D59" s="205"/>
      <c r="E59" s="205"/>
      <c r="F59" s="205"/>
      <c r="G59" s="205"/>
      <c r="J59" s="205"/>
      <c r="K59" s="205"/>
      <c r="L59" s="424">
        <f>O56/(1000000*$B$16)</f>
        <v>34.373113772234859</v>
      </c>
      <c r="M59" s="424">
        <f>P56/(1000000*$B$16)</f>
        <v>40.580752451053058</v>
      </c>
      <c r="N59" s="1"/>
      <c r="O59" s="1"/>
      <c r="P59" s="1"/>
      <c r="Q59" s="1"/>
      <c r="R59" s="1"/>
      <c r="S59" s="1"/>
    </row>
    <row r="60" spans="1:20">
      <c r="A60" s="169"/>
      <c r="B60" s="79"/>
      <c r="C60" s="79"/>
      <c r="D60" s="79"/>
      <c r="E60" s="79"/>
      <c r="F60" s="79"/>
      <c r="G60" s="79"/>
      <c r="J60" s="79"/>
      <c r="K60" s="1"/>
      <c r="L60" s="1"/>
      <c r="M60" s="1"/>
      <c r="N60" s="1"/>
      <c r="O60" s="1"/>
      <c r="P60" s="1"/>
      <c r="Q60" s="1"/>
      <c r="R60" s="1"/>
    </row>
    <row r="61" spans="1:20">
      <c r="A61" s="199" t="s">
        <v>226</v>
      </c>
      <c r="B61" s="206">
        <f>B56/$K56</f>
        <v>0.20310081870265637</v>
      </c>
      <c r="C61" s="206">
        <f t="shared" ref="C61:G61" si="31">C56/$K56</f>
        <v>4.4488750763439014E-2</v>
      </c>
      <c r="D61" s="206">
        <f t="shared" si="31"/>
        <v>7.7371740458154811E-3</v>
      </c>
      <c r="E61" s="206">
        <f t="shared" si="31"/>
        <v>0.45649326870311335</v>
      </c>
      <c r="F61" s="206">
        <f t="shared" si="31"/>
        <v>4.4488750763439014E-2</v>
      </c>
      <c r="G61" s="206">
        <f t="shared" si="31"/>
        <v>1.5474348091630962E-2</v>
      </c>
      <c r="J61" s="206">
        <f t="shared" ref="J61" si="32">J56/$K56</f>
        <v>0.17988929656520994</v>
      </c>
      <c r="K61" s="71">
        <f>SUM(B61:J61)</f>
        <v>0.95167240763530414</v>
      </c>
      <c r="L61" s="1"/>
      <c r="M61" s="1"/>
      <c r="N61" s="1"/>
      <c r="O61" s="1"/>
      <c r="P61" s="1"/>
      <c r="Q61" s="1"/>
      <c r="R61" s="1"/>
    </row>
    <row r="62" spans="1:20">
      <c r="A62" s="199" t="s">
        <v>73</v>
      </c>
      <c r="B62" s="206">
        <f>B57/$K$57</f>
        <v>0.19257628806578345</v>
      </c>
      <c r="C62" s="206">
        <f t="shared" ref="C62:G62" si="33">C57/$K$57</f>
        <v>2.6135353380356326E-2</v>
      </c>
      <c r="D62" s="206">
        <f t="shared" si="33"/>
        <v>1.1004359318044769E-2</v>
      </c>
      <c r="E62" s="206">
        <f t="shared" si="33"/>
        <v>0.29849324650196435</v>
      </c>
      <c r="F62" s="206">
        <f t="shared" si="33"/>
        <v>0.28748888718391957</v>
      </c>
      <c r="G62" s="206">
        <f t="shared" si="33"/>
        <v>2.2008718636089539E-2</v>
      </c>
      <c r="J62" s="206">
        <f t="shared" ref="J62" si="34">J57/$K$57</f>
        <v>0.12792567707227043</v>
      </c>
      <c r="K62" s="71">
        <f>SUM(B62:J62)</f>
        <v>0.96563253015842843</v>
      </c>
      <c r="L62" s="1"/>
      <c r="M62" s="1"/>
      <c r="N62" s="1"/>
      <c r="O62" s="1"/>
      <c r="P62" s="1"/>
      <c r="Q62" s="1"/>
      <c r="R62" s="1"/>
    </row>
    <row r="63" spans="1:20">
      <c r="A63" s="199" t="s">
        <v>227</v>
      </c>
      <c r="B63" s="206">
        <f>B58/$K$58</f>
        <v>0.16190950444249239</v>
      </c>
      <c r="C63" s="206">
        <f t="shared" ref="C63:G63" si="35">C58/$K$58</f>
        <v>7.6192707972937588E-3</v>
      </c>
      <c r="D63" s="206">
        <f t="shared" si="35"/>
        <v>7.6192707972937588E-3</v>
      </c>
      <c r="E63" s="206">
        <f t="shared" si="35"/>
        <v>0.30286601419242692</v>
      </c>
      <c r="F63" s="206">
        <f t="shared" si="35"/>
        <v>0.20000585842896118</v>
      </c>
      <c r="G63" s="206">
        <f t="shared" si="35"/>
        <v>0.10286015576346574</v>
      </c>
      <c r="J63" s="206">
        <f t="shared" ref="J63" si="36">J58/$K$58</f>
        <v>0.16952877523978613</v>
      </c>
      <c r="K63" s="71">
        <f>SUM(B63:J63)</f>
        <v>0.95240884966172001</v>
      </c>
      <c r="L63" s="1"/>
      <c r="M63" s="1"/>
      <c r="N63" s="1"/>
      <c r="O63" s="1"/>
      <c r="P63" s="1"/>
      <c r="Q63" s="1"/>
      <c r="R63" s="1"/>
    </row>
    <row r="64" spans="1:20">
      <c r="A64" s="169"/>
      <c r="B64" s="79"/>
      <c r="C64" s="79"/>
      <c r="D64" s="79"/>
      <c r="E64" s="79"/>
      <c r="F64" s="79"/>
      <c r="G64" s="79"/>
      <c r="J64" s="79"/>
      <c r="K64" s="1"/>
      <c r="L64" s="1"/>
      <c r="M64" s="1"/>
      <c r="N64" s="1"/>
      <c r="O64" s="1"/>
      <c r="P64" s="1"/>
      <c r="Q64" s="1"/>
      <c r="R64" s="1"/>
    </row>
    <row r="65" spans="1:26">
      <c r="A65" s="169"/>
      <c r="B65" s="79"/>
      <c r="C65" s="79"/>
      <c r="D65" s="79"/>
      <c r="E65" s="79"/>
      <c r="F65" s="79"/>
      <c r="G65" s="79"/>
      <c r="J65" s="79"/>
      <c r="K65" s="1"/>
      <c r="L65" s="1" t="s">
        <v>811</v>
      </c>
      <c r="M65" s="1"/>
      <c r="N65" s="1"/>
      <c r="O65" s="1"/>
      <c r="P65" s="1"/>
      <c r="Q65" s="1"/>
      <c r="R65" s="1"/>
    </row>
    <row r="66" spans="1:26">
      <c r="A66" s="169"/>
      <c r="B66" s="79"/>
      <c r="C66" s="79"/>
      <c r="D66" s="79"/>
      <c r="E66" s="79"/>
      <c r="F66" s="79"/>
      <c r="G66" s="79"/>
      <c r="J66" s="79"/>
      <c r="K66" s="1"/>
      <c r="L66" s="1"/>
      <c r="M66" s="1"/>
      <c r="N66" s="1"/>
      <c r="O66" s="1"/>
      <c r="P66" s="1"/>
      <c r="Q66" s="1"/>
      <c r="R66" s="1"/>
    </row>
    <row r="67" spans="1:26" ht="25.5">
      <c r="A67" s="191" t="s">
        <v>504</v>
      </c>
      <c r="B67" s="160" t="s">
        <v>42</v>
      </c>
      <c r="C67" s="160" t="s">
        <v>468</v>
      </c>
      <c r="D67" s="160" t="s">
        <v>469</v>
      </c>
      <c r="E67" s="160" t="s">
        <v>470</v>
      </c>
      <c r="F67" s="160" t="s">
        <v>471</v>
      </c>
      <c r="G67" s="160" t="s">
        <v>472</v>
      </c>
      <c r="H67" s="418" t="s">
        <v>810</v>
      </c>
      <c r="I67" s="418" t="s">
        <v>812</v>
      </c>
      <c r="J67" s="160" t="s">
        <v>43</v>
      </c>
      <c r="K67" s="160" t="s">
        <v>496</v>
      </c>
      <c r="L67" s="1"/>
      <c r="M67" s="1"/>
      <c r="N67" s="1"/>
      <c r="O67" s="1"/>
      <c r="P67" s="1"/>
      <c r="Q67" s="1"/>
      <c r="R67" s="1"/>
    </row>
    <row r="68" spans="1:26">
      <c r="A68" s="199" t="s">
        <v>226</v>
      </c>
      <c r="B68" s="202">
        <f t="shared" ref="B68:J68" si="37">B56*$D47</f>
        <v>20.915755695133072</v>
      </c>
      <c r="C68" s="202">
        <f t="shared" si="37"/>
        <v>4.5815464856005779</v>
      </c>
      <c r="D68" s="202">
        <f t="shared" si="37"/>
        <v>0.79679069314792661</v>
      </c>
      <c r="E68" s="202">
        <f t="shared" si="37"/>
        <v>47.010650895727672</v>
      </c>
      <c r="F68" s="202">
        <f t="shared" si="37"/>
        <v>4.5815464856005779</v>
      </c>
      <c r="G68" s="202">
        <f t="shared" si="37"/>
        <v>1.5935813862958532</v>
      </c>
      <c r="H68" s="202">
        <f t="shared" si="37"/>
        <v>2.282348095685963</v>
      </c>
      <c r="I68" s="202">
        <f t="shared" si="37"/>
        <v>2.6945304894949156</v>
      </c>
      <c r="J68" s="202">
        <f t="shared" si="37"/>
        <v>18.525383615689293</v>
      </c>
      <c r="K68" s="203">
        <f>SUM(B68:J68)</f>
        <v>102.98213384237584</v>
      </c>
      <c r="L68" s="1"/>
      <c r="M68" s="1"/>
      <c r="N68" s="1"/>
      <c r="O68" s="1"/>
      <c r="P68" s="1"/>
      <c r="Q68" s="1"/>
      <c r="R68" s="1"/>
    </row>
    <row r="69" spans="1:26">
      <c r="A69" s="199" t="s">
        <v>73</v>
      </c>
      <c r="B69" s="202">
        <f>B57*$D48</f>
        <v>31.90112503154274</v>
      </c>
      <c r="C69" s="202">
        <f>C57*$D48</f>
        <v>4.3294383971379435</v>
      </c>
      <c r="D69" s="202">
        <f>D57*$D48</f>
        <v>1.8229214303738708</v>
      </c>
      <c r="E69" s="202">
        <f>E57*$D48</f>
        <v>49.446743798891248</v>
      </c>
      <c r="F69" s="202">
        <f>F57*$D48</f>
        <v>47.623822368517374</v>
      </c>
      <c r="G69" s="202">
        <f t="shared" ref="G69:I69" si="38">G57*$D48</f>
        <v>3.6458428607477416</v>
      </c>
      <c r="H69" s="202">
        <f t="shared" si="38"/>
        <v>2.610811905170257</v>
      </c>
      <c r="I69" s="202">
        <f t="shared" si="38"/>
        <v>3.0823134709883999</v>
      </c>
      <c r="J69" s="202">
        <f>J57*$D48</f>
        <v>21.191461628096249</v>
      </c>
      <c r="K69" s="203">
        <f>SUM(B69:J69)</f>
        <v>165.65448089146582</v>
      </c>
      <c r="L69" s="198"/>
      <c r="M69" s="198"/>
      <c r="N69" s="198"/>
      <c r="O69" s="198"/>
      <c r="P69" s="198"/>
      <c r="Q69" s="198"/>
      <c r="R69" s="161"/>
    </row>
    <row r="70" spans="1:26">
      <c r="A70" s="199" t="s">
        <v>227</v>
      </c>
      <c r="B70" s="202">
        <f>B58*$D50</f>
        <v>48.699657572884178</v>
      </c>
      <c r="C70" s="202">
        <f t="shared" ref="C70:F70" si="39">C58*$D50</f>
        <v>2.2917485916651379</v>
      </c>
      <c r="D70" s="202">
        <f>D58*$D50</f>
        <v>2.2917485916651379</v>
      </c>
      <c r="E70" s="202">
        <f t="shared" si="39"/>
        <v>91.097006518689227</v>
      </c>
      <c r="F70" s="202">
        <f t="shared" si="39"/>
        <v>60.158400531209871</v>
      </c>
      <c r="G70" s="202">
        <f t="shared" ref="G70:I70" si="40">G58*$D50</f>
        <v>30.938605987479363</v>
      </c>
      <c r="H70" s="202">
        <f t="shared" si="40"/>
        <v>6.5645445898887331</v>
      </c>
      <c r="I70" s="202">
        <f t="shared" si="40"/>
        <v>7.7500735232010358</v>
      </c>
      <c r="J70" s="202">
        <f>J58*$D50</f>
        <v>50.991406164549318</v>
      </c>
      <c r="K70" s="203">
        <f>SUM(B70:J70)</f>
        <v>300.78319207123195</v>
      </c>
      <c r="L70" s="198"/>
      <c r="M70" s="198"/>
      <c r="N70" s="198"/>
      <c r="O70" s="198"/>
      <c r="P70" s="198"/>
      <c r="Q70" s="198"/>
      <c r="R70" s="161"/>
    </row>
    <row r="71" spans="1:26">
      <c r="A71" s="204" t="s">
        <v>505</v>
      </c>
      <c r="B71" s="205">
        <f t="shared" ref="B71:I71" si="41">SUM(B68:B70)</f>
        <v>101.51653829955998</v>
      </c>
      <c r="C71" s="205">
        <f t="shared" si="41"/>
        <v>11.20273347440366</v>
      </c>
      <c r="D71" s="205">
        <f t="shared" si="41"/>
        <v>4.9114607151869354</v>
      </c>
      <c r="E71" s="205">
        <f t="shared" si="41"/>
        <v>187.55440121330815</v>
      </c>
      <c r="F71" s="205">
        <f t="shared" si="41"/>
        <v>112.36376938532783</v>
      </c>
      <c r="G71" s="205">
        <f t="shared" si="41"/>
        <v>36.178030234522957</v>
      </c>
      <c r="H71" s="205">
        <f>SUM(H68:H70)</f>
        <v>11.457704590744953</v>
      </c>
      <c r="I71" s="205">
        <f t="shared" si="41"/>
        <v>13.52691748368435</v>
      </c>
      <c r="J71" s="205">
        <f>SUM(J68:J70)</f>
        <v>90.70825140833486</v>
      </c>
      <c r="K71" s="205">
        <f>SUM(B71:J71)</f>
        <v>569.41980680507379</v>
      </c>
      <c r="L71" s="198"/>
      <c r="M71" s="198"/>
      <c r="N71" s="198"/>
      <c r="O71" s="198"/>
      <c r="P71" s="198"/>
      <c r="Q71" s="198"/>
      <c r="R71" s="161"/>
    </row>
    <row r="72" spans="1:26">
      <c r="A72" s="204" t="s">
        <v>506</v>
      </c>
      <c r="B72" s="207">
        <f t="shared" ref="B72:G72" si="42">B71/$K$71</f>
        <v>0.17828065881507271</v>
      </c>
      <c r="C72" s="207">
        <f t="shared" si="42"/>
        <v>1.9673944145463536E-2</v>
      </c>
      <c r="D72" s="207">
        <f>D71/$K$71</f>
        <v>8.6253773691933548E-3</v>
      </c>
      <c r="E72" s="207">
        <f t="shared" si="42"/>
        <v>0.32937807742524239</v>
      </c>
      <c r="F72" s="207">
        <f t="shared" si="42"/>
        <v>0.19733027907087305</v>
      </c>
      <c r="G72" s="207">
        <f t="shared" si="42"/>
        <v>6.3534899562964403E-2</v>
      </c>
      <c r="H72" s="207">
        <f>H71/$K$71</f>
        <v>2.0121717674403277E-2</v>
      </c>
      <c r="I72" s="207">
        <f t="shared" ref="I72" si="43">I71/$K$71</f>
        <v>2.3755614613376001E-2</v>
      </c>
      <c r="J72" s="207">
        <f>J71/$K$71</f>
        <v>0.15929943132341109</v>
      </c>
      <c r="K72" s="205">
        <f>SUM(B72:J72)</f>
        <v>0.99999999999999989</v>
      </c>
      <c r="L72" s="198"/>
      <c r="M72" s="198"/>
      <c r="N72" s="198"/>
      <c r="O72" s="198"/>
      <c r="P72" s="198"/>
      <c r="Q72" s="198"/>
      <c r="R72" s="161"/>
    </row>
    <row r="73" spans="1:26">
      <c r="A73" s="169"/>
      <c r="B73" s="79"/>
      <c r="C73" s="79"/>
      <c r="D73" s="79"/>
      <c r="E73" s="79"/>
      <c r="F73" s="79"/>
      <c r="G73" s="79"/>
      <c r="H73" s="79"/>
      <c r="I73" s="1"/>
      <c r="K73" s="198"/>
      <c r="L73" s="198"/>
      <c r="M73" s="198"/>
      <c r="N73" s="198"/>
      <c r="O73" s="198"/>
      <c r="P73" s="198"/>
      <c r="Q73" s="198"/>
      <c r="R73" s="161"/>
    </row>
    <row r="74" spans="1:26">
      <c r="A74" s="169"/>
      <c r="B74" s="79"/>
      <c r="C74" s="79"/>
      <c r="D74" s="79"/>
      <c r="E74" s="79"/>
      <c r="F74" s="79"/>
      <c r="G74" s="79"/>
      <c r="H74" s="79"/>
      <c r="I74" s="1"/>
      <c r="K74" s="198"/>
      <c r="L74" s="198"/>
      <c r="M74" s="198"/>
      <c r="N74" s="198"/>
      <c r="O74" s="198"/>
      <c r="P74" s="198"/>
      <c r="Q74" s="198"/>
      <c r="R74" s="161"/>
    </row>
    <row r="75" spans="1:26" s="158" customFormat="1" ht="12.75" customHeight="1">
      <c r="A75" s="799" t="s">
        <v>507</v>
      </c>
      <c r="B75" s="799"/>
      <c r="C75" s="799"/>
      <c r="D75" s="799"/>
      <c r="E75" s="799"/>
      <c r="F75" s="799"/>
      <c r="G75" s="799"/>
      <c r="H75" s="799"/>
      <c r="I75" s="799"/>
      <c r="J75" s="156"/>
      <c r="K75" s="4"/>
      <c r="L75" s="4"/>
      <c r="M75" s="4"/>
      <c r="N75" s="4"/>
      <c r="O75" s="4"/>
      <c r="P75" s="4"/>
      <c r="Q75" s="4"/>
      <c r="R75" s="4"/>
      <c r="S75" s="4"/>
    </row>
    <row r="76" spans="1:26">
      <c r="A76" s="208"/>
      <c r="B76" s="1"/>
      <c r="C76" s="1"/>
      <c r="D76" s="1"/>
      <c r="E76" s="1"/>
      <c r="F76" s="1"/>
      <c r="G76" s="1"/>
      <c r="H76" s="1"/>
    </row>
    <row r="77" spans="1:26" ht="25.5">
      <c r="A77" s="191" t="s">
        <v>508</v>
      </c>
      <c r="B77" s="160" t="s">
        <v>42</v>
      </c>
      <c r="C77" s="160" t="s">
        <v>146</v>
      </c>
      <c r="D77" s="160" t="s">
        <v>469</v>
      </c>
      <c r="E77" s="160" t="s">
        <v>470</v>
      </c>
      <c r="F77" s="160" t="s">
        <v>471</v>
      </c>
      <c r="G77" s="160" t="s">
        <v>472</v>
      </c>
      <c r="H77" s="160" t="s">
        <v>43</v>
      </c>
      <c r="I77" s="160" t="s">
        <v>224</v>
      </c>
      <c r="J77" s="1"/>
      <c r="K77" s="160" t="s">
        <v>42</v>
      </c>
      <c r="L77" s="160" t="s">
        <v>509</v>
      </c>
      <c r="M77" s="160" t="s">
        <v>510</v>
      </c>
      <c r="N77" s="160" t="s">
        <v>470</v>
      </c>
      <c r="O77" s="160" t="s">
        <v>471</v>
      </c>
      <c r="P77" s="160" t="s">
        <v>472</v>
      </c>
      <c r="Q77" s="68" t="s">
        <v>817</v>
      </c>
      <c r="R77" s="161" t="s">
        <v>818</v>
      </c>
      <c r="S77" s="160" t="s">
        <v>43</v>
      </c>
      <c r="T77" s="1"/>
      <c r="U77" s="1"/>
      <c r="V77" s="1"/>
      <c r="W77" s="1"/>
      <c r="X77" s="1"/>
      <c r="Y77" s="1"/>
      <c r="Z77" s="1"/>
    </row>
    <row r="78" spans="1:26">
      <c r="A78" s="56" t="s">
        <v>139</v>
      </c>
      <c r="B78" s="164"/>
      <c r="C78" s="1"/>
      <c r="D78" s="12">
        <f>G108</f>
        <v>15530.400000000001</v>
      </c>
      <c r="E78" s="164"/>
      <c r="F78" s="164"/>
      <c r="G78" s="12">
        <f>H108</f>
        <v>0</v>
      </c>
      <c r="H78" s="12">
        <f>I108</f>
        <v>0</v>
      </c>
      <c r="I78" s="209">
        <f t="shared" ref="I78:I83" si="44">SUM(B78:H78)</f>
        <v>15530.400000000001</v>
      </c>
      <c r="J78" s="1"/>
      <c r="K78" s="164">
        <f t="shared" ref="K78:P83" si="45">B78/$I78</f>
        <v>0</v>
      </c>
      <c r="L78" s="164">
        <f t="shared" si="45"/>
        <v>0</v>
      </c>
      <c r="M78" s="164">
        <f t="shared" si="45"/>
        <v>1</v>
      </c>
      <c r="N78" s="164">
        <f t="shared" si="45"/>
        <v>0</v>
      </c>
      <c r="O78" s="164">
        <f t="shared" si="45"/>
        <v>0</v>
      </c>
      <c r="P78" s="164">
        <f t="shared" si="45"/>
        <v>0</v>
      </c>
      <c r="Q78" s="426">
        <v>0</v>
      </c>
      <c r="R78" s="426">
        <v>0</v>
      </c>
      <c r="S78" s="164">
        <f t="shared" ref="S78:S83" si="46">H78/$I78</f>
        <v>0</v>
      </c>
      <c r="T78" s="1"/>
      <c r="U78" s="1"/>
      <c r="V78" s="1"/>
      <c r="W78" s="1"/>
      <c r="X78" s="1"/>
      <c r="Y78" s="1"/>
      <c r="Z78" s="1"/>
    </row>
    <row r="79" spans="1:26">
      <c r="A79" s="195" t="s">
        <v>140</v>
      </c>
      <c r="B79" s="160"/>
      <c r="C79" s="12">
        <f>G118</f>
        <v>41.04</v>
      </c>
      <c r="D79" s="160"/>
      <c r="E79" s="160"/>
      <c r="F79" s="160"/>
      <c r="G79" s="12">
        <f>H118</f>
        <v>33078.239999999998</v>
      </c>
      <c r="H79" s="12">
        <f>I118</f>
        <v>0</v>
      </c>
      <c r="I79" s="209">
        <f t="shared" si="44"/>
        <v>33119.279999999999</v>
      </c>
      <c r="J79" s="1"/>
      <c r="K79" s="164">
        <f t="shared" si="45"/>
        <v>0</v>
      </c>
      <c r="L79" s="164">
        <f t="shared" si="45"/>
        <v>1.2391573729863693E-3</v>
      </c>
      <c r="M79" s="164">
        <f t="shared" si="45"/>
        <v>0</v>
      </c>
      <c r="N79" s="164">
        <f t="shared" si="45"/>
        <v>0</v>
      </c>
      <c r="O79" s="164">
        <f t="shared" si="45"/>
        <v>0</v>
      </c>
      <c r="P79" s="65">
        <f t="shared" si="45"/>
        <v>0.99876084262701359</v>
      </c>
      <c r="Q79" s="426">
        <v>0</v>
      </c>
      <c r="R79" s="426">
        <v>0</v>
      </c>
      <c r="S79" s="164">
        <f t="shared" si="46"/>
        <v>0</v>
      </c>
      <c r="T79" s="1"/>
      <c r="U79" s="1"/>
      <c r="V79" s="1"/>
      <c r="W79" s="1"/>
      <c r="X79" s="1"/>
      <c r="Y79" s="1"/>
      <c r="Z79" s="1"/>
    </row>
    <row r="80" spans="1:26">
      <c r="A80" s="56" t="s">
        <v>141</v>
      </c>
      <c r="B80" s="164"/>
      <c r="C80" s="210">
        <f>G128*'End use share 1994'!D22/('End use share 1994'!D22+'End use share 1994'!E22)</f>
        <v>113248.00154877141</v>
      </c>
      <c r="D80" s="210">
        <f>G128*'End use share 1994'!E22/('End use share 1994'!D22+'End use share 1994'!E22)</f>
        <v>95097.29445122859</v>
      </c>
      <c r="E80" s="164"/>
      <c r="F80" s="164"/>
      <c r="G80" s="12">
        <f>H128</f>
        <v>148.80000000000001</v>
      </c>
      <c r="H80" s="12">
        <f>I128</f>
        <v>0</v>
      </c>
      <c r="I80" s="209">
        <f t="shared" si="44"/>
        <v>208494.09599999999</v>
      </c>
      <c r="J80" s="1"/>
      <c r="K80" s="164">
        <f t="shared" si="45"/>
        <v>0</v>
      </c>
      <c r="L80" s="164">
        <f t="shared" si="45"/>
        <v>0.54317126346240241</v>
      </c>
      <c r="M80" s="164">
        <f t="shared" si="45"/>
        <v>0.45611504726363378</v>
      </c>
      <c r="N80" s="164">
        <f t="shared" si="45"/>
        <v>0</v>
      </c>
      <c r="O80" s="164">
        <f t="shared" si="45"/>
        <v>0</v>
      </c>
      <c r="P80" s="65">
        <f t="shared" si="45"/>
        <v>7.1368927396390168E-4</v>
      </c>
      <c r="Q80" s="426">
        <v>0</v>
      </c>
      <c r="R80" s="426">
        <v>0</v>
      </c>
      <c r="S80" s="164">
        <f t="shared" si="46"/>
        <v>0</v>
      </c>
      <c r="T80" s="1"/>
      <c r="U80" s="1"/>
      <c r="V80" s="1"/>
      <c r="W80" s="1"/>
      <c r="X80" s="1"/>
      <c r="Y80" s="1"/>
      <c r="Z80" s="1"/>
    </row>
    <row r="81" spans="1:256">
      <c r="A81" s="12" t="s">
        <v>494</v>
      </c>
      <c r="B81" s="12"/>
      <c r="C81" s="12">
        <f>G138</f>
        <v>0</v>
      </c>
      <c r="D81" s="12"/>
      <c r="E81" s="12"/>
      <c r="F81" s="12"/>
      <c r="G81" s="12">
        <f>H138</f>
        <v>0</v>
      </c>
      <c r="H81" s="12">
        <f>I138</f>
        <v>46488.353999999999</v>
      </c>
      <c r="I81" s="209">
        <f t="shared" si="44"/>
        <v>46488.353999999999</v>
      </c>
      <c r="J81" s="1"/>
      <c r="K81" s="164">
        <f t="shared" si="45"/>
        <v>0</v>
      </c>
      <c r="L81" s="164">
        <f t="shared" si="45"/>
        <v>0</v>
      </c>
      <c r="M81" s="164">
        <f t="shared" si="45"/>
        <v>0</v>
      </c>
      <c r="N81" s="164">
        <f t="shared" si="45"/>
        <v>0</v>
      </c>
      <c r="O81" s="164">
        <f t="shared" si="45"/>
        <v>0</v>
      </c>
      <c r="P81" s="164">
        <f t="shared" si="45"/>
        <v>0</v>
      </c>
      <c r="Q81" s="426">
        <v>0</v>
      </c>
      <c r="R81" s="426">
        <v>0</v>
      </c>
      <c r="S81" s="164">
        <f t="shared" si="46"/>
        <v>1</v>
      </c>
      <c r="T81" s="1"/>
      <c r="U81" s="1"/>
      <c r="V81" s="1"/>
      <c r="W81" s="1"/>
      <c r="X81" s="1"/>
      <c r="Y81" s="1"/>
      <c r="Z81" s="1"/>
    </row>
    <row r="82" spans="1:256">
      <c r="A82" s="56" t="s">
        <v>142</v>
      </c>
      <c r="B82" s="164"/>
      <c r="C82" s="12">
        <f>G148</f>
        <v>0</v>
      </c>
      <c r="D82" s="164"/>
      <c r="E82" s="164"/>
      <c r="F82" s="164"/>
      <c r="G82" s="12">
        <f>H148</f>
        <v>0</v>
      </c>
      <c r="H82" s="12">
        <f>I148</f>
        <v>12096</v>
      </c>
      <c r="I82" s="209">
        <f t="shared" si="44"/>
        <v>12096</v>
      </c>
      <c r="J82" s="1"/>
      <c r="K82" s="164">
        <f t="shared" si="45"/>
        <v>0</v>
      </c>
      <c r="L82" s="164">
        <f t="shared" si="45"/>
        <v>0</v>
      </c>
      <c r="M82" s="164">
        <f t="shared" si="45"/>
        <v>0</v>
      </c>
      <c r="N82" s="164">
        <f t="shared" si="45"/>
        <v>0</v>
      </c>
      <c r="O82" s="164">
        <f t="shared" si="45"/>
        <v>0</v>
      </c>
      <c r="P82" s="164">
        <f t="shared" si="45"/>
        <v>0</v>
      </c>
      <c r="Q82" s="426">
        <v>0</v>
      </c>
      <c r="R82" s="426">
        <v>0</v>
      </c>
      <c r="S82" s="164">
        <f t="shared" si="46"/>
        <v>1</v>
      </c>
      <c r="T82" s="1"/>
      <c r="U82" s="1"/>
      <c r="V82" s="1"/>
      <c r="W82" s="1"/>
      <c r="X82" s="1"/>
      <c r="Y82" s="1"/>
      <c r="Z82" s="1"/>
    </row>
    <row r="83" spans="1:256">
      <c r="A83" s="56" t="s">
        <v>138</v>
      </c>
      <c r="B83" s="164"/>
      <c r="C83" s="1"/>
      <c r="D83" s="12">
        <f>G158</f>
        <v>163454.76</v>
      </c>
      <c r="E83" s="164"/>
      <c r="F83" s="164"/>
      <c r="G83" s="12">
        <f>H158</f>
        <v>18370.68</v>
      </c>
      <c r="H83" s="12">
        <f>I158</f>
        <v>0</v>
      </c>
      <c r="I83" s="209">
        <f t="shared" si="44"/>
        <v>181825.44</v>
      </c>
      <c r="K83" s="164">
        <f t="shared" si="45"/>
        <v>0</v>
      </c>
      <c r="L83" s="164">
        <f t="shared" si="45"/>
        <v>0</v>
      </c>
      <c r="M83" s="164">
        <f t="shared" si="45"/>
        <v>0.89896529330549124</v>
      </c>
      <c r="N83" s="164">
        <f t="shared" si="45"/>
        <v>0</v>
      </c>
      <c r="O83" s="164">
        <f t="shared" si="45"/>
        <v>0</v>
      </c>
      <c r="P83" s="65">
        <f t="shared" si="45"/>
        <v>0.10103470669450876</v>
      </c>
      <c r="Q83" s="426">
        <v>0</v>
      </c>
      <c r="R83" s="426">
        <v>0</v>
      </c>
      <c r="S83" s="164">
        <f t="shared" si="46"/>
        <v>0</v>
      </c>
    </row>
    <row r="84" spans="1:256">
      <c r="A84" s="1"/>
      <c r="B84" s="1"/>
      <c r="C84" s="211">
        <f>SUM(C78:C83)</f>
        <v>113289.04154877141</v>
      </c>
      <c r="D84" s="1"/>
      <c r="E84" s="1"/>
      <c r="F84" s="1"/>
      <c r="G84" s="212">
        <f>SUM(G78:G83)</f>
        <v>51597.72</v>
      </c>
      <c r="H84" s="212">
        <f>SUM(H78:H83)</f>
        <v>58584.353999999999</v>
      </c>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3.5">
      <c r="A86" s="1" t="s">
        <v>511</v>
      </c>
      <c r="B86" s="213"/>
      <c r="C86" s="213"/>
      <c r="D86" s="213"/>
      <c r="E86" s="213"/>
      <c r="F86" s="213"/>
      <c r="G86" s="214"/>
      <c r="H86" s="1"/>
      <c r="I86" s="159"/>
    </row>
    <row r="87" spans="1:256" ht="13.5">
      <c r="A87" s="12" t="s">
        <v>113</v>
      </c>
      <c r="B87" s="215" t="s">
        <v>490</v>
      </c>
      <c r="C87" s="215" t="s">
        <v>493</v>
      </c>
      <c r="D87" s="215" t="s">
        <v>491</v>
      </c>
      <c r="E87" s="215" t="s">
        <v>494</v>
      </c>
      <c r="F87" s="215" t="s">
        <v>492</v>
      </c>
      <c r="G87" s="216" t="s">
        <v>138</v>
      </c>
      <c r="H87" s="1"/>
      <c r="I87" s="1"/>
    </row>
    <row r="88" spans="1:256">
      <c r="A88" s="217" t="s">
        <v>512</v>
      </c>
      <c r="B88" s="218">
        <v>0</v>
      </c>
      <c r="C88" s="218">
        <v>0</v>
      </c>
      <c r="D88" s="218">
        <v>0</v>
      </c>
      <c r="E88" s="218">
        <v>0</v>
      </c>
      <c r="F88" s="218">
        <v>0</v>
      </c>
      <c r="G88" s="218">
        <v>0</v>
      </c>
      <c r="H88" s="1"/>
      <c r="I88" s="1"/>
    </row>
    <row r="89" spans="1:256">
      <c r="A89" s="219" t="s">
        <v>79</v>
      </c>
      <c r="B89" s="218">
        <v>0</v>
      </c>
      <c r="C89" s="218">
        <v>33078.239999999998</v>
      </c>
      <c r="D89" s="218">
        <v>148.80000000000001</v>
      </c>
      <c r="E89" s="218">
        <v>0</v>
      </c>
      <c r="F89" s="218">
        <v>0</v>
      </c>
      <c r="G89" s="218">
        <v>186</v>
      </c>
      <c r="H89" s="1"/>
      <c r="I89" s="1"/>
    </row>
    <row r="90" spans="1:256">
      <c r="A90" s="219" t="s">
        <v>513</v>
      </c>
      <c r="B90" s="218">
        <v>14601.6</v>
      </c>
      <c r="C90" s="218">
        <v>0</v>
      </c>
      <c r="D90" s="218">
        <v>0</v>
      </c>
      <c r="E90" s="218">
        <v>5554.6620000000003</v>
      </c>
      <c r="F90" s="218">
        <v>0</v>
      </c>
      <c r="G90" s="218">
        <v>66.599999999999994</v>
      </c>
      <c r="H90" s="1"/>
      <c r="I90" s="1"/>
    </row>
    <row r="91" spans="1:256">
      <c r="A91" s="12" t="s">
        <v>514</v>
      </c>
      <c r="B91" s="218">
        <v>799.2</v>
      </c>
      <c r="C91" s="218">
        <v>0</v>
      </c>
      <c r="D91" s="218">
        <v>0</v>
      </c>
      <c r="E91" s="218">
        <v>33851.004000000001</v>
      </c>
      <c r="F91" s="218">
        <v>0</v>
      </c>
      <c r="G91" s="218">
        <v>0</v>
      </c>
      <c r="H91" s="1"/>
      <c r="I91" s="1"/>
    </row>
    <row r="92" spans="1:256">
      <c r="A92" s="217" t="s">
        <v>515</v>
      </c>
      <c r="B92" s="218">
        <v>129.6</v>
      </c>
      <c r="C92" s="218">
        <v>0</v>
      </c>
      <c r="D92" s="218">
        <v>0</v>
      </c>
      <c r="E92" s="218">
        <v>387.16800000000001</v>
      </c>
      <c r="F92" s="218">
        <v>11040</v>
      </c>
      <c r="G92" s="218">
        <v>181587.6</v>
      </c>
      <c r="H92" s="1"/>
      <c r="I92" s="1"/>
    </row>
    <row r="93" spans="1:256">
      <c r="A93" s="217" t="s">
        <v>516</v>
      </c>
      <c r="B93" s="218">
        <v>0</v>
      </c>
      <c r="C93" s="218">
        <v>0</v>
      </c>
      <c r="D93" s="218">
        <v>208345.296</v>
      </c>
      <c r="E93" s="218">
        <v>5749.8</v>
      </c>
      <c r="F93" s="218">
        <v>1056</v>
      </c>
      <c r="G93" s="218">
        <v>51.84</v>
      </c>
      <c r="H93" s="1"/>
      <c r="I93" s="1"/>
    </row>
    <row r="94" spans="1:256">
      <c r="A94" s="217" t="s">
        <v>517</v>
      </c>
      <c r="B94" s="218">
        <v>0</v>
      </c>
      <c r="C94" s="218">
        <v>41.04</v>
      </c>
      <c r="D94" s="218">
        <v>0</v>
      </c>
      <c r="E94" s="218">
        <v>945.72</v>
      </c>
      <c r="F94" s="218">
        <v>0</v>
      </c>
      <c r="G94" s="218">
        <v>0</v>
      </c>
      <c r="H94" s="1"/>
      <c r="I94" s="1"/>
    </row>
    <row r="95" spans="1:256">
      <c r="A95" s="217" t="s">
        <v>224</v>
      </c>
      <c r="B95" s="218">
        <v>15530.4</v>
      </c>
      <c r="C95" s="218">
        <v>33119.279999999999</v>
      </c>
      <c r="D95" s="218">
        <v>208494.09599999999</v>
      </c>
      <c r="E95" s="218">
        <v>46488.353999999999</v>
      </c>
      <c r="F95" s="218">
        <v>12096</v>
      </c>
      <c r="G95" s="218">
        <v>181892.04</v>
      </c>
      <c r="H95" s="1"/>
      <c r="I95" s="1"/>
    </row>
    <row r="96" spans="1:256">
      <c r="A96" s="1"/>
      <c r="B96" s="41"/>
      <c r="C96" s="41"/>
      <c r="D96" s="41"/>
      <c r="E96" s="1"/>
      <c r="F96" s="1"/>
      <c r="G96" s="1"/>
      <c r="H96" s="1"/>
      <c r="I96" s="1"/>
    </row>
    <row r="97" spans="1:9">
      <c r="A97" s="1"/>
      <c r="B97" s="41"/>
      <c r="C97" s="41"/>
      <c r="D97" s="41"/>
      <c r="E97" s="1"/>
      <c r="F97" s="1"/>
      <c r="G97" s="1"/>
      <c r="H97" s="1"/>
      <c r="I97" s="1"/>
    </row>
    <row r="98" spans="1:9">
      <c r="A98" s="1" t="s">
        <v>518</v>
      </c>
      <c r="B98" s="41"/>
      <c r="C98" s="41"/>
      <c r="D98" s="41"/>
      <c r="E98" s="1"/>
      <c r="F98" s="1"/>
      <c r="G98" s="1"/>
      <c r="H98" s="1"/>
      <c r="I98" s="1"/>
    </row>
    <row r="99" spans="1:9">
      <c r="A99" s="1" t="s">
        <v>519</v>
      </c>
      <c r="B99" s="41"/>
      <c r="C99" s="41"/>
      <c r="D99" s="41"/>
      <c r="E99" s="1"/>
      <c r="F99" s="1" t="s">
        <v>113</v>
      </c>
      <c r="G99" s="1"/>
      <c r="H99" s="1"/>
      <c r="I99" s="1"/>
    </row>
    <row r="100" spans="1:9">
      <c r="A100" s="12" t="s">
        <v>139</v>
      </c>
      <c r="B100" s="59" t="s">
        <v>520</v>
      </c>
      <c r="C100" s="59" t="s">
        <v>149</v>
      </c>
      <c r="D100" s="59" t="s">
        <v>83</v>
      </c>
      <c r="E100" s="1"/>
      <c r="F100" s="12" t="s">
        <v>139</v>
      </c>
      <c r="G100" s="59" t="s">
        <v>520</v>
      </c>
      <c r="H100" s="59" t="s">
        <v>149</v>
      </c>
      <c r="I100" s="59" t="s">
        <v>83</v>
      </c>
    </row>
    <row r="101" spans="1:9">
      <c r="A101" s="217" t="s">
        <v>512</v>
      </c>
      <c r="B101" s="220"/>
      <c r="C101" s="220"/>
      <c r="D101" s="220"/>
      <c r="E101" s="1"/>
      <c r="F101" s="217" t="s">
        <v>512</v>
      </c>
      <c r="G101" s="67"/>
      <c r="H101" s="67"/>
      <c r="I101" s="67"/>
    </row>
    <row r="102" spans="1:9">
      <c r="A102" s="219" t="s">
        <v>79</v>
      </c>
      <c r="B102" s="220"/>
      <c r="C102" s="220"/>
      <c r="D102" s="220"/>
      <c r="E102" s="1"/>
      <c r="F102" s="219" t="s">
        <v>79</v>
      </c>
      <c r="G102" s="67"/>
      <c r="H102" s="67"/>
      <c r="I102" s="67"/>
    </row>
    <row r="103" spans="1:9">
      <c r="A103" s="219" t="s">
        <v>513</v>
      </c>
      <c r="B103" s="220">
        <v>1</v>
      </c>
      <c r="C103" s="220"/>
      <c r="D103" s="220"/>
      <c r="E103" s="1"/>
      <c r="F103" s="219" t="s">
        <v>513</v>
      </c>
      <c r="G103" s="67">
        <f>B103*B90</f>
        <v>14601.6</v>
      </c>
      <c r="H103" s="67"/>
      <c r="I103" s="67"/>
    </row>
    <row r="104" spans="1:9">
      <c r="A104" s="12" t="s">
        <v>514</v>
      </c>
      <c r="B104" s="220">
        <v>1</v>
      </c>
      <c r="C104" s="220"/>
      <c r="D104" s="220"/>
      <c r="E104" s="1"/>
      <c r="F104" s="12" t="s">
        <v>514</v>
      </c>
      <c r="G104" s="67">
        <f>B104*B91</f>
        <v>799.2</v>
      </c>
      <c r="H104" s="67"/>
      <c r="I104" s="67"/>
    </row>
    <row r="105" spans="1:9">
      <c r="A105" s="217" t="s">
        <v>515</v>
      </c>
      <c r="B105" s="220">
        <v>1</v>
      </c>
      <c r="C105" s="220"/>
      <c r="D105" s="220"/>
      <c r="E105" s="1"/>
      <c r="F105" s="217" t="s">
        <v>515</v>
      </c>
      <c r="G105" s="67">
        <f>B105*B92</f>
        <v>129.6</v>
      </c>
      <c r="H105" s="67"/>
      <c r="I105" s="67"/>
    </row>
    <row r="106" spans="1:9">
      <c r="A106" s="217" t="s">
        <v>516</v>
      </c>
      <c r="B106" s="220"/>
      <c r="C106" s="220"/>
      <c r="D106" s="220"/>
      <c r="E106" s="1"/>
      <c r="F106" s="217" t="s">
        <v>516</v>
      </c>
      <c r="G106" s="67"/>
      <c r="H106" s="67"/>
      <c r="I106" s="67"/>
    </row>
    <row r="107" spans="1:9">
      <c r="A107" s="217" t="s">
        <v>517</v>
      </c>
      <c r="B107" s="220"/>
      <c r="C107" s="220"/>
      <c r="D107" s="220"/>
      <c r="E107" s="1"/>
      <c r="F107" s="217" t="s">
        <v>517</v>
      </c>
      <c r="G107" s="67"/>
      <c r="H107" s="67"/>
      <c r="I107" s="67"/>
    </row>
    <row r="108" spans="1:9">
      <c r="A108" s="217" t="s">
        <v>224</v>
      </c>
      <c r="B108" s="220"/>
      <c r="C108" s="220"/>
      <c r="D108" s="220"/>
      <c r="E108" s="1"/>
      <c r="F108" s="217" t="s">
        <v>224</v>
      </c>
      <c r="G108" s="67">
        <f>SUM(G101:G107)</f>
        <v>15530.400000000001</v>
      </c>
      <c r="H108" s="67">
        <f>SUM(H101:H107)</f>
        <v>0</v>
      </c>
      <c r="I108" s="67">
        <f>SUM(I101:I107)</f>
        <v>0</v>
      </c>
    </row>
    <row r="109" spans="1:9">
      <c r="A109" s="1"/>
      <c r="B109" s="41"/>
      <c r="C109" s="41"/>
      <c r="D109" s="41"/>
      <c r="E109" s="1"/>
      <c r="F109" s="1"/>
      <c r="G109" s="41"/>
      <c r="H109" s="41"/>
      <c r="I109" s="41"/>
    </row>
    <row r="110" spans="1:9">
      <c r="A110" s="12" t="s">
        <v>140</v>
      </c>
      <c r="B110" s="59" t="s">
        <v>520</v>
      </c>
      <c r="C110" s="59" t="s">
        <v>149</v>
      </c>
      <c r="D110" s="59" t="s">
        <v>83</v>
      </c>
      <c r="E110" s="1"/>
      <c r="F110" s="12" t="s">
        <v>140</v>
      </c>
      <c r="G110" s="59" t="s">
        <v>520</v>
      </c>
      <c r="H110" s="59" t="s">
        <v>149</v>
      </c>
      <c r="I110" s="59" t="s">
        <v>83</v>
      </c>
    </row>
    <row r="111" spans="1:9">
      <c r="A111" s="217" t="s">
        <v>512</v>
      </c>
      <c r="B111" s="220"/>
      <c r="C111" s="220"/>
      <c r="D111" s="220"/>
      <c r="E111" s="1"/>
      <c r="F111" s="217" t="s">
        <v>512</v>
      </c>
      <c r="G111" s="67"/>
      <c r="H111" s="67"/>
      <c r="I111" s="67"/>
    </row>
    <row r="112" spans="1:9">
      <c r="A112" s="219" t="s">
        <v>79</v>
      </c>
      <c r="B112" s="220"/>
      <c r="C112" s="220">
        <v>1</v>
      </c>
      <c r="D112" s="220"/>
      <c r="E112" s="1"/>
      <c r="F112" s="219" t="s">
        <v>79</v>
      </c>
      <c r="G112" s="67"/>
      <c r="H112" s="67">
        <f>C112*C89</f>
        <v>33078.239999999998</v>
      </c>
      <c r="I112" s="67"/>
    </row>
    <row r="113" spans="1:9">
      <c r="A113" s="219" t="s">
        <v>513</v>
      </c>
      <c r="B113" s="220"/>
      <c r="C113" s="220"/>
      <c r="D113" s="220"/>
      <c r="E113" s="1"/>
      <c r="F113" s="219" t="s">
        <v>513</v>
      </c>
      <c r="G113" s="67"/>
      <c r="H113" s="67"/>
      <c r="I113" s="67"/>
    </row>
    <row r="114" spans="1:9">
      <c r="A114" s="12" t="s">
        <v>514</v>
      </c>
      <c r="B114" s="220"/>
      <c r="C114" s="220"/>
      <c r="D114" s="220"/>
      <c r="E114" s="1"/>
      <c r="F114" s="12" t="s">
        <v>514</v>
      </c>
      <c r="G114" s="67"/>
      <c r="H114" s="67"/>
      <c r="I114" s="67"/>
    </row>
    <row r="115" spans="1:9">
      <c r="A115" s="217" t="s">
        <v>515</v>
      </c>
      <c r="B115" s="220"/>
      <c r="C115" s="220"/>
      <c r="D115" s="220"/>
      <c r="E115" s="1"/>
      <c r="F115" s="217" t="s">
        <v>515</v>
      </c>
      <c r="G115" s="67"/>
      <c r="H115" s="67"/>
      <c r="I115" s="67"/>
    </row>
    <row r="116" spans="1:9">
      <c r="A116" s="217" t="s">
        <v>516</v>
      </c>
      <c r="B116" s="220"/>
      <c r="C116" s="220"/>
      <c r="D116" s="220"/>
      <c r="E116" s="1"/>
      <c r="F116" s="217" t="s">
        <v>516</v>
      </c>
      <c r="G116" s="67"/>
      <c r="H116" s="67"/>
      <c r="I116" s="67"/>
    </row>
    <row r="117" spans="1:9">
      <c r="A117" s="217" t="s">
        <v>517</v>
      </c>
      <c r="B117" s="220">
        <v>1</v>
      </c>
      <c r="C117" s="220"/>
      <c r="D117" s="220"/>
      <c r="E117" s="1"/>
      <c r="F117" s="217" t="s">
        <v>517</v>
      </c>
      <c r="G117" s="67">
        <f>B117*C94</f>
        <v>41.04</v>
      </c>
      <c r="H117" s="67"/>
      <c r="I117" s="67"/>
    </row>
    <row r="118" spans="1:9">
      <c r="A118" s="217" t="s">
        <v>224</v>
      </c>
      <c r="B118" s="220"/>
      <c r="C118" s="220"/>
      <c r="D118" s="220"/>
      <c r="E118" s="1"/>
      <c r="F118" s="217" t="s">
        <v>224</v>
      </c>
      <c r="G118" s="67">
        <f>SUM(G111:G117)</f>
        <v>41.04</v>
      </c>
      <c r="H118" s="67">
        <f>SUM(H111:H117)</f>
        <v>33078.239999999998</v>
      </c>
      <c r="I118" s="67">
        <f>SUM(I111:I117)</f>
        <v>0</v>
      </c>
    </row>
    <row r="119" spans="1:9">
      <c r="A119" s="1"/>
      <c r="B119" s="41"/>
      <c r="C119" s="41"/>
      <c r="D119" s="41"/>
      <c r="E119" s="1"/>
      <c r="F119" s="1"/>
      <c r="G119" s="59"/>
      <c r="H119" s="59"/>
      <c r="I119" s="59"/>
    </row>
    <row r="120" spans="1:9">
      <c r="A120" s="12" t="s">
        <v>141</v>
      </c>
      <c r="B120" s="59" t="s">
        <v>520</v>
      </c>
      <c r="C120" s="59" t="s">
        <v>149</v>
      </c>
      <c r="D120" s="59" t="s">
        <v>83</v>
      </c>
      <c r="E120" s="1"/>
      <c r="F120" s="12" t="s">
        <v>141</v>
      </c>
      <c r="G120" s="59" t="s">
        <v>520</v>
      </c>
      <c r="H120" s="59" t="s">
        <v>149</v>
      </c>
      <c r="I120" s="59" t="s">
        <v>83</v>
      </c>
    </row>
    <row r="121" spans="1:9">
      <c r="A121" s="217" t="s">
        <v>512</v>
      </c>
      <c r="B121" s="220"/>
      <c r="C121" s="220"/>
      <c r="D121" s="220"/>
      <c r="E121" s="1"/>
      <c r="F121" s="217" t="s">
        <v>512</v>
      </c>
      <c r="G121" s="67"/>
      <c r="H121" s="67"/>
      <c r="I121" s="67"/>
    </row>
    <row r="122" spans="1:9">
      <c r="A122" s="219" t="s">
        <v>79</v>
      </c>
      <c r="B122" s="220"/>
      <c r="C122" s="220">
        <v>1</v>
      </c>
      <c r="D122" s="220"/>
      <c r="E122" s="1"/>
      <c r="F122" s="219" t="s">
        <v>79</v>
      </c>
      <c r="G122" s="67"/>
      <c r="H122" s="67">
        <f>C122*D89</f>
        <v>148.80000000000001</v>
      </c>
      <c r="I122" s="67"/>
    </row>
    <row r="123" spans="1:9">
      <c r="A123" s="219" t="s">
        <v>513</v>
      </c>
      <c r="B123" s="220"/>
      <c r="C123" s="220"/>
      <c r="D123" s="220"/>
      <c r="E123" s="1"/>
      <c r="F123" s="219" t="s">
        <v>513</v>
      </c>
      <c r="G123" s="67"/>
      <c r="H123" s="67"/>
      <c r="I123" s="67"/>
    </row>
    <row r="124" spans="1:9">
      <c r="A124" s="12" t="s">
        <v>514</v>
      </c>
      <c r="B124" s="220"/>
      <c r="C124" s="220"/>
      <c r="D124" s="220"/>
      <c r="E124" s="1"/>
      <c r="F124" s="12" t="s">
        <v>514</v>
      </c>
      <c r="G124" s="67"/>
      <c r="H124" s="67"/>
      <c r="I124" s="67"/>
    </row>
    <row r="125" spans="1:9">
      <c r="A125" s="217" t="s">
        <v>515</v>
      </c>
      <c r="B125" s="220"/>
      <c r="C125" s="220"/>
      <c r="D125" s="220"/>
      <c r="E125" s="1"/>
      <c r="F125" s="217" t="s">
        <v>515</v>
      </c>
      <c r="G125" s="67"/>
      <c r="H125" s="67"/>
      <c r="I125" s="67"/>
    </row>
    <row r="126" spans="1:9">
      <c r="A126" s="217" t="s">
        <v>516</v>
      </c>
      <c r="B126" s="220">
        <v>1</v>
      </c>
      <c r="C126" s="220"/>
      <c r="D126" s="220"/>
      <c r="E126" s="1"/>
      <c r="F126" s="217" t="s">
        <v>516</v>
      </c>
      <c r="G126" s="67">
        <f>B126*D93</f>
        <v>208345.296</v>
      </c>
      <c r="H126" s="67"/>
      <c r="I126" s="67"/>
    </row>
    <row r="127" spans="1:9">
      <c r="A127" s="217" t="s">
        <v>517</v>
      </c>
      <c r="B127" s="220"/>
      <c r="C127" s="220"/>
      <c r="D127" s="220"/>
      <c r="E127" s="1"/>
      <c r="F127" s="217" t="s">
        <v>517</v>
      </c>
      <c r="G127" s="67"/>
      <c r="H127" s="67"/>
      <c r="I127" s="67"/>
    </row>
    <row r="128" spans="1:9">
      <c r="A128" s="217" t="s">
        <v>224</v>
      </c>
      <c r="B128" s="220"/>
      <c r="C128" s="220"/>
      <c r="D128" s="220"/>
      <c r="E128" s="1"/>
      <c r="F128" s="217" t="s">
        <v>224</v>
      </c>
      <c r="G128" s="67">
        <f>SUM(G121:G127)</f>
        <v>208345.296</v>
      </c>
      <c r="H128" s="67">
        <f>SUM(H121:H127)</f>
        <v>148.80000000000001</v>
      </c>
      <c r="I128" s="67">
        <f>SUM(I121:I127)</f>
        <v>0</v>
      </c>
    </row>
    <row r="129" spans="1:9">
      <c r="A129" s="1"/>
      <c r="B129" s="41"/>
      <c r="C129" s="41"/>
      <c r="D129" s="41"/>
      <c r="E129" s="1"/>
      <c r="F129" s="1"/>
      <c r="G129" s="59"/>
      <c r="H129" s="59"/>
      <c r="I129" s="59"/>
    </row>
    <row r="130" spans="1:9">
      <c r="A130" s="12" t="s">
        <v>494</v>
      </c>
      <c r="B130" s="59" t="s">
        <v>520</v>
      </c>
      <c r="C130" s="59" t="s">
        <v>149</v>
      </c>
      <c r="D130" s="59" t="s">
        <v>83</v>
      </c>
      <c r="E130" s="1"/>
      <c r="F130" s="12" t="s">
        <v>494</v>
      </c>
      <c r="G130" s="59" t="s">
        <v>520</v>
      </c>
      <c r="H130" s="59" t="s">
        <v>149</v>
      </c>
      <c r="I130" s="59" t="s">
        <v>83</v>
      </c>
    </row>
    <row r="131" spans="1:9">
      <c r="A131" s="217" t="s">
        <v>512</v>
      </c>
      <c r="B131" s="220"/>
      <c r="C131" s="220"/>
      <c r="D131" s="220"/>
      <c r="E131" s="1"/>
      <c r="F131" s="217" t="s">
        <v>512</v>
      </c>
      <c r="G131" s="67"/>
      <c r="H131" s="67"/>
      <c r="I131" s="67"/>
    </row>
    <row r="132" spans="1:9">
      <c r="A132" s="219" t="s">
        <v>79</v>
      </c>
      <c r="B132" s="220"/>
      <c r="C132" s="220"/>
      <c r="D132" s="220"/>
      <c r="E132" s="1"/>
      <c r="F132" s="219" t="s">
        <v>79</v>
      </c>
      <c r="G132" s="67"/>
      <c r="H132" s="67"/>
      <c r="I132" s="67"/>
    </row>
    <row r="133" spans="1:9">
      <c r="A133" s="219" t="s">
        <v>513</v>
      </c>
      <c r="B133" s="220"/>
      <c r="C133" s="220"/>
      <c r="D133" s="220">
        <v>1</v>
      </c>
      <c r="E133" s="1"/>
      <c r="F133" s="219" t="s">
        <v>513</v>
      </c>
      <c r="G133" s="67"/>
      <c r="H133" s="67"/>
      <c r="I133" s="67">
        <f>D133*E90</f>
        <v>5554.6620000000003</v>
      </c>
    </row>
    <row r="134" spans="1:9">
      <c r="A134" s="12" t="s">
        <v>514</v>
      </c>
      <c r="B134" s="220"/>
      <c r="C134" s="220"/>
      <c r="D134" s="220">
        <v>1</v>
      </c>
      <c r="E134" s="1"/>
      <c r="F134" s="12" t="s">
        <v>514</v>
      </c>
      <c r="G134" s="67"/>
      <c r="H134" s="67"/>
      <c r="I134" s="67">
        <f>D134*E91</f>
        <v>33851.004000000001</v>
      </c>
    </row>
    <row r="135" spans="1:9">
      <c r="A135" s="217" t="s">
        <v>515</v>
      </c>
      <c r="B135" s="220"/>
      <c r="C135" s="220"/>
      <c r="D135" s="220">
        <v>1</v>
      </c>
      <c r="E135" s="1"/>
      <c r="F135" s="217" t="s">
        <v>515</v>
      </c>
      <c r="G135" s="67"/>
      <c r="H135" s="67"/>
      <c r="I135" s="67">
        <f>D135*E92</f>
        <v>387.16800000000001</v>
      </c>
    </row>
    <row r="136" spans="1:9">
      <c r="A136" s="217" t="s">
        <v>516</v>
      </c>
      <c r="B136" s="220"/>
      <c r="C136" s="220"/>
      <c r="D136" s="220">
        <v>1</v>
      </c>
      <c r="E136" s="1"/>
      <c r="F136" s="217" t="s">
        <v>516</v>
      </c>
      <c r="G136" s="67"/>
      <c r="H136" s="67"/>
      <c r="I136" s="67">
        <f>D136*E93</f>
        <v>5749.8</v>
      </c>
    </row>
    <row r="137" spans="1:9">
      <c r="A137" s="217" t="s">
        <v>517</v>
      </c>
      <c r="B137" s="220"/>
      <c r="C137" s="220"/>
      <c r="D137" s="220">
        <v>1</v>
      </c>
      <c r="E137" s="1"/>
      <c r="F137" s="217" t="s">
        <v>517</v>
      </c>
      <c r="G137" s="67"/>
      <c r="H137" s="67"/>
      <c r="I137" s="67">
        <f>D137*E94</f>
        <v>945.72</v>
      </c>
    </row>
    <row r="138" spans="1:9">
      <c r="A138" s="217" t="s">
        <v>224</v>
      </c>
      <c r="B138" s="220"/>
      <c r="C138" s="220"/>
      <c r="D138" s="220"/>
      <c r="E138" s="1"/>
      <c r="F138" s="217" t="s">
        <v>224</v>
      </c>
      <c r="G138" s="67">
        <f>SUM(G131:G137)</f>
        <v>0</v>
      </c>
      <c r="H138" s="67">
        <f>SUM(H131:H137)</f>
        <v>0</v>
      </c>
      <c r="I138" s="67">
        <f>SUM(I131:I137)</f>
        <v>46488.353999999999</v>
      </c>
    </row>
    <row r="139" spans="1:9">
      <c r="A139" s="1"/>
      <c r="B139" s="41"/>
      <c r="C139" s="41"/>
      <c r="D139" s="41"/>
      <c r="E139" s="1"/>
      <c r="F139" s="1"/>
      <c r="G139" s="59"/>
      <c r="H139" s="59"/>
      <c r="I139" s="59"/>
    </row>
    <row r="140" spans="1:9">
      <c r="A140" s="12" t="s">
        <v>142</v>
      </c>
      <c r="B140" s="59" t="s">
        <v>520</v>
      </c>
      <c r="C140" s="59" t="s">
        <v>149</v>
      </c>
      <c r="D140" s="59" t="s">
        <v>83</v>
      </c>
      <c r="E140" s="1"/>
      <c r="F140" s="12" t="s">
        <v>142</v>
      </c>
      <c r="G140" s="59" t="s">
        <v>520</v>
      </c>
      <c r="H140" s="59" t="s">
        <v>149</v>
      </c>
      <c r="I140" s="59" t="s">
        <v>83</v>
      </c>
    </row>
    <row r="141" spans="1:9">
      <c r="A141" s="217" t="s">
        <v>512</v>
      </c>
      <c r="B141" s="220"/>
      <c r="C141" s="220"/>
      <c r="D141" s="220"/>
      <c r="E141" s="1"/>
      <c r="F141" s="217" t="s">
        <v>512</v>
      </c>
      <c r="G141" s="67"/>
      <c r="H141" s="67"/>
      <c r="I141" s="67"/>
    </row>
    <row r="142" spans="1:9">
      <c r="A142" s="219" t="s">
        <v>79</v>
      </c>
      <c r="B142" s="220"/>
      <c r="C142" s="220"/>
      <c r="D142" s="220"/>
      <c r="E142" s="1"/>
      <c r="F142" s="219" t="s">
        <v>79</v>
      </c>
      <c r="G142" s="67"/>
      <c r="H142" s="67"/>
      <c r="I142" s="67"/>
    </row>
    <row r="143" spans="1:9">
      <c r="A143" s="219" t="s">
        <v>513</v>
      </c>
      <c r="B143" s="220"/>
      <c r="C143" s="220"/>
      <c r="D143" s="220"/>
      <c r="E143" s="1"/>
      <c r="F143" s="219" t="s">
        <v>513</v>
      </c>
      <c r="G143" s="67"/>
      <c r="H143" s="67"/>
      <c r="I143" s="67"/>
    </row>
    <row r="144" spans="1:9">
      <c r="A144" s="12" t="s">
        <v>514</v>
      </c>
      <c r="B144" s="220"/>
      <c r="C144" s="220"/>
      <c r="D144" s="220"/>
      <c r="E144" s="1"/>
      <c r="F144" s="12" t="s">
        <v>514</v>
      </c>
      <c r="G144" s="67"/>
      <c r="H144" s="67"/>
      <c r="I144" s="67"/>
    </row>
    <row r="145" spans="1:9">
      <c r="A145" s="217" t="s">
        <v>515</v>
      </c>
      <c r="B145" s="220"/>
      <c r="C145" s="220"/>
      <c r="D145" s="220">
        <v>1</v>
      </c>
      <c r="E145" s="1"/>
      <c r="F145" s="217" t="s">
        <v>515</v>
      </c>
      <c r="G145" s="67"/>
      <c r="H145" s="67"/>
      <c r="I145" s="67">
        <f>D145*F92</f>
        <v>11040</v>
      </c>
    </row>
    <row r="146" spans="1:9">
      <c r="A146" s="217" t="s">
        <v>516</v>
      </c>
      <c r="B146" s="220"/>
      <c r="C146" s="220"/>
      <c r="D146" s="220">
        <v>1</v>
      </c>
      <c r="E146" s="1"/>
      <c r="F146" s="217" t="s">
        <v>516</v>
      </c>
      <c r="G146" s="67"/>
      <c r="H146" s="67"/>
      <c r="I146" s="67">
        <f>D146*F93</f>
        <v>1056</v>
      </c>
    </row>
    <row r="147" spans="1:9">
      <c r="A147" s="217" t="s">
        <v>517</v>
      </c>
      <c r="B147" s="220"/>
      <c r="C147" s="220"/>
      <c r="D147" s="220"/>
      <c r="E147" s="1"/>
      <c r="F147" s="217" t="s">
        <v>517</v>
      </c>
      <c r="G147" s="67"/>
      <c r="H147" s="67"/>
      <c r="I147" s="67"/>
    </row>
    <row r="148" spans="1:9">
      <c r="A148" s="217" t="s">
        <v>224</v>
      </c>
      <c r="B148" s="220"/>
      <c r="C148" s="220"/>
      <c r="D148" s="220"/>
      <c r="E148" s="1"/>
      <c r="F148" s="217" t="s">
        <v>224</v>
      </c>
      <c r="G148" s="67">
        <f>SUM(G141:G147)</f>
        <v>0</v>
      </c>
      <c r="H148" s="67">
        <f>SUM(H141:H147)</f>
        <v>0</v>
      </c>
      <c r="I148" s="67">
        <f>SUM(I141:I147)</f>
        <v>12096</v>
      </c>
    </row>
    <row r="149" spans="1:9">
      <c r="A149" s="1"/>
      <c r="B149" s="41"/>
      <c r="C149" s="41"/>
      <c r="D149" s="41"/>
      <c r="E149" s="1"/>
      <c r="F149" s="1"/>
      <c r="G149" s="59"/>
      <c r="H149" s="59"/>
      <c r="I149" s="59"/>
    </row>
    <row r="150" spans="1:9">
      <c r="A150" s="12" t="s">
        <v>465</v>
      </c>
      <c r="B150" s="59" t="s">
        <v>520</v>
      </c>
      <c r="C150" s="59" t="s">
        <v>149</v>
      </c>
      <c r="D150" s="59" t="s">
        <v>83</v>
      </c>
      <c r="E150" s="1"/>
      <c r="F150" s="12" t="s">
        <v>465</v>
      </c>
      <c r="G150" s="59" t="s">
        <v>520</v>
      </c>
      <c r="H150" s="59" t="s">
        <v>149</v>
      </c>
      <c r="I150" s="59" t="s">
        <v>83</v>
      </c>
    </row>
    <row r="151" spans="1:9">
      <c r="A151" s="217" t="s">
        <v>512</v>
      </c>
      <c r="B151" s="220"/>
      <c r="C151" s="220"/>
      <c r="D151" s="220"/>
      <c r="E151" s="1"/>
      <c r="F151" s="217" t="s">
        <v>512</v>
      </c>
      <c r="G151" s="67">
        <f t="shared" ref="G151:I157" si="47">B151*$G88</f>
        <v>0</v>
      </c>
      <c r="H151" s="67">
        <f t="shared" si="47"/>
        <v>0</v>
      </c>
      <c r="I151" s="67">
        <f t="shared" si="47"/>
        <v>0</v>
      </c>
    </row>
    <row r="152" spans="1:9">
      <c r="A152" s="219" t="s">
        <v>79</v>
      </c>
      <c r="B152" s="220"/>
      <c r="C152" s="220">
        <v>1</v>
      </c>
      <c r="D152" s="220"/>
      <c r="E152" s="1"/>
      <c r="F152" s="219" t="s">
        <v>79</v>
      </c>
      <c r="G152" s="67">
        <f t="shared" si="47"/>
        <v>0</v>
      </c>
      <c r="H152" s="67">
        <f t="shared" si="47"/>
        <v>186</v>
      </c>
      <c r="I152" s="67">
        <f t="shared" si="47"/>
        <v>0</v>
      </c>
    </row>
    <row r="153" spans="1:9">
      <c r="A153" s="219" t="s">
        <v>513</v>
      </c>
      <c r="B153" s="220"/>
      <c r="C153" s="220"/>
      <c r="D153" s="220"/>
      <c r="E153" s="1"/>
      <c r="F153" s="219" t="s">
        <v>513</v>
      </c>
      <c r="G153" s="67">
        <f t="shared" si="47"/>
        <v>0</v>
      </c>
      <c r="H153" s="67">
        <f t="shared" si="47"/>
        <v>0</v>
      </c>
      <c r="I153" s="67">
        <f t="shared" si="47"/>
        <v>0</v>
      </c>
    </row>
    <row r="154" spans="1:9">
      <c r="A154" s="12" t="s">
        <v>514</v>
      </c>
      <c r="B154" s="220"/>
      <c r="C154" s="220"/>
      <c r="D154" s="220"/>
      <c r="E154" s="1"/>
      <c r="F154" s="12" t="s">
        <v>514</v>
      </c>
      <c r="G154" s="67">
        <f t="shared" si="47"/>
        <v>0</v>
      </c>
      <c r="H154" s="67">
        <f t="shared" si="47"/>
        <v>0</v>
      </c>
      <c r="I154" s="67">
        <f t="shared" si="47"/>
        <v>0</v>
      </c>
    </row>
    <row r="155" spans="1:9">
      <c r="A155" s="217" t="s">
        <v>515</v>
      </c>
      <c r="B155" s="220">
        <v>0.9</v>
      </c>
      <c r="C155" s="220">
        <v>0.1</v>
      </c>
      <c r="D155" s="220"/>
      <c r="E155" s="1"/>
      <c r="F155" s="217" t="s">
        <v>515</v>
      </c>
      <c r="G155" s="67">
        <f t="shared" si="47"/>
        <v>163428.84</v>
      </c>
      <c r="H155" s="67">
        <f t="shared" si="47"/>
        <v>18158.760000000002</v>
      </c>
      <c r="I155" s="67">
        <f t="shared" si="47"/>
        <v>0</v>
      </c>
    </row>
    <row r="156" spans="1:9">
      <c r="A156" s="217" t="s">
        <v>516</v>
      </c>
      <c r="B156" s="220">
        <v>0.5</v>
      </c>
      <c r="C156" s="220">
        <v>0.5</v>
      </c>
      <c r="D156" s="220"/>
      <c r="E156" s="1"/>
      <c r="F156" s="217" t="s">
        <v>516</v>
      </c>
      <c r="G156" s="67">
        <f t="shared" si="47"/>
        <v>25.92</v>
      </c>
      <c r="H156" s="67">
        <f t="shared" si="47"/>
        <v>25.92</v>
      </c>
      <c r="I156" s="67">
        <f t="shared" si="47"/>
        <v>0</v>
      </c>
    </row>
    <row r="157" spans="1:9">
      <c r="A157" s="217" t="s">
        <v>517</v>
      </c>
      <c r="B157" s="220"/>
      <c r="C157" s="220"/>
      <c r="D157" s="220"/>
      <c r="E157" s="1"/>
      <c r="F157" s="217" t="s">
        <v>517</v>
      </c>
      <c r="G157" s="67">
        <f t="shared" si="47"/>
        <v>0</v>
      </c>
      <c r="H157" s="67">
        <f t="shared" si="47"/>
        <v>0</v>
      </c>
      <c r="I157" s="67">
        <f t="shared" si="47"/>
        <v>0</v>
      </c>
    </row>
    <row r="158" spans="1:9">
      <c r="A158" s="217" t="s">
        <v>224</v>
      </c>
      <c r="B158" s="220"/>
      <c r="C158" s="220"/>
      <c r="D158" s="220"/>
      <c r="E158" s="1"/>
      <c r="F158" s="217" t="s">
        <v>224</v>
      </c>
      <c r="G158" s="67">
        <f>SUM(G151:G157)</f>
        <v>163454.76</v>
      </c>
      <c r="H158" s="67">
        <f>SUM(H151:H157)</f>
        <v>18370.68</v>
      </c>
      <c r="I158" s="67">
        <f>SUM(I151:I157)</f>
        <v>0</v>
      </c>
    </row>
    <row r="160" spans="1:9" s="221" customFormat="1">
      <c r="A160" s="221" t="s">
        <v>521</v>
      </c>
    </row>
    <row r="162" spans="1:13">
      <c r="A162" s="1"/>
      <c r="B162" s="1"/>
      <c r="C162" s="1"/>
      <c r="D162" s="41"/>
      <c r="E162" s="41"/>
      <c r="F162" s="1"/>
      <c r="G162" s="1"/>
      <c r="K162" s="1"/>
      <c r="L162" s="1"/>
      <c r="M162" s="1"/>
    </row>
    <row r="163" spans="1:13">
      <c r="A163" s="1" t="s">
        <v>522</v>
      </c>
      <c r="B163" s="222">
        <v>3.6</v>
      </c>
      <c r="C163" s="1"/>
      <c r="D163" s="41"/>
      <c r="E163" s="41"/>
      <c r="F163" s="1"/>
      <c r="G163" s="1"/>
      <c r="K163" s="1"/>
      <c r="L163" s="1"/>
      <c r="M163" s="1"/>
    </row>
    <row r="164" spans="1:13">
      <c r="A164" s="1" t="s">
        <v>523</v>
      </c>
      <c r="B164" s="1">
        <v>0.27</v>
      </c>
      <c r="K164" s="1"/>
      <c r="L164" s="1"/>
      <c r="M164" s="1"/>
    </row>
    <row r="165" spans="1:13">
      <c r="K165" s="1"/>
      <c r="L165" s="1"/>
      <c r="M165" s="1"/>
    </row>
    <row r="166" spans="1:13">
      <c r="K166" s="1"/>
      <c r="L166" s="1"/>
      <c r="M166" s="1"/>
    </row>
    <row r="167" spans="1:13">
      <c r="K167" s="1"/>
      <c r="L167" s="1"/>
      <c r="M167" s="1"/>
    </row>
    <row r="168" spans="1:13">
      <c r="K168" s="1"/>
      <c r="L168" s="1"/>
      <c r="M168" s="1"/>
    </row>
    <row r="169" spans="1:13">
      <c r="A169" s="1"/>
      <c r="B169" s="1"/>
      <c r="C169" s="1"/>
      <c r="D169" s="1"/>
      <c r="E169" s="1"/>
      <c r="K169" s="1"/>
      <c r="L169" s="1"/>
      <c r="M169" s="1"/>
    </row>
    <row r="170" spans="1:13">
      <c r="K170" s="1"/>
      <c r="L170" s="1"/>
      <c r="M170" s="1"/>
    </row>
    <row r="171" spans="1:13">
      <c r="K171" s="1"/>
      <c r="L171" s="1"/>
      <c r="M171" s="1"/>
    </row>
    <row r="172" spans="1:13">
      <c r="K172" s="1"/>
      <c r="L172" s="1"/>
      <c r="M172" s="1"/>
    </row>
  </sheetData>
  <sheetProtection selectLockedCells="1" selectUnlockedCells="1"/>
  <mergeCells count="7">
    <mergeCell ref="A53:I53"/>
    <mergeCell ref="A75:I75"/>
    <mergeCell ref="A1:I1"/>
    <mergeCell ref="A14:I14"/>
    <mergeCell ref="A18:I18"/>
    <mergeCell ref="A32:J32"/>
    <mergeCell ref="A44:I44"/>
  </mergeCells>
  <pageMargins left="0.78749999999999998" right="0.78749999999999998" top="1.0527777777777778" bottom="1.0527777777777778" header="0.78749999999999998" footer="0.78749999999999998"/>
  <pageSetup paperSize="9" firstPageNumber="0" orientation="portrait" horizontalDpi="300" verticalDpi="300" r:id="rId1"/>
  <headerFooter alignWithMargins="0">
    <oddHeader>&amp;C&amp;"Times New Roman,Regular"&amp;12&amp;A</oddHeader>
    <oddFooter>&amp;C&amp;"Times New Roman,Regular"&amp;12Page &amp;P</oddFooter>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303E4-6B63-4FA5-90AA-7D90C7DEB067}">
  <sheetPr codeName="Sheet52">
    <tabColor rgb="FF00B050"/>
  </sheetPr>
  <dimension ref="A1:AY121"/>
  <sheetViews>
    <sheetView topLeftCell="A17" zoomScale="65" workbookViewId="0">
      <selection activeCell="D55" sqref="D55"/>
    </sheetView>
  </sheetViews>
  <sheetFormatPr defaultColWidth="8.85546875" defaultRowHeight="12.75"/>
  <cols>
    <col min="1" max="1" width="52.7109375" style="314" customWidth="1"/>
    <col min="2" max="11" width="8.42578125" style="314" customWidth="1"/>
    <col min="12" max="17" width="6.28515625" style="314" customWidth="1"/>
    <col min="18" max="37" width="10" style="314" customWidth="1"/>
    <col min="38" max="38" width="11.7109375" style="314" customWidth="1"/>
    <col min="39" max="42" width="10" style="314" customWidth="1"/>
    <col min="43" max="16384" width="8.85546875" style="314"/>
  </cols>
  <sheetData>
    <row r="1" spans="1:42">
      <c r="A1" s="551" t="s">
        <v>441</v>
      </c>
      <c r="B1" s="800" t="s">
        <v>638</v>
      </c>
      <c r="C1" s="800"/>
      <c r="D1" s="800"/>
      <c r="E1" s="485" t="s">
        <v>639</v>
      </c>
      <c r="F1" s="485"/>
      <c r="G1" s="485"/>
      <c r="H1" s="551"/>
      <c r="I1" s="485"/>
      <c r="J1" s="551"/>
      <c r="K1" s="576"/>
    </row>
    <row r="2" spans="1:42">
      <c r="A2" s="552" t="s">
        <v>792</v>
      </c>
      <c r="B2" s="553" t="s">
        <v>791</v>
      </c>
      <c r="C2" s="574"/>
      <c r="D2" s="574"/>
      <c r="E2" s="574"/>
      <c r="F2" s="574"/>
      <c r="G2" s="575"/>
      <c r="H2" s="574"/>
      <c r="I2" s="574"/>
      <c r="J2" s="574"/>
      <c r="K2" s="575"/>
      <c r="L2" s="341"/>
      <c r="M2" s="341"/>
      <c r="N2" s="341"/>
      <c r="AB2" s="341"/>
      <c r="AC2" s="341"/>
      <c r="AD2" s="341"/>
      <c r="AE2" s="341"/>
      <c r="AF2" s="341"/>
      <c r="AG2" s="341"/>
      <c r="AH2" s="341"/>
      <c r="AI2" s="341"/>
      <c r="AJ2" s="341"/>
      <c r="AK2" s="341"/>
      <c r="AL2" s="341"/>
      <c r="AM2" s="341"/>
      <c r="AN2" s="313"/>
      <c r="AO2" s="341"/>
      <c r="AP2" s="341"/>
    </row>
    <row r="3" spans="1:42">
      <c r="A3" s="313"/>
      <c r="B3" s="313"/>
      <c r="C3" s="312" t="s">
        <v>640</v>
      </c>
      <c r="D3" s="312"/>
      <c r="E3" s="312"/>
      <c r="F3" s="312"/>
      <c r="G3" s="312"/>
      <c r="H3" s="312"/>
      <c r="I3" s="312"/>
      <c r="J3" s="312"/>
      <c r="K3" s="313"/>
      <c r="L3" s="314" t="s">
        <v>641</v>
      </c>
      <c r="AB3" s="341"/>
      <c r="AC3" s="341"/>
      <c r="AD3" s="341"/>
      <c r="AE3" s="341"/>
      <c r="AF3" s="341"/>
      <c r="AG3" s="341"/>
      <c r="AH3" s="341"/>
      <c r="AI3" s="341"/>
      <c r="AJ3" s="341"/>
      <c r="AK3" s="341"/>
      <c r="AL3" s="341"/>
      <c r="AM3" s="341"/>
      <c r="AN3" s="341"/>
      <c r="AO3" s="341"/>
      <c r="AP3" s="313"/>
    </row>
    <row r="4" spans="1:42">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2">
      <c r="A5" s="312" t="s">
        <v>643</v>
      </c>
      <c r="B5" s="313" t="s">
        <v>901</v>
      </c>
      <c r="C5" s="314" t="s">
        <v>141</v>
      </c>
      <c r="D5" s="313" t="s">
        <v>798</v>
      </c>
      <c r="E5" s="313" t="s">
        <v>137</v>
      </c>
      <c r="F5" s="313" t="s">
        <v>465</v>
      </c>
      <c r="G5" s="313" t="s">
        <v>800</v>
      </c>
      <c r="H5" s="313" t="s">
        <v>802</v>
      </c>
      <c r="I5" s="313" t="s">
        <v>806</v>
      </c>
      <c r="J5" s="313" t="s">
        <v>804</v>
      </c>
      <c r="K5" s="341" t="s">
        <v>644</v>
      </c>
      <c r="N5" s="341"/>
      <c r="AB5" s="341"/>
      <c r="AC5" s="341"/>
      <c r="AD5" s="341"/>
      <c r="AE5" s="341"/>
      <c r="AF5" s="341"/>
      <c r="AG5" s="341"/>
      <c r="AH5" s="341"/>
      <c r="AI5" s="341"/>
      <c r="AJ5" s="341"/>
      <c r="AK5" s="341"/>
      <c r="AL5" s="341"/>
      <c r="AM5" s="341"/>
      <c r="AN5" s="341"/>
      <c r="AO5" s="313"/>
      <c r="AP5" s="341"/>
    </row>
    <row r="6" spans="1:42">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2">
      <c r="A7" s="485"/>
      <c r="B7" s="554" t="s">
        <v>647</v>
      </c>
      <c r="C7" s="316">
        <v>26.655000000000001</v>
      </c>
      <c r="D7" s="316">
        <v>1.4990000000000001</v>
      </c>
      <c r="E7" s="316">
        <v>129.04</v>
      </c>
      <c r="F7" s="316">
        <v>1.232</v>
      </c>
      <c r="G7" s="316">
        <v>0</v>
      </c>
      <c r="H7" s="644">
        <v>0.23314278231431268</v>
      </c>
      <c r="I7" s="644">
        <v>0.52600000000000002</v>
      </c>
      <c r="J7" s="644">
        <v>0.44</v>
      </c>
      <c r="K7" s="316">
        <f>SUM(C7:J7)</f>
        <v>159.6251427823143</v>
      </c>
      <c r="L7" s="555"/>
      <c r="N7" s="314" t="s">
        <v>1440</v>
      </c>
    </row>
    <row r="8" spans="1:42">
      <c r="A8" s="485" t="s">
        <v>648</v>
      </c>
      <c r="B8" s="554" t="s">
        <v>649</v>
      </c>
      <c r="C8" s="416">
        <f>C7/$K$7</f>
        <v>0.16698497201252463</v>
      </c>
      <c r="D8" s="416">
        <f>D7/$K$7</f>
        <v>9.3907511929009358E-3</v>
      </c>
      <c r="E8" s="416">
        <f>E7/$K$7</f>
        <v>0.80839395192257268</v>
      </c>
      <c r="F8" s="416">
        <f t="shared" ref="F8:J8" si="2">F7/$K$7</f>
        <v>7.7180823680146442E-3</v>
      </c>
      <c r="G8" s="416">
        <f t="shared" si="2"/>
        <v>0</v>
      </c>
      <c r="H8" s="416">
        <f t="shared" si="2"/>
        <v>1.4605642836119912E-3</v>
      </c>
      <c r="I8" s="416">
        <f t="shared" si="2"/>
        <v>3.2952202317984599E-3</v>
      </c>
      <c r="J8" s="416">
        <f t="shared" si="2"/>
        <v>2.7564579885766584E-3</v>
      </c>
      <c r="K8" s="316"/>
      <c r="L8" s="555"/>
    </row>
    <row r="9" spans="1:42">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2">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2">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2">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2">
      <c r="A13" s="314" t="s">
        <v>658</v>
      </c>
      <c r="B13" s="551" t="s">
        <v>659</v>
      </c>
      <c r="C13" s="313">
        <v>0.1</v>
      </c>
      <c r="D13" s="313">
        <v>0.1</v>
      </c>
      <c r="E13" s="313">
        <v>0</v>
      </c>
      <c r="F13" s="313">
        <v>0.05</v>
      </c>
      <c r="G13" s="313">
        <v>0.1</v>
      </c>
      <c r="H13" s="313">
        <v>0.1</v>
      </c>
      <c r="I13" s="313"/>
      <c r="J13" s="313"/>
      <c r="K13" s="341"/>
      <c r="L13" s="313">
        <f>L12+1</f>
        <v>5</v>
      </c>
    </row>
    <row r="14" spans="1:42">
      <c r="A14" s="485"/>
      <c r="B14" s="313"/>
      <c r="C14" s="313"/>
      <c r="D14" s="313"/>
      <c r="E14" s="313"/>
      <c r="F14" s="313"/>
      <c r="G14" s="313"/>
      <c r="H14" s="313"/>
      <c r="I14" s="313"/>
      <c r="J14" s="313"/>
      <c r="K14" s="341"/>
    </row>
    <row r="15" spans="1:42">
      <c r="A15" s="485" t="s">
        <v>660</v>
      </c>
      <c r="B15" s="313"/>
      <c r="C15" s="319">
        <v>0</v>
      </c>
      <c r="D15" s="319">
        <v>0</v>
      </c>
      <c r="E15" s="556">
        <v>0.1</v>
      </c>
      <c r="F15" s="319">
        <v>0</v>
      </c>
      <c r="G15" s="319">
        <v>0</v>
      </c>
      <c r="H15" s="319">
        <v>0</v>
      </c>
      <c r="I15" s="319">
        <v>0</v>
      </c>
      <c r="J15" s="319">
        <v>0</v>
      </c>
      <c r="K15" s="341"/>
    </row>
    <row r="16" spans="1:42">
      <c r="A16" s="485" t="s">
        <v>661</v>
      </c>
      <c r="B16" s="313" t="s">
        <v>662</v>
      </c>
      <c r="C16" s="321">
        <f t="shared" ref="C16:J16" ca="1" si="3">SUMPRODUCT(--($C$61:$C$121=C6),$M$61:$M$121)^2/(SUMPRODUCT(--($C$61:$C$121=C6),$M$61:$M$121,$F$61:$F$121)+eps)</f>
        <v>39.843223498137995</v>
      </c>
      <c r="D16" s="321">
        <f t="shared" ca="1" si="3"/>
        <v>2.3154154843274628</v>
      </c>
      <c r="E16" s="321">
        <f t="shared" ca="1" si="3"/>
        <v>186.10856160174566</v>
      </c>
      <c r="F16" s="321">
        <f t="shared" ca="1" si="3"/>
        <v>1.5932341445826441</v>
      </c>
      <c r="G16" s="321">
        <f t="shared" ca="1" si="3"/>
        <v>0</v>
      </c>
      <c r="H16" s="321">
        <f t="shared" ca="1" si="3"/>
        <v>0.36012166646263938</v>
      </c>
      <c r="I16" s="321">
        <f t="shared" ca="1" si="3"/>
        <v>0.59014920765223089</v>
      </c>
      <c r="J16" s="321">
        <f t="shared" ca="1" si="3"/>
        <v>0.50537040551557255</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1" si="9">A31</f>
        <v>Commercial - Cooling</v>
      </c>
      <c r="B43" s="346" t="str">
        <f t="shared" si="9"/>
        <v>CEC</v>
      </c>
      <c r="C43" s="321">
        <f t="shared" ref="C43:J49" si="10">C31*C$7</f>
        <v>0</v>
      </c>
      <c r="D43" s="321">
        <f t="shared" si="10"/>
        <v>0</v>
      </c>
      <c r="E43" s="321">
        <f t="shared" ref="E43:E51" si="11">E31*E$7</f>
        <v>42.502947110953272</v>
      </c>
      <c r="F43" s="321">
        <f t="shared" si="10"/>
        <v>0</v>
      </c>
      <c r="G43" s="321">
        <f t="shared" si="10"/>
        <v>0</v>
      </c>
      <c r="H43" s="321">
        <f t="shared" si="10"/>
        <v>0</v>
      </c>
      <c r="I43" s="321">
        <f t="shared" si="10"/>
        <v>0</v>
      </c>
      <c r="J43" s="321">
        <f t="shared" si="10"/>
        <v>0</v>
      </c>
      <c r="K43" s="330">
        <f t="shared" ref="K43:K50" si="12">SUM(C43:J43)</f>
        <v>42.502947110953272</v>
      </c>
      <c r="L43" s="390">
        <f>M67</f>
        <v>42.502947110953279</v>
      </c>
      <c r="M43" s="634">
        <f>L43-K43</f>
        <v>0</v>
      </c>
      <c r="N43" s="560"/>
    </row>
    <row r="44" spans="1:14">
      <c r="A44" s="343" t="str">
        <f t="shared" si="9"/>
        <v>Commercial - Space Heating</v>
      </c>
      <c r="B44" s="346" t="str">
        <f t="shared" si="9"/>
        <v>CEH</v>
      </c>
      <c r="C44" s="321">
        <f t="shared" si="10"/>
        <v>14.478230027590337</v>
      </c>
      <c r="D44" s="321">
        <f>D32*D$7</f>
        <v>0</v>
      </c>
      <c r="E44" s="321">
        <f t="shared" si="11"/>
        <v>2.5387257525306146</v>
      </c>
      <c r="F44" s="321">
        <f t="shared" si="10"/>
        <v>0.3555332496863236</v>
      </c>
      <c r="G44" s="321">
        <f t="shared" si="10"/>
        <v>0</v>
      </c>
      <c r="H44" s="321">
        <f t="shared" si="10"/>
        <v>0</v>
      </c>
      <c r="I44" s="321">
        <f t="shared" si="10"/>
        <v>0</v>
      </c>
      <c r="J44" s="321">
        <f t="shared" si="10"/>
        <v>0</v>
      </c>
      <c r="K44" s="330">
        <f t="shared" si="12"/>
        <v>17.372489029807276</v>
      </c>
      <c r="L44" s="390">
        <f>M74</f>
        <v>17.372489029807276</v>
      </c>
      <c r="M44" s="634">
        <f t="shared" ref="M44:M51" si="13">L44-K44</f>
        <v>0</v>
      </c>
    </row>
    <row r="45" spans="1:14">
      <c r="A45" s="343" t="str">
        <f t="shared" si="9"/>
        <v>Commercial - Cooking</v>
      </c>
      <c r="B45" s="346" t="str">
        <f t="shared" si="9"/>
        <v>CEK</v>
      </c>
      <c r="C45" s="321">
        <f t="shared" si="10"/>
        <v>1.9023387597507799E-2</v>
      </c>
      <c r="D45" s="321">
        <f>D33*D$7</f>
        <v>0</v>
      </c>
      <c r="E45" s="321">
        <f t="shared" si="11"/>
        <v>8.1985434396049257</v>
      </c>
      <c r="F45" s="321">
        <f t="shared" si="10"/>
        <v>0</v>
      </c>
      <c r="G45" s="321">
        <f t="shared" si="10"/>
        <v>0</v>
      </c>
      <c r="H45" s="321">
        <f t="shared" si="10"/>
        <v>0</v>
      </c>
      <c r="I45" s="321">
        <f t="shared" si="10"/>
        <v>0</v>
      </c>
      <c r="J45" s="321">
        <f t="shared" si="10"/>
        <v>4.4455270945583852E-2</v>
      </c>
      <c r="K45" s="330">
        <f t="shared" si="12"/>
        <v>8.2620220981480177</v>
      </c>
      <c r="L45" s="390">
        <f>M79</f>
        <v>8.2620220981480177</v>
      </c>
      <c r="M45" s="634">
        <f t="shared" si="13"/>
        <v>0</v>
      </c>
    </row>
    <row r="46" spans="1:14">
      <c r="A46" s="343" t="str">
        <f t="shared" si="9"/>
        <v>Commercial - Lighting</v>
      </c>
      <c r="B46" s="346" t="str">
        <f t="shared" si="9"/>
        <v>CEL</v>
      </c>
      <c r="C46" s="321">
        <f t="shared" si="10"/>
        <v>0</v>
      </c>
      <c r="D46" s="321">
        <f>D34*D$7</f>
        <v>0</v>
      </c>
      <c r="E46" s="321">
        <f t="shared" si="11"/>
        <v>23.005336213496982</v>
      </c>
      <c r="F46" s="321">
        <f t="shared" si="10"/>
        <v>0</v>
      </c>
      <c r="G46" s="321">
        <f t="shared" si="10"/>
        <v>0</v>
      </c>
      <c r="H46" s="321">
        <f t="shared" si="10"/>
        <v>0</v>
      </c>
      <c r="I46" s="321">
        <f t="shared" si="10"/>
        <v>0</v>
      </c>
      <c r="J46" s="321">
        <f t="shared" si="10"/>
        <v>0</v>
      </c>
      <c r="K46" s="330">
        <f t="shared" si="12"/>
        <v>23.005336213496982</v>
      </c>
      <c r="L46" s="390">
        <f>M87</f>
        <v>23.005336213496978</v>
      </c>
      <c r="M46" s="634">
        <f t="shared" si="13"/>
        <v>0</v>
      </c>
    </row>
    <row r="47" spans="1:14">
      <c r="A47" s="343" t="str">
        <f t="shared" si="9"/>
        <v>Commercial - Refrigeration</v>
      </c>
      <c r="B47" s="346" t="str">
        <f t="shared" si="9"/>
        <v>CER</v>
      </c>
      <c r="C47" s="321">
        <f t="shared" si="10"/>
        <v>0</v>
      </c>
      <c r="D47" s="321">
        <f>D35*D$7</f>
        <v>0</v>
      </c>
      <c r="E47" s="321">
        <f t="shared" si="11"/>
        <v>25.463499211305457</v>
      </c>
      <c r="F47" s="321">
        <f t="shared" si="10"/>
        <v>0</v>
      </c>
      <c r="G47" s="321">
        <f t="shared" si="10"/>
        <v>0</v>
      </c>
      <c r="H47" s="321">
        <f t="shared" si="10"/>
        <v>0</v>
      </c>
      <c r="I47" s="321">
        <f t="shared" si="10"/>
        <v>0</v>
      </c>
      <c r="J47" s="321">
        <f t="shared" si="10"/>
        <v>0</v>
      </c>
      <c r="K47" s="330">
        <f t="shared" si="12"/>
        <v>25.463499211305457</v>
      </c>
      <c r="L47" s="390">
        <f>M91</f>
        <v>25.463499211305457</v>
      </c>
      <c r="M47" s="634">
        <f t="shared" si="13"/>
        <v>0</v>
      </c>
    </row>
    <row r="48" spans="1:14">
      <c r="A48" s="343" t="str">
        <f t="shared" si="9"/>
        <v>Commercial - Water Heating</v>
      </c>
      <c r="B48" s="346" t="str">
        <f t="shared" si="9"/>
        <v>CEW</v>
      </c>
      <c r="C48" s="321">
        <f t="shared" si="10"/>
        <v>12.157746584812159</v>
      </c>
      <c r="D48" s="321">
        <f>D36*D$7</f>
        <v>0</v>
      </c>
      <c r="E48" s="321">
        <f t="shared" si="11"/>
        <v>1.1130186957207104</v>
      </c>
      <c r="F48" s="321">
        <f t="shared" si="10"/>
        <v>0.87646675031367627</v>
      </c>
      <c r="G48" s="321">
        <f t="shared" si="10"/>
        <v>0</v>
      </c>
      <c r="H48" s="321">
        <f t="shared" si="10"/>
        <v>0</v>
      </c>
      <c r="I48" s="321">
        <f t="shared" si="10"/>
        <v>0.52600000000000002</v>
      </c>
      <c r="J48" s="321">
        <f t="shared" si="10"/>
        <v>0.39554472905441612</v>
      </c>
      <c r="K48" s="330">
        <f t="shared" si="12"/>
        <v>15.068776759900961</v>
      </c>
      <c r="L48" s="390">
        <f>M100</f>
        <v>15.068776759900961</v>
      </c>
      <c r="M48" s="634">
        <f t="shared" si="13"/>
        <v>0</v>
      </c>
    </row>
    <row r="49" spans="1:51">
      <c r="A49" s="343" t="str">
        <f t="shared" si="9"/>
        <v>Commercial - Public Lights</v>
      </c>
      <c r="B49" s="346" t="str">
        <f t="shared" si="9"/>
        <v>CEG</v>
      </c>
      <c r="C49" s="321">
        <f t="shared" si="10"/>
        <v>0</v>
      </c>
      <c r="D49" s="321">
        <f t="shared" si="10"/>
        <v>0</v>
      </c>
      <c r="E49" s="321">
        <f t="shared" si="11"/>
        <v>2.5965064487049987</v>
      </c>
      <c r="F49" s="321">
        <f t="shared" si="10"/>
        <v>0</v>
      </c>
      <c r="G49" s="321">
        <f t="shared" si="10"/>
        <v>0</v>
      </c>
      <c r="H49" s="321">
        <f t="shared" si="10"/>
        <v>0</v>
      </c>
      <c r="I49" s="321">
        <f t="shared" si="10"/>
        <v>0</v>
      </c>
      <c r="J49" s="321">
        <f t="shared" si="10"/>
        <v>0</v>
      </c>
      <c r="K49" s="330">
        <f t="shared" si="12"/>
        <v>2.5965064487049987</v>
      </c>
      <c r="L49" s="390">
        <f>M108</f>
        <v>2.5965064487049987</v>
      </c>
      <c r="M49" s="634">
        <f t="shared" si="13"/>
        <v>0</v>
      </c>
    </row>
    <row r="50" spans="1:51">
      <c r="A50" s="343" t="str">
        <f t="shared" si="9"/>
        <v>Commercial - Public Water</v>
      </c>
      <c r="B50" s="346" t="str">
        <f t="shared" si="9"/>
        <v>CET</v>
      </c>
      <c r="C50" s="321"/>
      <c r="D50" s="321"/>
      <c r="E50" s="321">
        <f t="shared" si="11"/>
        <v>3.0654245097100388</v>
      </c>
      <c r="F50" s="321"/>
      <c r="G50" s="321"/>
      <c r="H50" s="321"/>
      <c r="I50" s="321"/>
      <c r="J50" s="321"/>
      <c r="K50" s="330">
        <f t="shared" si="12"/>
        <v>3.0654245097100388</v>
      </c>
      <c r="L50" s="390">
        <f>M110</f>
        <v>3.0654245097100388</v>
      </c>
      <c r="M50" s="634">
        <f t="shared" si="13"/>
        <v>0</v>
      </c>
    </row>
    <row r="51" spans="1:51">
      <c r="A51" s="343" t="str">
        <f t="shared" si="9"/>
        <v>Commercial - Other</v>
      </c>
      <c r="B51" s="346" t="str">
        <f t="shared" si="9"/>
        <v>CEO</v>
      </c>
      <c r="C51" s="321">
        <f>C39*C$7</f>
        <v>0</v>
      </c>
      <c r="D51" s="321">
        <f>D39*D$7</f>
        <v>1.4990000000000001</v>
      </c>
      <c r="E51" s="321">
        <f t="shared" si="11"/>
        <v>20.555998617972968</v>
      </c>
      <c r="F51" s="321">
        <f>F39*F$7</f>
        <v>0</v>
      </c>
      <c r="G51" s="321">
        <f>G39*G$7</f>
        <v>0</v>
      </c>
      <c r="H51" s="321">
        <f>H39*H$7</f>
        <v>0.23314278231431268</v>
      </c>
      <c r="I51" s="321">
        <f>I39*I$7</f>
        <v>0</v>
      </c>
      <c r="J51" s="321">
        <f>J39*J$7</f>
        <v>0</v>
      </c>
      <c r="K51" s="330">
        <f>SUM(C51:J51)</f>
        <v>22.28814140028728</v>
      </c>
      <c r="L51" s="390">
        <f>M120</f>
        <v>22.28814140028728</v>
      </c>
      <c r="M51" s="634">
        <f t="shared" si="13"/>
        <v>0</v>
      </c>
    </row>
    <row r="52" spans="1:51">
      <c r="A52" s="331" t="str">
        <f>A40</f>
        <v>Total</v>
      </c>
      <c r="B52" s="343"/>
      <c r="C52" s="330">
        <f t="shared" ref="C52:K52" si="14">SUM(C43:C51)</f>
        <v>26.655000000000005</v>
      </c>
      <c r="D52" s="330">
        <f t="shared" si="14"/>
        <v>1.4990000000000001</v>
      </c>
      <c r="E52" s="330">
        <f t="shared" si="14"/>
        <v>129.04</v>
      </c>
      <c r="F52" s="330">
        <f t="shared" si="14"/>
        <v>1.2319999999999998</v>
      </c>
      <c r="G52" s="330">
        <f t="shared" si="14"/>
        <v>0</v>
      </c>
      <c r="H52" s="330">
        <f t="shared" si="14"/>
        <v>0.23314278231431268</v>
      </c>
      <c r="I52" s="330">
        <f t="shared" si="14"/>
        <v>0.52600000000000002</v>
      </c>
      <c r="J52" s="330">
        <f t="shared" si="14"/>
        <v>0.43999999999999995</v>
      </c>
      <c r="K52" s="330">
        <f t="shared" si="14"/>
        <v>159.62514278231427</v>
      </c>
    </row>
    <row r="53" spans="1:51">
      <c r="A53" s="332"/>
      <c r="B53" s="333"/>
      <c r="C53" s="334"/>
      <c r="D53" s="334"/>
      <c r="E53" s="334"/>
      <c r="F53" s="334"/>
      <c r="G53" s="334"/>
      <c r="H53" s="334"/>
      <c r="I53" s="334"/>
      <c r="J53" s="334"/>
      <c r="K53" s="334"/>
      <c r="Q53" s="314">
        <v>2015</v>
      </c>
      <c r="R53" s="314">
        <v>2017</v>
      </c>
      <c r="S53" s="314">
        <v>2020</v>
      </c>
      <c r="T53" s="314">
        <v>2025</v>
      </c>
      <c r="U53" s="314">
        <v>2030</v>
      </c>
      <c r="V53" s="314">
        <v>2035</v>
      </c>
      <c r="W53" s="314">
        <v>2040</v>
      </c>
      <c r="X53" s="314">
        <v>2045</v>
      </c>
      <c r="Y53" s="314">
        <v>2050</v>
      </c>
      <c r="AB53" s="314">
        <v>2015</v>
      </c>
      <c r="AC53" s="314">
        <v>2017</v>
      </c>
      <c r="AD53" s="314">
        <v>2020</v>
      </c>
      <c r="AE53" s="314">
        <v>2025</v>
      </c>
      <c r="AF53" s="314">
        <v>2030</v>
      </c>
      <c r="AG53" s="314">
        <v>2035</v>
      </c>
      <c r="AH53" s="314">
        <v>2040</v>
      </c>
      <c r="AI53" s="314">
        <v>2045</v>
      </c>
      <c r="AJ53" s="314">
        <v>2050</v>
      </c>
      <c r="AM53" s="314">
        <v>5</v>
      </c>
    </row>
    <row r="54" spans="1:51">
      <c r="C54" s="555"/>
      <c r="D54" s="555"/>
      <c r="E54" s="555"/>
      <c r="F54" s="555"/>
      <c r="G54" s="555"/>
      <c r="H54" s="555"/>
      <c r="O54" s="561" t="s">
        <v>793</v>
      </c>
      <c r="P54" s="561"/>
      <c r="Q54" s="562">
        <v>0.05</v>
      </c>
      <c r="R54" s="562"/>
      <c r="S54" s="562">
        <f>0.03</f>
        <v>0.03</v>
      </c>
      <c r="T54" s="562">
        <v>0.1</v>
      </c>
      <c r="U54" s="562">
        <v>0.3</v>
      </c>
      <c r="V54" s="562">
        <v>0.55000000000000004</v>
      </c>
      <c r="W54" s="562">
        <v>0.85</v>
      </c>
      <c r="X54" s="562">
        <v>0.95</v>
      </c>
      <c r="Y54" s="562">
        <v>1</v>
      </c>
      <c r="Z54" s="561" t="s">
        <v>794</v>
      </c>
      <c r="AA54" s="561"/>
      <c r="AB54" s="562"/>
      <c r="AC54" s="562"/>
      <c r="AD54" s="562">
        <v>0.97</v>
      </c>
      <c r="AE54" s="562">
        <v>0.9</v>
      </c>
      <c r="AF54" s="562">
        <v>0.7</v>
      </c>
      <c r="AG54" s="562">
        <v>0.45</v>
      </c>
      <c r="AH54" s="562">
        <v>0.15</v>
      </c>
      <c r="AI54" s="562">
        <v>0.05</v>
      </c>
      <c r="AJ54" s="562">
        <v>0</v>
      </c>
      <c r="AM54" s="314">
        <f>12/5</f>
        <v>2.4</v>
      </c>
    </row>
    <row r="55" spans="1:51">
      <c r="C55" s="555"/>
      <c r="G55" s="403" t="s">
        <v>787</v>
      </c>
      <c r="H55" s="404">
        <v>0</v>
      </c>
      <c r="J55" s="555"/>
      <c r="AM55" s="314">
        <f>AM53*AM54</f>
        <v>12</v>
      </c>
    </row>
    <row r="56" spans="1:51" ht="25.5">
      <c r="A56" s="335" t="s">
        <v>676</v>
      </c>
      <c r="B56" s="335" t="s">
        <v>677</v>
      </c>
      <c r="C56" s="335" t="s">
        <v>678</v>
      </c>
      <c r="D56" s="335" t="s">
        <v>679</v>
      </c>
      <c r="E56" s="335" t="s">
        <v>680</v>
      </c>
      <c r="F56" s="335" t="s">
        <v>681</v>
      </c>
      <c r="G56" s="335" t="s">
        <v>682</v>
      </c>
      <c r="H56" s="335" t="s">
        <v>683</v>
      </c>
      <c r="I56" s="335" t="s">
        <v>769</v>
      </c>
      <c r="J56" s="335" t="s">
        <v>770</v>
      </c>
      <c r="P56" s="563">
        <v>0.01</v>
      </c>
      <c r="Q56" s="660">
        <v>0.02</v>
      </c>
      <c r="AA56" s="563">
        <v>0.01</v>
      </c>
      <c r="AB56" s="660">
        <v>-1.4999999999999999E-2</v>
      </c>
    </row>
    <row r="57" spans="1:51" ht="90"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Y57" s="337" t="s">
        <v>789</v>
      </c>
      <c r="AA57" s="337" t="s">
        <v>788</v>
      </c>
      <c r="AB57" s="337" t="s">
        <v>790</v>
      </c>
      <c r="AC57" s="337" t="s">
        <v>790</v>
      </c>
      <c r="AD57" s="337" t="s">
        <v>790</v>
      </c>
      <c r="AE57" s="337" t="s">
        <v>790</v>
      </c>
      <c r="AF57" s="337" t="s">
        <v>790</v>
      </c>
      <c r="AG57" s="337" t="s">
        <v>790</v>
      </c>
      <c r="AH57" s="337" t="s">
        <v>790</v>
      </c>
      <c r="AI57" s="337" t="s">
        <v>790</v>
      </c>
      <c r="AJ57" s="337" t="s">
        <v>790</v>
      </c>
      <c r="AK57" s="337" t="s">
        <v>695</v>
      </c>
      <c r="AM57" s="656" t="s">
        <v>1479</v>
      </c>
    </row>
    <row r="58" spans="1:51"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Y58" si="15">"U"&amp;Q$53</f>
        <v>U2015</v>
      </c>
      <c r="R58" s="314" t="str">
        <f t="shared" si="15"/>
        <v>U2017</v>
      </c>
      <c r="S58" s="314" t="str">
        <f t="shared" si="15"/>
        <v>U2020</v>
      </c>
      <c r="T58" s="314" t="str">
        <f t="shared" si="15"/>
        <v>U2025</v>
      </c>
      <c r="U58" s="314" t="str">
        <f t="shared" si="15"/>
        <v>U2030</v>
      </c>
      <c r="V58" s="314" t="str">
        <f t="shared" si="15"/>
        <v>U2035</v>
      </c>
      <c r="W58" s="314" t="str">
        <f t="shared" si="15"/>
        <v>U2040</v>
      </c>
      <c r="X58" s="314" t="str">
        <f t="shared" si="15"/>
        <v>U2045</v>
      </c>
      <c r="Y58" s="314" t="str">
        <f t="shared" si="15"/>
        <v>U2050</v>
      </c>
      <c r="AA58" s="314" t="s">
        <v>980</v>
      </c>
      <c r="AB58" s="314" t="str">
        <f t="shared" ref="AB58:AJ58" si="16">"L"&amp;AB$53</f>
        <v>L2015</v>
      </c>
      <c r="AC58" s="314" t="str">
        <f t="shared" si="16"/>
        <v>L2017</v>
      </c>
      <c r="AD58" s="314" t="str">
        <f t="shared" si="16"/>
        <v>L2020</v>
      </c>
      <c r="AE58" s="314" t="str">
        <f t="shared" si="16"/>
        <v>L2025</v>
      </c>
      <c r="AF58" s="314" t="str">
        <f t="shared" si="16"/>
        <v>L2030</v>
      </c>
      <c r="AG58" s="314" t="str">
        <f t="shared" si="16"/>
        <v>L2035</v>
      </c>
      <c r="AH58" s="314" t="str">
        <f t="shared" si="16"/>
        <v>L2040</v>
      </c>
      <c r="AI58" s="314" t="str">
        <f t="shared" si="16"/>
        <v>L2045</v>
      </c>
      <c r="AJ58" s="314" t="str">
        <f t="shared" si="16"/>
        <v>L2050</v>
      </c>
      <c r="AM58" s="314">
        <v>2018</v>
      </c>
      <c r="AN58" s="314">
        <f>AM58+1</f>
        <v>2019</v>
      </c>
      <c r="AO58" s="314">
        <f t="shared" ref="AO58:AX58" si="17">AN58+1</f>
        <v>2020</v>
      </c>
      <c r="AP58" s="314">
        <f t="shared" si="17"/>
        <v>2021</v>
      </c>
      <c r="AQ58" s="314">
        <f t="shared" si="17"/>
        <v>2022</v>
      </c>
      <c r="AR58" s="314">
        <f t="shared" si="17"/>
        <v>2023</v>
      </c>
      <c r="AS58" s="314">
        <f t="shared" si="17"/>
        <v>2024</v>
      </c>
      <c r="AT58" s="314">
        <f t="shared" si="17"/>
        <v>2025</v>
      </c>
      <c r="AU58" s="314">
        <f t="shared" si="17"/>
        <v>2026</v>
      </c>
      <c r="AV58" s="314">
        <f t="shared" si="17"/>
        <v>2027</v>
      </c>
      <c r="AW58" s="314">
        <f t="shared" si="17"/>
        <v>2028</v>
      </c>
      <c r="AX58" s="314">
        <f t="shared" si="17"/>
        <v>2029</v>
      </c>
      <c r="AY58" s="314">
        <f>AX58+1</f>
        <v>2030</v>
      </c>
    </row>
    <row r="59" spans="1:51">
      <c r="A59" s="342" t="s">
        <v>703</v>
      </c>
      <c r="B59" s="343"/>
      <c r="C59" s="344">
        <v>1</v>
      </c>
      <c r="D59" s="344">
        <f t="shared" ref="D59:J59" si="18">C59+1</f>
        <v>2</v>
      </c>
      <c r="E59" s="344">
        <f t="shared" si="18"/>
        <v>3</v>
      </c>
      <c r="F59" s="344">
        <f t="shared" si="18"/>
        <v>4</v>
      </c>
      <c r="G59" s="344">
        <f t="shared" si="18"/>
        <v>5</v>
      </c>
      <c r="H59" s="344">
        <f t="shared" si="18"/>
        <v>6</v>
      </c>
      <c r="I59" s="344">
        <f t="shared" si="18"/>
        <v>7</v>
      </c>
      <c r="J59" s="344">
        <f t="shared" si="18"/>
        <v>8</v>
      </c>
      <c r="L59" s="565"/>
      <c r="M59" s="325"/>
      <c r="N59" s="325"/>
    </row>
    <row r="60" spans="1:51">
      <c r="A60" s="343" t="str">
        <f>"\I:"&amp;A43</f>
        <v>\I:Commercial - Cooling</v>
      </c>
      <c r="B60" s="339"/>
    </row>
    <row r="61" spans="1:51">
      <c r="A61" s="343" t="str">
        <f>A43&amp;" - Electricity - Chiller - Existing"</f>
        <v>Commercial - Cooling - Electricity - Chiller - Existing</v>
      </c>
      <c r="B61" s="343" t="str">
        <f>D61&amp;RIGHT(C61,3)&amp;"CHIL-E"</f>
        <v>CECELCCHIL-E</v>
      </c>
      <c r="C61" s="346" t="str">
        <f t="shared" ref="C61:C66" si="19">$E$6</f>
        <v>COMELC</v>
      </c>
      <c r="D61" s="346" t="str">
        <f t="shared" ref="D61:D66" si="20">$B$43</f>
        <v>CEC</v>
      </c>
      <c r="E61" s="347">
        <f>Appliances!J56</f>
        <v>2.2000000000000002</v>
      </c>
      <c r="F61" s="566">
        <f ca="1">SUMIF(AFA!$B$3:$S$3,D61,AFA!$B$4:$J$4)</f>
        <v>0.79849999999999999</v>
      </c>
      <c r="G61" s="348">
        <v>15</v>
      </c>
      <c r="H61" s="349">
        <f ca="1">(N61/F61)*(1+$H$55)</f>
        <v>5.8551336032621926</v>
      </c>
      <c r="I61" s="349">
        <f>SUMIF('Technology costs'!$B$7:$B$28,' COM_2017_old'!B61,'Technology costs'!$F$7:$F$28)</f>
        <v>38.640323294395252</v>
      </c>
      <c r="J61" s="349">
        <f>I61*0.1</f>
        <v>3.8640323294395253</v>
      </c>
      <c r="L61" s="350">
        <f>Appliances!F56</f>
        <v>0.05</v>
      </c>
      <c r="M61" s="349">
        <f>L61*SUMIF($C$6:$J$6,C61,$C$43:$J$43)</f>
        <v>2.1251473555476639</v>
      </c>
      <c r="N61" s="349">
        <f>M61*E61</f>
        <v>4.6753241822048608</v>
      </c>
      <c r="P61" s="616"/>
      <c r="Q61" s="411"/>
      <c r="R61" s="411">
        <f>N61/SUMIF($D$61:$D$121,$D61,$N$61:$N$121)*(1+$P$56)</f>
        <v>3.9257950530035335E-2</v>
      </c>
      <c r="S61" s="411">
        <f>MIN(1,$R61+S$54)</f>
        <v>6.9257950530035334E-2</v>
      </c>
      <c r="T61" s="411">
        <f t="shared" ref="T61:Y61" si="21">MIN(1,$R61+T$54)</f>
        <v>0.13925795053003534</v>
      </c>
      <c r="U61" s="411">
        <f t="shared" si="21"/>
        <v>0.33925795053003532</v>
      </c>
      <c r="V61" s="411">
        <f t="shared" si="21"/>
        <v>0.58925795053003538</v>
      </c>
      <c r="W61" s="411">
        <f t="shared" si="21"/>
        <v>0.88925795053003531</v>
      </c>
      <c r="X61" s="411">
        <f t="shared" si="21"/>
        <v>0.98925795053003529</v>
      </c>
      <c r="Y61" s="411">
        <f t="shared" si="21"/>
        <v>1</v>
      </c>
      <c r="AA61" s="479"/>
      <c r="AB61" s="411"/>
      <c r="AC61" s="411">
        <f>R61/(1+$P$56+$AA$56)</f>
        <v>3.8488186794152286E-2</v>
      </c>
      <c r="AD61" s="411">
        <f>$AC61*AD$54</f>
        <v>3.7333541190327717E-2</v>
      </c>
      <c r="AE61" s="411">
        <f t="shared" ref="AE61:AJ66" si="22">$AC61*AE$54</f>
        <v>3.4639368114737057E-2</v>
      </c>
      <c r="AF61" s="411">
        <f t="shared" si="22"/>
        <v>2.6941730755906598E-2</v>
      </c>
      <c r="AG61" s="411">
        <f t="shared" si="22"/>
        <v>1.7319684057368528E-2</v>
      </c>
      <c r="AH61" s="411">
        <f t="shared" si="22"/>
        <v>5.7732280191228431E-3</v>
      </c>
      <c r="AI61" s="411">
        <f t="shared" si="22"/>
        <v>1.9244093397076144E-3</v>
      </c>
      <c r="AJ61" s="411">
        <f t="shared" si="22"/>
        <v>0</v>
      </c>
      <c r="AK61" s="314">
        <v>1</v>
      </c>
    </row>
    <row r="62" spans="1:51">
      <c r="A62" s="343" t="str">
        <f>A43&amp;" - Electricity - Central - Existing"</f>
        <v>Commercial - Cooling - Electricity - Central - Existing</v>
      </c>
      <c r="B62" s="343" t="str">
        <f>D62&amp;RIGHT(C62,3)&amp;"CEN-E"</f>
        <v>CECELCCEN-E</v>
      </c>
      <c r="C62" s="346" t="str">
        <f t="shared" si="19"/>
        <v>COMELC</v>
      </c>
      <c r="D62" s="346" t="str">
        <f t="shared" si="20"/>
        <v>CEC</v>
      </c>
      <c r="E62" s="347">
        <f>Appliances!J57</f>
        <v>3.1</v>
      </c>
      <c r="F62" s="566">
        <f ca="1">SUMIF(AFA!$B$3:$S$3,D62,AFA!$B$4:$J$4)</f>
        <v>0.79849999999999999</v>
      </c>
      <c r="G62" s="348">
        <v>15</v>
      </c>
      <c r="H62" s="349">
        <f ca="1">(N62/F62)*(1+$H$55)</f>
        <v>99.004986382433444</v>
      </c>
      <c r="I62" s="349">
        <f>SUMIF('Technology costs'!$B$7:$B$28,' COM_2017_old'!B62,'Technology costs'!$F$7:$F$28)</f>
        <v>65.089557839163547</v>
      </c>
      <c r="J62" s="349">
        <f>I62*0.1</f>
        <v>6.5089557839163552</v>
      </c>
      <c r="L62" s="350">
        <f>Appliances!F57</f>
        <v>0.60000000000000009</v>
      </c>
      <c r="M62" s="349">
        <f>L62*SUMIF($C$6:$J$6,C62,$C$43:$J$43)</f>
        <v>25.501768266571968</v>
      </c>
      <c r="N62" s="349">
        <f>M62*E62</f>
        <v>79.055481626373108</v>
      </c>
      <c r="P62" s="410"/>
      <c r="Q62" s="411"/>
      <c r="R62" s="411">
        <f t="shared" ref="R62:R66" si="23">N62/SUMIF($D$61:$D$121,$D62,$N$61:$N$121)*(1+$P$56)</f>
        <v>0.66381625441696124</v>
      </c>
      <c r="S62" s="411">
        <f t="shared" ref="S62:Y66" si="24">MIN(1,$R62+S$54)</f>
        <v>0.69381625441696126</v>
      </c>
      <c r="T62" s="411">
        <f t="shared" si="24"/>
        <v>0.76381625441696122</v>
      </c>
      <c r="U62" s="411">
        <f t="shared" si="24"/>
        <v>0.96381625441696128</v>
      </c>
      <c r="V62" s="411">
        <f t="shared" si="24"/>
        <v>1</v>
      </c>
      <c r="W62" s="411">
        <f t="shared" si="24"/>
        <v>1</v>
      </c>
      <c r="X62" s="411">
        <f t="shared" si="24"/>
        <v>1</v>
      </c>
      <c r="Y62" s="411">
        <f t="shared" si="24"/>
        <v>1</v>
      </c>
      <c r="AA62" s="479"/>
      <c r="AB62" s="411"/>
      <c r="AC62" s="411">
        <f t="shared" ref="AC62:AC66" si="25">R62/(1+$P$56+$AA$56)</f>
        <v>0.65080024942839332</v>
      </c>
      <c r="AD62" s="411">
        <f t="shared" ref="AD62:AD66" si="26">$AC62*AD$54</f>
        <v>0.63127624194554155</v>
      </c>
      <c r="AE62" s="411">
        <f t="shared" si="22"/>
        <v>0.58572022448555405</v>
      </c>
      <c r="AF62" s="411">
        <f t="shared" si="22"/>
        <v>0.4555601745998753</v>
      </c>
      <c r="AG62" s="411">
        <f t="shared" si="22"/>
        <v>0.29286011224277703</v>
      </c>
      <c r="AH62" s="411">
        <f t="shared" si="22"/>
        <v>9.7620037414258995E-2</v>
      </c>
      <c r="AI62" s="411">
        <f t="shared" si="22"/>
        <v>3.2540012471419667E-2</v>
      </c>
      <c r="AJ62" s="411">
        <f t="shared" si="22"/>
        <v>0</v>
      </c>
      <c r="AK62" s="314">
        <f>AK61+1</f>
        <v>2</v>
      </c>
    </row>
    <row r="63" spans="1:51">
      <c r="A63" s="343" t="str">
        <f>A43&amp;" - Electricity - Heat Pump - Existing"</f>
        <v>Commercial - Cooling - Electricity - Heat Pump - Existing</v>
      </c>
      <c r="B63" s="343" t="str">
        <f>D63&amp;RIGHT(C63,3)&amp;"HP-E"</f>
        <v>CECELCHP-E</v>
      </c>
      <c r="C63" s="346" t="str">
        <f t="shared" si="19"/>
        <v>COMELC</v>
      </c>
      <c r="D63" s="346" t="str">
        <f t="shared" si="20"/>
        <v>CEC</v>
      </c>
      <c r="E63" s="347">
        <f>Appliances!J58</f>
        <v>2.5</v>
      </c>
      <c r="F63" s="566">
        <f ca="1">SUMIF(AFA!$B$3:$S$3,D63,AFA!$B$4:$J$4)</f>
        <v>0.79849999999999999</v>
      </c>
      <c r="G63" s="348">
        <v>15</v>
      </c>
      <c r="H63" s="349">
        <f ca="1">(N63/F63)*(1+$H$55)</f>
        <v>26.614243651191785</v>
      </c>
      <c r="I63" s="349">
        <f>SUMIF('Technology costs'!$B$7:$B$28,' COM_2017_old'!B63,'Technology costs'!$F$7:$F$28)</f>
        <v>84.639310989287338</v>
      </c>
      <c r="J63" s="349">
        <f t="shared" ref="J63:J118" si="27">I63*0.1</f>
        <v>8.4639310989287342</v>
      </c>
      <c r="L63" s="350">
        <f>Appliances!F58</f>
        <v>0.2</v>
      </c>
      <c r="M63" s="349">
        <f>L63*SUMIF($C$6:$J$6,C63,$C$43:$J$43)</f>
        <v>8.5005894221906555</v>
      </c>
      <c r="N63" s="349">
        <f>M63*E63</f>
        <v>21.25147355547664</v>
      </c>
      <c r="O63" s="390"/>
      <c r="P63" s="410"/>
      <c r="Q63" s="411"/>
      <c r="R63" s="411">
        <f t="shared" si="23"/>
        <v>0.17844522968197882</v>
      </c>
      <c r="S63" s="411">
        <f t="shared" si="24"/>
        <v>0.20844522968197882</v>
      </c>
      <c r="T63" s="411">
        <f t="shared" si="24"/>
        <v>0.27844522968197882</v>
      </c>
      <c r="U63" s="411">
        <f t="shared" si="24"/>
        <v>0.47844522968197878</v>
      </c>
      <c r="V63" s="411">
        <f t="shared" si="24"/>
        <v>0.72844522968197889</v>
      </c>
      <c r="W63" s="411">
        <f t="shared" si="24"/>
        <v>1</v>
      </c>
      <c r="X63" s="411">
        <f t="shared" si="24"/>
        <v>1</v>
      </c>
      <c r="Y63" s="411">
        <f t="shared" si="24"/>
        <v>1</v>
      </c>
      <c r="AA63" s="479"/>
      <c r="AB63" s="411"/>
      <c r="AC63" s="411">
        <f t="shared" si="25"/>
        <v>0.17494630360978314</v>
      </c>
      <c r="AD63" s="411">
        <f t="shared" si="26"/>
        <v>0.16969791450148963</v>
      </c>
      <c r="AE63" s="411">
        <f t="shared" si="22"/>
        <v>0.15745167324880482</v>
      </c>
      <c r="AF63" s="411">
        <f t="shared" si="22"/>
        <v>0.12246241252684818</v>
      </c>
      <c r="AG63" s="411">
        <f t="shared" si="22"/>
        <v>7.8725836624402412E-2</v>
      </c>
      <c r="AH63" s="411">
        <f t="shared" si="22"/>
        <v>2.6241945541467471E-2</v>
      </c>
      <c r="AI63" s="411">
        <f t="shared" si="22"/>
        <v>8.7473151804891569E-3</v>
      </c>
      <c r="AJ63" s="411">
        <f t="shared" si="22"/>
        <v>0</v>
      </c>
      <c r="AK63" s="314">
        <f>AK62+1</f>
        <v>3</v>
      </c>
    </row>
    <row r="64" spans="1:51">
      <c r="A64" s="343" t="str">
        <f>A43&amp;" - Electricity - Room - Existing"</f>
        <v>Commercial - Cooling - Electricity - Room - Existing</v>
      </c>
      <c r="B64" s="343" t="str">
        <f>D64&amp;RIGHT(C64,3)&amp;"ROOM-E"</f>
        <v>CECELCROOM-E</v>
      </c>
      <c r="C64" s="346" t="str">
        <f t="shared" si="19"/>
        <v>COMELC</v>
      </c>
      <c r="D64" s="346" t="str">
        <f t="shared" si="20"/>
        <v>CEC</v>
      </c>
      <c r="E64" s="347">
        <f>Appliances!J59</f>
        <v>2.4</v>
      </c>
      <c r="F64" s="566">
        <f ca="1">SUMIF(AFA!$B$3:$S$3,D64,AFA!$B$4:$J$4)</f>
        <v>0.79849999999999999</v>
      </c>
      <c r="G64" s="348">
        <v>15</v>
      </c>
      <c r="H64" s="349">
        <f ca="1">(N64/F64)*(1+$H$55)</f>
        <v>19.162255428858078</v>
      </c>
      <c r="I64" s="567">
        <f>SUMIF('Technology costs'!$B$7:$B$28,' COM_2017_old'!B64,'Technology costs'!$F$7:$F$28)</f>
        <v>35.327750683485782</v>
      </c>
      <c r="J64" s="349">
        <f t="shared" si="27"/>
        <v>3.5327750683485784</v>
      </c>
      <c r="L64" s="350">
        <f>Appliances!F59</f>
        <v>0.15</v>
      </c>
      <c r="M64" s="349">
        <f>L64*SUMIF($C$6:$J$6,C64,$C$43:$J$43)</f>
        <v>6.3754420666429903</v>
      </c>
      <c r="N64" s="349">
        <f>M64*E64</f>
        <v>15.301060959943175</v>
      </c>
      <c r="P64" s="410"/>
      <c r="Q64" s="411"/>
      <c r="R64" s="411">
        <f t="shared" si="23"/>
        <v>0.1284805653710247</v>
      </c>
      <c r="S64" s="411">
        <f t="shared" si="24"/>
        <v>0.1584805653710247</v>
      </c>
      <c r="T64" s="411">
        <f t="shared" si="24"/>
        <v>0.22848056537102471</v>
      </c>
      <c r="U64" s="411">
        <f t="shared" si="24"/>
        <v>0.42848056537102469</v>
      </c>
      <c r="V64" s="411">
        <f t="shared" si="24"/>
        <v>0.67848056537102475</v>
      </c>
      <c r="W64" s="411">
        <f t="shared" si="24"/>
        <v>0.97848056537102468</v>
      </c>
      <c r="X64" s="411">
        <f t="shared" si="24"/>
        <v>1</v>
      </c>
      <c r="Y64" s="411">
        <f t="shared" si="24"/>
        <v>1</v>
      </c>
      <c r="AA64" s="479"/>
      <c r="AB64" s="411"/>
      <c r="AC64" s="411">
        <f t="shared" si="25"/>
        <v>0.12596133859904382</v>
      </c>
      <c r="AD64" s="411">
        <f t="shared" si="26"/>
        <v>0.1221824984410725</v>
      </c>
      <c r="AE64" s="411">
        <f t="shared" si="22"/>
        <v>0.11336520473913944</v>
      </c>
      <c r="AF64" s="411">
        <f t="shared" si="22"/>
        <v>8.8172937019330669E-2</v>
      </c>
      <c r="AG64" s="411">
        <f t="shared" si="22"/>
        <v>5.6682602369569721E-2</v>
      </c>
      <c r="AH64" s="411">
        <f t="shared" si="22"/>
        <v>1.8894200789856572E-2</v>
      </c>
      <c r="AI64" s="411">
        <f t="shared" si="22"/>
        <v>6.2980669299521914E-3</v>
      </c>
      <c r="AJ64" s="411">
        <f t="shared" si="22"/>
        <v>0</v>
      </c>
      <c r="AK64" s="314">
        <f t="shared" ref="AK64:AK121" si="28">AK63+1</f>
        <v>4</v>
      </c>
    </row>
    <row r="65" spans="1:38" ht="15.75" customHeight="1">
      <c r="A65" s="343" t="str">
        <f>A43&amp;" - Electricity - Central - New"</f>
        <v>Commercial - Cooling - Electricity - Central - New</v>
      </c>
      <c r="B65" s="343" t="str">
        <f>D65&amp;RIGHT(C65,3)&amp;"CEN-N"</f>
        <v>CECELCCEN-N</v>
      </c>
      <c r="C65" s="346" t="str">
        <f t="shared" si="19"/>
        <v>COMELC</v>
      </c>
      <c r="D65" s="346" t="str">
        <f t="shared" si="20"/>
        <v>CEC</v>
      </c>
      <c r="E65" s="347">
        <f>(0.19/0.17)*E62</f>
        <v>3.4647058823529413</v>
      </c>
      <c r="F65" s="566">
        <f ca="1">SUMIF(AFA!$B$3:$S$3,D65,AFA!$B$4:$J$4)</f>
        <v>0.79849999999999999</v>
      </c>
      <c r="G65" s="348">
        <f>G62</f>
        <v>15</v>
      </c>
      <c r="H65" s="349">
        <v>0</v>
      </c>
      <c r="I65" s="349">
        <f>(10/3.74)*I62</f>
        <v>174.03625090685441</v>
      </c>
      <c r="J65" s="349">
        <f>J62</f>
        <v>6.5089557839163552</v>
      </c>
      <c r="L65" s="350">
        <v>0</v>
      </c>
      <c r="M65" s="349">
        <v>0</v>
      </c>
      <c r="N65" s="349">
        <v>0</v>
      </c>
      <c r="P65" s="410"/>
      <c r="Q65" s="411"/>
      <c r="R65" s="411">
        <f t="shared" si="23"/>
        <v>0</v>
      </c>
      <c r="S65" s="411">
        <f t="shared" si="24"/>
        <v>0.03</v>
      </c>
      <c r="T65" s="411">
        <f t="shared" si="24"/>
        <v>0.1</v>
      </c>
      <c r="U65" s="411">
        <f t="shared" si="24"/>
        <v>0.3</v>
      </c>
      <c r="V65" s="411">
        <f t="shared" si="24"/>
        <v>0.55000000000000004</v>
      </c>
      <c r="W65" s="411">
        <f t="shared" si="24"/>
        <v>0.85</v>
      </c>
      <c r="X65" s="411">
        <f t="shared" si="24"/>
        <v>0.95</v>
      </c>
      <c r="Y65" s="411">
        <f t="shared" si="24"/>
        <v>1</v>
      </c>
      <c r="AA65" s="479"/>
      <c r="AB65" s="411"/>
      <c r="AC65" s="411">
        <f t="shared" si="25"/>
        <v>0</v>
      </c>
      <c r="AD65" s="411">
        <f t="shared" si="26"/>
        <v>0</v>
      </c>
      <c r="AE65" s="411">
        <f t="shared" si="22"/>
        <v>0</v>
      </c>
      <c r="AF65" s="411">
        <f t="shared" si="22"/>
        <v>0</v>
      </c>
      <c r="AG65" s="411">
        <f t="shared" si="22"/>
        <v>0</v>
      </c>
      <c r="AH65" s="411">
        <f t="shared" si="22"/>
        <v>0</v>
      </c>
      <c r="AI65" s="411">
        <f t="shared" si="22"/>
        <v>0</v>
      </c>
      <c r="AJ65" s="411">
        <f t="shared" si="22"/>
        <v>0</v>
      </c>
      <c r="AK65" s="314">
        <f t="shared" si="28"/>
        <v>5</v>
      </c>
    </row>
    <row r="66" spans="1:38" ht="15.75" customHeight="1">
      <c r="A66" s="343" t="str">
        <f>A43&amp;" - Electricity - Heat Pump - New"</f>
        <v>Commercial - Cooling - Electricity - Heat Pump - New</v>
      </c>
      <c r="B66" s="343" t="str">
        <f>D66&amp;RIGHT(C66,3)&amp;"HP-N"</f>
        <v>CECELCHP-N</v>
      </c>
      <c r="C66" s="346" t="str">
        <f t="shared" si="19"/>
        <v>COMELC</v>
      </c>
      <c r="D66" s="346" t="str">
        <f t="shared" si="20"/>
        <v>CEC</v>
      </c>
      <c r="E66" s="347">
        <f>(3.4/3.52)*E65</f>
        <v>3.3465909090909087</v>
      </c>
      <c r="F66" s="566">
        <f ca="1">SUMIF(AFA!$B$3:$S$3,D66,AFA!$B$4:$J$4)</f>
        <v>0.79849999999999999</v>
      </c>
      <c r="G66" s="348">
        <v>15</v>
      </c>
      <c r="H66" s="349">
        <v>0</v>
      </c>
      <c r="I66" s="349">
        <f>(10.68/10)*I65</f>
        <v>185.87071596852053</v>
      </c>
      <c r="J66" s="349">
        <f>(0.15/0.11)*J65</f>
        <v>8.8758487962495742</v>
      </c>
      <c r="L66" s="350">
        <v>0</v>
      </c>
      <c r="M66" s="349">
        <v>0</v>
      </c>
      <c r="N66" s="349">
        <v>0</v>
      </c>
      <c r="P66" s="410"/>
      <c r="Q66" s="411"/>
      <c r="R66" s="411">
        <f t="shared" si="23"/>
        <v>0</v>
      </c>
      <c r="S66" s="411">
        <f t="shared" si="24"/>
        <v>0.03</v>
      </c>
      <c r="T66" s="411">
        <f t="shared" si="24"/>
        <v>0.1</v>
      </c>
      <c r="U66" s="411">
        <f t="shared" si="24"/>
        <v>0.3</v>
      </c>
      <c r="V66" s="411">
        <f t="shared" si="24"/>
        <v>0.55000000000000004</v>
      </c>
      <c r="W66" s="411">
        <f t="shared" si="24"/>
        <v>0.85</v>
      </c>
      <c r="X66" s="411">
        <f t="shared" si="24"/>
        <v>0.95</v>
      </c>
      <c r="Y66" s="411">
        <f t="shared" si="24"/>
        <v>1</v>
      </c>
      <c r="AA66" s="479"/>
      <c r="AB66" s="411"/>
      <c r="AC66" s="411">
        <f t="shared" si="25"/>
        <v>0</v>
      </c>
      <c r="AD66" s="411">
        <f t="shared" si="26"/>
        <v>0</v>
      </c>
      <c r="AE66" s="411">
        <f t="shared" si="22"/>
        <v>0</v>
      </c>
      <c r="AF66" s="411">
        <f t="shared" si="22"/>
        <v>0</v>
      </c>
      <c r="AG66" s="411">
        <f t="shared" si="22"/>
        <v>0</v>
      </c>
      <c r="AH66" s="411">
        <f t="shared" si="22"/>
        <v>0</v>
      </c>
      <c r="AI66" s="411">
        <f t="shared" si="22"/>
        <v>0</v>
      </c>
      <c r="AJ66" s="411">
        <f t="shared" si="22"/>
        <v>0</v>
      </c>
      <c r="AK66" s="314">
        <f t="shared" si="28"/>
        <v>6</v>
      </c>
    </row>
    <row r="67" spans="1:38">
      <c r="A67" s="352" t="s">
        <v>704</v>
      </c>
      <c r="B67" s="343"/>
      <c r="C67" s="353"/>
      <c r="D67" s="353"/>
      <c r="E67" s="354"/>
      <c r="F67" s="566"/>
      <c r="G67" s="344"/>
      <c r="H67" s="353">
        <f ca="1">SUM(H61:H64)/4</f>
        <v>37.659154766436373</v>
      </c>
      <c r="I67" s="349"/>
      <c r="J67" s="349"/>
      <c r="L67" s="355">
        <f>SUM(L61:L64)</f>
        <v>1</v>
      </c>
      <c r="M67" s="356">
        <f>SUM(M61:M64)</f>
        <v>42.502947110953279</v>
      </c>
      <c r="N67" s="356">
        <f>SUM(N61:N66)</f>
        <v>120.28334032399778</v>
      </c>
      <c r="AK67" s="314">
        <f t="shared" si="28"/>
        <v>7</v>
      </c>
      <c r="AL67" s="314" t="str">
        <f>LEFT(B66,3)</f>
        <v>CEC</v>
      </c>
    </row>
    <row r="68" spans="1:38">
      <c r="A68" s="343" t="str">
        <f>"\I:"&amp;A44</f>
        <v>\I:Commercial - Space Heating</v>
      </c>
      <c r="B68" s="343"/>
      <c r="C68" s="353"/>
      <c r="D68" s="353"/>
      <c r="E68" s="339"/>
      <c r="F68" s="566"/>
      <c r="G68" s="339"/>
      <c r="H68" s="339"/>
      <c r="I68" s="349"/>
      <c r="J68" s="349"/>
      <c r="K68" s="357"/>
      <c r="L68" s="358"/>
      <c r="M68" s="358"/>
      <c r="AK68" s="314">
        <f t="shared" si="28"/>
        <v>8</v>
      </c>
    </row>
    <row r="69" spans="1:38">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18.011482514107822</v>
      </c>
      <c r="I69" s="567">
        <f>I72</f>
        <v>127.6730062174682</v>
      </c>
      <c r="J69" s="349">
        <f t="shared" si="27"/>
        <v>12.76730062174682</v>
      </c>
      <c r="L69" s="350">
        <f>Appliances!F14</f>
        <v>1</v>
      </c>
      <c r="M69" s="349">
        <f>L69*SUMIF($C$6:$J$6,C69,$C$44:$J$44)</f>
        <v>14.478230027590337</v>
      </c>
      <c r="N69" s="349">
        <f>M69*E69</f>
        <v>8.6869380165542029</v>
      </c>
      <c r="P69" s="410"/>
      <c r="Q69" s="643"/>
      <c r="R69" s="411">
        <f t="shared" ref="R69:R73" si="29">N69/SUMIF($D$61:$D$121,$D69,$N$61:$N$121)*(1+$P$56)</f>
        <v>0.76486979209673167</v>
      </c>
      <c r="S69" s="411">
        <f>MIN(1,$R69+S$54)</f>
        <v>0.7948697920967317</v>
      </c>
      <c r="T69" s="411">
        <f t="shared" ref="T69:Y69" si="30">MIN(1,$R69+T$54)</f>
        <v>0.86486979209673165</v>
      </c>
      <c r="U69" s="411">
        <f t="shared" si="30"/>
        <v>1</v>
      </c>
      <c r="V69" s="411">
        <f t="shared" si="30"/>
        <v>1</v>
      </c>
      <c r="W69" s="411">
        <f t="shared" si="30"/>
        <v>1</v>
      </c>
      <c r="X69" s="411">
        <f t="shared" si="30"/>
        <v>1</v>
      </c>
      <c r="Y69" s="411">
        <f t="shared" si="30"/>
        <v>1</v>
      </c>
      <c r="AA69" s="410"/>
      <c r="AB69" s="411"/>
      <c r="AC69" s="411">
        <f>R69/(1+$P$56+$AA$56)</f>
        <v>0.74987234519287416</v>
      </c>
      <c r="AD69" s="411">
        <f>$AC69*AD$54</f>
        <v>0.72737617483708794</v>
      </c>
      <c r="AE69" s="411">
        <f t="shared" ref="AE69:AJ73" si="31">$AC69*AE$54</f>
        <v>0.67488511067358681</v>
      </c>
      <c r="AF69" s="411">
        <f t="shared" si="31"/>
        <v>0.52491064163501189</v>
      </c>
      <c r="AG69" s="411">
        <f t="shared" si="31"/>
        <v>0.3374425553367934</v>
      </c>
      <c r="AH69" s="411">
        <f t="shared" si="31"/>
        <v>0.11248085177893112</v>
      </c>
      <c r="AI69" s="411">
        <f t="shared" si="31"/>
        <v>3.7493617259643709E-2</v>
      </c>
      <c r="AJ69" s="411">
        <f t="shared" si="31"/>
        <v>0</v>
      </c>
      <c r="AK69" s="314">
        <f t="shared" si="28"/>
        <v>9</v>
      </c>
    </row>
    <row r="70" spans="1:38">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5.2637896589894559</v>
      </c>
      <c r="I70" s="349">
        <f>SUMIF('Technology costs'!$B$7:$B$28,' COM_2017_old'!B70,'Technology costs'!$F$7:$F$28)</f>
        <v>22.35473048938816</v>
      </c>
      <c r="J70" s="349">
        <f t="shared" si="27"/>
        <v>2.2354730489388159</v>
      </c>
      <c r="L70" s="350">
        <f>Appliances!F11</f>
        <v>1</v>
      </c>
      <c r="M70" s="349">
        <f>L70*SUMIF($C$6:$J$6,C70,$C$44:$J$44)</f>
        <v>2.5387257525306146</v>
      </c>
      <c r="N70" s="349">
        <f>M70*E70</f>
        <v>2.5387257525306146</v>
      </c>
      <c r="P70" s="410"/>
      <c r="Q70" s="411"/>
      <c r="R70" s="411">
        <f t="shared" si="29"/>
        <v>0.22353038951450355</v>
      </c>
      <c r="S70" s="411">
        <f t="shared" ref="S70:Y74" si="32">MIN(1,$R70+S$54)</f>
        <v>0.25353038951450357</v>
      </c>
      <c r="T70" s="411">
        <f t="shared" si="32"/>
        <v>0.32353038951450352</v>
      </c>
      <c r="U70" s="411">
        <f t="shared" si="32"/>
        <v>0.52353038951450359</v>
      </c>
      <c r="V70" s="411">
        <f t="shared" si="32"/>
        <v>0.77353038951450359</v>
      </c>
      <c r="W70" s="411">
        <f t="shared" si="32"/>
        <v>1</v>
      </c>
      <c r="X70" s="411">
        <f t="shared" si="32"/>
        <v>1</v>
      </c>
      <c r="Y70" s="411">
        <f t="shared" si="32"/>
        <v>1</v>
      </c>
      <c r="AA70" s="410"/>
      <c r="AB70" s="411"/>
      <c r="AC70" s="411">
        <f t="shared" ref="AC70:AC73" si="33">R70/(1+$P$56+$AA$56)</f>
        <v>0.21914744070049366</v>
      </c>
      <c r="AD70" s="411">
        <f t="shared" ref="AD70:AD73" si="34">$AC70*AD$54</f>
        <v>0.21257301747947885</v>
      </c>
      <c r="AE70" s="411">
        <f t="shared" si="31"/>
        <v>0.19723269663044429</v>
      </c>
      <c r="AF70" s="411">
        <f t="shared" si="31"/>
        <v>0.15340320849034556</v>
      </c>
      <c r="AG70" s="411">
        <f t="shared" si="31"/>
        <v>9.8616348315222147E-2</v>
      </c>
      <c r="AH70" s="411">
        <f t="shared" si="31"/>
        <v>3.2872116105074047E-2</v>
      </c>
      <c r="AI70" s="411">
        <f t="shared" si="31"/>
        <v>1.0957372035024684E-2</v>
      </c>
      <c r="AJ70" s="411">
        <f t="shared" si="31"/>
        <v>0</v>
      </c>
      <c r="AK70" s="314">
        <f t="shared" si="28"/>
        <v>10</v>
      </c>
    </row>
    <row r="71" spans="1:38">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0.50864180444446039</v>
      </c>
      <c r="I71" s="486">
        <f>I73</f>
        <v>34.864360018767009</v>
      </c>
      <c r="J71" s="349">
        <f t="shared" si="27"/>
        <v>3.4864360018767009</v>
      </c>
      <c r="L71" s="350">
        <f>Appliances!F16</f>
        <v>1</v>
      </c>
      <c r="M71" s="349">
        <f>L71*SUMIF($C$6:$J$6,C71,$C$44:$J$44)</f>
        <v>0.3555332496863236</v>
      </c>
      <c r="N71" s="349">
        <f>M71*E71</f>
        <v>0.24531794228356327</v>
      </c>
      <c r="P71" s="410"/>
      <c r="Q71" s="411"/>
      <c r="R71" s="411">
        <f t="shared" si="29"/>
        <v>2.1599818388764753E-2</v>
      </c>
      <c r="S71" s="411">
        <f t="shared" si="32"/>
        <v>5.1599818388764748E-2</v>
      </c>
      <c r="T71" s="411">
        <f t="shared" si="32"/>
        <v>0.12159981838876475</v>
      </c>
      <c r="U71" s="411">
        <f t="shared" si="32"/>
        <v>0.32159981838876472</v>
      </c>
      <c r="V71" s="411">
        <f t="shared" si="32"/>
        <v>0.57159981838876484</v>
      </c>
      <c r="W71" s="411">
        <f t="shared" si="32"/>
        <v>0.87159981838876477</v>
      </c>
      <c r="X71" s="411">
        <f t="shared" si="32"/>
        <v>0.97159981838876475</v>
      </c>
      <c r="Y71" s="411">
        <f t="shared" si="32"/>
        <v>1</v>
      </c>
      <c r="AA71" s="410"/>
      <c r="AB71" s="411"/>
      <c r="AC71" s="411">
        <f t="shared" si="33"/>
        <v>2.1176292538004661E-2</v>
      </c>
      <c r="AD71" s="411">
        <f t="shared" si="34"/>
        <v>2.0541003761864522E-2</v>
      </c>
      <c r="AE71" s="411">
        <f t="shared" si="31"/>
        <v>1.9058663284204195E-2</v>
      </c>
      <c r="AF71" s="411">
        <f t="shared" si="31"/>
        <v>1.4823404776603261E-2</v>
      </c>
      <c r="AG71" s="411">
        <f t="shared" si="31"/>
        <v>9.5293316421020974E-3</v>
      </c>
      <c r="AH71" s="411">
        <f t="shared" si="31"/>
        <v>3.1764438807006991E-3</v>
      </c>
      <c r="AI71" s="411">
        <f t="shared" si="31"/>
        <v>1.058814626900233E-3</v>
      </c>
      <c r="AJ71" s="411">
        <f t="shared" si="31"/>
        <v>0</v>
      </c>
      <c r="AK71" s="314">
        <f t="shared" si="28"/>
        <v>11</v>
      </c>
    </row>
    <row r="72" spans="1:38">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127.6730062174682</v>
      </c>
      <c r="J72" s="349">
        <f>I72*0.1</f>
        <v>12.76730062174682</v>
      </c>
      <c r="L72" s="350">
        <v>0</v>
      </c>
      <c r="M72" s="349">
        <v>0</v>
      </c>
      <c r="N72" s="349">
        <v>0</v>
      </c>
      <c r="P72" s="410"/>
      <c r="Q72" s="411"/>
      <c r="R72" s="411">
        <f t="shared" si="29"/>
        <v>0</v>
      </c>
      <c r="S72" s="411">
        <f t="shared" si="32"/>
        <v>0.03</v>
      </c>
      <c r="T72" s="411">
        <f t="shared" si="32"/>
        <v>0.1</v>
      </c>
      <c r="U72" s="411">
        <f t="shared" si="32"/>
        <v>0.3</v>
      </c>
      <c r="V72" s="411">
        <f t="shared" si="32"/>
        <v>0.55000000000000004</v>
      </c>
      <c r="W72" s="411">
        <f t="shared" si="32"/>
        <v>0.85</v>
      </c>
      <c r="X72" s="411">
        <f t="shared" si="32"/>
        <v>0.95</v>
      </c>
      <c r="Y72" s="411">
        <f t="shared" si="32"/>
        <v>1</v>
      </c>
      <c r="AA72" s="410"/>
      <c r="AB72" s="411"/>
      <c r="AC72" s="411">
        <f t="shared" si="33"/>
        <v>0</v>
      </c>
      <c r="AD72" s="411">
        <f t="shared" si="34"/>
        <v>0</v>
      </c>
      <c r="AE72" s="411">
        <f t="shared" si="31"/>
        <v>0</v>
      </c>
      <c r="AF72" s="411">
        <f t="shared" si="31"/>
        <v>0</v>
      </c>
      <c r="AG72" s="411">
        <f t="shared" si="31"/>
        <v>0</v>
      </c>
      <c r="AH72" s="411">
        <f t="shared" si="31"/>
        <v>0</v>
      </c>
      <c r="AI72" s="411">
        <f t="shared" si="31"/>
        <v>0</v>
      </c>
      <c r="AJ72" s="411">
        <f t="shared" si="31"/>
        <v>0</v>
      </c>
      <c r="AK72" s="314">
        <f t="shared" si="28"/>
        <v>12</v>
      </c>
    </row>
    <row r="73" spans="1:38">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c r="Q73" s="411"/>
      <c r="R73" s="411">
        <f t="shared" si="29"/>
        <v>0</v>
      </c>
      <c r="S73" s="411">
        <f t="shared" si="32"/>
        <v>0.03</v>
      </c>
      <c r="T73" s="411">
        <f t="shared" si="32"/>
        <v>0.1</v>
      </c>
      <c r="U73" s="411">
        <f t="shared" si="32"/>
        <v>0.3</v>
      </c>
      <c r="V73" s="411">
        <f t="shared" si="32"/>
        <v>0.55000000000000004</v>
      </c>
      <c r="W73" s="411">
        <f t="shared" si="32"/>
        <v>0.85</v>
      </c>
      <c r="X73" s="411">
        <f t="shared" si="32"/>
        <v>0.95</v>
      </c>
      <c r="Y73" s="411">
        <f t="shared" si="32"/>
        <v>1</v>
      </c>
      <c r="AA73" s="410"/>
      <c r="AB73" s="411"/>
      <c r="AC73" s="411">
        <f t="shared" si="33"/>
        <v>0</v>
      </c>
      <c r="AD73" s="411">
        <f t="shared" si="34"/>
        <v>0</v>
      </c>
      <c r="AE73" s="411">
        <f t="shared" si="31"/>
        <v>0</v>
      </c>
      <c r="AF73" s="411">
        <f t="shared" si="31"/>
        <v>0</v>
      </c>
      <c r="AG73" s="411">
        <f t="shared" si="31"/>
        <v>0</v>
      </c>
      <c r="AH73" s="411">
        <f t="shared" si="31"/>
        <v>0</v>
      </c>
      <c r="AI73" s="411">
        <f t="shared" si="31"/>
        <v>0</v>
      </c>
      <c r="AJ73" s="411">
        <f t="shared" si="31"/>
        <v>0</v>
      </c>
      <c r="AK73" s="314">
        <f t="shared" si="28"/>
        <v>13</v>
      </c>
    </row>
    <row r="74" spans="1:38">
      <c r="A74" s="352" t="s">
        <v>704</v>
      </c>
      <c r="F74" s="566"/>
      <c r="I74" s="349"/>
      <c r="J74" s="349"/>
      <c r="L74" s="563"/>
      <c r="M74" s="356">
        <f>SUM(M69:M71)</f>
        <v>17.372489029807276</v>
      </c>
      <c r="N74" s="356">
        <f>SUM(N69:N71)</f>
        <v>11.470981711368381</v>
      </c>
      <c r="S74" s="411">
        <f t="shared" si="32"/>
        <v>0.03</v>
      </c>
      <c r="T74" s="411">
        <f t="shared" si="32"/>
        <v>0.1</v>
      </c>
      <c r="U74" s="411">
        <f t="shared" si="32"/>
        <v>0.3</v>
      </c>
      <c r="V74" s="411">
        <f t="shared" si="32"/>
        <v>0.55000000000000004</v>
      </c>
      <c r="W74" s="411">
        <f t="shared" si="32"/>
        <v>0.85</v>
      </c>
      <c r="X74" s="411">
        <f t="shared" si="32"/>
        <v>0.95</v>
      </c>
      <c r="Y74" s="411">
        <f t="shared" si="32"/>
        <v>1</v>
      </c>
      <c r="AK74" s="314">
        <f t="shared" si="28"/>
        <v>14</v>
      </c>
      <c r="AL74" s="314" t="str">
        <f>LEFT(B73,3)</f>
        <v>CEH</v>
      </c>
    </row>
    <row r="75" spans="1:38">
      <c r="A75" s="343" t="str">
        <f>"\I:"&amp;A45</f>
        <v>\I:Commercial - Cooking</v>
      </c>
      <c r="B75" s="343"/>
      <c r="C75" s="353"/>
      <c r="D75" s="353"/>
      <c r="E75" s="339"/>
      <c r="F75" s="566"/>
      <c r="G75" s="339"/>
      <c r="H75" s="339"/>
      <c r="I75" s="349"/>
      <c r="J75" s="349"/>
      <c r="K75" s="357"/>
      <c r="L75" s="358"/>
      <c r="M75" s="358"/>
      <c r="AK75" s="314">
        <f t="shared" si="28"/>
        <v>15</v>
      </c>
    </row>
    <row r="76" spans="1:38">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5.8246824648457519E-2</v>
      </c>
      <c r="I76" s="349">
        <f>SUMIF('Technology costs'!$B$7:$B$28,' COM_2017_old'!B76,'Technology costs'!$F$7:$F$28)</f>
        <v>125.66038029823434</v>
      </c>
      <c r="J76" s="349">
        <f t="shared" si="27"/>
        <v>12.566038029823435</v>
      </c>
      <c r="L76" s="350">
        <f>Appliances!F34</f>
        <v>1</v>
      </c>
      <c r="M76" s="349">
        <f>L76*SUMIF($C$6:$J$6,C76,$C$45:$J$45)</f>
        <v>4.4455270945583852E-2</v>
      </c>
      <c r="N76" s="349">
        <f>M76*E76</f>
        <v>4.0009743851025466E-2</v>
      </c>
      <c r="P76" s="410"/>
      <c r="Q76" s="411"/>
      <c r="R76" s="411">
        <f>N76/SUMIF($D$61:$D$121,$D76,$N$61:$N$121)</f>
        <v>4.84800835839391E-3</v>
      </c>
      <c r="S76" s="411">
        <f>MIN(1,$R76+S$54)</f>
        <v>3.4848008358393912E-2</v>
      </c>
      <c r="T76" s="411">
        <f t="shared" ref="T76:Y76" si="35">MIN(1,$R76+T$54)</f>
        <v>0.10484800835839392</v>
      </c>
      <c r="U76" s="411">
        <f t="shared" si="35"/>
        <v>0.30484800835839387</v>
      </c>
      <c r="V76" s="411">
        <f t="shared" si="35"/>
        <v>0.55484800835839398</v>
      </c>
      <c r="W76" s="411">
        <f t="shared" si="35"/>
        <v>0.85484800835839392</v>
      </c>
      <c r="X76" s="411">
        <f t="shared" si="35"/>
        <v>0.9548480083583939</v>
      </c>
      <c r="Y76" s="411">
        <f t="shared" si="35"/>
        <v>1</v>
      </c>
      <c r="AA76" s="410"/>
      <c r="AB76" s="411"/>
      <c r="AC76" s="411">
        <f>R76/(1+$P$56+$AA$56)</f>
        <v>4.7529493709744216E-3</v>
      </c>
      <c r="AD76" s="411">
        <f>$AC76*AD$54</f>
        <v>4.6103608898451888E-3</v>
      </c>
      <c r="AE76" s="411">
        <f t="shared" ref="AE76:AI87" si="36">$AC76*AE$54</f>
        <v>4.2776544338769791E-3</v>
      </c>
      <c r="AF76" s="411">
        <f t="shared" si="36"/>
        <v>3.3270645596820947E-3</v>
      </c>
      <c r="AG76" s="411">
        <f t="shared" si="36"/>
        <v>2.1388272169384896E-3</v>
      </c>
      <c r="AH76" s="411">
        <f t="shared" si="36"/>
        <v>7.1294240564616319E-4</v>
      </c>
      <c r="AI76" s="411">
        <f t="shared" si="36"/>
        <v>2.376474685487211E-4</v>
      </c>
      <c r="AJ76" s="411">
        <f t="shared" ref="AJ76:AJ78" si="37">$AA76*AJ$54</f>
        <v>0</v>
      </c>
      <c r="AK76" s="314">
        <f t="shared" si="28"/>
        <v>16</v>
      </c>
    </row>
    <row r="77" spans="1:38">
      <c r="A77" s="343" t="str">
        <f>A$45&amp;" - "&amp;VLOOKUP(RIGHT(C77,3),NameConv!$E$3:$F$16,2,FALSE)&amp;" - Existing"</f>
        <v>Commercial - Cooking - Electricity - Existing</v>
      </c>
      <c r="B77" s="343" t="str">
        <f t="shared" ref="B77:B78" si="38">D77&amp;RIGHT(C77,3)&amp;"-E"</f>
        <v>CEKELC-E</v>
      </c>
      <c r="C77" s="346" t="str">
        <f t="shared" ref="C77" si="39">$E$6</f>
        <v>COMELC</v>
      </c>
      <c r="D77" s="346" t="str">
        <f t="shared" ref="D77:D78" si="40">$B$45</f>
        <v>CEK</v>
      </c>
      <c r="E77" s="347">
        <f>Appliances!J33</f>
        <v>1</v>
      </c>
      <c r="F77" s="566">
        <f ca="1">SUMIF(AFA!$B$3:$S$3,D77,AFA!$B$4:$J$4)</f>
        <v>0.68689999999999996</v>
      </c>
      <c r="G77" s="348">
        <v>15</v>
      </c>
      <c r="H77" s="349">
        <f t="shared" ref="H77:H78" ca="1" si="41">(N77/F77)*(1+$H$55)</f>
        <v>11.935570591941952</v>
      </c>
      <c r="I77" s="488">
        <f>I76</f>
        <v>125.66038029823434</v>
      </c>
      <c r="J77" s="349">
        <f t="shared" si="27"/>
        <v>12.566038029823435</v>
      </c>
      <c r="L77" s="350">
        <f>Appliances!F33</f>
        <v>1</v>
      </c>
      <c r="M77" s="349">
        <f t="shared" ref="M77:M78" si="42">L77*SUMIF($C$6:$J$6,C77,$C$45:$J$45)</f>
        <v>8.1985434396049257</v>
      </c>
      <c r="N77" s="349">
        <f t="shared" ref="N77:N78" si="43">M77*E77</f>
        <v>8.1985434396049257</v>
      </c>
      <c r="P77" s="410"/>
      <c r="Q77" s="411"/>
      <c r="R77" s="411">
        <f t="shared" ref="R77:R78" si="44">N77/SUMIF($D$61:$D$121,$D77,$N$61:$N$121)</f>
        <v>0.99342318385878692</v>
      </c>
      <c r="S77" s="411">
        <f t="shared" ref="S77:Y77" si="45">MIN(1,$R77+S$54)</f>
        <v>1</v>
      </c>
      <c r="T77" s="411">
        <f t="shared" si="45"/>
        <v>1</v>
      </c>
      <c r="U77" s="411">
        <f t="shared" si="45"/>
        <v>1</v>
      </c>
      <c r="V77" s="411">
        <f t="shared" si="45"/>
        <v>1</v>
      </c>
      <c r="W77" s="411">
        <f t="shared" si="45"/>
        <v>1</v>
      </c>
      <c r="X77" s="411">
        <f t="shared" si="45"/>
        <v>1</v>
      </c>
      <c r="Y77" s="411">
        <f t="shared" si="45"/>
        <v>1</v>
      </c>
      <c r="AA77" s="410"/>
      <c r="AB77" s="411"/>
      <c r="AC77" s="411">
        <f t="shared" ref="AC77:AC78" si="46">R77/(1+$P$56+$AA$56)</f>
        <v>0.97394429790077142</v>
      </c>
      <c r="AD77" s="411">
        <f t="shared" ref="AD77:AD78" si="47">$AC77*AD$54</f>
        <v>0.94472596896374827</v>
      </c>
      <c r="AE77" s="411">
        <f t="shared" si="36"/>
        <v>0.87654986811069424</v>
      </c>
      <c r="AF77" s="411">
        <f t="shared" si="36"/>
        <v>0.68176100853054</v>
      </c>
      <c r="AG77" s="411">
        <f t="shared" si="36"/>
        <v>0.43827493405534712</v>
      </c>
      <c r="AH77" s="411">
        <f t="shared" si="36"/>
        <v>0.14609164468511571</v>
      </c>
      <c r="AI77" s="411">
        <f t="shared" si="36"/>
        <v>4.8697214895038574E-2</v>
      </c>
      <c r="AJ77" s="411">
        <f t="shared" si="37"/>
        <v>0</v>
      </c>
      <c r="AK77" s="314">
        <f t="shared" si="28"/>
        <v>17</v>
      </c>
    </row>
    <row r="78" spans="1:38">
      <c r="A78" s="343" t="str">
        <f>A$45&amp;" - "&amp;VLOOKUP(RIGHT(C78,3),NameConv!$E$3:$F$16,2,FALSE)&amp;" - Existing"</f>
        <v>Commercial - Cooking - Coal - Existing</v>
      </c>
      <c r="B78" s="343" t="str">
        <f t="shared" si="38"/>
        <v>CEKCOA-E</v>
      </c>
      <c r="C78" s="346" t="str">
        <f>$C$6</f>
        <v>COMCOA</v>
      </c>
      <c r="D78" s="346" t="str">
        <f t="shared" si="40"/>
        <v>CEK</v>
      </c>
      <c r="E78" s="347">
        <f>Appliances!J36</f>
        <v>0.75</v>
      </c>
      <c r="F78" s="566">
        <f ca="1">SUMIF(AFA!$B$3:$S$3,D78,AFA!$B$4:$J$4)</f>
        <v>0.68689999999999996</v>
      </c>
      <c r="G78" s="348">
        <v>15</v>
      </c>
      <c r="H78" s="349">
        <f t="shared" ca="1" si="41"/>
        <v>2.0770913812972559E-2</v>
      </c>
      <c r="I78" s="488">
        <f>I77</f>
        <v>125.66038029823434</v>
      </c>
      <c r="J78" s="349">
        <f t="shared" si="27"/>
        <v>12.566038029823435</v>
      </c>
      <c r="L78" s="350">
        <f>Appliances!F36</f>
        <v>1</v>
      </c>
      <c r="M78" s="349">
        <f t="shared" si="42"/>
        <v>1.9023387597507799E-2</v>
      </c>
      <c r="N78" s="349">
        <f t="shared" si="43"/>
        <v>1.426754069813085E-2</v>
      </c>
      <c r="P78" s="410"/>
      <c r="Q78" s="411"/>
      <c r="R78" s="411">
        <f t="shared" si="44"/>
        <v>1.7288077828194047E-3</v>
      </c>
      <c r="S78" s="411">
        <f>R78</f>
        <v>1.7288077828194047E-3</v>
      </c>
      <c r="T78" s="411">
        <f t="shared" ref="T78:Y78" si="48">S78</f>
        <v>1.7288077828194047E-3</v>
      </c>
      <c r="U78" s="411">
        <f t="shared" si="48"/>
        <v>1.7288077828194047E-3</v>
      </c>
      <c r="V78" s="411">
        <f t="shared" si="48"/>
        <v>1.7288077828194047E-3</v>
      </c>
      <c r="W78" s="411">
        <f t="shared" si="48"/>
        <v>1.7288077828194047E-3</v>
      </c>
      <c r="X78" s="411">
        <f t="shared" si="48"/>
        <v>1.7288077828194047E-3</v>
      </c>
      <c r="Y78" s="411">
        <f t="shared" si="48"/>
        <v>1.7288077828194047E-3</v>
      </c>
      <c r="AA78" s="410"/>
      <c r="AB78" s="411"/>
      <c r="AC78" s="411">
        <f t="shared" si="46"/>
        <v>1.6949095909994164E-3</v>
      </c>
      <c r="AD78" s="411">
        <f t="shared" si="47"/>
        <v>1.6440623032694338E-3</v>
      </c>
      <c r="AE78" s="411">
        <f t="shared" si="36"/>
        <v>1.5254186318994748E-3</v>
      </c>
      <c r="AF78" s="411">
        <f t="shared" si="36"/>
        <v>1.1864367136995913E-3</v>
      </c>
      <c r="AG78" s="411">
        <f t="shared" si="36"/>
        <v>7.6270931594973738E-4</v>
      </c>
      <c r="AH78" s="411">
        <f t="shared" si="36"/>
        <v>2.5423643864991242E-4</v>
      </c>
      <c r="AI78" s="411">
        <f t="shared" si="36"/>
        <v>8.4745479549970821E-5</v>
      </c>
      <c r="AJ78" s="411">
        <f t="shared" si="37"/>
        <v>0</v>
      </c>
      <c r="AK78" s="314">
        <f t="shared" si="28"/>
        <v>18</v>
      </c>
    </row>
    <row r="79" spans="1:38">
      <c r="A79" s="352" t="s">
        <v>704</v>
      </c>
      <c r="F79" s="566"/>
      <c r="I79" s="349"/>
      <c r="J79" s="349"/>
      <c r="L79" s="563">
        <f>SUM(L76)</f>
        <v>1</v>
      </c>
      <c r="M79" s="356">
        <f>SUM(M76:M78)</f>
        <v>8.2620220981480177</v>
      </c>
      <c r="N79" s="356">
        <f>SUM(N76:N78)</f>
        <v>8.2528207241540805</v>
      </c>
      <c r="AD79" s="411"/>
      <c r="AE79" s="411"/>
      <c r="AF79" s="411"/>
      <c r="AG79" s="411"/>
      <c r="AH79" s="411"/>
      <c r="AI79" s="411"/>
      <c r="AK79" s="314">
        <f t="shared" si="28"/>
        <v>19</v>
      </c>
      <c r="AL79" s="314" t="str">
        <f>LEFT(B78,3)</f>
        <v>CEK</v>
      </c>
    </row>
    <row r="80" spans="1:38">
      <c r="A80" s="343" t="str">
        <f>"\I:"&amp;A46</f>
        <v>\I:Commercial - Lighting</v>
      </c>
      <c r="B80" s="343"/>
      <c r="C80" s="353"/>
      <c r="D80" s="353"/>
      <c r="E80" s="339"/>
      <c r="F80" s="566"/>
      <c r="G80" s="339"/>
      <c r="H80" s="339"/>
      <c r="I80" s="349"/>
      <c r="J80" s="349"/>
      <c r="K80" s="357"/>
      <c r="L80" s="358"/>
      <c r="M80" s="358"/>
      <c r="AK80" s="314">
        <f t="shared" si="28"/>
        <v>20</v>
      </c>
    </row>
    <row r="81" spans="1:38">
      <c r="A81" s="343" t="str">
        <f>A$46&amp;" - "&amp;VLOOKUP(RIGHT(C81,3),NameConv!$E$3:$F$16,2,FALSE)&amp;" - CFL - Existing"</f>
        <v>Commercial - Lighting - Electricity - CFL - Existing</v>
      </c>
      <c r="B81" s="343" t="str">
        <f>D81&amp;RIGHT(C81,3)&amp;"CFL-E"</f>
        <v>CELELCCFL-E</v>
      </c>
      <c r="C81" s="346" t="str">
        <f t="shared" ref="C81:C86" si="49">$E$6</f>
        <v>COMELC</v>
      </c>
      <c r="D81" s="346" t="str">
        <f t="shared" ref="D81:D86" si="50">$B$46</f>
        <v>CEL</v>
      </c>
      <c r="E81" s="347">
        <f>Appliances!J68</f>
        <v>4</v>
      </c>
      <c r="F81" s="566">
        <f ca="1">SUMIF(AFA!$B$3:$S$3,D81,AFA!$B$4:$J$4)</f>
        <v>0.55200000000000005</v>
      </c>
      <c r="G81" s="348">
        <v>5</v>
      </c>
      <c r="H81" s="349">
        <f t="shared" ref="H81:H86" ca="1" si="51">(N81/F81)*(1+$H$55)</f>
        <v>10.002320092824773</v>
      </c>
      <c r="I81" s="569">
        <v>2.5202184369189848</v>
      </c>
      <c r="J81" s="349">
        <f t="shared" si="27"/>
        <v>0.25202184369189851</v>
      </c>
      <c r="L81" s="350">
        <f>Appliances!F68</f>
        <v>0.06</v>
      </c>
      <c r="M81" s="349">
        <f>L81*SUMIF($C$6:$J$6,C81,$C$46:$J$46)</f>
        <v>1.3803201728098189</v>
      </c>
      <c r="N81" s="349">
        <f>M81*E81</f>
        <v>5.5212806912392756</v>
      </c>
      <c r="P81" s="410"/>
      <c r="Q81" s="411"/>
      <c r="R81" s="411">
        <f t="shared" ref="R81:R86" si="52">N81/SUMIF($D$61:$D$121,$D81,$N$61:$N$121)*(1+$P$56)</f>
        <v>5.3274725274725265E-2</v>
      </c>
      <c r="S81" s="411">
        <f>MIN(1,$R81+S$54)</f>
        <v>8.3274725274725264E-2</v>
      </c>
      <c r="T81" s="411">
        <f t="shared" ref="T81:Y81" si="53">MIN(1,$R81+T$54)</f>
        <v>0.15327472527472527</v>
      </c>
      <c r="U81" s="411">
        <f t="shared" si="53"/>
        <v>0.35327472527472525</v>
      </c>
      <c r="V81" s="411">
        <f t="shared" si="53"/>
        <v>0.60327472527472525</v>
      </c>
      <c r="W81" s="411">
        <f t="shared" si="53"/>
        <v>0.9032747252747253</v>
      </c>
      <c r="X81" s="411">
        <f t="shared" si="53"/>
        <v>1</v>
      </c>
      <c r="Y81" s="411">
        <f t="shared" si="53"/>
        <v>1</v>
      </c>
      <c r="AA81" s="410"/>
      <c r="AB81" s="411"/>
      <c r="AC81" s="411">
        <f>R81/(1+$P$56+$AA$56)</f>
        <v>5.22301228183581E-2</v>
      </c>
      <c r="AD81" s="411">
        <f>$AC81*AD$54</f>
        <v>5.0663219133807356E-2</v>
      </c>
      <c r="AE81" s="411">
        <f t="shared" si="36"/>
        <v>4.700711053652229E-2</v>
      </c>
      <c r="AF81" s="411">
        <f t="shared" si="36"/>
        <v>3.6561085972850668E-2</v>
      </c>
      <c r="AG81" s="411">
        <f t="shared" si="36"/>
        <v>2.3503555268261145E-2</v>
      </c>
      <c r="AH81" s="411">
        <f t="shared" si="36"/>
        <v>7.8345184227537144E-3</v>
      </c>
      <c r="AI81" s="411">
        <f t="shared" si="36"/>
        <v>2.6115061409179054E-3</v>
      </c>
      <c r="AJ81" s="411">
        <f t="shared" ref="AJ81:AJ86" si="54">$AA81*AJ$54</f>
        <v>0</v>
      </c>
      <c r="AK81" s="314">
        <f t="shared" si="28"/>
        <v>21</v>
      </c>
    </row>
    <row r="82" spans="1:38">
      <c r="A82" s="343" t="str">
        <f>A$46&amp;" - "&amp;VLOOKUP(RIGHT(C82,3),NameConv!$E$3:$F$16,2,FALSE)&amp;" - FLU - Existing"</f>
        <v>Commercial - Lighting - Electricity - FLU - Existing</v>
      </c>
      <c r="B82" s="343" t="str">
        <f>D82&amp;RIGHT(C82,3)&amp;"FLU-E"</f>
        <v>CELELCFLU-E</v>
      </c>
      <c r="C82" s="346" t="str">
        <f t="shared" si="49"/>
        <v>COMELC</v>
      </c>
      <c r="D82" s="346" t="str">
        <f t="shared" si="50"/>
        <v>CEL</v>
      </c>
      <c r="E82" s="347">
        <f>Appliances!J69</f>
        <v>4.5</v>
      </c>
      <c r="F82" s="566">
        <f ca="1">SUMIF(AFA!$B$3:$S$3,D82,AFA!$B$4:$J$4)</f>
        <v>0.55200000000000005</v>
      </c>
      <c r="G82" s="570">
        <v>5</v>
      </c>
      <c r="H82" s="349">
        <f t="shared" ca="1" si="51"/>
        <v>131.28045121832517</v>
      </c>
      <c r="I82" s="569">
        <f>('Technology costs'!I15/'Technology costs'!I14)*' COM_2017_old'!I81</f>
        <v>2.1020405989346398</v>
      </c>
      <c r="J82" s="349">
        <f t="shared" si="27"/>
        <v>0.210204059893464</v>
      </c>
      <c r="L82" s="350">
        <f>Appliances!F69</f>
        <v>0.7</v>
      </c>
      <c r="M82" s="349">
        <f>L82*SUMIF($C$6:$J$6,C82,$C$46:$J$46)</f>
        <v>16.103735349447888</v>
      </c>
      <c r="N82" s="349">
        <f t="shared" ref="N82:N86" si="55">M82*E82</f>
        <v>72.466809072515503</v>
      </c>
      <c r="P82" s="410"/>
      <c r="Q82" s="411"/>
      <c r="R82" s="411">
        <f t="shared" si="52"/>
        <v>0.69923076923076921</v>
      </c>
      <c r="S82" s="411">
        <f t="shared" ref="S82:Y87" si="56">MIN(1,$R82+S$54)</f>
        <v>0.72923076923076924</v>
      </c>
      <c r="T82" s="411">
        <f t="shared" si="56"/>
        <v>0.79923076923076919</v>
      </c>
      <c r="U82" s="411">
        <f t="shared" si="56"/>
        <v>0.99923076923076914</v>
      </c>
      <c r="V82" s="411">
        <f t="shared" si="56"/>
        <v>1</v>
      </c>
      <c r="W82" s="411">
        <f t="shared" si="56"/>
        <v>1</v>
      </c>
      <c r="X82" s="411">
        <f t="shared" si="56"/>
        <v>1</v>
      </c>
      <c r="Y82" s="411">
        <f t="shared" si="56"/>
        <v>1</v>
      </c>
      <c r="AA82" s="410"/>
      <c r="AB82" s="411"/>
      <c r="AC82" s="411">
        <f t="shared" ref="AC82:AC87" si="57">R82/(1+$P$56+$AA$56)</f>
        <v>0.68552036199095023</v>
      </c>
      <c r="AD82" s="411">
        <f t="shared" ref="AD82:AD87" si="58">$AC82*AD$54</f>
        <v>0.66495475113122171</v>
      </c>
      <c r="AE82" s="411">
        <f t="shared" si="36"/>
        <v>0.61696832579185523</v>
      </c>
      <c r="AF82" s="411">
        <f t="shared" si="36"/>
        <v>0.47986425339366512</v>
      </c>
      <c r="AG82" s="411">
        <f t="shared" si="36"/>
        <v>0.30848416289592762</v>
      </c>
      <c r="AH82" s="411">
        <f t="shared" si="36"/>
        <v>0.10282805429864253</v>
      </c>
      <c r="AI82" s="411">
        <f t="shared" si="36"/>
        <v>3.4276018099547514E-2</v>
      </c>
      <c r="AJ82" s="411">
        <f t="shared" si="54"/>
        <v>0</v>
      </c>
      <c r="AK82" s="314">
        <f t="shared" si="28"/>
        <v>22</v>
      </c>
    </row>
    <row r="83" spans="1:38">
      <c r="A83" s="343" t="str">
        <f>A$46&amp;" - "&amp;VLOOKUP(RIGHT(C83,3),NameConv!$E$3:$F$16,2,FALSE)&amp;" - HAL - Existing"</f>
        <v>Commercial - Lighting - Electricity - HAL - Existing</v>
      </c>
      <c r="B83" s="343" t="str">
        <f>D83&amp;RIGHT(C83,3)&amp;"HAL-E"</f>
        <v>CELELCHAL-E</v>
      </c>
      <c r="C83" s="346" t="str">
        <f t="shared" si="49"/>
        <v>COMELC</v>
      </c>
      <c r="D83" s="346" t="str">
        <f t="shared" si="50"/>
        <v>CEL</v>
      </c>
      <c r="E83" s="347">
        <f>Appliances!J70</f>
        <v>2</v>
      </c>
      <c r="F83" s="566">
        <f ca="1">SUMIF(AFA!$B$3:$S$3,D83,AFA!$B$4:$J$4)</f>
        <v>0.55200000000000005</v>
      </c>
      <c r="G83" s="570">
        <v>5</v>
      </c>
      <c r="H83" s="349">
        <f t="shared" ca="1" si="51"/>
        <v>1.667053348804129</v>
      </c>
      <c r="I83" s="569">
        <f>('Technology costs'!I16/'Technology costs'!I14)*' COM_2017_old'!I81</f>
        <v>0.75829581287827852</v>
      </c>
      <c r="J83" s="349">
        <f t="shared" si="27"/>
        <v>7.5829581287827852E-2</v>
      </c>
      <c r="L83" s="350">
        <f>Appliances!F70</f>
        <v>0.02</v>
      </c>
      <c r="M83" s="349">
        <f>L83*SUMIF($C$6:$J$6,C83,$C$46:$J$46)</f>
        <v>0.46010672426993965</v>
      </c>
      <c r="N83" s="349">
        <f t="shared" si="55"/>
        <v>0.9202134485398793</v>
      </c>
      <c r="P83" s="410"/>
      <c r="Q83" s="411"/>
      <c r="R83" s="411">
        <f t="shared" si="52"/>
        <v>8.8791208791208793E-3</v>
      </c>
      <c r="S83" s="411">
        <f t="shared" si="56"/>
        <v>3.8879120879120876E-2</v>
      </c>
      <c r="T83" s="411">
        <f t="shared" si="56"/>
        <v>0.10887912087912088</v>
      </c>
      <c r="U83" s="411">
        <f t="shared" si="56"/>
        <v>0.30887912087912089</v>
      </c>
      <c r="V83" s="411">
        <f t="shared" si="56"/>
        <v>0.55887912087912095</v>
      </c>
      <c r="W83" s="411">
        <f t="shared" si="56"/>
        <v>0.85887912087912088</v>
      </c>
      <c r="X83" s="411">
        <f t="shared" si="56"/>
        <v>0.95887912087912086</v>
      </c>
      <c r="Y83" s="411">
        <f t="shared" si="56"/>
        <v>1</v>
      </c>
      <c r="AA83" s="410"/>
      <c r="AB83" s="411"/>
      <c r="AC83" s="411">
        <f t="shared" si="57"/>
        <v>8.7050204697263524E-3</v>
      </c>
      <c r="AD83" s="411">
        <f t="shared" si="58"/>
        <v>8.4438698556345611E-3</v>
      </c>
      <c r="AE83" s="411">
        <f t="shared" si="36"/>
        <v>7.8345184227537178E-3</v>
      </c>
      <c r="AF83" s="411">
        <f t="shared" si="36"/>
        <v>6.0935143288084461E-3</v>
      </c>
      <c r="AG83" s="411">
        <f t="shared" si="36"/>
        <v>3.9172592113768589E-3</v>
      </c>
      <c r="AH83" s="411">
        <f t="shared" si="36"/>
        <v>1.3057530704589529E-3</v>
      </c>
      <c r="AI83" s="411">
        <f t="shared" si="36"/>
        <v>4.3525102348631765E-4</v>
      </c>
      <c r="AJ83" s="411">
        <f t="shared" si="54"/>
        <v>0</v>
      </c>
      <c r="AK83" s="314">
        <f t="shared" si="28"/>
        <v>23</v>
      </c>
    </row>
    <row r="84" spans="1:38">
      <c r="A84" s="343" t="str">
        <f>A$46&amp;" - "&amp;VLOOKUP(RIGHT(C84,3),NameConv!$E$3:$F$16,2,FALSE)&amp;" - HID - Existing"</f>
        <v>Commercial - Lighting - Electricity - HID - Existing</v>
      </c>
      <c r="B84" s="343" t="str">
        <f>D84&amp;RIGHT(C84,3)&amp;"HID-E"</f>
        <v>CELELCHID-E</v>
      </c>
      <c r="C84" s="346" t="str">
        <f t="shared" si="49"/>
        <v>COMELC</v>
      </c>
      <c r="D84" s="346" t="str">
        <f t="shared" si="50"/>
        <v>CEL</v>
      </c>
      <c r="E84" s="347">
        <f>Appliances!J71</f>
        <v>7</v>
      </c>
      <c r="F84" s="566">
        <f ca="1">SUMIF(AFA!$B$3:$S$3,D84,AFA!$B$4:$J$4)</f>
        <v>0.55200000000000005</v>
      </c>
      <c r="G84" s="570">
        <v>5</v>
      </c>
      <c r="H84" s="349">
        <f t="shared" ca="1" si="51"/>
        <v>43.760150406108387</v>
      </c>
      <c r="I84" s="569">
        <f>('Technology costs'!I17/'Technology costs'!I14)*' COM_2017_old'!I81</f>
        <v>0.30666374785518619</v>
      </c>
      <c r="J84" s="349">
        <f t="shared" si="27"/>
        <v>3.0666374785518619E-2</v>
      </c>
      <c r="L84" s="350">
        <f>Appliances!F71</f>
        <v>0.15</v>
      </c>
      <c r="M84" s="349">
        <f t="shared" ref="M84:M86" si="59">L84*SUMIF($C$6:$J$6,C84,$C$46:$J$46)</f>
        <v>3.4508004320245473</v>
      </c>
      <c r="N84" s="349">
        <f t="shared" si="55"/>
        <v>24.155603024171832</v>
      </c>
      <c r="P84" s="410"/>
      <c r="Q84" s="411"/>
      <c r="R84" s="411">
        <f t="shared" si="52"/>
        <v>0.23307692307692307</v>
      </c>
      <c r="S84" s="411">
        <f t="shared" si="56"/>
        <v>0.2630769230769231</v>
      </c>
      <c r="T84" s="411">
        <f t="shared" si="56"/>
        <v>0.33307692307692305</v>
      </c>
      <c r="U84" s="411">
        <f t="shared" si="56"/>
        <v>0.533076923076923</v>
      </c>
      <c r="V84" s="411">
        <f t="shared" si="56"/>
        <v>0.78307692307692311</v>
      </c>
      <c r="W84" s="411">
        <f t="shared" si="56"/>
        <v>1</v>
      </c>
      <c r="X84" s="411">
        <f t="shared" si="56"/>
        <v>1</v>
      </c>
      <c r="Y84" s="411">
        <f t="shared" si="56"/>
        <v>1</v>
      </c>
      <c r="AA84" s="410"/>
      <c r="AB84" s="411"/>
      <c r="AC84" s="411">
        <f t="shared" si="57"/>
        <v>0.22850678733031674</v>
      </c>
      <c r="AD84" s="411">
        <f t="shared" si="58"/>
        <v>0.22165158371040722</v>
      </c>
      <c r="AE84" s="411">
        <f t="shared" si="36"/>
        <v>0.20565610859728506</v>
      </c>
      <c r="AF84" s="411">
        <f t="shared" si="36"/>
        <v>0.15995475113122171</v>
      </c>
      <c r="AG84" s="411">
        <f t="shared" si="36"/>
        <v>0.10282805429864253</v>
      </c>
      <c r="AH84" s="411">
        <f t="shared" si="36"/>
        <v>3.4276018099547508E-2</v>
      </c>
      <c r="AI84" s="411">
        <f t="shared" si="36"/>
        <v>1.1425339366515838E-2</v>
      </c>
      <c r="AJ84" s="411">
        <f t="shared" si="54"/>
        <v>0</v>
      </c>
      <c r="AK84" s="314">
        <f t="shared" si="28"/>
        <v>24</v>
      </c>
    </row>
    <row r="85" spans="1:38">
      <c r="A85" s="343" t="str">
        <f>A$46&amp;" - "&amp;VLOOKUP(RIGHT(C85,3),NameConv!$E$3:$F$16,2,FALSE)&amp;" - INC - Existing"</f>
        <v>Commercial - Lighting - Electricity - INC - Existing</v>
      </c>
      <c r="B85" s="343" t="str">
        <f>D85&amp;RIGHT(C85,3)&amp;"INC-E"</f>
        <v>CELELCINC-E</v>
      </c>
      <c r="C85" s="346" t="str">
        <f t="shared" si="49"/>
        <v>COMELC</v>
      </c>
      <c r="D85" s="346" t="str">
        <f t="shared" si="50"/>
        <v>CEL</v>
      </c>
      <c r="E85" s="347">
        <f>Appliances!J72</f>
        <v>1</v>
      </c>
      <c r="F85" s="566">
        <f ca="1">SUMIF(AFA!$B$3:$S$3,D85,AFA!$B$4:$J$4)</f>
        <v>0.55200000000000005</v>
      </c>
      <c r="G85" s="348">
        <v>2</v>
      </c>
      <c r="H85" s="349">
        <f t="shared" ca="1" si="51"/>
        <v>2.9173433604072261</v>
      </c>
      <c r="I85" s="569">
        <v>0.26729589482474081</v>
      </c>
      <c r="J85" s="349">
        <f t="shared" si="27"/>
        <v>2.6729589482474083E-2</v>
      </c>
      <c r="L85" s="350">
        <f>Appliances!F72</f>
        <v>7.0000000000000007E-2</v>
      </c>
      <c r="M85" s="349">
        <f t="shared" si="59"/>
        <v>1.610373534944789</v>
      </c>
      <c r="N85" s="349">
        <f t="shared" si="55"/>
        <v>1.610373534944789</v>
      </c>
      <c r="P85" s="410"/>
      <c r="Q85" s="411"/>
      <c r="R85" s="411">
        <f t="shared" si="52"/>
        <v>1.5538461538461539E-2</v>
      </c>
      <c r="S85" s="411">
        <f>R85</f>
        <v>1.5538461538461539E-2</v>
      </c>
      <c r="T85" s="411">
        <v>0.01</v>
      </c>
      <c r="U85" s="411">
        <f>T85</f>
        <v>0.01</v>
      </c>
      <c r="V85" s="411">
        <f t="shared" ref="V85:Y85" si="60">U85</f>
        <v>0.01</v>
      </c>
      <c r="W85" s="411">
        <f t="shared" si="60"/>
        <v>0.01</v>
      </c>
      <c r="X85" s="411">
        <f t="shared" si="60"/>
        <v>0.01</v>
      </c>
      <c r="Y85" s="411">
        <f t="shared" si="60"/>
        <v>0.01</v>
      </c>
      <c r="AA85" s="410"/>
      <c r="AB85" s="411"/>
      <c r="AC85" s="411">
        <f t="shared" si="57"/>
        <v>1.5233785822021116E-2</v>
      </c>
      <c r="AD85" s="411">
        <f t="shared" si="58"/>
        <v>1.4776772247360482E-2</v>
      </c>
      <c r="AE85" s="411">
        <v>0.01</v>
      </c>
      <c r="AF85" s="411">
        <v>0.01</v>
      </c>
      <c r="AG85" s="411">
        <v>0.01</v>
      </c>
      <c r="AH85" s="411">
        <v>0.01</v>
      </c>
      <c r="AI85" s="411">
        <v>0.01</v>
      </c>
      <c r="AJ85" s="411">
        <v>0.01</v>
      </c>
      <c r="AK85" s="314">
        <f t="shared" si="28"/>
        <v>25</v>
      </c>
    </row>
    <row r="86" spans="1:38">
      <c r="A86" s="343" t="str">
        <f>A$46&amp;" - "&amp;VLOOKUP(RIGHT(C86,3),NameConv!$E$3:$F$16,2,FALSE)&amp;" - LED - New"</f>
        <v>Commercial - Lighting - Electricity - LED - New</v>
      </c>
      <c r="B86" s="343" t="str">
        <f>D86&amp;RIGHT(C86,3)&amp;"LED-N"</f>
        <v>CELELCLED-N</v>
      </c>
      <c r="C86" s="346" t="str">
        <f t="shared" si="49"/>
        <v>COMELC</v>
      </c>
      <c r="D86" s="346" t="str">
        <f t="shared" si="50"/>
        <v>CEL</v>
      </c>
      <c r="E86" s="347">
        <v>9.8000000000000007</v>
      </c>
      <c r="F86" s="566">
        <f ca="1">SUMIF(AFA!$B$3:$S$3,D86,AFA!$B$4:$J$4)</f>
        <v>0.55200000000000005</v>
      </c>
      <c r="G86" s="348">
        <v>10</v>
      </c>
      <c r="H86" s="349">
        <f t="shared" ca="1" si="51"/>
        <v>0</v>
      </c>
      <c r="I86" s="569">
        <v>4.9258814903416521</v>
      </c>
      <c r="J86" s="349">
        <f t="shared" si="27"/>
        <v>0.49258814903416526</v>
      </c>
      <c r="L86" s="350">
        <v>0</v>
      </c>
      <c r="M86" s="349">
        <f t="shared" si="59"/>
        <v>0</v>
      </c>
      <c r="N86" s="349">
        <f t="shared" si="55"/>
        <v>0</v>
      </c>
      <c r="P86" s="410"/>
      <c r="Q86" s="411"/>
      <c r="R86" s="411">
        <f t="shared" si="52"/>
        <v>0</v>
      </c>
      <c r="S86" s="411">
        <f t="shared" si="56"/>
        <v>0.03</v>
      </c>
      <c r="T86" s="411">
        <f t="shared" si="56"/>
        <v>0.1</v>
      </c>
      <c r="U86" s="411">
        <f t="shared" si="56"/>
        <v>0.3</v>
      </c>
      <c r="V86" s="411">
        <f t="shared" si="56"/>
        <v>0.55000000000000004</v>
      </c>
      <c r="W86" s="411">
        <f t="shared" si="56"/>
        <v>0.85</v>
      </c>
      <c r="X86" s="411">
        <f t="shared" si="56"/>
        <v>0.95</v>
      </c>
      <c r="Y86" s="411">
        <f t="shared" si="56"/>
        <v>1</v>
      </c>
      <c r="AA86" s="410"/>
      <c r="AB86" s="411"/>
      <c r="AC86" s="411">
        <f t="shared" si="57"/>
        <v>0</v>
      </c>
      <c r="AD86" s="411">
        <f t="shared" si="58"/>
        <v>0</v>
      </c>
      <c r="AE86" s="411">
        <f t="shared" si="36"/>
        <v>0</v>
      </c>
      <c r="AF86" s="411">
        <f t="shared" si="36"/>
        <v>0</v>
      </c>
      <c r="AG86" s="411">
        <f t="shared" si="36"/>
        <v>0</v>
      </c>
      <c r="AH86" s="411">
        <f t="shared" si="36"/>
        <v>0</v>
      </c>
      <c r="AI86" s="411">
        <f t="shared" si="36"/>
        <v>0</v>
      </c>
      <c r="AJ86" s="411">
        <f t="shared" si="54"/>
        <v>0</v>
      </c>
      <c r="AK86" s="314">
        <f t="shared" si="28"/>
        <v>26</v>
      </c>
    </row>
    <row r="87" spans="1:38">
      <c r="A87" s="352" t="s">
        <v>704</v>
      </c>
      <c r="F87" s="566"/>
      <c r="H87" s="349"/>
      <c r="I87" s="349"/>
      <c r="J87" s="349"/>
      <c r="L87" s="563">
        <f>SUM(L81:L85)</f>
        <v>1</v>
      </c>
      <c r="M87" s="356">
        <f>SUM(M81:M85)</f>
        <v>23.005336213496978</v>
      </c>
      <c r="N87" s="356">
        <f>SUM(N81:N85)</f>
        <v>104.67427977141128</v>
      </c>
      <c r="R87" s="563">
        <f>SUM(R81:R86)</f>
        <v>1.01</v>
      </c>
      <c r="S87" s="411">
        <f t="shared" si="56"/>
        <v>1</v>
      </c>
      <c r="T87" s="411">
        <f t="shared" si="56"/>
        <v>1</v>
      </c>
      <c r="U87" s="411">
        <f t="shared" si="56"/>
        <v>1</v>
      </c>
      <c r="V87" s="411">
        <f t="shared" si="56"/>
        <v>1</v>
      </c>
      <c r="W87" s="411">
        <f t="shared" si="56"/>
        <v>1</v>
      </c>
      <c r="X87" s="411">
        <f t="shared" si="56"/>
        <v>1</v>
      </c>
      <c r="Y87" s="411">
        <f t="shared" si="56"/>
        <v>1</v>
      </c>
      <c r="AC87" s="411">
        <f t="shared" si="57"/>
        <v>0.99019607843137258</v>
      </c>
      <c r="AD87" s="411">
        <f t="shared" si="58"/>
        <v>0.96049019607843134</v>
      </c>
      <c r="AE87" s="411">
        <f t="shared" si="36"/>
        <v>0.89117647058823535</v>
      </c>
      <c r="AF87" s="411">
        <f t="shared" si="36"/>
        <v>0.69313725490196076</v>
      </c>
      <c r="AG87" s="411">
        <f t="shared" si="36"/>
        <v>0.44558823529411767</v>
      </c>
      <c r="AH87" s="411">
        <f t="shared" si="36"/>
        <v>0.14852941176470588</v>
      </c>
      <c r="AI87" s="411">
        <f t="shared" si="36"/>
        <v>4.9509803921568632E-2</v>
      </c>
      <c r="AK87" s="314">
        <f t="shared" si="28"/>
        <v>27</v>
      </c>
      <c r="AL87" s="314" t="str">
        <f>LEFT(B86,3)</f>
        <v>CEL</v>
      </c>
    </row>
    <row r="88" spans="1:38">
      <c r="A88" s="343" t="str">
        <f>"\I:"&amp;A47</f>
        <v>\I:Commercial - Refrigeration</v>
      </c>
      <c r="B88" s="343"/>
      <c r="C88" s="353"/>
      <c r="D88" s="353"/>
      <c r="E88" s="339"/>
      <c r="F88" s="566"/>
      <c r="G88" s="339"/>
      <c r="H88" s="349"/>
      <c r="I88" s="349"/>
      <c r="J88" s="349"/>
      <c r="K88" s="357"/>
      <c r="L88" s="358"/>
      <c r="M88" s="358"/>
      <c r="AK88" s="314">
        <f t="shared" si="28"/>
        <v>28</v>
      </c>
    </row>
    <row r="89" spans="1:38">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36.994768576646024</v>
      </c>
      <c r="I89" s="349">
        <f>SUMIF('Technology costs'!$B$7:$B$28,' COM_2017_old'!B89,'Technology costs'!$F$7:$F$28)</f>
        <v>1233.8760830678398</v>
      </c>
      <c r="J89" s="349">
        <f t="shared" si="27"/>
        <v>123.38760830678399</v>
      </c>
      <c r="L89" s="350">
        <f>Appliances!F63</f>
        <v>1</v>
      </c>
      <c r="M89" s="349">
        <f>L89*SUMIF($C$6:$J$6,C89,$C$47:$J$47)</f>
        <v>25.463499211305457</v>
      </c>
      <c r="N89" s="349">
        <f>M89*E89</f>
        <v>25.463499211305457</v>
      </c>
      <c r="P89" s="410"/>
      <c r="Q89" s="411"/>
      <c r="R89" s="411">
        <f>N89/SUMIF($D$61:$D$121,$D89,$N$61:$N$121)</f>
        <v>1</v>
      </c>
      <c r="S89" s="411">
        <f>MIN(1,$R89+S$54)</f>
        <v>1</v>
      </c>
      <c r="T89" s="411">
        <f t="shared" ref="T89:Y90" si="61">MIN(1,$R89+T$54)</f>
        <v>1</v>
      </c>
      <c r="U89" s="411">
        <f t="shared" si="61"/>
        <v>1</v>
      </c>
      <c r="V89" s="411">
        <f t="shared" si="61"/>
        <v>1</v>
      </c>
      <c r="W89" s="411">
        <f t="shared" si="61"/>
        <v>1</v>
      </c>
      <c r="X89" s="411">
        <f t="shared" si="61"/>
        <v>1</v>
      </c>
      <c r="Y89" s="411">
        <f t="shared" si="61"/>
        <v>1</v>
      </c>
      <c r="AA89" s="410"/>
      <c r="AB89" s="411"/>
      <c r="AC89" s="411">
        <f>R89/(1+$P$56+$AA$56)</f>
        <v>0.98039215686274506</v>
      </c>
      <c r="AD89" s="411">
        <f>$AC89*AD$54</f>
        <v>0.9509803921568627</v>
      </c>
      <c r="AE89" s="411">
        <f t="shared" ref="AE89:AI90" si="62">$AC89*AE$54</f>
        <v>0.88235294117647056</v>
      </c>
      <c r="AF89" s="411">
        <f t="shared" si="62"/>
        <v>0.68627450980392146</v>
      </c>
      <c r="AG89" s="411">
        <f t="shared" si="62"/>
        <v>0.44117647058823528</v>
      </c>
      <c r="AH89" s="411">
        <f t="shared" si="62"/>
        <v>0.14705882352941174</v>
      </c>
      <c r="AI89" s="411">
        <f t="shared" si="62"/>
        <v>4.9019607843137254E-2</v>
      </c>
      <c r="AJ89" s="411">
        <f t="shared" ref="AJ89:AJ90" si="63">$AA89*AJ$54</f>
        <v>0</v>
      </c>
      <c r="AK89" s="314">
        <f t="shared" si="28"/>
        <v>29</v>
      </c>
    </row>
    <row r="90" spans="1:38">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1280.4106908809918</v>
      </c>
      <c r="J90" s="349">
        <f t="shared" si="27"/>
        <v>128.04106908809919</v>
      </c>
      <c r="L90" s="350">
        <v>0</v>
      </c>
      <c r="M90" s="349">
        <v>0</v>
      </c>
      <c r="N90" s="349">
        <v>0</v>
      </c>
      <c r="P90" s="410"/>
      <c r="Q90" s="411"/>
      <c r="R90" s="411">
        <f>N90/SUMIF($D$61:$D$121,$D89,$N$61:$N$121)</f>
        <v>0</v>
      </c>
      <c r="S90" s="411">
        <f>MIN(1,$R90+S$54)</f>
        <v>0.03</v>
      </c>
      <c r="T90" s="411">
        <f t="shared" si="61"/>
        <v>0.1</v>
      </c>
      <c r="U90" s="411">
        <f t="shared" si="61"/>
        <v>0.3</v>
      </c>
      <c r="V90" s="411">
        <f t="shared" si="61"/>
        <v>0.55000000000000004</v>
      </c>
      <c r="W90" s="411">
        <f t="shared" si="61"/>
        <v>0.85</v>
      </c>
      <c r="X90" s="411">
        <f t="shared" si="61"/>
        <v>0.95</v>
      </c>
      <c r="Y90" s="411">
        <f t="shared" si="61"/>
        <v>1</v>
      </c>
      <c r="AA90" s="410"/>
      <c r="AB90" s="411"/>
      <c r="AC90" s="411">
        <f>R90/(1+$P$56+$AA$56)</f>
        <v>0</v>
      </c>
      <c r="AD90" s="411">
        <f>$AC90*AD$54</f>
        <v>0</v>
      </c>
      <c r="AE90" s="411">
        <f t="shared" si="62"/>
        <v>0</v>
      </c>
      <c r="AF90" s="411">
        <f t="shared" si="62"/>
        <v>0</v>
      </c>
      <c r="AG90" s="411">
        <f t="shared" si="62"/>
        <v>0</v>
      </c>
      <c r="AH90" s="411">
        <f t="shared" si="62"/>
        <v>0</v>
      </c>
      <c r="AI90" s="411">
        <f t="shared" si="62"/>
        <v>0</v>
      </c>
      <c r="AJ90" s="411">
        <f t="shared" si="63"/>
        <v>0</v>
      </c>
      <c r="AK90" s="314">
        <f t="shared" si="28"/>
        <v>30</v>
      </c>
    </row>
    <row r="91" spans="1:38">
      <c r="A91" s="352" t="s">
        <v>704</v>
      </c>
      <c r="F91" s="566"/>
      <c r="H91" s="349"/>
      <c r="I91" s="349"/>
      <c r="J91" s="349"/>
      <c r="L91" s="563">
        <f>SUM(L89)</f>
        <v>1</v>
      </c>
      <c r="M91" s="356">
        <f>SUM(M89)</f>
        <v>25.463499211305457</v>
      </c>
      <c r="N91" s="356">
        <f>SUM(N89)</f>
        <v>25.463499211305457</v>
      </c>
      <c r="AK91" s="314">
        <f t="shared" si="28"/>
        <v>31</v>
      </c>
      <c r="AL91" s="314" t="str">
        <f>LEFT(B90,3)</f>
        <v>CER</v>
      </c>
    </row>
    <row r="92" spans="1:38">
      <c r="A92" s="343" t="str">
        <f>"\I:"&amp;A48</f>
        <v>\I:Commercial - Water Heating</v>
      </c>
      <c r="B92" s="343"/>
      <c r="C92" s="353"/>
      <c r="D92" s="353"/>
      <c r="E92" s="339"/>
      <c r="F92" s="566"/>
      <c r="G92" s="339"/>
      <c r="H92" s="349"/>
      <c r="I92" s="349"/>
      <c r="J92" s="349"/>
      <c r="K92" s="357"/>
      <c r="L92" s="358"/>
      <c r="M92" s="358"/>
      <c r="AK92" s="314">
        <f t="shared" si="28"/>
        <v>32</v>
      </c>
    </row>
    <row r="93" spans="1:38">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1.2487587745099411</v>
      </c>
      <c r="I93" s="349">
        <f>SUMIF('Technology costs'!$B$7:$B$28,' COM_2017_old'!B93,'Technology costs'!$F$7:$F$28)</f>
        <v>22.469159481261919</v>
      </c>
      <c r="J93" s="349">
        <f t="shared" si="27"/>
        <v>2.2469159481261918</v>
      </c>
      <c r="L93" s="350">
        <f>Appliances!F22</f>
        <v>1</v>
      </c>
      <c r="M93" s="349">
        <f>L93*SUMIF($C$6:$J$6,C93,$C$48:$J$48)</f>
        <v>1.1130186957207104</v>
      </c>
      <c r="N93" s="349">
        <f>M93*E93</f>
        <v>1.1130186957207104</v>
      </c>
      <c r="O93" s="410"/>
      <c r="Q93" s="411"/>
      <c r="R93" s="411">
        <f>N93/SUMIF($D$61:$D$121,$D93,$N$61:$N$121)*(1+$P$56)</f>
        <v>0.11649695170636573</v>
      </c>
      <c r="S93" s="411">
        <f>MIN(1,$R93+S$54)</f>
        <v>0.14649695170636573</v>
      </c>
      <c r="T93" s="411">
        <f t="shared" ref="T93:Y93" si="64">MIN(1,$R93+T$54)</f>
        <v>0.21649695170636574</v>
      </c>
      <c r="U93" s="411">
        <f t="shared" si="64"/>
        <v>0.41649695170636569</v>
      </c>
      <c r="V93" s="411">
        <f t="shared" si="64"/>
        <v>0.6664969517063658</v>
      </c>
      <c r="W93" s="411">
        <f t="shared" si="64"/>
        <v>0.96649695170636574</v>
      </c>
      <c r="X93" s="411">
        <f t="shared" si="64"/>
        <v>1</v>
      </c>
      <c r="Y93" s="411">
        <f t="shared" si="64"/>
        <v>1</v>
      </c>
      <c r="AA93" s="410"/>
      <c r="AB93" s="411"/>
      <c r="AC93" s="411">
        <f>R93/(1+$P$56+$AA$56)</f>
        <v>0.11421269775133895</v>
      </c>
      <c r="AD93" s="411">
        <f>$AC93*AD$54</f>
        <v>0.11078631681879877</v>
      </c>
      <c r="AE93" s="411">
        <f t="shared" ref="AE93:AI99" si="65">$AC93*AE$54</f>
        <v>0.10279142797620505</v>
      </c>
      <c r="AF93" s="411">
        <f t="shared" si="65"/>
        <v>7.9948888425937267E-2</v>
      </c>
      <c r="AG93" s="411">
        <f t="shared" si="65"/>
        <v>5.1395713988102526E-2</v>
      </c>
      <c r="AH93" s="411">
        <f t="shared" si="65"/>
        <v>1.7131904662700842E-2</v>
      </c>
      <c r="AI93" s="411">
        <f t="shared" si="65"/>
        <v>5.7106348875669479E-3</v>
      </c>
      <c r="AJ93" s="411">
        <f t="shared" ref="AJ93:AJ99" si="66">$AA93*AJ$54</f>
        <v>0</v>
      </c>
      <c r="AK93" s="314">
        <f t="shared" si="28"/>
        <v>33</v>
      </c>
    </row>
    <row r="94" spans="1:38">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67">(N94/F94)*(1+$H$55)</f>
        <v>8.1842790877227607</v>
      </c>
      <c r="I94" s="349">
        <f>SUMIF('Technology costs'!$B$7:$B$28,' COM_2017_old'!B94,'Technology costs'!$F$7:$F$28)</f>
        <v>150.79245635788121</v>
      </c>
      <c r="J94" s="349">
        <f t="shared" si="27"/>
        <v>15.079245635788121</v>
      </c>
      <c r="L94" s="350">
        <f>Appliances!F25</f>
        <v>1</v>
      </c>
      <c r="M94" s="349">
        <f>L94*SUMIF($C$6:$J$6,C94,$C$48:$J$48)</f>
        <v>12.157746584812159</v>
      </c>
      <c r="N94" s="349">
        <f>M94*E94</f>
        <v>7.2946479508872963</v>
      </c>
      <c r="O94" s="410"/>
      <c r="Q94" s="643"/>
      <c r="R94" s="411">
        <f t="shared" ref="R94:R99" si="68">N94/SUMIF($D$61:$D$121,$D94,$N$61:$N$121)*(1+$P$56)</f>
        <v>0.7635130059510683</v>
      </c>
      <c r="S94" s="411">
        <f>R94</f>
        <v>0.7635130059510683</v>
      </c>
      <c r="T94" s="411">
        <f t="shared" ref="T94:Y94" si="69">S94</f>
        <v>0.7635130059510683</v>
      </c>
      <c r="U94" s="411">
        <f t="shared" si="69"/>
        <v>0.7635130059510683</v>
      </c>
      <c r="V94" s="411">
        <f t="shared" si="69"/>
        <v>0.7635130059510683</v>
      </c>
      <c r="W94" s="411">
        <f t="shared" si="69"/>
        <v>0.7635130059510683</v>
      </c>
      <c r="X94" s="411">
        <f t="shared" si="69"/>
        <v>0.7635130059510683</v>
      </c>
      <c r="Y94" s="411">
        <f t="shared" si="69"/>
        <v>0.7635130059510683</v>
      </c>
      <c r="AA94" s="410"/>
      <c r="AB94" s="411"/>
      <c r="AC94" s="411">
        <f t="shared" ref="AC94:AC99" si="70">R94/(1+$P$56+$AA$56)</f>
        <v>0.74854216269712581</v>
      </c>
      <c r="AD94" s="411">
        <f t="shared" ref="AD94:AD99" si="71">$AC94*AD$54</f>
        <v>0.72608589781621202</v>
      </c>
      <c r="AE94" s="411">
        <f t="shared" si="65"/>
        <v>0.67368794642741325</v>
      </c>
      <c r="AF94" s="411">
        <f t="shared" si="65"/>
        <v>0.52397951388798802</v>
      </c>
      <c r="AG94" s="411">
        <f t="shared" si="65"/>
        <v>0.33684397321370663</v>
      </c>
      <c r="AH94" s="411">
        <f t="shared" si="65"/>
        <v>0.11228132440456887</v>
      </c>
      <c r="AI94" s="411">
        <f t="shared" si="65"/>
        <v>3.7427108134856293E-2</v>
      </c>
      <c r="AJ94" s="411">
        <f t="shared" si="66"/>
        <v>0</v>
      </c>
      <c r="AK94" s="314">
        <f t="shared" si="28"/>
        <v>34</v>
      </c>
    </row>
    <row r="95" spans="1:38">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67"/>
        <v>0.30177315803545718</v>
      </c>
      <c r="I95" s="349">
        <f>SUMIF('Technology costs'!$B$7:$B$28,' COM_2017_old'!B95,'Technology costs'!$F$7:$F$28)</f>
        <v>17.663141822564214</v>
      </c>
      <c r="J95" s="349">
        <f t="shared" si="27"/>
        <v>1.7663141822564215</v>
      </c>
      <c r="L95" s="350">
        <f>Appliances!F23</f>
        <v>1</v>
      </c>
      <c r="M95" s="349">
        <f>L95*SUMIF($C$6:$J$6,C95,$C$48:$J$48)</f>
        <v>0.39554472905441612</v>
      </c>
      <c r="N95" s="349">
        <f>M95*E95</f>
        <v>0.26897041575700298</v>
      </c>
      <c r="O95" s="410"/>
      <c r="Q95" s="411"/>
      <c r="R95" s="411">
        <f t="shared" si="68"/>
        <v>2.8152477272266215E-2</v>
      </c>
      <c r="S95" s="411">
        <f t="shared" ref="S95:Y99" si="72">MIN(1,$R95+S$54)</f>
        <v>5.8152477272266218E-2</v>
      </c>
      <c r="T95" s="411">
        <f t="shared" si="72"/>
        <v>0.12815247727226622</v>
      </c>
      <c r="U95" s="411">
        <f t="shared" si="72"/>
        <v>0.32815247727226621</v>
      </c>
      <c r="V95" s="411">
        <f t="shared" si="72"/>
        <v>0.57815247727226626</v>
      </c>
      <c r="W95" s="411">
        <f t="shared" si="72"/>
        <v>0.8781524772722662</v>
      </c>
      <c r="X95" s="411">
        <f t="shared" si="72"/>
        <v>0.97815247727226617</v>
      </c>
      <c r="Y95" s="411">
        <f t="shared" si="72"/>
        <v>1</v>
      </c>
      <c r="AA95" s="410"/>
      <c r="AB95" s="411"/>
      <c r="AC95" s="411">
        <f t="shared" si="70"/>
        <v>2.7600467913986484E-2</v>
      </c>
      <c r="AD95" s="411">
        <f t="shared" si="71"/>
        <v>2.677245387656689E-2</v>
      </c>
      <c r="AE95" s="411">
        <f t="shared" si="65"/>
        <v>2.4840421122587837E-2</v>
      </c>
      <c r="AF95" s="411">
        <f t="shared" si="65"/>
        <v>1.9320327539790537E-2</v>
      </c>
      <c r="AG95" s="411">
        <f t="shared" si="65"/>
        <v>1.2420210561293919E-2</v>
      </c>
      <c r="AH95" s="411">
        <f t="shared" si="65"/>
        <v>4.1400701870979726E-3</v>
      </c>
      <c r="AI95" s="411">
        <f t="shared" si="65"/>
        <v>1.3800233956993242E-3</v>
      </c>
      <c r="AJ95" s="411">
        <f t="shared" si="66"/>
        <v>0</v>
      </c>
      <c r="AK95" s="314">
        <f t="shared" si="28"/>
        <v>35</v>
      </c>
    </row>
    <row r="96" spans="1:38">
      <c r="A96" s="343" t="str">
        <f>A$48&amp;" - "&amp;VLOOKUP(RIGHT(C96,3),NameConv!$E$3:$F$16,2,FALSE)&amp;" - Existing"</f>
        <v>Commercial - Water Heating - Gas - Existing</v>
      </c>
      <c r="B96" s="343" t="str">
        <f t="shared" ref="B96:B97" si="73">D96&amp;RIGHT(C96,3)&amp;"-E"</f>
        <v>CEWGAS-E</v>
      </c>
      <c r="C96" s="346" t="str">
        <f>$F$6</f>
        <v>COMGAS</v>
      </c>
      <c r="D96" s="346" t="str">
        <f t="shared" ref="D96:D97" si="74">$B$48</f>
        <v>CEW</v>
      </c>
      <c r="E96" s="347">
        <f>Appliances!J27</f>
        <v>0.69</v>
      </c>
      <c r="F96" s="566">
        <f ca="1">SUMIF(AFA!$B$3:$S$3,D96,AFA!$B$4:$J$4)</f>
        <v>0.89129999999999998</v>
      </c>
      <c r="G96" s="348">
        <v>12</v>
      </c>
      <c r="H96" s="349">
        <f t="shared" ca="1" si="67"/>
        <v>0.67851683800789475</v>
      </c>
      <c r="I96" s="488">
        <f>I95</f>
        <v>17.663141822564214</v>
      </c>
      <c r="J96" s="349">
        <f t="shared" si="27"/>
        <v>1.7663141822564215</v>
      </c>
      <c r="L96" s="350">
        <f>Appliances!F27</f>
        <v>1</v>
      </c>
      <c r="M96" s="349">
        <f>L96*SUMIF($C$6:$J$6,C96,$C$48:$J$48)</f>
        <v>0.87646675031367627</v>
      </c>
      <c r="N96" s="349">
        <f>M96*E96</f>
        <v>0.60476205771643654</v>
      </c>
      <c r="O96" s="410"/>
      <c r="Q96" s="411"/>
      <c r="R96" s="411">
        <f t="shared" si="68"/>
        <v>6.3298969282823983E-2</v>
      </c>
      <c r="S96" s="411">
        <f t="shared" si="72"/>
        <v>9.3298969282823982E-2</v>
      </c>
      <c r="T96" s="411">
        <f t="shared" si="72"/>
        <v>0.163298969282824</v>
      </c>
      <c r="U96" s="411">
        <f t="shared" si="72"/>
        <v>0.36329896928282396</v>
      </c>
      <c r="V96" s="411">
        <f t="shared" si="72"/>
        <v>0.61329896928282401</v>
      </c>
      <c r="W96" s="411">
        <f t="shared" si="72"/>
        <v>0.91329896928282395</v>
      </c>
      <c r="X96" s="411">
        <f t="shared" si="72"/>
        <v>1</v>
      </c>
      <c r="Y96" s="411">
        <f t="shared" si="72"/>
        <v>1</v>
      </c>
      <c r="AA96" s="410"/>
      <c r="AB96" s="411"/>
      <c r="AC96" s="411">
        <f t="shared" si="70"/>
        <v>6.2057813022376451E-2</v>
      </c>
      <c r="AD96" s="411">
        <f t="shared" si="71"/>
        <v>6.0196078631705154E-2</v>
      </c>
      <c r="AE96" s="411">
        <f t="shared" si="65"/>
        <v>5.5852031720138806E-2</v>
      </c>
      <c r="AF96" s="411">
        <f t="shared" si="65"/>
        <v>4.3440469115663516E-2</v>
      </c>
      <c r="AG96" s="411">
        <f t="shared" si="65"/>
        <v>2.7926015860069403E-2</v>
      </c>
      <c r="AH96" s="411">
        <f t="shared" si="65"/>
        <v>9.3086719533564677E-3</v>
      </c>
      <c r="AI96" s="411">
        <f t="shared" si="65"/>
        <v>3.1028906511188226E-3</v>
      </c>
      <c r="AJ96" s="411">
        <f t="shared" si="66"/>
        <v>0</v>
      </c>
      <c r="AK96" s="314">
        <f t="shared" si="28"/>
        <v>36</v>
      </c>
    </row>
    <row r="97" spans="1:38">
      <c r="A97" s="343" t="str">
        <f>A$48&amp;" - "&amp;VLOOKUP(RIGHT(C97,3),NameConv!$E$3:$F$16,2,FALSE)&amp;" - Existing"</f>
        <v>Commercial - Water Heating - Oil Paraffin - Existing</v>
      </c>
      <c r="B97" s="343" t="str">
        <f t="shared" si="73"/>
        <v>CEWOKE-E</v>
      </c>
      <c r="C97" s="346" t="s">
        <v>1101</v>
      </c>
      <c r="D97" s="346" t="str">
        <f t="shared" si="74"/>
        <v>CEW</v>
      </c>
      <c r="E97" s="347">
        <f>Appliances!J28</f>
        <v>0.7</v>
      </c>
      <c r="F97" s="566">
        <f ca="1">SUMIF(AFA!$B$3:$S$3,D97,AFA!$B$4:$J$4)</f>
        <v>0.89129999999999998</v>
      </c>
      <c r="G97" s="348">
        <v>12</v>
      </c>
      <c r="H97" s="349">
        <f t="shared" ca="1" si="67"/>
        <v>0.41310445416806907</v>
      </c>
      <c r="I97" s="488">
        <f>I96</f>
        <v>17.663141822564214</v>
      </c>
      <c r="J97" s="349">
        <f t="shared" si="27"/>
        <v>1.7663141822564215</v>
      </c>
      <c r="L97" s="350">
        <f>Appliances!F28</f>
        <v>1</v>
      </c>
      <c r="M97" s="349">
        <f>L97*SUMIF($C$6:$J$6,C97,$C$48:$J$48)</f>
        <v>0.52600000000000002</v>
      </c>
      <c r="N97" s="349">
        <f>M97*E97</f>
        <v>0.36819999999999997</v>
      </c>
      <c r="O97" s="410"/>
      <c r="Q97" s="411"/>
      <c r="R97" s="411">
        <f t="shared" si="68"/>
        <v>3.8538595787475684E-2</v>
      </c>
      <c r="S97" s="411">
        <f>R97</f>
        <v>3.8538595787475684E-2</v>
      </c>
      <c r="T97" s="411">
        <f t="shared" ref="T97:Y97" si="75">S97</f>
        <v>3.8538595787475684E-2</v>
      </c>
      <c r="U97" s="411">
        <f t="shared" si="75"/>
        <v>3.8538595787475684E-2</v>
      </c>
      <c r="V97" s="411">
        <f t="shared" si="75"/>
        <v>3.8538595787475684E-2</v>
      </c>
      <c r="W97" s="411">
        <f t="shared" si="75"/>
        <v>3.8538595787475684E-2</v>
      </c>
      <c r="X97" s="411">
        <f t="shared" si="75"/>
        <v>3.8538595787475684E-2</v>
      </c>
      <c r="Y97" s="411">
        <f t="shared" si="75"/>
        <v>3.8538595787475684E-2</v>
      </c>
      <c r="AA97" s="410"/>
      <c r="AB97" s="411"/>
      <c r="AC97" s="411">
        <f t="shared" si="70"/>
        <v>3.7782937046544784E-2</v>
      </c>
      <c r="AD97" s="411">
        <f t="shared" si="71"/>
        <v>3.6649448935148439E-2</v>
      </c>
      <c r="AE97" s="411">
        <f t="shared" si="65"/>
        <v>3.4004643341890309E-2</v>
      </c>
      <c r="AF97" s="411">
        <f t="shared" si="65"/>
        <v>2.6448055932581347E-2</v>
      </c>
      <c r="AG97" s="411">
        <f t="shared" si="65"/>
        <v>1.7002321670945154E-2</v>
      </c>
      <c r="AH97" s="411">
        <f t="shared" si="65"/>
        <v>5.6674405569817178E-3</v>
      </c>
      <c r="AI97" s="411">
        <f t="shared" si="65"/>
        <v>1.8891468523272394E-3</v>
      </c>
      <c r="AJ97" s="411">
        <f t="shared" si="66"/>
        <v>0</v>
      </c>
      <c r="AK97" s="314">
        <f t="shared" si="28"/>
        <v>37</v>
      </c>
    </row>
    <row r="98" spans="1:38">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67"/>
        <v>0</v>
      </c>
      <c r="I98" s="349">
        <f>I93</f>
        <v>22.469159481261919</v>
      </c>
      <c r="J98" s="349">
        <f>I98*0.1</f>
        <v>2.2469159481261918</v>
      </c>
      <c r="L98" s="350">
        <v>0</v>
      </c>
      <c r="M98" s="349">
        <v>0</v>
      </c>
      <c r="N98" s="349">
        <v>0</v>
      </c>
      <c r="O98" s="410"/>
      <c r="Q98" s="411"/>
      <c r="R98" s="411">
        <f t="shared" si="68"/>
        <v>0</v>
      </c>
      <c r="S98" s="411">
        <f t="shared" si="72"/>
        <v>0.03</v>
      </c>
      <c r="T98" s="411">
        <f t="shared" si="72"/>
        <v>0.1</v>
      </c>
      <c r="U98" s="411">
        <f t="shared" si="72"/>
        <v>0.3</v>
      </c>
      <c r="V98" s="411">
        <f t="shared" si="72"/>
        <v>0.55000000000000004</v>
      </c>
      <c r="W98" s="411">
        <f t="shared" si="72"/>
        <v>0.85</v>
      </c>
      <c r="X98" s="411">
        <f t="shared" si="72"/>
        <v>0.95</v>
      </c>
      <c r="Y98" s="411">
        <f t="shared" si="72"/>
        <v>1</v>
      </c>
      <c r="AA98" s="410"/>
      <c r="AB98" s="411"/>
      <c r="AC98" s="411">
        <f t="shared" si="70"/>
        <v>0</v>
      </c>
      <c r="AD98" s="411">
        <f t="shared" si="71"/>
        <v>0</v>
      </c>
      <c r="AE98" s="411">
        <f t="shared" si="65"/>
        <v>0</v>
      </c>
      <c r="AF98" s="411">
        <f t="shared" si="65"/>
        <v>0</v>
      </c>
      <c r="AG98" s="411">
        <f t="shared" si="65"/>
        <v>0</v>
      </c>
      <c r="AH98" s="411">
        <f t="shared" si="65"/>
        <v>0</v>
      </c>
      <c r="AI98" s="411">
        <f t="shared" si="65"/>
        <v>0</v>
      </c>
      <c r="AJ98" s="411">
        <f t="shared" si="66"/>
        <v>0</v>
      </c>
      <c r="AK98" s="314">
        <f t="shared" si="28"/>
        <v>38</v>
      </c>
    </row>
    <row r="99" spans="1:38">
      <c r="A99" s="343" t="str">
        <f>A$48&amp;" - "&amp;VLOOKUP(RIGHT(C99,3),NameConv!$E$3:$F$16,2,FALSE)&amp;" - HP - New"</f>
        <v>Commercial - Water Heating - Electricity - HP - New</v>
      </c>
      <c r="B99" s="343" t="str">
        <f>D99&amp;RIGHT(C99,3)&amp;"HP-N"</f>
        <v>CEWELCHP-N</v>
      </c>
      <c r="C99" s="346" t="str">
        <f t="shared" ref="C99" si="76">$E$6</f>
        <v>COMELC</v>
      </c>
      <c r="D99" s="346" t="str">
        <f>$B$48</f>
        <v>CEW</v>
      </c>
      <c r="E99" s="347">
        <v>2.2599999999999998</v>
      </c>
      <c r="F99" s="566">
        <f ca="1">SUMIF(AFA!$B$3:$S$3,D99,AFA!$B$4:$J$4)</f>
        <v>0.89129999999999998</v>
      </c>
      <c r="G99" s="348">
        <v>10</v>
      </c>
      <c r="H99" s="349">
        <f t="shared" ca="1" si="67"/>
        <v>0</v>
      </c>
      <c r="I99" s="349">
        <f>I93*3</f>
        <v>67.407478443785749</v>
      </c>
      <c r="J99" s="349">
        <f>I99*0.1</f>
        <v>6.7407478443785749</v>
      </c>
      <c r="L99" s="350">
        <v>0</v>
      </c>
      <c r="M99" s="349">
        <v>0</v>
      </c>
      <c r="N99" s="349">
        <v>0</v>
      </c>
      <c r="O99" s="410"/>
      <c r="Q99" s="411"/>
      <c r="R99" s="411">
        <f t="shared" si="68"/>
        <v>0</v>
      </c>
      <c r="S99" s="411">
        <f t="shared" si="72"/>
        <v>0.03</v>
      </c>
      <c r="T99" s="411">
        <f t="shared" si="72"/>
        <v>0.1</v>
      </c>
      <c r="U99" s="411">
        <f t="shared" si="72"/>
        <v>0.3</v>
      </c>
      <c r="V99" s="411">
        <f t="shared" si="72"/>
        <v>0.55000000000000004</v>
      </c>
      <c r="W99" s="411">
        <f t="shared" si="72"/>
        <v>0.85</v>
      </c>
      <c r="X99" s="411">
        <f t="shared" si="72"/>
        <v>0.95</v>
      </c>
      <c r="Y99" s="411">
        <f t="shared" si="72"/>
        <v>1</v>
      </c>
      <c r="AA99" s="410"/>
      <c r="AB99" s="411"/>
      <c r="AC99" s="411">
        <f t="shared" si="70"/>
        <v>0</v>
      </c>
      <c r="AD99" s="411">
        <f t="shared" si="71"/>
        <v>0</v>
      </c>
      <c r="AE99" s="411">
        <f t="shared" si="65"/>
        <v>0</v>
      </c>
      <c r="AF99" s="411">
        <f t="shared" si="65"/>
        <v>0</v>
      </c>
      <c r="AG99" s="411">
        <f t="shared" si="65"/>
        <v>0</v>
      </c>
      <c r="AH99" s="411">
        <f t="shared" si="65"/>
        <v>0</v>
      </c>
      <c r="AI99" s="411">
        <f t="shared" si="65"/>
        <v>0</v>
      </c>
      <c r="AJ99" s="411">
        <f t="shared" si="66"/>
        <v>0</v>
      </c>
      <c r="AK99" s="314">
        <f t="shared" si="28"/>
        <v>39</v>
      </c>
    </row>
    <row r="100" spans="1:38">
      <c r="A100" s="352" t="s">
        <v>704</v>
      </c>
      <c r="F100" s="566"/>
      <c r="H100" s="349"/>
      <c r="I100" s="349"/>
      <c r="J100" s="349"/>
      <c r="L100" s="563"/>
      <c r="M100" s="356">
        <f>SUM(M93:M97)</f>
        <v>15.068776759900961</v>
      </c>
      <c r="N100" s="356">
        <f>SUM(N93:N97)</f>
        <v>9.6495991200814473</v>
      </c>
      <c r="AK100" s="314">
        <f t="shared" si="28"/>
        <v>40</v>
      </c>
      <c r="AL100" s="314" t="str">
        <f>LEFT(B99,3)</f>
        <v>CEW</v>
      </c>
    </row>
    <row r="101" spans="1:38">
      <c r="A101" s="343" t="str">
        <f>"\I:"&amp;A49</f>
        <v>\I:Commercial - Public Lights</v>
      </c>
      <c r="F101" s="566"/>
      <c r="H101" s="349"/>
      <c r="I101" s="349"/>
      <c r="J101" s="349"/>
      <c r="L101" s="563"/>
      <c r="M101" s="356"/>
      <c r="N101" s="356"/>
      <c r="AK101" s="314">
        <f t="shared" si="28"/>
        <v>41</v>
      </c>
    </row>
    <row r="102" spans="1:38">
      <c r="A102" s="343" t="str">
        <f>A$49&amp;" - "&amp;VLOOKUP(RIGHT(C102,3),NameConv!$E$3:$F$16,2,FALSE)&amp;" - "&amp;LEFT(Appliances!B75,3)&amp;" - Existing"</f>
        <v>Commercial - Public Lights - Electricity - INC - Existing</v>
      </c>
      <c r="B102" s="343" t="str">
        <f t="shared" ref="B102:B106" si="77">D102&amp;RIGHT(C102,3)&amp;LEFT(RIGHT(A102,LEN("LIT - Existing")),3)&amp;"-E"</f>
        <v>CEGELCINC-E</v>
      </c>
      <c r="C102" s="346" t="str">
        <f t="shared" ref="C102:C107" si="78">$E$6</f>
        <v>COMELC</v>
      </c>
      <c r="D102" s="571" t="str">
        <f t="shared" ref="D102:D107" si="79">$B$49</f>
        <v>CEG</v>
      </c>
      <c r="E102" s="390">
        <f>Appliances!J75</f>
        <v>1</v>
      </c>
      <c r="F102" s="566">
        <f ca="1">SUMIF(AFA!$B$3:$S$3,D102,AFA!$B$4:$J$4)</f>
        <v>0.5464</v>
      </c>
      <c r="G102" s="348">
        <v>10</v>
      </c>
      <c r="H102" s="349">
        <f t="shared" ref="H102:H104" ca="1" si="80">(N102/F102)*(1+$H$55)</f>
        <v>0.23584304231468564</v>
      </c>
      <c r="I102" s="572">
        <f>I85</f>
        <v>0.26729589482474081</v>
      </c>
      <c r="J102" s="572">
        <f t="shared" ref="J102:J106" si="81">I102*0.1</f>
        <v>2.6729589482474083E-2</v>
      </c>
      <c r="L102" s="573">
        <f>Appliances!F75</f>
        <v>4.9630008962625594E-2</v>
      </c>
      <c r="M102" s="349">
        <f t="shared" ref="M102:M104" si="82">L102*SUMIF($C$6:$J$6,C102,$C$49:$J$49)</f>
        <v>0.12886463832074424</v>
      </c>
      <c r="N102" s="349">
        <f t="shared" ref="N102:N104" si="83">M102*E102</f>
        <v>0.12886463832074424</v>
      </c>
      <c r="O102" s="410"/>
      <c r="Q102" s="411"/>
      <c r="R102" s="411">
        <f>N102/SUMIF($D$61:$D$121,$D102,$N$61:$N$121)*(1+$P$56)</f>
        <v>1.4671510186260122E-2</v>
      </c>
      <c r="S102" s="411">
        <f>R102</f>
        <v>1.4671510186260122E-2</v>
      </c>
      <c r="T102" s="411">
        <f t="shared" ref="T102:Y102" si="84">S102</f>
        <v>1.4671510186260122E-2</v>
      </c>
      <c r="U102" s="411">
        <f t="shared" si="84"/>
        <v>1.4671510186260122E-2</v>
      </c>
      <c r="V102" s="411">
        <f t="shared" si="84"/>
        <v>1.4671510186260122E-2</v>
      </c>
      <c r="W102" s="411">
        <f t="shared" si="84"/>
        <v>1.4671510186260122E-2</v>
      </c>
      <c r="X102" s="411">
        <f t="shared" si="84"/>
        <v>1.4671510186260122E-2</v>
      </c>
      <c r="Y102" s="411">
        <f t="shared" si="84"/>
        <v>1.4671510186260122E-2</v>
      </c>
      <c r="AA102" s="410"/>
      <c r="AB102" s="411"/>
      <c r="AC102" s="411">
        <v>0.01</v>
      </c>
      <c r="AD102" s="411">
        <v>0.01</v>
      </c>
      <c r="AE102" s="411">
        <v>0</v>
      </c>
      <c r="AF102" s="411">
        <v>0</v>
      </c>
      <c r="AG102" s="411">
        <v>0</v>
      </c>
      <c r="AH102" s="411">
        <v>0</v>
      </c>
      <c r="AI102" s="411">
        <v>0</v>
      </c>
      <c r="AJ102" s="411">
        <v>0</v>
      </c>
      <c r="AK102" s="314">
        <f t="shared" si="28"/>
        <v>42</v>
      </c>
    </row>
    <row r="103" spans="1:38">
      <c r="A103" s="343" t="str">
        <f>A$49&amp;" - "&amp;VLOOKUP(RIGHT(C103,3),NameConv!$E$3:$F$16,2,FALSE)&amp;" - "&amp;LEFT(Appliances!B76,3)&amp;" - Existing"</f>
        <v>Commercial - Public Lights - Electricity - HAL - Existing</v>
      </c>
      <c r="B103" s="343" t="str">
        <f t="shared" si="77"/>
        <v>CEGELCHAL-E</v>
      </c>
      <c r="C103" s="346" t="str">
        <f t="shared" si="78"/>
        <v>COMELC</v>
      </c>
      <c r="D103" s="571" t="str">
        <f t="shared" si="79"/>
        <v>CEG</v>
      </c>
      <c r="E103" s="390">
        <f>Appliances!J76</f>
        <v>2</v>
      </c>
      <c r="F103" s="566">
        <f ca="1">SUMIF(AFA!$B$3:$S$3,D103,AFA!$B$4:$J$4)</f>
        <v>0.5464</v>
      </c>
      <c r="G103" s="348">
        <v>10</v>
      </c>
      <c r="H103" s="349">
        <f ca="1">(N103/F103)*(1+$H$55)</f>
        <v>0.47168608462937128</v>
      </c>
      <c r="I103" s="572">
        <f>I83</f>
        <v>0.75829581287827852</v>
      </c>
      <c r="J103" s="572">
        <f t="shared" si="81"/>
        <v>7.5829581287827852E-2</v>
      </c>
      <c r="L103" s="573">
        <f>Appliances!F76</f>
        <v>4.9630008962625594E-2</v>
      </c>
      <c r="M103" s="349">
        <f t="shared" si="82"/>
        <v>0.12886463832074424</v>
      </c>
      <c r="N103" s="349">
        <f t="shared" si="83"/>
        <v>0.25772927664148848</v>
      </c>
      <c r="P103" s="410"/>
      <c r="Q103" s="411"/>
      <c r="R103" s="411">
        <f t="shared" ref="R103:R107" si="85">N103/SUMIF($D$61:$D$121,$D103,$N$61:$N$121)*(1+$P$56)</f>
        <v>2.9343020372520245E-2</v>
      </c>
      <c r="S103" s="411">
        <f t="shared" ref="S103:Y107" si="86">MIN(1,$R103+S$54)</f>
        <v>5.9343020372520247E-2</v>
      </c>
      <c r="T103" s="411">
        <f t="shared" si="86"/>
        <v>0.12934302037252024</v>
      </c>
      <c r="U103" s="411">
        <f t="shared" si="86"/>
        <v>0.32934302037252022</v>
      </c>
      <c r="V103" s="411">
        <f t="shared" si="86"/>
        <v>0.57934302037252028</v>
      </c>
      <c r="W103" s="411">
        <f t="shared" si="86"/>
        <v>0.87934302037252021</v>
      </c>
      <c r="X103" s="411">
        <f t="shared" si="86"/>
        <v>0.97934302037252019</v>
      </c>
      <c r="Y103" s="411">
        <f t="shared" si="86"/>
        <v>1</v>
      </c>
      <c r="AA103" s="410"/>
      <c r="AB103" s="411"/>
      <c r="AC103" s="411">
        <f t="shared" ref="AC103:AC107" si="87">R103/(1+$P$56+$AA$56)</f>
        <v>2.8767667031882594E-2</v>
      </c>
      <c r="AD103" s="411">
        <f t="shared" ref="AD103:AD107" si="88">$AC103*AD$54</f>
        <v>2.7904637020926115E-2</v>
      </c>
      <c r="AE103" s="411">
        <f t="shared" ref="AE103:AI107" si="89">$AC103*AE$54</f>
        <v>2.5890900328694334E-2</v>
      </c>
      <c r="AF103" s="411">
        <f t="shared" si="89"/>
        <v>2.0137366922317816E-2</v>
      </c>
      <c r="AG103" s="411">
        <f t="shared" si="89"/>
        <v>1.2945450164347167E-2</v>
      </c>
      <c r="AH103" s="411">
        <f t="shared" si="89"/>
        <v>4.3151500547823889E-3</v>
      </c>
      <c r="AI103" s="411">
        <f t="shared" si="89"/>
        <v>1.4383833515941298E-3</v>
      </c>
      <c r="AJ103" s="411">
        <f t="shared" ref="AJ103:AJ107" si="90">$AA103*AJ$54</f>
        <v>0</v>
      </c>
      <c r="AK103" s="314">
        <f t="shared" si="28"/>
        <v>43</v>
      </c>
    </row>
    <row r="104" spans="1:38">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78"/>
        <v>COMELC</v>
      </c>
      <c r="D104" s="571" t="str">
        <f t="shared" si="79"/>
        <v>CEG</v>
      </c>
      <c r="E104" s="390">
        <f>Appliances!J77</f>
        <v>2.4</v>
      </c>
      <c r="F104" s="566">
        <f ca="1">SUMIF(AFA!$B$3:$S$3,D104,AFA!$B$4:$J$4)</f>
        <v>0.5464</v>
      </c>
      <c r="G104" s="348">
        <v>10</v>
      </c>
      <c r="H104" s="349">
        <f t="shared" ca="1" si="80"/>
        <v>7.157779196403836</v>
      </c>
      <c r="I104" s="572">
        <f>I105</f>
        <v>0.75829581287827852</v>
      </c>
      <c r="J104" s="572">
        <f t="shared" si="81"/>
        <v>7.5829581287827852E-2</v>
      </c>
      <c r="L104" s="573">
        <f>Appliances!F77</f>
        <v>0.62760781171717339</v>
      </c>
      <c r="M104" s="349">
        <f t="shared" si="82"/>
        <v>1.6295877303812734</v>
      </c>
      <c r="N104" s="349">
        <f t="shared" si="83"/>
        <v>3.9110105529150561</v>
      </c>
      <c r="P104" s="410"/>
      <c r="Q104" s="411"/>
      <c r="R104" s="411">
        <f t="shared" si="85"/>
        <v>0.4452767796767032</v>
      </c>
      <c r="S104" s="411">
        <f t="shared" si="86"/>
        <v>0.47527677967670323</v>
      </c>
      <c r="T104" s="411">
        <f t="shared" si="86"/>
        <v>0.54527677967670318</v>
      </c>
      <c r="U104" s="411">
        <f t="shared" si="86"/>
        <v>0.74527677967670325</v>
      </c>
      <c r="V104" s="411">
        <f t="shared" si="86"/>
        <v>0.99527677967670325</v>
      </c>
      <c r="W104" s="411">
        <f t="shared" si="86"/>
        <v>1</v>
      </c>
      <c r="X104" s="411">
        <f t="shared" si="86"/>
        <v>1</v>
      </c>
      <c r="Y104" s="411">
        <f t="shared" si="86"/>
        <v>1</v>
      </c>
      <c r="AA104" s="410"/>
      <c r="AB104" s="411"/>
      <c r="AC104" s="411">
        <f t="shared" si="87"/>
        <v>0.43654586242814036</v>
      </c>
      <c r="AD104" s="411">
        <f t="shared" si="88"/>
        <v>0.42344948655529613</v>
      </c>
      <c r="AE104" s="411">
        <f t="shared" si="89"/>
        <v>0.39289127618532632</v>
      </c>
      <c r="AF104" s="411">
        <f t="shared" si="89"/>
        <v>0.30558210369969824</v>
      </c>
      <c r="AG104" s="411">
        <f t="shared" si="89"/>
        <v>0.19644563809266316</v>
      </c>
      <c r="AH104" s="411">
        <f t="shared" si="89"/>
        <v>6.5481879364221049E-2</v>
      </c>
      <c r="AI104" s="411">
        <f t="shared" si="89"/>
        <v>2.1827293121407021E-2</v>
      </c>
      <c r="AJ104" s="411">
        <f t="shared" si="90"/>
        <v>0</v>
      </c>
      <c r="AK104" s="314">
        <f t="shared" si="28"/>
        <v>44</v>
      </c>
    </row>
    <row r="105" spans="1:38">
      <c r="A105" s="343" t="str">
        <f>A$49&amp;" - "&amp;VLOOKUP(RIGHT(C105,3),NameConv!$E$3:$F$16,2,FALSE)&amp;" - "&amp;LEFT(Appliances!B78,3)&amp;" - Existing"</f>
        <v>Commercial - Public Lights - Electricity - HPS - Existing</v>
      </c>
      <c r="B105" s="343" t="str">
        <f t="shared" si="77"/>
        <v>CEGELCHPS-E</v>
      </c>
      <c r="C105" s="346" t="str">
        <f t="shared" si="78"/>
        <v>COMELC</v>
      </c>
      <c r="D105" s="571" t="str">
        <f t="shared" si="79"/>
        <v>CEG</v>
      </c>
      <c r="E105" s="390">
        <f>Appliances!J78</f>
        <v>6.5</v>
      </c>
      <c r="F105" s="566">
        <f ca="1">SUMIF(AFA!$B$3:$S$3,D105,AFA!$B$4:$J$4)</f>
        <v>0.5464</v>
      </c>
      <c r="G105" s="348">
        <v>12</v>
      </c>
      <c r="H105" s="349">
        <f ca="1">(N105/F105)*(1+$H$55)</f>
        <v>8.1496351760340744</v>
      </c>
      <c r="I105" s="572">
        <f>I83</f>
        <v>0.75829581287827852</v>
      </c>
      <c r="J105" s="572">
        <f t="shared" si="81"/>
        <v>7.5829581287827852E-2</v>
      </c>
      <c r="L105" s="573">
        <f>Appliances!F78</f>
        <v>0.26384331575196845</v>
      </c>
      <c r="M105" s="349">
        <f>L105*SUMIF($C$6:$J$6,C105,$C$49:$J$49)</f>
        <v>0.68507087079769524</v>
      </c>
      <c r="N105" s="349">
        <f>M105*E105</f>
        <v>4.4529606601850187</v>
      </c>
      <c r="P105" s="410"/>
      <c r="Q105" s="411"/>
      <c r="R105" s="411">
        <f t="shared" si="85"/>
        <v>0.50697893957774143</v>
      </c>
      <c r="S105" s="411">
        <f t="shared" si="86"/>
        <v>0.53697893957774145</v>
      </c>
      <c r="T105" s="411">
        <f t="shared" si="86"/>
        <v>0.60697893957774141</v>
      </c>
      <c r="U105" s="411">
        <f t="shared" si="86"/>
        <v>0.80697893957774136</v>
      </c>
      <c r="V105" s="411">
        <f t="shared" si="86"/>
        <v>1</v>
      </c>
      <c r="W105" s="411">
        <f t="shared" si="86"/>
        <v>1</v>
      </c>
      <c r="X105" s="411">
        <f t="shared" si="86"/>
        <v>1</v>
      </c>
      <c r="Y105" s="411">
        <f t="shared" si="86"/>
        <v>1</v>
      </c>
      <c r="AA105" s="410"/>
      <c r="AB105" s="411"/>
      <c r="AC105" s="411">
        <f t="shared" si="87"/>
        <v>0.49703817605660922</v>
      </c>
      <c r="AD105" s="411">
        <f t="shared" si="88"/>
        <v>0.48212703077491093</v>
      </c>
      <c r="AE105" s="411">
        <f t="shared" si="89"/>
        <v>0.44733435845094832</v>
      </c>
      <c r="AF105" s="411">
        <f t="shared" si="89"/>
        <v>0.34792672323962642</v>
      </c>
      <c r="AG105" s="411">
        <f t="shared" si="89"/>
        <v>0.22366717922547416</v>
      </c>
      <c r="AH105" s="411">
        <f t="shared" si="89"/>
        <v>7.4555726408491382E-2</v>
      </c>
      <c r="AI105" s="411">
        <f t="shared" si="89"/>
        <v>2.4851908802830461E-2</v>
      </c>
      <c r="AJ105" s="411">
        <f t="shared" si="90"/>
        <v>0</v>
      </c>
      <c r="AK105" s="314">
        <f t="shared" si="28"/>
        <v>45</v>
      </c>
    </row>
    <row r="106" spans="1:38">
      <c r="A106" s="343" t="str">
        <f>A$49&amp;" - "&amp;VLOOKUP(RIGHT(C106,3),NameConv!$E$3:$F$16,2,FALSE)&amp;" - "&amp;LEFT(Appliances!B79,3)&amp;" - Existing"</f>
        <v>Commercial - Public Lights - Electricity - MHL - Existing</v>
      </c>
      <c r="B106" s="343" t="str">
        <f t="shared" si="77"/>
        <v>CEGELCMHL-E</v>
      </c>
      <c r="C106" s="346" t="str">
        <f t="shared" si="78"/>
        <v>COMELC</v>
      </c>
      <c r="D106" s="571" t="str">
        <f t="shared" si="79"/>
        <v>CEG</v>
      </c>
      <c r="E106" s="390">
        <f>Appliances!J79</f>
        <v>5</v>
      </c>
      <c r="F106" s="566">
        <f ca="1">SUMIF(AFA!$B$3:$S$3,D106,AFA!$B$4:$J$4)</f>
        <v>0.5464</v>
      </c>
      <c r="G106" s="348">
        <v>10</v>
      </c>
      <c r="H106" s="349">
        <f t="shared" ref="H106:H107" ca="1" si="91">(N106/F106)*(1+$H$55)</f>
        <v>0.22070434557596544</v>
      </c>
      <c r="I106" s="572">
        <f>I84</f>
        <v>0.30666374785518619</v>
      </c>
      <c r="J106" s="572">
        <f t="shared" si="81"/>
        <v>3.0666374785518619E-2</v>
      </c>
      <c r="L106" s="573">
        <f>Appliances!F79</f>
        <v>9.2888546056069232E-3</v>
      </c>
      <c r="M106" s="349">
        <f t="shared" ref="M106:M107" si="92">L106*SUMIF($C$6:$J$6,C106,$C$49:$J$49)</f>
        <v>2.4118570884541505E-2</v>
      </c>
      <c r="N106" s="349">
        <f t="shared" ref="N106:N107" si="93">M106*E106</f>
        <v>0.12059285442270752</v>
      </c>
      <c r="P106" s="410"/>
      <c r="Q106" s="411"/>
      <c r="R106" s="411">
        <f t="shared" si="85"/>
        <v>1.3729750186775049E-2</v>
      </c>
      <c r="S106" s="411">
        <f t="shared" si="86"/>
        <v>4.3729750186775052E-2</v>
      </c>
      <c r="T106" s="411">
        <f t="shared" si="86"/>
        <v>0.11372975018677506</v>
      </c>
      <c r="U106" s="411">
        <f t="shared" si="86"/>
        <v>0.31372975018677501</v>
      </c>
      <c r="V106" s="411">
        <f t="shared" si="86"/>
        <v>0.56372975018677507</v>
      </c>
      <c r="W106" s="411">
        <f t="shared" si="86"/>
        <v>0.863729750186775</v>
      </c>
      <c r="X106" s="411">
        <f t="shared" si="86"/>
        <v>0.96372975018677498</v>
      </c>
      <c r="Y106" s="411">
        <f t="shared" si="86"/>
        <v>1</v>
      </c>
      <c r="AA106" s="410"/>
      <c r="AB106" s="411"/>
      <c r="AC106" s="411">
        <f t="shared" si="87"/>
        <v>1.3460539398799067E-2</v>
      </c>
      <c r="AD106" s="411">
        <f t="shared" si="88"/>
        <v>1.3056723216835094E-2</v>
      </c>
      <c r="AE106" s="411">
        <f t="shared" si="89"/>
        <v>1.2114485458919161E-2</v>
      </c>
      <c r="AF106" s="411">
        <f t="shared" si="89"/>
        <v>9.4223775791593464E-3</v>
      </c>
      <c r="AG106" s="411">
        <f t="shared" si="89"/>
        <v>6.0572427294595804E-3</v>
      </c>
      <c r="AH106" s="411">
        <f t="shared" si="89"/>
        <v>2.01908090981986E-3</v>
      </c>
      <c r="AI106" s="411">
        <f t="shared" si="89"/>
        <v>6.730269699399534E-4</v>
      </c>
      <c r="AJ106" s="411">
        <f t="shared" si="90"/>
        <v>0</v>
      </c>
      <c r="AK106" s="314">
        <f t="shared" si="28"/>
        <v>46</v>
      </c>
    </row>
    <row r="107" spans="1:38">
      <c r="A107" s="343" t="str">
        <f>A$49&amp;" - "&amp;VLOOKUP(RIGHT(C107,3),NameConv!$E$3:$F$16,2,FALSE)&amp;" - "&amp;LEFT(Appliances!B80,3)&amp;" - New"</f>
        <v>Commercial - Public Lights - Electricity - LED - New</v>
      </c>
      <c r="B107" s="343" t="str">
        <f t="shared" ref="B107" si="94">D107&amp;RIGHT(C107,3)&amp;LEFT(RIGHT(A107,LEN("LIT - NEW")),3)&amp;"-N"</f>
        <v>CEGELCLED-N</v>
      </c>
      <c r="C107" s="346" t="str">
        <f t="shared" si="78"/>
        <v>COMELC</v>
      </c>
      <c r="D107" s="571" t="str">
        <f t="shared" si="79"/>
        <v>CEG</v>
      </c>
      <c r="E107" s="390">
        <f>Appliances!J80</f>
        <v>9.8000000000000007</v>
      </c>
      <c r="F107" s="566">
        <f ca="1">SUMIF(AFA!$B$3:$S$3,D107,AFA!$B$4:$J$4)</f>
        <v>0.5464</v>
      </c>
      <c r="G107" s="348">
        <v>10</v>
      </c>
      <c r="H107" s="349">
        <f t="shared" ca="1" si="91"/>
        <v>0</v>
      </c>
      <c r="I107" s="349">
        <f>I86</f>
        <v>4.9258814903416521</v>
      </c>
      <c r="J107" s="349">
        <f>I107*0.1</f>
        <v>0.49258814903416526</v>
      </c>
      <c r="L107" s="573">
        <v>0</v>
      </c>
      <c r="M107" s="349">
        <f t="shared" si="92"/>
        <v>0</v>
      </c>
      <c r="N107" s="349">
        <f t="shared" si="93"/>
        <v>0</v>
      </c>
      <c r="P107" s="410"/>
      <c r="Q107" s="411"/>
      <c r="R107" s="411">
        <f t="shared" si="85"/>
        <v>0</v>
      </c>
      <c r="S107" s="411">
        <f t="shared" si="86"/>
        <v>0.03</v>
      </c>
      <c r="T107" s="411">
        <f t="shared" si="86"/>
        <v>0.1</v>
      </c>
      <c r="U107" s="411">
        <f t="shared" si="86"/>
        <v>0.3</v>
      </c>
      <c r="V107" s="411">
        <f t="shared" si="86"/>
        <v>0.55000000000000004</v>
      </c>
      <c r="W107" s="411">
        <f t="shared" si="86"/>
        <v>0.85</v>
      </c>
      <c r="X107" s="411">
        <f t="shared" si="86"/>
        <v>0.95</v>
      </c>
      <c r="Y107" s="411">
        <f t="shared" si="86"/>
        <v>1</v>
      </c>
      <c r="AA107" s="410"/>
      <c r="AB107" s="411"/>
      <c r="AC107" s="411">
        <f t="shared" si="87"/>
        <v>0</v>
      </c>
      <c r="AD107" s="411">
        <f t="shared" si="88"/>
        <v>0</v>
      </c>
      <c r="AE107" s="411">
        <f t="shared" si="89"/>
        <v>0</v>
      </c>
      <c r="AF107" s="411">
        <f t="shared" si="89"/>
        <v>0</v>
      </c>
      <c r="AG107" s="411">
        <f t="shared" si="89"/>
        <v>0</v>
      </c>
      <c r="AH107" s="411">
        <f t="shared" si="89"/>
        <v>0</v>
      </c>
      <c r="AI107" s="411">
        <f t="shared" si="89"/>
        <v>0</v>
      </c>
      <c r="AJ107" s="411">
        <f t="shared" si="90"/>
        <v>0</v>
      </c>
      <c r="AK107" s="314">
        <f t="shared" si="28"/>
        <v>47</v>
      </c>
    </row>
    <row r="108" spans="1:38">
      <c r="A108" s="352" t="s">
        <v>704</v>
      </c>
      <c r="B108" s="343"/>
      <c r="C108" s="346"/>
      <c r="D108" s="571"/>
      <c r="E108" s="390"/>
      <c r="F108" s="566"/>
      <c r="G108" s="348"/>
      <c r="H108" s="349"/>
      <c r="I108" s="349"/>
      <c r="J108" s="349"/>
      <c r="L108" s="573"/>
      <c r="M108" s="356">
        <f>SUM(M102:M106)</f>
        <v>2.5965064487049987</v>
      </c>
      <c r="N108" s="356">
        <f>SUM(N102:N106)</f>
        <v>8.8711579824850144</v>
      </c>
      <c r="P108" s="410"/>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8"/>
        <v>48</v>
      </c>
      <c r="AL108" s="314" t="str">
        <f>LEFT(B107,3)</f>
        <v>CEG</v>
      </c>
    </row>
    <row r="109" spans="1:38">
      <c r="A109" s="343" t="str">
        <f>"\I:"&amp;A50</f>
        <v>\I:Commercial - Public Water</v>
      </c>
      <c r="B109" s="343"/>
      <c r="D109" s="571"/>
      <c r="F109" s="566"/>
      <c r="H109" s="349"/>
      <c r="I109" s="349"/>
      <c r="J109" s="349"/>
      <c r="L109" s="563"/>
      <c r="M109" s="356"/>
      <c r="N109" s="356"/>
      <c r="AK109" s="314">
        <f t="shared" si="28"/>
        <v>49</v>
      </c>
    </row>
    <row r="110" spans="1:38">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3.4392735439358675</v>
      </c>
      <c r="I110" s="349">
        <v>100</v>
      </c>
      <c r="J110" s="349">
        <f>0.1*I110</f>
        <v>10</v>
      </c>
      <c r="L110" s="563">
        <f>Appliances!F50</f>
        <v>1</v>
      </c>
      <c r="M110" s="349">
        <f>L110*SUMIF($C$6:$J$6,C110,$C$50:$J$50)</f>
        <v>3.0654245097100388</v>
      </c>
      <c r="N110" s="349">
        <f>M110*E110</f>
        <v>3.0654245097100388</v>
      </c>
      <c r="P110" s="410"/>
      <c r="Q110" s="411"/>
      <c r="R110" s="411">
        <f>N110/SUMIF($D$61:$D$121,$D110,$N$61:$N$121)*(1+$P$56)</f>
        <v>1.01</v>
      </c>
      <c r="S110" s="411">
        <f>MIN(1,$R110+S$54)</f>
        <v>1</v>
      </c>
      <c r="T110" s="411">
        <f t="shared" ref="T110:Y110" si="95">MIN(1,$R110+T$54)</f>
        <v>1</v>
      </c>
      <c r="U110" s="411">
        <f t="shared" si="95"/>
        <v>1</v>
      </c>
      <c r="V110" s="411">
        <f t="shared" si="95"/>
        <v>1</v>
      </c>
      <c r="W110" s="411">
        <f t="shared" si="95"/>
        <v>1</v>
      </c>
      <c r="X110" s="411">
        <f t="shared" si="95"/>
        <v>1</v>
      </c>
      <c r="Y110" s="411">
        <f t="shared" si="95"/>
        <v>1</v>
      </c>
      <c r="AA110" s="410"/>
      <c r="AB110" s="411"/>
      <c r="AC110" s="411">
        <f>R110/(1+$P$56+$AA$56)</f>
        <v>0.99019607843137258</v>
      </c>
      <c r="AD110" s="411">
        <f>$AC110*AD$54</f>
        <v>0.96049019607843134</v>
      </c>
      <c r="AE110" s="411">
        <f t="shared" ref="AE110:AI110" si="96">$AC110*AE$54</f>
        <v>0.89117647058823535</v>
      </c>
      <c r="AF110" s="411">
        <f t="shared" si="96"/>
        <v>0.69313725490196076</v>
      </c>
      <c r="AG110" s="411">
        <f t="shared" si="96"/>
        <v>0.44558823529411767</v>
      </c>
      <c r="AH110" s="411">
        <f t="shared" si="96"/>
        <v>0.14852941176470588</v>
      </c>
      <c r="AI110" s="411">
        <f t="shared" si="96"/>
        <v>4.9509803921568632E-2</v>
      </c>
      <c r="AJ110" s="411">
        <f t="shared" ref="AJ110" si="97">$AA110*AJ$54</f>
        <v>0</v>
      </c>
      <c r="AK110" s="314">
        <f t="shared" si="28"/>
        <v>50</v>
      </c>
    </row>
    <row r="111" spans="1:38">
      <c r="A111" s="352" t="s">
        <v>704</v>
      </c>
      <c r="F111" s="566"/>
      <c r="H111" s="349"/>
      <c r="I111" s="349"/>
      <c r="J111" s="349"/>
      <c r="L111" s="563"/>
      <c r="M111" s="356"/>
      <c r="N111" s="356"/>
      <c r="AK111" s="314">
        <f t="shared" si="28"/>
        <v>51</v>
      </c>
      <c r="AL111" s="314" t="str">
        <f>LEFT(B110,3)</f>
        <v>CET</v>
      </c>
    </row>
    <row r="112" spans="1:38">
      <c r="A112" s="343" t="str">
        <f>"\I:"&amp;A51</f>
        <v>\I:Commercial - Other</v>
      </c>
      <c r="B112" s="343"/>
      <c r="C112" s="353"/>
      <c r="D112" s="353"/>
      <c r="E112" s="339"/>
      <c r="F112" s="566"/>
      <c r="G112" s="339"/>
      <c r="H112" s="349"/>
      <c r="I112" s="349"/>
      <c r="J112" s="349"/>
      <c r="K112" s="357"/>
      <c r="L112" s="358"/>
      <c r="M112" s="358"/>
      <c r="AK112" s="314">
        <f t="shared" si="28"/>
        <v>52</v>
      </c>
    </row>
    <row r="113" spans="1:38">
      <c r="A113" s="343" t="str">
        <f>A$51&amp;" - "&amp;VLOOKUP(RIGHT(C113,3),NameConv!$E$3:$F$16,2,FALSE)&amp;" - Existing"</f>
        <v>Commercial - Other - Coal - Existing</v>
      </c>
      <c r="B113" s="343" t="str">
        <f t="shared" ref="B113:B119" si="98">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 COM_2017_old'!B113,'Technology costs'!$F$7:$F$28)</f>
        <v>292.33238183892803</v>
      </c>
      <c r="J113" s="349">
        <f t="shared" si="27"/>
        <v>29.233238183892805</v>
      </c>
      <c r="L113" s="350">
        <f>Appliances!F27</f>
        <v>1</v>
      </c>
      <c r="M113" s="349">
        <f t="shared" ref="M113:M119" si="99">L113*SUMIF($C$6:$J$6,C113,$C$51:$J$51)</f>
        <v>0</v>
      </c>
      <c r="N113" s="349">
        <f t="shared" ref="N113:N119" si="100">M113*E113</f>
        <v>0</v>
      </c>
      <c r="P113" s="410"/>
      <c r="Q113" s="411"/>
      <c r="R113" s="411">
        <f t="shared" ref="R113:R119" si="101">N113/SUMIF($D$61:$D$121,$D113,$N$61:$N$121)*(1+$P$56)</f>
        <v>0</v>
      </c>
      <c r="S113" s="411">
        <f t="shared" ref="S113:Y119" si="102">MIN(1,$R113+S$54)</f>
        <v>0.03</v>
      </c>
      <c r="T113" s="411">
        <f t="shared" si="102"/>
        <v>0.1</v>
      </c>
      <c r="U113" s="411">
        <f t="shared" si="102"/>
        <v>0.3</v>
      </c>
      <c r="V113" s="411">
        <f t="shared" si="102"/>
        <v>0.55000000000000004</v>
      </c>
      <c r="W113" s="411">
        <f t="shared" si="102"/>
        <v>0.85</v>
      </c>
      <c r="X113" s="411">
        <f t="shared" si="102"/>
        <v>0.95</v>
      </c>
      <c r="Y113" s="411">
        <f t="shared" si="102"/>
        <v>1</v>
      </c>
      <c r="AA113" s="410"/>
      <c r="AB113" s="411"/>
      <c r="AC113" s="411">
        <f>R113/(1+$P$56+$AA$56)</f>
        <v>0</v>
      </c>
      <c r="AD113" s="411">
        <f>$AC113*AD$54</f>
        <v>0</v>
      </c>
      <c r="AE113" s="411">
        <f t="shared" ref="AE113:AI119" si="103">$AC113*AE$54</f>
        <v>0</v>
      </c>
      <c r="AF113" s="411">
        <f t="shared" si="103"/>
        <v>0</v>
      </c>
      <c r="AG113" s="411">
        <f t="shared" si="103"/>
        <v>0</v>
      </c>
      <c r="AH113" s="411">
        <f t="shared" si="103"/>
        <v>0</v>
      </c>
      <c r="AI113" s="411">
        <f t="shared" si="103"/>
        <v>0</v>
      </c>
      <c r="AJ113" s="411">
        <f t="shared" ref="AJ113" si="104">AI113</f>
        <v>0</v>
      </c>
      <c r="AK113" s="314">
        <f t="shared" si="28"/>
        <v>53</v>
      </c>
    </row>
    <row r="114" spans="1:38">
      <c r="A114" s="343" t="str">
        <f>A$51&amp;" - "&amp;VLOOKUP(RIGHT(C114,3),NameConv!$E$3:$F$16,2,FALSE)&amp;" - Existing"</f>
        <v>Commercial - Other - Oil Diesel - Existing</v>
      </c>
      <c r="B114" s="343" t="str">
        <f t="shared" si="98"/>
        <v>CEOODS-E</v>
      </c>
      <c r="C114" s="346" t="str">
        <f>$D$6</f>
        <v>COMODS</v>
      </c>
      <c r="D114" s="346" t="str">
        <f t="shared" ref="D114:D119" si="105">$B$51</f>
        <v>CEO</v>
      </c>
      <c r="E114" s="347">
        <f>Appliances!J47</f>
        <v>0.9</v>
      </c>
      <c r="F114" s="566">
        <f ca="1">SUMIF(AFA!$B$3:$S$3,D114,AFA!$B$4:$J$4)</f>
        <v>0.64739999999999998</v>
      </c>
      <c r="G114" s="348">
        <v>15</v>
      </c>
      <c r="H114" s="349">
        <f t="shared" ref="H114:H119" ca="1" si="106">(N114/F114)*(1+$H$55)</f>
        <v>2.0838739573679335</v>
      </c>
      <c r="I114" s="349">
        <f>SUMIF('Technology costs'!$B$7:$B$28,' COM_2017_old'!B114,'Technology costs'!$F$7:$F$28)</f>
        <v>292.33238183892803</v>
      </c>
      <c r="J114" s="349">
        <f t="shared" si="27"/>
        <v>29.233238183892805</v>
      </c>
      <c r="L114" s="350">
        <f>Appliances!F27</f>
        <v>1</v>
      </c>
      <c r="M114" s="349">
        <f t="shared" si="99"/>
        <v>1.4990000000000001</v>
      </c>
      <c r="N114" s="349">
        <f t="shared" si="100"/>
        <v>1.3491000000000002</v>
      </c>
      <c r="P114" s="410"/>
      <c r="Q114" s="411"/>
      <c r="R114" s="411">
        <f t="shared" si="101"/>
        <v>8.0155986977309329E-2</v>
      </c>
      <c r="S114" s="411">
        <f t="shared" si="102"/>
        <v>0.11015598697730933</v>
      </c>
      <c r="T114" s="411">
        <f t="shared" si="102"/>
        <v>0.18015598697730933</v>
      </c>
      <c r="U114" s="411">
        <f t="shared" si="102"/>
        <v>0.38015598697730935</v>
      </c>
      <c r="V114" s="411">
        <f t="shared" si="102"/>
        <v>0.63015598697730935</v>
      </c>
      <c r="W114" s="411">
        <f t="shared" si="102"/>
        <v>0.93015598697730928</v>
      </c>
      <c r="X114" s="411">
        <f t="shared" si="102"/>
        <v>1</v>
      </c>
      <c r="Y114" s="411">
        <f t="shared" si="102"/>
        <v>1</v>
      </c>
      <c r="AA114" s="410"/>
      <c r="AB114" s="411"/>
      <c r="AC114" s="411">
        <f t="shared" ref="AC114:AC119" si="107">R114/(1+$P$56+$AA$56)</f>
        <v>7.8584300958146405E-2</v>
      </c>
      <c r="AD114" s="411">
        <f t="shared" ref="AD114:AD119" si="108">$AC114*AD$54</f>
        <v>7.6226771929402012E-2</v>
      </c>
      <c r="AE114" s="411">
        <f t="shared" si="103"/>
        <v>7.0725870862331772E-2</v>
      </c>
      <c r="AF114" s="411">
        <f t="shared" si="103"/>
        <v>5.5009010670702477E-2</v>
      </c>
      <c r="AG114" s="411">
        <f t="shared" si="103"/>
        <v>3.5362935431165886E-2</v>
      </c>
      <c r="AH114" s="411">
        <f t="shared" si="103"/>
        <v>1.1787645143721961E-2</v>
      </c>
      <c r="AI114" s="411">
        <f t="shared" si="103"/>
        <v>3.9292150479073203E-3</v>
      </c>
      <c r="AJ114" s="411">
        <f t="shared" ref="AJ114:AJ119" si="109">AI114</f>
        <v>3.9292150479073203E-3</v>
      </c>
      <c r="AK114" s="314">
        <f t="shared" si="28"/>
        <v>54</v>
      </c>
    </row>
    <row r="115" spans="1:38">
      <c r="A115" s="343" t="str">
        <f>A$51&amp;" - "&amp;VLOOKUP(RIGHT(C115,3),NameConv!$E$3:$F$16,2,FALSE)&amp;" - Existing"</f>
        <v>Commercial - Other - Electricity - Existing</v>
      </c>
      <c r="B115" s="343" t="str">
        <f t="shared" si="98"/>
        <v>CEOELC-E</v>
      </c>
      <c r="C115" s="346" t="str">
        <f>$E$6</f>
        <v>COMELC</v>
      </c>
      <c r="D115" s="346" t="str">
        <f t="shared" si="105"/>
        <v>CEO</v>
      </c>
      <c r="E115" s="347">
        <f>Appliances!J45</f>
        <v>0.75</v>
      </c>
      <c r="F115" s="566">
        <f ca="1">SUMIF(AFA!$B$3:$S$3,D115,AFA!$B$4:$J$4)</f>
        <v>0.64739999999999998</v>
      </c>
      <c r="G115" s="348">
        <v>15</v>
      </c>
      <c r="H115" s="349">
        <f t="shared" ca="1" si="106"/>
        <v>23.813714803027072</v>
      </c>
      <c r="I115" s="349">
        <f>SUMIF('Technology costs'!$B$7:$B$28,' COM_2017_old'!B115,'Technology costs'!$F$7:$F$28)</f>
        <v>292.33238183892803</v>
      </c>
      <c r="J115" s="349">
        <f t="shared" si="27"/>
        <v>29.233238183892805</v>
      </c>
      <c r="L115" s="350">
        <f>Appliances!F27</f>
        <v>1</v>
      </c>
      <c r="M115" s="349">
        <f t="shared" si="99"/>
        <v>20.555998617972968</v>
      </c>
      <c r="N115" s="349">
        <f t="shared" si="100"/>
        <v>15.416998963479726</v>
      </c>
      <c r="P115" s="410"/>
      <c r="Q115" s="411"/>
      <c r="R115" s="411">
        <f t="shared" si="101"/>
        <v>0.91599197105171759</v>
      </c>
      <c r="S115" s="411">
        <f t="shared" si="102"/>
        <v>0.94599197105171762</v>
      </c>
      <c r="T115" s="411">
        <f t="shared" si="102"/>
        <v>1</v>
      </c>
      <c r="U115" s="411">
        <f t="shared" si="102"/>
        <v>1</v>
      </c>
      <c r="V115" s="411">
        <f t="shared" si="102"/>
        <v>1</v>
      </c>
      <c r="W115" s="411">
        <f t="shared" si="102"/>
        <v>1</v>
      </c>
      <c r="X115" s="411">
        <f t="shared" si="102"/>
        <v>1</v>
      </c>
      <c r="Y115" s="411">
        <f t="shared" si="102"/>
        <v>1</v>
      </c>
      <c r="AA115" s="410"/>
      <c r="AB115" s="411"/>
      <c r="AC115" s="411">
        <f t="shared" si="107"/>
        <v>0.89803134416835051</v>
      </c>
      <c r="AD115" s="411">
        <f t="shared" si="108"/>
        <v>0.87109040384329994</v>
      </c>
      <c r="AE115" s="411">
        <f t="shared" si="103"/>
        <v>0.80822820975151544</v>
      </c>
      <c r="AF115" s="411">
        <f t="shared" si="103"/>
        <v>0.62862194091784529</v>
      </c>
      <c r="AG115" s="411">
        <f t="shared" si="103"/>
        <v>0.40411410487575772</v>
      </c>
      <c r="AH115" s="411">
        <f t="shared" si="103"/>
        <v>0.13470470162525258</v>
      </c>
      <c r="AI115" s="411">
        <f t="shared" si="103"/>
        <v>4.490156720841753E-2</v>
      </c>
      <c r="AJ115" s="411">
        <f t="shared" si="109"/>
        <v>4.490156720841753E-2</v>
      </c>
      <c r="AK115" s="314">
        <f t="shared" si="28"/>
        <v>55</v>
      </c>
    </row>
    <row r="116" spans="1:38">
      <c r="A116" s="343" t="str">
        <f>A$51&amp;" - "&amp;VLOOKUP(RIGHT(C116,3),NameConv!$E$3:$F$16,2,FALSE)&amp;" - Existing"</f>
        <v>Commercial - Other - Gas - Existing</v>
      </c>
      <c r="B116" s="343" t="str">
        <f t="shared" si="98"/>
        <v>CEOGAS-E</v>
      </c>
      <c r="C116" s="346" t="str">
        <f>$F$6</f>
        <v>COMGAS</v>
      </c>
      <c r="D116" s="346" t="str">
        <f t="shared" si="105"/>
        <v>CEO</v>
      </c>
      <c r="E116" s="347">
        <v>1</v>
      </c>
      <c r="F116" s="566">
        <f ca="1">SUMIF(AFA!$B$3:$S$3,D116,AFA!$B$4:$J$4)</f>
        <v>0.64739999999999998</v>
      </c>
      <c r="G116" s="348">
        <v>15</v>
      </c>
      <c r="H116" s="349">
        <f t="shared" ca="1" si="106"/>
        <v>0</v>
      </c>
      <c r="I116" s="349">
        <f>SUMIF('Technology costs'!$B$7:$B$28,' COM_2017_old'!B116,'Technology costs'!$F$7:$F$28)</f>
        <v>292.33238183892803</v>
      </c>
      <c r="J116" s="349">
        <f t="shared" si="27"/>
        <v>29.233238183892805</v>
      </c>
      <c r="L116" s="350">
        <f>Appliances!F27</f>
        <v>1</v>
      </c>
      <c r="M116" s="349">
        <f t="shared" si="99"/>
        <v>0</v>
      </c>
      <c r="N116" s="349">
        <f t="shared" si="100"/>
        <v>0</v>
      </c>
      <c r="P116" s="410"/>
      <c r="Q116" s="411"/>
      <c r="R116" s="411">
        <f t="shared" si="101"/>
        <v>0</v>
      </c>
      <c r="S116" s="411">
        <f t="shared" si="102"/>
        <v>0.03</v>
      </c>
      <c r="T116" s="411">
        <f t="shared" si="102"/>
        <v>0.1</v>
      </c>
      <c r="U116" s="411">
        <f t="shared" si="102"/>
        <v>0.3</v>
      </c>
      <c r="V116" s="411">
        <f t="shared" si="102"/>
        <v>0.55000000000000004</v>
      </c>
      <c r="W116" s="411">
        <f t="shared" si="102"/>
        <v>0.85</v>
      </c>
      <c r="X116" s="411">
        <f t="shared" si="102"/>
        <v>0.95</v>
      </c>
      <c r="Y116" s="411">
        <f t="shared" si="102"/>
        <v>1</v>
      </c>
      <c r="AA116" s="410"/>
      <c r="AB116" s="411"/>
      <c r="AC116" s="411">
        <f t="shared" si="107"/>
        <v>0</v>
      </c>
      <c r="AD116" s="411">
        <f t="shared" si="108"/>
        <v>0</v>
      </c>
      <c r="AE116" s="411">
        <f t="shared" si="103"/>
        <v>0</v>
      </c>
      <c r="AF116" s="411">
        <f t="shared" si="103"/>
        <v>0</v>
      </c>
      <c r="AG116" s="411">
        <f t="shared" si="103"/>
        <v>0</v>
      </c>
      <c r="AH116" s="411">
        <f t="shared" si="103"/>
        <v>0</v>
      </c>
      <c r="AI116" s="411">
        <f t="shared" si="103"/>
        <v>0</v>
      </c>
      <c r="AJ116" s="411">
        <f t="shared" si="109"/>
        <v>0</v>
      </c>
      <c r="AK116" s="314">
        <f t="shared" si="28"/>
        <v>56</v>
      </c>
    </row>
    <row r="117" spans="1:38">
      <c r="A117" s="343" t="str">
        <f>A$51&amp;" - "&amp;VLOOKUP(RIGHT(C117,3),NameConv!$E$3:$F$16,2,FALSE)&amp;" - Existing"</f>
        <v>Commercial - Other - Oil Gasoline - Existing</v>
      </c>
      <c r="B117" s="343" t="str">
        <f t="shared" si="98"/>
        <v>CEOOGS-E</v>
      </c>
      <c r="C117" s="346" t="str">
        <f>$G$6</f>
        <v>COMOGS</v>
      </c>
      <c r="D117" s="346" t="str">
        <f t="shared" si="105"/>
        <v>CEO</v>
      </c>
      <c r="E117" s="347">
        <v>1</v>
      </c>
      <c r="F117" s="566">
        <f ca="1">SUMIF(AFA!$B$3:$S$3,D117,AFA!$B$4:$J$4)</f>
        <v>0.64739999999999998</v>
      </c>
      <c r="G117" s="348">
        <v>15</v>
      </c>
      <c r="H117" s="349">
        <f t="shared" ca="1" si="106"/>
        <v>0</v>
      </c>
      <c r="I117" s="349">
        <f>SUMIF('Technology costs'!$B$7:$B$28,' COM_2017_old'!B117,'Technology costs'!$F$7:$F$28)</f>
        <v>292.33238183892803</v>
      </c>
      <c r="J117" s="349">
        <f t="shared" si="27"/>
        <v>29.233238183892805</v>
      </c>
      <c r="L117" s="350">
        <f>Appliances!F27</f>
        <v>1</v>
      </c>
      <c r="M117" s="349">
        <f t="shared" si="99"/>
        <v>0</v>
      </c>
      <c r="N117" s="349">
        <f t="shared" si="100"/>
        <v>0</v>
      </c>
      <c r="P117" s="410"/>
      <c r="Q117" s="411"/>
      <c r="R117" s="411">
        <f t="shared" si="101"/>
        <v>0</v>
      </c>
      <c r="S117" s="411">
        <f t="shared" si="102"/>
        <v>0.03</v>
      </c>
      <c r="T117" s="411">
        <f t="shared" si="102"/>
        <v>0.1</v>
      </c>
      <c r="U117" s="411">
        <f t="shared" si="102"/>
        <v>0.3</v>
      </c>
      <c r="V117" s="411">
        <f t="shared" si="102"/>
        <v>0.55000000000000004</v>
      </c>
      <c r="W117" s="411">
        <f t="shared" si="102"/>
        <v>0.85</v>
      </c>
      <c r="X117" s="411">
        <f t="shared" si="102"/>
        <v>0.95</v>
      </c>
      <c r="Y117" s="411">
        <f t="shared" si="102"/>
        <v>1</v>
      </c>
      <c r="AA117" s="410"/>
      <c r="AB117" s="411"/>
      <c r="AC117" s="411">
        <f t="shared" si="107"/>
        <v>0</v>
      </c>
      <c r="AD117" s="411">
        <f t="shared" si="108"/>
        <v>0</v>
      </c>
      <c r="AE117" s="411">
        <f t="shared" si="103"/>
        <v>0</v>
      </c>
      <c r="AF117" s="411">
        <f t="shared" si="103"/>
        <v>0</v>
      </c>
      <c r="AG117" s="411">
        <f t="shared" si="103"/>
        <v>0</v>
      </c>
      <c r="AH117" s="411">
        <f t="shared" si="103"/>
        <v>0</v>
      </c>
      <c r="AI117" s="411">
        <f t="shared" si="103"/>
        <v>0</v>
      </c>
      <c r="AJ117" s="411">
        <f t="shared" si="109"/>
        <v>0</v>
      </c>
      <c r="AK117" s="314">
        <f t="shared" si="28"/>
        <v>57</v>
      </c>
    </row>
    <row r="118" spans="1:38">
      <c r="A118" s="343" t="str">
        <f>A$51&amp;" - "&amp;VLOOKUP(RIGHT(C118,3),NameConv!$E$3:$F$16,2,FALSE)&amp;" - Existing"</f>
        <v>Commercial - Other - Oil HFO - Existing</v>
      </c>
      <c r="B118" s="343" t="str">
        <f t="shared" si="98"/>
        <v>CEOOHF-E</v>
      </c>
      <c r="C118" s="346" t="str">
        <f>$H$6</f>
        <v>COMOHF</v>
      </c>
      <c r="D118" s="346" t="str">
        <f t="shared" si="105"/>
        <v>CEO</v>
      </c>
      <c r="E118" s="347">
        <v>1</v>
      </c>
      <c r="F118" s="566">
        <f ca="1">SUMIF(AFA!$B$3:$S$3,D118,AFA!$B$4:$J$4)</f>
        <v>0.64739999999999998</v>
      </c>
      <c r="G118" s="348">
        <v>15</v>
      </c>
      <c r="H118" s="349">
        <f t="shared" ca="1" si="106"/>
        <v>0.36012169032176811</v>
      </c>
      <c r="I118" s="349">
        <f>SUMIF('Technology costs'!$B$7:$B$28,' COM_2017_old'!B118,'Technology costs'!$F$7:$F$28)</f>
        <v>292.33238183892803</v>
      </c>
      <c r="J118" s="349">
        <f t="shared" si="27"/>
        <v>29.233238183892805</v>
      </c>
      <c r="L118" s="350">
        <f>Appliances!F27</f>
        <v>1</v>
      </c>
      <c r="M118" s="349">
        <f t="shared" si="99"/>
        <v>0.23314278231431268</v>
      </c>
      <c r="N118" s="349">
        <f t="shared" si="100"/>
        <v>0.23314278231431268</v>
      </c>
      <c r="P118" s="410"/>
      <c r="Q118" s="411"/>
      <c r="R118" s="411">
        <f t="shared" si="101"/>
        <v>1.3852041970973023E-2</v>
      </c>
      <c r="S118" s="411">
        <f t="shared" si="102"/>
        <v>4.3852041970973019E-2</v>
      </c>
      <c r="T118" s="411">
        <f t="shared" si="102"/>
        <v>0.11385204197097303</v>
      </c>
      <c r="U118" s="411">
        <f t="shared" si="102"/>
        <v>0.31385204197097299</v>
      </c>
      <c r="V118" s="411">
        <f t="shared" si="102"/>
        <v>0.56385204197097305</v>
      </c>
      <c r="W118" s="411">
        <f t="shared" si="102"/>
        <v>0.86385204197097298</v>
      </c>
      <c r="X118" s="411">
        <f t="shared" si="102"/>
        <v>0.96385204197097296</v>
      </c>
      <c r="Y118" s="411">
        <f t="shared" si="102"/>
        <v>1</v>
      </c>
      <c r="AA118" s="410"/>
      <c r="AB118" s="411"/>
      <c r="AC118" s="411">
        <f t="shared" si="107"/>
        <v>1.3580433304875513E-2</v>
      </c>
      <c r="AD118" s="411">
        <f t="shared" si="108"/>
        <v>1.3173020305729248E-2</v>
      </c>
      <c r="AE118" s="411">
        <f t="shared" si="103"/>
        <v>1.2222389974387963E-2</v>
      </c>
      <c r="AF118" s="411">
        <f t="shared" si="103"/>
        <v>9.5063033134128588E-3</v>
      </c>
      <c r="AG118" s="411">
        <f t="shared" si="103"/>
        <v>6.1111949871939814E-3</v>
      </c>
      <c r="AH118" s="411">
        <f t="shared" si="103"/>
        <v>2.0370649957313267E-3</v>
      </c>
      <c r="AI118" s="411">
        <f t="shared" si="103"/>
        <v>6.7902166524377568E-4</v>
      </c>
      <c r="AJ118" s="411">
        <f t="shared" si="109"/>
        <v>6.7902166524377568E-4</v>
      </c>
      <c r="AK118" s="314">
        <f t="shared" si="28"/>
        <v>58</v>
      </c>
    </row>
    <row r="119" spans="1:38">
      <c r="A119" s="343" t="str">
        <f>A$51&amp;" - "&amp;VLOOKUP(RIGHT(C119,3),NameConv!$E$3:$F$16,2,FALSE)&amp;" - Existing"</f>
        <v>Commercial - Other - Oil Paraffin - Existing</v>
      </c>
      <c r="B119" s="343" t="str">
        <f t="shared" si="98"/>
        <v>CEOOKE-E</v>
      </c>
      <c r="C119" s="346" t="str">
        <f>$I$6</f>
        <v>COMOKE</v>
      </c>
      <c r="D119" s="346" t="str">
        <f t="shared" si="105"/>
        <v>CEO</v>
      </c>
      <c r="E119" s="347">
        <v>1</v>
      </c>
      <c r="F119" s="566">
        <f ca="1">SUMIF(AFA!$B$3:$S$3,D119,AFA!$B$4:$J$4)</f>
        <v>0.64739999999999998</v>
      </c>
      <c r="G119" s="348">
        <v>15</v>
      </c>
      <c r="H119" s="349">
        <f t="shared" ca="1" si="106"/>
        <v>0</v>
      </c>
      <c r="I119" s="349">
        <f>SUMIF('Technology costs'!$B$7:$B$29,' COM_2017_old'!B119,'Technology costs'!$F$7:$F$29)</f>
        <v>292.33238183892803</v>
      </c>
      <c r="J119" s="349">
        <f>I119*0.1</f>
        <v>29.233238183892805</v>
      </c>
      <c r="L119" s="350">
        <f>Appliances!F33</f>
        <v>1</v>
      </c>
      <c r="M119" s="349">
        <f t="shared" si="99"/>
        <v>0</v>
      </c>
      <c r="N119" s="349">
        <f t="shared" si="100"/>
        <v>0</v>
      </c>
      <c r="P119" s="410"/>
      <c r="Q119" s="411"/>
      <c r="R119" s="411">
        <f t="shared" si="101"/>
        <v>0</v>
      </c>
      <c r="S119" s="411">
        <f t="shared" si="102"/>
        <v>0.03</v>
      </c>
      <c r="T119" s="411">
        <f t="shared" si="102"/>
        <v>0.1</v>
      </c>
      <c r="U119" s="411">
        <f t="shared" si="102"/>
        <v>0.3</v>
      </c>
      <c r="V119" s="411">
        <f t="shared" si="102"/>
        <v>0.55000000000000004</v>
      </c>
      <c r="W119" s="411">
        <f t="shared" si="102"/>
        <v>0.85</v>
      </c>
      <c r="X119" s="411">
        <f t="shared" si="102"/>
        <v>0.95</v>
      </c>
      <c r="Y119" s="411">
        <f t="shared" si="102"/>
        <v>1</v>
      </c>
      <c r="AA119" s="410"/>
      <c r="AB119" s="411"/>
      <c r="AC119" s="411">
        <f t="shared" si="107"/>
        <v>0</v>
      </c>
      <c r="AD119" s="411">
        <f t="shared" si="108"/>
        <v>0</v>
      </c>
      <c r="AE119" s="411">
        <f t="shared" si="103"/>
        <v>0</v>
      </c>
      <c r="AF119" s="411">
        <f t="shared" si="103"/>
        <v>0</v>
      </c>
      <c r="AG119" s="411">
        <f t="shared" si="103"/>
        <v>0</v>
      </c>
      <c r="AH119" s="411">
        <f t="shared" si="103"/>
        <v>0</v>
      </c>
      <c r="AI119" s="411">
        <f t="shared" si="103"/>
        <v>0</v>
      </c>
      <c r="AJ119" s="411">
        <f t="shared" si="109"/>
        <v>0</v>
      </c>
      <c r="AK119" s="314">
        <f t="shared" si="28"/>
        <v>59</v>
      </c>
    </row>
    <row r="120" spans="1:38">
      <c r="A120" s="352" t="s">
        <v>704</v>
      </c>
      <c r="L120" s="563"/>
      <c r="M120" s="356">
        <f>SUM(M113:M119)</f>
        <v>22.28814140028728</v>
      </c>
      <c r="N120" s="356">
        <f>SUM(N113:N119)</f>
        <v>16.999241745794041</v>
      </c>
      <c r="AK120" s="314">
        <f t="shared" si="28"/>
        <v>60</v>
      </c>
      <c r="AL120" s="314" t="str">
        <f>LEFT(B119,3)</f>
        <v>CEO</v>
      </c>
    </row>
    <row r="121" spans="1:38" s="360" customFormat="1">
      <c r="A121" s="360" t="s">
        <v>705</v>
      </c>
      <c r="B121" s="360">
        <f>SUMPRODUCT(--(B61:B120&lt;&gt;""))</f>
        <v>43</v>
      </c>
      <c r="O121" s="360">
        <f>ROW()-56</f>
        <v>65</v>
      </c>
      <c r="AK121" s="314">
        <f t="shared" si="28"/>
        <v>61</v>
      </c>
    </row>
  </sheetData>
  <mergeCells count="1">
    <mergeCell ref="B1:D1"/>
  </mergeCell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00B050"/>
  </sheetPr>
  <dimension ref="A1:AN121"/>
  <sheetViews>
    <sheetView topLeftCell="A50" zoomScale="93" workbookViewId="0">
      <selection activeCell="D55" sqref="D55"/>
    </sheetView>
  </sheetViews>
  <sheetFormatPr defaultColWidth="8.85546875" defaultRowHeight="12.75"/>
  <cols>
    <col min="1" max="1" width="52.7109375" style="314" customWidth="1"/>
    <col min="2" max="2" width="19.7109375" style="314" customWidth="1"/>
    <col min="3" max="7" width="11.28515625" style="314" customWidth="1"/>
    <col min="8" max="8" width="10" style="314" customWidth="1"/>
    <col min="9" max="9" width="12" style="314" customWidth="1"/>
    <col min="10" max="35" width="10" style="314" customWidth="1"/>
    <col min="36" max="36" width="11.7109375" style="314" customWidth="1"/>
    <col min="37" max="40" width="10" style="314" customWidth="1"/>
    <col min="41" max="16384" width="8.85546875" style="314"/>
  </cols>
  <sheetData>
    <row r="1" spans="1:40">
      <c r="A1" s="551" t="s">
        <v>441</v>
      </c>
      <c r="B1" s="800" t="s">
        <v>638</v>
      </c>
      <c r="C1" s="800"/>
      <c r="D1" s="800"/>
      <c r="E1" s="485" t="s">
        <v>639</v>
      </c>
      <c r="F1" s="485"/>
      <c r="G1" s="485"/>
      <c r="H1" s="551"/>
      <c r="I1" s="485"/>
      <c r="J1" s="551"/>
      <c r="K1" s="576"/>
    </row>
    <row r="2" spans="1:40">
      <c r="A2" s="552" t="s">
        <v>792</v>
      </c>
      <c r="B2" s="553" t="s">
        <v>791</v>
      </c>
      <c r="C2" s="574"/>
      <c r="D2" s="574"/>
      <c r="E2" s="574"/>
      <c r="F2" s="574"/>
      <c r="G2" s="575"/>
      <c r="H2" s="574"/>
      <c r="I2" s="574"/>
      <c r="J2" s="574"/>
      <c r="K2" s="575"/>
      <c r="L2" s="341"/>
      <c r="M2" s="341"/>
      <c r="N2" s="341"/>
      <c r="AA2" s="341"/>
      <c r="AB2" s="341"/>
      <c r="AC2" s="341"/>
      <c r="AD2" s="341"/>
      <c r="AE2" s="341"/>
      <c r="AF2" s="341"/>
      <c r="AG2" s="341"/>
      <c r="AH2" s="341"/>
      <c r="AI2" s="341"/>
      <c r="AJ2" s="341"/>
      <c r="AK2" s="341"/>
      <c r="AL2" s="313"/>
      <c r="AM2" s="341"/>
      <c r="AN2" s="341"/>
    </row>
    <row r="3" spans="1:40">
      <c r="A3" s="313"/>
      <c r="B3" s="313"/>
      <c r="C3" s="312" t="s">
        <v>640</v>
      </c>
      <c r="D3" s="312"/>
      <c r="E3" s="312"/>
      <c r="F3" s="312"/>
      <c r="G3" s="312"/>
      <c r="H3" s="312"/>
      <c r="I3" s="312"/>
      <c r="J3" s="312"/>
      <c r="K3" s="313"/>
      <c r="L3" s="314" t="s">
        <v>641</v>
      </c>
      <c r="AA3" s="341"/>
      <c r="AB3" s="341"/>
      <c r="AC3" s="341"/>
      <c r="AD3" s="341"/>
      <c r="AE3" s="341"/>
      <c r="AF3" s="341"/>
      <c r="AG3" s="341"/>
      <c r="AH3" s="341"/>
      <c r="AI3" s="341"/>
      <c r="AJ3" s="341"/>
      <c r="AK3" s="341"/>
      <c r="AL3" s="341"/>
      <c r="AM3" s="341"/>
      <c r="AN3" s="313"/>
    </row>
    <row r="4" spans="1:40">
      <c r="A4" s="485" t="s">
        <v>642</v>
      </c>
      <c r="B4" s="313">
        <f>COUNT(C4:M4)</f>
        <v>8</v>
      </c>
      <c r="C4" s="313">
        <v>1</v>
      </c>
      <c r="D4" s="313">
        <f>C4+1</f>
        <v>2</v>
      </c>
      <c r="E4" s="313">
        <f t="shared" ref="E4:J4" si="0">D4+1</f>
        <v>3</v>
      </c>
      <c r="F4" s="313">
        <f t="shared" si="0"/>
        <v>4</v>
      </c>
      <c r="G4" s="313">
        <f t="shared" si="0"/>
        <v>5</v>
      </c>
      <c r="H4" s="313">
        <f t="shared" si="0"/>
        <v>6</v>
      </c>
      <c r="I4" s="313">
        <f t="shared" si="0"/>
        <v>7</v>
      </c>
      <c r="J4" s="313">
        <f t="shared" si="0"/>
        <v>8</v>
      </c>
      <c r="K4" s="341"/>
    </row>
    <row r="5" spans="1:40">
      <c r="A5" s="312" t="s">
        <v>643</v>
      </c>
      <c r="B5" s="313" t="s">
        <v>901</v>
      </c>
      <c r="C5" s="314" t="s">
        <v>141</v>
      </c>
      <c r="D5" s="313" t="s">
        <v>798</v>
      </c>
      <c r="E5" s="313" t="s">
        <v>137</v>
      </c>
      <c r="F5" s="313" t="s">
        <v>465</v>
      </c>
      <c r="G5" s="313" t="s">
        <v>800</v>
      </c>
      <c r="H5" s="313" t="s">
        <v>802</v>
      </c>
      <c r="I5" s="313" t="s">
        <v>806</v>
      </c>
      <c r="J5" s="313" t="s">
        <v>804</v>
      </c>
      <c r="K5" s="341" t="s">
        <v>644</v>
      </c>
      <c r="N5" s="341"/>
      <c r="AA5" s="341"/>
      <c r="AB5" s="341"/>
      <c r="AC5" s="341"/>
      <c r="AD5" s="341"/>
      <c r="AE5" s="341"/>
      <c r="AF5" s="341"/>
      <c r="AG5" s="341"/>
      <c r="AH5" s="341"/>
      <c r="AI5" s="341"/>
      <c r="AJ5" s="341"/>
      <c r="AK5" s="341"/>
      <c r="AL5" s="341"/>
      <c r="AM5" s="313"/>
      <c r="AN5" s="341"/>
    </row>
    <row r="6" spans="1:40">
      <c r="A6" s="485" t="s">
        <v>645</v>
      </c>
      <c r="B6" s="313" t="s">
        <v>646</v>
      </c>
      <c r="C6" s="341" t="str">
        <f t="shared" ref="C6:J6" si="1">$B$6&amp;VLOOKUP(C5,FuelNames,2,FALSE)</f>
        <v>COMCOA</v>
      </c>
      <c r="D6" s="341" t="str">
        <f t="shared" si="1"/>
        <v>COMODS</v>
      </c>
      <c r="E6" s="341" t="str">
        <f t="shared" si="1"/>
        <v>COMELC</v>
      </c>
      <c r="F6" s="341" t="str">
        <f t="shared" si="1"/>
        <v>COMGAS</v>
      </c>
      <c r="G6" s="341" t="str">
        <f t="shared" si="1"/>
        <v>COMOGS</v>
      </c>
      <c r="H6" s="341" t="str">
        <f t="shared" si="1"/>
        <v>COMOHF</v>
      </c>
      <c r="I6" s="341" t="str">
        <f t="shared" si="1"/>
        <v>COMOKE</v>
      </c>
      <c r="J6" s="341" t="str">
        <f t="shared" si="1"/>
        <v>COMOLP</v>
      </c>
    </row>
    <row r="7" spans="1:40">
      <c r="A7" s="485"/>
      <c r="B7" s="554" t="s">
        <v>647</v>
      </c>
      <c r="C7" s="316">
        <v>15.025952150460814</v>
      </c>
      <c r="D7" s="316">
        <v>0.69547475469735887</v>
      </c>
      <c r="E7" s="316">
        <v>149.83199999999999</v>
      </c>
      <c r="F7" s="316">
        <v>3.5000000000000003E-2</v>
      </c>
      <c r="G7" s="316">
        <v>0</v>
      </c>
      <c r="H7" s="316">
        <v>0.23314278231431268</v>
      </c>
      <c r="I7" s="316">
        <v>2.5641871713843942</v>
      </c>
      <c r="J7" s="316">
        <v>4.0348708055603515</v>
      </c>
      <c r="K7" s="316">
        <f>SUM(C7:J7)</f>
        <v>172.42062766441722</v>
      </c>
      <c r="L7" s="555"/>
    </row>
    <row r="8" spans="1:40">
      <c r="A8" s="485" t="s">
        <v>648</v>
      </c>
      <c r="B8" s="554"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555"/>
    </row>
    <row r="9" spans="1:40">
      <c r="A9" s="314" t="s">
        <v>650</v>
      </c>
      <c r="B9" s="551" t="s">
        <v>651</v>
      </c>
      <c r="C9" s="313">
        <v>94.1</v>
      </c>
      <c r="D9" s="313">
        <v>74.099999999999994</v>
      </c>
      <c r="E9" s="313">
        <v>0</v>
      </c>
      <c r="F9" s="313">
        <v>64.2</v>
      </c>
      <c r="G9" s="313">
        <v>69.3</v>
      </c>
      <c r="H9" s="313">
        <v>77.400000000000006</v>
      </c>
      <c r="I9" s="313">
        <v>71.900000000000006</v>
      </c>
      <c r="J9" s="313">
        <v>63.1</v>
      </c>
      <c r="K9" s="341"/>
      <c r="L9" s="313">
        <v>1</v>
      </c>
    </row>
    <row r="10" spans="1:40">
      <c r="A10" s="314" t="s">
        <v>652</v>
      </c>
      <c r="B10" s="551" t="s">
        <v>653</v>
      </c>
      <c r="C10" s="313">
        <v>1E-3</v>
      </c>
      <c r="D10" s="313">
        <v>3.0000000000000001E-3</v>
      </c>
      <c r="E10" s="313">
        <v>0</v>
      </c>
      <c r="F10" s="313">
        <v>3.0000000000000001E-3</v>
      </c>
      <c r="G10" s="313">
        <v>3.0000000000000001E-3</v>
      </c>
      <c r="H10" s="313">
        <v>3.0000000000000001E-3</v>
      </c>
      <c r="I10" s="313">
        <v>3.0000000000000001E-3</v>
      </c>
      <c r="J10" s="313">
        <v>1E-3</v>
      </c>
      <c r="K10" s="341"/>
      <c r="L10" s="313">
        <f>L9+1</f>
        <v>2</v>
      </c>
    </row>
    <row r="11" spans="1:40">
      <c r="A11" s="314" t="s">
        <v>654</v>
      </c>
      <c r="B11" s="551"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41"/>
      <c r="L11" s="313">
        <f>L10+1</f>
        <v>3</v>
      </c>
    </row>
    <row r="12" spans="1:40">
      <c r="A12" s="314" t="s">
        <v>656</v>
      </c>
      <c r="B12" s="551" t="s">
        <v>657</v>
      </c>
      <c r="C12" s="313">
        <v>0.45440000000000003</v>
      </c>
      <c r="D12" s="313">
        <v>0.25290000000000001</v>
      </c>
      <c r="E12" s="313">
        <v>0</v>
      </c>
      <c r="F12" s="313">
        <v>0</v>
      </c>
      <c r="G12" s="313">
        <v>4.6699999999999998E-2</v>
      </c>
      <c r="H12" s="313">
        <v>1.5290999999999999</v>
      </c>
      <c r="I12" s="313"/>
      <c r="J12" s="313"/>
      <c r="K12" s="341"/>
      <c r="L12" s="313">
        <f>L11+1</f>
        <v>4</v>
      </c>
    </row>
    <row r="13" spans="1:40">
      <c r="A13" s="314" t="s">
        <v>658</v>
      </c>
      <c r="B13" s="551" t="s">
        <v>659</v>
      </c>
      <c r="C13" s="313">
        <v>0.1</v>
      </c>
      <c r="D13" s="313">
        <v>0.1</v>
      </c>
      <c r="E13" s="313">
        <v>0</v>
      </c>
      <c r="F13" s="313">
        <v>0.05</v>
      </c>
      <c r="G13" s="313">
        <v>0.1</v>
      </c>
      <c r="H13" s="313">
        <v>0.1</v>
      </c>
      <c r="I13" s="313"/>
      <c r="J13" s="313"/>
      <c r="K13" s="341"/>
      <c r="L13" s="313">
        <f>L12+1</f>
        <v>5</v>
      </c>
    </row>
    <row r="14" spans="1:40">
      <c r="A14" s="485"/>
      <c r="B14" s="313"/>
      <c r="C14" s="313"/>
      <c r="D14" s="313"/>
      <c r="E14" s="313"/>
      <c r="F14" s="313"/>
      <c r="G14" s="313"/>
      <c r="H14" s="313"/>
      <c r="I14" s="313"/>
      <c r="J14" s="313"/>
      <c r="K14" s="341"/>
    </row>
    <row r="15" spans="1:40">
      <c r="A15" s="485" t="s">
        <v>660</v>
      </c>
      <c r="B15" s="313"/>
      <c r="C15" s="319">
        <v>0</v>
      </c>
      <c r="D15" s="319">
        <v>0</v>
      </c>
      <c r="E15" s="556">
        <v>0.1</v>
      </c>
      <c r="F15" s="319">
        <v>0</v>
      </c>
      <c r="G15" s="319">
        <v>0</v>
      </c>
      <c r="H15" s="319">
        <v>0</v>
      </c>
      <c r="I15" s="319">
        <v>0</v>
      </c>
      <c r="J15" s="319">
        <v>0</v>
      </c>
      <c r="K15" s="341"/>
    </row>
    <row r="16" spans="1:40">
      <c r="A16" s="485" t="s">
        <v>661</v>
      </c>
      <c r="B16" s="313" t="s">
        <v>662</v>
      </c>
      <c r="C16" s="321">
        <f t="shared" ref="C16:J16" ca="1" si="3">SUMPRODUCT(--($C$61:$C$121=C6),$M$61:$M$121)^2/(SUMPRODUCT(--($C$61:$C$121=C6),$M$61:$M$121,$F$61:$F$121)+eps)</f>
        <v>22.460415289563063</v>
      </c>
      <c r="D16" s="321">
        <f t="shared" ca="1" si="3"/>
        <v>1.0742581699891229</v>
      </c>
      <c r="E16" s="321">
        <f t="shared" ca="1" si="3"/>
        <v>216.09592376274983</v>
      </c>
      <c r="F16" s="321">
        <f t="shared" ca="1" si="3"/>
        <v>4.5262317404123967E-2</v>
      </c>
      <c r="G16" s="321">
        <f t="shared" ca="1" si="3"/>
        <v>0</v>
      </c>
      <c r="H16" s="321">
        <f t="shared" ca="1" si="3"/>
        <v>0.36012166646263938</v>
      </c>
      <c r="I16" s="321">
        <f t="shared" ca="1" si="3"/>
        <v>2.8769069450968554</v>
      </c>
      <c r="J16" s="321">
        <f t="shared" ca="1" si="3"/>
        <v>4.6343280514384357</v>
      </c>
      <c r="K16" s="341"/>
    </row>
    <row r="17" spans="1:13">
      <c r="A17" s="485"/>
      <c r="B17" s="313"/>
      <c r="C17" s="313"/>
      <c r="D17" s="313"/>
      <c r="E17" s="313"/>
      <c r="F17" s="313"/>
      <c r="G17" s="313"/>
      <c r="H17" s="313"/>
      <c r="I17" s="313"/>
      <c r="J17" s="313"/>
      <c r="K17" s="341"/>
    </row>
    <row r="18" spans="1:13">
      <c r="A18" s="557" t="s">
        <v>663</v>
      </c>
      <c r="B18" s="558" t="s">
        <v>664</v>
      </c>
      <c r="C18" s="555"/>
      <c r="D18" s="555"/>
      <c r="E18" s="555"/>
      <c r="F18" s="555"/>
      <c r="G18" s="555"/>
      <c r="H18" s="555"/>
      <c r="I18" s="555"/>
      <c r="J18" s="555"/>
      <c r="K18" s="341"/>
    </row>
    <row r="19" spans="1:13">
      <c r="A19" s="559" t="s">
        <v>40</v>
      </c>
      <c r="B19" s="313" t="s">
        <v>219</v>
      </c>
      <c r="C19" s="555"/>
      <c r="D19" s="559"/>
      <c r="E19" s="555"/>
      <c r="F19" s="555"/>
      <c r="G19" s="555"/>
      <c r="H19" s="555"/>
      <c r="I19" s="555"/>
      <c r="J19" s="555"/>
      <c r="K19" s="341"/>
    </row>
    <row r="20" spans="1:13">
      <c r="A20" s="314" t="s">
        <v>531</v>
      </c>
      <c r="B20" s="313" t="s">
        <v>665</v>
      </c>
      <c r="C20" s="555"/>
      <c r="D20" s="559"/>
      <c r="E20" s="555"/>
      <c r="F20" s="555"/>
      <c r="G20" s="555"/>
      <c r="H20" s="555"/>
      <c r="I20" s="555"/>
      <c r="J20" s="555"/>
      <c r="K20" s="341"/>
    </row>
    <row r="21" spans="1:13">
      <c r="A21" s="314" t="s">
        <v>149</v>
      </c>
      <c r="B21" s="313" t="s">
        <v>666</v>
      </c>
      <c r="C21" s="555"/>
      <c r="D21" s="559"/>
      <c r="E21" s="555"/>
      <c r="F21" s="555"/>
      <c r="G21" s="555"/>
      <c r="H21" s="555"/>
      <c r="I21" s="555"/>
      <c r="J21" s="555"/>
      <c r="K21" s="341"/>
    </row>
    <row r="22" spans="1:13">
      <c r="A22" s="314" t="s">
        <v>148</v>
      </c>
      <c r="B22" s="313" t="s">
        <v>667</v>
      </c>
      <c r="C22" s="555"/>
      <c r="D22" s="559"/>
      <c r="E22" s="555"/>
      <c r="F22" s="555"/>
      <c r="G22" s="555"/>
      <c r="H22" s="555"/>
      <c r="I22" s="555"/>
      <c r="J22" s="555"/>
      <c r="K22" s="341"/>
    </row>
    <row r="23" spans="1:13">
      <c r="A23" s="314" t="s">
        <v>150</v>
      </c>
      <c r="B23" s="313" t="s">
        <v>668</v>
      </c>
      <c r="C23" s="555"/>
      <c r="D23" s="559"/>
      <c r="E23" s="555"/>
      <c r="F23" s="555"/>
      <c r="G23" s="555"/>
      <c r="H23" s="555"/>
      <c r="I23" s="555"/>
      <c r="J23" s="555"/>
      <c r="K23" s="341"/>
    </row>
    <row r="24" spans="1:13">
      <c r="A24" s="314" t="s">
        <v>551</v>
      </c>
      <c r="B24" s="313" t="s">
        <v>669</v>
      </c>
      <c r="C24" s="555"/>
      <c r="D24" s="555"/>
      <c r="E24" s="555"/>
      <c r="F24" s="555"/>
      <c r="G24" s="555"/>
      <c r="H24" s="555"/>
      <c r="I24" s="555"/>
      <c r="J24" s="555"/>
      <c r="K24" s="341"/>
    </row>
    <row r="25" spans="1:13">
      <c r="A25" s="417" t="s">
        <v>819</v>
      </c>
      <c r="B25" s="325" t="s">
        <v>822</v>
      </c>
      <c r="C25" s="555"/>
      <c r="D25" s="559"/>
      <c r="E25" s="555"/>
      <c r="F25" s="555"/>
      <c r="G25" s="555"/>
      <c r="H25" s="555"/>
      <c r="I25" s="555"/>
      <c r="J25" s="555"/>
      <c r="K25" s="341"/>
    </row>
    <row r="26" spans="1:13">
      <c r="A26" s="417" t="s">
        <v>820</v>
      </c>
      <c r="B26" s="325" t="s">
        <v>821</v>
      </c>
      <c r="C26" s="555"/>
      <c r="D26" s="559"/>
      <c r="E26" s="555"/>
      <c r="F26" s="555"/>
      <c r="G26" s="555"/>
      <c r="H26" s="555"/>
      <c r="I26" s="555"/>
      <c r="J26" s="555"/>
      <c r="K26" s="341"/>
    </row>
    <row r="27" spans="1:13">
      <c r="A27" s="314" t="s">
        <v>83</v>
      </c>
      <c r="B27" s="313" t="s">
        <v>670</v>
      </c>
      <c r="C27" s="325"/>
      <c r="D27" s="325"/>
      <c r="E27" s="325"/>
      <c r="F27" s="325"/>
      <c r="G27" s="325"/>
      <c r="H27" s="325"/>
      <c r="I27" s="325"/>
      <c r="J27" s="325"/>
      <c r="K27" s="341"/>
    </row>
    <row r="28" spans="1:13">
      <c r="C28" s="325"/>
      <c r="D28" s="325"/>
      <c r="E28" s="325"/>
      <c r="F28" s="325"/>
      <c r="G28" s="325"/>
      <c r="H28" s="325"/>
      <c r="I28" s="325"/>
      <c r="J28" s="325"/>
      <c r="K28" s="341"/>
    </row>
    <row r="29" spans="1:13">
      <c r="C29" s="312" t="s">
        <v>671</v>
      </c>
      <c r="D29" s="312"/>
      <c r="E29" s="312"/>
      <c r="F29" s="312"/>
      <c r="G29" s="312"/>
      <c r="H29" s="312"/>
      <c r="I29" s="312"/>
      <c r="J29" s="312"/>
      <c r="K29" s="341"/>
    </row>
    <row r="30" spans="1:13">
      <c r="A30" s="557" t="s">
        <v>672</v>
      </c>
      <c r="B30" s="557" t="s">
        <v>673</v>
      </c>
      <c r="C30" s="326" t="str">
        <f>C5</f>
        <v>Coal</v>
      </c>
      <c r="D30" s="326" t="str">
        <f t="shared" ref="D30:J30" si="4">D5</f>
        <v>Oil Diesel</v>
      </c>
      <c r="E30" s="326" t="str">
        <f t="shared" si="4"/>
        <v>Electricity</v>
      </c>
      <c r="F30" s="326" t="str">
        <f t="shared" si="4"/>
        <v>Gas</v>
      </c>
      <c r="G30" s="326" t="str">
        <f t="shared" si="4"/>
        <v>Oil Gasoline</v>
      </c>
      <c r="H30" s="326" t="str">
        <f t="shared" si="4"/>
        <v>Oil HFO</v>
      </c>
      <c r="I30" s="326" t="str">
        <f t="shared" si="4"/>
        <v>Oil Paraffin</v>
      </c>
      <c r="J30" s="326" t="str">
        <f t="shared" si="4"/>
        <v>Oil LPG</v>
      </c>
      <c r="K30" s="341"/>
    </row>
    <row r="31" spans="1:13">
      <c r="A31" s="343" t="str">
        <f t="shared" ref="A31:A39" si="5">$A$5&amp;" - "&amp;A19</f>
        <v>Commercial - Cooling</v>
      </c>
      <c r="B31" s="346" t="str">
        <f>$B$5&amp;B19</f>
        <v>CEC</v>
      </c>
      <c r="C31" s="327">
        <f>HLOOKUP($L31,'End use share 2006c'!$B$34:$J$42,MATCH($M$31,'End use share 2006c'!$A$34:$A$42,0),)</f>
        <v>0</v>
      </c>
      <c r="D31" s="327">
        <f>HLOOKUP($L31,'End use share 2006c'!$B$34:$J$42,MATCH($M$32,'End use share 2006c'!$A$34:$A$42,0),)</f>
        <v>0</v>
      </c>
      <c r="E31" s="327">
        <f>HLOOKUP($L31,'End use share 2006c'!$B$34:$J$42,MATCH($M$33,'End use share 2006c'!$A$34:$A$42,0),)</f>
        <v>0.32937807742524239</v>
      </c>
      <c r="F31" s="327">
        <f>HLOOKUP($L31,'End use share 2006c'!$B$34:$J$42,MATCH($M$34,'End use share 2006c'!$A$34:$A$42,0),)</f>
        <v>0</v>
      </c>
      <c r="G31" s="327"/>
      <c r="H31" s="327">
        <f>HLOOKUP($L31,'End use share 2006c'!$B$34:$J$42,MATCH($M$36,'End use share 2006c'!$A$34:$A$42,0),)</f>
        <v>0</v>
      </c>
      <c r="I31" s="327">
        <f>HLOOKUP($L31,'End use share 2006c'!$B$34:$J$42,MATCH($M$37,'End use share 2006c'!$A$34:$A$42,0),)</f>
        <v>0</v>
      </c>
      <c r="J31" s="327">
        <f>HLOOKUP($L31,'End use share 2006c'!$B$34:$J$42,MATCH($M$38,'End use share 2006c'!$A$34:$A$42,0),)</f>
        <v>0</v>
      </c>
      <c r="K31" s="341"/>
      <c r="L31" s="314" t="s">
        <v>470</v>
      </c>
      <c r="M31" s="314" t="s">
        <v>491</v>
      </c>
    </row>
    <row r="32" spans="1:13">
      <c r="A32" s="343" t="str">
        <f t="shared" si="5"/>
        <v>Commercial - Space Heating</v>
      </c>
      <c r="B32" s="346" t="str">
        <f t="shared" ref="B32:B39" si="6">$B$5&amp;B20</f>
        <v>CEH</v>
      </c>
      <c r="C32" s="327">
        <f>HLOOKUP($L32,'End use share 2006c'!$B$34:$J$42,MATCH($M$31,'End use share 2006c'!$A$34:$A$42,0),)</f>
        <v>0.54317126346240241</v>
      </c>
      <c r="D32" s="327">
        <f>HLOOKUP($L32,'End use share 2006c'!$B$34:$J$42,MATCH($M$32,'End use share 2006c'!$A$34:$A$42,0),)</f>
        <v>0</v>
      </c>
      <c r="E32" s="327">
        <f>HLOOKUP($L32,'End use share 2006c'!$B$34:$J$42,MATCH($M$33,'End use share 2006c'!$A$34:$A$42,0),)</f>
        <v>1.9673944145463536E-2</v>
      </c>
      <c r="F32" s="327">
        <f>HLOOKUP($L32,'End use share 2006c'!$B$34:$J$42,MATCH($M$34,'End use share 2006c'!$A$34:$A$42,0),)</f>
        <v>0.288582183186951</v>
      </c>
      <c r="G32" s="327"/>
      <c r="H32" s="327">
        <f>HLOOKUP($L32,'End use share 2006c'!$B$34:$J$42,MATCH($M$36,'End use share 2006c'!$A$34:$A$42,0),)</f>
        <v>0</v>
      </c>
      <c r="I32" s="327">
        <f>HLOOKUP($L32,'End use share 2006c'!$B$34:$J$42,MATCH($M$37,'End use share 2006c'!$A$34:$A$42,0),)</f>
        <v>0</v>
      </c>
      <c r="J32" s="327">
        <f>HLOOKUP($L32,'End use share 2006c'!$B$34:$J$42,MATCH($M$38,'End use share 2006c'!$A$34:$A$42,0),)</f>
        <v>0</v>
      </c>
      <c r="K32" s="341"/>
      <c r="L32" s="314" t="s">
        <v>146</v>
      </c>
      <c r="M32" s="314" t="s">
        <v>494</v>
      </c>
    </row>
    <row r="33" spans="1:14">
      <c r="A33" s="343" t="str">
        <f t="shared" si="5"/>
        <v>Commercial - Cooking</v>
      </c>
      <c r="B33" s="346" t="str">
        <f t="shared" si="6"/>
        <v>CEK</v>
      </c>
      <c r="C33" s="327">
        <f>HLOOKUP($L33,'End use share 2006c'!$B$34:$J$42,MATCH($M$31,'End use share 2006c'!$A$34:$A$42,0),)</f>
        <v>7.1368927396390168E-4</v>
      </c>
      <c r="D33" s="327">
        <f>HLOOKUP($L33,'End use share 2006c'!$B$34:$J$42,MATCH($M$32,'End use share 2006c'!$A$34:$A$42,0),)</f>
        <v>0</v>
      </c>
      <c r="E33" s="327">
        <f>HLOOKUP($L33,'End use share 2006c'!$B$34:$J$42,MATCH($M$33,'End use share 2006c'!$A$34:$A$42,0),)</f>
        <v>6.3534899562964403E-2</v>
      </c>
      <c r="F33" s="327">
        <f>HLOOKUP($L33,'End use share 2006c'!$B$34:$J$42,MATCH($M$34,'End use share 2006c'!$A$34:$A$42,0),)</f>
        <v>0</v>
      </c>
      <c r="G33" s="327"/>
      <c r="H33" s="327">
        <f>HLOOKUP($L33,'End use share 2006c'!$B$34:$J$42,MATCH($M$36,'End use share 2006c'!$A$34:$A$42,0),)</f>
        <v>0</v>
      </c>
      <c r="I33" s="327">
        <f>HLOOKUP($L33,'End use share 2006c'!$B$34:$J$42,MATCH($M$37,'End use share 2006c'!$A$34:$A$42,0),)</f>
        <v>0</v>
      </c>
      <c r="J33" s="327">
        <f>HLOOKUP($L33,'End use share 2006c'!$B$34:$J$42,MATCH($M$38,'End use share 2006c'!$A$34:$A$42,0),)</f>
        <v>0.10103470669450876</v>
      </c>
      <c r="K33" s="341"/>
      <c r="L33" s="314" t="s">
        <v>472</v>
      </c>
      <c r="M33" s="314" t="s">
        <v>489</v>
      </c>
    </row>
    <row r="34" spans="1:14">
      <c r="A34" s="343" t="str">
        <f t="shared" si="5"/>
        <v>Commercial - Lighting</v>
      </c>
      <c r="B34" s="346" t="str">
        <f t="shared" si="6"/>
        <v>CEL</v>
      </c>
      <c r="C34" s="327">
        <f>HLOOKUP($L34,'End use share 2006c'!$B$34:$J$42,MATCH($M$31,'End use share 2006c'!$A$34:$A$42,0),)</f>
        <v>0</v>
      </c>
      <c r="D34" s="327">
        <f>HLOOKUP($L34,'End use share 2006c'!$B$34:$J$42,MATCH($M$32,'End use share 2006c'!$A$34:$A$42,0),)</f>
        <v>0</v>
      </c>
      <c r="E34" s="327">
        <f>HLOOKUP($L34,'End use share 2006c'!$B$34:$J$42,MATCH($M$33,'End use share 2006c'!$A$34:$A$42,0),)</f>
        <v>0.17828065881507271</v>
      </c>
      <c r="F34" s="327">
        <f>HLOOKUP($L34,'End use share 2006c'!$B$34:$J$42,MATCH($M$34,'End use share 2006c'!$A$34:$A$42,0),)</f>
        <v>0</v>
      </c>
      <c r="G34" s="327"/>
      <c r="H34" s="327">
        <f>HLOOKUP($L34,'End use share 2006c'!$B$34:$J$42,MATCH($M$36,'End use share 2006c'!$A$34:$A$42,0),)</f>
        <v>0</v>
      </c>
      <c r="I34" s="327">
        <f>HLOOKUP($L34,'End use share 2006c'!$B$34:$J$42,MATCH($M$37,'End use share 2006c'!$A$34:$A$42,0),)</f>
        <v>0</v>
      </c>
      <c r="J34" s="327">
        <f>HLOOKUP($L34,'End use share 2006c'!$B$34:$J$42,MATCH($M$38,'End use share 2006c'!$A$34:$A$42,0),)</f>
        <v>0</v>
      </c>
      <c r="L34" s="314" t="s">
        <v>42</v>
      </c>
      <c r="M34" s="314" t="s">
        <v>465</v>
      </c>
    </row>
    <row r="35" spans="1:14">
      <c r="A35" s="343" t="str">
        <f t="shared" si="5"/>
        <v>Commercial - Refrigeration</v>
      </c>
      <c r="B35" s="346" t="str">
        <f t="shared" si="6"/>
        <v>CER</v>
      </c>
      <c r="C35" s="327">
        <f>HLOOKUP($L35,'End use share 2006c'!$B$34:$J$42,MATCH($M$31,'End use share 2006c'!$A$34:$A$42,0),)</f>
        <v>0</v>
      </c>
      <c r="D35" s="327">
        <f>HLOOKUP($L35,'End use share 2006c'!$B$34:$J$42,MATCH($M$32,'End use share 2006c'!$A$34:$A$42,0),)</f>
        <v>0</v>
      </c>
      <c r="E35" s="327">
        <f>HLOOKUP($L35,'End use share 2006c'!$B$34:$J$42,MATCH($M$33,'End use share 2006c'!$A$34:$A$42,0),)</f>
        <v>0.19733027907087305</v>
      </c>
      <c r="F35" s="327">
        <f>HLOOKUP($L35,'End use share 2006c'!$B$34:$J$42,MATCH($M$34,'End use share 2006c'!$A$34:$A$42,0),)</f>
        <v>0</v>
      </c>
      <c r="G35" s="327"/>
      <c r="H35" s="327">
        <f>HLOOKUP($L35,'End use share 2006c'!$B$34:$J$42,MATCH($M$36,'End use share 2006c'!$A$34:$A$42,0),)</f>
        <v>0</v>
      </c>
      <c r="I35" s="327">
        <f>HLOOKUP($L35,'End use share 2006c'!$B$34:$J$42,MATCH($M$37,'End use share 2006c'!$A$34:$A$42,0),)</f>
        <v>0</v>
      </c>
      <c r="J35" s="327">
        <f>HLOOKUP($L35,'End use share 2006c'!$B$34:$J$42,MATCH($M$38,'End use share 2006c'!$A$34:$A$42,0),)</f>
        <v>0</v>
      </c>
      <c r="L35" s="314" t="s">
        <v>471</v>
      </c>
      <c r="M35" s="314" t="s">
        <v>458</v>
      </c>
    </row>
    <row r="36" spans="1:14">
      <c r="A36" s="343" t="str">
        <f t="shared" si="5"/>
        <v>Commercial - Water Heating</v>
      </c>
      <c r="B36" s="346" t="str">
        <f t="shared" si="6"/>
        <v>CEW</v>
      </c>
      <c r="C36" s="327">
        <f>HLOOKUP($L36,'End use share 2006c'!$B$34:$J$42,MATCH($M$31,'End use share 2006c'!$A$34:$A$42,0),)</f>
        <v>0.45611504726363378</v>
      </c>
      <c r="D36" s="327">
        <f>HLOOKUP($L36,'End use share 2006c'!$B$34:$J$42,MATCH($M$32,'End use share 2006c'!$A$34:$A$42,0),)</f>
        <v>0</v>
      </c>
      <c r="E36" s="327">
        <f>HLOOKUP($L36,'End use share 2006c'!$B$34:$J$42,MATCH($M$33,'End use share 2006c'!$A$34:$A$42,0),)</f>
        <v>8.6253773691933548E-3</v>
      </c>
      <c r="F36" s="327">
        <f>HLOOKUP($L36,'End use share 2006c'!$B$34:$J$42,MATCH($M$34,'End use share 2006c'!$A$34:$A$42,0),)</f>
        <v>0.71141781681304894</v>
      </c>
      <c r="G36" s="327"/>
      <c r="H36" s="327">
        <f>HLOOKUP($L36,'End use share 2006c'!$B$34:$J$42,MATCH($M$36,'End use share 2006c'!$A$34:$A$42,0),)</f>
        <v>0</v>
      </c>
      <c r="I36" s="327">
        <f>HLOOKUP($L36,'End use share 2006c'!$B$34:$J$42,MATCH($M$37,'End use share 2006c'!$A$34:$A$42,0),)</f>
        <v>1</v>
      </c>
      <c r="J36" s="327">
        <f>HLOOKUP($L36,'End use share 2006c'!$B$34:$J$42,MATCH($M$38,'End use share 2006c'!$A$34:$A$42,0),)</f>
        <v>0.89896529330549124</v>
      </c>
      <c r="L36" s="314" t="s">
        <v>469</v>
      </c>
      <c r="M36" s="314" t="s">
        <v>492</v>
      </c>
    </row>
    <row r="37" spans="1:14">
      <c r="A37" s="343" t="str">
        <f t="shared" si="5"/>
        <v>Commercial - Public Lights</v>
      </c>
      <c r="B37" s="346" t="str">
        <f t="shared" si="6"/>
        <v>CEG</v>
      </c>
      <c r="C37" s="327">
        <f>HLOOKUP($L37,'End use share 2006c'!$B$34:$J$42,MATCH($M$31,'End use share 2006c'!$A$34:$A$42,0),)</f>
        <v>0</v>
      </c>
      <c r="D37" s="327">
        <f>HLOOKUP($L37,'End use share 2006c'!$B$34:$J$42,MATCH($M$32,'End use share 2006c'!$A$34:$A$42,0),)</f>
        <v>0</v>
      </c>
      <c r="E37" s="327">
        <f>HLOOKUP($L37,'End use share 2006c'!$B$34:$J$42,MATCH($M$33,'End use share 2006c'!$A$34:$A$42,0),)</f>
        <v>2.0121717674403277E-2</v>
      </c>
      <c r="F37" s="327">
        <f>HLOOKUP($L37,'End use share 2006c'!$B$34:$J$42,MATCH($M$34,'End use share 2006c'!$A$34:$A$42,0),)</f>
        <v>0</v>
      </c>
      <c r="G37" s="327"/>
      <c r="H37" s="327">
        <f>HLOOKUP($L37,'End use share 2006c'!$B$34:$J$42,MATCH($M$36,'End use share 2006c'!$A$34:$A$42,0),)</f>
        <v>0</v>
      </c>
      <c r="I37" s="327">
        <f>HLOOKUP($L37,'End use share 2006c'!$B$34:$J$42,MATCH($M$37,'End use share 2006c'!$A$34:$A$42,0),)</f>
        <v>0</v>
      </c>
      <c r="J37" s="327">
        <f>HLOOKUP($L37,'End use share 2006c'!$B$34:$J$42,MATCH($M$38,'End use share 2006c'!$A$34:$A$42,0),)</f>
        <v>0</v>
      </c>
      <c r="L37" s="314" t="s">
        <v>819</v>
      </c>
      <c r="M37" s="314" t="s">
        <v>490</v>
      </c>
    </row>
    <row r="38" spans="1:14">
      <c r="A38" s="343" t="str">
        <f t="shared" si="5"/>
        <v>Commercial - Public Water</v>
      </c>
      <c r="B38" s="346" t="str">
        <f t="shared" si="6"/>
        <v>CET</v>
      </c>
      <c r="C38" s="327">
        <f>HLOOKUP($L38,'End use share 2006c'!$B$34:$J$42,MATCH($M$31,'End use share 2006c'!$A$34:$A$42,0),)</f>
        <v>0</v>
      </c>
      <c r="D38" s="327">
        <f>HLOOKUP($L38,'End use share 2006c'!$B$34:$J$42,MATCH($M$32,'End use share 2006c'!$A$34:$A$42,0),)</f>
        <v>0</v>
      </c>
      <c r="E38" s="327">
        <f>HLOOKUP($L38,'End use share 2006c'!$B$34:$J$42,MATCH($M$33,'End use share 2006c'!$A$34:$A$42,0),)</f>
        <v>2.3755614613376001E-2</v>
      </c>
      <c r="F38" s="327">
        <f>HLOOKUP($L38,'End use share 2006c'!$B$34:$J$42,MATCH($M$34,'End use share 2006c'!$A$34:$A$42,0),)</f>
        <v>0</v>
      </c>
      <c r="G38" s="327"/>
      <c r="H38" s="327">
        <f>HLOOKUP($L38,'End use share 2006c'!$B$34:$J$42,MATCH($M$36,'End use share 2006c'!$A$34:$A$42,0),)</f>
        <v>0</v>
      </c>
      <c r="I38" s="327">
        <f>HLOOKUP($L38,'End use share 2006c'!$B$34:$J$42,MATCH($M$37,'End use share 2006c'!$A$34:$A$42,0),)</f>
        <v>0</v>
      </c>
      <c r="J38" s="327">
        <f>HLOOKUP($L38,'End use share 2006c'!$B$34:$J$42,MATCH($M$38,'End use share 2006c'!$A$34:$A$42,0),)</f>
        <v>0</v>
      </c>
      <c r="L38" s="314" t="s">
        <v>818</v>
      </c>
      <c r="M38" s="314" t="s">
        <v>138</v>
      </c>
    </row>
    <row r="39" spans="1:14">
      <c r="A39" s="343" t="str">
        <f t="shared" si="5"/>
        <v>Commercial - Other</v>
      </c>
      <c r="B39" s="346" t="str">
        <f t="shared" si="6"/>
        <v>CEO</v>
      </c>
      <c r="C39" s="327">
        <f>HLOOKUP($L39,'End use share 2006c'!$B$34:$J$42,MATCH($M$31,'End use share 2006c'!$A$34:$A$42,0),)</f>
        <v>0</v>
      </c>
      <c r="D39" s="327">
        <f>HLOOKUP($L39,'End use share 2006c'!$B$34:$J$42,MATCH($M$32,'End use share 2006c'!$A$34:$A$42,0),)</f>
        <v>1</v>
      </c>
      <c r="E39" s="327">
        <f>HLOOKUP($L39,'End use share 2006c'!$B$34:$J$42,MATCH($M$33,'End use share 2006c'!$A$34:$A$42,0),)</f>
        <v>0.15929943132341109</v>
      </c>
      <c r="F39" s="327">
        <f>HLOOKUP($L39,'End use share 2006c'!$B$34:$J$42,MATCH($M$34,'End use share 2006c'!$A$34:$A$42,0),)</f>
        <v>0</v>
      </c>
      <c r="G39" s="327"/>
      <c r="H39" s="327">
        <f>HLOOKUP($L39,'End use share 2006c'!$B$34:$J$42,MATCH($M$36,'End use share 2006c'!$A$34:$A$42,0),)</f>
        <v>1</v>
      </c>
      <c r="I39" s="327">
        <f>HLOOKUP($L39,'End use share 2006c'!$B$34:$J$42,MATCH($M$37,'End use share 2006c'!$A$34:$A$42,0),)</f>
        <v>0</v>
      </c>
      <c r="J39" s="327">
        <f>HLOOKUP($L39,'End use share 2006c'!$B$34:$J$42,MATCH($M$38,'End use share 2006c'!$A$34:$A$42,0),)</f>
        <v>0</v>
      </c>
      <c r="L39" s="314" t="s">
        <v>43</v>
      </c>
    </row>
    <row r="40" spans="1:14">
      <c r="A40" s="343" t="s">
        <v>644</v>
      </c>
      <c r="B40" s="346"/>
      <c r="C40" s="329">
        <f t="shared" ref="C40:J40" si="7">SUM(C31:C39)</f>
        <v>1</v>
      </c>
      <c r="D40" s="329">
        <f t="shared" si="7"/>
        <v>1</v>
      </c>
      <c r="E40" s="329">
        <f t="shared" si="7"/>
        <v>0.99999999999999989</v>
      </c>
      <c r="F40" s="329">
        <f t="shared" si="7"/>
        <v>1</v>
      </c>
      <c r="G40" s="329">
        <f t="shared" si="7"/>
        <v>0</v>
      </c>
      <c r="H40" s="329">
        <f t="shared" si="7"/>
        <v>1</v>
      </c>
      <c r="I40" s="329">
        <f t="shared" si="7"/>
        <v>1</v>
      </c>
      <c r="J40" s="329">
        <f t="shared" si="7"/>
        <v>1</v>
      </c>
    </row>
    <row r="41" spans="1:14">
      <c r="C41" s="325"/>
      <c r="D41" s="325"/>
      <c r="E41" s="325"/>
      <c r="F41" s="325"/>
      <c r="G41" s="325"/>
      <c r="H41" s="325"/>
      <c r="I41" s="325"/>
      <c r="J41" s="325"/>
    </row>
    <row r="42" spans="1:14">
      <c r="A42" s="557" t="s">
        <v>674</v>
      </c>
      <c r="B42" s="557"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row>
    <row r="43" spans="1:14">
      <c r="A43" s="343" t="str">
        <f t="shared" ref="A43:B50" si="9">A31</f>
        <v>Commercial - Cooling</v>
      </c>
      <c r="B43" s="346" t="str">
        <f t="shared" si="9"/>
        <v>CEC</v>
      </c>
      <c r="C43" s="321">
        <f t="shared" ref="C43:C49" si="10">C31*C$7</f>
        <v>0</v>
      </c>
      <c r="D43" s="321">
        <f t="shared" ref="D43:J43" si="11">D31*D$7</f>
        <v>0</v>
      </c>
      <c r="E43" s="321">
        <f>E31*E$7</f>
        <v>49.351376096778914</v>
      </c>
      <c r="F43" s="321">
        <f t="shared" si="11"/>
        <v>0</v>
      </c>
      <c r="G43" s="321">
        <f t="shared" si="11"/>
        <v>0</v>
      </c>
      <c r="H43" s="321">
        <f t="shared" si="11"/>
        <v>0</v>
      </c>
      <c r="I43" s="321">
        <f t="shared" si="11"/>
        <v>0</v>
      </c>
      <c r="J43" s="321">
        <f t="shared" si="11"/>
        <v>0</v>
      </c>
      <c r="K43" s="330">
        <f t="shared" ref="K43:K50" si="12">SUM(C43:J43)</f>
        <v>49.351376096778914</v>
      </c>
      <c r="L43" s="390">
        <f>M67</f>
        <v>49.351376096778914</v>
      </c>
      <c r="M43" s="634">
        <f>L43-K43</f>
        <v>0</v>
      </c>
      <c r="N43" s="560"/>
    </row>
    <row r="44" spans="1:14">
      <c r="A44" s="343" t="str">
        <f t="shared" si="9"/>
        <v>Commercial - Space Heating</v>
      </c>
      <c r="B44" s="346" t="str">
        <f t="shared" si="9"/>
        <v>CEH</v>
      </c>
      <c r="C44" s="321">
        <f t="shared" si="10"/>
        <v>8.1616654142914022</v>
      </c>
      <c r="D44" s="321">
        <f>D32*D$7</f>
        <v>0</v>
      </c>
      <c r="E44" s="321">
        <f t="shared" ref="E44:E45" si="13">E32*E$7</f>
        <v>2.9477863992030922</v>
      </c>
      <c r="F44" s="321">
        <f t="shared" ref="F44:J48" si="14">F32*F$7</f>
        <v>1.0100376411543287E-2</v>
      </c>
      <c r="G44" s="321">
        <f t="shared" si="14"/>
        <v>0</v>
      </c>
      <c r="H44" s="321">
        <f t="shared" si="14"/>
        <v>0</v>
      </c>
      <c r="I44" s="321">
        <f t="shared" si="14"/>
        <v>0</v>
      </c>
      <c r="J44" s="321">
        <f t="shared" si="14"/>
        <v>0</v>
      </c>
      <c r="K44" s="330">
        <f t="shared" si="12"/>
        <v>11.119552189906038</v>
      </c>
      <c r="L44" s="390">
        <f>M74</f>
        <v>11.119552189906038</v>
      </c>
      <c r="M44" s="634">
        <f t="shared" ref="M44:M51" si="15">L44-K44</f>
        <v>0</v>
      </c>
    </row>
    <row r="45" spans="1:14">
      <c r="A45" s="343" t="str">
        <f t="shared" si="9"/>
        <v>Commercial - Cooking</v>
      </c>
      <c r="B45" s="346" t="str">
        <f t="shared" si="9"/>
        <v>CEK</v>
      </c>
      <c r="C45" s="321">
        <f t="shared" si="10"/>
        <v>1.0723860880878705E-2</v>
      </c>
      <c r="D45" s="321">
        <f>D33*D$7</f>
        <v>0</v>
      </c>
      <c r="E45" s="321">
        <f t="shared" si="13"/>
        <v>9.5195610713180816</v>
      </c>
      <c r="F45" s="321">
        <f t="shared" si="14"/>
        <v>0</v>
      </c>
      <c r="G45" s="321">
        <f t="shared" si="14"/>
        <v>0</v>
      </c>
      <c r="H45" s="321">
        <f t="shared" si="14"/>
        <v>0</v>
      </c>
      <c r="I45" s="321">
        <f t="shared" si="14"/>
        <v>0</v>
      </c>
      <c r="J45" s="321">
        <f t="shared" si="14"/>
        <v>0.40766198839002638</v>
      </c>
      <c r="K45" s="330">
        <f t="shared" si="12"/>
        <v>9.9379469205889865</v>
      </c>
      <c r="L45" s="390">
        <f>M79</f>
        <v>9.9379469205889865</v>
      </c>
      <c r="M45" s="634">
        <f t="shared" si="15"/>
        <v>0</v>
      </c>
    </row>
    <row r="46" spans="1:14">
      <c r="A46" s="343" t="str">
        <f t="shared" si="9"/>
        <v>Commercial - Lighting</v>
      </c>
      <c r="B46" s="346" t="str">
        <f t="shared" si="9"/>
        <v>CEL</v>
      </c>
      <c r="C46" s="321">
        <f t="shared" si="10"/>
        <v>0</v>
      </c>
      <c r="D46" s="321">
        <f>D34*D$7</f>
        <v>0</v>
      </c>
      <c r="E46" s="321">
        <f t="shared" ref="E46:E51" si="16">E34*E$7</f>
        <v>26.712147671579974</v>
      </c>
      <c r="F46" s="321">
        <f t="shared" si="14"/>
        <v>0</v>
      </c>
      <c r="G46" s="321">
        <f t="shared" si="14"/>
        <v>0</v>
      </c>
      <c r="H46" s="321">
        <f t="shared" si="14"/>
        <v>0</v>
      </c>
      <c r="I46" s="321">
        <f t="shared" si="14"/>
        <v>0</v>
      </c>
      <c r="J46" s="321">
        <f t="shared" si="14"/>
        <v>0</v>
      </c>
      <c r="K46" s="330">
        <f t="shared" si="12"/>
        <v>26.712147671579974</v>
      </c>
      <c r="L46" s="390">
        <f>M87</f>
        <v>26.712147671579977</v>
      </c>
      <c r="M46" s="634">
        <f t="shared" si="15"/>
        <v>0</v>
      </c>
    </row>
    <row r="47" spans="1:14">
      <c r="A47" s="343" t="str">
        <f t="shared" si="9"/>
        <v>Commercial - Refrigeration</v>
      </c>
      <c r="B47" s="346" t="str">
        <f t="shared" si="9"/>
        <v>CER</v>
      </c>
      <c r="C47" s="321">
        <f t="shared" si="10"/>
        <v>0</v>
      </c>
      <c r="D47" s="321">
        <f>D35*D$7</f>
        <v>0</v>
      </c>
      <c r="E47" s="321">
        <f t="shared" si="16"/>
        <v>29.566390373747051</v>
      </c>
      <c r="F47" s="321">
        <f t="shared" si="14"/>
        <v>0</v>
      </c>
      <c r="G47" s="321">
        <f t="shared" si="14"/>
        <v>0</v>
      </c>
      <c r="H47" s="321">
        <f t="shared" si="14"/>
        <v>0</v>
      </c>
      <c r="I47" s="321">
        <f t="shared" si="14"/>
        <v>0</v>
      </c>
      <c r="J47" s="321">
        <f t="shared" si="14"/>
        <v>0</v>
      </c>
      <c r="K47" s="330">
        <f t="shared" si="12"/>
        <v>29.566390373747051</v>
      </c>
      <c r="L47" s="390">
        <f>M91</f>
        <v>29.566390373747051</v>
      </c>
      <c r="M47" s="634">
        <f t="shared" si="15"/>
        <v>0</v>
      </c>
    </row>
    <row r="48" spans="1:14">
      <c r="A48" s="343" t="str">
        <f t="shared" si="9"/>
        <v>Commercial - Water Heating</v>
      </c>
      <c r="B48" s="346" t="str">
        <f t="shared" si="9"/>
        <v>CEW</v>
      </c>
      <c r="C48" s="321">
        <f t="shared" si="10"/>
        <v>6.8535628752885334</v>
      </c>
      <c r="D48" s="321">
        <f>D36*D$7</f>
        <v>0</v>
      </c>
      <c r="E48" s="321">
        <f t="shared" si="16"/>
        <v>1.2923575419809787</v>
      </c>
      <c r="F48" s="321">
        <f t="shared" si="14"/>
        <v>2.4899623588456717E-2</v>
      </c>
      <c r="G48" s="321">
        <f t="shared" si="14"/>
        <v>0</v>
      </c>
      <c r="H48" s="321">
        <f t="shared" si="14"/>
        <v>0</v>
      </c>
      <c r="I48" s="321">
        <f t="shared" si="14"/>
        <v>2.5641871713843942</v>
      </c>
      <c r="J48" s="321">
        <f t="shared" si="14"/>
        <v>3.6272088171703252</v>
      </c>
      <c r="K48" s="330">
        <f t="shared" si="12"/>
        <v>14.362216029412687</v>
      </c>
      <c r="L48" s="390">
        <f>M100</f>
        <v>14.362216029412689</v>
      </c>
      <c r="M48" s="634">
        <f t="shared" si="15"/>
        <v>0</v>
      </c>
    </row>
    <row r="49" spans="1:39">
      <c r="A49" s="343" t="str">
        <f t="shared" si="9"/>
        <v>Commercial - Public Lights</v>
      </c>
      <c r="B49" s="346" t="str">
        <f t="shared" si="9"/>
        <v>CEG</v>
      </c>
      <c r="C49" s="321">
        <f t="shared" si="10"/>
        <v>0</v>
      </c>
      <c r="D49" s="321">
        <f t="shared" ref="D49:J49" si="17">D37*D$7</f>
        <v>0</v>
      </c>
      <c r="E49" s="321">
        <f>E37*E$7</f>
        <v>3.0148772025911916</v>
      </c>
      <c r="F49" s="321">
        <f t="shared" si="17"/>
        <v>0</v>
      </c>
      <c r="G49" s="321">
        <f t="shared" si="17"/>
        <v>0</v>
      </c>
      <c r="H49" s="321">
        <f t="shared" si="17"/>
        <v>0</v>
      </c>
      <c r="I49" s="321">
        <f t="shared" si="17"/>
        <v>0</v>
      </c>
      <c r="J49" s="321">
        <f t="shared" si="17"/>
        <v>0</v>
      </c>
      <c r="K49" s="330">
        <f t="shared" si="12"/>
        <v>3.0148772025911916</v>
      </c>
      <c r="L49" s="390">
        <f>M108</f>
        <v>3.0148772025911916</v>
      </c>
      <c r="M49" s="634">
        <f t="shared" si="15"/>
        <v>0</v>
      </c>
    </row>
    <row r="50" spans="1:39">
      <c r="A50" s="343" t="str">
        <f t="shared" si="9"/>
        <v>Commercial - Public Water</v>
      </c>
      <c r="B50" s="346" t="str">
        <f t="shared" si="9"/>
        <v>CET</v>
      </c>
      <c r="C50" s="321"/>
      <c r="D50" s="321"/>
      <c r="E50" s="321">
        <f t="shared" si="16"/>
        <v>3.5593512487513528</v>
      </c>
      <c r="F50" s="321"/>
      <c r="G50" s="321"/>
      <c r="H50" s="321"/>
      <c r="I50" s="321"/>
      <c r="J50" s="321"/>
      <c r="K50" s="330">
        <f t="shared" si="12"/>
        <v>3.5593512487513528</v>
      </c>
      <c r="L50" s="390">
        <f>M110</f>
        <v>3.5593512487513528</v>
      </c>
      <c r="M50" s="634">
        <f t="shared" si="15"/>
        <v>0</v>
      </c>
    </row>
    <row r="51" spans="1:39">
      <c r="A51" s="343" t="str">
        <f t="shared" ref="A51" si="18">A39</f>
        <v>Commercial - Other</v>
      </c>
      <c r="B51" s="346" t="str">
        <f t="shared" ref="B51" si="19">B39</f>
        <v>CEO</v>
      </c>
      <c r="C51" s="321">
        <f>C39*C$7</f>
        <v>0</v>
      </c>
      <c r="D51" s="321">
        <f>D39*D$7</f>
        <v>0.69547475469735887</v>
      </c>
      <c r="E51" s="321">
        <f t="shared" si="16"/>
        <v>23.868152394049329</v>
      </c>
      <c r="F51" s="321">
        <f>F39*F$7</f>
        <v>0</v>
      </c>
      <c r="G51" s="321">
        <f>G39*G$7</f>
        <v>0</v>
      </c>
      <c r="H51" s="321">
        <f>H39*H$7</f>
        <v>0.23314278231431268</v>
      </c>
      <c r="I51" s="321">
        <f>I39*I$7</f>
        <v>0</v>
      </c>
      <c r="J51" s="321">
        <f>J39*J$7</f>
        <v>0</v>
      </c>
      <c r="K51" s="330">
        <f>SUM(C51:J51)</f>
        <v>24.796769931061</v>
      </c>
      <c r="L51" s="390">
        <f>M120</f>
        <v>24.796769931061</v>
      </c>
      <c r="M51" s="634">
        <f t="shared" si="15"/>
        <v>0</v>
      </c>
    </row>
    <row r="52" spans="1:39">
      <c r="A52" s="331" t="str">
        <f>A40</f>
        <v>Total</v>
      </c>
      <c r="B52" s="343"/>
      <c r="C52" s="330">
        <f t="shared" ref="C52:K52" si="20">SUM(C43:C51)</f>
        <v>15.025952150460814</v>
      </c>
      <c r="D52" s="330">
        <f t="shared" si="20"/>
        <v>0.69547475469735887</v>
      </c>
      <c r="E52" s="330">
        <f t="shared" si="20"/>
        <v>149.83199999999997</v>
      </c>
      <c r="F52" s="330">
        <f t="shared" si="20"/>
        <v>3.5000000000000003E-2</v>
      </c>
      <c r="G52" s="330">
        <f t="shared" si="20"/>
        <v>0</v>
      </c>
      <c r="H52" s="330">
        <f t="shared" si="20"/>
        <v>0.23314278231431268</v>
      </c>
      <c r="I52" s="330">
        <f t="shared" si="20"/>
        <v>2.5641871713843942</v>
      </c>
      <c r="J52" s="330">
        <f t="shared" si="20"/>
        <v>4.0348708055603515</v>
      </c>
      <c r="K52" s="330">
        <f t="shared" si="20"/>
        <v>172.42062766441717</v>
      </c>
    </row>
    <row r="53" spans="1:39">
      <c r="A53" s="332"/>
      <c r="B53" s="333"/>
      <c r="C53" s="334"/>
      <c r="D53" s="334"/>
      <c r="E53" s="334"/>
      <c r="F53" s="334"/>
      <c r="G53" s="334"/>
      <c r="H53" s="334"/>
      <c r="I53" s="334"/>
      <c r="J53" s="334"/>
      <c r="K53" s="334"/>
      <c r="Q53" s="314">
        <v>2015</v>
      </c>
      <c r="R53" s="314">
        <v>2020</v>
      </c>
      <c r="S53" s="314">
        <v>2025</v>
      </c>
      <c r="T53" s="314">
        <v>2030</v>
      </c>
      <c r="U53" s="314">
        <v>2035</v>
      </c>
      <c r="V53" s="314">
        <v>2040</v>
      </c>
      <c r="W53" s="314">
        <v>2045</v>
      </c>
      <c r="X53" s="314">
        <v>2050</v>
      </c>
      <c r="AA53" s="314">
        <v>2015</v>
      </c>
      <c r="AB53" s="314">
        <v>2020</v>
      </c>
      <c r="AC53" s="314">
        <v>2025</v>
      </c>
      <c r="AD53" s="314">
        <v>2030</v>
      </c>
      <c r="AE53" s="314">
        <v>2035</v>
      </c>
      <c r="AF53" s="314">
        <v>2040</v>
      </c>
      <c r="AG53" s="314">
        <v>2045</v>
      </c>
      <c r="AH53" s="314">
        <v>2050</v>
      </c>
      <c r="AK53" s="314">
        <v>5</v>
      </c>
    </row>
    <row r="54" spans="1:39">
      <c r="C54" s="555"/>
      <c r="D54" s="555"/>
      <c r="E54" s="555"/>
      <c r="F54" s="555"/>
      <c r="G54" s="555"/>
      <c r="H54" s="555"/>
      <c r="O54" s="561" t="s">
        <v>793</v>
      </c>
      <c r="P54" s="561"/>
      <c r="Q54" s="562">
        <v>0</v>
      </c>
      <c r="R54" s="562">
        <v>0.1</v>
      </c>
      <c r="S54" s="562">
        <v>0.17</v>
      </c>
      <c r="T54" s="562">
        <v>0.25</v>
      </c>
      <c r="U54" s="562">
        <v>0.3</v>
      </c>
      <c r="V54" s="562">
        <v>0.35</v>
      </c>
      <c r="W54" s="562">
        <v>0.4</v>
      </c>
      <c r="X54" s="562">
        <v>0.5</v>
      </c>
      <c r="Y54" s="561" t="s">
        <v>794</v>
      </c>
      <c r="Z54" s="561"/>
      <c r="AA54" s="562">
        <v>0.8</v>
      </c>
      <c r="AB54" s="562">
        <v>0.4</v>
      </c>
      <c r="AC54" s="562">
        <v>0.3</v>
      </c>
      <c r="AD54" s="562">
        <v>0.25</v>
      </c>
      <c r="AE54" s="562">
        <v>0.2</v>
      </c>
      <c r="AF54" s="562">
        <v>0.15</v>
      </c>
      <c r="AG54" s="562">
        <v>0.1</v>
      </c>
      <c r="AH54" s="562">
        <v>0.05</v>
      </c>
      <c r="AK54" s="314">
        <f>12/5</f>
        <v>2.4</v>
      </c>
    </row>
    <row r="55" spans="1:39">
      <c r="C55" s="555"/>
      <c r="G55" s="403" t="s">
        <v>787</v>
      </c>
      <c r="H55" s="404">
        <v>0</v>
      </c>
      <c r="J55" s="555"/>
      <c r="AK55" s="314">
        <f>AK53*AK54</f>
        <v>12</v>
      </c>
    </row>
    <row r="56" spans="1:39">
      <c r="A56" s="335" t="s">
        <v>676</v>
      </c>
      <c r="B56" s="335" t="s">
        <v>677</v>
      </c>
      <c r="C56" s="335" t="s">
        <v>678</v>
      </c>
      <c r="D56" s="335" t="s">
        <v>679</v>
      </c>
      <c r="E56" s="335" t="s">
        <v>680</v>
      </c>
      <c r="F56" s="335" t="s">
        <v>681</v>
      </c>
      <c r="G56" s="335" t="s">
        <v>682</v>
      </c>
      <c r="H56" s="335" t="s">
        <v>683</v>
      </c>
      <c r="I56" s="335" t="s">
        <v>769</v>
      </c>
      <c r="J56" s="335" t="s">
        <v>770</v>
      </c>
      <c r="P56" s="563">
        <v>0.02</v>
      </c>
      <c r="Z56" s="563">
        <v>0.02</v>
      </c>
    </row>
    <row r="57" spans="1:39" ht="51.75" thickBot="1">
      <c r="A57" s="564"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t="s">
        <v>789</v>
      </c>
      <c r="S57" s="337" t="s">
        <v>789</v>
      </c>
      <c r="T57" s="337" t="s">
        <v>789</v>
      </c>
      <c r="U57" s="337" t="s">
        <v>789</v>
      </c>
      <c r="V57" s="337" t="s">
        <v>789</v>
      </c>
      <c r="W57" s="337" t="s">
        <v>789</v>
      </c>
      <c r="X57" s="337" t="s">
        <v>789</v>
      </c>
      <c r="Z57" s="337" t="s">
        <v>788</v>
      </c>
      <c r="AA57" s="337" t="s">
        <v>790</v>
      </c>
      <c r="AB57" s="337" t="s">
        <v>790</v>
      </c>
      <c r="AC57" s="337" t="s">
        <v>790</v>
      </c>
      <c r="AD57" s="337" t="s">
        <v>790</v>
      </c>
      <c r="AE57" s="337" t="s">
        <v>790</v>
      </c>
      <c r="AF57" s="337" t="s">
        <v>790</v>
      </c>
      <c r="AG57" s="337" t="s">
        <v>790</v>
      </c>
      <c r="AH57" s="337" t="s">
        <v>790</v>
      </c>
      <c r="AI57" s="337" t="s">
        <v>695</v>
      </c>
    </row>
    <row r="58" spans="1:39" ht="25.5">
      <c r="A58" s="338" t="s">
        <v>696</v>
      </c>
      <c r="B58" s="339"/>
      <c r="C58" s="339"/>
      <c r="D58" s="339"/>
      <c r="E58" s="340" t="s">
        <v>697</v>
      </c>
      <c r="F58" s="340" t="s">
        <v>698</v>
      </c>
      <c r="G58" s="313" t="s">
        <v>699</v>
      </c>
      <c r="H58" s="341" t="s">
        <v>700</v>
      </c>
      <c r="I58" s="314" t="s">
        <v>1197</v>
      </c>
      <c r="J58" s="314" t="s">
        <v>1198</v>
      </c>
      <c r="L58" s="313" t="s">
        <v>701</v>
      </c>
      <c r="M58" s="313" t="s">
        <v>702</v>
      </c>
      <c r="N58" s="313" t="s">
        <v>702</v>
      </c>
      <c r="P58" s="314" t="s">
        <v>979</v>
      </c>
      <c r="Q58" s="314" t="str">
        <f t="shared" ref="Q58:X58" si="21">"U"&amp;Q$53</f>
        <v>U2015</v>
      </c>
      <c r="R58" s="314" t="str">
        <f t="shared" si="21"/>
        <v>U2020</v>
      </c>
      <c r="S58" s="314" t="str">
        <f t="shared" si="21"/>
        <v>U2025</v>
      </c>
      <c r="T58" s="314" t="str">
        <f t="shared" si="21"/>
        <v>U2030</v>
      </c>
      <c r="U58" s="314" t="str">
        <f t="shared" si="21"/>
        <v>U2035</v>
      </c>
      <c r="V58" s="314" t="str">
        <f t="shared" si="21"/>
        <v>U2040</v>
      </c>
      <c r="W58" s="314" t="str">
        <f t="shared" si="21"/>
        <v>U2045</v>
      </c>
      <c r="X58" s="314" t="str">
        <f t="shared" si="21"/>
        <v>U2050</v>
      </c>
      <c r="Z58" s="314" t="s">
        <v>980</v>
      </c>
      <c r="AA58" s="314" t="str">
        <f t="shared" ref="AA58:AH58" si="22">"L"&amp;AA$53</f>
        <v>L2015</v>
      </c>
      <c r="AB58" s="314" t="str">
        <f t="shared" si="22"/>
        <v>L2020</v>
      </c>
      <c r="AC58" s="314" t="str">
        <f t="shared" si="22"/>
        <v>L2025</v>
      </c>
      <c r="AD58" s="314" t="str">
        <f t="shared" si="22"/>
        <v>L2030</v>
      </c>
      <c r="AE58" s="314" t="str">
        <f t="shared" si="22"/>
        <v>L2035</v>
      </c>
      <c r="AF58" s="314" t="str">
        <f t="shared" si="22"/>
        <v>L2040</v>
      </c>
      <c r="AG58" s="314" t="str">
        <f t="shared" si="22"/>
        <v>L2045</v>
      </c>
      <c r="AH58" s="314" t="str">
        <f t="shared" si="22"/>
        <v>L2050</v>
      </c>
    </row>
    <row r="59" spans="1:39">
      <c r="A59" s="342" t="s">
        <v>703</v>
      </c>
      <c r="B59" s="343"/>
      <c r="C59" s="344">
        <v>1</v>
      </c>
      <c r="D59" s="344">
        <f t="shared" ref="D59:J59" si="23">C59+1</f>
        <v>2</v>
      </c>
      <c r="E59" s="344">
        <f t="shared" si="23"/>
        <v>3</v>
      </c>
      <c r="F59" s="344">
        <f t="shared" si="23"/>
        <v>4</v>
      </c>
      <c r="G59" s="344">
        <f t="shared" si="23"/>
        <v>5</v>
      </c>
      <c r="H59" s="344">
        <f t="shared" si="23"/>
        <v>6</v>
      </c>
      <c r="I59" s="344">
        <f t="shared" si="23"/>
        <v>7</v>
      </c>
      <c r="J59" s="344">
        <f t="shared" si="23"/>
        <v>8</v>
      </c>
      <c r="L59" s="565"/>
      <c r="M59" s="325"/>
      <c r="N59" s="325"/>
    </row>
    <row r="60" spans="1:39">
      <c r="A60" s="343" t="str">
        <f>"\I:"&amp;A43</f>
        <v>\I:Commercial - Cooling</v>
      </c>
      <c r="B60" s="339"/>
    </row>
    <row r="61" spans="1:39">
      <c r="A61" s="343" t="str">
        <f>A43&amp;" - Electricity - Chiller - Existing"</f>
        <v>Commercial - Cooling - Electricity - Chiller - Existing</v>
      </c>
      <c r="B61" s="343" t="str">
        <f>D61&amp;RIGHT(C61,3)&amp;"CHIL-E"</f>
        <v>CECELCCHIL-E</v>
      </c>
      <c r="C61" s="346" t="str">
        <f t="shared" ref="C61:C66" si="24">$E$6</f>
        <v>COMELC</v>
      </c>
      <c r="D61" s="346" t="str">
        <f t="shared" ref="D61:D66" si="25">$B$43</f>
        <v>CEC</v>
      </c>
      <c r="E61" s="347">
        <f>Appliances!J56</f>
        <v>2.2000000000000002</v>
      </c>
      <c r="F61" s="566">
        <f ca="1">SUMIF(AFA!$B$3:$S$3,D61,AFA!$B$4:$J$4)</f>
        <v>0.79849999999999999</v>
      </c>
      <c r="G61" s="348">
        <v>15</v>
      </c>
      <c r="H61" s="349">
        <f ca="1">(N61/F61)*(1+$H$55)</f>
        <v>6.7985615161498822</v>
      </c>
      <c r="I61" s="349">
        <f>SUMIF('Technology costs'!$B$7:$B$28,COM_2012!B61,'Technology costs'!$L$7:$L$28)</f>
        <v>54.310780405383028</v>
      </c>
      <c r="J61" s="349">
        <f>I61*0.1</f>
        <v>5.4310780405383028</v>
      </c>
      <c r="L61" s="350">
        <f>Appliances!F56</f>
        <v>0.05</v>
      </c>
      <c r="M61" s="349">
        <f>L61*SUMIF($C$6:$J$6,C61,$C$43:$J$43)</f>
        <v>2.4675688048389457</v>
      </c>
      <c r="N61" s="349">
        <f>M61*E61</f>
        <v>5.4286513706456807</v>
      </c>
      <c r="P61" s="616">
        <f t="shared" ref="P61:P66" si="26">N61/SUMIF($D$61:$D$121,$D61,$N$61:$N$121)*(1+$P$56)</f>
        <v>3.9646643109540636E-2</v>
      </c>
      <c r="Q61" s="411">
        <f>MIN(1,$P61+Q$54)</f>
        <v>3.9646643109540636E-2</v>
      </c>
      <c r="R61" s="411"/>
      <c r="S61" s="411"/>
      <c r="T61" s="411"/>
      <c r="U61" s="411"/>
      <c r="V61" s="411"/>
      <c r="W61" s="411"/>
      <c r="X61" s="411"/>
      <c r="Z61" s="479">
        <f>P61/(1+$P$56+$Z$56)</f>
        <v>3.8121772220712148E-2</v>
      </c>
      <c r="AA61" s="411">
        <f>$Z61*AA$54</f>
        <v>3.0497417776569721E-2</v>
      </c>
      <c r="AB61" s="411"/>
      <c r="AC61" s="411"/>
      <c r="AD61" s="411"/>
      <c r="AE61" s="411"/>
      <c r="AF61" s="411"/>
      <c r="AG61" s="411"/>
      <c r="AH61" s="411"/>
      <c r="AI61" s="314">
        <v>1</v>
      </c>
      <c r="AL61" s="390">
        <f>P61*E61</f>
        <v>8.7222614840989407E-2</v>
      </c>
      <c r="AM61" s="390"/>
    </row>
    <row r="62" spans="1:39">
      <c r="A62" s="343" t="str">
        <f>A43&amp;" - Electricity - Central - Existing"</f>
        <v>Commercial - Cooling - Electricity - Central - Existing</v>
      </c>
      <c r="B62" s="343" t="str">
        <f>D62&amp;RIGHT(C62,3)&amp;"CEN-E"</f>
        <v>CECELCCEN-E</v>
      </c>
      <c r="C62" s="346" t="str">
        <f t="shared" si="24"/>
        <v>COMELC</v>
      </c>
      <c r="D62" s="346" t="str">
        <f t="shared" si="25"/>
        <v>CEC</v>
      </c>
      <c r="E62" s="347">
        <f>Appliances!J57</f>
        <v>3.1</v>
      </c>
      <c r="F62" s="566">
        <f ca="1">SUMIF(AFA!$B$3:$S$3,D62,AFA!$B$4:$J$4)</f>
        <v>0.79849999999999999</v>
      </c>
      <c r="G62" s="348">
        <v>15</v>
      </c>
      <c r="H62" s="349">
        <f ca="1">(N62/F62)*(1+$H$55)</f>
        <v>114.9574947276253</v>
      </c>
      <c r="I62" s="349">
        <f>SUMIF('Technology costs'!$B$7:$B$28,COM_2012!B62,'Technology costs'!$L$7:$L$28)</f>
        <v>91.48641577227815</v>
      </c>
      <c r="J62" s="349">
        <f>I62*0.1</f>
        <v>9.1486415772278153</v>
      </c>
      <c r="L62" s="350">
        <f>Appliances!F57</f>
        <v>0.60000000000000009</v>
      </c>
      <c r="M62" s="349">
        <f>L62*SUMIF($C$6:$J$6,C62,$C$43:$J$43)</f>
        <v>29.610825658067352</v>
      </c>
      <c r="N62" s="349">
        <f>M62*E62</f>
        <v>91.7935595400088</v>
      </c>
      <c r="P62" s="410">
        <f t="shared" si="26"/>
        <v>0.67038869257950529</v>
      </c>
      <c r="Q62" s="411">
        <f t="shared" ref="Q62:Q67" si="27">MIN(1,$P62+Q$54)</f>
        <v>0.67038869257950529</v>
      </c>
      <c r="R62" s="411"/>
      <c r="S62" s="411"/>
      <c r="T62" s="411"/>
      <c r="U62" s="411"/>
      <c r="V62" s="411"/>
      <c r="W62" s="411"/>
      <c r="X62" s="411"/>
      <c r="Z62" s="410">
        <f t="shared" ref="Z62:Z67" si="28">P62/(1+$P$56+$Z$56)</f>
        <v>0.64460451209567815</v>
      </c>
      <c r="AA62" s="411">
        <f t="shared" ref="AA62:AA67" si="29">$Z62*AA$54</f>
        <v>0.51568360967654259</v>
      </c>
      <c r="AB62" s="411"/>
      <c r="AC62" s="411"/>
      <c r="AD62" s="411"/>
      <c r="AE62" s="411"/>
      <c r="AF62" s="411"/>
      <c r="AG62" s="411"/>
      <c r="AH62" s="411"/>
      <c r="AI62" s="314">
        <f>AI61+1</f>
        <v>2</v>
      </c>
      <c r="AL62" s="390">
        <f t="shared" ref="AL62:AL120" si="30">P62*E62</f>
        <v>2.0782049469964665</v>
      </c>
      <c r="AM62" s="390"/>
    </row>
    <row r="63" spans="1:39">
      <c r="A63" s="343" t="str">
        <f>A43&amp;" - Electricity - Heat Pump - Existing"</f>
        <v>Commercial - Cooling - Electricity - Heat Pump - Existing</v>
      </c>
      <c r="B63" s="343" t="str">
        <f>D63&amp;RIGHT(C63,3)&amp;"HP-E"</f>
        <v>CECELCHP-E</v>
      </c>
      <c r="C63" s="346" t="str">
        <f t="shared" si="24"/>
        <v>COMELC</v>
      </c>
      <c r="D63" s="346" t="str">
        <f t="shared" si="25"/>
        <v>CEC</v>
      </c>
      <c r="E63" s="347">
        <f>Appliances!J58</f>
        <v>2.5</v>
      </c>
      <c r="F63" s="566">
        <f ca="1">SUMIF(AFA!$B$3:$S$3,D63,AFA!$B$4:$J$4)</f>
        <v>0.79849999999999999</v>
      </c>
      <c r="G63" s="348">
        <v>15</v>
      </c>
      <c r="H63" s="349">
        <f ca="1">(N63/F63)*(1+$H$55)</f>
        <v>30.902552346135828</v>
      </c>
      <c r="I63" s="349">
        <f>SUMIF('Technology costs'!$B$7:$B$28,COM_2012!B63,'Technology costs'!$L$7:$L$28)</f>
        <v>118.96450756323959</v>
      </c>
      <c r="J63" s="349">
        <f t="shared" ref="J63:J118" si="31">I63*0.1</f>
        <v>11.89645075632396</v>
      </c>
      <c r="L63" s="350">
        <f>Appliances!F58</f>
        <v>0.2</v>
      </c>
      <c r="M63" s="349">
        <f>L63*SUMIF($C$6:$J$6,C63,$C$43:$J$43)</f>
        <v>9.8702752193557828</v>
      </c>
      <c r="N63" s="349">
        <f>M63*E63</f>
        <v>24.675688048389457</v>
      </c>
      <c r="O63" s="390"/>
      <c r="P63" s="410">
        <f t="shared" si="26"/>
        <v>0.18021201413427559</v>
      </c>
      <c r="Q63" s="411">
        <f>MIN(1,$P63+Q$54)</f>
        <v>0.18021201413427559</v>
      </c>
      <c r="R63" s="411"/>
      <c r="S63" s="411"/>
      <c r="T63" s="411"/>
      <c r="U63" s="411"/>
      <c r="V63" s="411"/>
      <c r="W63" s="411"/>
      <c r="X63" s="411"/>
      <c r="Z63" s="410">
        <f t="shared" si="28"/>
        <v>0.17328078282141884</v>
      </c>
      <c r="AA63" s="411">
        <f t="shared" si="29"/>
        <v>0.13862462625713509</v>
      </c>
      <c r="AB63" s="411"/>
      <c r="AC63" s="411"/>
      <c r="AD63" s="411"/>
      <c r="AE63" s="411"/>
      <c r="AF63" s="411"/>
      <c r="AG63" s="411"/>
      <c r="AH63" s="411"/>
      <c r="AI63" s="314">
        <f>AI62+1</f>
        <v>3</v>
      </c>
      <c r="AL63" s="390">
        <f t="shared" si="30"/>
        <v>0.45053003533568897</v>
      </c>
      <c r="AM63" s="390"/>
    </row>
    <row r="64" spans="1:39">
      <c r="A64" s="343" t="str">
        <f>A43&amp;" - Electricity - Room - Existing"</f>
        <v>Commercial - Cooling - Electricity - Room - Existing</v>
      </c>
      <c r="B64" s="343" t="str">
        <f>D64&amp;RIGHT(C64,3)&amp;"ROOM-E"</f>
        <v>CECELCROOM-E</v>
      </c>
      <c r="C64" s="346" t="str">
        <f t="shared" si="24"/>
        <v>COMELC</v>
      </c>
      <c r="D64" s="346" t="str">
        <f t="shared" si="25"/>
        <v>CEC</v>
      </c>
      <c r="E64" s="347">
        <f>Appliances!J59</f>
        <v>2.4</v>
      </c>
      <c r="F64" s="566">
        <f ca="1">SUMIF(AFA!$B$3:$S$3,D64,AFA!$B$4:$J$4)</f>
        <v>0.79849999999999999</v>
      </c>
      <c r="G64" s="348">
        <v>15</v>
      </c>
      <c r="H64" s="349">
        <f ca="1">(N64/F64)*(1+$H$55)</f>
        <v>22.249837689217795</v>
      </c>
      <c r="I64" s="567">
        <f>SUMIF('Technology costs'!$B$7:$B$28,COM_2012!B64,'Technology costs'!$L$7:$L$28)</f>
        <v>49.654804773986427</v>
      </c>
      <c r="J64" s="349">
        <f t="shared" si="31"/>
        <v>4.9654804773986427</v>
      </c>
      <c r="L64" s="350">
        <f>Appliances!F59</f>
        <v>0.15</v>
      </c>
      <c r="M64" s="349">
        <f>L64*SUMIF($C$6:$J$6,C64,$C$43:$J$43)</f>
        <v>7.4027064145168371</v>
      </c>
      <c r="N64" s="349">
        <f>M64*E64</f>
        <v>17.766495394840408</v>
      </c>
      <c r="P64" s="410">
        <f t="shared" si="26"/>
        <v>0.12975265017667845</v>
      </c>
      <c r="Q64" s="411">
        <f t="shared" si="27"/>
        <v>0.12975265017667845</v>
      </c>
      <c r="R64" s="411"/>
      <c r="S64" s="411"/>
      <c r="T64" s="411"/>
      <c r="U64" s="411"/>
      <c r="V64" s="411"/>
      <c r="W64" s="411"/>
      <c r="X64" s="411"/>
      <c r="Z64" s="410">
        <f>P64/(1+$P$56+$Z$56)</f>
        <v>0.12476216363142158</v>
      </c>
      <c r="AA64" s="411">
        <f t="shared" si="29"/>
        <v>9.980973090513727E-2</v>
      </c>
      <c r="AB64" s="411"/>
      <c r="AC64" s="411"/>
      <c r="AD64" s="411"/>
      <c r="AE64" s="411"/>
      <c r="AF64" s="411"/>
      <c r="AG64" s="411"/>
      <c r="AH64" s="411"/>
      <c r="AI64" s="314">
        <f t="shared" ref="AI64:AI121" si="32">AI63+1</f>
        <v>4</v>
      </c>
      <c r="AL64" s="390">
        <f t="shared" si="30"/>
        <v>0.31140636042402825</v>
      </c>
      <c r="AM64" s="390"/>
    </row>
    <row r="65" spans="1:39" ht="15.75" customHeight="1">
      <c r="A65" s="343" t="str">
        <f>A43&amp;" - Electricity - Central - New"</f>
        <v>Commercial - Cooling - Electricity - Central - New</v>
      </c>
      <c r="B65" s="343" t="str">
        <f>D65&amp;RIGHT(C65,3)&amp;"CEN-N"</f>
        <v>CECELCCEN-N</v>
      </c>
      <c r="C65" s="346" t="str">
        <f t="shared" si="24"/>
        <v>COMELC</v>
      </c>
      <c r="D65" s="346" t="str">
        <f t="shared" si="25"/>
        <v>CEC</v>
      </c>
      <c r="E65" s="347">
        <f>(0.19/0.17)*E62</f>
        <v>3.4647058823529413</v>
      </c>
      <c r="F65" s="566">
        <f ca="1">SUMIF(AFA!$B$3:$S$3,D65,AFA!$B$4:$J$4)</f>
        <v>0.79849999999999999</v>
      </c>
      <c r="G65" s="348">
        <f>G62</f>
        <v>15</v>
      </c>
      <c r="H65" s="349">
        <v>0</v>
      </c>
      <c r="I65" s="349">
        <f>(10/3.74)*I62</f>
        <v>244.61608495261538</v>
      </c>
      <c r="J65" s="349">
        <f>J62</f>
        <v>9.1486415772278153</v>
      </c>
      <c r="L65" s="350">
        <v>0</v>
      </c>
      <c r="M65" s="349">
        <v>0</v>
      </c>
      <c r="N65" s="349">
        <v>0</v>
      </c>
      <c r="P65" s="410">
        <f t="shared" si="26"/>
        <v>0</v>
      </c>
      <c r="Q65" s="411">
        <f t="shared" si="27"/>
        <v>0</v>
      </c>
      <c r="R65" s="411"/>
      <c r="S65" s="411"/>
      <c r="T65" s="411"/>
      <c r="U65" s="411"/>
      <c r="V65" s="411"/>
      <c r="W65" s="411"/>
      <c r="X65" s="411"/>
      <c r="Z65" s="410">
        <f t="shared" si="28"/>
        <v>0</v>
      </c>
      <c r="AA65" s="411">
        <f t="shared" si="29"/>
        <v>0</v>
      </c>
      <c r="AB65" s="411"/>
      <c r="AC65" s="411"/>
      <c r="AD65" s="411"/>
      <c r="AE65" s="411"/>
      <c r="AF65" s="411"/>
      <c r="AG65" s="411"/>
      <c r="AH65" s="411"/>
      <c r="AI65" s="314">
        <f t="shared" si="32"/>
        <v>5</v>
      </c>
      <c r="AL65" s="390">
        <f t="shared" si="30"/>
        <v>0</v>
      </c>
      <c r="AM65" s="390"/>
    </row>
    <row r="66" spans="1:39" ht="15.75" customHeight="1">
      <c r="A66" s="343" t="str">
        <f>A43&amp;" - Electricity - Heat Pump - New"</f>
        <v>Commercial - Cooling - Electricity - Heat Pump - New</v>
      </c>
      <c r="B66" s="343" t="str">
        <f>D66&amp;RIGHT(C66,3)&amp;"HP-N"</f>
        <v>CECELCHP-N</v>
      </c>
      <c r="C66" s="346" t="str">
        <f t="shared" si="24"/>
        <v>COMELC</v>
      </c>
      <c r="D66" s="346" t="str">
        <f t="shared" si="25"/>
        <v>CEC</v>
      </c>
      <c r="E66" s="347">
        <f>(3.4/3.52)*E65</f>
        <v>3.3465909090909087</v>
      </c>
      <c r="F66" s="566">
        <f ca="1">SUMIF(AFA!$B$3:$S$3,D66,AFA!$B$4:$J$4)</f>
        <v>0.79849999999999999</v>
      </c>
      <c r="G66" s="348">
        <v>15</v>
      </c>
      <c r="H66" s="349">
        <v>0</v>
      </c>
      <c r="I66" s="349">
        <f>(10.68/10)*I65</f>
        <v>261.24997872939326</v>
      </c>
      <c r="J66" s="349">
        <f>(0.15/0.11)*J65</f>
        <v>12.475420332583383</v>
      </c>
      <c r="L66" s="350">
        <v>0</v>
      </c>
      <c r="M66" s="349">
        <v>0</v>
      </c>
      <c r="N66" s="349">
        <v>0</v>
      </c>
      <c r="P66" s="410">
        <f t="shared" si="26"/>
        <v>0</v>
      </c>
      <c r="Q66" s="411">
        <f t="shared" si="27"/>
        <v>0</v>
      </c>
      <c r="R66" s="411"/>
      <c r="S66" s="411"/>
      <c r="T66" s="411"/>
      <c r="U66" s="411"/>
      <c r="V66" s="411"/>
      <c r="W66" s="411"/>
      <c r="X66" s="411"/>
      <c r="Z66" s="410">
        <f t="shared" si="28"/>
        <v>0</v>
      </c>
      <c r="AA66" s="411">
        <f t="shared" si="29"/>
        <v>0</v>
      </c>
      <c r="AB66" s="411"/>
      <c r="AC66" s="411"/>
      <c r="AD66" s="411"/>
      <c r="AE66" s="411"/>
      <c r="AF66" s="411"/>
      <c r="AG66" s="411"/>
      <c r="AH66" s="411"/>
      <c r="AI66" s="314">
        <f t="shared" si="32"/>
        <v>6</v>
      </c>
      <c r="AL66" s="390">
        <f t="shared" si="30"/>
        <v>0</v>
      </c>
      <c r="AM66" s="390"/>
    </row>
    <row r="67" spans="1:39">
      <c r="A67" s="352" t="s">
        <v>704</v>
      </c>
      <c r="B67" s="343"/>
      <c r="C67" s="353"/>
      <c r="D67" s="353"/>
      <c r="E67" s="354"/>
      <c r="F67" s="566"/>
      <c r="G67" s="344"/>
      <c r="H67" s="353">
        <f ca="1">SUM(H61:H64)/4</f>
        <v>43.727111569782203</v>
      </c>
      <c r="I67" s="349"/>
      <c r="J67" s="349"/>
      <c r="L67" s="355">
        <f>SUM(L61:L64)</f>
        <v>1</v>
      </c>
      <c r="M67" s="356">
        <f>SUM(M61:M64)</f>
        <v>49.351376096778914</v>
      </c>
      <c r="N67" s="356">
        <f>SUM(N61:N64)</f>
        <v>139.66439435388435</v>
      </c>
      <c r="P67" s="655">
        <f>SUM(P61:P66)</f>
        <v>1.0199999999999998</v>
      </c>
      <c r="Q67" s="411">
        <f t="shared" si="27"/>
        <v>1</v>
      </c>
      <c r="Z67" s="410">
        <f t="shared" si="28"/>
        <v>0.9807692307692305</v>
      </c>
      <c r="AA67" s="411">
        <f t="shared" si="29"/>
        <v>0.78461538461538449</v>
      </c>
      <c r="AI67" s="314">
        <f t="shared" si="32"/>
        <v>7</v>
      </c>
      <c r="AL67" s="390">
        <f t="shared" si="30"/>
        <v>0</v>
      </c>
      <c r="AM67" s="390">
        <f>SUM(AL61:AL66)</f>
        <v>2.9273639575971733</v>
      </c>
    </row>
    <row r="68" spans="1:39">
      <c r="A68" s="343" t="str">
        <f>"\I:"&amp;A44</f>
        <v>\I:Commercial - Space Heating</v>
      </c>
      <c r="B68" s="343"/>
      <c r="C68" s="353"/>
      <c r="D68" s="353"/>
      <c r="E68" s="339"/>
      <c r="F68" s="566"/>
      <c r="G68" s="339"/>
      <c r="H68" s="339"/>
      <c r="I68" s="349"/>
      <c r="J68" s="349"/>
      <c r="K68" s="357"/>
      <c r="L68" s="358"/>
      <c r="M68" s="358"/>
      <c r="AI68" s="314">
        <f t="shared" si="32"/>
        <v>8</v>
      </c>
      <c r="AL68" s="390">
        <f t="shared" si="30"/>
        <v>0</v>
      </c>
    </row>
    <row r="69" spans="1:39">
      <c r="A69" s="343" t="str">
        <f>A$44&amp;" - "&amp;VLOOKUP(RIGHT(C69,3),NameConv!$E$3:$F$16,2,FALSE)&amp;" - Existing"</f>
        <v>Commercial - Space Heating - Coal - Existing</v>
      </c>
      <c r="B69" s="343" t="str">
        <f>D69&amp;RIGHT(C69,3)&amp;"-E"</f>
        <v>CEHCOA-E</v>
      </c>
      <c r="C69" s="346" t="str">
        <f>$C$6</f>
        <v>COMCOA</v>
      </c>
      <c r="D69" s="346" t="str">
        <f>$B$44</f>
        <v>CEH</v>
      </c>
      <c r="E69" s="347">
        <f>Appliances!J14</f>
        <v>0.60000000000000009</v>
      </c>
      <c r="F69" s="566">
        <f ca="1">SUMIF(AFA!$B$3:$S$3,D69,AFA!$B$4:$J$4)</f>
        <v>0.48230000000000001</v>
      </c>
      <c r="G69" s="348">
        <v>15</v>
      </c>
      <c r="H69" s="349">
        <f ca="1">(N69/F69)*(1+$H$55)</f>
        <v>10.153429916182546</v>
      </c>
      <c r="I69" s="567">
        <f>I72</f>
        <v>179.45037756394217</v>
      </c>
      <c r="J69" s="349">
        <f t="shared" si="31"/>
        <v>17.945037756394218</v>
      </c>
      <c r="L69" s="350">
        <f>Appliances!F14</f>
        <v>1</v>
      </c>
      <c r="M69" s="349">
        <f>L69*SUMIF($C$6:$J$6,C69,$C$44:$J$44)</f>
        <v>8.1616654142914022</v>
      </c>
      <c r="N69" s="349">
        <f>M69*E69</f>
        <v>4.8969992485748417</v>
      </c>
      <c r="P69" s="410">
        <f>N69/SUMIF($D$61:$D$121,$D69,$N$61:$N$121)*(1+$P$56)</f>
        <v>0.63615577566920256</v>
      </c>
      <c r="Q69" s="643">
        <f>P69</f>
        <v>0.63615577566920256</v>
      </c>
      <c r="R69" s="643"/>
      <c r="S69" s="643"/>
      <c r="T69" s="643"/>
      <c r="U69" s="643"/>
      <c r="V69" s="643"/>
      <c r="W69" s="643"/>
      <c r="X69" s="643"/>
      <c r="Z69" s="410">
        <f>P69/(1+$P$56+$Z$56)</f>
        <v>0.61168824583577164</v>
      </c>
      <c r="AA69" s="411">
        <f t="shared" ref="AA69:AA73" si="33">$Z69*AA$54</f>
        <v>0.48935059666861735</v>
      </c>
      <c r="AB69" s="411"/>
      <c r="AC69" s="411"/>
      <c r="AD69" s="411"/>
      <c r="AE69" s="411"/>
      <c r="AF69" s="411"/>
      <c r="AG69" s="411"/>
      <c r="AH69" s="411"/>
      <c r="AI69" s="314">
        <f t="shared" si="32"/>
        <v>9</v>
      </c>
      <c r="AL69" s="390">
        <f t="shared" si="30"/>
        <v>0.3816934654015216</v>
      </c>
    </row>
    <row r="70" spans="1:39">
      <c r="A70" s="343" t="str">
        <f>A$44&amp;" - "&amp;VLOOKUP(RIGHT(C70,3),NameConv!$E$3:$F$16,2,FALSE)&amp;" - Existing"</f>
        <v>Commercial - Space Heating - Electricity - Existing</v>
      </c>
      <c r="B70" s="343" t="str">
        <f>D70&amp;RIGHT(C70,3)&amp;"-E"</f>
        <v>CEHELC-E</v>
      </c>
      <c r="C70" s="346" t="str">
        <f>$E$6</f>
        <v>COMELC</v>
      </c>
      <c r="D70" s="346" t="str">
        <f>$B$44</f>
        <v>CEH</v>
      </c>
      <c r="E70" s="347">
        <f>Appliances!J11</f>
        <v>1</v>
      </c>
      <c r="F70" s="566">
        <f ca="1">SUMIF(AFA!$B$3:$S$3,D70,AFA!$B$4:$J$4)</f>
        <v>0.48230000000000001</v>
      </c>
      <c r="G70" s="348">
        <v>15</v>
      </c>
      <c r="H70" s="349">
        <f ca="1">(N70/F70)*(1+$H$55)</f>
        <v>6.1119353083207386</v>
      </c>
      <c r="I70" s="349">
        <f>SUMIF('Technology costs'!$B$7:$B$28,COM_2012!B70,'Technology costs'!$L$7:$L$28)</f>
        <v>31.420618543499238</v>
      </c>
      <c r="J70" s="349">
        <f t="shared" si="31"/>
        <v>3.1420618543499241</v>
      </c>
      <c r="L70" s="350">
        <f>Appliances!F11</f>
        <v>1</v>
      </c>
      <c r="M70" s="349">
        <f>L70*SUMIF($C$6:$J$6,C70,$C$44:$J$44)</f>
        <v>2.9477863992030922</v>
      </c>
      <c r="N70" s="349">
        <f>M70*E70</f>
        <v>2.9477863992030922</v>
      </c>
      <c r="P70" s="410">
        <f>N70/SUMIF($D$61:$D$121,$D70,$N$61:$N$121)*(1+$P$56)</f>
        <v>0.38293886686584999</v>
      </c>
      <c r="Q70" s="411">
        <f t="shared" ref="Q70:Q73" si="34">MIN(1,$P70+Q$54)</f>
        <v>0.38293886686584999</v>
      </c>
      <c r="R70" s="411"/>
      <c r="S70" s="411"/>
      <c r="T70" s="411"/>
      <c r="U70" s="411"/>
      <c r="V70" s="411"/>
      <c r="W70" s="411"/>
      <c r="X70" s="411"/>
      <c r="Z70" s="410">
        <f>P70/(1+$P$56+$Z$56)</f>
        <v>0.36821044890947113</v>
      </c>
      <c r="AA70" s="411">
        <f t="shared" si="33"/>
        <v>0.2945683591275769</v>
      </c>
      <c r="AB70" s="411"/>
      <c r="AC70" s="411"/>
      <c r="AD70" s="411"/>
      <c r="AE70" s="411"/>
      <c r="AF70" s="411"/>
      <c r="AG70" s="411"/>
      <c r="AH70" s="411"/>
      <c r="AI70" s="314">
        <f t="shared" si="32"/>
        <v>10</v>
      </c>
      <c r="AL70" s="390">
        <f t="shared" si="30"/>
        <v>0.38293886686584999</v>
      </c>
    </row>
    <row r="71" spans="1:39">
      <c r="A71" s="343" t="str">
        <f>A$44&amp;" - "&amp;VLOOKUP(RIGHT(C71,3),NameConv!$E$3:$F$16,2,FALSE)&amp;" - Existing"</f>
        <v>Commercial - Space Heating - Gas - Existing</v>
      </c>
      <c r="B71" s="343" t="str">
        <f>D71&amp;RIGHT(C71,3)&amp;"-E"</f>
        <v>CEHGAS-E</v>
      </c>
      <c r="C71" s="346" t="str">
        <f>$F$6</f>
        <v>COMGAS</v>
      </c>
      <c r="D71" s="346" t="str">
        <f>$B$44</f>
        <v>CEH</v>
      </c>
      <c r="E71" s="347">
        <f>Appliances!J16</f>
        <v>0.69</v>
      </c>
      <c r="F71" s="566">
        <f ca="1">SUMIF(AFA!$B$3:$S$3,D71,AFA!$B$4:$J$4)</f>
        <v>0.48230000000000001</v>
      </c>
      <c r="G71" s="348">
        <v>15</v>
      </c>
      <c r="H71" s="349">
        <f ca="1">(N71/F71)*(1+$H$55)</f>
        <v>1.4450051262626721E-2</v>
      </c>
      <c r="I71" s="486">
        <f>I73</f>
        <v>34.864360018767009</v>
      </c>
      <c r="J71" s="349">
        <f t="shared" si="31"/>
        <v>3.4864360018767009</v>
      </c>
      <c r="L71" s="350">
        <f>Appliances!F16</f>
        <v>1</v>
      </c>
      <c r="M71" s="349">
        <f>L71*SUMIF($C$6:$J$6,C71,$C$44:$J$44)</f>
        <v>1.0100376411543287E-2</v>
      </c>
      <c r="N71" s="349">
        <f>M71*E71</f>
        <v>6.9692597239648674E-3</v>
      </c>
      <c r="P71" s="410">
        <f>N71/SUMIF($D$61:$D$121,$D71,$N$61:$N$121)*(1+$P$56)</f>
        <v>9.0535746494739208E-4</v>
      </c>
      <c r="Q71" s="411">
        <f t="shared" si="34"/>
        <v>9.0535746494739208E-4</v>
      </c>
      <c r="R71" s="411"/>
      <c r="S71" s="411"/>
      <c r="T71" s="411"/>
      <c r="U71" s="411"/>
      <c r="V71" s="411"/>
      <c r="W71" s="411"/>
      <c r="X71" s="411"/>
      <c r="Z71" s="410">
        <f>P71/(1+$P$56+$Z$56)</f>
        <v>8.7053602398787699E-4</v>
      </c>
      <c r="AA71" s="411">
        <f t="shared" si="33"/>
        <v>6.9642881919030166E-4</v>
      </c>
      <c r="AB71" s="411"/>
      <c r="AC71" s="411"/>
      <c r="AD71" s="411"/>
      <c r="AE71" s="411"/>
      <c r="AF71" s="411"/>
      <c r="AG71" s="411"/>
      <c r="AH71" s="411"/>
      <c r="AI71" s="314">
        <f t="shared" si="32"/>
        <v>11</v>
      </c>
      <c r="AL71" s="390">
        <f>P71*E71</f>
        <v>6.2469665081370045E-4</v>
      </c>
    </row>
    <row r="72" spans="1:39">
      <c r="A72" s="343" t="str">
        <f>A$44&amp;" - "&amp;VLOOKUP(RIGHT(C72,3),NameConv!$E$3:$F$16,2,FALSE)&amp;" - New"</f>
        <v>Commercial - Space Heating - Electricity - New</v>
      </c>
      <c r="B72" s="343" t="str">
        <f>D72&amp;RIGHT(C72,3)&amp;"-N"</f>
        <v>CEHELC-N</v>
      </c>
      <c r="C72" s="346" t="str">
        <f>$E$6</f>
        <v>COMELC</v>
      </c>
      <c r="D72" s="346" t="str">
        <f>$B$44</f>
        <v>CEH</v>
      </c>
      <c r="E72" s="347">
        <f>(3.4/0.96)*E70</f>
        <v>3.5416666666666665</v>
      </c>
      <c r="F72" s="566">
        <f ca="1">SUMIF(AFA!$B$3:$S$3,D72,AFA!$B$4:$J$4)</f>
        <v>0.48230000000000001</v>
      </c>
      <c r="G72" s="348">
        <v>15</v>
      </c>
      <c r="H72" s="349">
        <f ca="1">(N72/F72)*(1+$H$55)</f>
        <v>0</v>
      </c>
      <c r="I72" s="349">
        <f>(10.68/1.87)*I70</f>
        <v>179.45037756394217</v>
      </c>
      <c r="J72" s="349">
        <f>I72*0.1</f>
        <v>17.945037756394218</v>
      </c>
      <c r="L72" s="350">
        <v>0</v>
      </c>
      <c r="M72" s="349">
        <v>0</v>
      </c>
      <c r="N72" s="349">
        <v>0</v>
      </c>
      <c r="P72" s="410">
        <f>N72/SUMIF($D$61:$D$121,$D72,$N$61:$N$121)*(1+$P$56)</f>
        <v>0</v>
      </c>
      <c r="Q72" s="411">
        <f t="shared" si="34"/>
        <v>0</v>
      </c>
      <c r="R72" s="411"/>
      <c r="S72" s="411"/>
      <c r="T72" s="411"/>
      <c r="U72" s="411"/>
      <c r="V72" s="411"/>
      <c r="W72" s="411"/>
      <c r="X72" s="411"/>
      <c r="Z72" s="410">
        <f>P72/(1+$P$56+$Z$56)</f>
        <v>0</v>
      </c>
      <c r="AA72" s="411">
        <f t="shared" si="33"/>
        <v>0</v>
      </c>
      <c r="AB72" s="411"/>
      <c r="AC72" s="411"/>
      <c r="AD72" s="411"/>
      <c r="AE72" s="411"/>
      <c r="AF72" s="411"/>
      <c r="AG72" s="411"/>
      <c r="AH72" s="411"/>
      <c r="AI72" s="314">
        <f t="shared" si="32"/>
        <v>12</v>
      </c>
      <c r="AL72" s="390">
        <f t="shared" si="30"/>
        <v>0</v>
      </c>
    </row>
    <row r="73" spans="1:39">
      <c r="A73" s="343" t="str">
        <f>A$44&amp;" - "&amp;VLOOKUP(RIGHT(C73,3),NameConv!$E$3:$F$16,2,FALSE)&amp;" - New"</f>
        <v>Commercial - Space Heating - Gas - New</v>
      </c>
      <c r="B73" s="343" t="str">
        <f>D73&amp;RIGHT(C73,3)&amp;"-N"</f>
        <v>CEHGAS-N</v>
      </c>
      <c r="C73" s="346" t="str">
        <f>$F$6</f>
        <v>COMGAS</v>
      </c>
      <c r="D73" s="346" t="str">
        <f>$B$44</f>
        <v>CEH</v>
      </c>
      <c r="E73" s="486">
        <f>'Trigen data MTN + gas boiler'!D75</f>
        <v>0.88</v>
      </c>
      <c r="F73" s="568">
        <f ca="1">SUMIF(AFA!$B$3:$S$3,D73,AFA!$B$4:$J$4)</f>
        <v>0.48230000000000001</v>
      </c>
      <c r="G73" s="487">
        <v>15</v>
      </c>
      <c r="H73" s="488">
        <f ca="1">(N73/F73)*(1+$H$55)</f>
        <v>0</v>
      </c>
      <c r="I73" s="486">
        <v>34.864360018767009</v>
      </c>
      <c r="J73" s="486">
        <f>I73*0.1</f>
        <v>3.4864360018767009</v>
      </c>
      <c r="L73" s="350">
        <v>0</v>
      </c>
      <c r="M73" s="349">
        <v>0</v>
      </c>
      <c r="N73" s="349">
        <v>0</v>
      </c>
      <c r="P73" s="410">
        <f>N73/SUMIF($D$61:$D$121,$D73,$N$61:$N$121)*(1+$P$56)</f>
        <v>0</v>
      </c>
      <c r="Q73" s="411">
        <f t="shared" si="34"/>
        <v>0</v>
      </c>
      <c r="R73" s="411"/>
      <c r="S73" s="411"/>
      <c r="T73" s="411"/>
      <c r="U73" s="411"/>
      <c r="V73" s="411"/>
      <c r="W73" s="411"/>
      <c r="X73" s="411"/>
      <c r="Z73" s="410">
        <f>P73/(1+$P$56+$Z$56)</f>
        <v>0</v>
      </c>
      <c r="AA73" s="411">
        <f t="shared" si="33"/>
        <v>0</v>
      </c>
      <c r="AB73" s="411"/>
      <c r="AC73" s="411"/>
      <c r="AD73" s="411"/>
      <c r="AE73" s="411"/>
      <c r="AF73" s="411"/>
      <c r="AG73" s="411"/>
      <c r="AH73" s="411"/>
      <c r="AI73" s="314">
        <f t="shared" si="32"/>
        <v>13</v>
      </c>
      <c r="AL73" s="390">
        <f t="shared" si="30"/>
        <v>0</v>
      </c>
    </row>
    <row r="74" spans="1:39">
      <c r="A74" s="352" t="s">
        <v>704</v>
      </c>
      <c r="F74" s="566"/>
      <c r="I74" s="349"/>
      <c r="J74" s="349"/>
      <c r="L74" s="563"/>
      <c r="M74" s="356">
        <f>SUM(M69:M71)</f>
        <v>11.119552189906038</v>
      </c>
      <c r="N74" s="356">
        <f>SUM(N69:N71)</f>
        <v>7.8517549075018991</v>
      </c>
      <c r="AI74" s="314">
        <f t="shared" si="32"/>
        <v>14</v>
      </c>
      <c r="AL74" s="390">
        <f t="shared" si="30"/>
        <v>0</v>
      </c>
      <c r="AM74" s="390">
        <f>SUM(AL69:AL72)</f>
        <v>0.76525702891818526</v>
      </c>
    </row>
    <row r="75" spans="1:39">
      <c r="A75" s="343" t="str">
        <f>"\I:"&amp;A45</f>
        <v>\I:Commercial - Cooking</v>
      </c>
      <c r="B75" s="343"/>
      <c r="C75" s="353"/>
      <c r="D75" s="353"/>
      <c r="E75" s="339"/>
      <c r="F75" s="566"/>
      <c r="G75" s="339"/>
      <c r="H75" s="339"/>
      <c r="I75" s="349"/>
      <c r="J75" s="349"/>
      <c r="K75" s="357"/>
      <c r="L75" s="358"/>
      <c r="M75" s="358"/>
      <c r="AI75" s="314">
        <f t="shared" si="32"/>
        <v>15</v>
      </c>
      <c r="AL75" s="390">
        <f t="shared" si="30"/>
        <v>0</v>
      </c>
    </row>
    <row r="76" spans="1:39">
      <c r="A76" s="343" t="str">
        <f>A$45&amp;" - "&amp;VLOOKUP(RIGHT(C76,3),NameConv!$E$3:$F$16,2,FALSE)&amp;" - Existing"</f>
        <v>Commercial - Cooking - Oil LPG - Existing</v>
      </c>
      <c r="B76" s="343" t="str">
        <f>D76&amp;RIGHT(C76,3)&amp;"-E"</f>
        <v>CEKOLP-E</v>
      </c>
      <c r="C76" s="346" t="str">
        <f>$J$6</f>
        <v>COMOLP</v>
      </c>
      <c r="D76" s="346" t="str">
        <f>$B$45</f>
        <v>CEK</v>
      </c>
      <c r="E76" s="347">
        <f>Appliances!J34</f>
        <v>0.9</v>
      </c>
      <c r="F76" s="566">
        <f ca="1">SUMIF(AFA!$B$3:$S$3,D76,AFA!$B$4:$J$4)</f>
        <v>0.68689999999999996</v>
      </c>
      <c r="G76" s="348">
        <v>15</v>
      </c>
      <c r="H76" s="349">
        <f ca="1">(N76/F76)*(1+$H$55)</f>
        <v>0.53413275520603254</v>
      </c>
      <c r="I76" s="349">
        <f>SUMIF('Technology costs'!$B$7:$B$28,COM_2012!B76,'Technology costs'!$L$7:$L$28)</f>
        <v>176.62153776607363</v>
      </c>
      <c r="J76" s="349">
        <f t="shared" si="31"/>
        <v>17.662153776607365</v>
      </c>
      <c r="L76" s="350">
        <f>Appliances!F34</f>
        <v>1</v>
      </c>
      <c r="M76" s="349">
        <f>L76*SUMIF($C$6:$J$6,C76,$C$45:$J$45)</f>
        <v>0.40766198839002638</v>
      </c>
      <c r="N76" s="349">
        <f>M76*E76</f>
        <v>0.36689578955102375</v>
      </c>
      <c r="P76" s="410">
        <f>N76/SUMIF($D$61:$D$121,$D76,$N$61:$N$121)*(1+$P$56)</f>
        <v>3.7822397751343918E-2</v>
      </c>
      <c r="Q76" s="411">
        <f>MIN(1,$P76+Q$54)</f>
        <v>3.7822397751343918E-2</v>
      </c>
      <c r="R76" s="411"/>
      <c r="S76" s="411"/>
      <c r="T76" s="411"/>
      <c r="U76" s="411"/>
      <c r="V76" s="411"/>
      <c r="W76" s="411"/>
      <c r="X76" s="411"/>
      <c r="Z76" s="410">
        <f>P76/(1+$P$56+$Z$56)</f>
        <v>3.6367690145522998E-2</v>
      </c>
      <c r="AA76" s="411">
        <f t="shared" ref="AA76" si="35">$Z76*AA$54</f>
        <v>2.9094152116418401E-2</v>
      </c>
      <c r="AB76" s="411"/>
      <c r="AC76" s="411"/>
      <c r="AD76" s="411"/>
      <c r="AE76" s="411"/>
      <c r="AF76" s="411"/>
      <c r="AG76" s="411"/>
      <c r="AH76" s="411"/>
      <c r="AI76" s="314">
        <f t="shared" si="32"/>
        <v>16</v>
      </c>
      <c r="AL76" s="390">
        <f t="shared" si="30"/>
        <v>3.4040157976209524E-2</v>
      </c>
      <c r="AM76" s="390">
        <f>AL76</f>
        <v>3.4040157976209524E-2</v>
      </c>
    </row>
    <row r="77" spans="1:39">
      <c r="A77" s="343" t="str">
        <f>A$45&amp;" - "&amp;VLOOKUP(RIGHT(C77,3),NameConv!$E$3:$F$16,2,FALSE)&amp;" - Existing"</f>
        <v>Commercial - Cooking - Electricity - Existing</v>
      </c>
      <c r="B77" s="343" t="str">
        <f t="shared" ref="B77:B78" si="36">D77&amp;RIGHT(C77,3)&amp;"-E"</f>
        <v>CEKELC-E</v>
      </c>
      <c r="C77" s="346" t="str">
        <f t="shared" ref="C77" si="37">$E$6</f>
        <v>COMELC</v>
      </c>
      <c r="D77" s="346" t="str">
        <f t="shared" ref="D77:D78" si="38">$B$45</f>
        <v>CEK</v>
      </c>
      <c r="E77" s="347">
        <f>Appliances!J33</f>
        <v>1</v>
      </c>
      <c r="F77" s="566">
        <f ca="1">SUMIF(AFA!$B$3:$S$3,D77,AFA!$B$4:$J$4)</f>
        <v>0.68689999999999996</v>
      </c>
      <c r="G77" s="348">
        <v>15</v>
      </c>
      <c r="H77" s="349">
        <f t="shared" ref="H77:H78" ca="1" si="39">(N77/F77)*(1+$H$55)</f>
        <v>13.858729176471222</v>
      </c>
      <c r="I77" s="488">
        <f>I76</f>
        <v>176.62153776607363</v>
      </c>
      <c r="J77" s="349">
        <f t="shared" si="31"/>
        <v>17.662153776607365</v>
      </c>
      <c r="L77" s="350">
        <f>Appliances!F33</f>
        <v>1</v>
      </c>
      <c r="M77" s="349">
        <f t="shared" ref="M77:M78" si="40">L77*SUMIF($C$6:$J$6,C77,$C$45:$J$45)</f>
        <v>9.5195610713180816</v>
      </c>
      <c r="N77" s="349">
        <f t="shared" ref="N77:N78" si="41">M77*E77</f>
        <v>9.5195610713180816</v>
      </c>
      <c r="P77" s="410">
        <f>N77/SUMIF($D$61:$D$121,$D77,$N$61:$N$121)*(1+$P$56)</f>
        <v>0.98134847962742833</v>
      </c>
      <c r="Q77" s="411">
        <f t="shared" ref="Q77" si="42">MIN(1,$P77+Q$54)</f>
        <v>0.98134847962742833</v>
      </c>
      <c r="R77" s="411"/>
      <c r="S77" s="411"/>
      <c r="T77" s="411"/>
      <c r="U77" s="411"/>
      <c r="V77" s="411"/>
      <c r="W77" s="411"/>
      <c r="X77" s="411"/>
      <c r="Z77" s="410">
        <f t="shared" ref="Z77:Z78" si="43">P77/(1+$P$56+$Z$56)</f>
        <v>0.94360430733406564</v>
      </c>
      <c r="AA77" s="411">
        <f t="shared" ref="AA77:AA78" si="44">$Z77*AA$54</f>
        <v>0.75488344586725253</v>
      </c>
      <c r="AB77" s="411"/>
      <c r="AC77" s="411"/>
      <c r="AD77" s="411"/>
      <c r="AE77" s="411"/>
      <c r="AF77" s="411"/>
      <c r="AG77" s="411"/>
      <c r="AH77" s="411"/>
      <c r="AI77" s="314">
        <f t="shared" si="32"/>
        <v>17</v>
      </c>
      <c r="AL77" s="390">
        <f t="shared" si="30"/>
        <v>0.98134847962742833</v>
      </c>
      <c r="AM77" s="390"/>
    </row>
    <row r="78" spans="1:39">
      <c r="A78" s="343" t="str">
        <f>A$45&amp;" - "&amp;VLOOKUP(RIGHT(C78,3),NameConv!$E$3:$F$16,2,FALSE)&amp;" - Existing"</f>
        <v>Commercial - Cooking - Coal - Existing</v>
      </c>
      <c r="B78" s="343" t="str">
        <f t="shared" si="36"/>
        <v>CEKCOA-E</v>
      </c>
      <c r="C78" s="346" t="str">
        <f>$C$6</f>
        <v>COMCOA</v>
      </c>
      <c r="D78" s="346" t="str">
        <f t="shared" si="38"/>
        <v>CEK</v>
      </c>
      <c r="E78" s="347">
        <f>Appliances!J36</f>
        <v>0.75</v>
      </c>
      <c r="F78" s="566">
        <f ca="1">SUMIF(AFA!$B$3:$S$3,D78,AFA!$B$4:$J$4)</f>
        <v>0.68689999999999996</v>
      </c>
      <c r="G78" s="348">
        <v>15</v>
      </c>
      <c r="H78" s="349">
        <f t="shared" ca="1" si="39"/>
        <v>1.1708976067344634E-2</v>
      </c>
      <c r="I78" s="488">
        <f>I77</f>
        <v>176.62153776607363</v>
      </c>
      <c r="J78" s="349">
        <f t="shared" si="31"/>
        <v>17.662153776607365</v>
      </c>
      <c r="L78" s="350">
        <f>Appliances!F36</f>
        <v>1</v>
      </c>
      <c r="M78" s="349">
        <f t="shared" si="40"/>
        <v>1.0723860880878705E-2</v>
      </c>
      <c r="N78" s="349">
        <f t="shared" si="41"/>
        <v>8.0428956606590288E-3</v>
      </c>
      <c r="P78" s="410">
        <f>N78/SUMIF($D$61:$D$121,$D78,$N$61:$N$121)*(1+$P$56)</f>
        <v>8.2912262122784278E-4</v>
      </c>
      <c r="Q78" s="411">
        <f>P78+0.1%</f>
        <v>1.8291226212278429E-3</v>
      </c>
      <c r="R78" s="411"/>
      <c r="S78" s="411"/>
      <c r="T78" s="411"/>
      <c r="U78" s="411"/>
      <c r="V78" s="411"/>
      <c r="W78" s="411"/>
      <c r="X78" s="411"/>
      <c r="Z78" s="410">
        <f t="shared" si="43"/>
        <v>7.9723328964215645E-4</v>
      </c>
      <c r="AA78" s="411">
        <f t="shared" si="44"/>
        <v>6.3778663171372516E-4</v>
      </c>
      <c r="AB78" s="411"/>
      <c r="AC78" s="411"/>
      <c r="AD78" s="411"/>
      <c r="AE78" s="411"/>
      <c r="AF78" s="411"/>
      <c r="AG78" s="411"/>
      <c r="AH78" s="411"/>
      <c r="AI78" s="314">
        <f t="shared" si="32"/>
        <v>18</v>
      </c>
      <c r="AL78" s="390">
        <f t="shared" si="30"/>
        <v>6.2184196592088205E-4</v>
      </c>
      <c r="AM78" s="390"/>
    </row>
    <row r="79" spans="1:39">
      <c r="A79" s="352" t="s">
        <v>704</v>
      </c>
      <c r="F79" s="566"/>
      <c r="I79" s="349"/>
      <c r="J79" s="349"/>
      <c r="L79" s="563">
        <f>SUM(L76)</f>
        <v>1</v>
      </c>
      <c r="M79" s="356">
        <f>SUM(M76:M78)</f>
        <v>9.9379469205889865</v>
      </c>
      <c r="N79" s="356">
        <f>SUM(N76:N78)</f>
        <v>9.894499756529763</v>
      </c>
      <c r="AI79" s="314">
        <f t="shared" si="32"/>
        <v>19</v>
      </c>
      <c r="AL79" s="390">
        <f t="shared" si="30"/>
        <v>0</v>
      </c>
    </row>
    <row r="80" spans="1:39">
      <c r="A80" s="343" t="str">
        <f>"\I:"&amp;A46</f>
        <v>\I:Commercial - Lighting</v>
      </c>
      <c r="B80" s="343"/>
      <c r="C80" s="353"/>
      <c r="D80" s="353"/>
      <c r="E80" s="339"/>
      <c r="F80" s="566"/>
      <c r="G80" s="339"/>
      <c r="H80" s="339"/>
      <c r="I80" s="349"/>
      <c r="J80" s="349"/>
      <c r="K80" s="357"/>
      <c r="L80" s="358"/>
      <c r="M80" s="358"/>
      <c r="AI80" s="314">
        <f t="shared" si="32"/>
        <v>20</v>
      </c>
      <c r="AL80" s="390">
        <f>P80*E80</f>
        <v>0</v>
      </c>
    </row>
    <row r="81" spans="1:39">
      <c r="A81" s="343" t="str">
        <f>A$46&amp;" - "&amp;VLOOKUP(RIGHT(C81,3),NameConv!$E$3:$F$16,2,FALSE)&amp;" - CFL - Existing"</f>
        <v>Commercial - Lighting - Electricity - CFL - Existing</v>
      </c>
      <c r="B81" s="343" t="str">
        <f>D81&amp;RIGHT(C81,3)&amp;"CFL-E"</f>
        <v>CELELCCFL-E</v>
      </c>
      <c r="C81" s="346" t="str">
        <f t="shared" ref="C81:C86" si="45">$E$6</f>
        <v>COMELC</v>
      </c>
      <c r="D81" s="346" t="str">
        <f t="shared" ref="D81:D86" si="46">$B$46</f>
        <v>CEL</v>
      </c>
      <c r="E81" s="347">
        <f>Appliances!J68</f>
        <v>4</v>
      </c>
      <c r="F81" s="566">
        <f ca="1">SUMIF(AFA!$B$3:$S$3,D81,AFA!$B$4:$J$4)</f>
        <v>0.55200000000000005</v>
      </c>
      <c r="G81" s="348">
        <v>5</v>
      </c>
      <c r="H81" s="349">
        <f ca="1">(N81/F81)*(1+$H$55)</f>
        <v>11.613977248513031</v>
      </c>
      <c r="I81" s="569">
        <v>2.5202184369189848</v>
      </c>
      <c r="J81" s="349">
        <f t="shared" si="31"/>
        <v>0.25202184369189851</v>
      </c>
      <c r="K81" s="581">
        <f ca="1">H81/SUM($H$81:$H$86)</f>
        <v>5.274725274725274E-2</v>
      </c>
      <c r="L81" s="350">
        <f>Appliances!F68</f>
        <v>0.06</v>
      </c>
      <c r="M81" s="349">
        <f>L81*SUMIF($C$6:$J$6,C81,$C$46:$J$46)</f>
        <v>1.6027288602947984</v>
      </c>
      <c r="N81" s="349">
        <f>M81*E81</f>
        <v>6.4109154411791938</v>
      </c>
      <c r="P81" s="410">
        <f t="shared" ref="P81:P86" si="47">N81/SUMIF($D$61:$D$121,$D81,$N$61:$N$121)*(1+$P$56)</f>
        <v>5.3802197802197797E-2</v>
      </c>
      <c r="Q81" s="411">
        <f t="shared" ref="Q81:Q86" si="48">MIN(1,$P81+Q$54)</f>
        <v>5.3802197802197797E-2</v>
      </c>
      <c r="R81" s="411"/>
      <c r="S81" s="411"/>
      <c r="T81" s="411"/>
      <c r="U81" s="411"/>
      <c r="V81" s="411"/>
      <c r="W81" s="411"/>
      <c r="X81" s="411"/>
      <c r="Z81" s="410">
        <f t="shared" ref="Z81:Z86" si="49">P81/(1+$P$56+$Z$56)</f>
        <v>5.1732882502113262E-2</v>
      </c>
      <c r="AA81" s="411">
        <f t="shared" ref="AA81:AA86" si="50">$Z81*AA$54</f>
        <v>4.1386306001690611E-2</v>
      </c>
      <c r="AB81" s="411"/>
      <c r="AC81" s="411"/>
      <c r="AD81" s="411"/>
      <c r="AE81" s="411"/>
      <c r="AF81" s="411"/>
      <c r="AG81" s="411"/>
      <c r="AH81" s="411"/>
      <c r="AI81" s="314">
        <f t="shared" si="32"/>
        <v>21</v>
      </c>
      <c r="AL81" s="390">
        <f t="shared" si="30"/>
        <v>0.21520879120879119</v>
      </c>
    </row>
    <row r="82" spans="1:39">
      <c r="A82" s="343" t="str">
        <f>A$46&amp;" - "&amp;VLOOKUP(RIGHT(C82,3),NameConv!$E$3:$F$16,2,FALSE)&amp;" - FLU - Existing"</f>
        <v>Commercial - Lighting - Electricity - FLU - Existing</v>
      </c>
      <c r="B82" s="343" t="str">
        <f>D82&amp;RIGHT(C82,3)&amp;"FLU-E"</f>
        <v>CELELCFLU-E</v>
      </c>
      <c r="C82" s="346" t="str">
        <f t="shared" si="45"/>
        <v>COMELC</v>
      </c>
      <c r="D82" s="346" t="str">
        <f t="shared" si="46"/>
        <v>CEL</v>
      </c>
      <c r="E82" s="347">
        <f>Appliances!J69</f>
        <v>4.5</v>
      </c>
      <c r="F82" s="566">
        <f ca="1">SUMIF(AFA!$B$3:$S$3,D82,AFA!$B$4:$J$4)</f>
        <v>0.55200000000000005</v>
      </c>
      <c r="G82" s="570">
        <v>5</v>
      </c>
      <c r="H82" s="349">
        <f ca="1">(N82/F82)*(1+$H$55)</f>
        <v>152.43345138673354</v>
      </c>
      <c r="I82" s="569">
        <f>('Technology costs'!I15/'Technology costs'!I14)*COM_2012!I81</f>
        <v>2.1020405989346398</v>
      </c>
      <c r="J82" s="349">
        <f t="shared" si="31"/>
        <v>0.210204059893464</v>
      </c>
      <c r="K82" s="581">
        <f t="shared" ref="K82:K86" ca="1" si="51">H82/SUM($H$81:$H$86)</f>
        <v>0.69230769230769218</v>
      </c>
      <c r="L82" s="350">
        <f>Appliances!F69</f>
        <v>0.7</v>
      </c>
      <c r="M82" s="349">
        <f>L82*SUMIF($C$6:$J$6,C82,$C$46:$J$46)</f>
        <v>18.698503370105982</v>
      </c>
      <c r="N82" s="349">
        <f t="shared" ref="N82:N86" si="52">M82*E82</f>
        <v>84.143265165476919</v>
      </c>
      <c r="P82" s="410">
        <f t="shared" si="47"/>
        <v>0.70615384615384602</v>
      </c>
      <c r="Q82" s="411">
        <f t="shared" si="48"/>
        <v>0.70615384615384602</v>
      </c>
      <c r="R82" s="411"/>
      <c r="S82" s="411"/>
      <c r="T82" s="411"/>
      <c r="U82" s="411"/>
      <c r="V82" s="411"/>
      <c r="W82" s="411"/>
      <c r="X82" s="411"/>
      <c r="Z82" s="410">
        <f t="shared" si="49"/>
        <v>0.67899408284023655</v>
      </c>
      <c r="AA82" s="411">
        <f t="shared" si="50"/>
        <v>0.54319526627218928</v>
      </c>
      <c r="AB82" s="411"/>
      <c r="AC82" s="411"/>
      <c r="AD82" s="411"/>
      <c r="AE82" s="411"/>
      <c r="AF82" s="411"/>
      <c r="AG82" s="411"/>
      <c r="AH82" s="411"/>
      <c r="AI82" s="314">
        <f t="shared" si="32"/>
        <v>22</v>
      </c>
      <c r="AL82" s="390">
        <f t="shared" si="30"/>
        <v>3.1776923076923071</v>
      </c>
    </row>
    <row r="83" spans="1:39">
      <c r="A83" s="343" t="str">
        <f>A$46&amp;" - "&amp;VLOOKUP(RIGHT(C83,3),NameConv!$E$3:$F$16,2,FALSE)&amp;" - HAL - Existing"</f>
        <v>Commercial - Lighting - Electricity - HAL - Existing</v>
      </c>
      <c r="B83" s="343" t="str">
        <f>D83&amp;RIGHT(C83,3)&amp;"HAL-E"</f>
        <v>CELELCHAL-E</v>
      </c>
      <c r="C83" s="346" t="str">
        <f t="shared" si="45"/>
        <v>COMELC</v>
      </c>
      <c r="D83" s="346" t="str">
        <f t="shared" si="46"/>
        <v>CEL</v>
      </c>
      <c r="E83" s="347">
        <f>Appliances!J70</f>
        <v>2</v>
      </c>
      <c r="F83" s="566">
        <f ca="1">SUMIF(AFA!$B$3:$S$3,D83,AFA!$B$4:$J$4)</f>
        <v>0.55200000000000005</v>
      </c>
      <c r="G83" s="570">
        <v>5</v>
      </c>
      <c r="H83" s="349">
        <f ca="1">(N83/F83)*(1+$H$55)</f>
        <v>1.9356628747521718</v>
      </c>
      <c r="I83" s="569">
        <f>('Technology costs'!I16/'Technology costs'!I14)*COM_2012!I81</f>
        <v>0.75829581287827852</v>
      </c>
      <c r="J83" s="349">
        <f t="shared" si="31"/>
        <v>7.5829581287827852E-2</v>
      </c>
      <c r="K83" s="581">
        <f t="shared" ca="1" si="51"/>
        <v>8.7912087912087895E-3</v>
      </c>
      <c r="L83" s="350">
        <f>Appliances!F70</f>
        <v>0.02</v>
      </c>
      <c r="M83" s="349">
        <f>L83*SUMIF($C$6:$J$6,C83,$C$46:$J$46)</f>
        <v>0.53424295343159944</v>
      </c>
      <c r="N83" s="349">
        <f t="shared" si="52"/>
        <v>1.0684859068631989</v>
      </c>
      <c r="P83" s="410">
        <f t="shared" si="47"/>
        <v>8.9670329670329656E-3</v>
      </c>
      <c r="Q83" s="411">
        <f t="shared" si="48"/>
        <v>8.9670329670329656E-3</v>
      </c>
      <c r="R83" s="411"/>
      <c r="S83" s="411"/>
      <c r="T83" s="411"/>
      <c r="U83" s="411"/>
      <c r="V83" s="411"/>
      <c r="W83" s="411"/>
      <c r="X83" s="411"/>
      <c r="Z83" s="410">
        <f t="shared" si="49"/>
        <v>8.622147083685543E-3</v>
      </c>
      <c r="AA83" s="411">
        <f t="shared" si="50"/>
        <v>6.8977176669484351E-3</v>
      </c>
      <c r="AB83" s="411"/>
      <c r="AC83" s="411"/>
      <c r="AD83" s="411"/>
      <c r="AE83" s="411"/>
      <c r="AF83" s="411"/>
      <c r="AG83" s="411"/>
      <c r="AH83" s="411"/>
      <c r="AI83" s="314">
        <f t="shared" si="32"/>
        <v>23</v>
      </c>
      <c r="AL83" s="390">
        <f t="shared" si="30"/>
        <v>1.7934065934065931E-2</v>
      </c>
    </row>
    <row r="84" spans="1:39">
      <c r="A84" s="343" t="str">
        <f>A$46&amp;" - "&amp;VLOOKUP(RIGHT(C84,3),NameConv!$E$3:$F$16,2,FALSE)&amp;" - HID - Existing"</f>
        <v>Commercial - Lighting - Electricity - HID - Existing</v>
      </c>
      <c r="B84" s="343" t="str">
        <f>D84&amp;RIGHT(C84,3)&amp;"HID-E"</f>
        <v>CELELCHID-E</v>
      </c>
      <c r="C84" s="346" t="str">
        <f t="shared" si="45"/>
        <v>COMELC</v>
      </c>
      <c r="D84" s="346" t="str">
        <f t="shared" si="46"/>
        <v>CEL</v>
      </c>
      <c r="E84" s="347">
        <f>Appliances!J71</f>
        <v>7</v>
      </c>
      <c r="F84" s="566">
        <f ca="1">SUMIF(AFA!$B$3:$S$3,D84,AFA!$B$4:$J$4)</f>
        <v>0.55200000000000005</v>
      </c>
      <c r="G84" s="570">
        <v>5</v>
      </c>
      <c r="H84" s="349">
        <f ca="1">(N84/F84)*(1+$H$55)</f>
        <v>50.811150462244512</v>
      </c>
      <c r="I84" s="569">
        <f>('Technology costs'!I17/'Technology costs'!I14)*COM_2012!I81</f>
        <v>0.30666374785518619</v>
      </c>
      <c r="J84" s="349">
        <f t="shared" si="31"/>
        <v>3.0666374785518619E-2</v>
      </c>
      <c r="K84" s="581">
        <f t="shared" ca="1" si="51"/>
        <v>0.23076923076923073</v>
      </c>
      <c r="L84" s="350">
        <f>Appliances!F71</f>
        <v>0.15</v>
      </c>
      <c r="M84" s="349">
        <f t="shared" ref="M84:M86" si="53">L84*SUMIF($C$6:$J$6,C84,$C$46:$J$46)</f>
        <v>4.0068221507369959</v>
      </c>
      <c r="N84" s="349">
        <f t="shared" si="52"/>
        <v>28.047755055158973</v>
      </c>
      <c r="P84" s="410">
        <f t="shared" si="47"/>
        <v>0.23538461538461539</v>
      </c>
      <c r="Q84" s="411">
        <f t="shared" si="48"/>
        <v>0.23538461538461539</v>
      </c>
      <c r="R84" s="411"/>
      <c r="S84" s="411"/>
      <c r="T84" s="411"/>
      <c r="U84" s="411"/>
      <c r="V84" s="411"/>
      <c r="W84" s="411"/>
      <c r="X84" s="411"/>
      <c r="Z84" s="410">
        <f t="shared" si="49"/>
        <v>0.22633136094674555</v>
      </c>
      <c r="AA84" s="411">
        <f t="shared" si="50"/>
        <v>0.18106508875739646</v>
      </c>
      <c r="AB84" s="411"/>
      <c r="AC84" s="411"/>
      <c r="AD84" s="411"/>
      <c r="AE84" s="411"/>
      <c r="AF84" s="411"/>
      <c r="AG84" s="411"/>
      <c r="AH84" s="411"/>
      <c r="AI84" s="314">
        <f t="shared" si="32"/>
        <v>24</v>
      </c>
      <c r="AL84" s="390">
        <f t="shared" si="30"/>
        <v>1.6476923076923078</v>
      </c>
    </row>
    <row r="85" spans="1:39">
      <c r="A85" s="343" t="str">
        <f>A$46&amp;" - "&amp;VLOOKUP(RIGHT(C85,3),NameConv!$E$3:$F$16,2,FALSE)&amp;" - INC - Existing"</f>
        <v>Commercial - Lighting - Electricity - INC - Existing</v>
      </c>
      <c r="B85" s="343" t="str">
        <f>D85&amp;RIGHT(C85,3)&amp;"INC-E"</f>
        <v>CELELCINC-E</v>
      </c>
      <c r="C85" s="346" t="str">
        <f t="shared" si="45"/>
        <v>COMELC</v>
      </c>
      <c r="D85" s="346" t="str">
        <f t="shared" si="46"/>
        <v>CEL</v>
      </c>
      <c r="E85" s="347">
        <f>Appliances!J72</f>
        <v>1</v>
      </c>
      <c r="F85" s="566">
        <f ca="1">SUMIF(AFA!$B$3:$S$3,D85,AFA!$B$4:$J$4)</f>
        <v>0.55200000000000005</v>
      </c>
      <c r="G85" s="348">
        <v>2</v>
      </c>
      <c r="H85" s="349">
        <f ca="1">(N85/F85)*(1+$H$55)</f>
        <v>3.3874100308163011</v>
      </c>
      <c r="I85" s="569">
        <v>0.26729589482474081</v>
      </c>
      <c r="J85" s="349">
        <f t="shared" si="31"/>
        <v>2.6729589482474083E-2</v>
      </c>
      <c r="K85" s="581">
        <f t="shared" ca="1" si="51"/>
        <v>1.5384615384615384E-2</v>
      </c>
      <c r="L85" s="350">
        <f>Appliances!F72</f>
        <v>7.0000000000000007E-2</v>
      </c>
      <c r="M85" s="349">
        <f t="shared" si="53"/>
        <v>1.8698503370105983</v>
      </c>
      <c r="N85" s="349">
        <f t="shared" si="52"/>
        <v>1.8698503370105983</v>
      </c>
      <c r="P85" s="410">
        <f t="shared" si="47"/>
        <v>1.5692307692307693E-2</v>
      </c>
      <c r="Q85" s="411">
        <f t="shared" si="48"/>
        <v>1.5692307692307693E-2</v>
      </c>
      <c r="R85" s="411"/>
      <c r="S85" s="411"/>
      <c r="T85" s="411"/>
      <c r="U85" s="411"/>
      <c r="V85" s="411"/>
      <c r="W85" s="411"/>
      <c r="X85" s="411"/>
      <c r="Z85" s="410">
        <f t="shared" si="49"/>
        <v>1.5088757396449704E-2</v>
      </c>
      <c r="AA85" s="411">
        <f t="shared" si="50"/>
        <v>1.2071005917159764E-2</v>
      </c>
      <c r="AB85" s="411"/>
      <c r="AC85" s="411"/>
      <c r="AD85" s="411"/>
      <c r="AE85" s="411"/>
      <c r="AF85" s="411"/>
      <c r="AG85" s="411"/>
      <c r="AH85" s="411"/>
      <c r="AI85" s="314">
        <f t="shared" si="32"/>
        <v>25</v>
      </c>
      <c r="AL85" s="390">
        <f t="shared" si="30"/>
        <v>1.5692307692307693E-2</v>
      </c>
    </row>
    <row r="86" spans="1:39">
      <c r="A86" s="343" t="str">
        <f>A$46&amp;" - "&amp;VLOOKUP(RIGHT(C86,3),NameConv!$E$3:$F$16,2,FALSE)&amp;" - LED - New"</f>
        <v>Commercial - Lighting - Electricity - LED - New</v>
      </c>
      <c r="B86" s="343" t="str">
        <f>D86&amp;RIGHT(C86,3)&amp;"LED-N"</f>
        <v>CELELCLED-N</v>
      </c>
      <c r="C86" s="346" t="str">
        <f t="shared" si="45"/>
        <v>COMELC</v>
      </c>
      <c r="D86" s="346" t="str">
        <f t="shared" si="46"/>
        <v>CEL</v>
      </c>
      <c r="E86" s="347">
        <v>9.8000000000000007</v>
      </c>
      <c r="F86" s="566">
        <f ca="1">SUMIF(AFA!$B$3:$S$3,D86,AFA!$B$4:$J$4)</f>
        <v>0.55200000000000005</v>
      </c>
      <c r="G86" s="348">
        <v>10</v>
      </c>
      <c r="H86" s="349">
        <v>0</v>
      </c>
      <c r="I86" s="569">
        <v>4.9258814903416521</v>
      </c>
      <c r="J86" s="349">
        <f t="shared" si="31"/>
        <v>0.49258814903416526</v>
      </c>
      <c r="K86" s="581">
        <f t="shared" ca="1" si="51"/>
        <v>0</v>
      </c>
      <c r="L86" s="350">
        <v>0</v>
      </c>
      <c r="M86" s="349">
        <f t="shared" si="53"/>
        <v>0</v>
      </c>
      <c r="N86" s="349">
        <f t="shared" si="52"/>
        <v>0</v>
      </c>
      <c r="P86" s="410">
        <f t="shared" si="47"/>
        <v>0</v>
      </c>
      <c r="Q86" s="411">
        <f t="shared" si="48"/>
        <v>0</v>
      </c>
      <c r="R86" s="411"/>
      <c r="S86" s="411"/>
      <c r="T86" s="411"/>
      <c r="U86" s="411"/>
      <c r="V86" s="411"/>
      <c r="W86" s="411"/>
      <c r="X86" s="411"/>
      <c r="Z86" s="410">
        <f t="shared" si="49"/>
        <v>0</v>
      </c>
      <c r="AA86" s="411">
        <f t="shared" si="50"/>
        <v>0</v>
      </c>
      <c r="AB86" s="411"/>
      <c r="AC86" s="411"/>
      <c r="AD86" s="411"/>
      <c r="AE86" s="411"/>
      <c r="AF86" s="411"/>
      <c r="AG86" s="411"/>
      <c r="AH86" s="411"/>
      <c r="AI86" s="314">
        <f t="shared" si="32"/>
        <v>26</v>
      </c>
      <c r="AL86" s="390">
        <f t="shared" si="30"/>
        <v>0</v>
      </c>
    </row>
    <row r="87" spans="1:39">
      <c r="A87" s="352" t="s">
        <v>704</v>
      </c>
      <c r="F87" s="566"/>
      <c r="H87" s="349"/>
      <c r="I87" s="349"/>
      <c r="J87" s="349"/>
      <c r="L87" s="563">
        <f>SUM(L81:L85)</f>
        <v>1</v>
      </c>
      <c r="M87" s="356">
        <f>SUM(M81:M85)</f>
        <v>26.712147671579977</v>
      </c>
      <c r="N87" s="356">
        <f>SUM(N81:N85)</f>
        <v>121.5402719056889</v>
      </c>
      <c r="AI87" s="314">
        <f t="shared" si="32"/>
        <v>27</v>
      </c>
      <c r="AL87" s="390">
        <f t="shared" si="30"/>
        <v>0</v>
      </c>
      <c r="AM87" s="390">
        <f>SUM(AL81:AL86)</f>
        <v>5.0742197802197797</v>
      </c>
    </row>
    <row r="88" spans="1:39">
      <c r="A88" s="343" t="str">
        <f>"\I:"&amp;A47</f>
        <v>\I:Commercial - Refrigeration</v>
      </c>
      <c r="B88" s="343"/>
      <c r="C88" s="353"/>
      <c r="D88" s="353"/>
      <c r="E88" s="339"/>
      <c r="F88" s="566"/>
      <c r="G88" s="339"/>
      <c r="H88" s="349"/>
      <c r="I88" s="349"/>
      <c r="J88" s="349"/>
      <c r="K88" s="357"/>
      <c r="L88" s="358"/>
      <c r="M88" s="358"/>
      <c r="AI88" s="314">
        <f t="shared" si="32"/>
        <v>28</v>
      </c>
      <c r="AL88" s="390">
        <f t="shared" si="30"/>
        <v>0</v>
      </c>
    </row>
    <row r="89" spans="1:39">
      <c r="A89" s="343" t="str">
        <f>A$47&amp;" - "&amp;VLOOKUP(RIGHT(C89,3),NameConv!$E$3:$F$16,2,FALSE)&amp;" - Existing"</f>
        <v>Commercial - Refrigeration - Electricity - Existing</v>
      </c>
      <c r="B89" s="343" t="str">
        <f>D89&amp;RIGHT(C89,3)&amp;"-E"</f>
        <v>CERELC-E</v>
      </c>
      <c r="C89" s="346" t="str">
        <f>$E$6</f>
        <v>COMELC</v>
      </c>
      <c r="D89" s="346" t="str">
        <f>$B$47</f>
        <v>CER</v>
      </c>
      <c r="E89" s="347">
        <f>Appliances!J63</f>
        <v>1</v>
      </c>
      <c r="F89" s="566">
        <f ca="1">SUMIF(AFA!$B$3:$S$3,D89,AFA!$B$4:$J$4)</f>
        <v>0.68830000000000002</v>
      </c>
      <c r="G89" s="348">
        <v>10</v>
      </c>
      <c r="H89" s="349">
        <f ca="1">(N89/F89)*(1+$H$55)</f>
        <v>42.955673941227737</v>
      </c>
      <c r="I89" s="349">
        <f>SUMIF('Technology costs'!$B$7:$B$28,COM_2012!B89,'Technology costs'!$L$7:$L$28)</f>
        <v>1734.2705050470356</v>
      </c>
      <c r="J89" s="349">
        <f t="shared" si="31"/>
        <v>173.42705050470357</v>
      </c>
      <c r="L89" s="350">
        <f>Appliances!F63</f>
        <v>1</v>
      </c>
      <c r="M89" s="349">
        <f>L89*SUMIF($C$6:$J$6,C89,$C$47:$J$47)</f>
        <v>29.566390373747051</v>
      </c>
      <c r="N89" s="349">
        <f>M89*E89</f>
        <v>29.566390373747051</v>
      </c>
      <c r="P89" s="410">
        <v>1</v>
      </c>
      <c r="Q89" s="411">
        <f t="shared" ref="Q89:Q90" si="54">MIN(1,$P89+Q$54)</f>
        <v>1</v>
      </c>
      <c r="R89" s="411"/>
      <c r="S89" s="411"/>
      <c r="T89" s="411"/>
      <c r="U89" s="411"/>
      <c r="V89" s="411"/>
      <c r="W89" s="411"/>
      <c r="X89" s="411"/>
      <c r="Z89" s="410">
        <f>P89/(1+$P$56+$Z$56)</f>
        <v>0.96153846153846145</v>
      </c>
      <c r="AA89" s="411">
        <f t="shared" ref="AA89:AA90" si="55">$Z89*AA$54</f>
        <v>0.76923076923076916</v>
      </c>
      <c r="AB89" s="411"/>
      <c r="AC89" s="411"/>
      <c r="AD89" s="411"/>
      <c r="AE89" s="411"/>
      <c r="AF89" s="411"/>
      <c r="AG89" s="411"/>
      <c r="AH89" s="411"/>
      <c r="AI89" s="314">
        <f t="shared" si="32"/>
        <v>29</v>
      </c>
      <c r="AL89" s="390">
        <f t="shared" si="30"/>
        <v>1</v>
      </c>
    </row>
    <row r="90" spans="1:39">
      <c r="A90" s="343" t="str">
        <f>A$47&amp;" - "&amp;VLOOKUP(RIGHT(C90,3),NameConv!$E$3:$F$16,2,FALSE)&amp;" - New"</f>
        <v>Commercial - Refrigeration - Electricity - New</v>
      </c>
      <c r="B90" s="343" t="str">
        <f>D90&amp;RIGHT(C90,3)&amp;"-N"</f>
        <v>CERELC-N</v>
      </c>
      <c r="C90" s="346" t="str">
        <f>$E$6</f>
        <v>COMELC</v>
      </c>
      <c r="D90" s="346" t="str">
        <f>$B$47</f>
        <v>CER</v>
      </c>
      <c r="E90" s="347">
        <f>(5.13/3.08)*E89</f>
        <v>1.6655844155844155</v>
      </c>
      <c r="F90" s="566">
        <f ca="1">SUMIF(AFA!$B$3:$S$3,D90,AFA!$B$4:$J$4)</f>
        <v>0.68830000000000002</v>
      </c>
      <c r="G90" s="348">
        <v>10</v>
      </c>
      <c r="H90" s="349">
        <v>0</v>
      </c>
      <c r="I90" s="349">
        <f>(99.33/95.72)*I89</f>
        <v>1799.6770713155252</v>
      </c>
      <c r="J90" s="349">
        <f t="shared" si="31"/>
        <v>179.96770713155252</v>
      </c>
      <c r="L90" s="350">
        <v>0</v>
      </c>
      <c r="M90" s="349">
        <v>0</v>
      </c>
      <c r="N90" s="349">
        <v>0</v>
      </c>
      <c r="P90" s="410">
        <f>N90/SUMIF($D$61:$D$121,$D90,$N$61:$N$121)</f>
        <v>0</v>
      </c>
      <c r="Q90" s="411">
        <f t="shared" si="54"/>
        <v>0</v>
      </c>
      <c r="R90" s="411"/>
      <c r="S90" s="411"/>
      <c r="T90" s="411"/>
      <c r="U90" s="411"/>
      <c r="V90" s="411"/>
      <c r="W90" s="411"/>
      <c r="X90" s="411"/>
      <c r="Z90" s="410">
        <f>P90</f>
        <v>0</v>
      </c>
      <c r="AA90" s="411">
        <f t="shared" si="55"/>
        <v>0</v>
      </c>
      <c r="AB90" s="411"/>
      <c r="AC90" s="411"/>
      <c r="AD90" s="411"/>
      <c r="AE90" s="411"/>
      <c r="AF90" s="411"/>
      <c r="AG90" s="411"/>
      <c r="AH90" s="411"/>
      <c r="AI90" s="314">
        <f t="shared" si="32"/>
        <v>30</v>
      </c>
      <c r="AL90" s="390">
        <f>P90*E90</f>
        <v>0</v>
      </c>
    </row>
    <row r="91" spans="1:39">
      <c r="A91" s="352" t="s">
        <v>704</v>
      </c>
      <c r="F91" s="566"/>
      <c r="H91" s="349"/>
      <c r="I91" s="349"/>
      <c r="J91" s="349"/>
      <c r="L91" s="563">
        <f>SUM(L89)</f>
        <v>1</v>
      </c>
      <c r="M91" s="356">
        <f>SUM(M89)</f>
        <v>29.566390373747051</v>
      </c>
      <c r="N91" s="356">
        <f>SUM(N89)</f>
        <v>29.566390373747051</v>
      </c>
      <c r="AI91" s="314">
        <f t="shared" si="32"/>
        <v>31</v>
      </c>
      <c r="AL91" s="390">
        <f t="shared" si="30"/>
        <v>0</v>
      </c>
      <c r="AM91" s="390">
        <f>SUM(AL89:AL90)</f>
        <v>1</v>
      </c>
    </row>
    <row r="92" spans="1:39">
      <c r="A92" s="343" t="str">
        <f>"\I:"&amp;A48</f>
        <v>\I:Commercial - Water Heating</v>
      </c>
      <c r="B92" s="343"/>
      <c r="C92" s="353"/>
      <c r="D92" s="353"/>
      <c r="E92" s="339"/>
      <c r="F92" s="566"/>
      <c r="G92" s="339"/>
      <c r="H92" s="349"/>
      <c r="I92" s="349"/>
      <c r="J92" s="349"/>
      <c r="K92" s="357"/>
      <c r="L92" s="358"/>
      <c r="M92" s="358"/>
      <c r="AI92" s="314">
        <f t="shared" si="32"/>
        <v>32</v>
      </c>
      <c r="AL92" s="390">
        <f t="shared" si="30"/>
        <v>0</v>
      </c>
    </row>
    <row r="93" spans="1:39">
      <c r="A93" s="343" t="str">
        <f>A$48&amp;" - "&amp;VLOOKUP(RIGHT(C93,3),NameConv!$E$3:$F$16,2,FALSE)&amp;" - Existing"</f>
        <v>Commercial - Water Heating - Electricity - Existing</v>
      </c>
      <c r="B93" s="343" t="str">
        <f>D93&amp;RIGHT(C93,3)&amp;"-E"</f>
        <v>CEWELC-E</v>
      </c>
      <c r="C93" s="346" t="str">
        <f>$E$6</f>
        <v>COMELC</v>
      </c>
      <c r="D93" s="346" t="str">
        <f>$B$48</f>
        <v>CEW</v>
      </c>
      <c r="E93" s="347">
        <f>Appliances!J22</f>
        <v>1</v>
      </c>
      <c r="F93" s="566">
        <f ca="1">SUMIF(AFA!$B$3:$S$3,D93,AFA!$B$4:$J$4)</f>
        <v>0.89129999999999998</v>
      </c>
      <c r="G93" s="348">
        <v>14</v>
      </c>
      <c r="H93" s="349">
        <f ca="1">(N93/F93)*(1+$H$55)</f>
        <v>1.4499691932917971</v>
      </c>
      <c r="I93" s="349">
        <f>SUMIF('Technology costs'!$B$7:$B$28,COM_2012!B93,'Technology costs'!$L$7:$L$28)</f>
        <v>31.581453839889381</v>
      </c>
      <c r="J93" s="349">
        <f t="shared" si="31"/>
        <v>3.1581453839889382</v>
      </c>
      <c r="L93" s="350">
        <f>Appliances!F22</f>
        <v>1</v>
      </c>
      <c r="M93" s="349">
        <f>L93*SUMIF($C$6:$J$6,C93,$C$48:$J$48)</f>
        <v>1.2923575419809787</v>
      </c>
      <c r="N93" s="349">
        <f>M93*E93</f>
        <v>1.2923575419809787</v>
      </c>
      <c r="O93" s="314">
        <f ca="1">H93/SUM($H$93:$H$99)</f>
        <v>0.13346514419090669</v>
      </c>
      <c r="P93" s="410">
        <f>N93/SUMIF($D$61:$D$121,$D93,$N$61:$N$121)*(1+$P$56)</f>
        <v>0.13613444707472483</v>
      </c>
      <c r="Q93" s="411">
        <f t="shared" ref="Q93:Q99" si="56">MIN(1,$P93+Q$54)</f>
        <v>0.13613444707472483</v>
      </c>
      <c r="R93" s="411"/>
      <c r="S93" s="411"/>
      <c r="T93" s="411"/>
      <c r="U93" s="411"/>
      <c r="V93" s="411"/>
      <c r="W93" s="411"/>
      <c r="X93" s="411"/>
      <c r="Z93" s="410">
        <f>P93/(1+$P$56+$Z$56)</f>
        <v>0.13089850680262002</v>
      </c>
      <c r="AA93" s="411">
        <f t="shared" ref="AA93:AA99" si="57">$Z93*AA$54</f>
        <v>0.10471880544209602</v>
      </c>
      <c r="AB93" s="411"/>
      <c r="AC93" s="411"/>
      <c r="AD93" s="411"/>
      <c r="AE93" s="411"/>
      <c r="AF93" s="411"/>
      <c r="AG93" s="411"/>
      <c r="AH93" s="411"/>
      <c r="AI93" s="314">
        <f t="shared" si="32"/>
        <v>33</v>
      </c>
      <c r="AL93" s="390">
        <f t="shared" si="30"/>
        <v>0.13613444707472483</v>
      </c>
    </row>
    <row r="94" spans="1:39">
      <c r="A94" s="343" t="str">
        <f>A$48&amp;" - "&amp;VLOOKUP(RIGHT(C94,3),NameConv!$E$3:$F$16,2,FALSE)&amp;" - Existing"</f>
        <v>Commercial - Water Heating - Coal - Existing</v>
      </c>
      <c r="B94" s="343" t="str">
        <f>D94&amp;RIGHT(C94,3)&amp;"-E"</f>
        <v>CEWCOA-E</v>
      </c>
      <c r="C94" s="346" t="str">
        <f>$C$6</f>
        <v>COMCOA</v>
      </c>
      <c r="D94" s="346" t="str">
        <f>$B$48</f>
        <v>CEW</v>
      </c>
      <c r="E94" s="347">
        <f>Appliances!J25</f>
        <v>0.60000000000000009</v>
      </c>
      <c r="F94" s="566">
        <f ca="1">SUMIF(AFA!$B$3:$S$3,D94,AFA!$B$4:$J$4)</f>
        <v>0.89129999999999998</v>
      </c>
      <c r="G94" s="348">
        <v>14</v>
      </c>
      <c r="H94" s="349">
        <f t="shared" ref="H94:H99" ca="1" si="58">(N94/F94)*(1+$H$55)</f>
        <v>4.6136404411232137</v>
      </c>
      <c r="I94" s="349">
        <f>SUMIF('Technology costs'!$B$7:$B$28,COM_2012!B94,'Technology costs'!$L$7:$L$28)</f>
        <v>211.94584531928834</v>
      </c>
      <c r="J94" s="349">
        <f t="shared" si="31"/>
        <v>21.194584531928836</v>
      </c>
      <c r="L94" s="350">
        <f>Appliances!F25</f>
        <v>1</v>
      </c>
      <c r="M94" s="349">
        <f>L94*SUMIF($C$6:$J$6,C94,$C$48:$J$48)</f>
        <v>6.8535628752885334</v>
      </c>
      <c r="N94" s="349">
        <f>M94*E94</f>
        <v>4.1121377251731204</v>
      </c>
      <c r="O94" s="314">
        <f t="shared" ref="O94:O99" ca="1" si="59">H94/SUM($H$93:$H$99)</f>
        <v>0.4246712203047408</v>
      </c>
      <c r="P94" s="410">
        <f>N94/SUMIF($D$61:$D$121,$D94,$N$61:$N$121)*(1+$P$56)</f>
        <v>0.4331646447108356</v>
      </c>
      <c r="Q94" s="643">
        <f>P94</f>
        <v>0.4331646447108356</v>
      </c>
      <c r="R94" s="643"/>
      <c r="S94" s="643"/>
      <c r="T94" s="643"/>
      <c r="U94" s="643"/>
      <c r="V94" s="643"/>
      <c r="W94" s="643"/>
      <c r="X94" s="643"/>
      <c r="Z94" s="410">
        <f>P94/(1+$P$56+$Z$56)</f>
        <v>0.41650446606811115</v>
      </c>
      <c r="AA94" s="411">
        <f t="shared" si="57"/>
        <v>0.33320357285448893</v>
      </c>
      <c r="AB94" s="411"/>
      <c r="AC94" s="411"/>
      <c r="AD94" s="411"/>
      <c r="AE94" s="411"/>
      <c r="AF94" s="411"/>
      <c r="AG94" s="411"/>
      <c r="AH94" s="411"/>
      <c r="AI94" s="314">
        <f t="shared" si="32"/>
        <v>34</v>
      </c>
      <c r="AL94" s="390">
        <f t="shared" si="30"/>
        <v>0.25989878682650142</v>
      </c>
    </row>
    <row r="95" spans="1:39">
      <c r="A95" s="343" t="str">
        <f>A$48&amp;" - "&amp;VLOOKUP(RIGHT(C95,3),NameConv!$E$3:$F$16,2,FALSE)&amp;" - Existing"</f>
        <v>Commercial - Water Heating - Oil LPG - Existing</v>
      </c>
      <c r="B95" s="343" t="str">
        <f>D95&amp;RIGHT(C95,3)&amp;"-E"</f>
        <v>CEWOLP-E</v>
      </c>
      <c r="C95" s="346" t="str">
        <f>$J$6</f>
        <v>COMOLP</v>
      </c>
      <c r="D95" s="346" t="str">
        <f>$B$48</f>
        <v>CEW</v>
      </c>
      <c r="E95" s="347">
        <f>Appliances!J23</f>
        <v>0.68</v>
      </c>
      <c r="F95" s="566">
        <f ca="1">SUMIF(AFA!$B$3:$S$3,D95,AFA!$B$4:$J$4)</f>
        <v>0.89129999999999998</v>
      </c>
      <c r="G95" s="348">
        <v>12</v>
      </c>
      <c r="H95" s="349">
        <f t="shared" ca="1" si="58"/>
        <v>2.7673084210432193</v>
      </c>
      <c r="I95" s="349">
        <f>SUMIF('Technology costs'!$B$7:$B$28,COM_2012!B95,'Technology costs'!$L$7:$L$28)</f>
        <v>24.826371391503535</v>
      </c>
      <c r="J95" s="349">
        <f t="shared" si="31"/>
        <v>2.4826371391503539</v>
      </c>
      <c r="L95" s="350">
        <f>Appliances!F23</f>
        <v>1</v>
      </c>
      <c r="M95" s="349">
        <f>L95*SUMIF($C$6:$J$6,C95,$C$48:$J$48)</f>
        <v>3.6272088171703252</v>
      </c>
      <c r="N95" s="349">
        <f>M95*E95</f>
        <v>2.4665019956758214</v>
      </c>
      <c r="O95" s="314">
        <f t="shared" ca="1" si="59"/>
        <v>0.2547221135069429</v>
      </c>
      <c r="P95" s="410">
        <f>N95/SUMIF($D$61:$D$121,$D95,$N$61:$N$121)*(1+$P$56)</f>
        <v>0.25981655577708179</v>
      </c>
      <c r="Q95" s="411">
        <f t="shared" si="56"/>
        <v>0.25981655577708179</v>
      </c>
      <c r="R95" s="411"/>
      <c r="S95" s="411"/>
      <c r="T95" s="411"/>
      <c r="U95" s="411"/>
      <c r="V95" s="411"/>
      <c r="W95" s="411"/>
      <c r="X95" s="411"/>
      <c r="Z95" s="410">
        <f>P95/(1+$P$56+$Z$56)</f>
        <v>0.2498236113241171</v>
      </c>
      <c r="AA95" s="411">
        <f t="shared" si="57"/>
        <v>0.19985888905929369</v>
      </c>
      <c r="AB95" s="411"/>
      <c r="AC95" s="411"/>
      <c r="AD95" s="411"/>
      <c r="AE95" s="411"/>
      <c r="AF95" s="411"/>
      <c r="AG95" s="411"/>
      <c r="AH95" s="411"/>
      <c r="AI95" s="314">
        <f t="shared" si="32"/>
        <v>35</v>
      </c>
      <c r="AL95" s="390">
        <f t="shared" si="30"/>
        <v>0.17667525792841562</v>
      </c>
    </row>
    <row r="96" spans="1:39">
      <c r="A96" s="343" t="str">
        <f>A$48&amp;" - "&amp;VLOOKUP(RIGHT(C96,3),NameConv!$E$3:$F$16,2,FALSE)&amp;" - Existing"</f>
        <v>Commercial - Water Heating - Gas - Existing</v>
      </c>
      <c r="B96" s="343" t="str">
        <f t="shared" ref="B96:B97" si="60">D96&amp;RIGHT(C96,3)&amp;"-E"</f>
        <v>CEWGAS-E</v>
      </c>
      <c r="C96" s="346" t="str">
        <f>$F$6</f>
        <v>COMGAS</v>
      </c>
      <c r="D96" s="346" t="str">
        <f t="shared" ref="D96:D97" si="61">$B$48</f>
        <v>CEW</v>
      </c>
      <c r="E96" s="347">
        <f>Appliances!J27</f>
        <v>0.69</v>
      </c>
      <c r="F96" s="566">
        <f ca="1">SUMIF(AFA!$B$3:$S$3,D96,AFA!$B$4:$J$4)</f>
        <v>0.89129999999999998</v>
      </c>
      <c r="G96" s="348">
        <v>12</v>
      </c>
      <c r="H96" s="349">
        <f t="shared" ca="1" si="58"/>
        <v>1.9276046534315194E-2</v>
      </c>
      <c r="I96" s="488">
        <f>I95</f>
        <v>24.826371391503535</v>
      </c>
      <c r="J96" s="349">
        <f t="shared" si="31"/>
        <v>2.4826371391503539</v>
      </c>
      <c r="L96" s="350">
        <f>Appliances!F27</f>
        <v>1</v>
      </c>
      <c r="M96" s="349">
        <f>L96*SUMIF($C$6:$J$6,C96,$C$48:$J$48)</f>
        <v>2.4899623588456717E-2</v>
      </c>
      <c r="N96" s="349">
        <f>M96*E96</f>
        <v>1.7180740276035132E-2</v>
      </c>
      <c r="O96" s="314">
        <f t="shared" ca="1" si="59"/>
        <v>1.7742999934311494E-3</v>
      </c>
      <c r="P96" s="410">
        <f t="shared" ref="P96:P97" si="62">N96/SUMIF($D$61:$D$121,$D96,$N$61:$N$121)*(1+$P$56)</f>
        <v>1.8097859932997725E-3</v>
      </c>
      <c r="Q96" s="411">
        <f t="shared" si="56"/>
        <v>1.8097859932997725E-3</v>
      </c>
      <c r="R96" s="411"/>
      <c r="S96" s="411"/>
      <c r="T96" s="411"/>
      <c r="U96" s="411"/>
      <c r="V96" s="411"/>
      <c r="W96" s="411"/>
      <c r="X96" s="411"/>
      <c r="Z96" s="410">
        <f t="shared" ref="Z96:Z97" si="63">P96/(1+$P$56+$Z$56)</f>
        <v>1.7401788397113196E-3</v>
      </c>
      <c r="AA96" s="411">
        <f t="shared" si="57"/>
        <v>1.3921430717690557E-3</v>
      </c>
      <c r="AB96" s="411"/>
      <c r="AC96" s="411"/>
      <c r="AD96" s="411"/>
      <c r="AE96" s="411"/>
      <c r="AF96" s="411"/>
      <c r="AG96" s="411"/>
      <c r="AH96" s="411"/>
      <c r="AI96" s="314">
        <f t="shared" si="32"/>
        <v>36</v>
      </c>
      <c r="AL96" s="390">
        <f t="shared" si="30"/>
        <v>1.2487523353768429E-3</v>
      </c>
    </row>
    <row r="97" spans="1:39">
      <c r="A97" s="343" t="str">
        <f>A$48&amp;" - "&amp;VLOOKUP(RIGHT(C97,3),NameConv!$E$3:$F$16,2,FALSE)&amp;" - Existing"</f>
        <v>Commercial - Water Heating - Oil Paraffin - Existing</v>
      </c>
      <c r="B97" s="343" t="str">
        <f t="shared" si="60"/>
        <v>CEWOKE-E</v>
      </c>
      <c r="C97" s="346" t="s">
        <v>1101</v>
      </c>
      <c r="D97" s="346" t="str">
        <f t="shared" si="61"/>
        <v>CEW</v>
      </c>
      <c r="E97" s="347">
        <f>Appliances!J28</f>
        <v>0.7</v>
      </c>
      <c r="F97" s="566">
        <f ca="1">SUMIF(AFA!$B$3:$S$3,D97,AFA!$B$4:$J$4)</f>
        <v>0.89129999999999998</v>
      </c>
      <c r="G97" s="348">
        <v>12</v>
      </c>
      <c r="H97" s="349">
        <f t="shared" ca="1" si="58"/>
        <v>2.0138348703793065</v>
      </c>
      <c r="I97" s="488">
        <f>I96</f>
        <v>24.826371391503535</v>
      </c>
      <c r="J97" s="349">
        <f t="shared" si="31"/>
        <v>2.4826371391503539</v>
      </c>
      <c r="L97" s="350">
        <f>Appliances!F28</f>
        <v>1</v>
      </c>
      <c r="M97" s="349">
        <f>L97*SUMIF($C$6:$J$6,C97,$C$48:$J$48)</f>
        <v>2.5641871713843942</v>
      </c>
      <c r="N97" s="349">
        <f>M97*E97</f>
        <v>1.7949310199690758</v>
      </c>
      <c r="O97" s="314">
        <f t="shared" ca="1" si="59"/>
        <v>0.18536722200397843</v>
      </c>
      <c r="P97" s="410">
        <f t="shared" si="62"/>
        <v>0.18907456644405796</v>
      </c>
      <c r="Q97" s="411">
        <f t="shared" si="56"/>
        <v>0.18907456644405796</v>
      </c>
      <c r="R97" s="411"/>
      <c r="S97" s="411"/>
      <c r="T97" s="411"/>
      <c r="U97" s="411"/>
      <c r="V97" s="411"/>
      <c r="W97" s="411"/>
      <c r="X97" s="411"/>
      <c r="Z97" s="410">
        <f t="shared" si="63"/>
        <v>0.1818024677346711</v>
      </c>
      <c r="AA97" s="411">
        <f t="shared" si="57"/>
        <v>0.14544197418773688</v>
      </c>
      <c r="AB97" s="411"/>
      <c r="AC97" s="411"/>
      <c r="AD97" s="411"/>
      <c r="AE97" s="411"/>
      <c r="AF97" s="411"/>
      <c r="AG97" s="411"/>
      <c r="AH97" s="411"/>
      <c r="AI97" s="314">
        <f t="shared" si="32"/>
        <v>37</v>
      </c>
      <c r="AL97" s="390">
        <f t="shared" si="30"/>
        <v>0.13235219651084057</v>
      </c>
    </row>
    <row r="98" spans="1:39">
      <c r="A98" s="343" t="str">
        <f>A$48&amp;" - "&amp;VLOOKUP(RIGHT(C98,3),NameConv!$E$3:$F$16,2,FALSE)&amp;" - New"</f>
        <v>Commercial - Water Heating - Electricity - New</v>
      </c>
      <c r="B98" s="343" t="str">
        <f>D98&amp;RIGHT(C98,3)&amp;"-N"</f>
        <v>CEWELC-N</v>
      </c>
      <c r="C98" s="346" t="str">
        <f>$E$6</f>
        <v>COMELC</v>
      </c>
      <c r="D98" s="346" t="str">
        <f>$B$48</f>
        <v>CEW</v>
      </c>
      <c r="E98" s="347">
        <f>(0.97/0.96)*E93</f>
        <v>1.0104166666666667</v>
      </c>
      <c r="F98" s="566">
        <f ca="1">SUMIF(AFA!$B$3:$S$3,D98,AFA!$B$4:$J$4)</f>
        <v>0.89129999999999998</v>
      </c>
      <c r="G98" s="348">
        <v>14</v>
      </c>
      <c r="H98" s="349">
        <f t="shared" ca="1" si="58"/>
        <v>0</v>
      </c>
      <c r="I98" s="349">
        <f>I93</f>
        <v>31.581453839889381</v>
      </c>
      <c r="J98" s="349">
        <f>I98*0.1</f>
        <v>3.1581453839889382</v>
      </c>
      <c r="L98" s="350">
        <v>0</v>
      </c>
      <c r="M98" s="349">
        <v>0</v>
      </c>
      <c r="N98" s="349">
        <v>0</v>
      </c>
      <c r="O98" s="314">
        <f t="shared" ca="1" si="59"/>
        <v>0</v>
      </c>
      <c r="P98" s="410">
        <f>N98/SUMIF($D$61:$D$121,$D98,$N$61:$N$121)*(1+$P$56)</f>
        <v>0</v>
      </c>
      <c r="Q98" s="411">
        <f t="shared" si="56"/>
        <v>0</v>
      </c>
      <c r="R98" s="411"/>
      <c r="S98" s="411"/>
      <c r="T98" s="411"/>
      <c r="U98" s="411"/>
      <c r="V98" s="411"/>
      <c r="W98" s="411"/>
      <c r="X98" s="411"/>
      <c r="Z98" s="410">
        <f>P98/(1+$P$56+$Z$56)</f>
        <v>0</v>
      </c>
      <c r="AA98" s="411">
        <f t="shared" si="57"/>
        <v>0</v>
      </c>
      <c r="AB98" s="411"/>
      <c r="AC98" s="411"/>
      <c r="AD98" s="411"/>
      <c r="AE98" s="411"/>
      <c r="AF98" s="411"/>
      <c r="AG98" s="411"/>
      <c r="AH98" s="411"/>
      <c r="AI98" s="314">
        <f t="shared" si="32"/>
        <v>38</v>
      </c>
      <c r="AL98" s="390">
        <f t="shared" si="30"/>
        <v>0</v>
      </c>
    </row>
    <row r="99" spans="1:39">
      <c r="A99" s="343" t="str">
        <f>A$48&amp;" - "&amp;VLOOKUP(RIGHT(C99,3),NameConv!$E$3:$F$16,2,FALSE)&amp;" - HP - New"</f>
        <v>Commercial - Water Heating - Electricity - HP - New</v>
      </c>
      <c r="B99" s="343" t="str">
        <f>D99&amp;RIGHT(C99,3)&amp;"HP-N"</f>
        <v>CEWELCHP-N</v>
      </c>
      <c r="C99" s="346" t="str">
        <f t="shared" ref="C99" si="64">$E$6</f>
        <v>COMELC</v>
      </c>
      <c r="D99" s="346" t="str">
        <f>$B$48</f>
        <v>CEW</v>
      </c>
      <c r="E99" s="347">
        <v>2.2599999999999998</v>
      </c>
      <c r="F99" s="566">
        <f ca="1">SUMIF(AFA!$B$3:$S$3,D99,AFA!$B$4:$J$4)</f>
        <v>0.89129999999999998</v>
      </c>
      <c r="G99" s="348">
        <v>10</v>
      </c>
      <c r="H99" s="349">
        <f t="shared" ca="1" si="58"/>
        <v>0</v>
      </c>
      <c r="I99" s="349">
        <f>I93*3</f>
        <v>94.744361519668146</v>
      </c>
      <c r="J99" s="349">
        <f>I99*0.1</f>
        <v>9.474436151966815</v>
      </c>
      <c r="L99" s="350">
        <v>0</v>
      </c>
      <c r="M99" s="349">
        <v>0</v>
      </c>
      <c r="N99" s="349">
        <v>0</v>
      </c>
      <c r="O99" s="314">
        <f t="shared" ca="1" si="59"/>
        <v>0</v>
      </c>
      <c r="P99" s="410">
        <f>N99/SUMIF($D$61:$D$121,$D99,$N$61:$N$121)*(1+$P$56)</f>
        <v>0</v>
      </c>
      <c r="Q99" s="411">
        <f t="shared" si="56"/>
        <v>0</v>
      </c>
      <c r="R99" s="411"/>
      <c r="S99" s="411"/>
      <c r="T99" s="411"/>
      <c r="U99" s="411"/>
      <c r="V99" s="411"/>
      <c r="W99" s="411"/>
      <c r="X99" s="411"/>
      <c r="Z99" s="410">
        <f>P99/(1+$P$56+$Z$56)</f>
        <v>0</v>
      </c>
      <c r="AA99" s="411">
        <f t="shared" si="57"/>
        <v>0</v>
      </c>
      <c r="AB99" s="411"/>
      <c r="AC99" s="411"/>
      <c r="AD99" s="411"/>
      <c r="AE99" s="411"/>
      <c r="AF99" s="411"/>
      <c r="AG99" s="411"/>
      <c r="AH99" s="411"/>
      <c r="AI99" s="314">
        <f t="shared" si="32"/>
        <v>39</v>
      </c>
      <c r="AL99" s="390">
        <f t="shared" si="30"/>
        <v>0</v>
      </c>
    </row>
    <row r="100" spans="1:39">
      <c r="A100" s="352" t="s">
        <v>704</v>
      </c>
      <c r="F100" s="566"/>
      <c r="H100" s="349"/>
      <c r="I100" s="349"/>
      <c r="J100" s="349"/>
      <c r="L100" s="563"/>
      <c r="M100" s="356">
        <f>SUM(M93:M97)</f>
        <v>14.362216029412689</v>
      </c>
      <c r="N100" s="356">
        <f>SUM(N93:N97)</f>
        <v>9.6831090230750316</v>
      </c>
      <c r="AI100" s="314">
        <f t="shared" si="32"/>
        <v>40</v>
      </c>
      <c r="AL100" s="390">
        <f t="shared" si="30"/>
        <v>0</v>
      </c>
      <c r="AM100" s="390">
        <f>SUM(AL93:AL98)</f>
        <v>0.70630944067585921</v>
      </c>
    </row>
    <row r="101" spans="1:39">
      <c r="A101" s="343" t="str">
        <f>"\I:"&amp;A49</f>
        <v>\I:Commercial - Public Lights</v>
      </c>
      <c r="F101" s="566"/>
      <c r="H101" s="349"/>
      <c r="I101" s="349"/>
      <c r="J101" s="349"/>
      <c r="L101" s="563"/>
      <c r="M101" s="356"/>
      <c r="N101" s="356"/>
      <c r="AI101" s="314">
        <f t="shared" si="32"/>
        <v>41</v>
      </c>
      <c r="AL101" s="390">
        <f t="shared" si="30"/>
        <v>0</v>
      </c>
      <c r="AM101" s="390"/>
    </row>
    <row r="102" spans="1:39">
      <c r="A102" s="343" t="str">
        <f>A$49&amp;" - "&amp;VLOOKUP(RIGHT(C102,3),NameConv!$E$3:$F$16,2,FALSE)&amp;" - "&amp;LEFT(Appliances!B75,3)&amp;" - Existing"</f>
        <v>Commercial - Public Lights - Electricity - INC - Existing</v>
      </c>
      <c r="B102" s="343" t="str">
        <f t="shared" ref="B102:B106" si="65">D102&amp;RIGHT(C102,3)&amp;LEFT(RIGHT(A102,LEN("LIT - Existing")),3)&amp;"-E"</f>
        <v>CEGELCINC-E</v>
      </c>
      <c r="C102" s="346" t="str">
        <f t="shared" ref="C102:C107" si="66">$E$6</f>
        <v>COMELC</v>
      </c>
      <c r="D102" s="571" t="str">
        <f t="shared" ref="D102:D104" si="67">$B$49</f>
        <v>CEG</v>
      </c>
      <c r="E102" s="390">
        <f>Appliances!J75</f>
        <v>1</v>
      </c>
      <c r="F102" s="566">
        <f ca="1">SUMIF(AFA!$B$3:$S$3,D102,AFA!$B$4:$J$4)</f>
        <v>0.5464</v>
      </c>
      <c r="G102" s="348">
        <v>10</v>
      </c>
      <c r="H102" s="349">
        <f t="shared" ref="H102:H104" ca="1" si="68">(N102/F102)*(1+$H$55)</f>
        <v>0.27384403840742394</v>
      </c>
      <c r="I102" s="572">
        <f>I85</f>
        <v>0.26729589482474081</v>
      </c>
      <c r="J102" s="572">
        <f t="shared" ref="J102:J104" si="69">I102*0.1</f>
        <v>2.6729589482474083E-2</v>
      </c>
      <c r="L102" s="573">
        <f>Appliances!F75</f>
        <v>4.9630008962625594E-2</v>
      </c>
      <c r="M102" s="349">
        <f t="shared" ref="M102:M104" si="70">L102*SUMIF($C$6:$J$6,C102,$C$49:$J$49)</f>
        <v>0.14962838258581643</v>
      </c>
      <c r="N102" s="349">
        <f t="shared" ref="N102:N104" si="71">M102*E102</f>
        <v>0.14962838258581643</v>
      </c>
      <c r="P102" s="410">
        <f>N102/SUMIF($D$61:$D$121,$D102,$N$61:$N$121)*(1+$P$56)</f>
        <v>1.4816772663351805E-2</v>
      </c>
      <c r="Q102" s="411">
        <f t="shared" ref="Q102:Q104" si="72">MIN(1,$P102+Q$54)</f>
        <v>1.4816772663351805E-2</v>
      </c>
      <c r="R102" s="411"/>
      <c r="S102" s="411"/>
      <c r="T102" s="411"/>
      <c r="U102" s="411"/>
      <c r="V102" s="411"/>
      <c r="W102" s="411"/>
      <c r="X102" s="411"/>
      <c r="Z102" s="410">
        <f t="shared" ref="Z102:Z104" si="73">P102/(1+$P$56+$Z$56)</f>
        <v>1.4246896791684427E-2</v>
      </c>
      <c r="AA102" s="411">
        <f t="shared" ref="AA102:AA104" si="74">$Z102*AA$54</f>
        <v>1.1397517433347541E-2</v>
      </c>
      <c r="AB102" s="411"/>
      <c r="AC102" s="411"/>
      <c r="AD102" s="411"/>
      <c r="AE102" s="411"/>
      <c r="AF102" s="411"/>
      <c r="AG102" s="411"/>
      <c r="AH102" s="411"/>
      <c r="AI102" s="314">
        <f t="shared" si="32"/>
        <v>42</v>
      </c>
      <c r="AL102" s="390">
        <f t="shared" si="30"/>
        <v>1.4816772663351805E-2</v>
      </c>
      <c r="AM102" s="390"/>
    </row>
    <row r="103" spans="1:39">
      <c r="A103" s="343" t="str">
        <f>A$49&amp;" - "&amp;VLOOKUP(RIGHT(C103,3),NameConv!$E$3:$F$16,2,FALSE)&amp;" - "&amp;LEFT(Appliances!B76,3)&amp;" - Existing"</f>
        <v>Commercial - Public Lights - Electricity - HAL - Existing</v>
      </c>
      <c r="B103" s="343" t="str">
        <f t="shared" si="65"/>
        <v>CEGELCHAL-E</v>
      </c>
      <c r="C103" s="346" t="str">
        <f t="shared" si="66"/>
        <v>COMELC</v>
      </c>
      <c r="D103" s="571" t="str">
        <f t="shared" si="67"/>
        <v>CEG</v>
      </c>
      <c r="E103" s="390">
        <f>Appliances!J76</f>
        <v>2</v>
      </c>
      <c r="F103" s="566">
        <f ca="1">SUMIF(AFA!$B$3:$S$3,D103,AFA!$B$4:$J$4)</f>
        <v>0.5464</v>
      </c>
      <c r="G103" s="348">
        <v>10</v>
      </c>
      <c r="H103" s="349">
        <f ca="1">(N103/F103)*(1+$H$55)</f>
        <v>0.54768807681484788</v>
      </c>
      <c r="I103" s="572">
        <f>I83</f>
        <v>0.75829581287827852</v>
      </c>
      <c r="J103" s="572">
        <f t="shared" si="69"/>
        <v>7.5829581287827852E-2</v>
      </c>
      <c r="L103" s="573">
        <f>Appliances!F76</f>
        <v>4.9630008962625594E-2</v>
      </c>
      <c r="M103" s="349">
        <f t="shared" si="70"/>
        <v>0.14962838258581643</v>
      </c>
      <c r="N103" s="349">
        <f t="shared" si="71"/>
        <v>0.29925676517163285</v>
      </c>
      <c r="P103" s="410">
        <f t="shared" ref="P103:P104" si="75">N103/SUMIF($D$61:$D$121,$D103,$N$61:$N$121)*(1+$P$56)</f>
        <v>2.9633545326703609E-2</v>
      </c>
      <c r="Q103" s="411">
        <f t="shared" si="72"/>
        <v>2.9633545326703609E-2</v>
      </c>
      <c r="R103" s="411"/>
      <c r="S103" s="411"/>
      <c r="T103" s="411"/>
      <c r="U103" s="411"/>
      <c r="V103" s="411"/>
      <c r="W103" s="411"/>
      <c r="X103" s="411"/>
      <c r="Z103" s="410">
        <f t="shared" si="73"/>
        <v>2.8493793583368853E-2</v>
      </c>
      <c r="AA103" s="411">
        <f t="shared" si="74"/>
        <v>2.2795034866695082E-2</v>
      </c>
      <c r="AB103" s="411"/>
      <c r="AC103" s="411"/>
      <c r="AD103" s="411"/>
      <c r="AE103" s="411"/>
      <c r="AF103" s="411"/>
      <c r="AG103" s="411"/>
      <c r="AH103" s="411"/>
      <c r="AI103" s="314">
        <f t="shared" si="32"/>
        <v>43</v>
      </c>
      <c r="AL103" s="390">
        <f t="shared" si="30"/>
        <v>5.9267090653407219E-2</v>
      </c>
      <c r="AM103" s="390"/>
    </row>
    <row r="104" spans="1:39">
      <c r="A104" s="343" t="str">
        <f>A$49&amp;" - "&amp;VLOOKUP(RIGHT(C104,3),NameConv!$E$3:$F$16,2,FALSE)&amp;" - "&amp;LEFT(Appliances!B77,3)&amp;" - Existing"</f>
        <v>Commercial - Public Lights - Electricity - HPM - Existing</v>
      </c>
      <c r="B104" s="343" t="str">
        <f>D104&amp;RIGHT(C104,3)&amp;LEFT(RIGHT(A104,LEN("LIT - Existing")),3)&amp;"-E"</f>
        <v>CEGELCHPM-E</v>
      </c>
      <c r="C104" s="346" t="str">
        <f t="shared" si="66"/>
        <v>COMELC</v>
      </c>
      <c r="D104" s="571" t="str">
        <f t="shared" si="67"/>
        <v>CEG</v>
      </c>
      <c r="E104" s="390">
        <f>Appliances!J77</f>
        <v>2.4</v>
      </c>
      <c r="F104" s="566">
        <f ca="1">SUMIF(AFA!$B$3:$S$3,D104,AFA!$B$4:$J$4)</f>
        <v>0.5464</v>
      </c>
      <c r="G104" s="348">
        <v>10</v>
      </c>
      <c r="H104" s="349">
        <f t="shared" ca="1" si="68"/>
        <v>8.311100221292465</v>
      </c>
      <c r="I104" s="572">
        <f>I105</f>
        <v>0.75829581287827852</v>
      </c>
      <c r="J104" s="572">
        <f t="shared" si="69"/>
        <v>7.5829581287827852E-2</v>
      </c>
      <c r="L104" s="573">
        <f>Appliances!F77</f>
        <v>0.62760781171717339</v>
      </c>
      <c r="M104" s="349">
        <f t="shared" si="70"/>
        <v>1.8921604837142509</v>
      </c>
      <c r="N104" s="349">
        <f t="shared" si="71"/>
        <v>4.5411851609142024</v>
      </c>
      <c r="P104" s="410">
        <f t="shared" si="75"/>
        <v>0.44968546066360116</v>
      </c>
      <c r="Q104" s="411">
        <f t="shared" si="72"/>
        <v>0.44968546066360116</v>
      </c>
      <c r="R104" s="411"/>
      <c r="S104" s="411"/>
      <c r="T104" s="411"/>
      <c r="U104" s="411"/>
      <c r="V104" s="411"/>
      <c r="W104" s="411"/>
      <c r="X104" s="411"/>
      <c r="Z104" s="410">
        <f t="shared" si="73"/>
        <v>0.43238986602269341</v>
      </c>
      <c r="AA104" s="411">
        <f t="shared" si="74"/>
        <v>0.34591189281815476</v>
      </c>
      <c r="AB104" s="411"/>
      <c r="AC104" s="411"/>
      <c r="AD104" s="411"/>
      <c r="AE104" s="411"/>
      <c r="AF104" s="411"/>
      <c r="AG104" s="411"/>
      <c r="AH104" s="411"/>
      <c r="AI104" s="314">
        <f t="shared" si="32"/>
        <v>44</v>
      </c>
      <c r="AL104" s="390">
        <f t="shared" si="30"/>
        <v>1.0792451055926426</v>
      </c>
      <c r="AM104" s="390"/>
    </row>
    <row r="105" spans="1:39">
      <c r="A105" s="343" t="str">
        <f>A$49&amp;" - "&amp;VLOOKUP(RIGHT(C105,3),NameConv!$E$3:$F$16,2,FALSE)&amp;" - "&amp;LEFT(Appliances!B78,3)&amp;" - Existing"</f>
        <v>Commercial - Public Lights - Electricity - HPS - Existing</v>
      </c>
      <c r="B105" s="343" t="str">
        <f t="shared" si="65"/>
        <v>CEGELCHPS-E</v>
      </c>
      <c r="C105" s="346" t="str">
        <f t="shared" si="66"/>
        <v>COMELC</v>
      </c>
      <c r="D105" s="571" t="str">
        <f t="shared" ref="D105:D107" si="76">$B$49</f>
        <v>CEG</v>
      </c>
      <c r="E105" s="390">
        <f>Appliances!J78</f>
        <v>6.5</v>
      </c>
      <c r="F105" s="566">
        <f ca="1">SUMIF(AFA!$B$3:$S$3,D105,AFA!$B$4:$J$4)</f>
        <v>0.5464</v>
      </c>
      <c r="G105" s="348">
        <v>12</v>
      </c>
      <c r="H105" s="349">
        <f ca="1">(N105/F105)*(1+$H$55)</f>
        <v>9.462772300802369</v>
      </c>
      <c r="I105" s="572">
        <f>I83</f>
        <v>0.75829581287827852</v>
      </c>
      <c r="J105" s="572">
        <f t="shared" ref="J105:J106" si="77">I105*0.1</f>
        <v>7.5829581287827852E-2</v>
      </c>
      <c r="L105" s="573">
        <f>Appliances!F78</f>
        <v>0.26384331575196845</v>
      </c>
      <c r="M105" s="349">
        <f>L105*SUMIF($C$6:$J$6,C105,$C$49:$J$49)</f>
        <v>0.79545519771667916</v>
      </c>
      <c r="N105" s="349">
        <f>M105*E105</f>
        <v>5.1704587851584147</v>
      </c>
      <c r="P105" s="410">
        <f>N105/SUMIF($D$61:$D$121,$D105,$N$61:$N$121)*(1+$P$56)</f>
        <v>0.51199853303890719</v>
      </c>
      <c r="Q105" s="411">
        <f t="shared" ref="Q105:Q107" si="78">MIN(1,$P105+Q$54)</f>
        <v>0.51199853303890719</v>
      </c>
      <c r="R105" s="411"/>
      <c r="S105" s="411"/>
      <c r="T105" s="411"/>
      <c r="U105" s="411"/>
      <c r="V105" s="411"/>
      <c r="W105" s="411"/>
      <c r="X105" s="411"/>
      <c r="Z105" s="410">
        <f t="shared" ref="Z105:Z107" si="79">P105/(1+$P$56+$Z$56)</f>
        <v>0.49230628176817998</v>
      </c>
      <c r="AA105" s="411">
        <f t="shared" ref="AA105:AA107" si="80">$Z105*AA$54</f>
        <v>0.39384502541454403</v>
      </c>
      <c r="AB105" s="411"/>
      <c r="AC105" s="411"/>
      <c r="AD105" s="411"/>
      <c r="AE105" s="411"/>
      <c r="AF105" s="411"/>
      <c r="AG105" s="411"/>
      <c r="AH105" s="411"/>
      <c r="AI105" s="314">
        <f t="shared" si="32"/>
        <v>45</v>
      </c>
      <c r="AL105" s="390">
        <f t="shared" si="30"/>
        <v>3.3279904647528968</v>
      </c>
      <c r="AM105" s="390"/>
    </row>
    <row r="106" spans="1:39">
      <c r="A106" s="343" t="str">
        <f>A$49&amp;" - "&amp;VLOOKUP(RIGHT(C106,3),NameConv!$E$3:$F$16,2,FALSE)&amp;" - "&amp;LEFT(Appliances!B79,3)&amp;" - Existing"</f>
        <v>Commercial - Public Lights - Electricity - MHL - Existing</v>
      </c>
      <c r="B106" s="343" t="str">
        <f t="shared" si="65"/>
        <v>CEGELCMHL-E</v>
      </c>
      <c r="C106" s="346" t="str">
        <f t="shared" si="66"/>
        <v>COMELC</v>
      </c>
      <c r="D106" s="571" t="str">
        <f t="shared" si="76"/>
        <v>CEG</v>
      </c>
      <c r="E106" s="390">
        <f>Appliances!J79</f>
        <v>5</v>
      </c>
      <c r="F106" s="566">
        <f ca="1">SUMIF(AFA!$B$3:$S$3,D106,AFA!$B$4:$J$4)</f>
        <v>0.5464</v>
      </c>
      <c r="G106" s="348">
        <v>10</v>
      </c>
      <c r="H106" s="349">
        <f t="shared" ref="H106:H107" ca="1" si="81">(N106/F106)*(1+$H$55)</f>
        <v>0.25626606870999735</v>
      </c>
      <c r="I106" s="572">
        <f>I84</f>
        <v>0.30666374785518619</v>
      </c>
      <c r="J106" s="572">
        <f t="shared" si="77"/>
        <v>3.0666374785518619E-2</v>
      </c>
      <c r="L106" s="573">
        <f>Appliances!F79</f>
        <v>9.2888546056069232E-3</v>
      </c>
      <c r="M106" s="349">
        <f t="shared" ref="M106:M107" si="82">L106*SUMIF($C$6:$J$6,C106,$C$49:$J$49)</f>
        <v>2.8004755988628508E-2</v>
      </c>
      <c r="N106" s="349">
        <f t="shared" ref="N106:N107" si="83">M106*E106</f>
        <v>0.14002377994314255</v>
      </c>
      <c r="P106" s="410">
        <f>N106/SUMIF($D$61:$D$121,$D106,$N$61:$N$121)*(1+$P$56)</f>
        <v>1.3865688307436187E-2</v>
      </c>
      <c r="Q106" s="411">
        <f t="shared" si="78"/>
        <v>1.3865688307436187E-2</v>
      </c>
      <c r="R106" s="411"/>
      <c r="S106" s="411"/>
      <c r="T106" s="411"/>
      <c r="U106" s="411"/>
      <c r="V106" s="411"/>
      <c r="W106" s="411"/>
      <c r="X106" s="411"/>
      <c r="Z106" s="410">
        <f t="shared" si="79"/>
        <v>1.3332392603304025E-2</v>
      </c>
      <c r="AA106" s="411">
        <f t="shared" si="80"/>
        <v>1.0665914082643221E-2</v>
      </c>
      <c r="AB106" s="411"/>
      <c r="AC106" s="411"/>
      <c r="AD106" s="411"/>
      <c r="AE106" s="411"/>
      <c r="AF106" s="411"/>
      <c r="AG106" s="411"/>
      <c r="AH106" s="411"/>
      <c r="AI106" s="314">
        <f t="shared" si="32"/>
        <v>46</v>
      </c>
      <c r="AL106" s="390">
        <f t="shared" si="30"/>
        <v>6.9328441537180929E-2</v>
      </c>
      <c r="AM106" s="390"/>
    </row>
    <row r="107" spans="1:39">
      <c r="A107" s="343" t="str">
        <f>A$49&amp;" - "&amp;VLOOKUP(RIGHT(C107,3),NameConv!$E$3:$F$16,2,FALSE)&amp;" - "&amp;LEFT(Appliances!B80,3)&amp;" - New"</f>
        <v>Commercial - Public Lights - Electricity - LED - New</v>
      </c>
      <c r="B107" s="343" t="str">
        <f t="shared" ref="B107" si="84">D107&amp;RIGHT(C107,3)&amp;LEFT(RIGHT(A107,LEN("LIT - NEW")),3)&amp;"-N"</f>
        <v>CEGELCLED-N</v>
      </c>
      <c r="C107" s="346" t="str">
        <f t="shared" si="66"/>
        <v>COMELC</v>
      </c>
      <c r="D107" s="571" t="str">
        <f t="shared" si="76"/>
        <v>CEG</v>
      </c>
      <c r="E107" s="390">
        <f>Appliances!J80</f>
        <v>9.8000000000000007</v>
      </c>
      <c r="F107" s="566">
        <f ca="1">SUMIF(AFA!$B$3:$S$3,D107,AFA!$B$4:$J$4)</f>
        <v>0.5464</v>
      </c>
      <c r="G107" s="348">
        <v>10</v>
      </c>
      <c r="H107" s="349">
        <f t="shared" ca="1" si="81"/>
        <v>0</v>
      </c>
      <c r="I107" s="349">
        <f>I86</f>
        <v>4.9258814903416521</v>
      </c>
      <c r="J107" s="349">
        <f>I107*0.1</f>
        <v>0.49258814903416526</v>
      </c>
      <c r="L107" s="573">
        <v>0</v>
      </c>
      <c r="M107" s="349">
        <f t="shared" si="82"/>
        <v>0</v>
      </c>
      <c r="N107" s="349">
        <f t="shared" si="83"/>
        <v>0</v>
      </c>
      <c r="P107" s="410">
        <f>N107/SUMIF($D$61:$D$121,$D107,$N$61:$N$121)*(1+$P$56)</f>
        <v>0</v>
      </c>
      <c r="Q107" s="411">
        <f t="shared" si="78"/>
        <v>0</v>
      </c>
      <c r="R107" s="411"/>
      <c r="S107" s="411"/>
      <c r="T107" s="411"/>
      <c r="U107" s="411"/>
      <c r="V107" s="411"/>
      <c r="W107" s="411"/>
      <c r="X107" s="411"/>
      <c r="Z107" s="410">
        <f t="shared" si="79"/>
        <v>0</v>
      </c>
      <c r="AA107" s="411">
        <f t="shared" si="80"/>
        <v>0</v>
      </c>
      <c r="AB107" s="411"/>
      <c r="AC107" s="411"/>
      <c r="AD107" s="411"/>
      <c r="AE107" s="411"/>
      <c r="AF107" s="411"/>
      <c r="AG107" s="411"/>
      <c r="AH107" s="411"/>
      <c r="AI107" s="314">
        <f t="shared" si="32"/>
        <v>47</v>
      </c>
      <c r="AL107" s="390">
        <f t="shared" si="30"/>
        <v>0</v>
      </c>
      <c r="AM107" s="390"/>
    </row>
    <row r="108" spans="1:39">
      <c r="A108" s="352" t="s">
        <v>704</v>
      </c>
      <c r="B108" s="343"/>
      <c r="C108" s="346"/>
      <c r="D108" s="571"/>
      <c r="E108" s="390"/>
      <c r="F108" s="566"/>
      <c r="G108" s="348"/>
      <c r="H108" s="349"/>
      <c r="I108" s="349"/>
      <c r="J108" s="349"/>
      <c r="L108" s="573"/>
      <c r="M108" s="356">
        <f>SUM(M102:M106)</f>
        <v>3.0148772025911916</v>
      </c>
      <c r="N108" s="356">
        <f>SUM(N102:N106)</f>
        <v>10.30055287377321</v>
      </c>
      <c r="P108" s="410"/>
      <c r="Q108" s="411"/>
      <c r="R108" s="411"/>
      <c r="S108" s="411"/>
      <c r="T108" s="411"/>
      <c r="U108" s="411"/>
      <c r="V108" s="411"/>
      <c r="W108" s="411"/>
      <c r="X108" s="411"/>
      <c r="Z108" s="410"/>
      <c r="AA108" s="411"/>
      <c r="AB108" s="411"/>
      <c r="AC108" s="411"/>
      <c r="AD108" s="411"/>
      <c r="AE108" s="411"/>
      <c r="AF108" s="411"/>
      <c r="AG108" s="411"/>
      <c r="AH108" s="411"/>
      <c r="AI108" s="314">
        <f t="shared" si="32"/>
        <v>48</v>
      </c>
      <c r="AL108" s="390">
        <f t="shared" si="30"/>
        <v>0</v>
      </c>
      <c r="AM108" s="390"/>
    </row>
    <row r="109" spans="1:39">
      <c r="A109" s="343" t="str">
        <f>"\I:"&amp;A50</f>
        <v>\I:Commercial - Public Water</v>
      </c>
      <c r="B109" s="343"/>
      <c r="D109" s="571"/>
      <c r="F109" s="566"/>
      <c r="H109" s="349"/>
      <c r="I109" s="349"/>
      <c r="J109" s="349"/>
      <c r="L109" s="563"/>
      <c r="M109" s="356"/>
      <c r="N109" s="356"/>
      <c r="AI109" s="314">
        <f t="shared" si="32"/>
        <v>49</v>
      </c>
      <c r="AL109" s="390">
        <f t="shared" si="30"/>
        <v>0</v>
      </c>
      <c r="AM109" s="390"/>
    </row>
    <row r="110" spans="1:39">
      <c r="A110" s="343" t="str">
        <f>A$50&amp;" - "&amp;VLOOKUP(RIGHT(C110,3),NameConv!$E$3:$F$16,2,FALSE)&amp;" - "&amp;LEFT(Appliances!B83,3)&amp;" - Existing"</f>
        <v>Commercial - Public Water - Electricity -  - Existing</v>
      </c>
      <c r="B110" s="343" t="str">
        <f>D110&amp;RIGHT(C110,3)&amp;"-E"</f>
        <v>CETELC-E</v>
      </c>
      <c r="C110" s="346" t="str">
        <f>$E$6</f>
        <v>COMELC</v>
      </c>
      <c r="D110" s="571" t="str">
        <f>$B$50</f>
        <v>CET</v>
      </c>
      <c r="E110" s="314">
        <v>1</v>
      </c>
      <c r="F110" s="566">
        <f ca="1">SUMIF(AFA!$B$3:$S$3,D110,AFA!$B$4:$J$4)</f>
        <v>0.89129999999999998</v>
      </c>
      <c r="G110" s="348">
        <v>15</v>
      </c>
      <c r="H110" s="349">
        <f ca="1">(N110/F110)*(1+$H$55)</f>
        <v>3.9934379543939782</v>
      </c>
      <c r="I110" s="349">
        <v>100</v>
      </c>
      <c r="J110" s="349">
        <f>0.1*I110</f>
        <v>10</v>
      </c>
      <c r="L110" s="563">
        <f>Appliances!F50</f>
        <v>1</v>
      </c>
      <c r="M110" s="349">
        <f>L110*SUMIF($C$6:$J$6,C110,$C$50:$J$50)</f>
        <v>3.5593512487513528</v>
      </c>
      <c r="N110" s="349">
        <f>M110*E110</f>
        <v>3.5593512487513528</v>
      </c>
      <c r="P110" s="410">
        <v>1</v>
      </c>
      <c r="Q110" s="411">
        <f>MIN(1,$P110+Q$54)</f>
        <v>1</v>
      </c>
      <c r="R110" s="411"/>
      <c r="S110" s="411"/>
      <c r="T110" s="411"/>
      <c r="U110" s="411"/>
      <c r="V110" s="411"/>
      <c r="W110" s="411"/>
      <c r="X110" s="411"/>
      <c r="Z110" s="410">
        <f>P110/(1+$P$56+$Z$56)</f>
        <v>0.96153846153846145</v>
      </c>
      <c r="AA110" s="411">
        <f>$Z110*AA$54</f>
        <v>0.76923076923076916</v>
      </c>
      <c r="AB110" s="411"/>
      <c r="AC110" s="411"/>
      <c r="AD110" s="411"/>
      <c r="AE110" s="411"/>
      <c r="AF110" s="411"/>
      <c r="AG110" s="411"/>
      <c r="AH110" s="411"/>
      <c r="AI110" s="314">
        <f t="shared" si="32"/>
        <v>50</v>
      </c>
      <c r="AL110" s="390">
        <f t="shared" si="30"/>
        <v>1</v>
      </c>
      <c r="AM110" s="390"/>
    </row>
    <row r="111" spans="1:39">
      <c r="A111" s="352" t="s">
        <v>704</v>
      </c>
      <c r="F111" s="566"/>
      <c r="H111" s="349"/>
      <c r="I111" s="349"/>
      <c r="J111" s="349"/>
      <c r="L111" s="563"/>
      <c r="M111" s="356"/>
      <c r="N111" s="356"/>
      <c r="AI111" s="314">
        <f t="shared" si="32"/>
        <v>51</v>
      </c>
      <c r="AL111" s="390">
        <f t="shared" si="30"/>
        <v>0</v>
      </c>
      <c r="AM111" s="390"/>
    </row>
    <row r="112" spans="1:39">
      <c r="A112" s="343" t="str">
        <f>"\I:"&amp;A51</f>
        <v>\I:Commercial - Other</v>
      </c>
      <c r="B112" s="343"/>
      <c r="C112" s="353"/>
      <c r="D112" s="353"/>
      <c r="E112" s="339"/>
      <c r="F112" s="566"/>
      <c r="G112" s="339"/>
      <c r="H112" s="349"/>
      <c r="I112" s="349"/>
      <c r="J112" s="349"/>
      <c r="K112" s="357"/>
      <c r="L112" s="358"/>
      <c r="M112" s="358"/>
      <c r="AI112" s="314">
        <f t="shared" si="32"/>
        <v>52</v>
      </c>
      <c r="AL112" s="390">
        <f t="shared" si="30"/>
        <v>0</v>
      </c>
    </row>
    <row r="113" spans="1:39">
      <c r="A113" s="343" t="str">
        <f>A$51&amp;" - "&amp;VLOOKUP(RIGHT(C113,3),NameConv!$E$3:$F$16,2,FALSE)&amp;" - Existing"</f>
        <v>Commercial - Other - Coal - Existing</v>
      </c>
      <c r="B113" s="343" t="str">
        <f t="shared" ref="B113:B119" si="85">D113&amp;RIGHT(C113,3)&amp;"-E"</f>
        <v>CEOCOA-E</v>
      </c>
      <c r="C113" s="346" t="str">
        <f>$C$6</f>
        <v>COMCOA</v>
      </c>
      <c r="D113" s="346" t="str">
        <f>$B$51</f>
        <v>CEO</v>
      </c>
      <c r="E113" s="347">
        <f>Appliances!J46</f>
        <v>1</v>
      </c>
      <c r="F113" s="566">
        <f ca="1">SUMIF(AFA!$B$3:$S$3,D113,AFA!$B$4:$J$4)</f>
        <v>0.64739999999999998</v>
      </c>
      <c r="G113" s="348">
        <v>15</v>
      </c>
      <c r="H113" s="349">
        <f ca="1">(N113/F113)*(1+$H$55)</f>
        <v>0</v>
      </c>
      <c r="I113" s="349">
        <f>SUMIF('Technology costs'!$B$7:$B$28,COM_2012!B113,'Technology costs'!$L$7:$L$28)</f>
        <v>410.88682603593844</v>
      </c>
      <c r="J113" s="349">
        <f t="shared" si="31"/>
        <v>41.088682603593845</v>
      </c>
      <c r="L113" s="350">
        <f>Appliances!F27</f>
        <v>1</v>
      </c>
      <c r="M113" s="349">
        <f t="shared" ref="M113:M119" si="86">L113*SUMIF($C$6:$J$6,C113,$C$51:$J$51)</f>
        <v>0</v>
      </c>
      <c r="N113" s="349">
        <f t="shared" ref="N113:N119" si="87">M113*E113</f>
        <v>0</v>
      </c>
      <c r="P113" s="410">
        <f>N113/SUMIF($D$61:$D$121,$D113,$N$61:$N$121)*(1+$P$56)</f>
        <v>0</v>
      </c>
      <c r="Q113" s="411">
        <f>P113</f>
        <v>0</v>
      </c>
      <c r="R113" s="411"/>
      <c r="S113" s="411"/>
      <c r="T113" s="411"/>
      <c r="U113" s="411"/>
      <c r="V113" s="411"/>
      <c r="W113" s="411"/>
      <c r="X113" s="411"/>
      <c r="Z113" s="410">
        <f t="shared" ref="Z113:Z120" si="88">P113/(1+$P$56+$Z$56)</f>
        <v>0</v>
      </c>
      <c r="AA113" s="411">
        <f>Z113</f>
        <v>0</v>
      </c>
      <c r="AB113" s="411"/>
      <c r="AC113" s="411"/>
      <c r="AD113" s="411"/>
      <c r="AE113" s="411"/>
      <c r="AF113" s="411"/>
      <c r="AG113" s="411"/>
      <c r="AH113" s="411"/>
      <c r="AI113" s="314">
        <f t="shared" si="32"/>
        <v>53</v>
      </c>
      <c r="AL113" s="390">
        <f t="shared" si="30"/>
        <v>0</v>
      </c>
    </row>
    <row r="114" spans="1:39">
      <c r="A114" s="343" t="str">
        <f>A$51&amp;" - "&amp;VLOOKUP(RIGHT(C114,3),NameConv!$E$3:$F$16,2,FALSE)&amp;" - Existing"</f>
        <v>Commercial - Other - Oil Diesel - Existing</v>
      </c>
      <c r="B114" s="343" t="str">
        <f t="shared" si="85"/>
        <v>CEOODS-E</v>
      </c>
      <c r="C114" s="346" t="str">
        <f>$D$6</f>
        <v>COMODS</v>
      </c>
      <c r="D114" s="346" t="str">
        <f t="shared" ref="D114:D119" si="89">$B$51</f>
        <v>CEO</v>
      </c>
      <c r="E114" s="347">
        <f>Appliances!J47</f>
        <v>0.9</v>
      </c>
      <c r="F114" s="566">
        <f ca="1">SUMIF(AFA!$B$3:$S$3,D114,AFA!$B$4:$J$4)</f>
        <v>0.64739999999999998</v>
      </c>
      <c r="G114" s="348">
        <v>15</v>
      </c>
      <c r="H114" s="349">
        <f t="shared" ref="H114:H119" ca="1" si="90">(N114/F114)*(1+$H$55)</f>
        <v>0.96683237446342762</v>
      </c>
      <c r="I114" s="349">
        <f>SUMIF('Technology costs'!$B$7:$B$28,COM_2012!B114,'Technology costs'!$L$7:$L$28)</f>
        <v>410.88682603593844</v>
      </c>
      <c r="J114" s="349">
        <f t="shared" si="31"/>
        <v>41.088682603593845</v>
      </c>
      <c r="L114" s="350">
        <f>Appliances!F27</f>
        <v>1</v>
      </c>
      <c r="M114" s="349">
        <f t="shared" si="86"/>
        <v>0.69547475469735887</v>
      </c>
      <c r="N114" s="349">
        <f t="shared" si="87"/>
        <v>0.62592727922762303</v>
      </c>
      <c r="P114" s="410">
        <f t="shared" ref="P114:P119" si="91">N114/SUMIF($D$61:$D$121,$D114,$N$61:$N$121)*(1+$P$56)</f>
        <v>3.4031958996781693E-2</v>
      </c>
      <c r="Q114" s="411">
        <f t="shared" ref="Q114" si="92">P114</f>
        <v>3.4031958996781693E-2</v>
      </c>
      <c r="R114" s="411"/>
      <c r="S114" s="411"/>
      <c r="T114" s="411"/>
      <c r="U114" s="411"/>
      <c r="V114" s="411"/>
      <c r="W114" s="411"/>
      <c r="X114" s="411"/>
      <c r="Z114" s="410">
        <f t="shared" si="88"/>
        <v>3.2723037496905472E-2</v>
      </c>
      <c r="AA114" s="411">
        <f t="shared" ref="AA114:AA120" si="93">Z114</f>
        <v>3.2723037496905472E-2</v>
      </c>
      <c r="AB114" s="411"/>
      <c r="AC114" s="411"/>
      <c r="AD114" s="411"/>
      <c r="AE114" s="411"/>
      <c r="AF114" s="411"/>
      <c r="AG114" s="411"/>
      <c r="AH114" s="411"/>
      <c r="AI114" s="314">
        <f t="shared" si="32"/>
        <v>54</v>
      </c>
      <c r="AL114" s="390">
        <f t="shared" si="30"/>
        <v>3.0628763097103523E-2</v>
      </c>
    </row>
    <row r="115" spans="1:39">
      <c r="A115" s="343" t="str">
        <f>A$51&amp;" - "&amp;VLOOKUP(RIGHT(C115,3),NameConv!$E$3:$F$16,2,FALSE)&amp;" - Existing"</f>
        <v>Commercial - Other - Electricity - Existing</v>
      </c>
      <c r="B115" s="343" t="str">
        <f t="shared" si="85"/>
        <v>CEOELC-E</v>
      </c>
      <c r="C115" s="346" t="str">
        <f>$E$6</f>
        <v>COMELC</v>
      </c>
      <c r="D115" s="346" t="str">
        <f t="shared" si="89"/>
        <v>CEO</v>
      </c>
      <c r="E115" s="347">
        <f>Appliances!J45</f>
        <v>0.75</v>
      </c>
      <c r="F115" s="566">
        <f ca="1">SUMIF(AFA!$B$3:$S$3,D115,AFA!$B$4:$J$4)</f>
        <v>0.64739999999999998</v>
      </c>
      <c r="G115" s="348">
        <v>15</v>
      </c>
      <c r="H115" s="349">
        <f t="shared" ca="1" si="90"/>
        <v>27.65077895510812</v>
      </c>
      <c r="I115" s="349">
        <f>SUMIF('Technology costs'!$B$7:$B$28,COM_2012!B115,'Technology costs'!$L$7:$L$28)</f>
        <v>410.88682603593844</v>
      </c>
      <c r="J115" s="349">
        <f t="shared" si="31"/>
        <v>41.088682603593845</v>
      </c>
      <c r="L115" s="350">
        <f>Appliances!F27</f>
        <v>1</v>
      </c>
      <c r="M115" s="349">
        <f t="shared" si="86"/>
        <v>23.868152394049329</v>
      </c>
      <c r="N115" s="349">
        <f t="shared" si="87"/>
        <v>17.901114295536996</v>
      </c>
      <c r="P115" s="410">
        <f t="shared" si="91"/>
        <v>0.97329195885848907</v>
      </c>
      <c r="Q115" s="411">
        <f t="shared" ref="Q115" si="94">P115</f>
        <v>0.97329195885848907</v>
      </c>
      <c r="R115" s="411"/>
      <c r="S115" s="411"/>
      <c r="T115" s="411"/>
      <c r="U115" s="411"/>
      <c r="V115" s="411"/>
      <c r="W115" s="411"/>
      <c r="X115" s="411"/>
      <c r="Z115" s="410">
        <f t="shared" si="88"/>
        <v>0.93585765274854715</v>
      </c>
      <c r="AA115" s="411">
        <f t="shared" si="93"/>
        <v>0.93585765274854715</v>
      </c>
      <c r="AB115" s="411"/>
      <c r="AC115" s="411"/>
      <c r="AD115" s="411"/>
      <c r="AE115" s="411"/>
      <c r="AF115" s="411"/>
      <c r="AG115" s="411"/>
      <c r="AH115" s="411"/>
      <c r="AI115" s="314">
        <f t="shared" si="32"/>
        <v>55</v>
      </c>
      <c r="AL115" s="390">
        <f t="shared" si="30"/>
        <v>0.72996896914386677</v>
      </c>
    </row>
    <row r="116" spans="1:39">
      <c r="A116" s="343" t="str">
        <f>A$51&amp;" - "&amp;VLOOKUP(RIGHT(C116,3),NameConv!$E$3:$F$16,2,FALSE)&amp;" - Existing"</f>
        <v>Commercial - Other - Gas - Existing</v>
      </c>
      <c r="B116" s="343" t="str">
        <f t="shared" si="85"/>
        <v>CEOGAS-E</v>
      </c>
      <c r="C116" s="346" t="str">
        <f>$F$6</f>
        <v>COMGAS</v>
      </c>
      <c r="D116" s="346" t="str">
        <f t="shared" si="89"/>
        <v>CEO</v>
      </c>
      <c r="E116" s="347">
        <v>1</v>
      </c>
      <c r="F116" s="566">
        <f ca="1">SUMIF(AFA!$B$3:$S$3,D116,AFA!$B$4:$J$4)</f>
        <v>0.64739999999999998</v>
      </c>
      <c r="G116" s="348">
        <v>15</v>
      </c>
      <c r="H116" s="349">
        <f t="shared" ca="1" si="90"/>
        <v>0</v>
      </c>
      <c r="I116" s="349">
        <f>SUMIF('Technology costs'!$B$7:$B$28,COM_2012!B116,'Technology costs'!$L$7:$L$28)</f>
        <v>410.88682603593844</v>
      </c>
      <c r="J116" s="349">
        <f t="shared" si="31"/>
        <v>41.088682603593845</v>
      </c>
      <c r="L116" s="350">
        <f>Appliances!F27</f>
        <v>1</v>
      </c>
      <c r="M116" s="349">
        <f t="shared" si="86"/>
        <v>0</v>
      </c>
      <c r="N116" s="349">
        <f t="shared" si="87"/>
        <v>0</v>
      </c>
      <c r="P116" s="410">
        <f t="shared" si="91"/>
        <v>0</v>
      </c>
      <c r="Q116" s="411">
        <f t="shared" ref="Q116" si="95">P116</f>
        <v>0</v>
      </c>
      <c r="R116" s="411"/>
      <c r="S116" s="411"/>
      <c r="T116" s="411"/>
      <c r="U116" s="411"/>
      <c r="V116" s="411"/>
      <c r="W116" s="411"/>
      <c r="X116" s="411"/>
      <c r="Z116" s="410">
        <f t="shared" si="88"/>
        <v>0</v>
      </c>
      <c r="AA116" s="411">
        <f t="shared" si="93"/>
        <v>0</v>
      </c>
      <c r="AB116" s="411"/>
      <c r="AC116" s="411"/>
      <c r="AD116" s="411"/>
      <c r="AE116" s="411"/>
      <c r="AF116" s="411"/>
      <c r="AG116" s="411"/>
      <c r="AH116" s="411"/>
      <c r="AI116" s="314">
        <f t="shared" si="32"/>
        <v>56</v>
      </c>
      <c r="AL116" s="390">
        <f t="shared" si="30"/>
        <v>0</v>
      </c>
    </row>
    <row r="117" spans="1:39">
      <c r="A117" s="343" t="str">
        <f>A$51&amp;" - "&amp;VLOOKUP(RIGHT(C117,3),NameConv!$E$3:$F$16,2,FALSE)&amp;" - Existing"</f>
        <v>Commercial - Other - Oil Gasoline - Existing</v>
      </c>
      <c r="B117" s="343" t="str">
        <f t="shared" si="85"/>
        <v>CEOOGS-E</v>
      </c>
      <c r="C117" s="346" t="str">
        <f>$G$6</f>
        <v>COMOGS</v>
      </c>
      <c r="D117" s="346" t="str">
        <f t="shared" si="89"/>
        <v>CEO</v>
      </c>
      <c r="E117" s="347">
        <v>1</v>
      </c>
      <c r="F117" s="566">
        <f ca="1">SUMIF(AFA!$B$3:$S$3,D117,AFA!$B$4:$J$4)</f>
        <v>0.64739999999999998</v>
      </c>
      <c r="G117" s="348">
        <v>15</v>
      </c>
      <c r="H117" s="349">
        <f t="shared" ca="1" si="90"/>
        <v>0</v>
      </c>
      <c r="I117" s="349">
        <f>SUMIF('Technology costs'!$B$7:$B$28,COM_2012!B117,'Technology costs'!$L$7:$L$28)</f>
        <v>410.88682603593844</v>
      </c>
      <c r="J117" s="349">
        <f t="shared" si="31"/>
        <v>41.088682603593845</v>
      </c>
      <c r="L117" s="350">
        <f>Appliances!F27</f>
        <v>1</v>
      </c>
      <c r="M117" s="349">
        <f t="shared" si="86"/>
        <v>0</v>
      </c>
      <c r="N117" s="349">
        <f t="shared" si="87"/>
        <v>0</v>
      </c>
      <c r="P117" s="410">
        <f t="shared" si="91"/>
        <v>0</v>
      </c>
      <c r="Q117" s="411">
        <f t="shared" ref="Q117" si="96">P117</f>
        <v>0</v>
      </c>
      <c r="R117" s="411"/>
      <c r="S117" s="411"/>
      <c r="T117" s="411"/>
      <c r="U117" s="411"/>
      <c r="V117" s="411"/>
      <c r="W117" s="411"/>
      <c r="X117" s="411"/>
      <c r="Z117" s="410">
        <f t="shared" si="88"/>
        <v>0</v>
      </c>
      <c r="AA117" s="411">
        <f t="shared" si="93"/>
        <v>0</v>
      </c>
      <c r="AB117" s="411"/>
      <c r="AC117" s="411"/>
      <c r="AD117" s="411"/>
      <c r="AE117" s="411"/>
      <c r="AF117" s="411"/>
      <c r="AG117" s="411"/>
      <c r="AH117" s="411"/>
      <c r="AI117" s="314">
        <f t="shared" si="32"/>
        <v>57</v>
      </c>
      <c r="AL117" s="390">
        <f t="shared" si="30"/>
        <v>0</v>
      </c>
    </row>
    <row r="118" spans="1:39">
      <c r="A118" s="343" t="str">
        <f>A$51&amp;" - "&amp;VLOOKUP(RIGHT(C118,3),NameConv!$E$3:$F$16,2,FALSE)&amp;" - Existing"</f>
        <v>Commercial - Other - Oil HFO - Existing</v>
      </c>
      <c r="B118" s="343" t="str">
        <f t="shared" si="85"/>
        <v>CEOOHF-E</v>
      </c>
      <c r="C118" s="346" t="str">
        <f>$H$6</f>
        <v>COMOHF</v>
      </c>
      <c r="D118" s="346" t="str">
        <f t="shared" si="89"/>
        <v>CEO</v>
      </c>
      <c r="E118" s="347">
        <v>1</v>
      </c>
      <c r="F118" s="566">
        <f ca="1">SUMIF(AFA!$B$3:$S$3,D118,AFA!$B$4:$J$4)</f>
        <v>0.64739999999999998</v>
      </c>
      <c r="G118" s="348">
        <v>15</v>
      </c>
      <c r="H118" s="349">
        <f t="shared" ca="1" si="90"/>
        <v>0.36012169032176811</v>
      </c>
      <c r="I118" s="349">
        <f>SUMIF('Technology costs'!$B$7:$B$28,COM_2012!B118,'Technology costs'!$L$7:$L$28)</f>
        <v>410.88682603593844</v>
      </c>
      <c r="J118" s="349">
        <f t="shared" si="31"/>
        <v>41.088682603593845</v>
      </c>
      <c r="L118" s="350">
        <f>Appliances!F27</f>
        <v>1</v>
      </c>
      <c r="M118" s="349">
        <f t="shared" si="86"/>
        <v>0.23314278231431268</v>
      </c>
      <c r="N118" s="349">
        <f t="shared" si="87"/>
        <v>0.23314278231431268</v>
      </c>
      <c r="P118" s="410">
        <f t="shared" si="91"/>
        <v>1.2676082144729341E-2</v>
      </c>
      <c r="Q118" s="411">
        <f t="shared" ref="Q118" si="97">P118</f>
        <v>1.2676082144729341E-2</v>
      </c>
      <c r="R118" s="411"/>
      <c r="S118" s="411"/>
      <c r="T118" s="411"/>
      <c r="U118" s="411"/>
      <c r="V118" s="411"/>
      <c r="W118" s="411"/>
      <c r="X118" s="411"/>
      <c r="Z118" s="410">
        <f t="shared" si="88"/>
        <v>1.2188540523778213E-2</v>
      </c>
      <c r="AA118" s="411">
        <f t="shared" si="93"/>
        <v>1.2188540523778213E-2</v>
      </c>
      <c r="AB118" s="411"/>
      <c r="AC118" s="411"/>
      <c r="AD118" s="411"/>
      <c r="AE118" s="411"/>
      <c r="AF118" s="411"/>
      <c r="AG118" s="411"/>
      <c r="AH118" s="411"/>
      <c r="AI118" s="314">
        <f t="shared" si="32"/>
        <v>58</v>
      </c>
      <c r="AL118" s="390">
        <f t="shared" si="30"/>
        <v>1.2676082144729341E-2</v>
      </c>
    </row>
    <row r="119" spans="1:39">
      <c r="A119" s="343" t="str">
        <f>A$51&amp;" - "&amp;VLOOKUP(RIGHT(C119,3),NameConv!$E$3:$F$16,2,FALSE)&amp;" - Existing"</f>
        <v>Commercial - Other - Oil Paraffin - Existing</v>
      </c>
      <c r="B119" s="343" t="str">
        <f t="shared" si="85"/>
        <v>CEOOKE-E</v>
      </c>
      <c r="C119" s="346" t="str">
        <f>$I$6</f>
        <v>COMOKE</v>
      </c>
      <c r="D119" s="346" t="str">
        <f t="shared" si="89"/>
        <v>CEO</v>
      </c>
      <c r="E119" s="347">
        <v>1</v>
      </c>
      <c r="F119" s="566">
        <f ca="1">SUMIF(AFA!$B$3:$S$3,D119,AFA!$B$4:$J$4)</f>
        <v>0.64739999999999998</v>
      </c>
      <c r="G119" s="348">
        <v>15</v>
      </c>
      <c r="H119" s="349">
        <f t="shared" ca="1" si="90"/>
        <v>0</v>
      </c>
      <c r="I119" s="349">
        <f>SUMIF('Technology costs'!$B$7:$B$29,COM_2012!B119,'Technology costs'!$L$7:$L$29)</f>
        <v>410.88682603593844</v>
      </c>
      <c r="J119" s="349">
        <f>I119*0.1</f>
        <v>41.088682603593845</v>
      </c>
      <c r="L119" s="350">
        <f>Appliances!F33</f>
        <v>1</v>
      </c>
      <c r="M119" s="349">
        <f t="shared" si="86"/>
        <v>0</v>
      </c>
      <c r="N119" s="349">
        <f t="shared" si="87"/>
        <v>0</v>
      </c>
      <c r="P119" s="410">
        <f t="shared" si="91"/>
        <v>0</v>
      </c>
      <c r="Q119" s="411">
        <f t="shared" ref="Q119" si="98">P119</f>
        <v>0</v>
      </c>
      <c r="R119" s="411"/>
      <c r="S119" s="411"/>
      <c r="T119" s="411"/>
      <c r="U119" s="411"/>
      <c r="V119" s="411"/>
      <c r="W119" s="411"/>
      <c r="X119" s="411"/>
      <c r="Z119" s="410">
        <f t="shared" si="88"/>
        <v>0</v>
      </c>
      <c r="AA119" s="411">
        <f t="shared" si="93"/>
        <v>0</v>
      </c>
      <c r="AB119" s="411"/>
      <c r="AC119" s="411"/>
      <c r="AD119" s="411"/>
      <c r="AE119" s="411"/>
      <c r="AF119" s="411"/>
      <c r="AG119" s="411"/>
      <c r="AH119" s="411"/>
      <c r="AI119" s="314">
        <f t="shared" si="32"/>
        <v>59</v>
      </c>
      <c r="AL119" s="390">
        <f t="shared" si="30"/>
        <v>0</v>
      </c>
    </row>
    <row r="120" spans="1:39">
      <c r="A120" s="352" t="s">
        <v>704</v>
      </c>
      <c r="L120" s="563"/>
      <c r="M120" s="356">
        <f>SUM(M113:M119)</f>
        <v>24.796769931061</v>
      </c>
      <c r="N120" s="356">
        <f>SUM(N113:N119)</f>
        <v>18.760184357078931</v>
      </c>
      <c r="P120" s="563"/>
      <c r="Q120" s="411"/>
      <c r="Z120" s="410">
        <f t="shared" si="88"/>
        <v>0</v>
      </c>
      <c r="AA120" s="411">
        <f t="shared" si="93"/>
        <v>0</v>
      </c>
      <c r="AI120" s="314">
        <f t="shared" si="32"/>
        <v>60</v>
      </c>
      <c r="AL120" s="390">
        <f t="shared" si="30"/>
        <v>0</v>
      </c>
      <c r="AM120" s="314">
        <f>SUM(AL113:AL119)/SUM(P113:P119)</f>
        <v>0.75811158273107793</v>
      </c>
    </row>
    <row r="121" spans="1:39" s="360" customFormat="1">
      <c r="A121" s="360" t="s">
        <v>705</v>
      </c>
      <c r="B121" s="360">
        <f>SUMPRODUCT(--(B61:B120&lt;&gt;""))</f>
        <v>43</v>
      </c>
      <c r="O121" s="360">
        <f>ROW()-56</f>
        <v>65</v>
      </c>
      <c r="AI121" s="314">
        <f t="shared" si="32"/>
        <v>61</v>
      </c>
    </row>
  </sheetData>
  <mergeCells count="1">
    <mergeCell ref="B1:D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00B050"/>
  </sheetPr>
  <dimension ref="A1:AP121"/>
  <sheetViews>
    <sheetView topLeftCell="A39" zoomScale="73" workbookViewId="0">
      <selection activeCell="D55" sqref="D55"/>
    </sheetView>
  </sheetViews>
  <sheetFormatPr defaultColWidth="8.85546875" defaultRowHeight="12.75"/>
  <cols>
    <col min="1" max="1" width="52.7109375" customWidth="1"/>
    <col min="2" max="2" width="40.28515625" customWidth="1"/>
    <col min="3" max="3" width="20.7109375" customWidth="1"/>
    <col min="4" max="4" width="15.85546875" customWidth="1"/>
    <col min="5" max="6" width="10" customWidth="1"/>
    <col min="7" max="7" width="13.42578125" customWidth="1"/>
    <col min="8" max="8" width="10" customWidth="1"/>
    <col min="9" max="9" width="12" customWidth="1"/>
    <col min="10" max="37" width="10" customWidth="1"/>
    <col min="38" max="38" width="11.7109375" customWidth="1"/>
    <col min="39" max="42" width="10" customWidth="1"/>
  </cols>
  <sheetData>
    <row r="1" spans="1:42" s="307" customFormat="1" ht="15.75">
      <c r="A1" s="490" t="s">
        <v>441</v>
      </c>
      <c r="B1" s="794" t="s">
        <v>638</v>
      </c>
      <c r="C1" s="794"/>
      <c r="D1" s="794"/>
      <c r="E1" s="305" t="s">
        <v>639</v>
      </c>
      <c r="F1" s="305"/>
      <c r="G1" s="306"/>
      <c r="H1" s="490"/>
      <c r="I1" s="306"/>
      <c r="J1" s="490"/>
    </row>
    <row r="2" spans="1:42" ht="15">
      <c r="A2" s="407" t="s">
        <v>792</v>
      </c>
      <c r="B2" s="406" t="s">
        <v>791</v>
      </c>
      <c r="C2" s="309"/>
      <c r="D2" s="309"/>
      <c r="E2" s="309"/>
      <c r="F2" s="309"/>
      <c r="G2" s="308"/>
      <c r="H2" s="309"/>
      <c r="I2" s="309"/>
      <c r="J2" s="309"/>
      <c r="K2" s="308"/>
      <c r="L2" s="309"/>
      <c r="M2" s="309"/>
      <c r="N2" s="309"/>
      <c r="AB2" s="309"/>
      <c r="AC2" s="309"/>
      <c r="AD2" s="309"/>
      <c r="AE2" s="309"/>
      <c r="AF2" s="309"/>
      <c r="AG2" s="309"/>
      <c r="AH2" s="309"/>
      <c r="AI2" s="309"/>
      <c r="AJ2" s="309"/>
      <c r="AK2" s="309"/>
      <c r="AL2" s="309"/>
      <c r="AM2" s="309"/>
      <c r="AN2" s="308"/>
      <c r="AO2" s="309"/>
      <c r="AP2" s="309"/>
    </row>
    <row r="3" spans="1:42">
      <c r="A3" s="308"/>
      <c r="B3" s="308"/>
      <c r="C3" s="310" t="s">
        <v>640</v>
      </c>
      <c r="D3" s="310"/>
      <c r="E3" s="310"/>
      <c r="F3" s="310"/>
      <c r="G3" s="310"/>
      <c r="H3" s="310"/>
      <c r="I3" s="310"/>
      <c r="J3" s="310"/>
      <c r="K3" s="311"/>
      <c r="L3" s="307" t="s">
        <v>641</v>
      </c>
      <c r="M3" s="307"/>
      <c r="N3" s="307"/>
      <c r="AB3" s="309"/>
      <c r="AC3" s="309"/>
      <c r="AD3" s="309"/>
      <c r="AE3" s="309"/>
      <c r="AF3" s="309"/>
      <c r="AG3" s="309"/>
      <c r="AH3" s="309"/>
      <c r="AI3" s="309"/>
      <c r="AJ3" s="309"/>
      <c r="AK3" s="309"/>
      <c r="AL3" s="309"/>
      <c r="AM3" s="309"/>
      <c r="AN3" s="309"/>
      <c r="AO3" s="309"/>
      <c r="AP3" s="308"/>
    </row>
    <row r="4" spans="1:42">
      <c r="A4" s="306" t="s">
        <v>642</v>
      </c>
      <c r="B4" s="308">
        <f>COUNT(C4:M4)</f>
        <v>8</v>
      </c>
      <c r="C4" s="308">
        <v>1</v>
      </c>
      <c r="D4" s="308">
        <f>C4+1</f>
        <v>2</v>
      </c>
      <c r="E4" s="308">
        <f t="shared" ref="E4:J4" si="0">D4+1</f>
        <v>3</v>
      </c>
      <c r="F4" s="308">
        <f t="shared" si="0"/>
        <v>4</v>
      </c>
      <c r="G4" s="308">
        <f t="shared" si="0"/>
        <v>5</v>
      </c>
      <c r="H4" s="308">
        <f t="shared" si="0"/>
        <v>6</v>
      </c>
      <c r="I4" s="308">
        <f t="shared" si="0"/>
        <v>7</v>
      </c>
      <c r="J4" s="308">
        <f t="shared" si="0"/>
        <v>8</v>
      </c>
      <c r="K4" s="309"/>
      <c r="L4" s="307"/>
      <c r="M4" s="307"/>
      <c r="N4" s="307"/>
      <c r="AB4" s="307"/>
      <c r="AC4" s="307"/>
      <c r="AD4" s="307"/>
      <c r="AE4" s="307"/>
      <c r="AF4" s="307"/>
      <c r="AG4" s="307"/>
      <c r="AH4" s="307"/>
      <c r="AI4" s="307"/>
      <c r="AJ4" s="307"/>
      <c r="AK4" s="307"/>
      <c r="AL4" s="307"/>
      <c r="AM4" s="307"/>
      <c r="AN4" s="307"/>
      <c r="AO4" s="307"/>
      <c r="AP4" s="307"/>
    </row>
    <row r="5" spans="1:42">
      <c r="A5" s="312" t="s">
        <v>643</v>
      </c>
      <c r="B5" s="313" t="s">
        <v>900</v>
      </c>
      <c r="C5" s="314" t="s">
        <v>141</v>
      </c>
      <c r="D5" s="308" t="s">
        <v>798</v>
      </c>
      <c r="E5" s="308" t="s">
        <v>137</v>
      </c>
      <c r="F5" s="308" t="s">
        <v>465</v>
      </c>
      <c r="G5" s="308" t="s">
        <v>800</v>
      </c>
      <c r="H5" s="308" t="s">
        <v>802</v>
      </c>
      <c r="I5" s="308" t="s">
        <v>806</v>
      </c>
      <c r="J5" s="308" t="s">
        <v>804</v>
      </c>
      <c r="K5" s="309" t="s">
        <v>644</v>
      </c>
      <c r="L5" s="307"/>
      <c r="M5" s="307"/>
      <c r="N5" s="309"/>
      <c r="AB5" s="309"/>
      <c r="AC5" s="309"/>
      <c r="AD5" s="309"/>
      <c r="AE5" s="309"/>
      <c r="AF5" s="309"/>
      <c r="AG5" s="309"/>
      <c r="AH5" s="309"/>
      <c r="AI5" s="309"/>
      <c r="AJ5" s="309"/>
      <c r="AK5" s="309"/>
      <c r="AL5" s="309"/>
      <c r="AM5" s="309"/>
      <c r="AN5" s="309"/>
      <c r="AO5" s="308"/>
      <c r="AP5" s="309"/>
    </row>
    <row r="6" spans="1:42">
      <c r="A6" s="306" t="s">
        <v>645</v>
      </c>
      <c r="B6" s="308" t="s">
        <v>646</v>
      </c>
      <c r="C6" s="309" t="str">
        <f t="shared" ref="C6:J6" si="1">$B$6&amp;VLOOKUP(C5,FuelNames,2,FALSE)</f>
        <v>COMCOA</v>
      </c>
      <c r="D6" s="309" t="str">
        <f t="shared" si="1"/>
        <v>COMODS</v>
      </c>
      <c r="E6" s="309" t="str">
        <f t="shared" si="1"/>
        <v>COMELC</v>
      </c>
      <c r="F6" s="309" t="str">
        <f t="shared" si="1"/>
        <v>COMGAS</v>
      </c>
      <c r="G6" s="309" t="str">
        <f t="shared" si="1"/>
        <v>COMOGS</v>
      </c>
      <c r="H6" s="309" t="str">
        <f t="shared" si="1"/>
        <v>COMOHF</v>
      </c>
      <c r="I6" s="309" t="str">
        <f t="shared" si="1"/>
        <v>COMOKE</v>
      </c>
      <c r="J6" s="309" t="str">
        <f t="shared" si="1"/>
        <v>COMOLP</v>
      </c>
      <c r="M6" s="307"/>
      <c r="N6" s="307"/>
      <c r="AB6" s="307"/>
      <c r="AC6" s="307"/>
      <c r="AD6" s="307"/>
      <c r="AE6" s="307"/>
      <c r="AF6" s="307"/>
      <c r="AG6" s="307"/>
      <c r="AH6" s="307"/>
      <c r="AI6" s="307"/>
      <c r="AJ6" s="307"/>
      <c r="AK6" s="307"/>
      <c r="AL6" s="307"/>
      <c r="AM6" s="307"/>
      <c r="AN6" s="307"/>
      <c r="AO6" s="307"/>
      <c r="AP6" s="307"/>
    </row>
    <row r="7" spans="1:42">
      <c r="A7" s="306"/>
      <c r="B7" s="315" t="s">
        <v>647</v>
      </c>
      <c r="C7" s="316">
        <f>COM_2012!C7</f>
        <v>15.025952150460814</v>
      </c>
      <c r="D7" s="316">
        <f>COM_2012!D7</f>
        <v>0.69547475469735887</v>
      </c>
      <c r="E7" s="316">
        <f>COM_2012!E7</f>
        <v>149.83199999999999</v>
      </c>
      <c r="F7" s="316">
        <f>COM_2012!F7</f>
        <v>3.5000000000000003E-2</v>
      </c>
      <c r="G7" s="316">
        <f>COM_2012!G7</f>
        <v>0</v>
      </c>
      <c r="H7" s="316">
        <f>COM_2012!H7</f>
        <v>0.23314278231431268</v>
      </c>
      <c r="I7" s="316">
        <f>COM_2012!I7</f>
        <v>2.5641871713843942</v>
      </c>
      <c r="J7" s="316">
        <f>COM_2012!J7</f>
        <v>4.0348708055603515</v>
      </c>
      <c r="K7" s="316">
        <f>SUM(C7:J7)</f>
        <v>172.42062766441722</v>
      </c>
      <c r="L7" s="317"/>
      <c r="M7" s="307"/>
      <c r="N7" s="307"/>
      <c r="AB7" s="307"/>
      <c r="AC7" s="307"/>
      <c r="AD7" s="307"/>
      <c r="AE7" s="307"/>
      <c r="AF7" s="307"/>
      <c r="AG7" s="307"/>
      <c r="AH7" s="307"/>
      <c r="AI7" s="307"/>
      <c r="AJ7" s="307"/>
      <c r="AK7" s="307"/>
      <c r="AL7" s="307"/>
      <c r="AM7" s="307"/>
      <c r="AN7" s="307"/>
      <c r="AO7" s="307"/>
      <c r="AP7" s="307"/>
    </row>
    <row r="8" spans="1:42">
      <c r="A8" s="306" t="s">
        <v>648</v>
      </c>
      <c r="B8" s="315" t="s">
        <v>649</v>
      </c>
      <c r="C8" s="416">
        <f>C7/$K$7</f>
        <v>8.7147067923368599E-2</v>
      </c>
      <c r="D8" s="416">
        <f>D7/$K$7</f>
        <v>4.0335936837613386E-3</v>
      </c>
      <c r="E8" s="416">
        <f t="shared" ref="E8:J8" si="2">E7/$K$7</f>
        <v>0.8689911527965114</v>
      </c>
      <c r="F8" s="416">
        <f t="shared" si="2"/>
        <v>2.0299195330688975E-4</v>
      </c>
      <c r="G8" s="416">
        <f t="shared" si="2"/>
        <v>0</v>
      </c>
      <c r="H8" s="416">
        <f t="shared" si="2"/>
        <v>1.3521745366110089E-3</v>
      </c>
      <c r="I8" s="416">
        <f t="shared" si="2"/>
        <v>1.4871696073251046E-2</v>
      </c>
      <c r="J8" s="416">
        <f t="shared" si="2"/>
        <v>2.3401323033189696E-2</v>
      </c>
      <c r="K8" s="316"/>
      <c r="L8" s="317"/>
      <c r="M8" s="307"/>
      <c r="N8" s="307"/>
      <c r="AB8" s="307"/>
      <c r="AC8" s="307"/>
      <c r="AD8" s="307"/>
      <c r="AE8" s="307"/>
      <c r="AF8" s="307"/>
      <c r="AG8" s="307"/>
      <c r="AH8" s="307"/>
      <c r="AI8" s="307"/>
      <c r="AJ8" s="307"/>
      <c r="AK8" s="307"/>
      <c r="AL8" s="307"/>
      <c r="AM8" s="307"/>
      <c r="AN8" s="307"/>
      <c r="AO8" s="307"/>
      <c r="AP8" s="307"/>
    </row>
    <row r="9" spans="1:42">
      <c r="A9" s="314" t="s">
        <v>650</v>
      </c>
      <c r="B9" s="318" t="s">
        <v>651</v>
      </c>
      <c r="C9" s="313">
        <v>94.1</v>
      </c>
      <c r="D9" s="313">
        <v>74.099999999999994</v>
      </c>
      <c r="E9" s="313">
        <v>0</v>
      </c>
      <c r="F9" s="313">
        <v>64.2</v>
      </c>
      <c r="G9" s="313">
        <v>69.3</v>
      </c>
      <c r="H9" s="313">
        <v>77.400000000000006</v>
      </c>
      <c r="I9" s="313">
        <v>71.900000000000006</v>
      </c>
      <c r="J9" s="313">
        <v>63.1</v>
      </c>
      <c r="K9" s="309"/>
      <c r="L9" s="308">
        <v>1</v>
      </c>
      <c r="N9" s="307"/>
      <c r="AB9" s="307"/>
      <c r="AC9" s="307"/>
      <c r="AD9" s="307"/>
      <c r="AE9" s="307"/>
      <c r="AF9" s="307"/>
      <c r="AG9" s="307"/>
      <c r="AH9" s="307"/>
      <c r="AI9" s="307"/>
      <c r="AJ9" s="307"/>
      <c r="AK9" s="307"/>
      <c r="AL9" s="307"/>
      <c r="AM9" s="307"/>
      <c r="AN9" s="307"/>
      <c r="AO9" s="307"/>
      <c r="AP9" s="307"/>
    </row>
    <row r="10" spans="1:42">
      <c r="A10" s="314" t="s">
        <v>652</v>
      </c>
      <c r="B10" s="318" t="s">
        <v>653</v>
      </c>
      <c r="C10" s="313">
        <v>1E-3</v>
      </c>
      <c r="D10" s="313">
        <v>3.0000000000000001E-3</v>
      </c>
      <c r="E10" s="313">
        <v>0</v>
      </c>
      <c r="F10" s="313">
        <v>3.0000000000000001E-3</v>
      </c>
      <c r="G10" s="313">
        <v>3.0000000000000001E-3</v>
      </c>
      <c r="H10" s="313">
        <v>3.0000000000000001E-3</v>
      </c>
      <c r="I10" s="313">
        <v>3.0000000000000001E-3</v>
      </c>
      <c r="J10" s="313">
        <v>1E-3</v>
      </c>
      <c r="K10" s="309"/>
      <c r="L10" s="308">
        <f>L9+1</f>
        <v>2</v>
      </c>
      <c r="N10" s="307"/>
      <c r="AB10" s="307"/>
      <c r="AC10" s="307"/>
      <c r="AD10" s="307"/>
      <c r="AE10" s="307"/>
      <c r="AF10" s="307"/>
      <c r="AG10" s="307"/>
      <c r="AH10" s="307"/>
      <c r="AI10" s="307"/>
      <c r="AJ10" s="307"/>
      <c r="AK10" s="307"/>
      <c r="AL10" s="307"/>
      <c r="AM10" s="307"/>
      <c r="AN10" s="307"/>
      <c r="AO10" s="307"/>
      <c r="AP10" s="307"/>
    </row>
    <row r="11" spans="1:42">
      <c r="A11" s="314" t="s">
        <v>654</v>
      </c>
      <c r="B11" s="318" t="s">
        <v>655</v>
      </c>
      <c r="C11" s="313">
        <f>15/1000</f>
        <v>1.4999999999999999E-2</v>
      </c>
      <c r="D11" s="313">
        <v>5.9999999999999995E-4</v>
      </c>
      <c r="E11" s="313">
        <v>0</v>
      </c>
      <c r="F11" s="313">
        <v>5.9999999999999995E-4</v>
      </c>
      <c r="G11" s="313">
        <v>5.9999999999999995E-4</v>
      </c>
      <c r="H11" s="313">
        <v>5.9999999999999995E-4</v>
      </c>
      <c r="I11" s="313">
        <v>5.9999999999999995E-4</v>
      </c>
      <c r="J11" s="313">
        <v>1E-4</v>
      </c>
      <c r="K11" s="309"/>
      <c r="L11" s="308">
        <f>L10+1</f>
        <v>3</v>
      </c>
      <c r="N11" s="307"/>
      <c r="AB11" s="307"/>
      <c r="AC11" s="307"/>
      <c r="AD11" s="307"/>
      <c r="AE11" s="307"/>
      <c r="AF11" s="307"/>
      <c r="AG11" s="307"/>
      <c r="AH11" s="307"/>
      <c r="AI11" s="307"/>
      <c r="AJ11" s="307"/>
      <c r="AK11" s="307"/>
      <c r="AL11" s="307"/>
      <c r="AM11" s="307"/>
      <c r="AN11" s="307"/>
      <c r="AO11" s="307"/>
      <c r="AP11" s="307"/>
    </row>
    <row r="12" spans="1:42">
      <c r="A12" s="314" t="s">
        <v>656</v>
      </c>
      <c r="B12" s="318" t="s">
        <v>657</v>
      </c>
      <c r="C12" s="313">
        <v>0.45440000000000003</v>
      </c>
      <c r="D12" s="313">
        <v>0.25290000000000001</v>
      </c>
      <c r="E12" s="313">
        <v>0</v>
      </c>
      <c r="F12" s="313">
        <v>0</v>
      </c>
      <c r="G12" s="313">
        <v>4.6699999999999998E-2</v>
      </c>
      <c r="H12" s="313">
        <v>1.5290999999999999</v>
      </c>
      <c r="I12" s="313"/>
      <c r="J12" s="313"/>
      <c r="K12" s="309"/>
      <c r="L12" s="308">
        <f>L11+1</f>
        <v>4</v>
      </c>
      <c r="N12" s="307"/>
      <c r="AB12" s="307"/>
      <c r="AC12" s="307"/>
      <c r="AD12" s="307"/>
      <c r="AE12" s="307"/>
      <c r="AF12" s="307"/>
      <c r="AG12" s="307"/>
      <c r="AH12" s="307"/>
      <c r="AI12" s="307"/>
      <c r="AJ12" s="307"/>
      <c r="AK12" s="307"/>
      <c r="AL12" s="307"/>
      <c r="AM12" s="307"/>
      <c r="AN12" s="307"/>
      <c r="AO12" s="307"/>
      <c r="AP12" s="307"/>
    </row>
    <row r="13" spans="1:42">
      <c r="A13" s="314" t="s">
        <v>658</v>
      </c>
      <c r="B13" s="318" t="s">
        <v>659</v>
      </c>
      <c r="C13" s="313">
        <v>0.1</v>
      </c>
      <c r="D13" s="313">
        <v>0.1</v>
      </c>
      <c r="E13" s="313">
        <v>0</v>
      </c>
      <c r="F13" s="313">
        <v>0.05</v>
      </c>
      <c r="G13" s="313">
        <v>0.1</v>
      </c>
      <c r="H13" s="313">
        <v>0.1</v>
      </c>
      <c r="I13" s="313"/>
      <c r="J13" s="313"/>
      <c r="K13" s="309"/>
      <c r="L13" s="308">
        <f>L12+1</f>
        <v>5</v>
      </c>
      <c r="N13" s="307"/>
      <c r="AB13" s="307"/>
      <c r="AC13" s="307"/>
      <c r="AD13" s="307"/>
      <c r="AE13" s="307"/>
      <c r="AF13" s="307"/>
      <c r="AG13" s="307"/>
      <c r="AH13" s="307"/>
      <c r="AI13" s="307"/>
      <c r="AJ13" s="307"/>
      <c r="AK13" s="307"/>
      <c r="AL13" s="307"/>
      <c r="AM13" s="307"/>
      <c r="AN13" s="307"/>
      <c r="AO13" s="307"/>
      <c r="AP13" s="307"/>
    </row>
    <row r="14" spans="1:42">
      <c r="A14" s="306"/>
      <c r="B14" s="308"/>
      <c r="C14" s="308"/>
      <c r="D14" s="308"/>
      <c r="E14" s="308"/>
      <c r="F14" s="308"/>
      <c r="G14" s="308"/>
      <c r="H14" s="308"/>
      <c r="I14" s="308"/>
      <c r="J14" s="308"/>
      <c r="K14" s="309"/>
      <c r="L14" s="307"/>
      <c r="M14" s="307"/>
      <c r="N14" s="307"/>
      <c r="AB14" s="307"/>
      <c r="AC14" s="307"/>
      <c r="AD14" s="307"/>
      <c r="AE14" s="307"/>
      <c r="AF14" s="307"/>
      <c r="AG14" s="307"/>
      <c r="AH14" s="307"/>
      <c r="AI14" s="307"/>
      <c r="AJ14" s="307"/>
      <c r="AK14" s="307"/>
      <c r="AL14" s="307"/>
      <c r="AM14" s="307"/>
      <c r="AN14" s="307"/>
      <c r="AO14" s="307"/>
      <c r="AP14" s="307"/>
    </row>
    <row r="15" spans="1:42" ht="15">
      <c r="A15" s="306" t="s">
        <v>660</v>
      </c>
      <c r="B15" s="308"/>
      <c r="C15" s="319"/>
      <c r="D15" s="319"/>
      <c r="E15" s="320"/>
      <c r="F15" s="319"/>
      <c r="G15" s="319"/>
      <c r="H15" s="319"/>
      <c r="I15" s="319"/>
      <c r="J15" s="319"/>
      <c r="K15" s="309"/>
      <c r="L15" s="307"/>
      <c r="M15" s="307"/>
      <c r="N15" s="307"/>
      <c r="AB15" s="307"/>
      <c r="AC15" s="307"/>
      <c r="AD15" s="307"/>
      <c r="AE15" s="307"/>
      <c r="AF15" s="307"/>
      <c r="AG15" s="307"/>
      <c r="AH15" s="307"/>
      <c r="AI15" s="307"/>
      <c r="AJ15" s="307"/>
      <c r="AK15" s="307"/>
      <c r="AL15" s="307"/>
      <c r="AM15" s="307"/>
      <c r="AN15" s="307"/>
      <c r="AO15" s="307"/>
      <c r="AP15" s="307"/>
    </row>
    <row r="16" spans="1:42">
      <c r="A16" s="306" t="s">
        <v>661</v>
      </c>
      <c r="B16" s="308" t="s">
        <v>662</v>
      </c>
      <c r="C16" s="321"/>
      <c r="D16" s="321"/>
      <c r="E16" s="321"/>
      <c r="F16" s="321"/>
      <c r="G16" s="321"/>
      <c r="H16" s="321"/>
      <c r="I16" s="321"/>
      <c r="J16" s="321"/>
      <c r="K16" s="309"/>
      <c r="L16" s="307"/>
      <c r="M16" s="307"/>
      <c r="N16" s="307"/>
      <c r="AB16" s="307"/>
      <c r="AC16" s="307"/>
      <c r="AD16" s="307"/>
      <c r="AE16" s="307"/>
      <c r="AF16" s="307"/>
      <c r="AG16" s="307"/>
      <c r="AH16" s="307"/>
      <c r="AI16" s="307"/>
      <c r="AJ16" s="307"/>
      <c r="AK16" s="307"/>
      <c r="AL16" s="307"/>
      <c r="AM16" s="307"/>
      <c r="AN16" s="307"/>
      <c r="AO16" s="307"/>
      <c r="AP16" s="307"/>
    </row>
    <row r="17" spans="1:42">
      <c r="A17" s="306"/>
      <c r="B17" s="308"/>
      <c r="C17" s="308"/>
      <c r="D17" s="308"/>
      <c r="E17" s="308"/>
      <c r="F17" s="308"/>
      <c r="G17" s="308"/>
      <c r="H17" s="308"/>
      <c r="I17" s="308"/>
      <c r="J17" s="308"/>
      <c r="K17" s="309"/>
      <c r="L17" s="307"/>
      <c r="M17" s="307"/>
      <c r="N17" s="307"/>
      <c r="AB17" s="307"/>
      <c r="AC17" s="307"/>
      <c r="AD17" s="307"/>
      <c r="AE17" s="307"/>
      <c r="AF17" s="307"/>
      <c r="AG17" s="307"/>
      <c r="AH17" s="307"/>
      <c r="AI17" s="307"/>
      <c r="AJ17" s="307"/>
      <c r="AK17" s="307"/>
      <c r="AL17" s="307"/>
      <c r="AM17" s="307"/>
      <c r="AN17" s="307"/>
      <c r="AO17" s="307"/>
      <c r="AP17" s="307"/>
    </row>
    <row r="18" spans="1:42">
      <c r="A18" s="322" t="s">
        <v>663</v>
      </c>
      <c r="B18" s="323" t="s">
        <v>664</v>
      </c>
      <c r="C18" s="317"/>
      <c r="D18" s="317"/>
      <c r="E18" s="317"/>
      <c r="F18" s="317"/>
      <c r="G18" s="317"/>
      <c r="H18" s="317"/>
      <c r="I18" s="317"/>
      <c r="J18" s="317"/>
      <c r="K18" s="309"/>
      <c r="L18" s="307"/>
      <c r="M18" s="307"/>
      <c r="N18" s="307"/>
      <c r="AB18" s="307"/>
      <c r="AC18" s="307"/>
      <c r="AD18" s="307"/>
      <c r="AE18" s="307"/>
      <c r="AF18" s="307"/>
      <c r="AG18" s="307"/>
      <c r="AH18" s="307"/>
      <c r="AI18" s="307"/>
      <c r="AJ18" s="307"/>
      <c r="AK18" s="307"/>
      <c r="AL18" s="307"/>
      <c r="AM18" s="307"/>
      <c r="AN18" s="307"/>
      <c r="AO18" s="307"/>
      <c r="AP18" s="307"/>
    </row>
    <row r="19" spans="1:42">
      <c r="A19" s="324" t="s">
        <v>40</v>
      </c>
      <c r="B19" s="313" t="s">
        <v>219</v>
      </c>
      <c r="C19" s="317"/>
      <c r="D19" s="324"/>
      <c r="E19" s="317"/>
      <c r="F19" s="317"/>
      <c r="G19" s="317"/>
      <c r="H19" s="317"/>
      <c r="I19" s="317"/>
      <c r="J19" s="317"/>
      <c r="K19" s="309"/>
      <c r="L19" s="307"/>
      <c r="M19" s="307"/>
      <c r="N19" s="307"/>
      <c r="O19" s="307"/>
      <c r="P19" s="307"/>
      <c r="Q19" s="307"/>
      <c r="R19" s="307"/>
      <c r="S19" s="307"/>
      <c r="T19" s="307"/>
      <c r="AB19" s="307"/>
      <c r="AC19" s="307"/>
      <c r="AD19" s="307"/>
      <c r="AE19" s="307"/>
      <c r="AF19" s="307"/>
      <c r="AG19" s="307"/>
      <c r="AH19" s="307"/>
      <c r="AI19" s="307"/>
      <c r="AJ19" s="307"/>
      <c r="AK19" s="307"/>
      <c r="AL19" s="307"/>
      <c r="AM19" s="307"/>
      <c r="AN19" s="307"/>
      <c r="AO19" s="307"/>
      <c r="AP19" s="307"/>
    </row>
    <row r="20" spans="1:42">
      <c r="A20" s="307" t="s">
        <v>531</v>
      </c>
      <c r="B20" s="313" t="s">
        <v>665</v>
      </c>
      <c r="C20" s="317"/>
      <c r="D20" s="324"/>
      <c r="E20" s="317"/>
      <c r="F20" s="317"/>
      <c r="G20" s="317"/>
      <c r="H20" s="317"/>
      <c r="I20" s="317"/>
      <c r="J20" s="317"/>
      <c r="K20" s="309"/>
      <c r="L20" s="307"/>
      <c r="M20" s="307"/>
      <c r="N20" s="307"/>
      <c r="AB20" s="307"/>
      <c r="AC20" s="307"/>
      <c r="AD20" s="307"/>
      <c r="AE20" s="307"/>
      <c r="AF20" s="307"/>
      <c r="AG20" s="307"/>
      <c r="AH20" s="307"/>
      <c r="AI20" s="307"/>
      <c r="AJ20" s="307"/>
      <c r="AK20" s="307"/>
      <c r="AL20" s="307"/>
      <c r="AM20" s="307"/>
      <c r="AN20" s="307"/>
      <c r="AO20" s="307"/>
      <c r="AP20" s="307"/>
    </row>
    <row r="21" spans="1:42">
      <c r="A21" s="307" t="s">
        <v>149</v>
      </c>
      <c r="B21" s="313" t="s">
        <v>666</v>
      </c>
      <c r="C21" s="317"/>
      <c r="D21" s="324"/>
      <c r="E21" s="317"/>
      <c r="F21" s="317"/>
      <c r="G21" s="317"/>
      <c r="H21" s="317"/>
      <c r="I21" s="317"/>
      <c r="J21" s="317"/>
      <c r="K21" s="309"/>
      <c r="L21" s="307"/>
      <c r="M21" s="307"/>
      <c r="N21" s="307"/>
      <c r="AB21" s="307"/>
      <c r="AC21" s="307"/>
      <c r="AD21" s="307"/>
      <c r="AE21" s="307"/>
      <c r="AF21" s="307"/>
      <c r="AG21" s="307"/>
      <c r="AH21" s="307"/>
      <c r="AI21" s="307"/>
      <c r="AJ21" s="307"/>
      <c r="AK21" s="307"/>
      <c r="AL21" s="307"/>
      <c r="AM21" s="307"/>
      <c r="AN21" s="307"/>
      <c r="AO21" s="307"/>
      <c r="AP21" s="307"/>
    </row>
    <row r="22" spans="1:42">
      <c r="A22" s="307" t="s">
        <v>148</v>
      </c>
      <c r="B22" s="313" t="s">
        <v>667</v>
      </c>
      <c r="C22" s="317"/>
      <c r="D22" s="324"/>
      <c r="E22" s="317"/>
      <c r="F22" s="317"/>
      <c r="G22" s="317"/>
      <c r="H22" s="317"/>
      <c r="I22" s="317"/>
      <c r="J22" s="317"/>
      <c r="K22" s="309"/>
      <c r="L22" s="307"/>
      <c r="M22" s="307"/>
      <c r="N22" s="307"/>
      <c r="AB22" s="307"/>
      <c r="AC22" s="307"/>
      <c r="AD22" s="307"/>
      <c r="AE22" s="307"/>
      <c r="AF22" s="307"/>
      <c r="AG22" s="307"/>
      <c r="AH22" s="307"/>
      <c r="AI22" s="307"/>
      <c r="AJ22" s="307"/>
      <c r="AK22" s="307"/>
      <c r="AL22" s="307"/>
      <c r="AM22" s="307"/>
      <c r="AN22" s="307"/>
      <c r="AO22" s="307"/>
      <c r="AP22" s="307"/>
    </row>
    <row r="23" spans="1:42">
      <c r="A23" s="307" t="s">
        <v>150</v>
      </c>
      <c r="B23" s="313" t="s">
        <v>668</v>
      </c>
      <c r="C23" s="317"/>
      <c r="D23" s="324"/>
      <c r="E23" s="317"/>
      <c r="F23" s="317"/>
      <c r="G23" s="317"/>
      <c r="H23" s="317"/>
      <c r="I23" s="317"/>
      <c r="J23" s="317"/>
      <c r="K23" s="309"/>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row>
    <row r="24" spans="1:42">
      <c r="A24" s="307" t="s">
        <v>551</v>
      </c>
      <c r="B24" s="313" t="s">
        <v>669</v>
      </c>
      <c r="C24" s="317"/>
      <c r="D24" s="317"/>
      <c r="E24" s="317"/>
      <c r="F24" s="317"/>
      <c r="G24" s="317"/>
      <c r="H24" s="317"/>
      <c r="I24" s="317"/>
      <c r="J24" s="317"/>
      <c r="K24" s="309"/>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row>
    <row r="25" spans="1:42">
      <c r="A25" s="417" t="s">
        <v>819</v>
      </c>
      <c r="B25" s="325" t="s">
        <v>822</v>
      </c>
      <c r="C25" s="317"/>
      <c r="D25" s="324"/>
      <c r="E25" s="317"/>
      <c r="F25" s="317"/>
      <c r="G25" s="317"/>
      <c r="H25" s="317"/>
      <c r="I25" s="317"/>
      <c r="J25" s="317"/>
      <c r="K25" s="309"/>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row>
    <row r="26" spans="1:42">
      <c r="A26" s="417" t="s">
        <v>820</v>
      </c>
      <c r="B26" s="325" t="s">
        <v>821</v>
      </c>
      <c r="C26" s="317"/>
      <c r="D26" s="324"/>
      <c r="E26" s="317"/>
      <c r="F26" s="317"/>
      <c r="G26" s="317"/>
      <c r="H26" s="317"/>
      <c r="I26" s="317"/>
      <c r="J26" s="317"/>
      <c r="K26" s="309"/>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row>
    <row r="27" spans="1:42">
      <c r="A27" s="307" t="s">
        <v>83</v>
      </c>
      <c r="B27" s="313" t="s">
        <v>670</v>
      </c>
      <c r="C27" s="325"/>
      <c r="D27" s="325"/>
      <c r="E27" s="325"/>
      <c r="F27" s="325"/>
      <c r="G27" s="325"/>
      <c r="H27" s="325"/>
      <c r="I27" s="325"/>
      <c r="J27" s="325"/>
      <c r="K27" s="309"/>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row>
    <row r="28" spans="1:42">
      <c r="C28" s="325"/>
      <c r="D28" s="325"/>
      <c r="E28" s="325"/>
      <c r="F28" s="325"/>
      <c r="G28" s="325"/>
      <c r="H28" s="325"/>
      <c r="I28" s="325"/>
      <c r="J28" s="325"/>
      <c r="K28" s="309"/>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row>
    <row r="29" spans="1:42">
      <c r="A29" s="307"/>
      <c r="B29" s="307"/>
      <c r="C29" s="310" t="s">
        <v>671</v>
      </c>
      <c r="D29" s="310"/>
      <c r="E29" s="310"/>
      <c r="F29" s="310"/>
      <c r="G29" s="310"/>
      <c r="H29" s="310"/>
      <c r="I29" s="310"/>
      <c r="J29" s="310"/>
      <c r="K29" s="309"/>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row>
    <row r="30" spans="1:42">
      <c r="A30" s="322" t="s">
        <v>672</v>
      </c>
      <c r="B30" s="322" t="s">
        <v>673</v>
      </c>
      <c r="C30" s="326" t="str">
        <f>C5</f>
        <v>Coal</v>
      </c>
      <c r="D30" s="326" t="str">
        <f t="shared" ref="D30:J30" si="3">D5</f>
        <v>Oil Diesel</v>
      </c>
      <c r="E30" s="326" t="str">
        <f t="shared" si="3"/>
        <v>Electricity</v>
      </c>
      <c r="F30" s="326" t="str">
        <f t="shared" si="3"/>
        <v>Gas</v>
      </c>
      <c r="G30" s="326" t="str">
        <f t="shared" si="3"/>
        <v>Oil Gasoline</v>
      </c>
      <c r="H30" s="326" t="str">
        <f t="shared" si="3"/>
        <v>Oil HFO</v>
      </c>
      <c r="I30" s="326" t="str">
        <f t="shared" si="3"/>
        <v>Oil Paraffin</v>
      </c>
      <c r="J30" s="326" t="str">
        <f t="shared" si="3"/>
        <v>Oil LPG</v>
      </c>
      <c r="K30" s="309"/>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row>
    <row r="31" spans="1:42">
      <c r="A31" s="343" t="str">
        <f t="shared" ref="A31:A39" si="4">$A$5&amp;" - "&amp;A19</f>
        <v>Commercial - Cooling</v>
      </c>
      <c r="B31" s="346" t="str">
        <f>$B$5&amp;B19</f>
        <v>CNC</v>
      </c>
      <c r="C31" s="327"/>
      <c r="D31" s="327"/>
      <c r="E31" s="327">
        <f>'End use share 2006c'!$E$35</f>
        <v>0.32937807742524239</v>
      </c>
      <c r="F31" s="327"/>
      <c r="G31" s="327"/>
      <c r="H31" s="327"/>
      <c r="I31" s="327"/>
      <c r="J31" s="328"/>
      <c r="K31" s="309"/>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row>
    <row r="32" spans="1:42">
      <c r="A32" s="343" t="str">
        <f t="shared" si="4"/>
        <v>Commercial - Space Heating</v>
      </c>
      <c r="B32" s="346" t="str">
        <f t="shared" ref="B32:B39" si="5">$B$5&amp;B20</f>
        <v>CNH</v>
      </c>
      <c r="C32" s="327">
        <f>'End use share 2006c'!$C$38</f>
        <v>0.54317126346240241</v>
      </c>
      <c r="D32" s="327"/>
      <c r="E32" s="327">
        <f>'End use share 2006c'!$C$35</f>
        <v>1.9673944145463536E-2</v>
      </c>
      <c r="F32" s="327"/>
      <c r="G32" s="327"/>
      <c r="H32" s="327"/>
      <c r="I32" s="327"/>
      <c r="J32" s="327"/>
      <c r="K32" s="309"/>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row>
    <row r="33" spans="1:42">
      <c r="A33" s="343" t="str">
        <f t="shared" si="4"/>
        <v>Commercial - Cooking</v>
      </c>
      <c r="B33" s="346" t="str">
        <f t="shared" si="5"/>
        <v>CNK</v>
      </c>
      <c r="C33" s="327"/>
      <c r="D33" s="327"/>
      <c r="E33" s="327"/>
      <c r="F33" s="327"/>
      <c r="G33" s="327"/>
      <c r="H33" s="327"/>
      <c r="I33" s="327"/>
      <c r="J33" s="327">
        <f>'End use share 2006c'!$G$41</f>
        <v>0.10103470669450876</v>
      </c>
      <c r="K33" s="309"/>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row>
    <row r="34" spans="1:42">
      <c r="A34" s="343" t="str">
        <f t="shared" si="4"/>
        <v>Commercial - Lighting</v>
      </c>
      <c r="B34" s="346" t="str">
        <f t="shared" si="5"/>
        <v>CNL</v>
      </c>
      <c r="C34" s="327"/>
      <c r="D34" s="327"/>
      <c r="E34" s="327">
        <f>'End use share 2006c'!$B$35</f>
        <v>0.17828065881507271</v>
      </c>
      <c r="F34" s="327"/>
      <c r="G34" s="327"/>
      <c r="H34" s="327"/>
      <c r="I34" s="327"/>
      <c r="J34" s="328"/>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row>
    <row r="35" spans="1:42">
      <c r="A35" s="343" t="str">
        <f t="shared" si="4"/>
        <v>Commercial - Refrigeration</v>
      </c>
      <c r="B35" s="346" t="str">
        <f t="shared" si="5"/>
        <v>CNR</v>
      </c>
      <c r="C35" s="327"/>
      <c r="D35" s="327"/>
      <c r="E35" s="327">
        <f>'End use share 2006c'!$F$35</f>
        <v>0.19733027907087305</v>
      </c>
      <c r="F35" s="327"/>
      <c r="G35" s="327"/>
      <c r="H35" s="327"/>
      <c r="I35" s="327"/>
      <c r="J35" s="328"/>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row>
    <row r="36" spans="1:42">
      <c r="A36" s="343" t="str">
        <f t="shared" si="4"/>
        <v>Commercial - Water Heating</v>
      </c>
      <c r="B36" s="346" t="str">
        <f t="shared" si="5"/>
        <v>CNW</v>
      </c>
      <c r="C36" s="327">
        <f>'End use share 2006c'!$D$38</f>
        <v>0.45611504726363378</v>
      </c>
      <c r="D36" s="327"/>
      <c r="E36" s="327">
        <f>'End use share 2006c'!$D$35</f>
        <v>8.6253773691933548E-3</v>
      </c>
      <c r="F36" s="327"/>
      <c r="G36" s="327"/>
      <c r="H36" s="327"/>
      <c r="I36" s="327"/>
      <c r="J36" s="327">
        <f>'End use share 2006c'!$D$41</f>
        <v>0.89896529330549124</v>
      </c>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row>
    <row r="37" spans="1:42">
      <c r="A37" s="343" t="str">
        <f t="shared" si="4"/>
        <v>Commercial - Public Lights</v>
      </c>
      <c r="B37" s="346" t="str">
        <f t="shared" si="5"/>
        <v>CNG</v>
      </c>
      <c r="E37" s="428">
        <f>'End use share 2006c'!H35</f>
        <v>2.0121717674403277E-2</v>
      </c>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row>
    <row r="38" spans="1:42">
      <c r="A38" s="343" t="str">
        <f t="shared" si="4"/>
        <v>Commercial - Public Water</v>
      </c>
      <c r="B38" s="346" t="str">
        <f t="shared" si="5"/>
        <v>CNT</v>
      </c>
      <c r="E38" s="429">
        <f>'End use share 2006c'!I35</f>
        <v>2.3755614613376001E-2</v>
      </c>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row>
    <row r="39" spans="1:42">
      <c r="A39" s="343" t="str">
        <f t="shared" si="4"/>
        <v>Commercial - Other</v>
      </c>
      <c r="B39" s="346" t="str">
        <f t="shared" si="5"/>
        <v>CNO</v>
      </c>
      <c r="C39" s="429">
        <f>1-SUM(C31:C38)</f>
        <v>7.1368927396386894E-4</v>
      </c>
      <c r="D39" s="429">
        <f>1-SUM(D31:D38)</f>
        <v>1</v>
      </c>
      <c r="E39" s="429">
        <f t="shared" ref="E39:J39" si="6">1-SUM(E31:E38)</f>
        <v>0.22283433088637561</v>
      </c>
      <c r="F39" s="429">
        <f t="shared" si="6"/>
        <v>1</v>
      </c>
      <c r="G39" s="429">
        <f t="shared" si="6"/>
        <v>1</v>
      </c>
      <c r="H39" s="429">
        <f t="shared" si="6"/>
        <v>1</v>
      </c>
      <c r="I39" s="429">
        <f t="shared" si="6"/>
        <v>1</v>
      </c>
      <c r="J39" s="429">
        <f t="shared" si="6"/>
        <v>0</v>
      </c>
      <c r="K39" s="307"/>
      <c r="L39" s="307"/>
      <c r="M39" s="307">
        <f>K52*1.1</f>
        <v>189.88269043085893</v>
      </c>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row>
    <row r="40" spans="1:42">
      <c r="A40" s="343" t="s">
        <v>644</v>
      </c>
      <c r="B40" s="346"/>
      <c r="C40" s="329">
        <f t="shared" ref="C40:J40" si="7">SUM(C31:C39)</f>
        <v>1</v>
      </c>
      <c r="D40" s="329">
        <f t="shared" si="7"/>
        <v>1</v>
      </c>
      <c r="E40" s="329">
        <f t="shared" si="7"/>
        <v>1</v>
      </c>
      <c r="F40" s="329">
        <f t="shared" si="7"/>
        <v>1</v>
      </c>
      <c r="G40" s="329">
        <f t="shared" si="7"/>
        <v>1</v>
      </c>
      <c r="H40" s="329">
        <f t="shared" si="7"/>
        <v>1</v>
      </c>
      <c r="I40" s="329">
        <f t="shared" si="7"/>
        <v>1</v>
      </c>
      <c r="J40" s="329">
        <f t="shared" si="7"/>
        <v>1</v>
      </c>
      <c r="K40" s="307"/>
      <c r="L40" s="307"/>
      <c r="M40" s="307">
        <f>1.1*C52</f>
        <v>16.528547365506896</v>
      </c>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row>
    <row r="41" spans="1:42">
      <c r="A41" s="307"/>
      <c r="B41" s="307"/>
      <c r="C41" s="325"/>
      <c r="D41" s="325"/>
      <c r="E41" s="325"/>
      <c r="F41" s="325"/>
      <c r="G41" s="325"/>
      <c r="H41" s="325"/>
      <c r="I41" s="325"/>
      <c r="J41" s="325"/>
      <c r="K41" s="307"/>
      <c r="L41" s="307"/>
      <c r="M41" s="307">
        <f>M39-M40</f>
        <v>173.35414306535205</v>
      </c>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row>
    <row r="42" spans="1:42">
      <c r="A42" s="322" t="s">
        <v>674</v>
      </c>
      <c r="B42" s="322" t="s">
        <v>673</v>
      </c>
      <c r="C42" s="326" t="str">
        <f>C30</f>
        <v>Coal</v>
      </c>
      <c r="D42" s="326" t="str">
        <f t="shared" ref="D42:J42" si="8">D30</f>
        <v>Oil Diesel</v>
      </c>
      <c r="E42" s="326" t="str">
        <f t="shared" si="8"/>
        <v>Electricity</v>
      </c>
      <c r="F42" s="326" t="str">
        <f t="shared" si="8"/>
        <v>Gas</v>
      </c>
      <c r="G42" s="326" t="str">
        <f t="shared" si="8"/>
        <v>Oil Gasoline</v>
      </c>
      <c r="H42" s="326" t="str">
        <f t="shared" si="8"/>
        <v>Oil HFO</v>
      </c>
      <c r="I42" s="326" t="str">
        <f t="shared" si="8"/>
        <v>Oil Paraffin</v>
      </c>
      <c r="J42" s="326" t="str">
        <f t="shared" si="8"/>
        <v>Oil LPG</v>
      </c>
      <c r="K42" s="326" t="s">
        <v>644</v>
      </c>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row>
    <row r="43" spans="1:42">
      <c r="A43" s="343" t="str">
        <f t="shared" ref="A43:B51" si="9">A31</f>
        <v>Commercial - Cooling</v>
      </c>
      <c r="B43" s="346" t="str">
        <f t="shared" si="9"/>
        <v>CNC</v>
      </c>
      <c r="C43" s="321">
        <f t="shared" ref="C43:J49" si="10">C31*C$7</f>
        <v>0</v>
      </c>
      <c r="D43" s="321">
        <f t="shared" si="10"/>
        <v>0</v>
      </c>
      <c r="E43" s="321">
        <f>E31*E$7</f>
        <v>49.351376096778914</v>
      </c>
      <c r="F43" s="321">
        <f t="shared" si="10"/>
        <v>0</v>
      </c>
      <c r="G43" s="321">
        <f t="shared" si="10"/>
        <v>0</v>
      </c>
      <c r="H43" s="321">
        <f t="shared" si="10"/>
        <v>0</v>
      </c>
      <c r="I43" s="321">
        <f t="shared" si="10"/>
        <v>0</v>
      </c>
      <c r="J43" s="321">
        <f t="shared" si="10"/>
        <v>0</v>
      </c>
      <c r="K43" s="330">
        <f t="shared" ref="K43:K50" si="11">SUM(C43:J43)</f>
        <v>49.351376096778914</v>
      </c>
      <c r="L43" s="307"/>
      <c r="M43" s="307"/>
      <c r="N43" s="459">
        <f>E43/0.0036</f>
        <v>13708.715582438588</v>
      </c>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row>
    <row r="44" spans="1:42">
      <c r="A44" s="343" t="str">
        <f t="shared" si="9"/>
        <v>Commercial - Space Heating</v>
      </c>
      <c r="B44" s="346" t="str">
        <f t="shared" si="9"/>
        <v>CNH</v>
      </c>
      <c r="C44" s="321">
        <f t="shared" si="10"/>
        <v>8.1616654142914022</v>
      </c>
      <c r="D44" s="321">
        <f>D32*D$7</f>
        <v>0</v>
      </c>
      <c r="E44" s="321">
        <f>E32*E$7</f>
        <v>2.9477863992030922</v>
      </c>
      <c r="F44" s="321">
        <f t="shared" si="10"/>
        <v>0</v>
      </c>
      <c r="G44" s="321">
        <f t="shared" si="10"/>
        <v>0</v>
      </c>
      <c r="H44" s="321">
        <f t="shared" si="10"/>
        <v>0</v>
      </c>
      <c r="I44" s="321">
        <f t="shared" si="10"/>
        <v>0</v>
      </c>
      <c r="J44" s="321">
        <f t="shared" si="10"/>
        <v>0</v>
      </c>
      <c r="K44" s="330">
        <f t="shared" si="11"/>
        <v>11.109451813494495</v>
      </c>
      <c r="L44" s="307"/>
      <c r="M44" s="307"/>
      <c r="N44" s="307">
        <f t="shared" ref="N44:N51" si="12">E44/0.0036</f>
        <v>818.82955533419226</v>
      </c>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row>
    <row r="45" spans="1:42">
      <c r="A45" s="343" t="str">
        <f t="shared" si="9"/>
        <v>Commercial - Cooking</v>
      </c>
      <c r="B45" s="346" t="str">
        <f t="shared" si="9"/>
        <v>CNK</v>
      </c>
      <c r="C45" s="321">
        <f t="shared" si="10"/>
        <v>0</v>
      </c>
      <c r="D45" s="321">
        <f>D33*D$7</f>
        <v>0</v>
      </c>
      <c r="E45" s="381">
        <v>0.2</v>
      </c>
      <c r="F45" s="321">
        <f t="shared" si="10"/>
        <v>0</v>
      </c>
      <c r="G45" s="321">
        <f t="shared" si="10"/>
        <v>0</v>
      </c>
      <c r="H45" s="321">
        <f t="shared" si="10"/>
        <v>0</v>
      </c>
      <c r="I45" s="321">
        <f t="shared" si="10"/>
        <v>0</v>
      </c>
      <c r="J45" s="321">
        <f t="shared" si="10"/>
        <v>0.40766198839002638</v>
      </c>
      <c r="K45" s="330">
        <f t="shared" si="11"/>
        <v>0.60766198839002639</v>
      </c>
      <c r="L45" s="307"/>
      <c r="M45" s="307"/>
      <c r="N45" s="307">
        <f t="shared" si="12"/>
        <v>55.555555555555557</v>
      </c>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row>
    <row r="46" spans="1:42">
      <c r="A46" s="343" t="str">
        <f t="shared" si="9"/>
        <v>Commercial - Lighting</v>
      </c>
      <c r="B46" s="346" t="str">
        <f t="shared" si="9"/>
        <v>CNL</v>
      </c>
      <c r="C46" s="321">
        <f t="shared" si="10"/>
        <v>0</v>
      </c>
      <c r="D46" s="321">
        <f>D34*D$7</f>
        <v>0</v>
      </c>
      <c r="E46" s="321">
        <f t="shared" ref="E46:E51" si="13">E34*E$7</f>
        <v>26.712147671579974</v>
      </c>
      <c r="F46" s="321">
        <f t="shared" si="10"/>
        <v>0</v>
      </c>
      <c r="G46" s="321">
        <f t="shared" si="10"/>
        <v>0</v>
      </c>
      <c r="H46" s="321">
        <f t="shared" si="10"/>
        <v>0</v>
      </c>
      <c r="I46" s="321">
        <f t="shared" si="10"/>
        <v>0</v>
      </c>
      <c r="J46" s="321">
        <f t="shared" si="10"/>
        <v>0</v>
      </c>
      <c r="K46" s="330">
        <f t="shared" si="11"/>
        <v>26.712147671579974</v>
      </c>
      <c r="L46" s="307"/>
      <c r="M46" s="307"/>
      <c r="N46" s="307">
        <f t="shared" si="12"/>
        <v>7420.041019883326</v>
      </c>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row>
    <row r="47" spans="1:42">
      <c r="A47" s="343" t="str">
        <f t="shared" si="9"/>
        <v>Commercial - Refrigeration</v>
      </c>
      <c r="B47" s="346" t="str">
        <f t="shared" si="9"/>
        <v>CNR</v>
      </c>
      <c r="C47" s="321">
        <f t="shared" si="10"/>
        <v>0</v>
      </c>
      <c r="D47" s="321">
        <f>D35*D$7</f>
        <v>0</v>
      </c>
      <c r="E47" s="321">
        <f t="shared" si="13"/>
        <v>29.566390373747051</v>
      </c>
      <c r="F47" s="321">
        <f t="shared" si="10"/>
        <v>0</v>
      </c>
      <c r="G47" s="321">
        <f t="shared" si="10"/>
        <v>0</v>
      </c>
      <c r="H47" s="321">
        <f t="shared" si="10"/>
        <v>0</v>
      </c>
      <c r="I47" s="321">
        <f t="shared" si="10"/>
        <v>0</v>
      </c>
      <c r="J47" s="321">
        <f t="shared" si="10"/>
        <v>0</v>
      </c>
      <c r="K47" s="330">
        <f t="shared" si="11"/>
        <v>29.566390373747051</v>
      </c>
      <c r="L47" s="307"/>
      <c r="M47" s="307"/>
      <c r="N47" s="307">
        <f t="shared" si="12"/>
        <v>8212.8862149297365</v>
      </c>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row>
    <row r="48" spans="1:42">
      <c r="A48" s="343" t="str">
        <f t="shared" si="9"/>
        <v>Commercial - Water Heating</v>
      </c>
      <c r="B48" s="346" t="str">
        <f t="shared" si="9"/>
        <v>CNW</v>
      </c>
      <c r="C48" s="321">
        <f t="shared" si="10"/>
        <v>6.8535628752885334</v>
      </c>
      <c r="D48" s="321">
        <f>D36*D$7</f>
        <v>0</v>
      </c>
      <c r="E48" s="321">
        <f t="shared" si="13"/>
        <v>1.2923575419809787</v>
      </c>
      <c r="F48" s="321">
        <f t="shared" si="10"/>
        <v>0</v>
      </c>
      <c r="G48" s="321">
        <f t="shared" si="10"/>
        <v>0</v>
      </c>
      <c r="H48" s="321">
        <f t="shared" si="10"/>
        <v>0</v>
      </c>
      <c r="I48" s="321">
        <f t="shared" si="10"/>
        <v>0</v>
      </c>
      <c r="J48" s="321">
        <f t="shared" si="10"/>
        <v>3.6272088171703252</v>
      </c>
      <c r="K48" s="330">
        <f t="shared" si="11"/>
        <v>11.773129234439837</v>
      </c>
      <c r="L48" s="307"/>
      <c r="M48" s="307"/>
      <c r="N48" s="307">
        <f t="shared" si="12"/>
        <v>358.98820610582743</v>
      </c>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row>
    <row r="49" spans="1:42">
      <c r="A49" s="343" t="str">
        <f t="shared" si="9"/>
        <v>Commercial - Public Lights</v>
      </c>
      <c r="B49" s="346" t="str">
        <f t="shared" si="9"/>
        <v>CNG</v>
      </c>
      <c r="C49" s="321">
        <f t="shared" si="10"/>
        <v>0</v>
      </c>
      <c r="D49" s="321">
        <f t="shared" si="10"/>
        <v>0</v>
      </c>
      <c r="E49" s="321">
        <f>E37*E$7</f>
        <v>3.0148772025911916</v>
      </c>
      <c r="F49" s="321">
        <f t="shared" si="10"/>
        <v>0</v>
      </c>
      <c r="G49" s="321">
        <f t="shared" si="10"/>
        <v>0</v>
      </c>
      <c r="H49" s="321">
        <f t="shared" si="10"/>
        <v>0</v>
      </c>
      <c r="I49" s="321">
        <f t="shared" si="10"/>
        <v>0</v>
      </c>
      <c r="J49" s="321">
        <f t="shared" si="10"/>
        <v>0</v>
      </c>
      <c r="K49" s="330">
        <f t="shared" si="11"/>
        <v>3.0148772025911916</v>
      </c>
      <c r="L49" s="307"/>
      <c r="M49" s="307"/>
      <c r="N49" s="307">
        <f t="shared" si="12"/>
        <v>837.46588960866438</v>
      </c>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row>
    <row r="50" spans="1:42">
      <c r="A50" s="343" t="str">
        <f t="shared" si="9"/>
        <v>Commercial - Public Water</v>
      </c>
      <c r="B50" s="346" t="str">
        <f t="shared" si="9"/>
        <v>CNT</v>
      </c>
      <c r="C50" s="321"/>
      <c r="D50" s="321"/>
      <c r="E50" s="321">
        <f t="shared" si="13"/>
        <v>3.5593512487513528</v>
      </c>
      <c r="F50" s="321"/>
      <c r="G50" s="321"/>
      <c r="H50" s="321"/>
      <c r="I50" s="321"/>
      <c r="J50" s="321"/>
      <c r="K50" s="330">
        <f t="shared" si="11"/>
        <v>3.5593512487513528</v>
      </c>
      <c r="L50" s="307"/>
      <c r="M50" s="307"/>
      <c r="N50" s="307">
        <f t="shared" si="12"/>
        <v>988.7086802087091</v>
      </c>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row>
    <row r="51" spans="1:42">
      <c r="A51" s="343" t="str">
        <f t="shared" si="9"/>
        <v>Commercial - Other</v>
      </c>
      <c r="B51" s="346" t="str">
        <f t="shared" si="9"/>
        <v>CNO</v>
      </c>
      <c r="C51" s="321">
        <f>C39*C$7</f>
        <v>1.0723860880878214E-2</v>
      </c>
      <c r="D51" s="321">
        <f>D39*D$7</f>
        <v>0.69547475469735887</v>
      </c>
      <c r="E51" s="321">
        <f t="shared" si="13"/>
        <v>33.387713465367426</v>
      </c>
      <c r="F51" s="321">
        <f>F39*F$7</f>
        <v>3.5000000000000003E-2</v>
      </c>
      <c r="G51" s="321">
        <f>G39*G$7</f>
        <v>0</v>
      </c>
      <c r="H51" s="321">
        <f>H39*H$7</f>
        <v>0.23314278231431268</v>
      </c>
      <c r="I51" s="321">
        <f>I39*I$7</f>
        <v>2.5641871713843942</v>
      </c>
      <c r="J51" s="321">
        <f>J39*J$7</f>
        <v>0</v>
      </c>
      <c r="K51" s="330">
        <f>SUM(C51:J51)</f>
        <v>36.926242034644368</v>
      </c>
      <c r="L51" s="307"/>
      <c r="M51" s="307"/>
      <c r="N51" s="307">
        <f t="shared" si="12"/>
        <v>9274.3648514909528</v>
      </c>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row>
    <row r="52" spans="1:42">
      <c r="A52" s="331" t="str">
        <f>A40</f>
        <v>Total</v>
      </c>
      <c r="B52" s="343"/>
      <c r="C52" s="330">
        <f t="shared" ref="C52:K52" si="14">SUM(C43:C51)</f>
        <v>15.025952150460814</v>
      </c>
      <c r="D52" s="330">
        <f t="shared" si="14"/>
        <v>0.69547475469735887</v>
      </c>
      <c r="E52" s="330">
        <f t="shared" si="14"/>
        <v>150.03199999999998</v>
      </c>
      <c r="F52" s="330">
        <f t="shared" si="14"/>
        <v>3.5000000000000003E-2</v>
      </c>
      <c r="G52" s="330">
        <f t="shared" si="14"/>
        <v>0</v>
      </c>
      <c r="H52" s="330">
        <f t="shared" si="14"/>
        <v>0.23314278231431268</v>
      </c>
      <c r="I52" s="330">
        <f t="shared" si="14"/>
        <v>2.5641871713843942</v>
      </c>
      <c r="J52" s="330">
        <f t="shared" si="14"/>
        <v>4.0348708055603515</v>
      </c>
      <c r="K52" s="330">
        <f t="shared" si="14"/>
        <v>172.62062766441719</v>
      </c>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row>
    <row r="53" spans="1:42">
      <c r="A53" s="332"/>
      <c r="B53" s="333"/>
      <c r="C53" s="334"/>
      <c r="D53" s="334"/>
      <c r="E53" s="334"/>
      <c r="F53" s="334"/>
      <c r="G53" s="334"/>
      <c r="H53" s="334"/>
      <c r="I53" s="334"/>
      <c r="J53" s="334"/>
      <c r="K53" s="334"/>
      <c r="L53" s="307"/>
      <c r="M53" s="307"/>
      <c r="N53" s="307"/>
      <c r="O53" s="307"/>
      <c r="P53" s="307"/>
      <c r="Q53" s="307">
        <v>2015</v>
      </c>
      <c r="R53" s="307"/>
      <c r="S53" s="307">
        <v>2020</v>
      </c>
      <c r="T53" s="307">
        <v>2025</v>
      </c>
      <c r="U53" s="307">
        <v>2030</v>
      </c>
      <c r="V53" s="307">
        <v>2035</v>
      </c>
      <c r="W53" s="307">
        <v>2040</v>
      </c>
      <c r="X53" s="307">
        <v>2045</v>
      </c>
      <c r="Y53" s="307">
        <v>2050</v>
      </c>
      <c r="Z53" s="307"/>
      <c r="AA53" s="307"/>
      <c r="AB53" s="307">
        <v>2015</v>
      </c>
      <c r="AC53" s="307"/>
      <c r="AD53" s="307">
        <v>2020</v>
      </c>
      <c r="AE53" s="307">
        <v>2025</v>
      </c>
      <c r="AF53" s="307">
        <v>2030</v>
      </c>
      <c r="AG53" s="307">
        <v>2035</v>
      </c>
      <c r="AH53" s="307">
        <v>2040</v>
      </c>
      <c r="AI53" s="307">
        <v>2045</v>
      </c>
      <c r="AJ53" s="307">
        <v>2050</v>
      </c>
      <c r="AK53" s="307"/>
      <c r="AL53" s="307"/>
      <c r="AM53" s="314">
        <v>5</v>
      </c>
      <c r="AN53" s="307"/>
      <c r="AO53" s="307"/>
      <c r="AP53" s="307"/>
    </row>
    <row r="54" spans="1:42" ht="15">
      <c r="A54" s="307"/>
      <c r="B54" s="307"/>
      <c r="C54" s="317"/>
      <c r="D54" s="317"/>
      <c r="E54" s="317"/>
      <c r="F54" s="317"/>
      <c r="G54" s="317"/>
      <c r="H54" s="317"/>
      <c r="I54" s="307"/>
      <c r="J54" s="307"/>
      <c r="K54" s="307"/>
      <c r="L54" s="307"/>
      <c r="M54" s="307"/>
      <c r="N54" s="307"/>
      <c r="O54" s="408" t="s">
        <v>793</v>
      </c>
      <c r="P54" s="408"/>
      <c r="Q54" s="409">
        <v>0</v>
      </c>
      <c r="R54" s="409"/>
      <c r="S54" s="409">
        <v>0.1</v>
      </c>
      <c r="T54" s="409">
        <v>0.18</v>
      </c>
      <c r="U54" s="409">
        <v>0.25</v>
      </c>
      <c r="V54" s="409">
        <v>0.3</v>
      </c>
      <c r="W54" s="409">
        <v>0.4</v>
      </c>
      <c r="X54" s="409">
        <v>0.45</v>
      </c>
      <c r="Y54" s="409">
        <v>0.5</v>
      </c>
      <c r="Z54" s="408" t="s">
        <v>794</v>
      </c>
      <c r="AA54" s="408"/>
      <c r="AB54" s="409">
        <v>0.8</v>
      </c>
      <c r="AC54" s="409"/>
      <c r="AD54" s="409">
        <v>0.4</v>
      </c>
      <c r="AE54" s="409">
        <v>0.3</v>
      </c>
      <c r="AF54" s="409">
        <v>0.25</v>
      </c>
      <c r="AG54" s="409">
        <v>0.2</v>
      </c>
      <c r="AH54" s="409">
        <v>0.15</v>
      </c>
      <c r="AI54" s="409">
        <v>0.1</v>
      </c>
      <c r="AJ54" s="409">
        <v>0.05</v>
      </c>
      <c r="AK54" s="307"/>
      <c r="AL54" s="307"/>
      <c r="AM54" s="307">
        <f>12/5</f>
        <v>2.4</v>
      </c>
      <c r="AN54" s="307"/>
      <c r="AO54" s="307"/>
      <c r="AP54" s="307"/>
    </row>
    <row r="55" spans="1:42">
      <c r="A55" s="307"/>
      <c r="B55" s="307"/>
      <c r="C55" s="317"/>
      <c r="D55" s="307"/>
      <c r="E55" s="307"/>
      <c r="F55" s="307"/>
      <c r="G55" s="403" t="s">
        <v>787</v>
      </c>
      <c r="H55" s="404">
        <v>0.01</v>
      </c>
      <c r="I55" s="307"/>
      <c r="J55" s="31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f>AM53*AM54</f>
        <v>12</v>
      </c>
      <c r="AN55" s="307"/>
      <c r="AO55" s="307"/>
      <c r="AP55" s="307"/>
    </row>
    <row r="56" spans="1:42">
      <c r="A56" s="335" t="s">
        <v>676</v>
      </c>
      <c r="B56" s="335" t="s">
        <v>677</v>
      </c>
      <c r="C56" s="335" t="s">
        <v>678</v>
      </c>
      <c r="D56" s="335" t="s">
        <v>679</v>
      </c>
      <c r="E56" s="335" t="s">
        <v>680</v>
      </c>
      <c r="F56" s="335" t="s">
        <v>681</v>
      </c>
      <c r="G56" s="335" t="s">
        <v>682</v>
      </c>
      <c r="H56" s="335" t="s">
        <v>683</v>
      </c>
      <c r="I56" s="335" t="s">
        <v>769</v>
      </c>
      <c r="J56" s="335" t="s">
        <v>770</v>
      </c>
      <c r="K56" s="307"/>
      <c r="L56" s="307"/>
      <c r="M56" s="307"/>
      <c r="N56" s="307"/>
      <c r="O56" s="307"/>
      <c r="P56" s="413">
        <v>0.02</v>
      </c>
      <c r="Q56" s="307"/>
      <c r="R56" s="307"/>
      <c r="S56" s="307"/>
      <c r="T56" s="307"/>
      <c r="U56" s="307"/>
      <c r="V56" s="307"/>
      <c r="W56" s="307"/>
      <c r="X56" s="307"/>
      <c r="Y56" s="307"/>
      <c r="Z56" s="307"/>
      <c r="AA56" s="413">
        <v>0.02</v>
      </c>
      <c r="AB56" s="307"/>
      <c r="AC56" s="307"/>
      <c r="AD56" s="307"/>
      <c r="AE56" s="307"/>
      <c r="AF56" s="307"/>
      <c r="AG56" s="307"/>
      <c r="AH56" s="307"/>
      <c r="AI56" s="307"/>
      <c r="AJ56" s="307"/>
      <c r="AK56" s="307"/>
      <c r="AL56" s="307"/>
      <c r="AM56" s="307"/>
    </row>
    <row r="57" spans="1:42" ht="52.5" thickBot="1">
      <c r="A57" s="336" t="s">
        <v>684</v>
      </c>
      <c r="B57" s="337" t="s">
        <v>685</v>
      </c>
      <c r="C57" s="337" t="s">
        <v>686</v>
      </c>
      <c r="D57" s="337" t="s">
        <v>687</v>
      </c>
      <c r="E57" s="337" t="s">
        <v>529</v>
      </c>
      <c r="F57" s="337" t="s">
        <v>688</v>
      </c>
      <c r="G57" s="337" t="s">
        <v>689</v>
      </c>
      <c r="H57" s="337" t="s">
        <v>690</v>
      </c>
      <c r="I57" s="337" t="s">
        <v>771</v>
      </c>
      <c r="J57" s="337" t="s">
        <v>772</v>
      </c>
      <c r="L57" s="337" t="s">
        <v>691</v>
      </c>
      <c r="M57" s="337" t="s">
        <v>692</v>
      </c>
      <c r="N57" s="337" t="s">
        <v>693</v>
      </c>
      <c r="O57" s="337" t="s">
        <v>694</v>
      </c>
      <c r="P57" s="337" t="s">
        <v>788</v>
      </c>
      <c r="Q57" s="337" t="s">
        <v>789</v>
      </c>
      <c r="R57" s="337"/>
      <c r="S57" s="337" t="s">
        <v>789</v>
      </c>
      <c r="T57" s="337" t="s">
        <v>789</v>
      </c>
      <c r="U57" s="337" t="s">
        <v>789</v>
      </c>
      <c r="V57" s="337" t="s">
        <v>789</v>
      </c>
      <c r="W57" s="337" t="s">
        <v>789</v>
      </c>
      <c r="X57" s="337" t="s">
        <v>789</v>
      </c>
      <c r="Y57" s="337" t="s">
        <v>789</v>
      </c>
      <c r="AA57" s="337" t="s">
        <v>788</v>
      </c>
      <c r="AB57" s="337" t="s">
        <v>790</v>
      </c>
      <c r="AC57" s="337"/>
      <c r="AD57" s="337" t="s">
        <v>790</v>
      </c>
      <c r="AE57" s="337" t="s">
        <v>790</v>
      </c>
      <c r="AF57" s="337" t="s">
        <v>790</v>
      </c>
      <c r="AG57" s="337" t="s">
        <v>790</v>
      </c>
      <c r="AH57" s="337" t="s">
        <v>790</v>
      </c>
      <c r="AI57" s="337" t="s">
        <v>790</v>
      </c>
      <c r="AJ57" s="337" t="s">
        <v>790</v>
      </c>
      <c r="AK57" s="337" t="s">
        <v>695</v>
      </c>
      <c r="AL57" s="307"/>
      <c r="AM57" s="307"/>
    </row>
    <row r="58" spans="1:42" ht="25.5">
      <c r="A58" s="338" t="s">
        <v>696</v>
      </c>
      <c r="B58" s="339"/>
      <c r="C58" s="339"/>
      <c r="D58" s="339"/>
      <c r="E58" s="340" t="s">
        <v>697</v>
      </c>
      <c r="F58" s="340" t="s">
        <v>698</v>
      </c>
      <c r="G58" s="313" t="s">
        <v>699</v>
      </c>
      <c r="H58" s="341" t="s">
        <v>700</v>
      </c>
      <c r="I58" t="s">
        <v>773</v>
      </c>
      <c r="J58" t="s">
        <v>774</v>
      </c>
      <c r="L58" s="308" t="s">
        <v>701</v>
      </c>
      <c r="M58" s="308" t="s">
        <v>702</v>
      </c>
      <c r="N58" s="308" t="s">
        <v>702</v>
      </c>
      <c r="O58" s="307"/>
      <c r="P58" s="314" t="s">
        <v>979</v>
      </c>
      <c r="Q58" s="307" t="str">
        <f t="shared" ref="Q58:Y58" si="15">"U"&amp;Q$53</f>
        <v>U2015</v>
      </c>
      <c r="R58" s="307"/>
      <c r="S58" s="307" t="str">
        <f t="shared" si="15"/>
        <v>U2020</v>
      </c>
      <c r="T58" s="307" t="str">
        <f t="shared" si="15"/>
        <v>U2025</v>
      </c>
      <c r="U58" s="307" t="str">
        <f t="shared" si="15"/>
        <v>U2030</v>
      </c>
      <c r="V58" s="307" t="str">
        <f t="shared" si="15"/>
        <v>U2035</v>
      </c>
      <c r="W58" s="307" t="str">
        <f t="shared" si="15"/>
        <v>U2040</v>
      </c>
      <c r="X58" s="307" t="str">
        <f t="shared" si="15"/>
        <v>U2045</v>
      </c>
      <c r="Y58" s="307" t="str">
        <f t="shared" si="15"/>
        <v>U2050</v>
      </c>
      <c r="AA58" s="314" t="s">
        <v>980</v>
      </c>
      <c r="AB58" s="307" t="str">
        <f t="shared" ref="AB58:AJ58" si="16">"L"&amp;AB$53</f>
        <v>L2015</v>
      </c>
      <c r="AC58" s="307"/>
      <c r="AD58" s="307" t="str">
        <f t="shared" si="16"/>
        <v>L2020</v>
      </c>
      <c r="AE58" s="307" t="str">
        <f t="shared" si="16"/>
        <v>L2025</v>
      </c>
      <c r="AF58" s="307" t="str">
        <f t="shared" si="16"/>
        <v>L2030</v>
      </c>
      <c r="AG58" s="307" t="str">
        <f t="shared" si="16"/>
        <v>L2035</v>
      </c>
      <c r="AH58" s="307" t="str">
        <f t="shared" si="16"/>
        <v>L2040</v>
      </c>
      <c r="AI58" s="307" t="str">
        <f t="shared" si="16"/>
        <v>L2045</v>
      </c>
      <c r="AJ58" s="307" t="str">
        <f t="shared" si="16"/>
        <v>L2050</v>
      </c>
      <c r="AK58" s="307"/>
      <c r="AL58" s="307"/>
      <c r="AM58" s="307"/>
    </row>
    <row r="59" spans="1:42">
      <c r="A59" s="342" t="s">
        <v>703</v>
      </c>
      <c r="B59" s="343"/>
      <c r="C59" s="344">
        <v>1</v>
      </c>
      <c r="D59" s="344">
        <f t="shared" ref="D59:J59" si="17">C59+1</f>
        <v>2</v>
      </c>
      <c r="E59" s="344">
        <f t="shared" si="17"/>
        <v>3</v>
      </c>
      <c r="F59" s="344">
        <f t="shared" si="17"/>
        <v>4</v>
      </c>
      <c r="G59" s="344">
        <f t="shared" si="17"/>
        <v>5</v>
      </c>
      <c r="H59" s="344">
        <f t="shared" si="17"/>
        <v>6</v>
      </c>
      <c r="I59" s="344">
        <f t="shared" si="17"/>
        <v>7</v>
      </c>
      <c r="J59" s="344">
        <f t="shared" si="17"/>
        <v>8</v>
      </c>
      <c r="L59" s="345"/>
      <c r="M59" s="325"/>
      <c r="N59" s="325"/>
      <c r="O59" s="307"/>
      <c r="P59" s="492"/>
      <c r="Q59" s="307"/>
      <c r="R59" s="307"/>
      <c r="S59" s="307"/>
      <c r="T59" s="307"/>
      <c r="U59" s="307"/>
      <c r="V59" s="307"/>
      <c r="W59" s="307"/>
      <c r="X59" s="307"/>
      <c r="Y59" s="307"/>
      <c r="AA59" s="307"/>
      <c r="AB59" s="307"/>
      <c r="AC59" s="307"/>
      <c r="AD59" s="307"/>
      <c r="AE59" s="307"/>
      <c r="AF59" s="307"/>
      <c r="AG59" s="307"/>
      <c r="AH59" s="307"/>
      <c r="AI59" s="307"/>
      <c r="AJ59" s="307"/>
      <c r="AK59" s="307"/>
      <c r="AL59" s="307"/>
      <c r="AM59" s="307"/>
    </row>
    <row r="60" spans="1:42">
      <c r="A60" s="343" t="str">
        <f>"\I:"&amp;A43</f>
        <v>\I:Commercial - Cooling</v>
      </c>
      <c r="B60" s="339"/>
      <c r="L60" s="307"/>
      <c r="M60" s="307"/>
      <c r="N60" s="307"/>
      <c r="O60" s="307"/>
      <c r="P60" s="307"/>
      <c r="Q60" s="307"/>
      <c r="R60" s="307"/>
      <c r="S60" s="307"/>
      <c r="T60" s="307"/>
      <c r="U60" s="307"/>
      <c r="V60" s="307"/>
      <c r="W60" s="307"/>
      <c r="X60" s="307"/>
      <c r="Y60" s="307"/>
      <c r="AA60" s="307"/>
      <c r="AB60" s="307"/>
      <c r="AC60" s="307"/>
      <c r="AD60" s="307"/>
      <c r="AE60" s="307"/>
      <c r="AF60" s="307"/>
      <c r="AG60" s="307"/>
      <c r="AH60" s="307"/>
      <c r="AI60" s="307"/>
      <c r="AJ60" s="307"/>
      <c r="AK60" s="307"/>
      <c r="AL60" s="307"/>
      <c r="AM60" s="307"/>
    </row>
    <row r="61" spans="1:42" ht="15">
      <c r="A61" s="343" t="str">
        <f>A43&amp;" - Electricity - Chiller - Existing"</f>
        <v>Commercial - Cooling - Electricity - Chiller - Existing</v>
      </c>
      <c r="B61" s="343" t="str">
        <f>D61&amp;RIGHT(C61,3)&amp;"CHIL-E"</f>
        <v>CNCELCCHIL-E</v>
      </c>
      <c r="C61" s="346" t="str">
        <f t="shared" ref="C61:C66" si="18">$E$6</f>
        <v>COMELC</v>
      </c>
      <c r="D61" s="346" t="str">
        <f t="shared" ref="D61:D66" si="19">$B$43</f>
        <v>CNC</v>
      </c>
      <c r="E61" s="347">
        <f>Appliances!G56</f>
        <v>2</v>
      </c>
      <c r="F61" s="382">
        <f>SUMIF(AFA!$B$2:$J$2,D61,AFA!$B$4:$J$4)</f>
        <v>0.79849999999999999</v>
      </c>
      <c r="G61" s="348">
        <v>15</v>
      </c>
      <c r="H61" s="349">
        <f>(N61/F61)*(1+$H$55)</f>
        <v>0</v>
      </c>
      <c r="I61" s="349">
        <f>COM_2012!I61</f>
        <v>54.310780405383028</v>
      </c>
      <c r="J61" s="349">
        <f>COM_2012!J61</f>
        <v>5.4310780405383028</v>
      </c>
      <c r="L61" s="350">
        <v>0</v>
      </c>
      <c r="M61" s="349">
        <f>L61*SUMIF($C$6:$J$6,C61,$C$43:$J$43)</f>
        <v>0</v>
      </c>
      <c r="N61" s="349">
        <f>M61*E61</f>
        <v>0</v>
      </c>
      <c r="O61" s="307"/>
      <c r="P61" s="479">
        <f>COM_2012!P61</f>
        <v>3.9646643109540636E-2</v>
      </c>
      <c r="Q61" s="411">
        <f>MIN(1,$P61+Q$54)</f>
        <v>3.9646643109540636E-2</v>
      </c>
      <c r="R61" s="411"/>
      <c r="S61" s="411">
        <f>MIN(1,$P61+S$54)</f>
        <v>0.13964664310954064</v>
      </c>
      <c r="T61" s="411">
        <f>MIN(1,$P61+T$54)</f>
        <v>0.21964664310954063</v>
      </c>
      <c r="U61" s="411">
        <f t="shared" ref="U61:Y66" si="20">MIN(1,$P61+U$54)</f>
        <v>0.28964664310954064</v>
      </c>
      <c r="V61" s="411">
        <f t="shared" si="20"/>
        <v>0.33964664310954062</v>
      </c>
      <c r="W61" s="411">
        <f t="shared" si="20"/>
        <v>0.43964664310954066</v>
      </c>
      <c r="X61" s="411">
        <f t="shared" si="20"/>
        <v>0.48964664310954065</v>
      </c>
      <c r="Y61" s="411">
        <f t="shared" si="20"/>
        <v>0.53964664310954058</v>
      </c>
      <c r="AA61" s="479">
        <f>P61/(1+$P$56+$AA$56)</f>
        <v>3.8121772220712148E-2</v>
      </c>
      <c r="AB61" s="411">
        <f>$AA61*AB$54</f>
        <v>3.0497417776569721E-2</v>
      </c>
      <c r="AC61" s="411"/>
      <c r="AD61" s="411">
        <f>$AA61*AD$54</f>
        <v>1.524870888828486E-2</v>
      </c>
      <c r="AE61" s="411">
        <f>$AA61*AE$54</f>
        <v>1.1436531666213645E-2</v>
      </c>
      <c r="AF61" s="411">
        <f t="shared" ref="AF61:AJ66" si="21">$AA61*AF$54</f>
        <v>9.530443055178037E-3</v>
      </c>
      <c r="AG61" s="411">
        <f t="shared" si="21"/>
        <v>7.6243544441424302E-3</v>
      </c>
      <c r="AH61" s="411">
        <f t="shared" si="21"/>
        <v>5.7182658331068224E-3</v>
      </c>
      <c r="AI61" s="411">
        <f t="shared" si="21"/>
        <v>3.8121772220712151E-3</v>
      </c>
      <c r="AJ61" s="411">
        <f>$AA61*AJ$54</f>
        <v>1.9060886110356075E-3</v>
      </c>
      <c r="AK61" s="307">
        <v>1</v>
      </c>
      <c r="AL61" s="307"/>
      <c r="AM61" s="307"/>
      <c r="AN61" s="389">
        <f>P61*E61</f>
        <v>7.9293286219081272E-2</v>
      </c>
      <c r="AO61" s="389"/>
    </row>
    <row r="62" spans="1:42" ht="15">
      <c r="A62" s="343" t="str">
        <f>A43&amp;" - Electricity - Central - Existing"</f>
        <v>Commercial - Cooling - Electricity - Central - Existing</v>
      </c>
      <c r="B62" s="343" t="str">
        <f>D62&amp;RIGHT(C62,3)&amp;"CEN-E"</f>
        <v>CNCELCCEN-E</v>
      </c>
      <c r="C62" s="346" t="str">
        <f t="shared" si="18"/>
        <v>COMELC</v>
      </c>
      <c r="D62" s="346" t="str">
        <f t="shared" si="19"/>
        <v>CNC</v>
      </c>
      <c r="E62" s="347">
        <f>Appliances!G57</f>
        <v>3</v>
      </c>
      <c r="F62" s="382">
        <f>SUMIF(AFA!$B$2:$J$2,D62,AFA!$B$4:$J$4)</f>
        <v>0.79849999999999999</v>
      </c>
      <c r="G62" s="348">
        <v>15</v>
      </c>
      <c r="H62" s="349">
        <f>(N62/F62)*(1+$H$55)</f>
        <v>0</v>
      </c>
      <c r="I62" s="349">
        <f>COM_2012!I62</f>
        <v>91.48641577227815</v>
      </c>
      <c r="J62" s="349">
        <f>COM_2012!J62</f>
        <v>9.1486415772278153</v>
      </c>
      <c r="L62" s="350">
        <v>0</v>
      </c>
      <c r="M62" s="349">
        <f>L62*SUMIF($C$6:$J$6,C62,$C$43:$J$43)</f>
        <v>0</v>
      </c>
      <c r="N62" s="349">
        <f>M62*E62</f>
        <v>0</v>
      </c>
      <c r="O62" s="307"/>
      <c r="P62" s="479">
        <f>COM_2012!P62</f>
        <v>0.67038869257950529</v>
      </c>
      <c r="Q62" s="411">
        <f t="shared" ref="Q62:T66" si="22">MIN(1,$P62+Q$54)</f>
        <v>0.67038869257950529</v>
      </c>
      <c r="R62" s="411"/>
      <c r="S62" s="411">
        <f t="shared" si="22"/>
        <v>0.77038869257950526</v>
      </c>
      <c r="T62" s="411">
        <f t="shared" si="22"/>
        <v>0.85038869257950522</v>
      </c>
      <c r="U62" s="411">
        <f t="shared" si="20"/>
        <v>0.92038869257950529</v>
      </c>
      <c r="V62" s="411">
        <f t="shared" si="20"/>
        <v>0.97038869257950533</v>
      </c>
      <c r="W62" s="411">
        <f t="shared" si="20"/>
        <v>1</v>
      </c>
      <c r="X62" s="411">
        <f t="shared" si="20"/>
        <v>1</v>
      </c>
      <c r="Y62" s="411">
        <f t="shared" si="20"/>
        <v>1</v>
      </c>
      <c r="AA62" s="410">
        <f t="shared" ref="AA62:AA66" si="23">P62/(1+$P$56+$AA$56)</f>
        <v>0.64460451209567815</v>
      </c>
      <c r="AB62" s="411">
        <f t="shared" ref="AB62:AE66" si="24">$AA62*AB$54</f>
        <v>0.51568360967654259</v>
      </c>
      <c r="AC62" s="411"/>
      <c r="AD62" s="411">
        <f t="shared" si="24"/>
        <v>0.25784180483827129</v>
      </c>
      <c r="AE62" s="411">
        <f t="shared" si="24"/>
        <v>0.19338135362870343</v>
      </c>
      <c r="AF62" s="411">
        <f t="shared" si="21"/>
        <v>0.16115112802391954</v>
      </c>
      <c r="AG62" s="411">
        <f t="shared" si="21"/>
        <v>0.12892090241913565</v>
      </c>
      <c r="AH62" s="411">
        <f t="shared" si="21"/>
        <v>9.6690676814351714E-2</v>
      </c>
      <c r="AI62" s="411">
        <f t="shared" si="21"/>
        <v>6.4460451209567823E-2</v>
      </c>
      <c r="AJ62" s="411">
        <f t="shared" si="21"/>
        <v>3.2230225604783912E-2</v>
      </c>
      <c r="AK62" s="307">
        <f>AK61+1</f>
        <v>2</v>
      </c>
      <c r="AL62" s="307"/>
      <c r="AM62" s="307"/>
      <c r="AN62" s="389">
        <f t="shared" ref="AN62:AN120" si="25">P62*E62</f>
        <v>2.0111660777385159</v>
      </c>
      <c r="AO62" s="389"/>
    </row>
    <row r="63" spans="1:42" ht="15">
      <c r="A63" s="343" t="str">
        <f>A43&amp;" - Electricity - Heat Pump - Existing"</f>
        <v>Commercial - Cooling - Electricity - Heat Pump - Existing</v>
      </c>
      <c r="B63" s="343" t="str">
        <f>D63&amp;RIGHT(C63,3)&amp;"HP-E"</f>
        <v>CNCELCHP-E</v>
      </c>
      <c r="C63" s="346" t="str">
        <f t="shared" si="18"/>
        <v>COMELC</v>
      </c>
      <c r="D63" s="346" t="str">
        <f t="shared" si="19"/>
        <v>CNC</v>
      </c>
      <c r="E63" s="347">
        <f>Appliances!G58</f>
        <v>2.2000000000000002</v>
      </c>
      <c r="F63" s="382">
        <f>SUMIF(AFA!$B$2:$J$2,D63,AFA!$B$4:$J$4)</f>
        <v>0.79849999999999999</v>
      </c>
      <c r="G63" s="348">
        <v>15</v>
      </c>
      <c r="H63" s="349">
        <f>(N63/F63)*(1+$H$55)</f>
        <v>0</v>
      </c>
      <c r="I63" s="349">
        <f>COM_2012!I63</f>
        <v>118.96450756323959</v>
      </c>
      <c r="J63" s="349">
        <f>COM_2012!J63</f>
        <v>11.89645075632396</v>
      </c>
      <c r="L63" s="350">
        <v>0</v>
      </c>
      <c r="M63" s="349">
        <f>L63*SUMIF($C$6:$J$6,C63,$C$43:$J$43)</f>
        <v>0</v>
      </c>
      <c r="N63" s="349">
        <f>M63*E63</f>
        <v>0</v>
      </c>
      <c r="O63" s="351"/>
      <c r="P63" s="479">
        <f>COM_2012!P63</f>
        <v>0.18021201413427559</v>
      </c>
      <c r="Q63" s="411">
        <f>MIN(1,$P63+Q$54)</f>
        <v>0.18021201413427559</v>
      </c>
      <c r="R63" s="411"/>
      <c r="S63" s="411">
        <f>MIN(1,$P63+S$54)</f>
        <v>0.2802120141342756</v>
      </c>
      <c r="T63" s="411">
        <f>MIN(1,$P63+T$54)</f>
        <v>0.36021201413427562</v>
      </c>
      <c r="U63" s="411">
        <f t="shared" si="20"/>
        <v>0.43021201413427557</v>
      </c>
      <c r="V63" s="411">
        <f t="shared" si="20"/>
        <v>0.48021201413427561</v>
      </c>
      <c r="W63" s="411">
        <f t="shared" si="20"/>
        <v>0.58021201413427559</v>
      </c>
      <c r="X63" s="411">
        <f t="shared" si="20"/>
        <v>0.63021201413427563</v>
      </c>
      <c r="Y63" s="411">
        <f t="shared" si="20"/>
        <v>0.68021201413427557</v>
      </c>
      <c r="AA63" s="410">
        <f t="shared" si="23"/>
        <v>0.17328078282141884</v>
      </c>
      <c r="AB63" s="411">
        <f t="shared" si="24"/>
        <v>0.13862462625713509</v>
      </c>
      <c r="AC63" s="411"/>
      <c r="AD63" s="411">
        <f t="shared" si="24"/>
        <v>6.9312313128567546E-2</v>
      </c>
      <c r="AE63" s="411">
        <f t="shared" si="24"/>
        <v>5.1984234846425649E-2</v>
      </c>
      <c r="AF63" s="411">
        <f t="shared" si="21"/>
        <v>4.3320195705354711E-2</v>
      </c>
      <c r="AG63" s="411">
        <f t="shared" si="21"/>
        <v>3.4656156564283773E-2</v>
      </c>
      <c r="AH63" s="411">
        <f t="shared" si="21"/>
        <v>2.5992117423212825E-2</v>
      </c>
      <c r="AI63" s="411">
        <f t="shared" si="21"/>
        <v>1.7328078282141886E-2</v>
      </c>
      <c r="AJ63" s="411">
        <f t="shared" si="21"/>
        <v>8.6640391410709432E-3</v>
      </c>
      <c r="AK63" s="307">
        <f>AK62+1</f>
        <v>3</v>
      </c>
      <c r="AL63" s="307"/>
      <c r="AM63" s="307"/>
      <c r="AN63" s="389">
        <f t="shared" si="25"/>
        <v>0.39646643109540636</v>
      </c>
      <c r="AO63" s="389"/>
    </row>
    <row r="64" spans="1:42" ht="15">
      <c r="A64" s="343" t="str">
        <f>A43&amp;" - Electricity - Room - Existing"</f>
        <v>Commercial - Cooling - Electricity - Room - Existing</v>
      </c>
      <c r="B64" s="343" t="str">
        <f>D64&amp;RIGHT(C64,3)&amp;"ROOM-E"</f>
        <v>CNCELCROOM-E</v>
      </c>
      <c r="C64" s="346" t="str">
        <f t="shared" si="18"/>
        <v>COMELC</v>
      </c>
      <c r="D64" s="346" t="str">
        <f t="shared" si="19"/>
        <v>CNC</v>
      </c>
      <c r="E64" s="347">
        <f>Appliances!G59</f>
        <v>2</v>
      </c>
      <c r="F64" s="382">
        <f>SUMIF(AFA!$B$2:$J$2,D64,AFA!$B$4:$J$4)</f>
        <v>0.79849999999999999</v>
      </c>
      <c r="G64" s="348">
        <v>15</v>
      </c>
      <c r="H64" s="349">
        <f>(N64/F64)*(1+$H$55)</f>
        <v>0</v>
      </c>
      <c r="I64" s="349">
        <f>COM_2012!I64</f>
        <v>49.654804773986427</v>
      </c>
      <c r="J64" s="349">
        <f>COM_2012!J64</f>
        <v>4.9654804773986427</v>
      </c>
      <c r="L64" s="350">
        <v>0</v>
      </c>
      <c r="M64" s="349">
        <f>L64*SUMIF($C$6:$J$6,C64,$C$43:$J$43)</f>
        <v>0</v>
      </c>
      <c r="N64" s="349">
        <f>M64*E64</f>
        <v>0</v>
      </c>
      <c r="O64" s="307"/>
      <c r="P64" s="479">
        <f>COM_2012!P64</f>
        <v>0.12975265017667845</v>
      </c>
      <c r="Q64" s="411">
        <f t="shared" si="22"/>
        <v>0.12975265017667845</v>
      </c>
      <c r="R64" s="411"/>
      <c r="S64" s="411">
        <f t="shared" si="22"/>
        <v>0.22975265017667845</v>
      </c>
      <c r="T64" s="411">
        <f t="shared" si="22"/>
        <v>0.30975265017667841</v>
      </c>
      <c r="U64" s="411">
        <f t="shared" si="20"/>
        <v>0.37975265017667847</v>
      </c>
      <c r="V64" s="411">
        <f t="shared" si="20"/>
        <v>0.42975265017667841</v>
      </c>
      <c r="W64" s="411">
        <f t="shared" si="20"/>
        <v>0.5297526501766785</v>
      </c>
      <c r="X64" s="411">
        <f t="shared" si="20"/>
        <v>0.57975265017667843</v>
      </c>
      <c r="Y64" s="411">
        <f t="shared" si="20"/>
        <v>0.62975265017667847</v>
      </c>
      <c r="AA64" s="410">
        <f>P64/(1+$P$56+$AA$56)</f>
        <v>0.12476216363142158</v>
      </c>
      <c r="AB64" s="411">
        <f t="shared" si="24"/>
        <v>9.980973090513727E-2</v>
      </c>
      <c r="AC64" s="411"/>
      <c r="AD64" s="411">
        <f t="shared" si="24"/>
        <v>4.9904865452568635E-2</v>
      </c>
      <c r="AE64" s="411">
        <f t="shared" si="24"/>
        <v>3.7428649089426475E-2</v>
      </c>
      <c r="AF64" s="411">
        <f t="shared" si="21"/>
        <v>3.1190540907855394E-2</v>
      </c>
      <c r="AG64" s="411">
        <f t="shared" si="21"/>
        <v>2.4952432726284317E-2</v>
      </c>
      <c r="AH64" s="411">
        <f t="shared" si="21"/>
        <v>1.8714324544713237E-2</v>
      </c>
      <c r="AI64" s="411">
        <f t="shared" si="21"/>
        <v>1.2476216363142159E-2</v>
      </c>
      <c r="AJ64" s="411">
        <f t="shared" si="21"/>
        <v>6.2381081815710794E-3</v>
      </c>
      <c r="AK64" s="307">
        <f t="shared" ref="AK64:AK121" si="26">AK63+1</f>
        <v>4</v>
      </c>
      <c r="AL64" s="307"/>
      <c r="AM64" s="307"/>
      <c r="AN64" s="389">
        <f t="shared" si="25"/>
        <v>0.25950530035335689</v>
      </c>
      <c r="AO64" s="389"/>
    </row>
    <row r="65" spans="1:41" ht="15.75" customHeight="1">
      <c r="A65" s="343" t="str">
        <f>A43&amp;" - Electricity - Central - New"</f>
        <v>Commercial - Cooling - Electricity - Central - New</v>
      </c>
      <c r="B65" s="343" t="str">
        <f>D65&amp;RIGHT(C65,3)&amp;"CEN-N"</f>
        <v>CNCELCCEN-N</v>
      </c>
      <c r="C65" s="346" t="str">
        <f t="shared" si="18"/>
        <v>COMELC</v>
      </c>
      <c r="D65" s="346" t="str">
        <f t="shared" si="19"/>
        <v>CNC</v>
      </c>
      <c r="E65" s="347">
        <f>(0.19/0.17)*E62</f>
        <v>3.3529411764705883</v>
      </c>
      <c r="F65" s="382">
        <f>SUMIF(AFA!$B$2:$J$2,D65,AFA!$B$4:$J$4)</f>
        <v>0.79849999999999999</v>
      </c>
      <c r="G65" s="348">
        <f>G62</f>
        <v>15</v>
      </c>
      <c r="H65" s="349">
        <v>0</v>
      </c>
      <c r="I65" s="349">
        <f>COM_2012!I65</f>
        <v>244.61608495261538</v>
      </c>
      <c r="J65" s="349">
        <f>COM_2012!J65</f>
        <v>9.1486415772278153</v>
      </c>
      <c r="L65" s="350">
        <v>0</v>
      </c>
      <c r="M65" s="349">
        <v>0</v>
      </c>
      <c r="N65" s="349">
        <v>0</v>
      </c>
      <c r="O65" s="307"/>
      <c r="P65" s="479">
        <f>COM_2012!P65</f>
        <v>0</v>
      </c>
      <c r="Q65" s="411">
        <f t="shared" si="22"/>
        <v>0</v>
      </c>
      <c r="R65" s="411"/>
      <c r="S65" s="411">
        <f t="shared" si="22"/>
        <v>0.1</v>
      </c>
      <c r="T65" s="411">
        <f t="shared" si="22"/>
        <v>0.18</v>
      </c>
      <c r="U65" s="411">
        <f t="shared" si="20"/>
        <v>0.25</v>
      </c>
      <c r="V65" s="411">
        <f t="shared" si="20"/>
        <v>0.3</v>
      </c>
      <c r="W65" s="411">
        <f t="shared" si="20"/>
        <v>0.4</v>
      </c>
      <c r="X65" s="411">
        <f t="shared" si="20"/>
        <v>0.45</v>
      </c>
      <c r="Y65" s="411">
        <f t="shared" si="20"/>
        <v>0.5</v>
      </c>
      <c r="AA65" s="410">
        <f t="shared" si="23"/>
        <v>0</v>
      </c>
      <c r="AB65" s="411">
        <f t="shared" si="24"/>
        <v>0</v>
      </c>
      <c r="AC65" s="411"/>
      <c r="AD65" s="411">
        <f t="shared" si="24"/>
        <v>0</v>
      </c>
      <c r="AE65" s="411">
        <f t="shared" si="24"/>
        <v>0</v>
      </c>
      <c r="AF65" s="411">
        <f t="shared" si="21"/>
        <v>0</v>
      </c>
      <c r="AG65" s="411">
        <f t="shared" si="21"/>
        <v>0</v>
      </c>
      <c r="AH65" s="411">
        <f t="shared" si="21"/>
        <v>0</v>
      </c>
      <c r="AI65" s="411">
        <f t="shared" si="21"/>
        <v>0</v>
      </c>
      <c r="AJ65" s="411">
        <f t="shared" si="21"/>
        <v>0</v>
      </c>
      <c r="AK65" s="307">
        <f t="shared" si="26"/>
        <v>5</v>
      </c>
      <c r="AL65" s="307"/>
      <c r="AM65" s="307"/>
      <c r="AN65" s="389">
        <f t="shared" si="25"/>
        <v>0</v>
      </c>
      <c r="AO65" s="389"/>
    </row>
    <row r="66" spans="1:41" ht="15.75" customHeight="1">
      <c r="A66" s="343" t="str">
        <f>A43&amp;" - Electricity - Heat Pump - New"</f>
        <v>Commercial - Cooling - Electricity - Heat Pump - New</v>
      </c>
      <c r="B66" s="343" t="str">
        <f>D66&amp;RIGHT(C66,3)&amp;"HP-N"</f>
        <v>CNCELCHP-N</v>
      </c>
      <c r="C66" s="346" t="str">
        <f t="shared" si="18"/>
        <v>COMELC</v>
      </c>
      <c r="D66" s="346" t="str">
        <f t="shared" si="19"/>
        <v>CNC</v>
      </c>
      <c r="E66" s="347">
        <f>(3.4/3.52)*E65</f>
        <v>3.2386363636363633</v>
      </c>
      <c r="F66" s="382">
        <f>SUMIF(AFA!$B$2:$J$2,D66,AFA!$B$4:$J$4)</f>
        <v>0.79849999999999999</v>
      </c>
      <c r="G66" s="348">
        <v>15</v>
      </c>
      <c r="H66" s="349">
        <v>0</v>
      </c>
      <c r="I66" s="349">
        <f>COM_2012!I66</f>
        <v>261.24997872939326</v>
      </c>
      <c r="J66" s="349">
        <f>COM_2012!J66</f>
        <v>12.475420332583383</v>
      </c>
      <c r="L66" s="350">
        <v>0</v>
      </c>
      <c r="M66" s="349">
        <v>0</v>
      </c>
      <c r="N66" s="349">
        <v>0</v>
      </c>
      <c r="O66" s="307"/>
      <c r="P66" s="479">
        <f>COM_2012!P66</f>
        <v>0</v>
      </c>
      <c r="Q66" s="411">
        <f t="shared" si="22"/>
        <v>0</v>
      </c>
      <c r="R66" s="411"/>
      <c r="S66" s="411">
        <f t="shared" si="22"/>
        <v>0.1</v>
      </c>
      <c r="T66" s="411">
        <f t="shared" si="22"/>
        <v>0.18</v>
      </c>
      <c r="U66" s="411">
        <f>MIN(1,$P66+U$54)</f>
        <v>0.25</v>
      </c>
      <c r="V66" s="411">
        <f>MIN(1,$P66+V$54)</f>
        <v>0.3</v>
      </c>
      <c r="W66" s="411">
        <f>MIN(1,$P66+W$54)</f>
        <v>0.4</v>
      </c>
      <c r="X66" s="411">
        <f>MIN(1,$P66+X$54)</f>
        <v>0.45</v>
      </c>
      <c r="Y66" s="411">
        <f t="shared" si="20"/>
        <v>0.5</v>
      </c>
      <c r="AA66" s="410">
        <f t="shared" si="23"/>
        <v>0</v>
      </c>
      <c r="AB66" s="411">
        <f t="shared" si="24"/>
        <v>0</v>
      </c>
      <c r="AC66" s="411"/>
      <c r="AD66" s="411">
        <f t="shared" si="24"/>
        <v>0</v>
      </c>
      <c r="AE66" s="411">
        <f t="shared" si="24"/>
        <v>0</v>
      </c>
      <c r="AF66" s="411">
        <f t="shared" si="21"/>
        <v>0</v>
      </c>
      <c r="AG66" s="411">
        <f t="shared" si="21"/>
        <v>0</v>
      </c>
      <c r="AH66" s="411">
        <f t="shared" si="21"/>
        <v>0</v>
      </c>
      <c r="AI66" s="411">
        <f t="shared" si="21"/>
        <v>0</v>
      </c>
      <c r="AJ66" s="411">
        <f t="shared" si="21"/>
        <v>0</v>
      </c>
      <c r="AK66" s="307">
        <f t="shared" si="26"/>
        <v>6</v>
      </c>
      <c r="AL66" s="307"/>
      <c r="AM66" s="307"/>
      <c r="AN66" s="389">
        <f t="shared" si="25"/>
        <v>0</v>
      </c>
      <c r="AO66" s="389"/>
    </row>
    <row r="67" spans="1:41" ht="15">
      <c r="A67" s="352" t="s">
        <v>704</v>
      </c>
      <c r="B67" s="343"/>
      <c r="C67" s="353"/>
      <c r="D67" s="353"/>
      <c r="E67" s="354"/>
      <c r="F67" s="382"/>
      <c r="G67" s="344"/>
      <c r="H67" s="353">
        <f>SUM(H61:H64)/4</f>
        <v>0</v>
      </c>
      <c r="I67" s="349"/>
      <c r="J67" s="349"/>
      <c r="L67" s="355">
        <f>SUM(L61:L64)</f>
        <v>0</v>
      </c>
      <c r="M67" s="356">
        <f>SUM(M61:M64)</f>
        <v>0</v>
      </c>
      <c r="N67" s="356">
        <f>SUM(N61:N64)</f>
        <v>0</v>
      </c>
      <c r="O67" s="307"/>
      <c r="P67" s="479"/>
      <c r="Q67" s="307"/>
      <c r="R67" s="307"/>
      <c r="S67" s="307"/>
      <c r="T67" s="307"/>
      <c r="U67" s="307"/>
      <c r="V67" s="307"/>
      <c r="W67" s="307"/>
      <c r="X67" s="307"/>
      <c r="Y67" s="307"/>
      <c r="Z67" s="307"/>
      <c r="AA67" s="307"/>
      <c r="AB67" s="307"/>
      <c r="AC67" s="307"/>
      <c r="AD67" s="307"/>
      <c r="AE67" s="307"/>
      <c r="AF67" s="307"/>
      <c r="AG67" s="307"/>
      <c r="AH67" s="307"/>
      <c r="AI67" s="307"/>
      <c r="AJ67" s="307"/>
      <c r="AK67" s="307">
        <f t="shared" si="26"/>
        <v>7</v>
      </c>
      <c r="AL67" s="307"/>
      <c r="AM67" s="307"/>
      <c r="AN67" s="389">
        <f t="shared" si="25"/>
        <v>0</v>
      </c>
      <c r="AO67" s="389">
        <f>SUM(AN61:AN66)</f>
        <v>2.74643109540636</v>
      </c>
    </row>
    <row r="68" spans="1:41" ht="15">
      <c r="A68" s="343" t="str">
        <f>"\I:"&amp;A44</f>
        <v>\I:Commercial - Space Heating</v>
      </c>
      <c r="B68" s="343"/>
      <c r="C68" s="353"/>
      <c r="D68" s="353"/>
      <c r="E68" s="339"/>
      <c r="F68" s="382"/>
      <c r="G68" s="339"/>
      <c r="H68" s="339"/>
      <c r="I68" s="349"/>
      <c r="J68" s="349"/>
      <c r="K68" s="357"/>
      <c r="L68" s="358"/>
      <c r="M68" s="358"/>
      <c r="N68" s="307"/>
      <c r="O68" s="307"/>
      <c r="P68" s="479"/>
      <c r="Q68" s="307"/>
      <c r="R68" s="307"/>
      <c r="S68" s="307"/>
      <c r="T68" s="307"/>
      <c r="U68" s="307"/>
      <c r="V68" s="307"/>
      <c r="W68" s="307"/>
      <c r="X68" s="307"/>
      <c r="Y68" s="307"/>
      <c r="Z68" s="307"/>
      <c r="AA68" s="307"/>
      <c r="AB68" s="307"/>
      <c r="AC68" s="307"/>
      <c r="AD68" s="307"/>
      <c r="AE68" s="307"/>
      <c r="AF68" s="307"/>
      <c r="AG68" s="307"/>
      <c r="AH68" s="307"/>
      <c r="AI68" s="307"/>
      <c r="AJ68" s="307"/>
      <c r="AK68" s="307">
        <f t="shared" si="26"/>
        <v>8</v>
      </c>
      <c r="AL68" s="307"/>
      <c r="AM68" s="307"/>
      <c r="AN68" s="389">
        <f t="shared" si="25"/>
        <v>0</v>
      </c>
    </row>
    <row r="69" spans="1:41" ht="15">
      <c r="A69" s="343" t="str">
        <f>A$44&amp;" - "&amp;VLOOKUP(RIGHT(C69,3),NameConv!$E$3:$F$16,2,FALSE)&amp;" - Existing"</f>
        <v>Commercial - Space Heating - Coal - Existing</v>
      </c>
      <c r="B69" s="343" t="str">
        <f>D69&amp;RIGHT(C69,3)&amp;"-E"</f>
        <v>CNHCOA-E</v>
      </c>
      <c r="C69" s="346" t="str">
        <f>$C$6</f>
        <v>COMCOA</v>
      </c>
      <c r="D69" s="346" t="str">
        <f>$B$44</f>
        <v>CNH</v>
      </c>
      <c r="E69" s="347">
        <f>Appliances!J14</f>
        <v>0.60000000000000009</v>
      </c>
      <c r="F69" s="382">
        <f>SUMIF(AFA!$B$2:$J$2,D69,AFA!$B$4:$J$4)</f>
        <v>0.48230000000000001</v>
      </c>
      <c r="G69" s="348">
        <v>15</v>
      </c>
      <c r="H69" s="349">
        <f>(N69/F69)*(1+$H$55)</f>
        <v>0</v>
      </c>
      <c r="I69" s="349">
        <f>COM_2012!I69</f>
        <v>179.45037756394217</v>
      </c>
      <c r="J69" s="349">
        <f>COM_2012!J69</f>
        <v>17.945037756394218</v>
      </c>
      <c r="L69" s="350">
        <v>0</v>
      </c>
      <c r="M69" s="349">
        <f>L69*SUMIF($C$6:$J$6,C69,$C$44:$J$44)</f>
        <v>0</v>
      </c>
      <c r="N69" s="349">
        <f>M69*E69</f>
        <v>0</v>
      </c>
      <c r="P69" s="493">
        <f>COM_2012!P69</f>
        <v>0.63615577566920256</v>
      </c>
      <c r="Q69" s="411">
        <f t="shared" ref="Q69:Y72" si="27">MIN(1,$P69+Q$54)</f>
        <v>0.63615577566920256</v>
      </c>
      <c r="R69" s="411"/>
      <c r="S69" s="411">
        <f t="shared" si="27"/>
        <v>0.73615577566920254</v>
      </c>
      <c r="T69" s="411">
        <f t="shared" si="27"/>
        <v>0.81615577566920261</v>
      </c>
      <c r="U69" s="411">
        <f t="shared" si="27"/>
        <v>0.88615577566920256</v>
      </c>
      <c r="V69" s="411">
        <f t="shared" si="27"/>
        <v>0.93615577566920249</v>
      </c>
      <c r="W69" s="411">
        <f t="shared" si="27"/>
        <v>1</v>
      </c>
      <c r="X69" s="411">
        <f t="shared" si="27"/>
        <v>1</v>
      </c>
      <c r="Y69" s="411">
        <f t="shared" si="27"/>
        <v>1</v>
      </c>
      <c r="AA69" s="410">
        <f>P69/(1+$P$56+$AA$56)</f>
        <v>0.61168824583577164</v>
      </c>
      <c r="AB69" s="411">
        <f t="shared" ref="AB69:AJ73" si="28">$AA69*AB$54</f>
        <v>0.48935059666861735</v>
      </c>
      <c r="AC69" s="411"/>
      <c r="AD69" s="411">
        <f t="shared" si="28"/>
        <v>0.24467529833430868</v>
      </c>
      <c r="AE69" s="411">
        <f t="shared" si="28"/>
        <v>0.18350647375073148</v>
      </c>
      <c r="AF69" s="411">
        <f t="shared" si="28"/>
        <v>0.15292206145894291</v>
      </c>
      <c r="AG69" s="411">
        <f t="shared" si="28"/>
        <v>0.12233764916715434</v>
      </c>
      <c r="AH69" s="411">
        <f t="shared" si="28"/>
        <v>9.175323687536574E-2</v>
      </c>
      <c r="AI69" s="411">
        <f t="shared" si="28"/>
        <v>6.1168824583577169E-2</v>
      </c>
      <c r="AJ69" s="411">
        <f t="shared" si="28"/>
        <v>3.0584412291788585E-2</v>
      </c>
      <c r="AK69" s="307">
        <f t="shared" si="26"/>
        <v>9</v>
      </c>
      <c r="AN69" s="389">
        <f t="shared" si="25"/>
        <v>0.3816934654015216</v>
      </c>
    </row>
    <row r="70" spans="1:41" ht="15">
      <c r="A70" s="343" t="str">
        <f>A$44&amp;" - "&amp;VLOOKUP(RIGHT(C70,3),NameConv!$E$3:$F$16,2,FALSE)&amp;" - Existing"</f>
        <v>Commercial - Space Heating - Electricity - Existing</v>
      </c>
      <c r="B70" s="343" t="str">
        <f>D70&amp;RIGHT(C70,3)&amp;"-E"</f>
        <v>CNHELC-E</v>
      </c>
      <c r="C70" s="346" t="str">
        <f>$E$6</f>
        <v>COMELC</v>
      </c>
      <c r="D70" s="346" t="str">
        <f>$B$44</f>
        <v>CNH</v>
      </c>
      <c r="E70" s="347">
        <f>Appliances!J11</f>
        <v>1</v>
      </c>
      <c r="F70" s="382">
        <f>SUMIF(AFA!$B$2:$J$2,D70,AFA!$B$4:$J$4)</f>
        <v>0.48230000000000001</v>
      </c>
      <c r="G70" s="348">
        <v>15</v>
      </c>
      <c r="H70" s="349">
        <f>(N70/F70)*(1+$H$55)</f>
        <v>0</v>
      </c>
      <c r="I70" s="349">
        <f>COM_2012!I70</f>
        <v>31.420618543499238</v>
      </c>
      <c r="J70" s="349">
        <f>COM_2012!J70</f>
        <v>3.1420618543499241</v>
      </c>
      <c r="L70" s="350">
        <v>0</v>
      </c>
      <c r="M70" s="349">
        <f>L70*SUMIF($C$6:$J$6,C70,$C$44:$J$44)</f>
        <v>0</v>
      </c>
      <c r="N70" s="349">
        <f>M70*E70</f>
        <v>0</v>
      </c>
      <c r="P70" s="493">
        <f>COM_2012!P70</f>
        <v>0.38293886686584999</v>
      </c>
      <c r="Q70" s="411">
        <f t="shared" ref="Q70:Y71" si="29">MIN(1,$P70+Q$54)</f>
        <v>0.38293886686584999</v>
      </c>
      <c r="R70" s="411"/>
      <c r="S70" s="411">
        <f t="shared" si="29"/>
        <v>0.48293886686584997</v>
      </c>
      <c r="T70" s="411">
        <f t="shared" si="29"/>
        <v>0.56293886686584993</v>
      </c>
      <c r="U70" s="411">
        <f t="shared" si="29"/>
        <v>0.63293886686584999</v>
      </c>
      <c r="V70" s="411">
        <f t="shared" si="29"/>
        <v>0.68293886686585004</v>
      </c>
      <c r="W70" s="411">
        <f t="shared" si="29"/>
        <v>0.78293886686585001</v>
      </c>
      <c r="X70" s="411">
        <f t="shared" si="29"/>
        <v>0.83293886686584995</v>
      </c>
      <c r="Y70" s="411">
        <f t="shared" si="29"/>
        <v>0.88293886686584999</v>
      </c>
      <c r="AA70" s="410">
        <f>P70/(1+$P$56+$AA$56)</f>
        <v>0.36821044890947113</v>
      </c>
      <c r="AB70" s="411">
        <f t="shared" si="28"/>
        <v>0.2945683591275769</v>
      </c>
      <c r="AC70" s="411"/>
      <c r="AD70" s="411">
        <f t="shared" si="28"/>
        <v>0.14728417956378845</v>
      </c>
      <c r="AE70" s="411">
        <f t="shared" si="28"/>
        <v>0.11046313467284134</v>
      </c>
      <c r="AF70" s="411">
        <f t="shared" si="28"/>
        <v>9.2052612227367783E-2</v>
      </c>
      <c r="AG70" s="411">
        <f t="shared" si="28"/>
        <v>7.3642089781894224E-2</v>
      </c>
      <c r="AH70" s="411">
        <f t="shared" si="28"/>
        <v>5.5231567336420671E-2</v>
      </c>
      <c r="AI70" s="411">
        <f t="shared" si="28"/>
        <v>3.6821044890947112E-2</v>
      </c>
      <c r="AJ70" s="411">
        <f t="shared" si="28"/>
        <v>1.8410522445473556E-2</v>
      </c>
      <c r="AK70" s="307">
        <f t="shared" si="26"/>
        <v>10</v>
      </c>
      <c r="AN70" s="389">
        <f>P70*E70</f>
        <v>0.38293886686584999</v>
      </c>
    </row>
    <row r="71" spans="1:41" s="314" customFormat="1" ht="15">
      <c r="A71" s="343" t="str">
        <f>A$44&amp;" - "&amp;VLOOKUP(RIGHT(C71,3),NameConv!$E$3:$F$16,2,FALSE)&amp;" - Existing"</f>
        <v>Commercial - Space Heating - Gas - Existing</v>
      </c>
      <c r="B71" s="343" t="str">
        <f>D71&amp;RIGHT(C71,3)&amp;"-E"</f>
        <v>CNHGAS-E</v>
      </c>
      <c r="C71" s="346" t="str">
        <f>$F$6</f>
        <v>COMGAS</v>
      </c>
      <c r="D71" s="346" t="str">
        <f>$B$44</f>
        <v>CNH</v>
      </c>
      <c r="E71" s="347">
        <f>Appliances!J16</f>
        <v>0.69</v>
      </c>
      <c r="F71" s="382">
        <f>SUMIF(AFA!$B$2:$J$2,D71,AFA!$B$4:$J$4)</f>
        <v>0.48230000000000001</v>
      </c>
      <c r="G71" s="348">
        <v>15</v>
      </c>
      <c r="H71" s="349">
        <f>(N71/F71)*(1+$H$55)</f>
        <v>0</v>
      </c>
      <c r="I71" s="486">
        <f>I73</f>
        <v>34.864360018767009</v>
      </c>
      <c r="J71" s="349">
        <f t="shared" ref="J71" si="30">I71*0.1</f>
        <v>3.4864360018767009</v>
      </c>
      <c r="L71" s="350">
        <v>0</v>
      </c>
      <c r="M71" s="349">
        <f>L71*SUMIF($C$6:$J$6,C71,$C$44:$J$44)</f>
        <v>0</v>
      </c>
      <c r="N71" s="349">
        <f>M71*E71</f>
        <v>0</v>
      </c>
      <c r="P71" s="493">
        <f>COM_2012!P71</f>
        <v>9.0535746494739208E-4</v>
      </c>
      <c r="Q71" s="411">
        <f t="shared" si="29"/>
        <v>9.0535746494739208E-4</v>
      </c>
      <c r="R71" s="411"/>
      <c r="S71" s="411">
        <f t="shared" si="29"/>
        <v>0.1009053574649474</v>
      </c>
      <c r="T71" s="411">
        <f t="shared" si="29"/>
        <v>0.18090535746494738</v>
      </c>
      <c r="U71" s="411">
        <f t="shared" si="29"/>
        <v>0.25090535746494741</v>
      </c>
      <c r="V71" s="411">
        <f t="shared" si="29"/>
        <v>0.3009053574649474</v>
      </c>
      <c r="W71" s="411">
        <f t="shared" si="29"/>
        <v>0.40090535746494743</v>
      </c>
      <c r="X71" s="411">
        <f t="shared" si="29"/>
        <v>0.45090535746494742</v>
      </c>
      <c r="Y71" s="411">
        <f t="shared" si="29"/>
        <v>0.50090535746494735</v>
      </c>
      <c r="Z71"/>
      <c r="AA71" s="410">
        <f>P71/(1+$P$56+$AA$56)</f>
        <v>8.7053602398787699E-4</v>
      </c>
      <c r="AB71" s="411">
        <f t="shared" si="28"/>
        <v>6.9642881919030166E-4</v>
      </c>
      <c r="AC71" s="411"/>
      <c r="AD71" s="411">
        <f t="shared" si="28"/>
        <v>3.4821440959515083E-4</v>
      </c>
      <c r="AE71" s="411">
        <f t="shared" si="28"/>
        <v>2.6116080719636311E-4</v>
      </c>
      <c r="AF71" s="411">
        <f t="shared" si="28"/>
        <v>2.1763400599696925E-4</v>
      </c>
      <c r="AG71" s="411">
        <f t="shared" si="28"/>
        <v>1.7410720479757542E-4</v>
      </c>
      <c r="AH71" s="411">
        <f t="shared" si="28"/>
        <v>1.3058040359818155E-4</v>
      </c>
      <c r="AI71" s="411">
        <f t="shared" si="28"/>
        <v>8.7053602398787708E-5</v>
      </c>
      <c r="AJ71" s="411">
        <f t="shared" si="28"/>
        <v>4.3526801199393854E-5</v>
      </c>
      <c r="AK71" s="314">
        <f t="shared" si="26"/>
        <v>11</v>
      </c>
      <c r="AN71" s="389">
        <f t="shared" ref="AN71:AN98" si="31">P71*E71</f>
        <v>6.2469665081370045E-4</v>
      </c>
    </row>
    <row r="72" spans="1:41" ht="15">
      <c r="A72" s="343" t="str">
        <f>A$44&amp;" - "&amp;VLOOKUP(RIGHT(C72,3),NameConv!$E$3:$F$16,2,FALSE)&amp;" - New"</f>
        <v>Commercial - Space Heating - Electricity - New</v>
      </c>
      <c r="B72" s="343" t="str">
        <f>D72&amp;RIGHT(C72,3)&amp;"-N"</f>
        <v>CNHELC-N</v>
      </c>
      <c r="C72" s="346" t="str">
        <f>$E$6</f>
        <v>COMELC</v>
      </c>
      <c r="D72" s="346" t="str">
        <f>$B$44</f>
        <v>CNH</v>
      </c>
      <c r="E72" s="347">
        <f>(3.4/0.96)*E70</f>
        <v>3.5416666666666665</v>
      </c>
      <c r="F72" s="382">
        <f>SUMIF(AFA!$B$2:$J$2,D72,AFA!$B$4:$J$4)</f>
        <v>0.48230000000000001</v>
      </c>
      <c r="G72" s="348">
        <v>15</v>
      </c>
      <c r="H72" s="349">
        <f>(N72/F72)*(1+$H$55)</f>
        <v>0</v>
      </c>
      <c r="I72" s="349">
        <f>COM_2012!I72</f>
        <v>179.45037756394217</v>
      </c>
      <c r="J72" s="349">
        <f>COM_2012!J72</f>
        <v>17.945037756394218</v>
      </c>
      <c r="L72" s="350">
        <v>0</v>
      </c>
      <c r="M72" s="349">
        <v>0</v>
      </c>
      <c r="N72" s="349">
        <v>0</v>
      </c>
      <c r="P72" s="493">
        <f>COM_2012!P72</f>
        <v>0</v>
      </c>
      <c r="Q72" s="411">
        <f t="shared" si="27"/>
        <v>0</v>
      </c>
      <c r="R72" s="411"/>
      <c r="S72" s="411">
        <f t="shared" si="27"/>
        <v>0.1</v>
      </c>
      <c r="T72" s="411">
        <f t="shared" si="27"/>
        <v>0.18</v>
      </c>
      <c r="U72" s="411">
        <f t="shared" si="27"/>
        <v>0.25</v>
      </c>
      <c r="V72" s="411">
        <f t="shared" si="27"/>
        <v>0.3</v>
      </c>
      <c r="W72" s="411">
        <f t="shared" si="27"/>
        <v>0.4</v>
      </c>
      <c r="X72" s="411">
        <f t="shared" si="27"/>
        <v>0.45</v>
      </c>
      <c r="Y72" s="411">
        <f t="shared" si="27"/>
        <v>0.5</v>
      </c>
      <c r="AA72" s="410">
        <f>P72/(1+$P$56+$AA$56)</f>
        <v>0</v>
      </c>
      <c r="AB72" s="411">
        <f t="shared" si="28"/>
        <v>0</v>
      </c>
      <c r="AC72" s="411"/>
      <c r="AD72" s="411">
        <f t="shared" si="28"/>
        <v>0</v>
      </c>
      <c r="AE72" s="411">
        <f t="shared" si="28"/>
        <v>0</v>
      </c>
      <c r="AF72" s="411">
        <f t="shared" si="28"/>
        <v>0</v>
      </c>
      <c r="AG72" s="411">
        <f t="shared" si="28"/>
        <v>0</v>
      </c>
      <c r="AH72" s="411">
        <f t="shared" si="28"/>
        <v>0</v>
      </c>
      <c r="AI72" s="411">
        <f t="shared" si="28"/>
        <v>0</v>
      </c>
      <c r="AJ72" s="411">
        <f t="shared" si="28"/>
        <v>0</v>
      </c>
      <c r="AK72" s="314">
        <f t="shared" si="26"/>
        <v>12</v>
      </c>
      <c r="AN72" s="389">
        <f t="shared" si="31"/>
        <v>0</v>
      </c>
    </row>
    <row r="73" spans="1:41" ht="15">
      <c r="A73" s="343" t="str">
        <f>A$44&amp;" - "&amp;VLOOKUP(RIGHT(C73,3),NameConv!$E$3:$F$16,2,FALSE)&amp;" - New"</f>
        <v>Commercial - Space Heating - Gas - New</v>
      </c>
      <c r="B73" s="343" t="str">
        <f>D73&amp;RIGHT(C73,3)&amp;"-N"</f>
        <v>CNHGAS-N</v>
      </c>
      <c r="C73" s="346" t="str">
        <f>$F$6</f>
        <v>COMGAS</v>
      </c>
      <c r="D73" s="346" t="str">
        <f>$B$44</f>
        <v>CNH</v>
      </c>
      <c r="E73" s="486">
        <f>COM_2012!E73</f>
        <v>0.88</v>
      </c>
      <c r="F73" s="382">
        <f>SUMIF(AFA!$B$2:$J$2,D73,AFA!$B$4:$J$4)</f>
        <v>0.48230000000000001</v>
      </c>
      <c r="G73" s="487">
        <v>15</v>
      </c>
      <c r="H73" s="488">
        <f>(N73/F73)*(1+$H$55)</f>
        <v>0</v>
      </c>
      <c r="I73" s="488">
        <f>COM_2012!I73</f>
        <v>34.864360018767009</v>
      </c>
      <c r="J73" s="488">
        <f>COM_2012!J73</f>
        <v>3.4864360018767009</v>
      </c>
      <c r="L73" s="350">
        <v>0</v>
      </c>
      <c r="M73" s="349">
        <v>0</v>
      </c>
      <c r="N73" s="349">
        <v>0</v>
      </c>
      <c r="P73" s="493">
        <f>COM_2012!P73</f>
        <v>0</v>
      </c>
      <c r="Q73" s="411">
        <f t="shared" ref="Q73:Y73" si="32">MIN(1,$P73+Q$54)</f>
        <v>0</v>
      </c>
      <c r="R73" s="411"/>
      <c r="S73" s="411">
        <f t="shared" si="32"/>
        <v>0.1</v>
      </c>
      <c r="T73" s="411">
        <f t="shared" si="32"/>
        <v>0.18</v>
      </c>
      <c r="U73" s="411">
        <f t="shared" si="32"/>
        <v>0.25</v>
      </c>
      <c r="V73" s="411">
        <f t="shared" si="32"/>
        <v>0.3</v>
      </c>
      <c r="W73" s="411">
        <f t="shared" si="32"/>
        <v>0.4</v>
      </c>
      <c r="X73" s="411">
        <f t="shared" si="32"/>
        <v>0.45</v>
      </c>
      <c r="Y73" s="411">
        <f t="shared" si="32"/>
        <v>0.5</v>
      </c>
      <c r="AA73" s="410">
        <f>P73/(1+$P$56+$AA$56)</f>
        <v>0</v>
      </c>
      <c r="AB73" s="411">
        <f t="shared" si="28"/>
        <v>0</v>
      </c>
      <c r="AC73" s="411"/>
      <c r="AD73" s="411">
        <f t="shared" si="28"/>
        <v>0</v>
      </c>
      <c r="AE73" s="411">
        <f t="shared" si="28"/>
        <v>0</v>
      </c>
      <c r="AF73" s="411">
        <f t="shared" si="28"/>
        <v>0</v>
      </c>
      <c r="AG73" s="411">
        <f t="shared" si="28"/>
        <v>0</v>
      </c>
      <c r="AH73" s="411">
        <f t="shared" si="28"/>
        <v>0</v>
      </c>
      <c r="AI73" s="411">
        <f t="shared" si="28"/>
        <v>0</v>
      </c>
      <c r="AJ73" s="411">
        <f t="shared" si="28"/>
        <v>0</v>
      </c>
      <c r="AK73" s="314">
        <f t="shared" si="26"/>
        <v>13</v>
      </c>
      <c r="AN73" s="389">
        <f t="shared" si="31"/>
        <v>0</v>
      </c>
    </row>
    <row r="74" spans="1:41" ht="15">
      <c r="A74" s="352" t="s">
        <v>704</v>
      </c>
      <c r="F74" s="382"/>
      <c r="I74" s="349"/>
      <c r="J74" s="349"/>
      <c r="L74" s="359"/>
      <c r="M74" s="356">
        <f>SUM(M69:M70)</f>
        <v>0</v>
      </c>
      <c r="N74" s="356">
        <f>SUM(N69:N70)</f>
        <v>0</v>
      </c>
      <c r="P74" s="479"/>
      <c r="AK74" s="314">
        <f t="shared" si="26"/>
        <v>14</v>
      </c>
      <c r="AN74" s="389">
        <f t="shared" si="31"/>
        <v>0</v>
      </c>
      <c r="AO74" s="389">
        <f>SUM(AN69:AN72)</f>
        <v>0.76525702891818526</v>
      </c>
    </row>
    <row r="75" spans="1:41" ht="15">
      <c r="A75" s="343" t="str">
        <f>"\I:"&amp;A45</f>
        <v>\I:Commercial - Cooking</v>
      </c>
      <c r="B75" s="343"/>
      <c r="C75" s="353"/>
      <c r="D75" s="353"/>
      <c r="E75" s="339"/>
      <c r="F75" s="382"/>
      <c r="G75" s="339"/>
      <c r="H75" s="339"/>
      <c r="I75" s="349"/>
      <c r="J75" s="349"/>
      <c r="K75" s="357"/>
      <c r="L75" s="358"/>
      <c r="M75" s="358"/>
      <c r="N75" s="307"/>
      <c r="O75" s="307"/>
      <c r="P75" s="479"/>
      <c r="Q75" s="307"/>
      <c r="R75" s="307"/>
      <c r="S75" s="307"/>
      <c r="T75" s="307"/>
      <c r="U75" s="307"/>
      <c r="V75" s="307"/>
      <c r="W75" s="307"/>
      <c r="X75" s="307"/>
      <c r="Y75" s="307"/>
      <c r="Z75" s="307"/>
      <c r="AA75" s="307"/>
      <c r="AB75" s="307"/>
      <c r="AC75" s="307"/>
      <c r="AD75" s="307"/>
      <c r="AE75" s="307"/>
      <c r="AF75" s="307"/>
      <c r="AG75" s="307"/>
      <c r="AH75" s="307"/>
      <c r="AI75" s="307"/>
      <c r="AJ75" s="307"/>
      <c r="AK75" s="314">
        <f t="shared" si="26"/>
        <v>15</v>
      </c>
      <c r="AL75" s="307"/>
      <c r="AM75" s="307"/>
      <c r="AN75" s="389">
        <f t="shared" si="31"/>
        <v>0</v>
      </c>
    </row>
    <row r="76" spans="1:41" ht="15">
      <c r="A76" s="343" t="str">
        <f>A$45&amp;" - "&amp;VLOOKUP(RIGHT(C76,3),NameConv!$E$3:$F$16,2,FALSE)&amp;" - Existing"</f>
        <v>Commercial - Cooking - Oil LPG - Existing</v>
      </c>
      <c r="B76" s="343" t="str">
        <f>D76&amp;RIGHT(C76,3)&amp;"-E"</f>
        <v>CNKOLP-E</v>
      </c>
      <c r="C76" s="346" t="str">
        <f>$J$6</f>
        <v>COMOLP</v>
      </c>
      <c r="D76" s="346" t="str">
        <f>$B$45</f>
        <v>CNK</v>
      </c>
      <c r="E76" s="347">
        <f>Appliances!G34</f>
        <v>0.9</v>
      </c>
      <c r="F76" s="382">
        <f>SUMIF(AFA!$B$2:$J$2,D76,AFA!$B$4:$J$4)</f>
        <v>0.68689999999999996</v>
      </c>
      <c r="G76" s="348">
        <v>15</v>
      </c>
      <c r="H76" s="349">
        <f>(N76/F76)*(1+$H$55)</f>
        <v>0</v>
      </c>
      <c r="I76" s="349">
        <f>COM_2012!I76</f>
        <v>176.62153776607363</v>
      </c>
      <c r="J76" s="349">
        <f>COM_2012!J76</f>
        <v>17.662153776607365</v>
      </c>
      <c r="L76" s="350">
        <v>0</v>
      </c>
      <c r="M76" s="349">
        <f>L76*SUMIF($C$6:$J$6,C76,$C$45:$J$45)</f>
        <v>0</v>
      </c>
      <c r="N76" s="349">
        <f>M76*E76</f>
        <v>0</v>
      </c>
      <c r="P76" s="479">
        <f>COM_2012!P76</f>
        <v>3.7822397751343918E-2</v>
      </c>
      <c r="Q76" s="411">
        <f t="shared" ref="Q76:Y76" si="33">MIN(1,$P76+Q$54)</f>
        <v>3.7822397751343918E-2</v>
      </c>
      <c r="R76" s="411"/>
      <c r="S76" s="411">
        <f t="shared" si="33"/>
        <v>0.13782239775134392</v>
      </c>
      <c r="T76" s="411">
        <f t="shared" si="33"/>
        <v>0.2178223977513439</v>
      </c>
      <c r="U76" s="411">
        <f t="shared" si="33"/>
        <v>0.28782239775134394</v>
      </c>
      <c r="V76" s="411">
        <f t="shared" si="33"/>
        <v>0.33782239775134393</v>
      </c>
      <c r="W76" s="411">
        <f t="shared" si="33"/>
        <v>0.43782239775134396</v>
      </c>
      <c r="X76" s="411">
        <f t="shared" si="33"/>
        <v>0.48782239775134395</v>
      </c>
      <c r="Y76" s="411">
        <f t="shared" si="33"/>
        <v>0.53782239775134388</v>
      </c>
      <c r="AA76" s="410">
        <f>P76/(1+$P$56+$AA$56)</f>
        <v>3.6367690145522998E-2</v>
      </c>
      <c r="AB76" s="411">
        <f t="shared" ref="AB76:AJ76" si="34">$AA76*AB$54</f>
        <v>2.9094152116418401E-2</v>
      </c>
      <c r="AC76" s="411"/>
      <c r="AD76" s="411">
        <f t="shared" si="34"/>
        <v>1.45470760582092E-2</v>
      </c>
      <c r="AE76" s="411">
        <f t="shared" si="34"/>
        <v>1.0910307043656899E-2</v>
      </c>
      <c r="AF76" s="411">
        <f t="shared" si="34"/>
        <v>9.0919225363807494E-3</v>
      </c>
      <c r="AG76" s="411">
        <f t="shared" si="34"/>
        <v>7.2735380291046002E-3</v>
      </c>
      <c r="AH76" s="411">
        <f t="shared" si="34"/>
        <v>5.4551535218284493E-3</v>
      </c>
      <c r="AI76" s="411">
        <f t="shared" si="34"/>
        <v>3.6367690145523001E-3</v>
      </c>
      <c r="AJ76" s="411">
        <f t="shared" si="34"/>
        <v>1.8183845072761501E-3</v>
      </c>
      <c r="AK76" s="314">
        <f t="shared" si="26"/>
        <v>16</v>
      </c>
      <c r="AN76" s="389">
        <f t="shared" si="31"/>
        <v>3.4040157976209524E-2</v>
      </c>
      <c r="AO76" s="389">
        <f>AN76</f>
        <v>3.4040157976209524E-2</v>
      </c>
    </row>
    <row r="77" spans="1:41" s="314" customFormat="1" ht="15">
      <c r="A77" s="343" t="str">
        <f>A$45&amp;" - "&amp;VLOOKUP(RIGHT(C77,3),NameConv!$E$3:$F$16,2,FALSE)&amp;" - Existing"</f>
        <v>Commercial - Cooking - Electricity - Existing</v>
      </c>
      <c r="B77" s="343" t="str">
        <f t="shared" ref="B77:B78" si="35">D77&amp;RIGHT(C77,3)&amp;"-E"</f>
        <v>CNKELC-E</v>
      </c>
      <c r="C77" s="346" t="str">
        <f t="shared" ref="C77" si="36">$E$6</f>
        <v>COMELC</v>
      </c>
      <c r="D77" s="346" t="str">
        <f t="shared" ref="D77:D78" si="37">$B$45</f>
        <v>CNK</v>
      </c>
      <c r="E77" s="347">
        <f>Appliances!G33</f>
        <v>1</v>
      </c>
      <c r="F77" s="382">
        <f>SUMIF(AFA!$B$2:$J$2,D77,AFA!$B$4:$J$4)</f>
        <v>0.68689999999999996</v>
      </c>
      <c r="G77" s="348">
        <v>15</v>
      </c>
      <c r="H77" s="349">
        <f t="shared" ref="H77:H78" si="38">(N77/F77)*(1+$H$55)</f>
        <v>0</v>
      </c>
      <c r="I77" s="488">
        <f>I76</f>
        <v>176.62153776607363</v>
      </c>
      <c r="J77" s="349">
        <f t="shared" ref="J77:J78" si="39">I77*0.1</f>
        <v>17.662153776607365</v>
      </c>
      <c r="L77" s="350">
        <v>0</v>
      </c>
      <c r="M77" s="349">
        <f t="shared" ref="M77:M78" si="40">L77*SUMIF($C$6:$J$6,C77,$C$45:$J$45)</f>
        <v>0</v>
      </c>
      <c r="N77" s="349">
        <f t="shared" ref="N77:N78" si="41">M77*E77</f>
        <v>0</v>
      </c>
      <c r="P77" s="479">
        <f>COM_2012!P77</f>
        <v>0.98134847962742833</v>
      </c>
      <c r="Q77" s="411">
        <f t="shared" ref="Q77:Y77" si="42">MIN(1,$P77+Q$54)</f>
        <v>0.98134847962742833</v>
      </c>
      <c r="R77" s="411"/>
      <c r="S77" s="411">
        <f t="shared" si="42"/>
        <v>1</v>
      </c>
      <c r="T77" s="411">
        <f t="shared" si="42"/>
        <v>1</v>
      </c>
      <c r="U77" s="411">
        <f t="shared" si="42"/>
        <v>1</v>
      </c>
      <c r="V77" s="411">
        <f t="shared" si="42"/>
        <v>1</v>
      </c>
      <c r="W77" s="411">
        <f t="shared" si="42"/>
        <v>1</v>
      </c>
      <c r="X77" s="411">
        <f t="shared" si="42"/>
        <v>1</v>
      </c>
      <c r="Y77" s="411">
        <f t="shared" si="42"/>
        <v>1</v>
      </c>
      <c r="Z77"/>
      <c r="AA77" s="410">
        <f t="shared" ref="AA77:AA78" si="43">P77/(1+$P$56+$AA$56)</f>
        <v>0.94360430733406564</v>
      </c>
      <c r="AB77" s="411">
        <f t="shared" ref="AB77:AJ78" si="44">$AA77*AB$54</f>
        <v>0.75488344586725253</v>
      </c>
      <c r="AC77" s="411"/>
      <c r="AD77" s="411">
        <f t="shared" si="44"/>
        <v>0.37744172293362627</v>
      </c>
      <c r="AE77" s="411">
        <f t="shared" si="44"/>
        <v>0.28308129220021966</v>
      </c>
      <c r="AF77" s="411">
        <f t="shared" si="44"/>
        <v>0.23590107683351641</v>
      </c>
      <c r="AG77" s="411">
        <f t="shared" si="44"/>
        <v>0.18872086146681313</v>
      </c>
      <c r="AH77" s="411">
        <f t="shared" si="44"/>
        <v>0.14154064610010983</v>
      </c>
      <c r="AI77" s="411">
        <f t="shared" si="44"/>
        <v>9.4360430733406567E-2</v>
      </c>
      <c r="AJ77" s="411">
        <f t="shared" si="44"/>
        <v>4.7180215366703283E-2</v>
      </c>
      <c r="AK77" s="314">
        <f t="shared" si="26"/>
        <v>17</v>
      </c>
      <c r="AN77" s="390">
        <f t="shared" si="31"/>
        <v>0.98134847962742833</v>
      </c>
      <c r="AO77" s="390"/>
    </row>
    <row r="78" spans="1:41" s="314" customFormat="1" ht="15">
      <c r="A78" s="343" t="str">
        <f>A$45&amp;" - "&amp;VLOOKUP(RIGHT(C78,3),NameConv!$E$3:$F$16,2,FALSE)&amp;" - Existing"</f>
        <v>Commercial - Cooking - Coal - Existing</v>
      </c>
      <c r="B78" s="343" t="str">
        <f t="shared" si="35"/>
        <v>CNKCOA-E</v>
      </c>
      <c r="C78" s="346" t="str">
        <f>$C$6</f>
        <v>COMCOA</v>
      </c>
      <c r="D78" s="346" t="str">
        <f t="shared" si="37"/>
        <v>CNK</v>
      </c>
      <c r="E78" s="347">
        <f>Appliances!G36</f>
        <v>0.75</v>
      </c>
      <c r="F78" s="382">
        <f>SUMIF(AFA!$B$2:$J$2,D78,AFA!$B$4:$J$4)</f>
        <v>0.68689999999999996</v>
      </c>
      <c r="G78" s="348">
        <v>15</v>
      </c>
      <c r="H78" s="349">
        <f t="shared" si="38"/>
        <v>0</v>
      </c>
      <c r="I78" s="488">
        <f>I77</f>
        <v>176.62153776607363</v>
      </c>
      <c r="J78" s="349">
        <f t="shared" si="39"/>
        <v>17.662153776607365</v>
      </c>
      <c r="L78" s="350">
        <v>0</v>
      </c>
      <c r="M78" s="349">
        <f t="shared" si="40"/>
        <v>0</v>
      </c>
      <c r="N78" s="349">
        <f t="shared" si="41"/>
        <v>0</v>
      </c>
      <c r="P78" s="479">
        <f>COM_2012!P78</f>
        <v>8.2912262122784278E-4</v>
      </c>
      <c r="Q78" s="411">
        <f>P78+0.1%</f>
        <v>1.8291226212278429E-3</v>
      </c>
      <c r="R78" s="411"/>
      <c r="S78" s="411">
        <f>Q78+0.1%</f>
        <v>2.8291226212278429E-3</v>
      </c>
      <c r="T78" s="411">
        <f t="shared" ref="T78:Y78" si="45">S78+0.1%</f>
        <v>3.8291226212278429E-3</v>
      </c>
      <c r="U78" s="411">
        <f t="shared" si="45"/>
        <v>4.8291226212278434E-3</v>
      </c>
      <c r="V78" s="411">
        <f t="shared" si="45"/>
        <v>5.8291226212278434E-3</v>
      </c>
      <c r="W78" s="411">
        <f t="shared" si="45"/>
        <v>6.8291226212278434E-3</v>
      </c>
      <c r="X78" s="411">
        <f t="shared" si="45"/>
        <v>7.8291226212278443E-3</v>
      </c>
      <c r="Y78" s="411">
        <f t="shared" si="45"/>
        <v>8.8291226212278452E-3</v>
      </c>
      <c r="Z78"/>
      <c r="AA78" s="410">
        <f t="shared" si="43"/>
        <v>7.9723328964215645E-4</v>
      </c>
      <c r="AB78" s="411">
        <f t="shared" si="44"/>
        <v>6.3778663171372516E-4</v>
      </c>
      <c r="AC78" s="411"/>
      <c r="AD78" s="411">
        <f t="shared" si="44"/>
        <v>3.1889331585686258E-4</v>
      </c>
      <c r="AE78" s="411">
        <f t="shared" si="44"/>
        <v>2.3916998689264694E-4</v>
      </c>
      <c r="AF78" s="411">
        <f t="shared" si="44"/>
        <v>1.9930832241053911E-4</v>
      </c>
      <c r="AG78" s="411">
        <f t="shared" si="44"/>
        <v>1.5944665792843129E-4</v>
      </c>
      <c r="AH78" s="411">
        <f t="shared" si="44"/>
        <v>1.1958499344632347E-4</v>
      </c>
      <c r="AI78" s="411">
        <f t="shared" si="44"/>
        <v>7.9723328964215645E-5</v>
      </c>
      <c r="AJ78" s="411">
        <f t="shared" si="44"/>
        <v>3.9861664482107823E-5</v>
      </c>
      <c r="AK78" s="314">
        <f t="shared" si="26"/>
        <v>18</v>
      </c>
      <c r="AN78" s="390">
        <f t="shared" si="31"/>
        <v>6.2184196592088205E-4</v>
      </c>
      <c r="AO78" s="390"/>
    </row>
    <row r="79" spans="1:41" ht="15">
      <c r="A79" s="352" t="s">
        <v>704</v>
      </c>
      <c r="F79" s="382"/>
      <c r="I79" s="349"/>
      <c r="J79" s="349"/>
      <c r="L79" s="359"/>
      <c r="M79" s="356"/>
      <c r="N79" s="356"/>
      <c r="P79" s="479"/>
      <c r="AK79" s="314">
        <f t="shared" si="26"/>
        <v>19</v>
      </c>
      <c r="AN79" s="389">
        <f t="shared" si="31"/>
        <v>0</v>
      </c>
    </row>
    <row r="80" spans="1:41" ht="15">
      <c r="A80" s="343" t="str">
        <f>"\I:"&amp;A46</f>
        <v>\I:Commercial - Lighting</v>
      </c>
      <c r="B80" s="343"/>
      <c r="C80" s="353"/>
      <c r="D80" s="353"/>
      <c r="E80" s="339"/>
      <c r="F80" s="382"/>
      <c r="G80" s="339"/>
      <c r="H80" s="339"/>
      <c r="I80" s="349"/>
      <c r="J80" s="349"/>
      <c r="K80" s="357"/>
      <c r="L80" s="358"/>
      <c r="M80" s="358"/>
      <c r="N80" s="307"/>
      <c r="O80" s="307"/>
      <c r="P80" s="479"/>
      <c r="Q80" s="307"/>
      <c r="R80" s="307"/>
      <c r="S80" s="307"/>
      <c r="T80" s="307"/>
      <c r="U80" s="307"/>
      <c r="V80" s="307"/>
      <c r="W80" s="307"/>
      <c r="X80" s="307"/>
      <c r="Y80" s="307"/>
      <c r="Z80" s="307"/>
      <c r="AA80" s="307"/>
      <c r="AB80" s="307"/>
      <c r="AC80" s="307"/>
      <c r="AD80" s="307"/>
      <c r="AE80" s="307"/>
      <c r="AF80" s="307"/>
      <c r="AG80" s="307"/>
      <c r="AH80" s="307"/>
      <c r="AI80" s="307"/>
      <c r="AJ80" s="307"/>
      <c r="AK80" s="314">
        <f t="shared" si="26"/>
        <v>20</v>
      </c>
      <c r="AL80" s="307"/>
      <c r="AM80" s="307"/>
      <c r="AN80" s="389">
        <f t="shared" si="31"/>
        <v>0</v>
      </c>
    </row>
    <row r="81" spans="1:41" ht="15">
      <c r="A81" s="343" t="str">
        <f>A$46&amp;" - "&amp;VLOOKUP(RIGHT(C81,3),NameConv!$E$3:$F$16,2,FALSE)&amp;" - CFL - Existing"</f>
        <v>Commercial - Lighting - Electricity - CFL - Existing</v>
      </c>
      <c r="B81" s="343" t="str">
        <f>D81&amp;RIGHT(C81,3)&amp;"CFL-E"</f>
        <v>CNLELCCFL-E</v>
      </c>
      <c r="C81" s="346" t="str">
        <f t="shared" ref="C81:C86" si="46">$E$6</f>
        <v>COMELC</v>
      </c>
      <c r="D81" s="346" t="str">
        <f t="shared" ref="D81:D86" si="47">$B$46</f>
        <v>CNL</v>
      </c>
      <c r="E81" s="347">
        <f>Appliances!G68</f>
        <v>4</v>
      </c>
      <c r="F81" s="382">
        <f>SUMIF(AFA!$B$2:$J$2,D81,AFA!$B$4:$J$4)</f>
        <v>0.55200000000000005</v>
      </c>
      <c r="G81" s="348">
        <v>5</v>
      </c>
      <c r="H81" s="349">
        <f>(N81/F81)*(1+$H$55)</f>
        <v>0</v>
      </c>
      <c r="I81" s="349">
        <f>COM_2012!I81</f>
        <v>2.5202184369189848</v>
      </c>
      <c r="J81" s="349">
        <f>COM_2012!J81</f>
        <v>0.25202184369189851</v>
      </c>
      <c r="L81" s="350">
        <v>0</v>
      </c>
      <c r="M81" s="349">
        <f>L81*SUMIF($C$6:$J$6,C81,$C$46:$J$46)</f>
        <v>0</v>
      </c>
      <c r="N81" s="349">
        <f>M81*E81</f>
        <v>0</v>
      </c>
      <c r="P81" s="479">
        <f>COM_2012!P81</f>
        <v>5.3802197802197797E-2</v>
      </c>
      <c r="Q81" s="411">
        <f t="shared" ref="Q81:Y86" si="48">MIN(1,$P81+Q$54)</f>
        <v>5.3802197802197797E-2</v>
      </c>
      <c r="R81" s="411"/>
      <c r="S81" s="411">
        <f t="shared" si="48"/>
        <v>0.15380219780219781</v>
      </c>
      <c r="T81" s="411">
        <f t="shared" si="48"/>
        <v>0.2338021978021978</v>
      </c>
      <c r="U81" s="411">
        <f>MIN(1,$P81+U$54)</f>
        <v>0.3038021978021978</v>
      </c>
      <c r="V81" s="411">
        <f>MIN(1,$P81+V$54)</f>
        <v>0.35380219780219779</v>
      </c>
      <c r="W81" s="411">
        <f>MIN(1,$P81+W$54)</f>
        <v>0.45380219780219783</v>
      </c>
      <c r="X81" s="411">
        <f>MIN(1,$P81+X$54)</f>
        <v>0.50380219780219782</v>
      </c>
      <c r="Y81" s="411">
        <f t="shared" si="48"/>
        <v>0.55380219780219775</v>
      </c>
      <c r="AA81" s="410">
        <f t="shared" ref="AA81:AA86" si="49">P81/(1+$P$56+$AA$56)</f>
        <v>5.1732882502113262E-2</v>
      </c>
      <c r="AB81" s="411">
        <f t="shared" ref="AB81:AJ86" si="50">$AA81*AB$54</f>
        <v>4.1386306001690611E-2</v>
      </c>
      <c r="AC81" s="411"/>
      <c r="AD81" s="411">
        <f t="shared" si="50"/>
        <v>2.0693153000845305E-2</v>
      </c>
      <c r="AE81" s="411">
        <f t="shared" si="50"/>
        <v>1.5519864750633978E-2</v>
      </c>
      <c r="AF81" s="411">
        <f t="shared" si="50"/>
        <v>1.2933220625528315E-2</v>
      </c>
      <c r="AG81" s="411">
        <f t="shared" si="50"/>
        <v>1.0346576500422653E-2</v>
      </c>
      <c r="AH81" s="411">
        <f t="shared" si="50"/>
        <v>7.7599323753169891E-3</v>
      </c>
      <c r="AI81" s="411">
        <f t="shared" si="50"/>
        <v>5.1732882502113263E-3</v>
      </c>
      <c r="AJ81" s="411">
        <f t="shared" si="50"/>
        <v>2.5866441251056632E-3</v>
      </c>
      <c r="AK81" s="314">
        <f t="shared" si="26"/>
        <v>21</v>
      </c>
      <c r="AN81" s="389">
        <f t="shared" si="31"/>
        <v>0.21520879120879119</v>
      </c>
    </row>
    <row r="82" spans="1:41" ht="15">
      <c r="A82" s="343" t="str">
        <f>A$46&amp;" - "&amp;VLOOKUP(RIGHT(C82,3),NameConv!$E$3:$F$16,2,FALSE)&amp;" - FLU - Existing"</f>
        <v>Commercial - Lighting - Electricity - FLU - Existing</v>
      </c>
      <c r="B82" s="343" t="str">
        <f>D82&amp;RIGHT(C82,3)&amp;"FLU-E"</f>
        <v>CNLELCFLU-E</v>
      </c>
      <c r="C82" s="346" t="str">
        <f t="shared" si="46"/>
        <v>COMELC</v>
      </c>
      <c r="D82" s="346" t="str">
        <f t="shared" si="47"/>
        <v>CNL</v>
      </c>
      <c r="E82" s="347">
        <f>Appliances!G69</f>
        <v>4.5</v>
      </c>
      <c r="F82" s="382">
        <f>SUMIF(AFA!$B$2:$J$2,D82,AFA!$B$4:$J$4)</f>
        <v>0.55200000000000005</v>
      </c>
      <c r="G82" s="405">
        <v>5</v>
      </c>
      <c r="H82" s="349">
        <f>(N82/F82)*(1+$H$55)</f>
        <v>0</v>
      </c>
      <c r="I82" s="349">
        <f>COM_2012!I82</f>
        <v>2.1020405989346398</v>
      </c>
      <c r="J82" s="349">
        <f>COM_2012!J82</f>
        <v>0.210204059893464</v>
      </c>
      <c r="L82" s="350">
        <v>0</v>
      </c>
      <c r="M82" s="349">
        <f>L82*SUMIF($C$6:$J$6,C82,$C$46:$J$46)</f>
        <v>0</v>
      </c>
      <c r="N82" s="349">
        <f t="shared" ref="N82:N86" si="51">M82*E82</f>
        <v>0</v>
      </c>
      <c r="P82" s="479">
        <f>COM_2012!P82</f>
        <v>0.70615384615384602</v>
      </c>
      <c r="Q82" s="411">
        <f t="shared" si="48"/>
        <v>0.70615384615384602</v>
      </c>
      <c r="R82" s="411"/>
      <c r="S82" s="411">
        <f t="shared" si="48"/>
        <v>0.806153846153846</v>
      </c>
      <c r="T82" s="411">
        <f t="shared" si="48"/>
        <v>0.88615384615384607</v>
      </c>
      <c r="U82" s="411">
        <f t="shared" si="48"/>
        <v>0.95615384615384602</v>
      </c>
      <c r="V82" s="411">
        <f t="shared" si="48"/>
        <v>1</v>
      </c>
      <c r="W82" s="411">
        <f t="shared" si="48"/>
        <v>1</v>
      </c>
      <c r="X82" s="411">
        <f t="shared" si="48"/>
        <v>1</v>
      </c>
      <c r="Y82" s="411">
        <f t="shared" si="48"/>
        <v>1</v>
      </c>
      <c r="AA82" s="410">
        <f t="shared" si="49"/>
        <v>0.67899408284023655</v>
      </c>
      <c r="AB82" s="411">
        <f t="shared" si="50"/>
        <v>0.54319526627218928</v>
      </c>
      <c r="AC82" s="411"/>
      <c r="AD82" s="411">
        <f t="shared" si="50"/>
        <v>0.27159763313609464</v>
      </c>
      <c r="AE82" s="411">
        <f t="shared" si="50"/>
        <v>0.20369822485207095</v>
      </c>
      <c r="AF82" s="411">
        <f t="shared" si="50"/>
        <v>0.16974852071005914</v>
      </c>
      <c r="AG82" s="411">
        <f t="shared" si="50"/>
        <v>0.13579881656804732</v>
      </c>
      <c r="AH82" s="411">
        <f t="shared" si="50"/>
        <v>0.10184911242603548</v>
      </c>
      <c r="AI82" s="411">
        <f t="shared" si="50"/>
        <v>6.789940828402366E-2</v>
      </c>
      <c r="AJ82" s="411">
        <f t="shared" si="50"/>
        <v>3.394970414201183E-2</v>
      </c>
      <c r="AK82" s="314">
        <f t="shared" si="26"/>
        <v>22</v>
      </c>
      <c r="AN82" s="389">
        <f t="shared" si="31"/>
        <v>3.1776923076923071</v>
      </c>
    </row>
    <row r="83" spans="1:41" ht="15">
      <c r="A83" s="343" t="str">
        <f>A$46&amp;" - "&amp;VLOOKUP(RIGHT(C83,3),NameConv!$E$3:$F$16,2,FALSE)&amp;" - HAL - Existing"</f>
        <v>Commercial - Lighting - Electricity - HAL - Existing</v>
      </c>
      <c r="B83" s="343" t="str">
        <f>D83&amp;RIGHT(C83,3)&amp;"HAL-E"</f>
        <v>CNLELCHAL-E</v>
      </c>
      <c r="C83" s="346" t="str">
        <f t="shared" si="46"/>
        <v>COMELC</v>
      </c>
      <c r="D83" s="346" t="str">
        <f t="shared" si="47"/>
        <v>CNL</v>
      </c>
      <c r="E83" s="347">
        <f>Appliances!G70</f>
        <v>2</v>
      </c>
      <c r="F83" s="382">
        <f>SUMIF(AFA!$B$2:$J$2,D83,AFA!$B$4:$J$4)</f>
        <v>0.55200000000000005</v>
      </c>
      <c r="G83" s="405">
        <v>5</v>
      </c>
      <c r="H83" s="349">
        <f>(N83/F83)*(1+$H$55)</f>
        <v>0</v>
      </c>
      <c r="I83" s="349">
        <f>COM_2012!I83</f>
        <v>0.75829581287827852</v>
      </c>
      <c r="J83" s="349">
        <f>COM_2012!J83</f>
        <v>7.5829581287827852E-2</v>
      </c>
      <c r="L83" s="350">
        <v>0</v>
      </c>
      <c r="M83" s="349">
        <f t="shared" ref="M83:M86" si="52">L83*SUMIF($C$6:$J$6,C83,$C$46:$J$46)</f>
        <v>0</v>
      </c>
      <c r="N83" s="349">
        <f t="shared" si="51"/>
        <v>0</v>
      </c>
      <c r="P83" s="479">
        <f>COM_2012!P83</f>
        <v>8.9670329670329656E-3</v>
      </c>
      <c r="Q83" s="411">
        <f t="shared" si="48"/>
        <v>8.9670329670329656E-3</v>
      </c>
      <c r="R83" s="411"/>
      <c r="S83" s="411">
        <f t="shared" si="48"/>
        <v>0.10896703296703297</v>
      </c>
      <c r="T83" s="411">
        <f t="shared" si="48"/>
        <v>0.18896703296703296</v>
      </c>
      <c r="U83" s="411">
        <f t="shared" si="48"/>
        <v>0.25896703296703294</v>
      </c>
      <c r="V83" s="411">
        <f t="shared" si="48"/>
        <v>0.30896703296703293</v>
      </c>
      <c r="W83" s="411">
        <f t="shared" si="48"/>
        <v>0.40896703296703296</v>
      </c>
      <c r="X83" s="411">
        <f t="shared" si="48"/>
        <v>0.45896703296703295</v>
      </c>
      <c r="Y83" s="411">
        <f t="shared" si="48"/>
        <v>0.50896703296703294</v>
      </c>
      <c r="AA83" s="410">
        <f t="shared" si="49"/>
        <v>8.622147083685543E-3</v>
      </c>
      <c r="AB83" s="411">
        <f t="shared" si="50"/>
        <v>6.8977176669484351E-3</v>
      </c>
      <c r="AC83" s="411"/>
      <c r="AD83" s="411">
        <f t="shared" si="50"/>
        <v>3.4488588334742176E-3</v>
      </c>
      <c r="AE83" s="411">
        <f t="shared" si="50"/>
        <v>2.5866441251056627E-3</v>
      </c>
      <c r="AF83" s="411">
        <f t="shared" si="50"/>
        <v>2.1555367709213858E-3</v>
      </c>
      <c r="AG83" s="411">
        <f t="shared" si="50"/>
        <v>1.7244294167371088E-3</v>
      </c>
      <c r="AH83" s="411">
        <f t="shared" si="50"/>
        <v>1.2933220625528314E-3</v>
      </c>
      <c r="AI83" s="411">
        <f t="shared" si="50"/>
        <v>8.6221470836855439E-4</v>
      </c>
      <c r="AJ83" s="411">
        <f t="shared" si="50"/>
        <v>4.3110735418427719E-4</v>
      </c>
      <c r="AK83" s="314">
        <f t="shared" si="26"/>
        <v>23</v>
      </c>
      <c r="AN83" s="389">
        <f t="shared" si="31"/>
        <v>1.7934065934065931E-2</v>
      </c>
    </row>
    <row r="84" spans="1:41" ht="15">
      <c r="A84" s="343" t="str">
        <f>A$46&amp;" - "&amp;VLOOKUP(RIGHT(C84,3),NameConv!$E$3:$F$16,2,FALSE)&amp;" - HID - Existing"</f>
        <v>Commercial - Lighting - Electricity - HID - Existing</v>
      </c>
      <c r="B84" s="343" t="str">
        <f>D84&amp;RIGHT(C84,3)&amp;"HID-E"</f>
        <v>CNLELCHID-E</v>
      </c>
      <c r="C84" s="346" t="str">
        <f t="shared" si="46"/>
        <v>COMELC</v>
      </c>
      <c r="D84" s="346" t="str">
        <f t="shared" si="47"/>
        <v>CNL</v>
      </c>
      <c r="E84" s="347">
        <f>Appliances!G71</f>
        <v>7</v>
      </c>
      <c r="F84" s="382">
        <f>SUMIF(AFA!$B$2:$J$2,D84,AFA!$B$4:$J$4)</f>
        <v>0.55200000000000005</v>
      </c>
      <c r="G84" s="405">
        <v>5</v>
      </c>
      <c r="H84" s="349">
        <f>(N84/F84)*(1+$H$55)</f>
        <v>0</v>
      </c>
      <c r="I84" s="349">
        <f>COM_2012!I84</f>
        <v>0.30666374785518619</v>
      </c>
      <c r="J84" s="349">
        <f>COM_2012!J84</f>
        <v>3.0666374785518619E-2</v>
      </c>
      <c r="L84" s="350">
        <v>0</v>
      </c>
      <c r="M84" s="349">
        <f t="shared" si="52"/>
        <v>0</v>
      </c>
      <c r="N84" s="349">
        <f t="shared" si="51"/>
        <v>0</v>
      </c>
      <c r="P84" s="479">
        <f>COM_2012!P84</f>
        <v>0.23538461538461539</v>
      </c>
      <c r="Q84" s="411">
        <f t="shared" si="48"/>
        <v>0.23538461538461539</v>
      </c>
      <c r="R84" s="411"/>
      <c r="S84" s="411">
        <f t="shared" si="48"/>
        <v>0.33538461538461539</v>
      </c>
      <c r="T84" s="411">
        <f t="shared" si="48"/>
        <v>0.41538461538461535</v>
      </c>
      <c r="U84" s="411">
        <f t="shared" si="48"/>
        <v>0.48538461538461541</v>
      </c>
      <c r="V84" s="411">
        <f t="shared" si="48"/>
        <v>0.53538461538461535</v>
      </c>
      <c r="W84" s="411">
        <f t="shared" si="48"/>
        <v>0.63538461538461544</v>
      </c>
      <c r="X84" s="411">
        <f t="shared" si="48"/>
        <v>0.68538461538461537</v>
      </c>
      <c r="Y84" s="411">
        <f t="shared" si="48"/>
        <v>0.73538461538461541</v>
      </c>
      <c r="AA84" s="410">
        <f t="shared" si="49"/>
        <v>0.22633136094674555</v>
      </c>
      <c r="AB84" s="411">
        <f t="shared" si="50"/>
        <v>0.18106508875739646</v>
      </c>
      <c r="AC84" s="411"/>
      <c r="AD84" s="411">
        <f t="shared" si="50"/>
        <v>9.0532544378698232E-2</v>
      </c>
      <c r="AE84" s="411">
        <f t="shared" si="50"/>
        <v>6.789940828402366E-2</v>
      </c>
      <c r="AF84" s="411">
        <f t="shared" si="50"/>
        <v>5.6582840236686388E-2</v>
      </c>
      <c r="AG84" s="411">
        <f t="shared" si="50"/>
        <v>4.5266272189349116E-2</v>
      </c>
      <c r="AH84" s="411">
        <f t="shared" si="50"/>
        <v>3.394970414201183E-2</v>
      </c>
      <c r="AI84" s="411">
        <f t="shared" si="50"/>
        <v>2.2633136094674558E-2</v>
      </c>
      <c r="AJ84" s="411">
        <f t="shared" si="50"/>
        <v>1.1316568047337279E-2</v>
      </c>
      <c r="AK84" s="314">
        <f t="shared" si="26"/>
        <v>24</v>
      </c>
      <c r="AN84" s="389">
        <f t="shared" si="31"/>
        <v>1.6476923076923078</v>
      </c>
    </row>
    <row r="85" spans="1:41" ht="15">
      <c r="A85" s="343" t="str">
        <f>A$46&amp;" - "&amp;VLOOKUP(RIGHT(C85,3),NameConv!$E$3:$F$16,2,FALSE)&amp;" - INC - Existing"</f>
        <v>Commercial - Lighting - Electricity - INC - Existing</v>
      </c>
      <c r="B85" s="343" t="str">
        <f>D85&amp;RIGHT(C85,3)&amp;"INC-E"</f>
        <v>CNLELCINC-E</v>
      </c>
      <c r="C85" s="346" t="str">
        <f t="shared" si="46"/>
        <v>COMELC</v>
      </c>
      <c r="D85" s="346" t="str">
        <f t="shared" si="47"/>
        <v>CNL</v>
      </c>
      <c r="E85" s="347">
        <f>Appliances!G72</f>
        <v>1</v>
      </c>
      <c r="F85" s="382">
        <f>SUMIF(AFA!$B$2:$J$2,D85,AFA!$B$4:$J$4)</f>
        <v>0.55200000000000005</v>
      </c>
      <c r="G85" s="348">
        <v>2</v>
      </c>
      <c r="H85" s="349">
        <f>(N85/F85)*(1+$H$55)</f>
        <v>0</v>
      </c>
      <c r="I85" s="349">
        <f>COM_2012!I85</f>
        <v>0.26729589482474081</v>
      </c>
      <c r="J85" s="349">
        <f>COM_2012!J85</f>
        <v>2.6729589482474083E-2</v>
      </c>
      <c r="L85" s="350">
        <v>0</v>
      </c>
      <c r="M85" s="349">
        <f t="shared" si="52"/>
        <v>0</v>
      </c>
      <c r="N85" s="349">
        <f t="shared" si="51"/>
        <v>0</v>
      </c>
      <c r="P85" s="479">
        <f>COM_2012!P85</f>
        <v>1.5692307692307693E-2</v>
      </c>
      <c r="Q85" s="411">
        <f t="shared" si="48"/>
        <v>1.5692307692307693E-2</v>
      </c>
      <c r="R85" s="411"/>
      <c r="S85" s="411">
        <f t="shared" si="48"/>
        <v>0.11569230769230771</v>
      </c>
      <c r="T85" s="411">
        <f t="shared" si="48"/>
        <v>0.19569230769230769</v>
      </c>
      <c r="U85" s="411">
        <f t="shared" si="48"/>
        <v>0.26569230769230767</v>
      </c>
      <c r="V85" s="411">
        <f t="shared" si="48"/>
        <v>0.31569230769230766</v>
      </c>
      <c r="W85" s="411">
        <f t="shared" si="48"/>
        <v>0.41569230769230769</v>
      </c>
      <c r="X85" s="411">
        <f t="shared" si="48"/>
        <v>0.46569230769230768</v>
      </c>
      <c r="Y85" s="411">
        <f t="shared" si="48"/>
        <v>0.51569230769230767</v>
      </c>
      <c r="AA85" s="410">
        <f t="shared" si="49"/>
        <v>1.5088757396449704E-2</v>
      </c>
      <c r="AB85" s="411">
        <f t="shared" si="50"/>
        <v>1.2071005917159764E-2</v>
      </c>
      <c r="AC85" s="411"/>
      <c r="AD85" s="411">
        <f t="shared" si="50"/>
        <v>6.035502958579882E-3</v>
      </c>
      <c r="AE85" s="411">
        <f t="shared" si="50"/>
        <v>4.5266272189349111E-3</v>
      </c>
      <c r="AF85" s="411">
        <f t="shared" si="50"/>
        <v>3.772189349112426E-3</v>
      </c>
      <c r="AG85" s="411">
        <f t="shared" si="50"/>
        <v>3.017751479289941E-3</v>
      </c>
      <c r="AH85" s="411">
        <f t="shared" si="50"/>
        <v>2.2633136094674555E-3</v>
      </c>
      <c r="AI85" s="411">
        <f t="shared" si="50"/>
        <v>1.5088757396449705E-3</v>
      </c>
      <c r="AJ85" s="411">
        <f t="shared" si="50"/>
        <v>7.5443786982248525E-4</v>
      </c>
      <c r="AK85" s="314">
        <f t="shared" si="26"/>
        <v>25</v>
      </c>
      <c r="AN85" s="389">
        <f t="shared" si="31"/>
        <v>1.5692307692307693E-2</v>
      </c>
    </row>
    <row r="86" spans="1:41" ht="15">
      <c r="A86" s="343" t="str">
        <f>A$46&amp;" - "&amp;VLOOKUP(RIGHT(C86,3),NameConv!$E$3:$F$16,2,FALSE)&amp;" - LED - New"</f>
        <v>Commercial - Lighting - Electricity - LED - New</v>
      </c>
      <c r="B86" s="343" t="str">
        <f>D86&amp;RIGHT(C86,3)&amp;"LED-N"</f>
        <v>CNLELCLED-N</v>
      </c>
      <c r="C86" s="346" t="str">
        <f t="shared" si="46"/>
        <v>COMELC</v>
      </c>
      <c r="D86" s="346" t="str">
        <f t="shared" si="47"/>
        <v>CNL</v>
      </c>
      <c r="E86" s="347">
        <v>9.8000000000000007</v>
      </c>
      <c r="F86" s="382">
        <f>SUMIF(AFA!$B$2:$J$2,D86,AFA!$B$4:$J$4)</f>
        <v>0.55200000000000005</v>
      </c>
      <c r="G86" s="348">
        <v>10</v>
      </c>
      <c r="H86" s="349">
        <v>0</v>
      </c>
      <c r="I86" s="349">
        <f>COM_2012!I86</f>
        <v>4.9258814903416521</v>
      </c>
      <c r="J86" s="349">
        <f>COM_2012!J86</f>
        <v>0.49258814903416526</v>
      </c>
      <c r="L86" s="350">
        <v>0</v>
      </c>
      <c r="M86" s="349">
        <f t="shared" si="52"/>
        <v>0</v>
      </c>
      <c r="N86" s="349">
        <f t="shared" si="51"/>
        <v>0</v>
      </c>
      <c r="P86" s="479">
        <f>COM_2012!P86</f>
        <v>0</v>
      </c>
      <c r="Q86" s="411">
        <f t="shared" si="48"/>
        <v>0</v>
      </c>
      <c r="R86" s="411"/>
      <c r="S86" s="411">
        <f t="shared" si="48"/>
        <v>0.1</v>
      </c>
      <c r="T86" s="411">
        <f t="shared" si="48"/>
        <v>0.18</v>
      </c>
      <c r="U86" s="411">
        <f t="shared" si="48"/>
        <v>0.25</v>
      </c>
      <c r="V86" s="411">
        <f t="shared" si="48"/>
        <v>0.3</v>
      </c>
      <c r="W86" s="411">
        <f t="shared" si="48"/>
        <v>0.4</v>
      </c>
      <c r="X86" s="411">
        <f t="shared" si="48"/>
        <v>0.45</v>
      </c>
      <c r="Y86" s="411">
        <f>MIN(1,$P86+Y$54)</f>
        <v>0.5</v>
      </c>
      <c r="AA86" s="410">
        <f t="shared" si="49"/>
        <v>0</v>
      </c>
      <c r="AB86" s="411">
        <f t="shared" si="50"/>
        <v>0</v>
      </c>
      <c r="AC86" s="411"/>
      <c r="AD86" s="411">
        <f t="shared" si="50"/>
        <v>0</v>
      </c>
      <c r="AE86" s="411">
        <f t="shared" si="50"/>
        <v>0</v>
      </c>
      <c r="AF86" s="411">
        <f t="shared" si="50"/>
        <v>0</v>
      </c>
      <c r="AG86" s="411">
        <f t="shared" si="50"/>
        <v>0</v>
      </c>
      <c r="AH86" s="411">
        <f t="shared" si="50"/>
        <v>0</v>
      </c>
      <c r="AI86" s="411">
        <f t="shared" si="50"/>
        <v>0</v>
      </c>
      <c r="AJ86" s="411">
        <f t="shared" si="50"/>
        <v>0</v>
      </c>
      <c r="AK86" s="314">
        <f t="shared" si="26"/>
        <v>26</v>
      </c>
      <c r="AN86" s="389">
        <f t="shared" si="31"/>
        <v>0</v>
      </c>
    </row>
    <row r="87" spans="1:41" ht="15">
      <c r="A87" s="352" t="s">
        <v>704</v>
      </c>
      <c r="F87" s="382"/>
      <c r="H87" s="349"/>
      <c r="I87" s="349"/>
      <c r="J87" s="349"/>
      <c r="L87" s="359">
        <f>SUM(L81:L85)</f>
        <v>0</v>
      </c>
      <c r="M87" s="356">
        <f>SUM(M81:M85)</f>
        <v>0</v>
      </c>
      <c r="N87" s="356">
        <f>SUM(N81:N85)</f>
        <v>0</v>
      </c>
      <c r="P87" s="479"/>
      <c r="AK87" s="314">
        <f t="shared" si="26"/>
        <v>27</v>
      </c>
      <c r="AN87" s="389">
        <f t="shared" si="31"/>
        <v>0</v>
      </c>
      <c r="AO87" s="389">
        <f>SUM(AN81:AN86)</f>
        <v>5.0742197802197797</v>
      </c>
    </row>
    <row r="88" spans="1:41" ht="15">
      <c r="A88" s="343" t="str">
        <f>"\I:"&amp;A47</f>
        <v>\I:Commercial - Refrigeration</v>
      </c>
      <c r="B88" s="343"/>
      <c r="C88" s="353"/>
      <c r="D88" s="353"/>
      <c r="E88" s="339"/>
      <c r="F88" s="382"/>
      <c r="G88" s="339"/>
      <c r="H88" s="349"/>
      <c r="I88" s="349"/>
      <c r="J88" s="349"/>
      <c r="K88" s="357"/>
      <c r="L88" s="358"/>
      <c r="M88" s="358"/>
      <c r="N88" s="307"/>
      <c r="O88" s="307"/>
      <c r="P88" s="479"/>
      <c r="Q88" s="307"/>
      <c r="R88" s="307"/>
      <c r="S88" s="307"/>
      <c r="T88" s="307"/>
      <c r="U88" s="307"/>
      <c r="V88" s="307"/>
      <c r="W88" s="307"/>
      <c r="X88" s="307"/>
      <c r="Y88" s="307"/>
      <c r="Z88" s="307"/>
      <c r="AA88" s="307"/>
      <c r="AB88" s="307"/>
      <c r="AC88" s="307"/>
      <c r="AD88" s="307"/>
      <c r="AE88" s="307"/>
      <c r="AF88" s="307"/>
      <c r="AG88" s="307"/>
      <c r="AH88" s="307"/>
      <c r="AI88" s="307"/>
      <c r="AJ88" s="307"/>
      <c r="AK88" s="314">
        <f t="shared" si="26"/>
        <v>28</v>
      </c>
      <c r="AL88" s="307"/>
      <c r="AM88" s="307"/>
      <c r="AN88" s="389">
        <f t="shared" si="31"/>
        <v>0</v>
      </c>
    </row>
    <row r="89" spans="1:41" ht="15">
      <c r="A89" s="343" t="str">
        <f>A$47&amp;" - "&amp;VLOOKUP(RIGHT(C89,3),NameConv!$E$3:$F$16,2,FALSE)&amp;" - Existing"</f>
        <v>Commercial - Refrigeration - Electricity - Existing</v>
      </c>
      <c r="B89" s="343" t="str">
        <f>D89&amp;RIGHT(C89,3)&amp;"-E"</f>
        <v>CNRELC-E</v>
      </c>
      <c r="C89" s="346" t="str">
        <f>$E$6</f>
        <v>COMELC</v>
      </c>
      <c r="D89" s="346" t="str">
        <f>$B$47</f>
        <v>CNR</v>
      </c>
      <c r="E89" s="347">
        <f>Appliances!G63</f>
        <v>1</v>
      </c>
      <c r="F89" s="382">
        <f>SUMIF(AFA!$B$2:$J$2,D89,AFA!$B$4:$J$4)</f>
        <v>0.68830000000000002</v>
      </c>
      <c r="G89" s="348">
        <v>10</v>
      </c>
      <c r="H89" s="349">
        <f>(N89/F89)*(1+$H$55)</f>
        <v>0</v>
      </c>
      <c r="I89" s="349">
        <f>COM_2012!I89</f>
        <v>1734.2705050470356</v>
      </c>
      <c r="J89" s="349">
        <f>COM_2012!J89</f>
        <v>173.42705050470357</v>
      </c>
      <c r="L89" s="350">
        <v>0</v>
      </c>
      <c r="M89" s="349">
        <f>L89*SUMIF($C$6:$J$6,C89,$C$47:$J$47)</f>
        <v>0</v>
      </c>
      <c r="N89" s="349">
        <f>M89*E89</f>
        <v>0</v>
      </c>
      <c r="P89" s="479">
        <f>COM_2012!P89</f>
        <v>1</v>
      </c>
      <c r="Q89" s="411">
        <f t="shared" ref="Q89:Y90" si="53">MIN(1,$P89+Q$54)</f>
        <v>1</v>
      </c>
      <c r="R89" s="411"/>
      <c r="S89" s="411">
        <f t="shared" si="53"/>
        <v>1</v>
      </c>
      <c r="T89" s="411">
        <f t="shared" si="53"/>
        <v>1</v>
      </c>
      <c r="U89" s="411">
        <f t="shared" si="53"/>
        <v>1</v>
      </c>
      <c r="V89" s="411">
        <f t="shared" si="53"/>
        <v>1</v>
      </c>
      <c r="W89" s="411">
        <f t="shared" si="53"/>
        <v>1</v>
      </c>
      <c r="X89" s="411">
        <f t="shared" si="53"/>
        <v>1</v>
      </c>
      <c r="Y89" s="411">
        <f t="shared" si="53"/>
        <v>1</v>
      </c>
      <c r="AA89" s="410">
        <f>P89/(1+$P$56+$AA$56)</f>
        <v>0.96153846153846145</v>
      </c>
      <c r="AB89" s="411">
        <f t="shared" ref="AB89:AJ90" si="54">$AA89*AB$54</f>
        <v>0.76923076923076916</v>
      </c>
      <c r="AC89" s="411"/>
      <c r="AD89" s="411">
        <f t="shared" si="54"/>
        <v>0.38461538461538458</v>
      </c>
      <c r="AE89" s="411">
        <f t="shared" si="54"/>
        <v>0.28846153846153844</v>
      </c>
      <c r="AF89" s="411">
        <f t="shared" si="54"/>
        <v>0.24038461538461536</v>
      </c>
      <c r="AG89" s="411">
        <f t="shared" si="54"/>
        <v>0.19230769230769229</v>
      </c>
      <c r="AH89" s="411">
        <f t="shared" si="54"/>
        <v>0.14423076923076922</v>
      </c>
      <c r="AI89" s="411">
        <f t="shared" si="54"/>
        <v>9.6153846153846145E-2</v>
      </c>
      <c r="AJ89" s="411">
        <f t="shared" si="54"/>
        <v>4.8076923076923073E-2</v>
      </c>
      <c r="AK89" s="314">
        <f t="shared" si="26"/>
        <v>29</v>
      </c>
      <c r="AN89" s="389">
        <f t="shared" si="31"/>
        <v>1</v>
      </c>
    </row>
    <row r="90" spans="1:41" ht="15">
      <c r="A90" s="343" t="str">
        <f>A$47&amp;" - "&amp;VLOOKUP(RIGHT(C90,3),NameConv!$E$3:$F$16,2,FALSE)&amp;" - New"</f>
        <v>Commercial - Refrigeration - Electricity - New</v>
      </c>
      <c r="B90" s="343" t="str">
        <f>D90&amp;RIGHT(C90,3)&amp;"-N"</f>
        <v>CNRELC-N</v>
      </c>
      <c r="C90" s="346" t="str">
        <f>$E$6</f>
        <v>COMELC</v>
      </c>
      <c r="D90" s="346" t="str">
        <f>$B$47</f>
        <v>CNR</v>
      </c>
      <c r="E90" s="347">
        <f>(5.13/3.08)*E89</f>
        <v>1.6655844155844155</v>
      </c>
      <c r="F90" s="382">
        <f>SUMIF(AFA!$B$2:$J$2,D90,AFA!$B$4:$J$4)</f>
        <v>0.68830000000000002</v>
      </c>
      <c r="G90" s="348">
        <v>10</v>
      </c>
      <c r="H90" s="349">
        <v>0</v>
      </c>
      <c r="I90" s="349">
        <f>COM_2012!I90</f>
        <v>1799.6770713155252</v>
      </c>
      <c r="J90" s="349">
        <f>COM_2012!J90</f>
        <v>179.96770713155252</v>
      </c>
      <c r="L90" s="350">
        <v>0</v>
      </c>
      <c r="M90" s="349">
        <v>0</v>
      </c>
      <c r="N90" s="349">
        <v>0</v>
      </c>
      <c r="P90" s="479">
        <f>COM_2012!P90</f>
        <v>0</v>
      </c>
      <c r="Q90" s="411">
        <f t="shared" si="53"/>
        <v>0</v>
      </c>
      <c r="R90" s="411"/>
      <c r="S90" s="411">
        <f t="shared" si="53"/>
        <v>0.1</v>
      </c>
      <c r="T90" s="411">
        <f t="shared" si="53"/>
        <v>0.18</v>
      </c>
      <c r="U90" s="411">
        <f t="shared" si="53"/>
        <v>0.25</v>
      </c>
      <c r="V90" s="411">
        <f t="shared" si="53"/>
        <v>0.3</v>
      </c>
      <c r="W90" s="411">
        <f t="shared" si="53"/>
        <v>0.4</v>
      </c>
      <c r="X90" s="411">
        <f t="shared" si="53"/>
        <v>0.45</v>
      </c>
      <c r="Y90" s="411">
        <f t="shared" si="53"/>
        <v>0.5</v>
      </c>
      <c r="AA90" s="410">
        <f>P90</f>
        <v>0</v>
      </c>
      <c r="AB90" s="411">
        <f t="shared" si="54"/>
        <v>0</v>
      </c>
      <c r="AC90" s="411"/>
      <c r="AD90" s="411">
        <f t="shared" si="54"/>
        <v>0</v>
      </c>
      <c r="AE90" s="411">
        <f t="shared" si="54"/>
        <v>0</v>
      </c>
      <c r="AF90" s="411">
        <f t="shared" si="54"/>
        <v>0</v>
      </c>
      <c r="AG90" s="411">
        <f t="shared" si="54"/>
        <v>0</v>
      </c>
      <c r="AH90" s="411">
        <f t="shared" si="54"/>
        <v>0</v>
      </c>
      <c r="AI90" s="411">
        <f t="shared" si="54"/>
        <v>0</v>
      </c>
      <c r="AJ90" s="411">
        <f t="shared" si="54"/>
        <v>0</v>
      </c>
      <c r="AK90" s="314">
        <f t="shared" si="26"/>
        <v>30</v>
      </c>
      <c r="AN90" s="389">
        <f t="shared" si="31"/>
        <v>0</v>
      </c>
    </row>
    <row r="91" spans="1:41" ht="15">
      <c r="A91" s="352" t="s">
        <v>704</v>
      </c>
      <c r="F91" s="382"/>
      <c r="H91" s="349"/>
      <c r="I91" s="349"/>
      <c r="J91" s="349"/>
      <c r="L91" s="359">
        <f>SUM(L89)</f>
        <v>0</v>
      </c>
      <c r="M91" s="356">
        <f>SUM(M89)</f>
        <v>0</v>
      </c>
      <c r="N91" s="356">
        <f>SUM(N89)</f>
        <v>0</v>
      </c>
      <c r="P91" s="479"/>
      <c r="AK91" s="314">
        <f t="shared" si="26"/>
        <v>31</v>
      </c>
      <c r="AN91" s="389">
        <f t="shared" si="31"/>
        <v>0</v>
      </c>
      <c r="AO91" s="389">
        <f>SUM(AN89:AN90)</f>
        <v>1</v>
      </c>
    </row>
    <row r="92" spans="1:41" ht="15">
      <c r="A92" s="343" t="str">
        <f>"\I:"&amp;A48</f>
        <v>\I:Commercial - Water Heating</v>
      </c>
      <c r="B92" s="343"/>
      <c r="C92" s="353"/>
      <c r="D92" s="353"/>
      <c r="E92" s="339"/>
      <c r="F92" s="382"/>
      <c r="G92" s="339"/>
      <c r="H92" s="349"/>
      <c r="I92" s="349"/>
      <c r="J92" s="349"/>
      <c r="K92" s="357"/>
      <c r="L92" s="358"/>
      <c r="M92" s="358"/>
      <c r="N92" s="307"/>
      <c r="O92" s="307"/>
      <c r="P92" s="479"/>
      <c r="Q92" s="307"/>
      <c r="R92" s="307"/>
      <c r="S92" s="307"/>
      <c r="T92" s="307"/>
      <c r="U92" s="307"/>
      <c r="V92" s="307"/>
      <c r="W92" s="307"/>
      <c r="X92" s="307"/>
      <c r="Y92" s="307"/>
      <c r="Z92" s="307"/>
      <c r="AA92" s="307"/>
      <c r="AB92" s="307"/>
      <c r="AC92" s="307"/>
      <c r="AD92" s="307"/>
      <c r="AE92" s="307"/>
      <c r="AF92" s="307"/>
      <c r="AG92" s="307"/>
      <c r="AH92" s="307"/>
      <c r="AI92" s="307"/>
      <c r="AJ92" s="307"/>
      <c r="AK92" s="314">
        <f t="shared" si="26"/>
        <v>32</v>
      </c>
      <c r="AL92" s="307"/>
      <c r="AM92" s="307"/>
      <c r="AN92" s="389">
        <f t="shared" si="31"/>
        <v>0</v>
      </c>
    </row>
    <row r="93" spans="1:41" ht="15">
      <c r="A93" s="343" t="str">
        <f>A$48&amp;" - "&amp;VLOOKUP(RIGHT(C93,3),NameConv!$E$3:$F$16,2,FALSE)&amp;" - Existing"</f>
        <v>Commercial - Water Heating - Electricity - Existing</v>
      </c>
      <c r="B93" s="343" t="str">
        <f>D93&amp;RIGHT(C93,3)&amp;"-E"</f>
        <v>CNWELC-E</v>
      </c>
      <c r="C93" s="346" t="str">
        <f>$E$6</f>
        <v>COMELC</v>
      </c>
      <c r="D93" s="346" t="str">
        <f>$B$48</f>
        <v>CNW</v>
      </c>
      <c r="E93" s="347">
        <f>Appliances!G22</f>
        <v>1</v>
      </c>
      <c r="F93" s="382">
        <f>SUMIF(AFA!$B$2:$J$2,D93,AFA!$B$4:$J$4)</f>
        <v>0.89129999999999998</v>
      </c>
      <c r="G93" s="348">
        <v>14</v>
      </c>
      <c r="H93" s="349">
        <f>(N93/F93)*(1+$H$55)</f>
        <v>0</v>
      </c>
      <c r="I93" s="349">
        <f>COM_2012!I93</f>
        <v>31.581453839889381</v>
      </c>
      <c r="J93" s="349">
        <f>COM_2012!J93</f>
        <v>3.1581453839889382</v>
      </c>
      <c r="L93" s="350">
        <v>0</v>
      </c>
      <c r="M93" s="349">
        <f>L93*SUMIF($C$6:$J$6,C93,$C$48:$J$48)</f>
        <v>0</v>
      </c>
      <c r="N93" s="349">
        <f>M93*E93</f>
        <v>0</v>
      </c>
      <c r="P93" s="479">
        <f>COM_2012!P93</f>
        <v>0.13613444707472483</v>
      </c>
      <c r="Q93" s="411">
        <f t="shared" ref="Q93:Y99" si="55">MIN(1,$P93+Q$54)</f>
        <v>0.13613444707472483</v>
      </c>
      <c r="R93" s="411"/>
      <c r="S93" s="411">
        <f t="shared" si="55"/>
        <v>0.23613444707472483</v>
      </c>
      <c r="T93" s="411">
        <f t="shared" si="55"/>
        <v>0.31613444707472482</v>
      </c>
      <c r="U93" s="411">
        <f t="shared" si="55"/>
        <v>0.38613444707472483</v>
      </c>
      <c r="V93" s="411">
        <f t="shared" si="55"/>
        <v>0.43613444707472482</v>
      </c>
      <c r="W93" s="411">
        <f t="shared" si="55"/>
        <v>0.53613444707472491</v>
      </c>
      <c r="X93" s="411">
        <f t="shared" si="55"/>
        <v>0.58613444707472484</v>
      </c>
      <c r="Y93" s="411">
        <f t="shared" si="55"/>
        <v>0.63613444707472477</v>
      </c>
      <c r="AA93" s="410">
        <f t="shared" ref="AA93:AA99" si="56">P93/(1+$P$56+$AA$56)</f>
        <v>0.13089850680262002</v>
      </c>
      <c r="AB93" s="411">
        <f t="shared" ref="AB93:AJ99" si="57">$AA93*AB$54</f>
        <v>0.10471880544209602</v>
      </c>
      <c r="AC93" s="411"/>
      <c r="AD93" s="411">
        <f t="shared" si="57"/>
        <v>5.2359402721048012E-2</v>
      </c>
      <c r="AE93" s="411">
        <f t="shared" si="57"/>
        <v>3.9269552040786006E-2</v>
      </c>
      <c r="AF93" s="411">
        <f t="shared" si="57"/>
        <v>3.2724626700655006E-2</v>
      </c>
      <c r="AG93" s="411">
        <f t="shared" si="57"/>
        <v>2.6179701360524006E-2</v>
      </c>
      <c r="AH93" s="411">
        <f t="shared" si="57"/>
        <v>1.9634776020393003E-2</v>
      </c>
      <c r="AI93" s="411">
        <f t="shared" si="57"/>
        <v>1.3089850680262003E-2</v>
      </c>
      <c r="AJ93" s="411">
        <f t="shared" si="57"/>
        <v>6.5449253401310015E-3</v>
      </c>
      <c r="AK93" s="314">
        <f t="shared" si="26"/>
        <v>33</v>
      </c>
      <c r="AN93" s="389">
        <f t="shared" si="31"/>
        <v>0.13613444707472483</v>
      </c>
    </row>
    <row r="94" spans="1:41" ht="15">
      <c r="A94" s="343" t="str">
        <f>A$48&amp;" - "&amp;VLOOKUP(RIGHT(C94,3),NameConv!$E$3:$F$16,2,FALSE)&amp;" - Existing"</f>
        <v>Commercial - Water Heating - Coal - Existing</v>
      </c>
      <c r="B94" s="343" t="str">
        <f>D94&amp;RIGHT(C94,3)&amp;"-E"</f>
        <v>CNWCOA-E</v>
      </c>
      <c r="C94" s="346" t="str">
        <f>$C$6</f>
        <v>COMCOA</v>
      </c>
      <c r="D94" s="346" t="str">
        <f>$B$48</f>
        <v>CNW</v>
      </c>
      <c r="E94" s="347">
        <f>Appliances!G23</f>
        <v>0.75</v>
      </c>
      <c r="F94" s="382">
        <f>SUMIF(AFA!$B$2:$J$2,D94,AFA!$B$4:$J$4)</f>
        <v>0.89129999999999998</v>
      </c>
      <c r="G94" s="348">
        <v>14</v>
      </c>
      <c r="H94" s="349">
        <f>(N94/F94)*(1+$H$55)</f>
        <v>0</v>
      </c>
      <c r="I94" s="349">
        <f>COM_2012!I94</f>
        <v>211.94584531928834</v>
      </c>
      <c r="J94" s="349">
        <f>COM_2012!J94</f>
        <v>21.194584531928836</v>
      </c>
      <c r="L94" s="350">
        <v>0</v>
      </c>
      <c r="M94" s="349">
        <f>L94*SUMIF($C$6:$J$6,C94,$C$48:$J$48)</f>
        <v>0</v>
      </c>
      <c r="N94" s="349">
        <f>M94*E94</f>
        <v>0</v>
      </c>
      <c r="P94" s="479">
        <f>COM_2012!P94</f>
        <v>0.4331646447108356</v>
      </c>
      <c r="Q94" s="411">
        <f>MIN(1,$P94+Q$54)</f>
        <v>0.4331646447108356</v>
      </c>
      <c r="R94" s="411"/>
      <c r="S94" s="411">
        <f>MIN(1,$P94+S$54)</f>
        <v>0.53316464471083558</v>
      </c>
      <c r="T94" s="411">
        <f>MIN(1,$P94+T$54)</f>
        <v>0.61316464471083565</v>
      </c>
      <c r="U94" s="411">
        <f t="shared" si="55"/>
        <v>0.6831646447108356</v>
      </c>
      <c r="V94" s="411">
        <f t="shared" si="55"/>
        <v>0.73316464471083553</v>
      </c>
      <c r="W94" s="411">
        <f t="shared" si="55"/>
        <v>0.83316464471083562</v>
      </c>
      <c r="X94" s="411">
        <f t="shared" si="55"/>
        <v>0.88316464471083567</v>
      </c>
      <c r="Y94" s="411">
        <f t="shared" si="55"/>
        <v>0.9331646447108356</v>
      </c>
      <c r="AA94" s="410">
        <f t="shared" si="56"/>
        <v>0.41650446606811115</v>
      </c>
      <c r="AB94" s="411">
        <f t="shared" si="57"/>
        <v>0.33320357285448893</v>
      </c>
      <c r="AC94" s="411"/>
      <c r="AD94" s="411">
        <f t="shared" si="57"/>
        <v>0.16660178642724446</v>
      </c>
      <c r="AE94" s="411">
        <f t="shared" si="57"/>
        <v>0.12495133982043334</v>
      </c>
      <c r="AF94" s="411">
        <f t="shared" si="57"/>
        <v>0.10412611651702779</v>
      </c>
      <c r="AG94" s="411">
        <f t="shared" si="57"/>
        <v>8.3300893213622232E-2</v>
      </c>
      <c r="AH94" s="411">
        <f t="shared" si="57"/>
        <v>6.247566991021667E-2</v>
      </c>
      <c r="AI94" s="411">
        <f t="shared" si="57"/>
        <v>4.1650446606811116E-2</v>
      </c>
      <c r="AJ94" s="411">
        <f t="shared" si="57"/>
        <v>2.0825223303405558E-2</v>
      </c>
      <c r="AK94" s="314">
        <f t="shared" si="26"/>
        <v>34</v>
      </c>
      <c r="AN94" s="389">
        <f t="shared" si="31"/>
        <v>0.32487348353312673</v>
      </c>
    </row>
    <row r="95" spans="1:41" ht="15">
      <c r="A95" s="343" t="str">
        <f>A$48&amp;" - "&amp;VLOOKUP(RIGHT(C95,3),NameConv!$E$3:$F$16,2,FALSE)&amp;" - Existing"</f>
        <v>Commercial - Water Heating - Oil LPG - Existing</v>
      </c>
      <c r="B95" s="343" t="str">
        <f>D95&amp;RIGHT(C95,3)&amp;"-E"</f>
        <v>CNWOLP-E</v>
      </c>
      <c r="C95" s="346" t="str">
        <f>$J$6</f>
        <v>COMOLP</v>
      </c>
      <c r="D95" s="346" t="str">
        <f>$B$48</f>
        <v>CNW</v>
      </c>
      <c r="E95" s="347">
        <f>Appliances!G24</f>
        <v>0.7</v>
      </c>
      <c r="F95" s="382">
        <f>SUMIF(AFA!$B$2:$J$2,D95,AFA!$B$4:$J$4)</f>
        <v>0.89129999999999998</v>
      </c>
      <c r="G95" s="348">
        <v>12</v>
      </c>
      <c r="H95" s="349">
        <f>(N95/F95)*(1+$H$55)</f>
        <v>0</v>
      </c>
      <c r="I95" s="349">
        <f>COM_2012!I95</f>
        <v>24.826371391503535</v>
      </c>
      <c r="J95" s="349">
        <f>COM_2012!J95</f>
        <v>2.4826371391503539</v>
      </c>
      <c r="L95" s="350">
        <v>0</v>
      </c>
      <c r="M95" s="349">
        <f>L95*SUMIF($C$6:$J$6,C95,$C$48:$J$48)</f>
        <v>0</v>
      </c>
      <c r="N95" s="349">
        <f>M95*E95</f>
        <v>0</v>
      </c>
      <c r="P95" s="479">
        <f>COM_2012!P95</f>
        <v>0.25981655577708179</v>
      </c>
      <c r="Q95" s="411">
        <f t="shared" si="55"/>
        <v>0.25981655577708179</v>
      </c>
      <c r="R95" s="411"/>
      <c r="S95" s="411">
        <f t="shared" si="55"/>
        <v>0.35981655577708183</v>
      </c>
      <c r="T95" s="411">
        <f t="shared" si="55"/>
        <v>0.43981655577708179</v>
      </c>
      <c r="U95" s="411">
        <f t="shared" si="55"/>
        <v>0.50981655577708174</v>
      </c>
      <c r="V95" s="411">
        <f t="shared" si="55"/>
        <v>0.55981655577708178</v>
      </c>
      <c r="W95" s="411">
        <f t="shared" si="55"/>
        <v>0.65981655577708187</v>
      </c>
      <c r="X95" s="411">
        <f t="shared" si="55"/>
        <v>0.7098165557770818</v>
      </c>
      <c r="Y95" s="411">
        <f t="shared" si="55"/>
        <v>0.75981655577708174</v>
      </c>
      <c r="AA95" s="410">
        <f t="shared" si="56"/>
        <v>0.2498236113241171</v>
      </c>
      <c r="AB95" s="411">
        <f t="shared" si="57"/>
        <v>0.19985888905929369</v>
      </c>
      <c r="AC95" s="411"/>
      <c r="AD95" s="411">
        <f t="shared" si="57"/>
        <v>9.9929444529646846E-2</v>
      </c>
      <c r="AE95" s="411">
        <f t="shared" si="57"/>
        <v>7.4947083397235131E-2</v>
      </c>
      <c r="AF95" s="411">
        <f t="shared" si="57"/>
        <v>6.2455902831029274E-2</v>
      </c>
      <c r="AG95" s="411">
        <f t="shared" si="57"/>
        <v>4.9964722264823423E-2</v>
      </c>
      <c r="AH95" s="411">
        <f t="shared" si="57"/>
        <v>3.7473541698617566E-2</v>
      </c>
      <c r="AI95" s="411">
        <f t="shared" si="57"/>
        <v>2.4982361132411712E-2</v>
      </c>
      <c r="AJ95" s="411">
        <f t="shared" si="57"/>
        <v>1.2491180566205856E-2</v>
      </c>
      <c r="AK95" s="314">
        <f t="shared" si="26"/>
        <v>35</v>
      </c>
      <c r="AN95" s="389">
        <f t="shared" si="31"/>
        <v>0.18187158904395725</v>
      </c>
    </row>
    <row r="96" spans="1:41" s="314" customFormat="1" ht="15">
      <c r="A96" s="343" t="str">
        <f>A$48&amp;" - "&amp;VLOOKUP(RIGHT(C96,3),NameConv!$E$3:$F$16,2,FALSE)&amp;" - Existing"</f>
        <v>Commercial - Water Heating - Gas - Existing</v>
      </c>
      <c r="B96" s="343" t="str">
        <f t="shared" ref="B96:B97" si="58">D96&amp;RIGHT(C96,3)&amp;"-E"</f>
        <v>CNWGAS-E</v>
      </c>
      <c r="C96" s="346" t="str">
        <f>$F$6</f>
        <v>COMGAS</v>
      </c>
      <c r="D96" s="346" t="str">
        <f t="shared" ref="D96:D97" si="59">$B$48</f>
        <v>CNW</v>
      </c>
      <c r="E96" s="347">
        <f>Appliances!G27</f>
        <v>0.75</v>
      </c>
      <c r="F96" s="382">
        <f>SUMIF(AFA!$B$2:$J$2,D96,AFA!$B$4:$J$4)</f>
        <v>0.89129999999999998</v>
      </c>
      <c r="G96" s="348">
        <v>12</v>
      </c>
      <c r="H96" s="349">
        <f t="shared" ref="H96:H97" si="60">(N96/F96)*(1+$H$55)</f>
        <v>0</v>
      </c>
      <c r="I96" s="488">
        <f>I95</f>
        <v>24.826371391503535</v>
      </c>
      <c r="J96" s="349">
        <f t="shared" ref="J96:J97" si="61">I96*0.1</f>
        <v>2.4826371391503539</v>
      </c>
      <c r="L96" s="350">
        <v>0</v>
      </c>
      <c r="M96" s="349">
        <f>L96*SUMIF($C$6:$J$6,C96,$C$48:$J$48)</f>
        <v>0</v>
      </c>
      <c r="N96" s="349">
        <f>M96*E96</f>
        <v>0</v>
      </c>
      <c r="P96" s="479">
        <f>COM_2012!P96</f>
        <v>1.8097859932997725E-3</v>
      </c>
      <c r="Q96" s="411">
        <f t="shared" si="55"/>
        <v>1.8097859932997725E-3</v>
      </c>
      <c r="R96" s="411"/>
      <c r="S96" s="411">
        <f t="shared" si="55"/>
        <v>0.10180978599329978</v>
      </c>
      <c r="T96" s="411">
        <f t="shared" si="55"/>
        <v>0.18180978599329978</v>
      </c>
      <c r="U96" s="411">
        <f t="shared" si="55"/>
        <v>0.25180978599329978</v>
      </c>
      <c r="V96" s="411">
        <f t="shared" si="55"/>
        <v>0.30180978599329977</v>
      </c>
      <c r="W96" s="411">
        <f t="shared" si="55"/>
        <v>0.40180978599329981</v>
      </c>
      <c r="X96" s="411">
        <f t="shared" si="55"/>
        <v>0.4518097859932998</v>
      </c>
      <c r="Y96" s="411">
        <f t="shared" si="55"/>
        <v>0.50180978599329973</v>
      </c>
      <c r="Z96"/>
      <c r="AA96" s="410">
        <f t="shared" si="56"/>
        <v>1.7401788397113196E-3</v>
      </c>
      <c r="AB96" s="411">
        <f t="shared" si="57"/>
        <v>1.3921430717690557E-3</v>
      </c>
      <c r="AC96" s="411"/>
      <c r="AD96" s="411">
        <f t="shared" si="57"/>
        <v>6.9607153588452787E-4</v>
      </c>
      <c r="AE96" s="411">
        <f t="shared" si="57"/>
        <v>5.2205365191339585E-4</v>
      </c>
      <c r="AF96" s="411">
        <f t="shared" si="57"/>
        <v>4.3504470992782989E-4</v>
      </c>
      <c r="AG96" s="411">
        <f t="shared" si="57"/>
        <v>3.4803576794226394E-4</v>
      </c>
      <c r="AH96" s="411">
        <f t="shared" si="57"/>
        <v>2.6102682595669792E-4</v>
      </c>
      <c r="AI96" s="411">
        <f t="shared" si="57"/>
        <v>1.7401788397113197E-4</v>
      </c>
      <c r="AJ96" s="411">
        <f t="shared" si="57"/>
        <v>8.7008941985565984E-5</v>
      </c>
      <c r="AK96" s="314">
        <f t="shared" si="26"/>
        <v>36</v>
      </c>
      <c r="AN96" s="390">
        <f t="shared" si="31"/>
        <v>1.3573394949748293E-3</v>
      </c>
    </row>
    <row r="97" spans="1:41" s="314" customFormat="1" ht="15">
      <c r="A97" s="343" t="str">
        <f>A$48&amp;" - "&amp;VLOOKUP(RIGHT(C97,3),NameConv!$E$3:$F$16,2,FALSE)&amp;" - Existing"</f>
        <v>Commercial - Water Heating - Oil Paraffin - Existing</v>
      </c>
      <c r="B97" s="343" t="str">
        <f t="shared" si="58"/>
        <v>CNWOKE-E</v>
      </c>
      <c r="C97" s="346" t="s">
        <v>1101</v>
      </c>
      <c r="D97" s="346" t="str">
        <f t="shared" si="59"/>
        <v>CNW</v>
      </c>
      <c r="E97" s="347">
        <f>Appliances!G28</f>
        <v>0.7</v>
      </c>
      <c r="F97" s="382">
        <f>SUMIF(AFA!$B$2:$J$2,D97,AFA!$B$4:$J$4)</f>
        <v>0.89129999999999998</v>
      </c>
      <c r="G97" s="348">
        <v>12</v>
      </c>
      <c r="H97" s="349">
        <f t="shared" si="60"/>
        <v>0</v>
      </c>
      <c r="I97" s="488">
        <f>I96</f>
        <v>24.826371391503535</v>
      </c>
      <c r="J97" s="349">
        <f t="shared" si="61"/>
        <v>2.4826371391503539</v>
      </c>
      <c r="L97" s="350">
        <v>0</v>
      </c>
      <c r="M97" s="349">
        <f>L97*SUMIF($C$6:$J$6,C97,$C$48:$J$48)</f>
        <v>0</v>
      </c>
      <c r="N97" s="349">
        <f>M97*E97</f>
        <v>0</v>
      </c>
      <c r="P97" s="479">
        <f>COM_2012!P97</f>
        <v>0.18907456644405796</v>
      </c>
      <c r="Q97" s="411">
        <f t="shared" si="55"/>
        <v>0.18907456644405796</v>
      </c>
      <c r="R97" s="411"/>
      <c r="S97" s="411">
        <f t="shared" si="55"/>
        <v>0.28907456644405793</v>
      </c>
      <c r="T97" s="411">
        <f t="shared" si="55"/>
        <v>0.36907456644405795</v>
      </c>
      <c r="U97" s="411">
        <f t="shared" si="55"/>
        <v>0.43907456644405796</v>
      </c>
      <c r="V97" s="411">
        <f t="shared" si="55"/>
        <v>0.48907456644405795</v>
      </c>
      <c r="W97" s="411">
        <f t="shared" si="55"/>
        <v>0.58907456644405798</v>
      </c>
      <c r="X97" s="411">
        <f t="shared" si="55"/>
        <v>0.63907456644405802</v>
      </c>
      <c r="Y97" s="411">
        <f t="shared" si="55"/>
        <v>0.68907456644405796</v>
      </c>
      <c r="Z97"/>
      <c r="AA97" s="410">
        <f t="shared" si="56"/>
        <v>0.1818024677346711</v>
      </c>
      <c r="AB97" s="411">
        <f t="shared" si="57"/>
        <v>0.14544197418773688</v>
      </c>
      <c r="AC97" s="411"/>
      <c r="AD97" s="411">
        <f t="shared" si="57"/>
        <v>7.2720987093868442E-2</v>
      </c>
      <c r="AE97" s="411">
        <f t="shared" si="57"/>
        <v>5.4540740320401328E-2</v>
      </c>
      <c r="AF97" s="411">
        <f t="shared" si="57"/>
        <v>4.5450616933667774E-2</v>
      </c>
      <c r="AG97" s="411">
        <f t="shared" si="57"/>
        <v>3.6360493546934221E-2</v>
      </c>
      <c r="AH97" s="411">
        <f t="shared" si="57"/>
        <v>2.7270370160200664E-2</v>
      </c>
      <c r="AI97" s="411">
        <f t="shared" si="57"/>
        <v>1.818024677346711E-2</v>
      </c>
      <c r="AJ97" s="411">
        <f t="shared" si="57"/>
        <v>9.0901233867335552E-3</v>
      </c>
      <c r="AK97" s="314">
        <f t="shared" si="26"/>
        <v>37</v>
      </c>
      <c r="AN97" s="390">
        <f t="shared" si="31"/>
        <v>0.13235219651084057</v>
      </c>
    </row>
    <row r="98" spans="1:41" ht="15">
      <c r="A98" s="343" t="str">
        <f>A$48&amp;" - "&amp;VLOOKUP(RIGHT(C98,3),NameConv!$E$3:$F$16,2,FALSE)&amp;" - New"</f>
        <v>Commercial - Water Heating - Electricity - New</v>
      </c>
      <c r="B98" s="343" t="str">
        <f>D98&amp;RIGHT(C98,3)&amp;"-N"</f>
        <v>CNWELC-N</v>
      </c>
      <c r="C98" s="346" t="str">
        <f>$E$6</f>
        <v>COMELC</v>
      </c>
      <c r="D98" s="346" t="str">
        <f>$B$48</f>
        <v>CNW</v>
      </c>
      <c r="E98" s="347">
        <f>(0.97/0.96)*E93</f>
        <v>1.0104166666666667</v>
      </c>
      <c r="F98" s="382">
        <f>SUMIF(AFA!$B$2:$J$2,D98,AFA!$B$4:$J$4)</f>
        <v>0.89129999999999998</v>
      </c>
      <c r="G98" s="348">
        <v>14</v>
      </c>
      <c r="H98" s="349">
        <f>(2.41/1.87)*H93</f>
        <v>0</v>
      </c>
      <c r="I98" s="349">
        <f>COM_2012!I98</f>
        <v>31.581453839889381</v>
      </c>
      <c r="J98" s="349">
        <f>COM_2012!J98</f>
        <v>3.1581453839889382</v>
      </c>
      <c r="L98" s="350">
        <v>0</v>
      </c>
      <c r="M98" s="349">
        <v>0</v>
      </c>
      <c r="N98" s="349">
        <v>0</v>
      </c>
      <c r="P98" s="479">
        <f>COM_2012!P98</f>
        <v>0</v>
      </c>
      <c r="Q98" s="411">
        <f t="shared" si="55"/>
        <v>0</v>
      </c>
      <c r="R98" s="411"/>
      <c r="S98" s="411">
        <f t="shared" si="55"/>
        <v>0.1</v>
      </c>
      <c r="T98" s="411">
        <f t="shared" si="55"/>
        <v>0.18</v>
      </c>
      <c r="U98" s="411">
        <f t="shared" si="55"/>
        <v>0.25</v>
      </c>
      <c r="V98" s="411">
        <f t="shared" si="55"/>
        <v>0.3</v>
      </c>
      <c r="W98" s="411">
        <f t="shared" si="55"/>
        <v>0.4</v>
      </c>
      <c r="X98" s="411">
        <f t="shared" si="55"/>
        <v>0.45</v>
      </c>
      <c r="Y98" s="411">
        <f t="shared" si="55"/>
        <v>0.5</v>
      </c>
      <c r="AA98" s="410">
        <f t="shared" si="56"/>
        <v>0</v>
      </c>
      <c r="AB98" s="411">
        <f t="shared" si="57"/>
        <v>0</v>
      </c>
      <c r="AC98" s="411"/>
      <c r="AD98" s="411">
        <f t="shared" si="57"/>
        <v>0</v>
      </c>
      <c r="AE98" s="411">
        <f t="shared" si="57"/>
        <v>0</v>
      </c>
      <c r="AF98" s="411">
        <f t="shared" si="57"/>
        <v>0</v>
      </c>
      <c r="AG98" s="411">
        <f t="shared" si="57"/>
        <v>0</v>
      </c>
      <c r="AH98" s="411">
        <f t="shared" si="57"/>
        <v>0</v>
      </c>
      <c r="AI98" s="411">
        <f t="shared" si="57"/>
        <v>0</v>
      </c>
      <c r="AJ98" s="411">
        <f t="shared" si="57"/>
        <v>0</v>
      </c>
      <c r="AK98" s="314">
        <f t="shared" si="26"/>
        <v>38</v>
      </c>
      <c r="AN98" s="389">
        <f t="shared" si="31"/>
        <v>0</v>
      </c>
    </row>
    <row r="99" spans="1:41" ht="15">
      <c r="A99" s="343" t="str">
        <f>A$48&amp;" - "&amp;VLOOKUP(RIGHT(C99,3),NameConv!$E$3:$F$16,2,FALSE)&amp;" - HP - New"</f>
        <v>Commercial - Water Heating - Electricity - HP - New</v>
      </c>
      <c r="B99" s="343" t="str">
        <f>D99&amp;RIGHT(C99,3)&amp;"HP-N"</f>
        <v>CNWELCHP-N</v>
      </c>
      <c r="C99" s="346" t="str">
        <f t="shared" ref="C99" si="62">$E$6</f>
        <v>COMELC</v>
      </c>
      <c r="D99" s="346" t="str">
        <f>$B$48</f>
        <v>CNW</v>
      </c>
      <c r="E99" s="347">
        <v>2.2599999999999998</v>
      </c>
      <c r="F99" s="382">
        <f>SUMIF(AFA!$B$2:$J$2,D99,AFA!$B$4:$J$4)</f>
        <v>0.89129999999999998</v>
      </c>
      <c r="G99" s="348">
        <v>10</v>
      </c>
      <c r="H99" s="349">
        <f>(N99/F99)*(1+$H$55)</f>
        <v>0</v>
      </c>
      <c r="I99" s="349">
        <f>COM_2012!I99</f>
        <v>94.744361519668146</v>
      </c>
      <c r="J99" s="349">
        <f>COM_2012!J99</f>
        <v>9.474436151966815</v>
      </c>
      <c r="L99" s="350">
        <v>0</v>
      </c>
      <c r="M99" s="349">
        <v>0</v>
      </c>
      <c r="N99" s="349">
        <v>0</v>
      </c>
      <c r="P99" s="479">
        <f>COM_2012!P99</f>
        <v>0</v>
      </c>
      <c r="Q99" s="411">
        <f t="shared" si="55"/>
        <v>0</v>
      </c>
      <c r="R99" s="411"/>
      <c r="S99" s="411">
        <f t="shared" si="55"/>
        <v>0.1</v>
      </c>
      <c r="T99" s="411">
        <f t="shared" si="55"/>
        <v>0.18</v>
      </c>
      <c r="U99" s="411">
        <f t="shared" si="55"/>
        <v>0.25</v>
      </c>
      <c r="V99" s="411">
        <f t="shared" si="55"/>
        <v>0.3</v>
      </c>
      <c r="W99" s="411">
        <f t="shared" si="55"/>
        <v>0.4</v>
      </c>
      <c r="X99" s="411">
        <f t="shared" si="55"/>
        <v>0.45</v>
      </c>
      <c r="Y99" s="411">
        <f t="shared" si="55"/>
        <v>0.5</v>
      </c>
      <c r="AA99" s="410">
        <f t="shared" si="56"/>
        <v>0</v>
      </c>
      <c r="AB99" s="411">
        <f t="shared" si="57"/>
        <v>0</v>
      </c>
      <c r="AC99" s="411"/>
      <c r="AD99" s="411">
        <f t="shared" si="57"/>
        <v>0</v>
      </c>
      <c r="AE99" s="411">
        <f t="shared" si="57"/>
        <v>0</v>
      </c>
      <c r="AF99" s="411">
        <f t="shared" si="57"/>
        <v>0</v>
      </c>
      <c r="AG99" s="411">
        <f t="shared" si="57"/>
        <v>0</v>
      </c>
      <c r="AH99" s="411">
        <f t="shared" si="57"/>
        <v>0</v>
      </c>
      <c r="AI99" s="411">
        <f t="shared" si="57"/>
        <v>0</v>
      </c>
      <c r="AJ99" s="411">
        <f t="shared" si="57"/>
        <v>0</v>
      </c>
      <c r="AK99" s="314">
        <f t="shared" si="26"/>
        <v>39</v>
      </c>
      <c r="AN99" s="389"/>
    </row>
    <row r="100" spans="1:41" ht="15">
      <c r="A100" s="352" t="s">
        <v>704</v>
      </c>
      <c r="F100" s="382"/>
      <c r="H100" s="349"/>
      <c r="I100" s="349"/>
      <c r="J100" s="349"/>
      <c r="L100" s="359"/>
      <c r="M100" s="356">
        <f>SUM(M93:M95)</f>
        <v>0</v>
      </c>
      <c r="N100" s="356">
        <f>SUM(N93:N95)</f>
        <v>0</v>
      </c>
      <c r="P100" s="479"/>
      <c r="AK100" s="314">
        <f t="shared" si="26"/>
        <v>40</v>
      </c>
      <c r="AN100" s="389">
        <f t="shared" si="25"/>
        <v>0</v>
      </c>
      <c r="AO100" s="389">
        <f>SUM(AN93:AN98)</f>
        <v>0.77658905565762426</v>
      </c>
    </row>
    <row r="101" spans="1:41" ht="15">
      <c r="A101" s="343" t="str">
        <f>"\I:"&amp;A49</f>
        <v>\I:Commercial - Public Lights</v>
      </c>
      <c r="F101" s="382"/>
      <c r="H101" s="349"/>
      <c r="I101" s="349"/>
      <c r="J101" s="349"/>
      <c r="L101" s="359"/>
      <c r="M101" s="356"/>
      <c r="N101" s="356"/>
      <c r="P101" s="479"/>
      <c r="AK101" s="314">
        <f t="shared" si="26"/>
        <v>41</v>
      </c>
      <c r="AN101" s="389"/>
      <c r="AO101" s="389"/>
    </row>
    <row r="102" spans="1:41" ht="15">
      <c r="A102" s="343" t="str">
        <f>A$49&amp;" - "&amp;VLOOKUP(RIGHT(C102,3),NameConv!$E$3:$F$16,2,FALSE)&amp;" - "&amp;LEFT(Appliances!B75,3)&amp;" - Existing"</f>
        <v>Commercial - Public Lights - Electricity - INC - Existing</v>
      </c>
      <c r="B102" s="343" t="str">
        <f t="shared" ref="B102:B104" si="63">D102&amp;RIGHT(C102,3)&amp;LEFT(RIGHT(A102,LEN("LIT - Existing")),3)&amp;"-E"</f>
        <v>CNGELCINC-E</v>
      </c>
      <c r="C102" s="346" t="str">
        <f t="shared" ref="C102:C104" si="64">$E$6</f>
        <v>COMELC</v>
      </c>
      <c r="D102" s="430" t="str">
        <f t="shared" ref="D102:D104" si="65">$B$49</f>
        <v>CNG</v>
      </c>
      <c r="E102" s="389">
        <f>Appliances!H75</f>
        <v>1</v>
      </c>
      <c r="F102" s="382">
        <f>SUMIF(AFA!$B$2:$J$2,D102,AFA!$B$4:$J$4)</f>
        <v>0.5464</v>
      </c>
      <c r="G102" s="348">
        <v>9</v>
      </c>
      <c r="H102" s="349">
        <f t="shared" ref="H102:H104" si="66">(N102/F102)*(1+$H$55)</f>
        <v>0</v>
      </c>
      <c r="I102" s="349">
        <f>COM_2012!I102</f>
        <v>0.26729589482474081</v>
      </c>
      <c r="J102" s="349">
        <f>COM_2012!J102</f>
        <v>2.6729589482474083E-2</v>
      </c>
      <c r="L102" s="455">
        <v>0</v>
      </c>
      <c r="M102" s="349">
        <f t="shared" ref="M102:M104" si="67">L102*SUMIF($C$6:$J$6,C102,$C$49:$J$49)</f>
        <v>0</v>
      </c>
      <c r="N102" s="349">
        <f t="shared" ref="N102:N104" si="68">M102*E102</f>
        <v>0</v>
      </c>
      <c r="P102" s="479">
        <f>COM_2012!P102</f>
        <v>1.4816772663351805E-2</v>
      </c>
      <c r="Q102" s="411">
        <f t="shared" ref="Q102:Y104" si="69">MIN(1,$P102+Q$54)</f>
        <v>1.4816772663351805E-2</v>
      </c>
      <c r="R102" s="411"/>
      <c r="S102" s="411">
        <f t="shared" si="69"/>
        <v>0.11481677266335182</v>
      </c>
      <c r="T102" s="411">
        <f t="shared" si="69"/>
        <v>0.19481677266335179</v>
      </c>
      <c r="U102" s="411">
        <f t="shared" si="69"/>
        <v>0.2648167726633518</v>
      </c>
      <c r="V102" s="411">
        <f t="shared" si="69"/>
        <v>0.31481677266335178</v>
      </c>
      <c r="W102" s="411">
        <f t="shared" si="69"/>
        <v>0.41481677266335182</v>
      </c>
      <c r="X102" s="411">
        <f t="shared" si="69"/>
        <v>0.46481677266335181</v>
      </c>
      <c r="Y102" s="411">
        <f t="shared" si="69"/>
        <v>0.5148167726633518</v>
      </c>
      <c r="AA102" s="410">
        <f t="shared" ref="AA102:AA104" si="70">P102/(1+$P$56+$AA$56)</f>
        <v>1.4246896791684427E-2</v>
      </c>
      <c r="AB102" s="411">
        <f t="shared" ref="AB102:AJ104" si="71">$AA102*AB$54</f>
        <v>1.1397517433347541E-2</v>
      </c>
      <c r="AC102" s="411"/>
      <c r="AD102" s="411">
        <f t="shared" si="71"/>
        <v>5.6987587166737706E-3</v>
      </c>
      <c r="AE102" s="411">
        <f t="shared" si="71"/>
        <v>4.274069037505328E-3</v>
      </c>
      <c r="AF102" s="411">
        <f t="shared" si="71"/>
        <v>3.5617241979211066E-3</v>
      </c>
      <c r="AG102" s="411">
        <f t="shared" si="71"/>
        <v>2.8493793583368853E-3</v>
      </c>
      <c r="AH102" s="411">
        <f t="shared" si="71"/>
        <v>2.137034518752664E-3</v>
      </c>
      <c r="AI102" s="411">
        <f t="shared" si="71"/>
        <v>1.4246896791684427E-3</v>
      </c>
      <c r="AJ102" s="411">
        <f t="shared" si="71"/>
        <v>7.1234483958422133E-4</v>
      </c>
      <c r="AK102" s="314">
        <f t="shared" si="26"/>
        <v>42</v>
      </c>
      <c r="AN102" s="389"/>
      <c r="AO102" s="389"/>
    </row>
    <row r="103" spans="1:41" ht="15">
      <c r="A103" s="343" t="str">
        <f>A$49&amp;" - "&amp;VLOOKUP(RIGHT(C103,3),NameConv!$E$3:$F$16,2,FALSE)&amp;" - "&amp;LEFT(Appliances!B76,3)&amp;" - Existing"</f>
        <v>Commercial - Public Lights - Electricity - HAL - Existing</v>
      </c>
      <c r="B103" s="343" t="str">
        <f t="shared" si="63"/>
        <v>CNGELCHAL-E</v>
      </c>
      <c r="C103" s="346" t="str">
        <f t="shared" si="64"/>
        <v>COMELC</v>
      </c>
      <c r="D103" s="430" t="str">
        <f t="shared" si="65"/>
        <v>CNG</v>
      </c>
      <c r="E103" s="389">
        <f>Appliances!H76</f>
        <v>2</v>
      </c>
      <c r="F103" s="382">
        <f>SUMIF(AFA!$B$2:$J$2,D103,AFA!$B$4:$J$4)</f>
        <v>0.5464</v>
      </c>
      <c r="G103" s="348">
        <v>10</v>
      </c>
      <c r="H103" s="349">
        <f t="shared" si="66"/>
        <v>0</v>
      </c>
      <c r="I103" s="349">
        <f>COM_2012!I103</f>
        <v>0.75829581287827852</v>
      </c>
      <c r="J103" s="349">
        <f>COM_2012!J103</f>
        <v>7.5829581287827852E-2</v>
      </c>
      <c r="L103" s="455">
        <v>0</v>
      </c>
      <c r="M103" s="349">
        <f t="shared" si="67"/>
        <v>0</v>
      </c>
      <c r="N103" s="349">
        <f t="shared" si="68"/>
        <v>0</v>
      </c>
      <c r="P103" s="479">
        <f>COM_2012!P103</f>
        <v>2.9633545326703609E-2</v>
      </c>
      <c r="Q103" s="411">
        <f t="shared" si="69"/>
        <v>2.9633545326703609E-2</v>
      </c>
      <c r="R103" s="411"/>
      <c r="S103" s="411">
        <f t="shared" si="69"/>
        <v>0.12963354532670363</v>
      </c>
      <c r="T103" s="411">
        <f t="shared" si="69"/>
        <v>0.20963354532670361</v>
      </c>
      <c r="U103" s="411">
        <f t="shared" si="69"/>
        <v>0.27963354532670359</v>
      </c>
      <c r="V103" s="411">
        <f t="shared" si="69"/>
        <v>0.32963354532670358</v>
      </c>
      <c r="W103" s="411">
        <f t="shared" si="69"/>
        <v>0.42963354532670361</v>
      </c>
      <c r="X103" s="411">
        <f t="shared" si="69"/>
        <v>0.4796335453267036</v>
      </c>
      <c r="Y103" s="411">
        <f t="shared" si="69"/>
        <v>0.52963354532670359</v>
      </c>
      <c r="AA103" s="410">
        <f t="shared" si="70"/>
        <v>2.8493793583368853E-2</v>
      </c>
      <c r="AB103" s="411">
        <f t="shared" si="71"/>
        <v>2.2795034866695082E-2</v>
      </c>
      <c r="AC103" s="411"/>
      <c r="AD103" s="411">
        <f t="shared" si="71"/>
        <v>1.1397517433347541E-2</v>
      </c>
      <c r="AE103" s="411">
        <f t="shared" si="71"/>
        <v>8.5481380750106559E-3</v>
      </c>
      <c r="AF103" s="411">
        <f t="shared" si="71"/>
        <v>7.1234483958422133E-3</v>
      </c>
      <c r="AG103" s="411">
        <f t="shared" si="71"/>
        <v>5.6987587166737706E-3</v>
      </c>
      <c r="AH103" s="411">
        <f t="shared" si="71"/>
        <v>4.274069037505328E-3</v>
      </c>
      <c r="AI103" s="411">
        <f t="shared" si="71"/>
        <v>2.8493793583368853E-3</v>
      </c>
      <c r="AJ103" s="411">
        <f t="shared" si="71"/>
        <v>1.4246896791684427E-3</v>
      </c>
      <c r="AK103" s="314">
        <f t="shared" si="26"/>
        <v>43</v>
      </c>
      <c r="AN103" s="389"/>
      <c r="AO103" s="389"/>
    </row>
    <row r="104" spans="1:41" ht="15">
      <c r="A104" s="343" t="str">
        <f>A$49&amp;" - "&amp;VLOOKUP(RIGHT(C104,3),NameConv!$E$3:$F$16,2,FALSE)&amp;" - "&amp;LEFT(Appliances!B77,3)&amp;" - Existing"</f>
        <v>Commercial - Public Lights - Electricity - HPM - Existing</v>
      </c>
      <c r="B104" s="343" t="str">
        <f t="shared" si="63"/>
        <v>CNGELCHPM-E</v>
      </c>
      <c r="C104" s="346" t="str">
        <f t="shared" si="64"/>
        <v>COMELC</v>
      </c>
      <c r="D104" s="430" t="str">
        <f t="shared" si="65"/>
        <v>CNG</v>
      </c>
      <c r="E104" s="389">
        <f>Appliances!H77</f>
        <v>2.4</v>
      </c>
      <c r="F104" s="382">
        <f>SUMIF(AFA!$B$2:$J$2,D104,AFA!$B$4:$J$4)</f>
        <v>0.5464</v>
      </c>
      <c r="G104" s="348">
        <v>11</v>
      </c>
      <c r="H104" s="349">
        <f t="shared" si="66"/>
        <v>0</v>
      </c>
      <c r="I104" s="349">
        <f>COM_2012!I104</f>
        <v>0.75829581287827852</v>
      </c>
      <c r="J104" s="349">
        <f>COM_2012!J104</f>
        <v>7.5829581287827852E-2</v>
      </c>
      <c r="L104" s="455">
        <v>0</v>
      </c>
      <c r="M104" s="349">
        <f t="shared" si="67"/>
        <v>0</v>
      </c>
      <c r="N104" s="349">
        <f t="shared" si="68"/>
        <v>0</v>
      </c>
      <c r="P104" s="479">
        <f>COM_2012!P104</f>
        <v>0.44968546066360116</v>
      </c>
      <c r="Q104" s="411">
        <f t="shared" si="69"/>
        <v>0.44968546066360116</v>
      </c>
      <c r="R104" s="411"/>
      <c r="S104" s="411">
        <f t="shared" si="69"/>
        <v>0.54968546066360113</v>
      </c>
      <c r="T104" s="411">
        <f t="shared" si="69"/>
        <v>0.62968546066360109</v>
      </c>
      <c r="U104" s="411">
        <f t="shared" si="69"/>
        <v>0.69968546066360116</v>
      </c>
      <c r="V104" s="411">
        <f t="shared" si="69"/>
        <v>0.7496854606636012</v>
      </c>
      <c r="W104" s="411">
        <f t="shared" si="69"/>
        <v>0.84968546066360118</v>
      </c>
      <c r="X104" s="411">
        <f t="shared" si="69"/>
        <v>0.89968546066360111</v>
      </c>
      <c r="Y104" s="411">
        <f t="shared" si="69"/>
        <v>0.94968546066360116</v>
      </c>
      <c r="AA104" s="410">
        <f t="shared" si="70"/>
        <v>0.43238986602269341</v>
      </c>
      <c r="AB104" s="411">
        <f t="shared" si="71"/>
        <v>0.34591189281815476</v>
      </c>
      <c r="AC104" s="411"/>
      <c r="AD104" s="411">
        <f t="shared" si="71"/>
        <v>0.17295594640907738</v>
      </c>
      <c r="AE104" s="411">
        <f t="shared" si="71"/>
        <v>0.12971695980680803</v>
      </c>
      <c r="AF104" s="411">
        <f t="shared" si="71"/>
        <v>0.10809746650567335</v>
      </c>
      <c r="AG104" s="411">
        <f t="shared" si="71"/>
        <v>8.6477973204538691E-2</v>
      </c>
      <c r="AH104" s="411">
        <f t="shared" si="71"/>
        <v>6.4858479903404015E-2</v>
      </c>
      <c r="AI104" s="411">
        <f t="shared" si="71"/>
        <v>4.3238986602269346E-2</v>
      </c>
      <c r="AJ104" s="411">
        <f t="shared" si="71"/>
        <v>2.1619493301134673E-2</v>
      </c>
      <c r="AK104" s="314">
        <f t="shared" si="26"/>
        <v>44</v>
      </c>
      <c r="AN104" s="389"/>
      <c r="AO104" s="389"/>
    </row>
    <row r="105" spans="1:41" ht="15">
      <c r="A105" s="343" t="str">
        <f>A$49&amp;" - "&amp;VLOOKUP(RIGHT(C105,3),NameConv!$E$3:$F$16,2,FALSE)&amp;" - "&amp;LEFT(Appliances!B78,3)&amp;" - Existing"</f>
        <v>Commercial - Public Lights - Electricity - HPS - Existing</v>
      </c>
      <c r="B105" s="343" t="str">
        <f t="shared" ref="B105:B106" si="72">D105&amp;RIGHT(C105,3)&amp;LEFT(RIGHT(A105,LEN("LIT - Existing")),3)&amp;"-E"</f>
        <v>CNGELCHPS-E</v>
      </c>
      <c r="C105" s="346" t="str">
        <f t="shared" ref="C105:C107" si="73">$E$6</f>
        <v>COMELC</v>
      </c>
      <c r="D105" s="430" t="str">
        <f t="shared" ref="D105:D107" si="74">$B$49</f>
        <v>CNG</v>
      </c>
      <c r="E105" s="389">
        <f>Appliances!H78</f>
        <v>6.5</v>
      </c>
      <c r="F105" s="382">
        <f>SUMIF(AFA!$B$2:$J$2,D105,AFA!$B$4:$J$4)</f>
        <v>0.5464</v>
      </c>
      <c r="G105" s="348">
        <v>12</v>
      </c>
      <c r="H105" s="349">
        <f t="shared" ref="H105:H107" si="75">(N105/F105)*(1+$H$55)</f>
        <v>0</v>
      </c>
      <c r="I105" s="349">
        <f>COM_2012!I105</f>
        <v>0.75829581287827852</v>
      </c>
      <c r="J105" s="349">
        <f>COM_2012!J105</f>
        <v>7.5829581287827852E-2</v>
      </c>
      <c r="L105" s="455">
        <v>0</v>
      </c>
      <c r="M105" s="349">
        <f t="shared" ref="M105:M107" si="76">L105*SUMIF($C$6:$J$6,C105,$C$49:$J$49)</f>
        <v>0</v>
      </c>
      <c r="N105" s="349">
        <f t="shared" ref="N105:N107" si="77">M105*E105</f>
        <v>0</v>
      </c>
      <c r="P105" s="479">
        <f>COM_2012!P105</f>
        <v>0.51199853303890719</v>
      </c>
      <c r="Q105" s="411">
        <f t="shared" ref="Q105:Y107" si="78">MIN(1,$P105+Q$54)</f>
        <v>0.51199853303890719</v>
      </c>
      <c r="R105" s="411"/>
      <c r="S105" s="411">
        <f t="shared" si="78"/>
        <v>0.61199853303890717</v>
      </c>
      <c r="T105" s="411">
        <f t="shared" si="78"/>
        <v>0.69199853303890713</v>
      </c>
      <c r="U105" s="411">
        <f t="shared" si="78"/>
        <v>0.76199853303890719</v>
      </c>
      <c r="V105" s="411">
        <f t="shared" si="78"/>
        <v>0.81199853303890723</v>
      </c>
      <c r="W105" s="411">
        <f t="shared" si="78"/>
        <v>0.91199853303890721</v>
      </c>
      <c r="X105" s="411">
        <f t="shared" si="78"/>
        <v>0.96199853303890714</v>
      </c>
      <c r="Y105" s="411">
        <f t="shared" si="78"/>
        <v>1</v>
      </c>
      <c r="AA105" s="410">
        <f t="shared" ref="AA105:AA107" si="79">P105/(1+$P$56+$AA$56)</f>
        <v>0.49230628176817998</v>
      </c>
      <c r="AB105" s="411">
        <f t="shared" ref="AB105:AJ107" si="80">$AA105*AB$54</f>
        <v>0.39384502541454403</v>
      </c>
      <c r="AC105" s="411"/>
      <c r="AD105" s="411">
        <f t="shared" si="80"/>
        <v>0.19692251270727201</v>
      </c>
      <c r="AE105" s="411">
        <f t="shared" si="80"/>
        <v>0.14769188453045398</v>
      </c>
      <c r="AF105" s="411">
        <f t="shared" si="80"/>
        <v>0.12307657044204499</v>
      </c>
      <c r="AG105" s="411">
        <f t="shared" si="80"/>
        <v>9.8461256353636006E-2</v>
      </c>
      <c r="AH105" s="411">
        <f t="shared" si="80"/>
        <v>7.3845942265226991E-2</v>
      </c>
      <c r="AI105" s="411">
        <f t="shared" si="80"/>
        <v>4.9230628176818003E-2</v>
      </c>
      <c r="AJ105" s="411">
        <f t="shared" si="80"/>
        <v>2.4615314088409002E-2</v>
      </c>
      <c r="AK105" s="314">
        <f t="shared" si="26"/>
        <v>45</v>
      </c>
      <c r="AN105" s="389"/>
      <c r="AO105" s="389"/>
    </row>
    <row r="106" spans="1:41" ht="15">
      <c r="A106" s="343" t="str">
        <f>A$49&amp;" - "&amp;VLOOKUP(RIGHT(C106,3),NameConv!$E$3:$F$16,2,FALSE)&amp;" - "&amp;LEFT(Appliances!B79,3)&amp;" - Existing"</f>
        <v>Commercial - Public Lights - Electricity - MHL - Existing</v>
      </c>
      <c r="B106" s="343" t="str">
        <f t="shared" si="72"/>
        <v>CNGELCMHL-E</v>
      </c>
      <c r="C106" s="346" t="str">
        <f t="shared" si="73"/>
        <v>COMELC</v>
      </c>
      <c r="D106" s="430" t="str">
        <f t="shared" si="74"/>
        <v>CNG</v>
      </c>
      <c r="E106" s="389">
        <f>Appliances!H79</f>
        <v>5</v>
      </c>
      <c r="F106" s="382">
        <f>SUMIF(AFA!$B$2:$J$2,D106,AFA!$B$4:$J$4)</f>
        <v>0.5464</v>
      </c>
      <c r="G106" s="348">
        <v>10</v>
      </c>
      <c r="H106" s="349">
        <f t="shared" si="75"/>
        <v>0</v>
      </c>
      <c r="I106" s="349">
        <f>COM_2012!I106</f>
        <v>0.30666374785518619</v>
      </c>
      <c r="J106" s="349">
        <f>COM_2012!J106</f>
        <v>3.0666374785518619E-2</v>
      </c>
      <c r="L106" s="455">
        <v>0</v>
      </c>
      <c r="M106" s="349">
        <f t="shared" si="76"/>
        <v>0</v>
      </c>
      <c r="N106" s="349">
        <f t="shared" si="77"/>
        <v>0</v>
      </c>
      <c r="P106" s="479">
        <f>COM_2012!P106</f>
        <v>1.3865688307436187E-2</v>
      </c>
      <c r="Q106" s="411">
        <f t="shared" si="78"/>
        <v>1.3865688307436187E-2</v>
      </c>
      <c r="R106" s="411"/>
      <c r="S106" s="411">
        <f t="shared" si="78"/>
        <v>0.11386568830743619</v>
      </c>
      <c r="T106" s="411">
        <f t="shared" si="78"/>
        <v>0.19386568830743617</v>
      </c>
      <c r="U106" s="411">
        <f t="shared" si="78"/>
        <v>0.26386568830743617</v>
      </c>
      <c r="V106" s="411">
        <f t="shared" si="78"/>
        <v>0.31386568830743616</v>
      </c>
      <c r="W106" s="411">
        <f t="shared" si="78"/>
        <v>0.4138656883074362</v>
      </c>
      <c r="X106" s="411">
        <f t="shared" si="78"/>
        <v>0.46386568830743619</v>
      </c>
      <c r="Y106" s="411">
        <f t="shared" si="78"/>
        <v>0.51386568830743617</v>
      </c>
      <c r="AA106" s="410">
        <f t="shared" si="79"/>
        <v>1.3332392603304025E-2</v>
      </c>
      <c r="AB106" s="411">
        <f t="shared" si="80"/>
        <v>1.0665914082643221E-2</v>
      </c>
      <c r="AC106" s="411"/>
      <c r="AD106" s="411">
        <f t="shared" si="80"/>
        <v>5.3329570413216103E-3</v>
      </c>
      <c r="AE106" s="411">
        <f t="shared" si="80"/>
        <v>3.9997177809912073E-3</v>
      </c>
      <c r="AF106" s="411">
        <f t="shared" si="80"/>
        <v>3.3330981508260062E-3</v>
      </c>
      <c r="AG106" s="411">
        <f t="shared" si="80"/>
        <v>2.6664785206608052E-3</v>
      </c>
      <c r="AH106" s="411">
        <f t="shared" si="80"/>
        <v>1.9998588904956037E-3</v>
      </c>
      <c r="AI106" s="411">
        <f t="shared" si="80"/>
        <v>1.3332392603304026E-3</v>
      </c>
      <c r="AJ106" s="411">
        <f t="shared" si="80"/>
        <v>6.6661963016520129E-4</v>
      </c>
      <c r="AK106" s="314">
        <f t="shared" si="26"/>
        <v>46</v>
      </c>
      <c r="AN106" s="389"/>
      <c r="AO106" s="389"/>
    </row>
    <row r="107" spans="1:41" ht="15">
      <c r="A107" s="343" t="str">
        <f>A$49&amp;" - "&amp;VLOOKUP(RIGHT(C107,3),NameConv!$E$3:$F$16,2,FALSE)&amp;" - "&amp;LEFT(Appliances!B80,3)&amp;" - New"</f>
        <v>Commercial - Public Lights - Electricity - LED - New</v>
      </c>
      <c r="B107" s="343" t="str">
        <f t="shared" ref="B107" si="81">D107&amp;RIGHT(C107,3)&amp;LEFT(RIGHT(A107,LEN("LIT - NEW")),3)&amp;"-N"</f>
        <v>CNGELCLED-N</v>
      </c>
      <c r="C107" s="346" t="str">
        <f t="shared" si="73"/>
        <v>COMELC</v>
      </c>
      <c r="D107" s="430" t="str">
        <f t="shared" si="74"/>
        <v>CNG</v>
      </c>
      <c r="E107" s="389">
        <f>Appliances!H80</f>
        <v>9.8000000000000007</v>
      </c>
      <c r="F107" s="382">
        <f>SUMIF(AFA!$B$2:$J$2,D107,AFA!$B$4:$J$4)</f>
        <v>0.5464</v>
      </c>
      <c r="G107" s="348">
        <v>10</v>
      </c>
      <c r="H107" s="349">
        <f t="shared" si="75"/>
        <v>0</v>
      </c>
      <c r="I107" s="349">
        <f>COM_2012!I107</f>
        <v>4.9258814903416521</v>
      </c>
      <c r="J107" s="349">
        <f>COM_2012!J107</f>
        <v>0.49258814903416526</v>
      </c>
      <c r="L107" s="455">
        <v>0</v>
      </c>
      <c r="M107" s="349">
        <f t="shared" si="76"/>
        <v>0</v>
      </c>
      <c r="N107" s="349">
        <f t="shared" si="77"/>
        <v>0</v>
      </c>
      <c r="P107" s="479">
        <f>COM_2012!P107</f>
        <v>0</v>
      </c>
      <c r="Q107" s="411">
        <f t="shared" si="78"/>
        <v>0</v>
      </c>
      <c r="R107" s="411"/>
      <c r="S107" s="411">
        <f t="shared" si="78"/>
        <v>0.1</v>
      </c>
      <c r="T107" s="411">
        <f t="shared" si="78"/>
        <v>0.18</v>
      </c>
      <c r="U107" s="411">
        <f t="shared" si="78"/>
        <v>0.25</v>
      </c>
      <c r="V107" s="411">
        <f t="shared" si="78"/>
        <v>0.3</v>
      </c>
      <c r="W107" s="411">
        <f t="shared" si="78"/>
        <v>0.4</v>
      </c>
      <c r="X107" s="411">
        <f t="shared" si="78"/>
        <v>0.45</v>
      </c>
      <c r="Y107" s="411">
        <f t="shared" si="78"/>
        <v>0.5</v>
      </c>
      <c r="AA107" s="410">
        <f t="shared" si="79"/>
        <v>0</v>
      </c>
      <c r="AB107" s="411">
        <f t="shared" si="80"/>
        <v>0</v>
      </c>
      <c r="AC107" s="411"/>
      <c r="AD107" s="411">
        <f t="shared" si="80"/>
        <v>0</v>
      </c>
      <c r="AE107" s="411">
        <f t="shared" si="80"/>
        <v>0</v>
      </c>
      <c r="AF107" s="411">
        <f t="shared" si="80"/>
        <v>0</v>
      </c>
      <c r="AG107" s="411">
        <f t="shared" si="80"/>
        <v>0</v>
      </c>
      <c r="AH107" s="411">
        <f t="shared" si="80"/>
        <v>0</v>
      </c>
      <c r="AI107" s="411">
        <f t="shared" si="80"/>
        <v>0</v>
      </c>
      <c r="AJ107" s="411">
        <f t="shared" si="80"/>
        <v>0</v>
      </c>
      <c r="AK107" s="314">
        <f t="shared" si="26"/>
        <v>47</v>
      </c>
      <c r="AN107" s="389"/>
      <c r="AO107" s="389"/>
    </row>
    <row r="108" spans="1:41" ht="15">
      <c r="A108" s="352" t="s">
        <v>704</v>
      </c>
      <c r="B108" s="343"/>
      <c r="C108" s="346"/>
      <c r="D108" s="430"/>
      <c r="E108" s="389"/>
      <c r="F108" s="382"/>
      <c r="G108" s="348"/>
      <c r="H108" s="349"/>
      <c r="I108" s="349"/>
      <c r="J108" s="349"/>
      <c r="L108" s="455"/>
      <c r="M108" s="349"/>
      <c r="N108" s="349"/>
      <c r="P108" s="479"/>
      <c r="Q108" s="411"/>
      <c r="R108" s="411"/>
      <c r="S108" s="411"/>
      <c r="T108" s="411"/>
      <c r="U108" s="411"/>
      <c r="V108" s="411"/>
      <c r="W108" s="411"/>
      <c r="X108" s="411"/>
      <c r="Y108" s="411"/>
      <c r="AA108" s="410"/>
      <c r="AB108" s="411"/>
      <c r="AC108" s="411"/>
      <c r="AD108" s="411"/>
      <c r="AE108" s="411"/>
      <c r="AF108" s="411"/>
      <c r="AG108" s="411"/>
      <c r="AH108" s="411"/>
      <c r="AI108" s="411"/>
      <c r="AJ108" s="411"/>
      <c r="AK108" s="314">
        <f t="shared" si="26"/>
        <v>48</v>
      </c>
      <c r="AN108" s="389"/>
      <c r="AO108" s="389"/>
    </row>
    <row r="109" spans="1:41" ht="15">
      <c r="A109" s="343" t="str">
        <f>"\I:"&amp;A50</f>
        <v>\I:Commercial - Public Water</v>
      </c>
      <c r="B109" s="343"/>
      <c r="D109" s="430"/>
      <c r="F109" s="382"/>
      <c r="H109" s="349"/>
      <c r="I109" s="349"/>
      <c r="J109" s="349"/>
      <c r="L109" s="359"/>
      <c r="M109" s="356"/>
      <c r="N109" s="356"/>
      <c r="P109" s="479"/>
      <c r="AK109" s="314">
        <f t="shared" si="26"/>
        <v>49</v>
      </c>
      <c r="AN109" s="389"/>
      <c r="AO109" s="389"/>
    </row>
    <row r="110" spans="1:41" ht="15">
      <c r="A110" s="343" t="str">
        <f>A$50&amp;" - "&amp;VLOOKUP(RIGHT(C110,3),NameConv!$E$3:$F$16,2,FALSE)&amp;" - "&amp;LEFT(Appliances!B83,3)&amp;" - Existing"</f>
        <v>Commercial - Public Water - Electricity -  - Existing</v>
      </c>
      <c r="B110" s="343" t="str">
        <f>D110&amp;RIGHT(C110,3)&amp;"-E"</f>
        <v>CNTELC-E</v>
      </c>
      <c r="C110" s="346" t="str">
        <f>$E$6</f>
        <v>COMELC</v>
      </c>
      <c r="D110" s="430" t="str">
        <f>$B$50</f>
        <v>CNT</v>
      </c>
      <c r="E110">
        <v>1</v>
      </c>
      <c r="F110" s="382">
        <f>SUMIF(AFA!$B$2:$J$2,D110,AFA!$B$4:$J$4)</f>
        <v>0.89129999999999998</v>
      </c>
      <c r="G110" s="348">
        <v>15</v>
      </c>
      <c r="H110" s="349">
        <f>(N110/F110)*(1+$H$55)</f>
        <v>0</v>
      </c>
      <c r="I110" s="349">
        <f>COM_2012!I110</f>
        <v>100</v>
      </c>
      <c r="J110" s="349">
        <f>COM_2012!J110</f>
        <v>10</v>
      </c>
      <c r="L110" s="359">
        <v>0</v>
      </c>
      <c r="M110" s="349">
        <f>L110*SUMIF($C$6:$J$6,C110,$C$50:$J$50)</f>
        <v>0</v>
      </c>
      <c r="N110" s="349">
        <f>M110*E110</f>
        <v>0</v>
      </c>
      <c r="P110" s="479">
        <f>COM_2012!P110</f>
        <v>1</v>
      </c>
      <c r="Q110" s="411">
        <f>MIN(1,$P110+Q$54)</f>
        <v>1</v>
      </c>
      <c r="R110" s="411"/>
      <c r="S110" s="411">
        <f>MIN(1,$P110+S$54)</f>
        <v>1</v>
      </c>
      <c r="T110" s="411">
        <f>MIN(1,$P110+T$54)</f>
        <v>1</v>
      </c>
      <c r="U110" s="411">
        <f t="shared" ref="U110:Y110" si="82">MIN(1,$P110+U$54)</f>
        <v>1</v>
      </c>
      <c r="V110" s="411">
        <f t="shared" si="82"/>
        <v>1</v>
      </c>
      <c r="W110" s="411">
        <f t="shared" si="82"/>
        <v>1</v>
      </c>
      <c r="X110" s="411">
        <f t="shared" si="82"/>
        <v>1</v>
      </c>
      <c r="Y110" s="411">
        <f t="shared" si="82"/>
        <v>1</v>
      </c>
      <c r="AA110" s="410">
        <f>P110/(1+$P$56+$AA$56)</f>
        <v>0.96153846153846145</v>
      </c>
      <c r="AB110" s="411">
        <f>$AA110*AB$54</f>
        <v>0.76923076923076916</v>
      </c>
      <c r="AC110" s="411"/>
      <c r="AD110" s="411">
        <f>$AA110*AD$54</f>
        <v>0.38461538461538458</v>
      </c>
      <c r="AE110" s="411">
        <f>$AA110*AE$54</f>
        <v>0.28846153846153844</v>
      </c>
      <c r="AF110" s="411">
        <f t="shared" ref="AF110:AJ110" si="83">$AA110*AF$54</f>
        <v>0.24038461538461536</v>
      </c>
      <c r="AG110" s="411">
        <f t="shared" si="83"/>
        <v>0.19230769230769229</v>
      </c>
      <c r="AH110" s="411">
        <f t="shared" si="83"/>
        <v>0.14423076923076922</v>
      </c>
      <c r="AI110" s="411">
        <f t="shared" si="83"/>
        <v>9.6153846153846145E-2</v>
      </c>
      <c r="AJ110" s="411">
        <f t="shared" si="83"/>
        <v>4.8076923076923073E-2</v>
      </c>
      <c r="AK110" s="314">
        <f t="shared" si="26"/>
        <v>50</v>
      </c>
      <c r="AN110" s="389"/>
      <c r="AO110" s="389"/>
    </row>
    <row r="111" spans="1:41" ht="15">
      <c r="A111" s="352" t="s">
        <v>704</v>
      </c>
      <c r="F111" s="382"/>
      <c r="H111" s="349"/>
      <c r="I111" s="349"/>
      <c r="J111" s="349"/>
      <c r="L111" s="359"/>
      <c r="M111" s="356"/>
      <c r="N111" s="356"/>
      <c r="P111" s="479"/>
      <c r="AK111" s="314">
        <f t="shared" si="26"/>
        <v>51</v>
      </c>
      <c r="AN111" s="389"/>
      <c r="AO111" s="389"/>
    </row>
    <row r="112" spans="1:41" ht="15">
      <c r="A112" s="343" t="str">
        <f>"\I:"&amp;A51</f>
        <v>\I:Commercial - Other</v>
      </c>
      <c r="B112" s="343"/>
      <c r="C112" s="353"/>
      <c r="D112" s="353"/>
      <c r="E112" s="339"/>
      <c r="F112" s="382"/>
      <c r="G112" s="339"/>
      <c r="H112" s="349"/>
      <c r="I112" s="349"/>
      <c r="J112" s="349"/>
      <c r="K112" s="357"/>
      <c r="L112" s="358"/>
      <c r="M112" s="358"/>
      <c r="N112" s="307"/>
      <c r="O112" s="307"/>
      <c r="P112" s="479"/>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14">
        <f t="shared" si="26"/>
        <v>52</v>
      </c>
      <c r="AL112" s="307"/>
      <c r="AM112" s="307"/>
      <c r="AN112" s="389">
        <f t="shared" si="25"/>
        <v>0</v>
      </c>
    </row>
    <row r="113" spans="1:41" ht="15">
      <c r="A113" s="343" t="str">
        <f>A$51&amp;" - "&amp;VLOOKUP(RIGHT(C113,3),NameConv!$E$3:$F$16,2,FALSE)&amp;" - Existing"</f>
        <v>Commercial - Other - Coal - Existing</v>
      </c>
      <c r="B113" s="343" t="str">
        <f t="shared" ref="B113:B119" si="84">D113&amp;RIGHT(C113,3)&amp;"-E"</f>
        <v>CNOCOA-E</v>
      </c>
      <c r="C113" s="346" t="str">
        <f>$C$6</f>
        <v>COMCOA</v>
      </c>
      <c r="D113" s="346" t="str">
        <f>$B$51</f>
        <v>CNO</v>
      </c>
      <c r="E113" s="347">
        <f>Appliances!G46</f>
        <v>1</v>
      </c>
      <c r="F113" s="382">
        <f>SUMIF(AFA!$B$2:$J$2,D113,AFA!$B$4:$J$4)</f>
        <v>0.64739999999999998</v>
      </c>
      <c r="G113" s="348">
        <v>15</v>
      </c>
      <c r="H113" s="349">
        <f t="shared" ref="H113:H119" si="85">(N113/F113)*(1+$H$55)</f>
        <v>0</v>
      </c>
      <c r="I113" s="349">
        <f>COM_2012!I113</f>
        <v>410.88682603593844</v>
      </c>
      <c r="J113" s="349">
        <f>COM_2012!J113</f>
        <v>41.088682603593845</v>
      </c>
      <c r="L113" s="350">
        <v>0</v>
      </c>
      <c r="M113" s="349">
        <f t="shared" ref="M113:M119" si="86">L113*SUMIF($C$6:$J$6,C113,$C$51:$J$51)</f>
        <v>0</v>
      </c>
      <c r="N113" s="349">
        <f t="shared" ref="N113:N119" si="87">M113*E113</f>
        <v>0</v>
      </c>
      <c r="P113" s="479">
        <f>COM_2012!P113</f>
        <v>0</v>
      </c>
      <c r="Q113" s="411">
        <f>P113</f>
        <v>0</v>
      </c>
      <c r="R113" s="411"/>
      <c r="S113" s="411">
        <f t="shared" ref="S113:S119" si="88">Q113</f>
        <v>0</v>
      </c>
      <c r="T113" s="411">
        <f t="shared" ref="T113:Y113" si="89">S113</f>
        <v>0</v>
      </c>
      <c r="U113" s="411">
        <f t="shared" si="89"/>
        <v>0</v>
      </c>
      <c r="V113" s="411">
        <f t="shared" si="89"/>
        <v>0</v>
      </c>
      <c r="W113" s="411">
        <f t="shared" si="89"/>
        <v>0</v>
      </c>
      <c r="X113" s="411">
        <f t="shared" si="89"/>
        <v>0</v>
      </c>
      <c r="Y113" s="411">
        <f t="shared" si="89"/>
        <v>0</v>
      </c>
      <c r="AA113" s="410">
        <f t="shared" ref="AA113:AA119" si="90">P113/(1+$P$56+$AA$56)</f>
        <v>0</v>
      </c>
      <c r="AB113" s="411">
        <f>$AA113</f>
        <v>0</v>
      </c>
      <c r="AC113" s="411"/>
      <c r="AD113" s="411">
        <f t="shared" ref="AD113:AJ119" si="91">$AA113</f>
        <v>0</v>
      </c>
      <c r="AE113" s="411">
        <f t="shared" si="91"/>
        <v>0</v>
      </c>
      <c r="AF113" s="411">
        <f t="shared" si="91"/>
        <v>0</v>
      </c>
      <c r="AG113" s="411">
        <f t="shared" si="91"/>
        <v>0</v>
      </c>
      <c r="AH113" s="411">
        <f t="shared" si="91"/>
        <v>0</v>
      </c>
      <c r="AI113" s="411">
        <f t="shared" si="91"/>
        <v>0</v>
      </c>
      <c r="AJ113" s="411">
        <f t="shared" si="91"/>
        <v>0</v>
      </c>
      <c r="AK113" s="314">
        <f t="shared" si="26"/>
        <v>53</v>
      </c>
      <c r="AN113" s="389">
        <f t="shared" si="25"/>
        <v>0</v>
      </c>
    </row>
    <row r="114" spans="1:41" ht="15">
      <c r="A114" s="343" t="str">
        <f>A$51&amp;" - "&amp;VLOOKUP(RIGHT(C114,3),NameConv!$E$3:$F$16,2,FALSE)&amp;" - Existing"</f>
        <v>Commercial - Other - Oil Diesel - Existing</v>
      </c>
      <c r="B114" s="343" t="str">
        <f t="shared" si="84"/>
        <v>CNOODS-E</v>
      </c>
      <c r="C114" s="346" t="str">
        <f>$D$6</f>
        <v>COMODS</v>
      </c>
      <c r="D114" s="346" t="str">
        <f t="shared" ref="D114:D119" si="92">$B$51</f>
        <v>CNO</v>
      </c>
      <c r="E114" s="347">
        <f>Appliances!G47</f>
        <v>0.9</v>
      </c>
      <c r="F114" s="382">
        <f>SUMIF(AFA!$B$2:$J$2,D114,AFA!$B$4:$J$4)</f>
        <v>0.64739999999999998</v>
      </c>
      <c r="G114" s="348">
        <v>15</v>
      </c>
      <c r="H114" s="349">
        <f t="shared" si="85"/>
        <v>0</v>
      </c>
      <c r="I114" s="349">
        <f>COM_2012!I114</f>
        <v>410.88682603593844</v>
      </c>
      <c r="J114" s="349">
        <f>COM_2012!J114</f>
        <v>41.088682603593845</v>
      </c>
      <c r="L114" s="350">
        <v>0</v>
      </c>
      <c r="M114" s="349">
        <f t="shared" si="86"/>
        <v>0</v>
      </c>
      <c r="N114" s="349">
        <f t="shared" si="87"/>
        <v>0</v>
      </c>
      <c r="P114" s="479">
        <f>COM_2012!P114</f>
        <v>3.4031958996781693E-2</v>
      </c>
      <c r="Q114" s="411">
        <f t="shared" ref="Q114:Y119" si="93">P114</f>
        <v>3.4031958996781693E-2</v>
      </c>
      <c r="R114" s="411"/>
      <c r="S114" s="411">
        <f t="shared" si="88"/>
        <v>3.4031958996781693E-2</v>
      </c>
      <c r="T114" s="411">
        <f t="shared" si="93"/>
        <v>3.4031958996781693E-2</v>
      </c>
      <c r="U114" s="411">
        <f t="shared" si="93"/>
        <v>3.4031958996781693E-2</v>
      </c>
      <c r="V114" s="411">
        <f t="shared" si="93"/>
        <v>3.4031958996781693E-2</v>
      </c>
      <c r="W114" s="411">
        <f t="shared" si="93"/>
        <v>3.4031958996781693E-2</v>
      </c>
      <c r="X114" s="411">
        <f t="shared" si="93"/>
        <v>3.4031958996781693E-2</v>
      </c>
      <c r="Y114" s="411">
        <f t="shared" si="93"/>
        <v>3.4031958996781693E-2</v>
      </c>
      <c r="AA114" s="410">
        <f t="shared" si="90"/>
        <v>3.2723037496905472E-2</v>
      </c>
      <c r="AB114" s="411">
        <f t="shared" ref="AB114:AB119" si="94">$AA114</f>
        <v>3.2723037496905472E-2</v>
      </c>
      <c r="AC114" s="411"/>
      <c r="AD114" s="411">
        <f t="shared" si="91"/>
        <v>3.2723037496905472E-2</v>
      </c>
      <c r="AE114" s="411">
        <f t="shared" si="91"/>
        <v>3.2723037496905472E-2</v>
      </c>
      <c r="AF114" s="411">
        <f t="shared" si="91"/>
        <v>3.2723037496905472E-2</v>
      </c>
      <c r="AG114" s="411">
        <f t="shared" si="91"/>
        <v>3.2723037496905472E-2</v>
      </c>
      <c r="AH114" s="411">
        <f t="shared" si="91"/>
        <v>3.2723037496905472E-2</v>
      </c>
      <c r="AI114" s="411">
        <f t="shared" si="91"/>
        <v>3.2723037496905472E-2</v>
      </c>
      <c r="AJ114" s="411">
        <f t="shared" si="91"/>
        <v>3.2723037496905472E-2</v>
      </c>
      <c r="AK114" s="314">
        <f t="shared" si="26"/>
        <v>54</v>
      </c>
      <c r="AN114" s="389">
        <f t="shared" si="25"/>
        <v>3.0628763097103523E-2</v>
      </c>
    </row>
    <row r="115" spans="1:41" ht="15">
      <c r="A115" s="343" t="str">
        <f>A$51&amp;" - "&amp;VLOOKUP(RIGHT(C115,3),NameConv!$E$3:$F$16,2,FALSE)&amp;" - Existing"</f>
        <v>Commercial - Other - Electricity - Existing</v>
      </c>
      <c r="B115" s="343" t="str">
        <f t="shared" si="84"/>
        <v>CNOELC-E</v>
      </c>
      <c r="C115" s="346" t="str">
        <f>$E$6</f>
        <v>COMELC</v>
      </c>
      <c r="D115" s="346" t="str">
        <f t="shared" si="92"/>
        <v>CNO</v>
      </c>
      <c r="E115" s="347">
        <f>Appliances!G45</f>
        <v>0.75</v>
      </c>
      <c r="F115" s="382">
        <f>SUMIF(AFA!$B$2:$J$2,D115,AFA!$B$4:$J$4)</f>
        <v>0.64739999999999998</v>
      </c>
      <c r="G115" s="348">
        <v>15</v>
      </c>
      <c r="H115" s="349">
        <f t="shared" si="85"/>
        <v>0</v>
      </c>
      <c r="I115" s="349">
        <f>COM_2012!I115</f>
        <v>410.88682603593844</v>
      </c>
      <c r="J115" s="349">
        <f>COM_2012!J115</f>
        <v>41.088682603593845</v>
      </c>
      <c r="L115" s="350">
        <v>0</v>
      </c>
      <c r="M115" s="349">
        <f t="shared" si="86"/>
        <v>0</v>
      </c>
      <c r="N115" s="349">
        <f t="shared" si="87"/>
        <v>0</v>
      </c>
      <c r="P115" s="479">
        <f>COM_2012!P115</f>
        <v>0.97329195885848907</v>
      </c>
      <c r="Q115" s="411">
        <f t="shared" si="93"/>
        <v>0.97329195885848907</v>
      </c>
      <c r="R115" s="411"/>
      <c r="S115" s="411">
        <f t="shared" si="88"/>
        <v>0.97329195885848907</v>
      </c>
      <c r="T115" s="411">
        <f t="shared" si="93"/>
        <v>0.97329195885848907</v>
      </c>
      <c r="U115" s="411">
        <f t="shared" si="93"/>
        <v>0.97329195885848907</v>
      </c>
      <c r="V115" s="411">
        <f t="shared" si="93"/>
        <v>0.97329195885848907</v>
      </c>
      <c r="W115" s="411">
        <f t="shared" si="93"/>
        <v>0.97329195885848907</v>
      </c>
      <c r="X115" s="411">
        <f t="shared" si="93"/>
        <v>0.97329195885848907</v>
      </c>
      <c r="Y115" s="411">
        <f t="shared" si="93"/>
        <v>0.97329195885848907</v>
      </c>
      <c r="AA115" s="410">
        <f t="shared" si="90"/>
        <v>0.93585765274854715</v>
      </c>
      <c r="AB115" s="411">
        <f t="shared" si="94"/>
        <v>0.93585765274854715</v>
      </c>
      <c r="AC115" s="411"/>
      <c r="AD115" s="411">
        <f t="shared" si="91"/>
        <v>0.93585765274854715</v>
      </c>
      <c r="AE115" s="411">
        <f t="shared" si="91"/>
        <v>0.93585765274854715</v>
      </c>
      <c r="AF115" s="411">
        <f t="shared" si="91"/>
        <v>0.93585765274854715</v>
      </c>
      <c r="AG115" s="411">
        <f t="shared" si="91"/>
        <v>0.93585765274854715</v>
      </c>
      <c r="AH115" s="411">
        <f t="shared" si="91"/>
        <v>0.93585765274854715</v>
      </c>
      <c r="AI115" s="411">
        <f t="shared" si="91"/>
        <v>0.93585765274854715</v>
      </c>
      <c r="AJ115" s="411">
        <f t="shared" si="91"/>
        <v>0.93585765274854715</v>
      </c>
      <c r="AK115" s="314">
        <f t="shared" si="26"/>
        <v>55</v>
      </c>
      <c r="AN115" s="389">
        <f t="shared" si="25"/>
        <v>0.72996896914386677</v>
      </c>
    </row>
    <row r="116" spans="1:41" ht="15">
      <c r="A116" s="343" t="str">
        <f>A$51&amp;" - "&amp;VLOOKUP(RIGHT(C116,3),NameConv!$E$3:$F$16,2,FALSE)&amp;" - Existing"</f>
        <v>Commercial - Other - Gas - Existing</v>
      </c>
      <c r="B116" s="343" t="str">
        <f t="shared" si="84"/>
        <v>CNOGAS-E</v>
      </c>
      <c r="C116" s="346" t="str">
        <f>$F$6</f>
        <v>COMGAS</v>
      </c>
      <c r="D116" s="346" t="str">
        <f t="shared" si="92"/>
        <v>CNO</v>
      </c>
      <c r="E116" s="347">
        <v>1</v>
      </c>
      <c r="F116" s="382">
        <f>SUMIF(AFA!$B$2:$J$2,D116,AFA!$B$4:$J$4)</f>
        <v>0.64739999999999998</v>
      </c>
      <c r="G116" s="348">
        <v>15</v>
      </c>
      <c r="H116" s="349">
        <f t="shared" si="85"/>
        <v>0</v>
      </c>
      <c r="I116" s="349">
        <f>COM_2012!I116</f>
        <v>410.88682603593844</v>
      </c>
      <c r="J116" s="349">
        <f>COM_2012!J116</f>
        <v>41.088682603593845</v>
      </c>
      <c r="L116" s="350">
        <v>0</v>
      </c>
      <c r="M116" s="349">
        <f t="shared" si="86"/>
        <v>0</v>
      </c>
      <c r="N116" s="349">
        <f t="shared" si="87"/>
        <v>0</v>
      </c>
      <c r="P116" s="479">
        <f>COM_2012!P116</f>
        <v>0</v>
      </c>
      <c r="Q116" s="411">
        <f t="shared" si="93"/>
        <v>0</v>
      </c>
      <c r="R116" s="411"/>
      <c r="S116" s="411">
        <f t="shared" si="88"/>
        <v>0</v>
      </c>
      <c r="T116" s="411">
        <f t="shared" si="93"/>
        <v>0</v>
      </c>
      <c r="U116" s="411">
        <f t="shared" si="93"/>
        <v>0</v>
      </c>
      <c r="V116" s="411">
        <f t="shared" si="93"/>
        <v>0</v>
      </c>
      <c r="W116" s="411">
        <f t="shared" si="93"/>
        <v>0</v>
      </c>
      <c r="X116" s="411">
        <f t="shared" si="93"/>
        <v>0</v>
      </c>
      <c r="Y116" s="411">
        <f t="shared" si="93"/>
        <v>0</v>
      </c>
      <c r="AA116" s="410">
        <f t="shared" si="90"/>
        <v>0</v>
      </c>
      <c r="AB116" s="411">
        <f t="shared" si="94"/>
        <v>0</v>
      </c>
      <c r="AC116" s="411"/>
      <c r="AD116" s="411">
        <f t="shared" si="91"/>
        <v>0</v>
      </c>
      <c r="AE116" s="411">
        <f t="shared" si="91"/>
        <v>0</v>
      </c>
      <c r="AF116" s="411">
        <f t="shared" si="91"/>
        <v>0</v>
      </c>
      <c r="AG116" s="411">
        <f t="shared" si="91"/>
        <v>0</v>
      </c>
      <c r="AH116" s="411">
        <f t="shared" si="91"/>
        <v>0</v>
      </c>
      <c r="AI116" s="411">
        <f t="shared" si="91"/>
        <v>0</v>
      </c>
      <c r="AJ116" s="411">
        <f t="shared" si="91"/>
        <v>0</v>
      </c>
      <c r="AK116" s="314">
        <f t="shared" si="26"/>
        <v>56</v>
      </c>
      <c r="AN116" s="389">
        <f t="shared" si="25"/>
        <v>0</v>
      </c>
    </row>
    <row r="117" spans="1:41" ht="15">
      <c r="A117" s="343" t="str">
        <f>A$51&amp;" - "&amp;VLOOKUP(RIGHT(C117,3),NameConv!$E$3:$F$16,2,FALSE)&amp;" - Existing"</f>
        <v>Commercial - Other - Oil Gasoline - Existing</v>
      </c>
      <c r="B117" s="343" t="str">
        <f t="shared" si="84"/>
        <v>CNOOGS-E</v>
      </c>
      <c r="C117" s="346" t="str">
        <f>$G$6</f>
        <v>COMOGS</v>
      </c>
      <c r="D117" s="346" t="str">
        <f t="shared" si="92"/>
        <v>CNO</v>
      </c>
      <c r="E117" s="347">
        <v>1</v>
      </c>
      <c r="F117" s="382">
        <f>SUMIF(AFA!$B$2:$J$2,D117,AFA!$B$4:$J$4)</f>
        <v>0.64739999999999998</v>
      </c>
      <c r="G117" s="348">
        <v>15</v>
      </c>
      <c r="H117" s="349">
        <f t="shared" si="85"/>
        <v>0</v>
      </c>
      <c r="I117" s="349">
        <f>COM_2012!I117</f>
        <v>410.88682603593844</v>
      </c>
      <c r="J117" s="349">
        <f>COM_2012!J117</f>
        <v>41.088682603593845</v>
      </c>
      <c r="L117" s="350">
        <v>0</v>
      </c>
      <c r="M117" s="349">
        <f t="shared" si="86"/>
        <v>0</v>
      </c>
      <c r="N117" s="349">
        <f t="shared" si="87"/>
        <v>0</v>
      </c>
      <c r="P117" s="479">
        <f>COM_2012!P117</f>
        <v>0</v>
      </c>
      <c r="Q117" s="411">
        <f t="shared" si="93"/>
        <v>0</v>
      </c>
      <c r="R117" s="411"/>
      <c r="S117" s="411">
        <f t="shared" si="88"/>
        <v>0</v>
      </c>
      <c r="T117" s="411">
        <f t="shared" si="93"/>
        <v>0</v>
      </c>
      <c r="U117" s="411">
        <f t="shared" si="93"/>
        <v>0</v>
      </c>
      <c r="V117" s="411">
        <f t="shared" si="93"/>
        <v>0</v>
      </c>
      <c r="W117" s="411">
        <f t="shared" si="93"/>
        <v>0</v>
      </c>
      <c r="X117" s="411">
        <f t="shared" si="93"/>
        <v>0</v>
      </c>
      <c r="Y117" s="411">
        <f t="shared" si="93"/>
        <v>0</v>
      </c>
      <c r="AA117" s="410">
        <f t="shared" si="90"/>
        <v>0</v>
      </c>
      <c r="AB117" s="411">
        <f t="shared" si="94"/>
        <v>0</v>
      </c>
      <c r="AC117" s="411"/>
      <c r="AD117" s="411">
        <f t="shared" si="91"/>
        <v>0</v>
      </c>
      <c r="AE117" s="411">
        <f t="shared" si="91"/>
        <v>0</v>
      </c>
      <c r="AF117" s="411">
        <f t="shared" si="91"/>
        <v>0</v>
      </c>
      <c r="AG117" s="411">
        <f t="shared" si="91"/>
        <v>0</v>
      </c>
      <c r="AH117" s="411">
        <f t="shared" si="91"/>
        <v>0</v>
      </c>
      <c r="AI117" s="411">
        <f t="shared" si="91"/>
        <v>0</v>
      </c>
      <c r="AJ117" s="411">
        <f t="shared" si="91"/>
        <v>0</v>
      </c>
      <c r="AK117" s="314">
        <f t="shared" si="26"/>
        <v>57</v>
      </c>
      <c r="AN117" s="389">
        <f t="shared" si="25"/>
        <v>0</v>
      </c>
    </row>
    <row r="118" spans="1:41" ht="15">
      <c r="A118" s="343" t="str">
        <f>A$51&amp;" - "&amp;VLOOKUP(RIGHT(C118,3),NameConv!$E$3:$F$16,2,FALSE)&amp;" - Existing"</f>
        <v>Commercial - Other - Oil HFO - Existing</v>
      </c>
      <c r="B118" s="343" t="str">
        <f t="shared" si="84"/>
        <v>CNOOHF-E</v>
      </c>
      <c r="C118" s="346" t="str">
        <f>$H$6</f>
        <v>COMOHF</v>
      </c>
      <c r="D118" s="346" t="str">
        <f t="shared" si="92"/>
        <v>CNO</v>
      </c>
      <c r="E118" s="347">
        <v>1</v>
      </c>
      <c r="F118" s="382">
        <f>SUMIF(AFA!$B$2:$J$2,D118,AFA!$B$4:$J$4)</f>
        <v>0.64739999999999998</v>
      </c>
      <c r="G118" s="348">
        <v>15</v>
      </c>
      <c r="H118" s="349">
        <f t="shared" si="85"/>
        <v>0</v>
      </c>
      <c r="I118" s="349">
        <f>COM_2012!I118</f>
        <v>410.88682603593844</v>
      </c>
      <c r="J118" s="349">
        <f>COM_2012!J118</f>
        <v>41.088682603593845</v>
      </c>
      <c r="L118" s="350">
        <v>0</v>
      </c>
      <c r="M118" s="349">
        <f t="shared" si="86"/>
        <v>0</v>
      </c>
      <c r="N118" s="349">
        <f t="shared" si="87"/>
        <v>0</v>
      </c>
      <c r="P118" s="479">
        <f>COM_2012!P118</f>
        <v>1.2676082144729341E-2</v>
      </c>
      <c r="Q118" s="411">
        <f t="shared" si="93"/>
        <v>1.2676082144729341E-2</v>
      </c>
      <c r="R118" s="411"/>
      <c r="S118" s="411">
        <f t="shared" si="88"/>
        <v>1.2676082144729341E-2</v>
      </c>
      <c r="T118" s="411">
        <f t="shared" si="93"/>
        <v>1.2676082144729341E-2</v>
      </c>
      <c r="U118" s="411">
        <f t="shared" si="93"/>
        <v>1.2676082144729341E-2</v>
      </c>
      <c r="V118" s="411">
        <f t="shared" si="93"/>
        <v>1.2676082144729341E-2</v>
      </c>
      <c r="W118" s="411">
        <f t="shared" si="93"/>
        <v>1.2676082144729341E-2</v>
      </c>
      <c r="X118" s="411">
        <f t="shared" si="93"/>
        <v>1.2676082144729341E-2</v>
      </c>
      <c r="Y118" s="411">
        <f t="shared" si="93"/>
        <v>1.2676082144729341E-2</v>
      </c>
      <c r="AA118" s="410">
        <f t="shared" si="90"/>
        <v>1.2188540523778213E-2</v>
      </c>
      <c r="AB118" s="411">
        <f t="shared" si="94"/>
        <v>1.2188540523778213E-2</v>
      </c>
      <c r="AC118" s="411"/>
      <c r="AD118" s="411">
        <f t="shared" si="91"/>
        <v>1.2188540523778213E-2</v>
      </c>
      <c r="AE118" s="411">
        <f t="shared" si="91"/>
        <v>1.2188540523778213E-2</v>
      </c>
      <c r="AF118" s="411">
        <f t="shared" si="91"/>
        <v>1.2188540523778213E-2</v>
      </c>
      <c r="AG118" s="411">
        <f t="shared" si="91"/>
        <v>1.2188540523778213E-2</v>
      </c>
      <c r="AH118" s="411">
        <f t="shared" si="91"/>
        <v>1.2188540523778213E-2</v>
      </c>
      <c r="AI118" s="411">
        <f t="shared" si="91"/>
        <v>1.2188540523778213E-2</v>
      </c>
      <c r="AJ118" s="411">
        <f t="shared" si="91"/>
        <v>1.2188540523778213E-2</v>
      </c>
      <c r="AK118" s="314">
        <f t="shared" si="26"/>
        <v>58</v>
      </c>
      <c r="AN118" s="389">
        <f t="shared" si="25"/>
        <v>1.2676082144729341E-2</v>
      </c>
    </row>
    <row r="119" spans="1:41" ht="15">
      <c r="A119" s="343" t="str">
        <f>A$51&amp;" - "&amp;VLOOKUP(RIGHT(C119,3),NameConv!$E$3:$F$16,2,FALSE)&amp;" - Existing"</f>
        <v>Commercial - Other - Oil Paraffin - Existing</v>
      </c>
      <c r="B119" s="343" t="str">
        <f t="shared" si="84"/>
        <v>CNOOKE-E</v>
      </c>
      <c r="C119" s="346" t="str">
        <f>$I$6</f>
        <v>COMOKE</v>
      </c>
      <c r="D119" s="346" t="str">
        <f t="shared" si="92"/>
        <v>CNO</v>
      </c>
      <c r="E119" s="347">
        <v>1</v>
      </c>
      <c r="F119" s="382">
        <f>SUMIF(AFA!$B$2:$J$2,D119,AFA!$B$4:$J$4)</f>
        <v>0.64739999999999998</v>
      </c>
      <c r="G119" s="348">
        <v>15</v>
      </c>
      <c r="H119" s="349">
        <f t="shared" si="85"/>
        <v>0</v>
      </c>
      <c r="I119" s="349">
        <f>COM_2012!I119</f>
        <v>410.88682603593844</v>
      </c>
      <c r="J119" s="349">
        <f>COM_2012!J119</f>
        <v>41.088682603593845</v>
      </c>
      <c r="L119" s="350">
        <v>0</v>
      </c>
      <c r="M119" s="349">
        <f t="shared" si="86"/>
        <v>0</v>
      </c>
      <c r="N119" s="349">
        <f t="shared" si="87"/>
        <v>0</v>
      </c>
      <c r="P119" s="479">
        <f>COM_2012!P119</f>
        <v>0</v>
      </c>
      <c r="Q119" s="411">
        <f t="shared" si="93"/>
        <v>0</v>
      </c>
      <c r="R119" s="411"/>
      <c r="S119" s="411">
        <f t="shared" si="88"/>
        <v>0</v>
      </c>
      <c r="T119" s="411">
        <f t="shared" si="93"/>
        <v>0</v>
      </c>
      <c r="U119" s="411">
        <f t="shared" si="93"/>
        <v>0</v>
      </c>
      <c r="V119" s="411">
        <f t="shared" si="93"/>
        <v>0</v>
      </c>
      <c r="W119" s="411">
        <f t="shared" si="93"/>
        <v>0</v>
      </c>
      <c r="X119" s="411">
        <f t="shared" si="93"/>
        <v>0</v>
      </c>
      <c r="Y119" s="411">
        <f t="shared" si="93"/>
        <v>0</v>
      </c>
      <c r="AA119" s="410">
        <f t="shared" si="90"/>
        <v>0</v>
      </c>
      <c r="AB119" s="411">
        <f t="shared" si="94"/>
        <v>0</v>
      </c>
      <c r="AC119" s="411"/>
      <c r="AD119" s="411">
        <f t="shared" si="91"/>
        <v>0</v>
      </c>
      <c r="AE119" s="411">
        <f t="shared" si="91"/>
        <v>0</v>
      </c>
      <c r="AF119" s="411">
        <f t="shared" si="91"/>
        <v>0</v>
      </c>
      <c r="AG119" s="411">
        <f t="shared" si="91"/>
        <v>0</v>
      </c>
      <c r="AH119" s="411">
        <f t="shared" si="91"/>
        <v>0</v>
      </c>
      <c r="AI119" s="411">
        <f t="shared" si="91"/>
        <v>0</v>
      </c>
      <c r="AJ119" s="411">
        <f t="shared" si="91"/>
        <v>0</v>
      </c>
      <c r="AK119" s="314">
        <f t="shared" si="26"/>
        <v>59</v>
      </c>
      <c r="AN119" s="389">
        <f t="shared" si="25"/>
        <v>0</v>
      </c>
    </row>
    <row r="120" spans="1:41">
      <c r="A120" s="352" t="s">
        <v>704</v>
      </c>
      <c r="L120" s="359"/>
      <c r="M120" s="356">
        <f>SUM(M113:M119)</f>
        <v>0</v>
      </c>
      <c r="N120" s="356">
        <f>SUM(N113:N119)</f>
        <v>0</v>
      </c>
      <c r="P120" s="479"/>
      <c r="AK120" s="314">
        <f t="shared" si="26"/>
        <v>60</v>
      </c>
      <c r="AN120" s="389">
        <f t="shared" si="25"/>
        <v>0</v>
      </c>
      <c r="AO120">
        <f>SUM(AN113:AN119)/SUM(P113:P119)</f>
        <v>0.75811158273107793</v>
      </c>
    </row>
    <row r="121" spans="1:41" s="361" customFormat="1">
      <c r="A121" s="360" t="s">
        <v>705</v>
      </c>
      <c r="B121" s="361">
        <f>SUMPRODUCT(--(B61:B120&lt;&gt;""))</f>
        <v>43</v>
      </c>
      <c r="O121" s="361">
        <f>ROW()-56</f>
        <v>65</v>
      </c>
      <c r="AK121" s="314">
        <f t="shared" si="26"/>
        <v>61</v>
      </c>
    </row>
  </sheetData>
  <mergeCells count="1">
    <mergeCell ref="B1:D1"/>
  </mergeCell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9">
    <tabColor theme="9" tint="-0.249977111117893"/>
  </sheetPr>
  <dimension ref="A1:M85"/>
  <sheetViews>
    <sheetView workbookViewId="0"/>
  </sheetViews>
  <sheetFormatPr defaultColWidth="11.42578125" defaultRowHeight="11.25"/>
  <cols>
    <col min="1" max="1" width="12.42578125" style="304" customWidth="1"/>
    <col min="2" max="2" width="11.42578125" style="304" customWidth="1"/>
    <col min="3" max="3" width="14.7109375" style="304" customWidth="1"/>
    <col min="4" max="4" width="44.28515625" style="304" customWidth="1"/>
    <col min="5" max="5" width="10.140625" style="304" customWidth="1"/>
    <col min="6" max="6" width="28.7109375" style="304" customWidth="1"/>
    <col min="7" max="16384" width="11.42578125" style="304"/>
  </cols>
  <sheetData>
    <row r="1" spans="1:13">
      <c r="A1" s="303" t="s">
        <v>706</v>
      </c>
      <c r="B1" s="304" t="s">
        <v>707</v>
      </c>
      <c r="I1" s="304" t="s">
        <v>708</v>
      </c>
    </row>
    <row r="2" spans="1:13">
      <c r="A2" s="304" t="s">
        <v>709</v>
      </c>
    </row>
    <row r="3" spans="1:13" ht="18.75" customHeight="1">
      <c r="A3" s="304" t="s">
        <v>709</v>
      </c>
      <c r="C3" s="304" t="s">
        <v>978</v>
      </c>
      <c r="D3" s="491">
        <f>ROW(COM_2012!$A$60)</f>
        <v>60</v>
      </c>
    </row>
    <row r="4" spans="1:13">
      <c r="A4" s="304" t="s">
        <v>709</v>
      </c>
    </row>
    <row r="5" spans="1:13">
      <c r="A5" s="304" t="s">
        <v>709</v>
      </c>
    </row>
    <row r="6" spans="1:13">
      <c r="A6" s="304" t="s">
        <v>709</v>
      </c>
    </row>
    <row r="7" spans="1:13">
      <c r="A7" s="304" t="s">
        <v>709</v>
      </c>
      <c r="B7" s="303" t="s">
        <v>710</v>
      </c>
      <c r="C7" s="362" t="s">
        <v>711</v>
      </c>
      <c r="D7" s="303" t="s">
        <v>712</v>
      </c>
      <c r="E7" s="303" t="s">
        <v>713</v>
      </c>
      <c r="F7" s="303" t="s">
        <v>714</v>
      </c>
      <c r="G7" s="303" t="s">
        <v>715</v>
      </c>
    </row>
    <row r="8" spans="1:13">
      <c r="A8" s="304" t="s">
        <v>709</v>
      </c>
      <c r="B8" s="303" t="s">
        <v>1439</v>
      </c>
      <c r="C8" s="362"/>
      <c r="D8" s="303"/>
      <c r="E8" s="303"/>
      <c r="F8" s="303"/>
      <c r="G8" s="303"/>
    </row>
    <row r="9" spans="1:13">
      <c r="B9" s="363" t="str">
        <f t="shared" ref="B9:B17" si="0">IF(A9="*","","T")</f>
        <v>T</v>
      </c>
      <c r="C9" s="364" t="str">
        <f>"ZZCOM"&amp;L9</f>
        <v>ZZCOMCEC</v>
      </c>
      <c r="D9" s="364" t="str">
        <f>"Backstop - "&amp;M9</f>
        <v>Backstop - Commercial - Cooling</v>
      </c>
      <c r="E9" s="363" t="str">
        <f>"PJ,"&amp;IF(RIGHT(C9,3)="ELC","GW","PJa")</f>
        <v>PJ,PJa</v>
      </c>
      <c r="F9" s="363" t="s">
        <v>1015</v>
      </c>
      <c r="G9" s="303"/>
      <c r="I9" s="304">
        <v>1</v>
      </c>
      <c r="L9" s="304" t="s">
        <v>910</v>
      </c>
      <c r="M9" s="304" t="s">
        <v>1432</v>
      </c>
    </row>
    <row r="10" spans="1:13">
      <c r="B10" s="363" t="str">
        <f t="shared" si="0"/>
        <v>T</v>
      </c>
      <c r="C10" s="364" t="str">
        <f t="shared" ref="C10:C17" si="1">"ZZCOM"&amp;L10</f>
        <v>ZZCOMCEH</v>
      </c>
      <c r="D10" s="364" t="str">
        <f t="shared" ref="D10:D17" si="2">"Backstop - "&amp;M10</f>
        <v>Backstop - Commercial - Space Heating</v>
      </c>
      <c r="E10" s="363" t="str">
        <f t="shared" ref="E10:E17" si="3">"PJ,"&amp;IF(RIGHT(C10,3)="ELC","GW","PJa")</f>
        <v>PJ,PJa</v>
      </c>
      <c r="F10" s="363" t="s">
        <v>1015</v>
      </c>
      <c r="G10" s="303"/>
      <c r="I10" s="304">
        <f t="shared" ref="I10:I16" si="4">I9+1</f>
        <v>2</v>
      </c>
      <c r="L10" s="304" t="s">
        <v>902</v>
      </c>
      <c r="M10" s="304" t="s">
        <v>1433</v>
      </c>
    </row>
    <row r="11" spans="1:13">
      <c r="B11" s="363" t="str">
        <f t="shared" si="0"/>
        <v>T</v>
      </c>
      <c r="C11" s="364" t="str">
        <f t="shared" si="1"/>
        <v>ZZCOMCEK</v>
      </c>
      <c r="D11" s="364" t="str">
        <f t="shared" si="2"/>
        <v>Backstop - Commercial - Cooking</v>
      </c>
      <c r="E11" s="363" t="str">
        <f t="shared" si="3"/>
        <v>PJ,PJa</v>
      </c>
      <c r="F11" s="363" t="s">
        <v>1015</v>
      </c>
      <c r="G11" s="303"/>
      <c r="I11" s="304">
        <f t="shared" si="4"/>
        <v>3</v>
      </c>
      <c r="L11" s="304" t="s">
        <v>903</v>
      </c>
      <c r="M11" s="304" t="s">
        <v>1434</v>
      </c>
    </row>
    <row r="12" spans="1:13">
      <c r="B12" s="363" t="str">
        <f t="shared" si="0"/>
        <v>T</v>
      </c>
      <c r="C12" s="364" t="str">
        <f t="shared" si="1"/>
        <v>ZZCOMCEL</v>
      </c>
      <c r="D12" s="364" t="str">
        <f t="shared" si="2"/>
        <v>Backstop - Commercial - Lighting</v>
      </c>
      <c r="E12" s="363" t="str">
        <f t="shared" si="3"/>
        <v>PJ,PJa</v>
      </c>
      <c r="F12" s="363" t="s">
        <v>1015</v>
      </c>
      <c r="G12" s="303"/>
      <c r="I12" s="304">
        <f t="shared" si="4"/>
        <v>4</v>
      </c>
      <c r="L12" s="304" t="s">
        <v>904</v>
      </c>
      <c r="M12" s="304" t="s">
        <v>1435</v>
      </c>
    </row>
    <row r="13" spans="1:13">
      <c r="B13" s="363" t="str">
        <f t="shared" si="0"/>
        <v>T</v>
      </c>
      <c r="C13" s="364" t="str">
        <f t="shared" si="1"/>
        <v>ZZCOMCER</v>
      </c>
      <c r="D13" s="364" t="str">
        <f t="shared" si="2"/>
        <v>Backstop - Commercial - Refrigeration</v>
      </c>
      <c r="E13" s="363" t="str">
        <f t="shared" si="3"/>
        <v>PJ,PJa</v>
      </c>
      <c r="F13" s="363" t="s">
        <v>1015</v>
      </c>
      <c r="G13" s="303"/>
      <c r="I13" s="304">
        <f t="shared" si="4"/>
        <v>5</v>
      </c>
      <c r="L13" s="304" t="s">
        <v>905</v>
      </c>
      <c r="M13" s="304" t="s">
        <v>1436</v>
      </c>
    </row>
    <row r="14" spans="1:13">
      <c r="B14" s="363" t="str">
        <f t="shared" si="0"/>
        <v>T</v>
      </c>
      <c r="C14" s="364" t="str">
        <f t="shared" si="1"/>
        <v>ZZCOMCEW</v>
      </c>
      <c r="D14" s="364" t="str">
        <f t="shared" si="2"/>
        <v>Backstop - Commercial - Water Heating</v>
      </c>
      <c r="E14" s="363" t="str">
        <f t="shared" si="3"/>
        <v>PJ,PJa</v>
      </c>
      <c r="F14" s="363" t="s">
        <v>1015</v>
      </c>
      <c r="G14" s="303"/>
      <c r="I14" s="304">
        <f t="shared" si="4"/>
        <v>6</v>
      </c>
      <c r="L14" s="304" t="s">
        <v>906</v>
      </c>
      <c r="M14" s="304" t="s">
        <v>1437</v>
      </c>
    </row>
    <row r="15" spans="1:13">
      <c r="B15" s="363" t="str">
        <f t="shared" si="0"/>
        <v>T</v>
      </c>
      <c r="C15" s="364" t="str">
        <f t="shared" si="1"/>
        <v>ZZCOMCEG</v>
      </c>
      <c r="D15" s="364" t="str">
        <f t="shared" si="2"/>
        <v>Backstop - Commercial - Public Lights</v>
      </c>
      <c r="E15" s="363" t="str">
        <f t="shared" si="3"/>
        <v>PJ,PJa</v>
      </c>
      <c r="F15" s="363" t="s">
        <v>1015</v>
      </c>
      <c r="G15" s="303"/>
      <c r="I15" s="304">
        <f t="shared" si="4"/>
        <v>7</v>
      </c>
      <c r="L15" s="304" t="s">
        <v>907</v>
      </c>
      <c r="M15" s="304" t="s">
        <v>1259</v>
      </c>
    </row>
    <row r="16" spans="1:13">
      <c r="B16" s="363" t="str">
        <f t="shared" si="0"/>
        <v>T</v>
      </c>
      <c r="C16" s="364" t="str">
        <f t="shared" si="1"/>
        <v>ZZCOMCET</v>
      </c>
      <c r="D16" s="364" t="str">
        <f t="shared" si="2"/>
        <v>Backstop - Commercial - Public Water</v>
      </c>
      <c r="E16" s="363" t="str">
        <f t="shared" si="3"/>
        <v>PJ,PJa</v>
      </c>
      <c r="F16" s="363" t="s">
        <v>1015</v>
      </c>
      <c r="G16" s="303"/>
      <c r="I16" s="304">
        <f t="shared" si="4"/>
        <v>8</v>
      </c>
      <c r="L16" s="304" t="s">
        <v>908</v>
      </c>
      <c r="M16" s="304" t="s">
        <v>1260</v>
      </c>
    </row>
    <row r="17" spans="1:13">
      <c r="B17" s="363" t="str">
        <f t="shared" si="0"/>
        <v>T</v>
      </c>
      <c r="C17" s="364" t="str">
        <f t="shared" si="1"/>
        <v>ZZCOMCEO</v>
      </c>
      <c r="D17" s="364" t="str">
        <f t="shared" si="2"/>
        <v>Backstop - Commercial - Other</v>
      </c>
      <c r="E17" s="363" t="str">
        <f t="shared" si="3"/>
        <v>PJ,PJa</v>
      </c>
      <c r="F17" s="303" t="s">
        <v>1015</v>
      </c>
      <c r="G17" s="303"/>
      <c r="L17" s="304" t="s">
        <v>909</v>
      </c>
      <c r="M17" s="304" t="s">
        <v>1438</v>
      </c>
    </row>
    <row r="18" spans="1:13">
      <c r="A18" s="304" t="str">
        <f ca="1">IF(LEFT(INDIRECT("COM_2012!A"&amp;$D$3+ROW()-ROW($A$17)-1,1),2)="\I","*","")</f>
        <v>*</v>
      </c>
      <c r="B18" s="303" t="s">
        <v>717</v>
      </c>
      <c r="C18" s="304" t="str">
        <f ca="1">IF(A18="*","",INDIRECT("COM!B"&amp;$D$3+ROW()-ROW($C$17)-1))</f>
        <v/>
      </c>
      <c r="D18" s="304" t="str">
        <f ca="1">IF(A18="*","",INDIRECT("COM!A"&amp;$D$3+ROW()-ROW($A$17)-1,1))</f>
        <v/>
      </c>
      <c r="E18" s="363" t="str">
        <f ca="1">IF(A18="*","","PJ,PJa")</f>
        <v/>
      </c>
      <c r="F18" s="363" t="str">
        <f ca="1">IF(A18="*","","PRC,DMD,DAYNITE")</f>
        <v/>
      </c>
    </row>
    <row r="19" spans="1:13">
      <c r="A19" s="304" t="str">
        <f t="shared" ref="A19:A82" ca="1" si="5">IF(LEFT(INDIRECT("COM_2012!A"&amp;$D$3+ROW()-ROW($A$17)-1,1),2)="\I","*","")</f>
        <v/>
      </c>
      <c r="B19" s="363" t="str">
        <f t="shared" ref="B19:B71" ca="1" si="6">IF(A19="*","","T")</f>
        <v>T</v>
      </c>
      <c r="C19" s="304" t="str">
        <f ca="1">IF(A19="*","",INDIRECT("COM_2012!B"&amp;$D$3+ROW()-ROW($C$17)-1))</f>
        <v>CECELCCHIL-E</v>
      </c>
      <c r="D19" s="304" t="str">
        <f ca="1">IF(A19="*","",INDIRECT("COM_2012!A"&amp;$D$3+ROW()-ROW($A$17)-1,1))</f>
        <v>Commercial - Cooling - Electricity - Chiller - Existing</v>
      </c>
      <c r="E19" s="363" t="str">
        <f ca="1">IF(A19="*","","PJ,PJa")</f>
        <v>PJ,PJa</v>
      </c>
      <c r="F19" s="363" t="str">
        <f ca="1">IF(A19="*","","PRC,DMD,DAYNITE")</f>
        <v>PRC,DMD,DAYNITE</v>
      </c>
    </row>
    <row r="20" spans="1:13">
      <c r="A20" s="304" t="str">
        <f t="shared" ca="1" si="5"/>
        <v/>
      </c>
      <c r="B20" s="363" t="str">
        <f t="shared" ca="1" si="6"/>
        <v>T</v>
      </c>
      <c r="C20" s="304" t="str">
        <f t="shared" ref="C20:C79" ca="1" si="7">IF(A20="*","",INDIRECT("COM_2012!B"&amp;$D$3+ROW()-ROW($C$17)-1))</f>
        <v>CECELCCEN-E</v>
      </c>
      <c r="D20" s="304" t="str">
        <f t="shared" ref="D20:D77" ca="1" si="8">IF(A20="*","",INDIRECT("COM_2012!A"&amp;$D$3+ROW()-ROW($A$17)-1,1))</f>
        <v>Commercial - Cooling - Electricity - Central - Existing</v>
      </c>
      <c r="E20" s="363" t="str">
        <f t="shared" ref="E20:E68" ca="1" si="9">IF(A20="*","","PJ,PJa")</f>
        <v>PJ,PJa</v>
      </c>
      <c r="F20" s="363" t="str">
        <f t="shared" ref="F20:F68" ca="1" si="10">IF(A20="*","","PRC,DMD,DAYNITE")</f>
        <v>PRC,DMD,DAYNITE</v>
      </c>
    </row>
    <row r="21" spans="1:13">
      <c r="A21" s="304" t="str">
        <f t="shared" ca="1" si="5"/>
        <v/>
      </c>
      <c r="B21" s="363" t="str">
        <f t="shared" ca="1" si="6"/>
        <v>T</v>
      </c>
      <c r="C21" s="304" t="str">
        <f t="shared" ca="1" si="7"/>
        <v>CECELCHP-E</v>
      </c>
      <c r="D21" s="304" t="str">
        <f t="shared" ca="1" si="8"/>
        <v>Commercial - Cooling - Electricity - Heat Pump - Existing</v>
      </c>
      <c r="E21" s="363" t="str">
        <f t="shared" ca="1" si="9"/>
        <v>PJ,PJa</v>
      </c>
      <c r="F21" s="363" t="str">
        <f t="shared" ca="1" si="10"/>
        <v>PRC,DMD,DAYNITE</v>
      </c>
    </row>
    <row r="22" spans="1:13">
      <c r="A22" s="304" t="str">
        <f t="shared" ca="1" si="5"/>
        <v/>
      </c>
      <c r="B22" s="363" t="str">
        <f t="shared" ca="1" si="6"/>
        <v>T</v>
      </c>
      <c r="C22" s="304" t="str">
        <f t="shared" ca="1" si="7"/>
        <v>CECELCROOM-E</v>
      </c>
      <c r="D22" s="304" t="str">
        <f t="shared" ca="1" si="8"/>
        <v>Commercial - Cooling - Electricity - Room - Existing</v>
      </c>
      <c r="E22" s="363" t="str">
        <f t="shared" ca="1" si="9"/>
        <v>PJ,PJa</v>
      </c>
      <c r="F22" s="363" t="str">
        <f t="shared" ca="1" si="10"/>
        <v>PRC,DMD,DAYNITE</v>
      </c>
    </row>
    <row r="23" spans="1:13">
      <c r="A23" s="304" t="str">
        <f t="shared" ca="1" si="5"/>
        <v/>
      </c>
      <c r="B23" s="363" t="str">
        <f t="shared" ca="1" si="6"/>
        <v>T</v>
      </c>
      <c r="C23" s="304" t="str">
        <f t="shared" ca="1" si="7"/>
        <v>CECELCCEN-N</v>
      </c>
      <c r="D23" s="304" t="str">
        <f t="shared" ca="1" si="8"/>
        <v>Commercial - Cooling - Electricity - Central - New</v>
      </c>
      <c r="E23" s="363" t="str">
        <f t="shared" ca="1" si="9"/>
        <v>PJ,PJa</v>
      </c>
      <c r="F23" s="363" t="str">
        <f t="shared" ca="1" si="10"/>
        <v>PRC,DMD,DAYNITE</v>
      </c>
    </row>
    <row r="24" spans="1:13">
      <c r="A24" s="304" t="str">
        <f t="shared" ca="1" si="5"/>
        <v/>
      </c>
      <c r="B24" s="363" t="str">
        <f t="shared" ca="1" si="6"/>
        <v>T</v>
      </c>
      <c r="C24" s="304" t="str">
        <f t="shared" ca="1" si="7"/>
        <v>CECELCHP-N</v>
      </c>
      <c r="D24" s="304" t="str">
        <f t="shared" ca="1" si="8"/>
        <v>Commercial - Cooling - Electricity - Heat Pump - New</v>
      </c>
      <c r="E24" s="363" t="str">
        <f t="shared" ca="1" si="9"/>
        <v>PJ,PJa</v>
      </c>
      <c r="F24" s="363" t="str">
        <f t="shared" ca="1" si="10"/>
        <v>PRC,DMD,DAYNITE</v>
      </c>
    </row>
    <row r="25" spans="1:13">
      <c r="A25" s="304" t="str">
        <f t="shared" ca="1" si="5"/>
        <v>*</v>
      </c>
      <c r="B25" s="363" t="str">
        <f t="shared" ca="1" si="6"/>
        <v/>
      </c>
      <c r="C25" s="304" t="str">
        <f t="shared" ca="1" si="7"/>
        <v/>
      </c>
      <c r="D25" s="304" t="str">
        <f t="shared" ca="1" si="8"/>
        <v/>
      </c>
      <c r="E25" s="363" t="str">
        <f t="shared" ca="1" si="9"/>
        <v/>
      </c>
      <c r="F25" s="363" t="str">
        <f t="shared" ca="1" si="10"/>
        <v/>
      </c>
    </row>
    <row r="26" spans="1:13">
      <c r="A26" s="304" t="str">
        <f t="shared" ca="1" si="5"/>
        <v>*</v>
      </c>
      <c r="B26" s="363" t="str">
        <f t="shared" ca="1" si="6"/>
        <v/>
      </c>
      <c r="C26" s="304" t="str">
        <f t="shared" ca="1" si="7"/>
        <v/>
      </c>
      <c r="D26" s="304" t="str">
        <f t="shared" ca="1" si="8"/>
        <v/>
      </c>
      <c r="E26" s="363" t="str">
        <f t="shared" ca="1" si="9"/>
        <v/>
      </c>
      <c r="F26" s="363" t="str">
        <f t="shared" ca="1" si="10"/>
        <v/>
      </c>
    </row>
    <row r="27" spans="1:13">
      <c r="A27" s="304" t="str">
        <f t="shared" ca="1" si="5"/>
        <v/>
      </c>
      <c r="B27" s="363" t="str">
        <f t="shared" ca="1" si="6"/>
        <v>T</v>
      </c>
      <c r="C27" s="304" t="str">
        <f t="shared" ca="1" si="7"/>
        <v>CEHCOA-E</v>
      </c>
      <c r="D27" s="304" t="str">
        <f t="shared" ca="1" si="8"/>
        <v>Commercial - Space Heating - Coal - Existing</v>
      </c>
      <c r="E27" s="363" t="str">
        <f t="shared" ca="1" si="9"/>
        <v>PJ,PJa</v>
      </c>
      <c r="F27" s="363" t="str">
        <f t="shared" ca="1" si="10"/>
        <v>PRC,DMD,DAYNITE</v>
      </c>
    </row>
    <row r="28" spans="1:13">
      <c r="A28" s="304" t="str">
        <f t="shared" ca="1" si="5"/>
        <v/>
      </c>
      <c r="B28" s="363" t="str">
        <f t="shared" ca="1" si="6"/>
        <v>T</v>
      </c>
      <c r="C28" s="304" t="str">
        <f t="shared" ca="1" si="7"/>
        <v>CEHELC-E</v>
      </c>
      <c r="D28" s="304" t="str">
        <f t="shared" ca="1" si="8"/>
        <v>Commercial - Space Heating - Electricity - Existing</v>
      </c>
      <c r="E28" s="363" t="str">
        <f t="shared" ca="1" si="9"/>
        <v>PJ,PJa</v>
      </c>
      <c r="F28" s="363" t="str">
        <f t="shared" ca="1" si="10"/>
        <v>PRC,DMD,DAYNITE</v>
      </c>
    </row>
    <row r="29" spans="1:13">
      <c r="A29" s="304" t="str">
        <f t="shared" ca="1" si="5"/>
        <v/>
      </c>
      <c r="B29" s="363" t="str">
        <f t="shared" ca="1" si="6"/>
        <v>T</v>
      </c>
      <c r="C29" s="304" t="str">
        <f t="shared" ca="1" si="7"/>
        <v>CEHGAS-E</v>
      </c>
      <c r="D29" s="304" t="str">
        <f t="shared" ca="1" si="8"/>
        <v>Commercial - Space Heating - Gas - Existing</v>
      </c>
      <c r="E29" s="363" t="str">
        <f t="shared" ca="1" si="9"/>
        <v>PJ,PJa</v>
      </c>
      <c r="F29" s="363" t="str">
        <f t="shared" ca="1" si="10"/>
        <v>PRC,DMD,DAYNITE</v>
      </c>
    </row>
    <row r="30" spans="1:13">
      <c r="A30" s="304" t="str">
        <f t="shared" ca="1" si="5"/>
        <v/>
      </c>
      <c r="B30" s="363" t="str">
        <f t="shared" ca="1" si="6"/>
        <v>T</v>
      </c>
      <c r="C30" s="304" t="str">
        <f t="shared" ca="1" si="7"/>
        <v>CEHELC-N</v>
      </c>
      <c r="D30" s="304" t="str">
        <f t="shared" ca="1" si="8"/>
        <v>Commercial - Space Heating - Electricity - New</v>
      </c>
      <c r="E30" s="363" t="str">
        <f t="shared" ca="1" si="9"/>
        <v>PJ,PJa</v>
      </c>
      <c r="F30" s="363" t="str">
        <f t="shared" ca="1" si="10"/>
        <v>PRC,DMD,DAYNITE</v>
      </c>
    </row>
    <row r="31" spans="1:13">
      <c r="A31" s="304" t="str">
        <f t="shared" ca="1" si="5"/>
        <v/>
      </c>
      <c r="B31" s="363" t="str">
        <f t="shared" ca="1" si="6"/>
        <v>T</v>
      </c>
      <c r="C31" s="304" t="str">
        <f t="shared" ca="1" si="7"/>
        <v>CEHGAS-N</v>
      </c>
      <c r="D31" s="304" t="str">
        <f t="shared" ca="1" si="8"/>
        <v>Commercial - Space Heating - Gas - New</v>
      </c>
      <c r="E31" s="363" t="str">
        <f t="shared" ca="1" si="9"/>
        <v>PJ,PJa</v>
      </c>
      <c r="F31" s="363" t="str">
        <f t="shared" ca="1" si="10"/>
        <v>PRC,DMD,DAYNITE</v>
      </c>
    </row>
    <row r="32" spans="1:13">
      <c r="A32" s="304" t="str">
        <f t="shared" ca="1" si="5"/>
        <v>*</v>
      </c>
      <c r="B32" s="363" t="str">
        <f t="shared" ca="1" si="6"/>
        <v/>
      </c>
      <c r="C32" s="304" t="str">
        <f t="shared" ca="1" si="7"/>
        <v/>
      </c>
      <c r="D32" s="304" t="str">
        <f t="shared" ca="1" si="8"/>
        <v/>
      </c>
      <c r="E32" s="363" t="str">
        <f t="shared" ca="1" si="9"/>
        <v/>
      </c>
      <c r="F32" s="363" t="str">
        <f t="shared" ca="1" si="10"/>
        <v/>
      </c>
    </row>
    <row r="33" spans="1:6">
      <c r="A33" s="304" t="str">
        <f t="shared" ca="1" si="5"/>
        <v>*</v>
      </c>
      <c r="B33" s="363" t="str">
        <f t="shared" ca="1" si="6"/>
        <v/>
      </c>
      <c r="C33" s="304" t="str">
        <f t="shared" ca="1" si="7"/>
        <v/>
      </c>
      <c r="D33" s="304" t="str">
        <f t="shared" ca="1" si="8"/>
        <v/>
      </c>
      <c r="E33" s="363" t="str">
        <f t="shared" ca="1" si="9"/>
        <v/>
      </c>
      <c r="F33" s="363" t="str">
        <f t="shared" ca="1" si="10"/>
        <v/>
      </c>
    </row>
    <row r="34" spans="1:6">
      <c r="A34" s="304" t="str">
        <f t="shared" ca="1" si="5"/>
        <v/>
      </c>
      <c r="B34" s="363" t="str">
        <f t="shared" ca="1" si="6"/>
        <v>T</v>
      </c>
      <c r="C34" s="304" t="str">
        <f t="shared" ca="1" si="7"/>
        <v>CEKOLP-E</v>
      </c>
      <c r="D34" s="304" t="str">
        <f t="shared" ca="1" si="8"/>
        <v>Commercial - Cooking - Oil LPG - Existing</v>
      </c>
      <c r="E34" s="363" t="str">
        <f t="shared" ca="1" si="9"/>
        <v>PJ,PJa</v>
      </c>
      <c r="F34" s="363" t="str">
        <f t="shared" ca="1" si="10"/>
        <v>PRC,DMD,DAYNITE</v>
      </c>
    </row>
    <row r="35" spans="1:6">
      <c r="A35" s="304" t="str">
        <f t="shared" ca="1" si="5"/>
        <v/>
      </c>
      <c r="B35" s="363" t="str">
        <f t="shared" ca="1" si="6"/>
        <v>T</v>
      </c>
      <c r="C35" s="304" t="str">
        <f t="shared" ca="1" si="7"/>
        <v>CEKELC-E</v>
      </c>
      <c r="D35" s="304" t="str">
        <f t="shared" ca="1" si="8"/>
        <v>Commercial - Cooking - Electricity - Existing</v>
      </c>
      <c r="E35" s="363" t="str">
        <f t="shared" ca="1" si="9"/>
        <v>PJ,PJa</v>
      </c>
      <c r="F35" s="363" t="str">
        <f t="shared" ca="1" si="10"/>
        <v>PRC,DMD,DAYNITE</v>
      </c>
    </row>
    <row r="36" spans="1:6">
      <c r="A36" s="304" t="str">
        <f t="shared" ca="1" si="5"/>
        <v/>
      </c>
      <c r="B36" s="363" t="str">
        <f t="shared" ca="1" si="6"/>
        <v>T</v>
      </c>
      <c r="C36" s="304" t="str">
        <f t="shared" ca="1" si="7"/>
        <v>CEKCOA-E</v>
      </c>
      <c r="D36" s="304" t="str">
        <f t="shared" ca="1" si="8"/>
        <v>Commercial - Cooking - Coal - Existing</v>
      </c>
      <c r="E36" s="363" t="str">
        <f t="shared" ca="1" si="9"/>
        <v>PJ,PJa</v>
      </c>
      <c r="F36" s="363" t="str">
        <f t="shared" ca="1" si="10"/>
        <v>PRC,DMD,DAYNITE</v>
      </c>
    </row>
    <row r="37" spans="1:6">
      <c r="A37" s="304" t="str">
        <f t="shared" ca="1" si="5"/>
        <v>*</v>
      </c>
      <c r="B37" s="363" t="str">
        <f t="shared" ca="1" si="6"/>
        <v/>
      </c>
      <c r="C37" s="304" t="str">
        <f t="shared" ca="1" si="7"/>
        <v/>
      </c>
      <c r="D37" s="304" t="str">
        <f t="shared" ca="1" si="8"/>
        <v/>
      </c>
      <c r="E37" s="363" t="str">
        <f t="shared" ca="1" si="9"/>
        <v/>
      </c>
      <c r="F37" s="363" t="str">
        <f t="shared" ca="1" si="10"/>
        <v/>
      </c>
    </row>
    <row r="38" spans="1:6">
      <c r="A38" s="304" t="str">
        <f t="shared" ca="1" si="5"/>
        <v>*</v>
      </c>
      <c r="B38" s="363" t="str">
        <f t="shared" ca="1" si="6"/>
        <v/>
      </c>
      <c r="C38" s="304" t="str">
        <f t="shared" ca="1" si="7"/>
        <v/>
      </c>
      <c r="D38" s="304" t="str">
        <f t="shared" ca="1" si="8"/>
        <v/>
      </c>
      <c r="E38" s="363" t="str">
        <f t="shared" ca="1" si="9"/>
        <v/>
      </c>
      <c r="F38" s="363" t="str">
        <f t="shared" ca="1" si="10"/>
        <v/>
      </c>
    </row>
    <row r="39" spans="1:6">
      <c r="A39" s="304" t="str">
        <f t="shared" ca="1" si="5"/>
        <v/>
      </c>
      <c r="B39" s="363" t="str">
        <f t="shared" ca="1" si="6"/>
        <v>T</v>
      </c>
      <c r="C39" s="304" t="str">
        <f t="shared" ca="1" si="7"/>
        <v>CELELCCFL-E</v>
      </c>
      <c r="D39" s="304" t="str">
        <f t="shared" ca="1" si="8"/>
        <v>Commercial - Lighting - Electricity - CFL - Existing</v>
      </c>
      <c r="E39" s="363" t="str">
        <f t="shared" ca="1" si="9"/>
        <v>PJ,PJa</v>
      </c>
      <c r="F39" s="363" t="str">
        <f t="shared" ca="1" si="10"/>
        <v>PRC,DMD,DAYNITE</v>
      </c>
    </row>
    <row r="40" spans="1:6">
      <c r="A40" s="304" t="str">
        <f t="shared" ca="1" si="5"/>
        <v/>
      </c>
      <c r="B40" s="363" t="str">
        <f t="shared" ca="1" si="6"/>
        <v>T</v>
      </c>
      <c r="C40" s="304" t="str">
        <f t="shared" ca="1" si="7"/>
        <v>CELELCFLU-E</v>
      </c>
      <c r="D40" s="304" t="str">
        <f t="shared" ca="1" si="8"/>
        <v>Commercial - Lighting - Electricity - FLU - Existing</v>
      </c>
      <c r="E40" s="363" t="str">
        <f t="shared" ca="1" si="9"/>
        <v>PJ,PJa</v>
      </c>
      <c r="F40" s="363" t="str">
        <f t="shared" ca="1" si="10"/>
        <v>PRC,DMD,DAYNITE</v>
      </c>
    </row>
    <row r="41" spans="1:6">
      <c r="A41" s="304" t="str">
        <f t="shared" ca="1" si="5"/>
        <v/>
      </c>
      <c r="B41" s="363" t="str">
        <f t="shared" ca="1" si="6"/>
        <v>T</v>
      </c>
      <c r="C41" s="304" t="str">
        <f t="shared" ca="1" si="7"/>
        <v>CELELCHAL-E</v>
      </c>
      <c r="D41" s="304" t="str">
        <f t="shared" ca="1" si="8"/>
        <v>Commercial - Lighting - Electricity - HAL - Existing</v>
      </c>
      <c r="E41" s="363" t="str">
        <f t="shared" ca="1" si="9"/>
        <v>PJ,PJa</v>
      </c>
      <c r="F41" s="363" t="str">
        <f t="shared" ca="1" si="10"/>
        <v>PRC,DMD,DAYNITE</v>
      </c>
    </row>
    <row r="42" spans="1:6">
      <c r="A42" s="304" t="str">
        <f t="shared" ca="1" si="5"/>
        <v/>
      </c>
      <c r="B42" s="363" t="str">
        <f t="shared" ca="1" si="6"/>
        <v>T</v>
      </c>
      <c r="C42" s="304" t="str">
        <f t="shared" ca="1" si="7"/>
        <v>CELELCHID-E</v>
      </c>
      <c r="D42" s="304" t="str">
        <f t="shared" ca="1" si="8"/>
        <v>Commercial - Lighting - Electricity - HID - Existing</v>
      </c>
      <c r="E42" s="363" t="str">
        <f t="shared" ca="1" si="9"/>
        <v>PJ,PJa</v>
      </c>
      <c r="F42" s="363" t="str">
        <f t="shared" ca="1" si="10"/>
        <v>PRC,DMD,DAYNITE</v>
      </c>
    </row>
    <row r="43" spans="1:6">
      <c r="A43" s="304" t="str">
        <f t="shared" ca="1" si="5"/>
        <v/>
      </c>
      <c r="B43" s="363" t="str">
        <f t="shared" ca="1" si="6"/>
        <v>T</v>
      </c>
      <c r="C43" s="304" t="str">
        <f t="shared" ca="1" si="7"/>
        <v>CELELCINC-E</v>
      </c>
      <c r="D43" s="304" t="str">
        <f t="shared" ca="1" si="8"/>
        <v>Commercial - Lighting - Electricity - INC - Existing</v>
      </c>
      <c r="E43" s="363" t="str">
        <f t="shared" ca="1" si="9"/>
        <v>PJ,PJa</v>
      </c>
      <c r="F43" s="363" t="str">
        <f t="shared" ca="1" si="10"/>
        <v>PRC,DMD,DAYNITE</v>
      </c>
    </row>
    <row r="44" spans="1:6">
      <c r="A44" s="304" t="str">
        <f t="shared" ca="1" si="5"/>
        <v/>
      </c>
      <c r="B44" s="363" t="str">
        <f t="shared" ca="1" si="6"/>
        <v>T</v>
      </c>
      <c r="C44" s="304" t="str">
        <f t="shared" ca="1" si="7"/>
        <v>CELELCLED-N</v>
      </c>
      <c r="D44" s="304" t="str">
        <f t="shared" ca="1" si="8"/>
        <v>Commercial - Lighting - Electricity - LED - New</v>
      </c>
      <c r="E44" s="363" t="str">
        <f t="shared" ca="1" si="9"/>
        <v>PJ,PJa</v>
      </c>
      <c r="F44" s="363" t="str">
        <f t="shared" ca="1" si="10"/>
        <v>PRC,DMD,DAYNITE</v>
      </c>
    </row>
    <row r="45" spans="1:6">
      <c r="A45" s="304" t="str">
        <f t="shared" ca="1" si="5"/>
        <v>*</v>
      </c>
      <c r="B45" s="363" t="str">
        <f t="shared" ca="1" si="6"/>
        <v/>
      </c>
      <c r="C45" s="304" t="str">
        <f t="shared" ca="1" si="7"/>
        <v/>
      </c>
      <c r="D45" s="304" t="str">
        <f t="shared" ca="1" si="8"/>
        <v/>
      </c>
      <c r="E45" s="363" t="str">
        <f t="shared" ca="1" si="9"/>
        <v/>
      </c>
      <c r="F45" s="363" t="str">
        <f t="shared" ca="1" si="10"/>
        <v/>
      </c>
    </row>
    <row r="46" spans="1:6">
      <c r="A46" s="304" t="str">
        <f t="shared" ca="1" si="5"/>
        <v>*</v>
      </c>
      <c r="B46" s="363" t="str">
        <f t="shared" ca="1" si="6"/>
        <v/>
      </c>
      <c r="C46" s="304" t="str">
        <f t="shared" ca="1" si="7"/>
        <v/>
      </c>
      <c r="D46" s="304" t="str">
        <f t="shared" ca="1" si="8"/>
        <v/>
      </c>
      <c r="E46" s="363" t="str">
        <f t="shared" ca="1" si="9"/>
        <v/>
      </c>
      <c r="F46" s="363" t="str">
        <f t="shared" ca="1" si="10"/>
        <v/>
      </c>
    </row>
    <row r="47" spans="1:6">
      <c r="A47" s="304" t="str">
        <f t="shared" ca="1" si="5"/>
        <v/>
      </c>
      <c r="B47" s="363" t="str">
        <f t="shared" ca="1" si="6"/>
        <v>T</v>
      </c>
      <c r="C47" s="304" t="str">
        <f t="shared" ca="1" si="7"/>
        <v>CERELC-E</v>
      </c>
      <c r="D47" s="304" t="str">
        <f t="shared" ca="1" si="8"/>
        <v>Commercial - Refrigeration - Electricity - Existing</v>
      </c>
      <c r="E47" s="363" t="str">
        <f t="shared" ca="1" si="9"/>
        <v>PJ,PJa</v>
      </c>
      <c r="F47" s="363" t="str">
        <f t="shared" ca="1" si="10"/>
        <v>PRC,DMD,DAYNITE</v>
      </c>
    </row>
    <row r="48" spans="1:6">
      <c r="A48" s="304" t="str">
        <f t="shared" ca="1" si="5"/>
        <v/>
      </c>
      <c r="B48" s="363" t="str">
        <f t="shared" ca="1" si="6"/>
        <v>T</v>
      </c>
      <c r="C48" s="304" t="str">
        <f t="shared" ca="1" si="7"/>
        <v>CERELC-N</v>
      </c>
      <c r="D48" s="304" t="str">
        <f t="shared" ca="1" si="8"/>
        <v>Commercial - Refrigeration - Electricity - New</v>
      </c>
      <c r="E48" s="363" t="str">
        <f t="shared" ca="1" si="9"/>
        <v>PJ,PJa</v>
      </c>
      <c r="F48" s="363" t="str">
        <f t="shared" ca="1" si="10"/>
        <v>PRC,DMD,DAYNITE</v>
      </c>
    </row>
    <row r="49" spans="1:6">
      <c r="A49" s="304" t="str">
        <f t="shared" ca="1" si="5"/>
        <v>*</v>
      </c>
      <c r="B49" s="363" t="str">
        <f t="shared" ca="1" si="6"/>
        <v/>
      </c>
      <c r="C49" s="304" t="str">
        <f t="shared" ca="1" si="7"/>
        <v/>
      </c>
      <c r="D49" s="304" t="str">
        <f t="shared" ca="1" si="8"/>
        <v/>
      </c>
      <c r="E49" s="363" t="str">
        <f t="shared" ca="1" si="9"/>
        <v/>
      </c>
      <c r="F49" s="363" t="str">
        <f t="shared" ca="1" si="10"/>
        <v/>
      </c>
    </row>
    <row r="50" spans="1:6">
      <c r="A50" s="304" t="str">
        <f t="shared" ca="1" si="5"/>
        <v>*</v>
      </c>
      <c r="B50" s="363" t="str">
        <f t="shared" ca="1" si="6"/>
        <v/>
      </c>
      <c r="C50" s="304" t="str">
        <f t="shared" ca="1" si="7"/>
        <v/>
      </c>
      <c r="D50" s="304" t="str">
        <f t="shared" ca="1" si="8"/>
        <v/>
      </c>
      <c r="E50" s="363" t="str">
        <f t="shared" ca="1" si="9"/>
        <v/>
      </c>
      <c r="F50" s="363" t="str">
        <f t="shared" ca="1" si="10"/>
        <v/>
      </c>
    </row>
    <row r="51" spans="1:6">
      <c r="A51" s="304" t="str">
        <f t="shared" ca="1" si="5"/>
        <v/>
      </c>
      <c r="B51" s="363" t="str">
        <f t="shared" ca="1" si="6"/>
        <v>T</v>
      </c>
      <c r="C51" s="304" t="str">
        <f t="shared" ca="1" si="7"/>
        <v>CEWELC-E</v>
      </c>
      <c r="D51" s="304" t="str">
        <f t="shared" ca="1" si="8"/>
        <v>Commercial - Water Heating - Electricity - Existing</v>
      </c>
      <c r="E51" s="363" t="str">
        <f t="shared" ca="1" si="9"/>
        <v>PJ,PJa</v>
      </c>
      <c r="F51" s="363" t="str">
        <f t="shared" ca="1" si="10"/>
        <v>PRC,DMD,DAYNITE</v>
      </c>
    </row>
    <row r="52" spans="1:6">
      <c r="A52" s="304" t="str">
        <f t="shared" ca="1" si="5"/>
        <v/>
      </c>
      <c r="B52" s="363" t="str">
        <f t="shared" ca="1" si="6"/>
        <v>T</v>
      </c>
      <c r="C52" s="304" t="str">
        <f t="shared" ca="1" si="7"/>
        <v>CEWCOA-E</v>
      </c>
      <c r="D52" s="304" t="str">
        <f t="shared" ca="1" si="8"/>
        <v>Commercial - Water Heating - Coal - Existing</v>
      </c>
      <c r="E52" s="363" t="str">
        <f t="shared" ca="1" si="9"/>
        <v>PJ,PJa</v>
      </c>
      <c r="F52" s="363" t="str">
        <f t="shared" ca="1" si="10"/>
        <v>PRC,DMD,DAYNITE</v>
      </c>
    </row>
    <row r="53" spans="1:6">
      <c r="A53" s="304" t="str">
        <f t="shared" ca="1" si="5"/>
        <v/>
      </c>
      <c r="B53" s="363" t="str">
        <f t="shared" ca="1" si="6"/>
        <v>T</v>
      </c>
      <c r="C53" s="304" t="str">
        <f t="shared" ca="1" si="7"/>
        <v>CEWOLP-E</v>
      </c>
      <c r="D53" s="304" t="str">
        <f t="shared" ca="1" si="8"/>
        <v>Commercial - Water Heating - Oil LPG - Existing</v>
      </c>
      <c r="E53" s="363" t="str">
        <f t="shared" ca="1" si="9"/>
        <v>PJ,PJa</v>
      </c>
      <c r="F53" s="363" t="str">
        <f t="shared" ca="1" si="10"/>
        <v>PRC,DMD,DAYNITE</v>
      </c>
    </row>
    <row r="54" spans="1:6">
      <c r="A54" s="304" t="str">
        <f t="shared" ca="1" si="5"/>
        <v/>
      </c>
      <c r="B54" s="363" t="str">
        <f t="shared" ca="1" si="6"/>
        <v>T</v>
      </c>
      <c r="C54" s="304" t="str">
        <f t="shared" ca="1" si="7"/>
        <v>CEWGAS-E</v>
      </c>
      <c r="D54" s="304" t="str">
        <f t="shared" ca="1" si="8"/>
        <v>Commercial - Water Heating - Gas - Existing</v>
      </c>
      <c r="E54" s="363" t="str">
        <f t="shared" ca="1" si="9"/>
        <v>PJ,PJa</v>
      </c>
      <c r="F54" s="363" t="str">
        <f t="shared" ca="1" si="10"/>
        <v>PRC,DMD,DAYNITE</v>
      </c>
    </row>
    <row r="55" spans="1:6">
      <c r="A55" s="304" t="str">
        <f t="shared" ca="1" si="5"/>
        <v/>
      </c>
      <c r="B55" s="363" t="str">
        <f t="shared" ca="1" si="6"/>
        <v>T</v>
      </c>
      <c r="C55" s="304" t="str">
        <f t="shared" ca="1" si="7"/>
        <v>CEWOKE-E</v>
      </c>
      <c r="D55" s="304" t="str">
        <f t="shared" ca="1" si="8"/>
        <v>Commercial - Water Heating - Oil Paraffin - Existing</v>
      </c>
      <c r="E55" s="363" t="str">
        <f t="shared" ca="1" si="9"/>
        <v>PJ,PJa</v>
      </c>
      <c r="F55" s="363" t="str">
        <f t="shared" ca="1" si="10"/>
        <v>PRC,DMD,DAYNITE</v>
      </c>
    </row>
    <row r="56" spans="1:6">
      <c r="A56" s="304" t="str">
        <f t="shared" ca="1" si="5"/>
        <v/>
      </c>
      <c r="B56" s="363" t="str">
        <f t="shared" ca="1" si="6"/>
        <v>T</v>
      </c>
      <c r="C56" s="304" t="str">
        <f t="shared" ca="1" si="7"/>
        <v>CEWELC-N</v>
      </c>
      <c r="D56" s="304" t="str">
        <f t="shared" ca="1" si="8"/>
        <v>Commercial - Water Heating - Electricity - New</v>
      </c>
      <c r="E56" s="363" t="str">
        <f t="shared" ca="1" si="9"/>
        <v>PJ,PJa</v>
      </c>
      <c r="F56" s="363" t="str">
        <f t="shared" ca="1" si="10"/>
        <v>PRC,DMD,DAYNITE</v>
      </c>
    </row>
    <row r="57" spans="1:6">
      <c r="A57" s="304" t="str">
        <f t="shared" ca="1" si="5"/>
        <v/>
      </c>
      <c r="B57" s="363" t="str">
        <f t="shared" ca="1" si="6"/>
        <v>T</v>
      </c>
      <c r="C57" s="304" t="str">
        <f t="shared" ca="1" si="7"/>
        <v>CEWELCHP-N</v>
      </c>
      <c r="D57" s="304" t="str">
        <f t="shared" ca="1" si="8"/>
        <v>Commercial - Water Heating - Electricity - HP - New</v>
      </c>
      <c r="E57" s="363" t="str">
        <f t="shared" ca="1" si="9"/>
        <v>PJ,PJa</v>
      </c>
      <c r="F57" s="363" t="str">
        <f t="shared" ca="1" si="10"/>
        <v>PRC,DMD,DAYNITE</v>
      </c>
    </row>
    <row r="58" spans="1:6">
      <c r="A58" s="304" t="str">
        <f t="shared" ca="1" si="5"/>
        <v>*</v>
      </c>
      <c r="B58" s="363" t="str">
        <f t="shared" ca="1" si="6"/>
        <v/>
      </c>
      <c r="C58" s="304" t="str">
        <f t="shared" ca="1" si="7"/>
        <v/>
      </c>
      <c r="D58" s="304" t="str">
        <f t="shared" ca="1" si="8"/>
        <v/>
      </c>
      <c r="E58" s="363" t="str">
        <f t="shared" ca="1" si="9"/>
        <v/>
      </c>
      <c r="F58" s="363" t="str">
        <f t="shared" ca="1" si="10"/>
        <v/>
      </c>
    </row>
    <row r="59" spans="1:6">
      <c r="A59" s="304" t="str">
        <f t="shared" ca="1" si="5"/>
        <v>*</v>
      </c>
      <c r="B59" s="363" t="str">
        <f t="shared" ca="1" si="6"/>
        <v/>
      </c>
      <c r="C59" s="304" t="str">
        <f t="shared" ca="1" si="7"/>
        <v/>
      </c>
      <c r="D59" s="304" t="str">
        <f t="shared" ca="1" si="8"/>
        <v/>
      </c>
      <c r="E59" s="363" t="str">
        <f t="shared" ca="1" si="9"/>
        <v/>
      </c>
      <c r="F59" s="363" t="str">
        <f t="shared" ca="1" si="10"/>
        <v/>
      </c>
    </row>
    <row r="60" spans="1:6">
      <c r="A60" s="304" t="str">
        <f t="shared" ca="1" si="5"/>
        <v/>
      </c>
      <c r="B60" s="363" t="str">
        <f t="shared" ca="1" si="6"/>
        <v>T</v>
      </c>
      <c r="C60" s="304" t="str">
        <f t="shared" ca="1" si="7"/>
        <v>CEGELCINC-E</v>
      </c>
      <c r="D60" s="304" t="str">
        <f t="shared" ca="1" si="8"/>
        <v>Commercial - Public Lights - Electricity - INC - Existing</v>
      </c>
      <c r="E60" s="363" t="str">
        <f t="shared" ca="1" si="9"/>
        <v>PJ,PJa</v>
      </c>
      <c r="F60" s="363" t="str">
        <f t="shared" ca="1" si="10"/>
        <v>PRC,DMD,DAYNITE</v>
      </c>
    </row>
    <row r="61" spans="1:6">
      <c r="A61" s="304" t="str">
        <f t="shared" ca="1" si="5"/>
        <v/>
      </c>
      <c r="B61" s="363" t="str">
        <f t="shared" ca="1" si="6"/>
        <v>T</v>
      </c>
      <c r="C61" s="304" t="str">
        <f t="shared" ca="1" si="7"/>
        <v>CEGELCHAL-E</v>
      </c>
      <c r="D61" s="304" t="str">
        <f t="shared" ca="1" si="8"/>
        <v>Commercial - Public Lights - Electricity - HAL - Existing</v>
      </c>
      <c r="E61" s="363" t="str">
        <f t="shared" ca="1" si="9"/>
        <v>PJ,PJa</v>
      </c>
      <c r="F61" s="363" t="str">
        <f t="shared" ca="1" si="10"/>
        <v>PRC,DMD,DAYNITE</v>
      </c>
    </row>
    <row r="62" spans="1:6">
      <c r="A62" s="304" t="str">
        <f t="shared" ca="1" si="5"/>
        <v/>
      </c>
      <c r="B62" s="363" t="str">
        <f t="shared" ca="1" si="6"/>
        <v>T</v>
      </c>
      <c r="C62" s="304" t="str">
        <f t="shared" ca="1" si="7"/>
        <v>CEGELCHPM-E</v>
      </c>
      <c r="D62" s="304" t="str">
        <f t="shared" ca="1" si="8"/>
        <v>Commercial - Public Lights - Electricity - HPM - Existing</v>
      </c>
      <c r="E62" s="363" t="str">
        <f t="shared" ca="1" si="9"/>
        <v>PJ,PJa</v>
      </c>
      <c r="F62" s="363" t="str">
        <f t="shared" ca="1" si="10"/>
        <v>PRC,DMD,DAYNITE</v>
      </c>
    </row>
    <row r="63" spans="1:6">
      <c r="A63" s="304" t="str">
        <f t="shared" ca="1" si="5"/>
        <v/>
      </c>
      <c r="B63" s="363" t="str">
        <f t="shared" ca="1" si="6"/>
        <v>T</v>
      </c>
      <c r="C63" s="304" t="str">
        <f t="shared" ca="1" si="7"/>
        <v>CEGELCHPS-E</v>
      </c>
      <c r="D63" s="304" t="str">
        <f t="shared" ca="1" si="8"/>
        <v>Commercial - Public Lights - Electricity - HPS - Existing</v>
      </c>
      <c r="E63" s="363" t="str">
        <f t="shared" ca="1" si="9"/>
        <v>PJ,PJa</v>
      </c>
      <c r="F63" s="363" t="str">
        <f t="shared" ca="1" si="10"/>
        <v>PRC,DMD,DAYNITE</v>
      </c>
    </row>
    <row r="64" spans="1:6">
      <c r="A64" s="304" t="str">
        <f t="shared" ca="1" si="5"/>
        <v/>
      </c>
      <c r="B64" s="363" t="str">
        <f t="shared" ca="1" si="6"/>
        <v>T</v>
      </c>
      <c r="C64" s="304" t="str">
        <f t="shared" ca="1" si="7"/>
        <v>CEGELCMHL-E</v>
      </c>
      <c r="D64" s="304" t="str">
        <f t="shared" ca="1" si="8"/>
        <v>Commercial - Public Lights - Electricity - MHL - Existing</v>
      </c>
      <c r="E64" s="363" t="str">
        <f t="shared" ca="1" si="9"/>
        <v>PJ,PJa</v>
      </c>
      <c r="F64" s="363" t="str">
        <f t="shared" ca="1" si="10"/>
        <v>PRC,DMD,DAYNITE</v>
      </c>
    </row>
    <row r="65" spans="1:6">
      <c r="A65" s="304" t="str">
        <f t="shared" ca="1" si="5"/>
        <v/>
      </c>
      <c r="B65" s="363" t="str">
        <f t="shared" ca="1" si="6"/>
        <v>T</v>
      </c>
      <c r="C65" s="304" t="str">
        <f t="shared" ca="1" si="7"/>
        <v>CEGELCLED-N</v>
      </c>
      <c r="D65" s="304" t="str">
        <f t="shared" ca="1" si="8"/>
        <v>Commercial - Public Lights - Electricity - LED - New</v>
      </c>
      <c r="E65" s="363" t="str">
        <f t="shared" ca="1" si="9"/>
        <v>PJ,PJa</v>
      </c>
      <c r="F65" s="363" t="str">
        <f t="shared" ca="1" si="10"/>
        <v>PRC,DMD,DAYNITE</v>
      </c>
    </row>
    <row r="66" spans="1:6">
      <c r="A66" s="304" t="str">
        <f t="shared" ca="1" si="5"/>
        <v>*</v>
      </c>
      <c r="B66" s="363" t="str">
        <f t="shared" ca="1" si="6"/>
        <v/>
      </c>
      <c r="C66" s="304" t="str">
        <f t="shared" ca="1" si="7"/>
        <v/>
      </c>
      <c r="D66" s="304" t="str">
        <f t="shared" ca="1" si="8"/>
        <v/>
      </c>
      <c r="E66" s="363" t="str">
        <f t="shared" ca="1" si="9"/>
        <v/>
      </c>
      <c r="F66" s="363" t="str">
        <f t="shared" ca="1" si="10"/>
        <v/>
      </c>
    </row>
    <row r="67" spans="1:6">
      <c r="A67" s="304" t="str">
        <f t="shared" ca="1" si="5"/>
        <v>*</v>
      </c>
      <c r="B67" s="363" t="str">
        <f t="shared" ca="1" si="6"/>
        <v/>
      </c>
      <c r="C67" s="304" t="str">
        <f t="shared" ca="1" si="7"/>
        <v/>
      </c>
      <c r="D67" s="304" t="str">
        <f t="shared" ca="1" si="8"/>
        <v/>
      </c>
      <c r="E67" s="363" t="str">
        <f t="shared" ca="1" si="9"/>
        <v/>
      </c>
      <c r="F67" s="363" t="str">
        <f t="shared" ca="1" si="10"/>
        <v/>
      </c>
    </row>
    <row r="68" spans="1:6">
      <c r="A68" s="304" t="str">
        <f t="shared" ca="1" si="5"/>
        <v/>
      </c>
      <c r="B68" s="363" t="str">
        <f t="shared" ca="1" si="6"/>
        <v>T</v>
      </c>
      <c r="C68" s="304" t="str">
        <f t="shared" ca="1" si="7"/>
        <v>CETELC-E</v>
      </c>
      <c r="D68" s="304" t="str">
        <f t="shared" ca="1" si="8"/>
        <v>Commercial - Public Water - Electricity -  - Existing</v>
      </c>
      <c r="E68" s="363" t="str">
        <f t="shared" ca="1" si="9"/>
        <v>PJ,PJa</v>
      </c>
      <c r="F68" s="363" t="str">
        <f t="shared" ca="1" si="10"/>
        <v>PRC,DMD,DAYNITE</v>
      </c>
    </row>
    <row r="69" spans="1:6">
      <c r="A69" s="304" t="str">
        <f t="shared" ca="1" si="5"/>
        <v>*</v>
      </c>
      <c r="B69" s="363" t="str">
        <f t="shared" ca="1" si="6"/>
        <v/>
      </c>
      <c r="C69" s="304" t="str">
        <f t="shared" ca="1" si="7"/>
        <v/>
      </c>
      <c r="D69" s="304" t="str">
        <f t="shared" ca="1" si="8"/>
        <v/>
      </c>
      <c r="E69" s="363" t="str">
        <f t="shared" ref="E69:E70" ca="1" si="11">IF(A69="*","","PJ,PJa")</f>
        <v/>
      </c>
      <c r="F69" s="363" t="str">
        <f t="shared" ref="F69:F70" ca="1" si="12">IF(A69="*","","PRC,DMD,DAYNITE")</f>
        <v/>
      </c>
    </row>
    <row r="70" spans="1:6">
      <c r="A70" s="304" t="str">
        <f t="shared" ca="1" si="5"/>
        <v>*</v>
      </c>
      <c r="B70" s="363" t="str">
        <f ca="1">IF(A70="*","","T")</f>
        <v/>
      </c>
      <c r="C70" s="304" t="str">
        <f t="shared" ca="1" si="7"/>
        <v/>
      </c>
      <c r="D70" s="304" t="str">
        <f t="shared" ca="1" si="8"/>
        <v/>
      </c>
      <c r="E70" s="363" t="str">
        <f t="shared" ca="1" si="11"/>
        <v/>
      </c>
      <c r="F70" s="363" t="str">
        <f t="shared" ca="1" si="12"/>
        <v/>
      </c>
    </row>
    <row r="71" spans="1:6">
      <c r="A71" s="304" t="str">
        <f t="shared" ca="1" si="5"/>
        <v/>
      </c>
      <c r="B71" s="363" t="str">
        <f t="shared" ca="1" si="6"/>
        <v>T</v>
      </c>
      <c r="C71" s="304" t="str">
        <f t="shared" ca="1" si="7"/>
        <v>CEOCOA-E</v>
      </c>
      <c r="D71" s="304" t="str">
        <f t="shared" ca="1" si="8"/>
        <v>Commercial - Other - Coal - Existing</v>
      </c>
      <c r="E71" s="363" t="str">
        <f t="shared" ref="E71" ca="1" si="13">IF(A71="*","","PJ,PJa")</f>
        <v>PJ,PJa</v>
      </c>
      <c r="F71" s="363" t="str">
        <f t="shared" ref="F71" ca="1" si="14">IF(A71="*","","PRC,DMD,DAYNITE")</f>
        <v>PRC,DMD,DAYNITE</v>
      </c>
    </row>
    <row r="72" spans="1:6">
      <c r="A72" s="304" t="str">
        <f t="shared" ca="1" si="5"/>
        <v/>
      </c>
      <c r="B72" s="363" t="str">
        <f t="shared" ref="B72:B73" ca="1" si="15">IF(A72="*","","T")</f>
        <v>T</v>
      </c>
      <c r="C72" s="304" t="str">
        <f t="shared" ca="1" si="7"/>
        <v>CEOODS-E</v>
      </c>
      <c r="D72" s="304" t="str">
        <f t="shared" ca="1" si="8"/>
        <v>Commercial - Other - Oil Diesel - Existing</v>
      </c>
      <c r="E72" s="363" t="str">
        <f t="shared" ref="E72:E73" ca="1" si="16">IF(A72="*","","PJ,PJa")</f>
        <v>PJ,PJa</v>
      </c>
      <c r="F72" s="363" t="str">
        <f t="shared" ref="F72:F73" ca="1" si="17">IF(A72="*","","PRC,DMD,DAYNITE")</f>
        <v>PRC,DMD,DAYNITE</v>
      </c>
    </row>
    <row r="73" spans="1:6">
      <c r="A73" s="304" t="str">
        <f t="shared" ca="1" si="5"/>
        <v/>
      </c>
      <c r="B73" s="363" t="str">
        <f t="shared" ca="1" si="15"/>
        <v>T</v>
      </c>
      <c r="C73" s="304" t="str">
        <f t="shared" ca="1" si="7"/>
        <v>CEOELC-E</v>
      </c>
      <c r="D73" s="304" t="str">
        <f t="shared" ca="1" si="8"/>
        <v>Commercial - Other - Electricity - Existing</v>
      </c>
      <c r="E73" s="363" t="str">
        <f t="shared" ca="1" si="16"/>
        <v>PJ,PJa</v>
      </c>
      <c r="F73" s="363" t="str">
        <f t="shared" ca="1" si="17"/>
        <v>PRC,DMD,DAYNITE</v>
      </c>
    </row>
    <row r="74" spans="1:6">
      <c r="A74" s="304" t="str">
        <f t="shared" ca="1" si="5"/>
        <v/>
      </c>
      <c r="B74" s="363" t="str">
        <f t="shared" ref="B74:B77" ca="1" si="18">IF(A74="*","","T")</f>
        <v>T</v>
      </c>
      <c r="C74" s="304" t="str">
        <f t="shared" ca="1" si="7"/>
        <v>CEOGAS-E</v>
      </c>
      <c r="D74" s="304" t="str">
        <f t="shared" ca="1" si="8"/>
        <v>Commercial - Other - Gas - Existing</v>
      </c>
      <c r="E74" s="363" t="str">
        <f t="shared" ref="E74:E77" ca="1" si="19">IF(A74="*","","PJ,PJa")</f>
        <v>PJ,PJa</v>
      </c>
      <c r="F74" s="363" t="str">
        <f t="shared" ref="F74:F77" ca="1" si="20">IF(A74="*","","PRC,DMD,DAYNITE")</f>
        <v>PRC,DMD,DAYNITE</v>
      </c>
    </row>
    <row r="75" spans="1:6">
      <c r="A75" s="304" t="str">
        <f t="shared" ca="1" si="5"/>
        <v/>
      </c>
      <c r="B75" s="363" t="str">
        <f t="shared" ca="1" si="18"/>
        <v>T</v>
      </c>
      <c r="C75" s="304" t="str">
        <f t="shared" ca="1" si="7"/>
        <v>CEOOGS-E</v>
      </c>
      <c r="D75" s="304" t="str">
        <f t="shared" ca="1" si="8"/>
        <v>Commercial - Other - Oil Gasoline - Existing</v>
      </c>
      <c r="E75" s="363" t="str">
        <f t="shared" ca="1" si="19"/>
        <v>PJ,PJa</v>
      </c>
      <c r="F75" s="363" t="str">
        <f t="shared" ca="1" si="20"/>
        <v>PRC,DMD,DAYNITE</v>
      </c>
    </row>
    <row r="76" spans="1:6">
      <c r="A76" s="304" t="str">
        <f t="shared" ca="1" si="5"/>
        <v/>
      </c>
      <c r="B76" s="363" t="str">
        <f t="shared" ca="1" si="18"/>
        <v>T</v>
      </c>
      <c r="C76" s="304" t="str">
        <f t="shared" ca="1" si="7"/>
        <v>CEOOHF-E</v>
      </c>
      <c r="D76" s="304" t="str">
        <f t="shared" ca="1" si="8"/>
        <v>Commercial - Other - Oil HFO - Existing</v>
      </c>
      <c r="E76" s="363" t="str">
        <f t="shared" ca="1" si="19"/>
        <v>PJ,PJa</v>
      </c>
      <c r="F76" s="363" t="str">
        <f t="shared" ca="1" si="20"/>
        <v>PRC,DMD,DAYNITE</v>
      </c>
    </row>
    <row r="77" spans="1:6">
      <c r="A77" s="304" t="str">
        <f t="shared" ca="1" si="5"/>
        <v/>
      </c>
      <c r="B77" s="363" t="str">
        <f t="shared" ca="1" si="18"/>
        <v>T</v>
      </c>
      <c r="C77" s="304" t="str">
        <f t="shared" ca="1" si="7"/>
        <v>CEOOKE-E</v>
      </c>
      <c r="D77" s="304" t="str">
        <f t="shared" ca="1" si="8"/>
        <v>Commercial - Other - Oil Paraffin - Existing</v>
      </c>
      <c r="E77" s="363" t="str">
        <f t="shared" ca="1" si="19"/>
        <v>PJ,PJa</v>
      </c>
      <c r="F77" s="363" t="str">
        <f t="shared" ca="1" si="20"/>
        <v>PRC,DMD,DAYNITE</v>
      </c>
    </row>
    <row r="78" spans="1:6">
      <c r="A78" s="304" t="str">
        <f t="shared" ca="1" si="5"/>
        <v>*</v>
      </c>
      <c r="B78" s="363"/>
      <c r="C78" s="304" t="str">
        <f t="shared" ca="1" si="7"/>
        <v/>
      </c>
      <c r="E78" s="363"/>
      <c r="F78" s="363"/>
    </row>
    <row r="79" spans="1:6">
      <c r="A79" s="304" t="str">
        <f t="shared" ca="1" si="5"/>
        <v>*</v>
      </c>
      <c r="C79" s="304" t="str">
        <f t="shared" ca="1" si="7"/>
        <v/>
      </c>
    </row>
    <row r="80" spans="1:6">
      <c r="A80" s="304" t="str">
        <f t="shared" ca="1" si="5"/>
        <v/>
      </c>
    </row>
    <row r="81" spans="1:1">
      <c r="A81" s="304" t="str">
        <f t="shared" ca="1" si="5"/>
        <v/>
      </c>
    </row>
    <row r="82" spans="1:1">
      <c r="A82" s="304" t="str">
        <f t="shared" ca="1" si="5"/>
        <v/>
      </c>
    </row>
    <row r="83" spans="1:1">
      <c r="A83" s="304" t="str">
        <f t="shared" ref="A83:A85" ca="1" si="21">IF(LEFT(INDIRECT("COM_2012!A"&amp;$D$3+ROW()-ROW($A$17)-1,1),2)="\I","*","")</f>
        <v/>
      </c>
    </row>
    <row r="84" spans="1:1">
      <c r="A84" s="304" t="str">
        <f t="shared" ca="1" si="21"/>
        <v/>
      </c>
    </row>
    <row r="85" spans="1:1">
      <c r="A85" s="304" t="str">
        <f t="shared" ca="1" si="21"/>
        <v/>
      </c>
    </row>
  </sheetData>
  <autoFilter ref="A1:F85" xr:uid="{00000000-0009-0000-0000-00000F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1636" r:id="rId3" name="cmdSpecifySets">
          <controlPr defaultSize="0" autoLine="0" r:id="rId4">
            <anchor moveWithCells="1">
              <from>
                <xdr:col>5</xdr:col>
                <xdr:colOff>9525</xdr:colOff>
                <xdr:row>85</xdr:row>
                <xdr:rowOff>0</xdr:rowOff>
              </from>
              <to>
                <xdr:col>6</xdr:col>
                <xdr:colOff>0</xdr:colOff>
                <xdr:row>86</xdr:row>
                <xdr:rowOff>95250</xdr:rowOff>
              </to>
            </anchor>
          </controlPr>
        </control>
      </mc:Choice>
      <mc:Fallback>
        <control shapeId="1221636" r:id="rId3" name="cmdSpecifySets"/>
      </mc:Fallback>
    </mc:AlternateContent>
    <mc:AlternateContent xmlns:mc="http://schemas.openxmlformats.org/markup-compatibility/2006">
      <mc:Choice Requires="x14">
        <control shapeId="1221635" r:id="rId5" name="cmdSpecifyUnits">
          <controlPr defaultSize="0" autoLine="0" r:id="rId6">
            <anchor moveWithCells="1">
              <from>
                <xdr:col>4</xdr:col>
                <xdr:colOff>9525</xdr:colOff>
                <xdr:row>85</xdr:row>
                <xdr:rowOff>0</xdr:rowOff>
              </from>
              <to>
                <xdr:col>5</xdr:col>
                <xdr:colOff>0</xdr:colOff>
                <xdr:row>86</xdr:row>
                <xdr:rowOff>95250</xdr:rowOff>
              </to>
            </anchor>
          </controlPr>
        </control>
      </mc:Choice>
      <mc:Fallback>
        <control shapeId="1221635" r:id="rId5" name="cmdSpecifyUnits"/>
      </mc:Fallback>
    </mc:AlternateContent>
    <mc:AlternateContent xmlns:mc="http://schemas.openxmlformats.org/markup-compatibility/2006">
      <mc:Choice Requires="x14">
        <control shapeId="1221634" r:id="rId7" name="cmdSpecifyComponent">
          <controlPr defaultSize="0" autoLine="0" r:id="rId8">
            <anchor moveWithCells="1">
              <from>
                <xdr:col>1</xdr:col>
                <xdr:colOff>9525</xdr:colOff>
                <xdr:row>85</xdr:row>
                <xdr:rowOff>0</xdr:rowOff>
              </from>
              <to>
                <xdr:col>2</xdr:col>
                <xdr:colOff>0</xdr:colOff>
                <xdr:row>86</xdr:row>
                <xdr:rowOff>95250</xdr:rowOff>
              </to>
            </anchor>
          </controlPr>
        </control>
      </mc:Choice>
      <mc:Fallback>
        <control shapeId="1221634" r:id="rId7" name="cmdSpecifyComponent"/>
      </mc:Fallback>
    </mc:AlternateContent>
    <mc:AlternateContent xmlns:mc="http://schemas.openxmlformats.org/markup-compatibility/2006">
      <mc:Choice Requires="x14">
        <control shapeId="1221633" r:id="rId9" name="cmdCheckItemsSheet">
          <controlPr defaultSize="0" autoLine="0" r:id="rId10">
            <anchor moveWithCells="1">
              <from>
                <xdr:col>0</xdr:col>
                <xdr:colOff>9525</xdr:colOff>
                <xdr:row>85</xdr:row>
                <xdr:rowOff>0</xdr:rowOff>
              </from>
              <to>
                <xdr:col>1</xdr:col>
                <xdr:colOff>0</xdr:colOff>
                <xdr:row>86</xdr:row>
                <xdr:rowOff>95250</xdr:rowOff>
              </to>
            </anchor>
          </controlPr>
        </control>
      </mc:Choice>
      <mc:Fallback>
        <control shapeId="1221633" r:id="rId9" name="cmdCheckItemsSheet"/>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9" tint="-0.249977111117893"/>
  </sheetPr>
  <dimension ref="A1:I89"/>
  <sheetViews>
    <sheetView workbookViewId="0"/>
  </sheetViews>
  <sheetFormatPr defaultColWidth="11.42578125" defaultRowHeight="11.25"/>
  <cols>
    <col min="1" max="1" width="12.42578125" style="304" customWidth="1"/>
    <col min="2" max="2" width="11.42578125" style="304" customWidth="1"/>
    <col min="3" max="3" width="11" style="304" customWidth="1"/>
    <col min="4" max="4" width="44.28515625" style="304" customWidth="1"/>
    <col min="5" max="5" width="10.140625" style="304" customWidth="1"/>
    <col min="6" max="6" width="28.7109375" style="304" customWidth="1"/>
    <col min="7" max="16384" width="11.42578125" style="304"/>
  </cols>
  <sheetData>
    <row r="1" spans="1:9">
      <c r="A1" s="303" t="s">
        <v>706</v>
      </c>
      <c r="B1" s="304" t="s">
        <v>707</v>
      </c>
      <c r="I1" s="304" t="s">
        <v>708</v>
      </c>
    </row>
    <row r="2" spans="1:9">
      <c r="A2" s="304" t="s">
        <v>709</v>
      </c>
    </row>
    <row r="3" spans="1:9" ht="18.75" customHeight="1">
      <c r="A3" s="304" t="s">
        <v>709</v>
      </c>
    </row>
    <row r="4" spans="1:9">
      <c r="A4" s="304" t="s">
        <v>709</v>
      </c>
    </row>
    <row r="5" spans="1:9">
      <c r="A5" s="304" t="s">
        <v>709</v>
      </c>
    </row>
    <row r="6" spans="1:9">
      <c r="A6" s="304" t="s">
        <v>709</v>
      </c>
    </row>
    <row r="7" spans="1:9">
      <c r="A7" s="304" t="s">
        <v>709</v>
      </c>
      <c r="B7" s="303" t="s">
        <v>710</v>
      </c>
      <c r="C7" s="362" t="s">
        <v>711</v>
      </c>
      <c r="D7" s="303" t="s">
        <v>712</v>
      </c>
      <c r="E7" s="303" t="s">
        <v>713</v>
      </c>
      <c r="F7" s="303" t="s">
        <v>714</v>
      </c>
      <c r="G7" s="303" t="s">
        <v>715</v>
      </c>
    </row>
    <row r="8" spans="1:9">
      <c r="A8" s="304" t="s">
        <v>709</v>
      </c>
      <c r="B8" s="303" t="s">
        <v>716</v>
      </c>
      <c r="C8" s="362"/>
      <c r="D8" s="303"/>
      <c r="E8" s="303"/>
      <c r="F8" s="303"/>
      <c r="G8" s="303"/>
    </row>
    <row r="9" spans="1:9">
      <c r="A9" s="304" t="s">
        <v>709</v>
      </c>
      <c r="B9" s="363" t="str">
        <f t="shared" ref="B9:B16" si="0">IF(A9="*","","T")</f>
        <v/>
      </c>
      <c r="C9" s="364" t="str">
        <f ca="1">"X"&amp;OFFSET(COM_2012!$B$6,0,I9)</f>
        <v>XCOMCOA</v>
      </c>
      <c r="D9" s="364" t="str">
        <f ca="1">"Commercial "&amp;OFFSET(COM_2012!$B$5,0,I9)</f>
        <v>Commercial Coal</v>
      </c>
      <c r="E9" s="363" t="str">
        <f t="shared" ref="E9:E16" ca="1" si="1">"PJ,"&amp;IF(RIGHT(C9,3)="ELC","GW","PJa")</f>
        <v>PJ,PJa</v>
      </c>
      <c r="F9" s="363" t="str">
        <f t="shared" ref="F9:F16" ca="1" si="2">"PRC,PRE,"&amp;IF(RIGHT(C9,3)="ELC","DAYNITE","ANNUAL")</f>
        <v>PRC,PRE,ANNUAL</v>
      </c>
      <c r="G9" s="303"/>
      <c r="I9" s="304">
        <v>1</v>
      </c>
    </row>
    <row r="10" spans="1:9">
      <c r="A10" s="304" t="s">
        <v>709</v>
      </c>
      <c r="B10" s="363" t="str">
        <f t="shared" si="0"/>
        <v/>
      </c>
      <c r="C10" s="364" t="str">
        <f ca="1">"X"&amp;OFFSET(COM_2012!$B$6,0,I10)</f>
        <v>XCOMODS</v>
      </c>
      <c r="D10" s="364" t="str">
        <f ca="1">"Commercial "&amp;OFFSET(COM_2012!$B$5,0,I10)</f>
        <v>Commercial Oil Diesel</v>
      </c>
      <c r="E10" s="363" t="str">
        <f t="shared" ca="1" si="1"/>
        <v>PJ,PJa</v>
      </c>
      <c r="F10" s="363" t="str">
        <f t="shared" ca="1" si="2"/>
        <v>PRC,PRE,ANNUAL</v>
      </c>
      <c r="G10" s="303"/>
      <c r="I10" s="304">
        <f t="shared" ref="I10:I16" si="3">I9+1</f>
        <v>2</v>
      </c>
    </row>
    <row r="11" spans="1:9">
      <c r="A11" s="304" t="s">
        <v>709</v>
      </c>
      <c r="B11" s="363" t="str">
        <f t="shared" si="0"/>
        <v/>
      </c>
      <c r="C11" s="364" t="str">
        <f ca="1">"X"&amp;OFFSET(COM_2012!$B$6,0,I11)</f>
        <v>XCOMELC</v>
      </c>
      <c r="D11" s="364" t="str">
        <f ca="1">"Commercial "&amp;OFFSET(COM_2012!$B$5,0,I11)</f>
        <v>Commercial Electricity</v>
      </c>
      <c r="E11" s="363" t="str">
        <f t="shared" ca="1" si="1"/>
        <v>PJ,GW</v>
      </c>
      <c r="F11" s="363" t="str">
        <f t="shared" ca="1" si="2"/>
        <v>PRC,PRE,DAYNITE</v>
      </c>
      <c r="G11" s="303"/>
      <c r="I11" s="304">
        <f t="shared" si="3"/>
        <v>3</v>
      </c>
    </row>
    <row r="12" spans="1:9">
      <c r="A12" s="304" t="s">
        <v>709</v>
      </c>
      <c r="B12" s="363" t="str">
        <f t="shared" si="0"/>
        <v/>
      </c>
      <c r="C12" s="364" t="str">
        <f ca="1">"X"&amp;OFFSET(COM_2012!$B$6,0,I12)</f>
        <v>XCOMGAS</v>
      </c>
      <c r="D12" s="364" t="str">
        <f ca="1">"Commercial "&amp;OFFSET(COM_2012!$B$5,0,I12)</f>
        <v>Commercial Gas</v>
      </c>
      <c r="E12" s="363" t="str">
        <f t="shared" ca="1" si="1"/>
        <v>PJ,PJa</v>
      </c>
      <c r="F12" s="363" t="str">
        <f t="shared" ca="1" si="2"/>
        <v>PRC,PRE,ANNUAL</v>
      </c>
      <c r="G12" s="303"/>
      <c r="I12" s="304">
        <f t="shared" si="3"/>
        <v>4</v>
      </c>
    </row>
    <row r="13" spans="1:9">
      <c r="A13" s="304" t="s">
        <v>709</v>
      </c>
      <c r="B13" s="363" t="str">
        <f t="shared" si="0"/>
        <v/>
      </c>
      <c r="C13" s="364" t="str">
        <f ca="1">"X"&amp;OFFSET(COM_2012!$B$6,0,I13)</f>
        <v>XCOMOGS</v>
      </c>
      <c r="D13" s="364" t="str">
        <f ca="1">"Commercial "&amp;OFFSET(COM_2012!$B$5,0,I13)</f>
        <v>Commercial Oil Gasoline</v>
      </c>
      <c r="E13" s="363" t="str">
        <f t="shared" ca="1" si="1"/>
        <v>PJ,PJa</v>
      </c>
      <c r="F13" s="363" t="str">
        <f t="shared" ca="1" si="2"/>
        <v>PRC,PRE,ANNUAL</v>
      </c>
      <c r="G13" s="303"/>
      <c r="I13" s="304">
        <f t="shared" si="3"/>
        <v>5</v>
      </c>
    </row>
    <row r="14" spans="1:9">
      <c r="A14" s="304" t="s">
        <v>709</v>
      </c>
      <c r="B14" s="363" t="str">
        <f t="shared" si="0"/>
        <v/>
      </c>
      <c r="C14" s="364" t="str">
        <f ca="1">"X"&amp;OFFSET(COM_2012!$B$6,0,I14)</f>
        <v>XCOMOHF</v>
      </c>
      <c r="D14" s="364" t="str">
        <f ca="1">"Commercial "&amp;OFFSET(COM_2012!$B$5,0,I14)</f>
        <v>Commercial Oil HFO</v>
      </c>
      <c r="E14" s="363" t="str">
        <f t="shared" ca="1" si="1"/>
        <v>PJ,PJa</v>
      </c>
      <c r="F14" s="363" t="str">
        <f t="shared" ca="1" si="2"/>
        <v>PRC,PRE,ANNUAL</v>
      </c>
      <c r="G14" s="303"/>
      <c r="I14" s="304">
        <f t="shared" si="3"/>
        <v>6</v>
      </c>
    </row>
    <row r="15" spans="1:9">
      <c r="A15" s="304" t="s">
        <v>709</v>
      </c>
      <c r="B15" s="363" t="str">
        <f t="shared" si="0"/>
        <v/>
      </c>
      <c r="C15" s="364" t="str">
        <f ca="1">"X"&amp;OFFSET(COM_2012!$B$6,0,I15)</f>
        <v>XCOMOKE</v>
      </c>
      <c r="D15" s="364" t="str">
        <f ca="1">"Commercial "&amp;OFFSET(COM_2012!$B$5,0,I15)</f>
        <v>Commercial Oil Paraffin</v>
      </c>
      <c r="E15" s="363" t="str">
        <f t="shared" ca="1" si="1"/>
        <v>PJ,PJa</v>
      </c>
      <c r="F15" s="363" t="str">
        <f t="shared" ca="1" si="2"/>
        <v>PRC,PRE,ANNUAL</v>
      </c>
      <c r="G15" s="303"/>
      <c r="I15" s="304">
        <f t="shared" si="3"/>
        <v>7</v>
      </c>
    </row>
    <row r="16" spans="1:9">
      <c r="A16" s="304" t="s">
        <v>709</v>
      </c>
      <c r="B16" s="363" t="str">
        <f t="shared" si="0"/>
        <v/>
      </c>
      <c r="C16" s="364" t="str">
        <f ca="1">"X"&amp;OFFSET(COM_2012!$B$6,0,I16)</f>
        <v>XCOMOLP</v>
      </c>
      <c r="D16" s="364" t="str">
        <f ca="1">"Commercial "&amp;OFFSET(COM_2012!$B$5,0,I16)</f>
        <v>Commercial Oil LPG</v>
      </c>
      <c r="E16" s="363" t="str">
        <f t="shared" ca="1" si="1"/>
        <v>PJ,PJa</v>
      </c>
      <c r="F16" s="363" t="str">
        <f t="shared" ca="1" si="2"/>
        <v>PRC,PRE,ANNUAL</v>
      </c>
      <c r="G16" s="303"/>
      <c r="I16" s="304">
        <f t="shared" si="3"/>
        <v>8</v>
      </c>
    </row>
    <row r="17" spans="1:6">
      <c r="A17" s="304" t="str">
        <f>IF(LEFT(COM_N_2012!A60,2)="\I","*","")</f>
        <v>*</v>
      </c>
      <c r="B17" s="303" t="s">
        <v>717</v>
      </c>
      <c r="C17" s="304" t="str">
        <f>IF(A17="*","",COM_N_2012!B60)</f>
        <v/>
      </c>
      <c r="D17" s="304" t="str">
        <f>IF(A17="*","",COM_N_2012!A60)</f>
        <v/>
      </c>
      <c r="E17" s="363" t="str">
        <f t="shared" ref="E17:E27" si="4">IF(A17="*","","PJ,PJa")</f>
        <v/>
      </c>
      <c r="F17" s="363" t="str">
        <f t="shared" ref="F17:F27" si="5">IF(A17="*","","PRC,DMD,DAYNITE")</f>
        <v/>
      </c>
    </row>
    <row r="18" spans="1:6">
      <c r="A18" s="304" t="str">
        <f>IF(LEFT(COM_N_2012!A61,2)="\I","*","")</f>
        <v/>
      </c>
      <c r="B18" s="363" t="str">
        <f t="shared" ref="B18:B77" si="6">IF(A18="*","","T")</f>
        <v>T</v>
      </c>
      <c r="C18" s="304" t="str">
        <f>IF(A18="*","",COM_N_2012!B61)</f>
        <v>CNCELCCHIL-E</v>
      </c>
      <c r="D18" s="304" t="str">
        <f>IF(A18="*","",COM_N_2012!A61)</f>
        <v>Commercial - Cooling - Electricity - Chiller - Existing</v>
      </c>
      <c r="E18" s="363" t="str">
        <f t="shared" si="4"/>
        <v>PJ,PJa</v>
      </c>
      <c r="F18" s="363" t="str">
        <f t="shared" si="5"/>
        <v>PRC,DMD,DAYNITE</v>
      </c>
    </row>
    <row r="19" spans="1:6">
      <c r="A19" s="304" t="str">
        <f>IF(LEFT(COM_N_2012!A62,2)="\I","*","")</f>
        <v/>
      </c>
      <c r="B19" s="363" t="str">
        <f t="shared" si="6"/>
        <v>T</v>
      </c>
      <c r="C19" s="304" t="str">
        <f>IF(A19="*","",COM_N_2012!B62)</f>
        <v>CNCELCCEN-E</v>
      </c>
      <c r="D19" s="304" t="str">
        <f>IF(A19="*","",COM_N_2012!A62)</f>
        <v>Commercial - Cooling - Electricity - Central - Existing</v>
      </c>
      <c r="E19" s="363" t="str">
        <f t="shared" si="4"/>
        <v>PJ,PJa</v>
      </c>
      <c r="F19" s="363" t="str">
        <f t="shared" si="5"/>
        <v>PRC,DMD,DAYNITE</v>
      </c>
    </row>
    <row r="20" spans="1:6">
      <c r="A20" s="304" t="str">
        <f>IF(LEFT(COM_N_2012!A63,2)="\I","*","")</f>
        <v/>
      </c>
      <c r="B20" s="363" t="str">
        <f t="shared" si="6"/>
        <v>T</v>
      </c>
      <c r="C20" s="304" t="str">
        <f>IF(A20="*","",COM_N_2012!B63)</f>
        <v>CNCELCHP-E</v>
      </c>
      <c r="D20" s="304" t="str">
        <f>IF(A20="*","",COM_N_2012!A63)</f>
        <v>Commercial - Cooling - Electricity - Heat Pump - Existing</v>
      </c>
      <c r="E20" s="363" t="str">
        <f t="shared" si="4"/>
        <v>PJ,PJa</v>
      </c>
      <c r="F20" s="363" t="str">
        <f t="shared" si="5"/>
        <v>PRC,DMD,DAYNITE</v>
      </c>
    </row>
    <row r="21" spans="1:6">
      <c r="A21" s="304" t="str">
        <f>IF(LEFT(COM_N_2012!A64,2)="\I","*","")</f>
        <v/>
      </c>
      <c r="B21" s="363" t="str">
        <f t="shared" si="6"/>
        <v>T</v>
      </c>
      <c r="C21" s="304" t="str">
        <f>IF(A21="*","",COM_N_2012!B64)</f>
        <v>CNCELCROOM-E</v>
      </c>
      <c r="D21" s="304" t="str">
        <f>IF(A21="*","",COM_N_2012!A64)</f>
        <v>Commercial - Cooling - Electricity - Room - Existing</v>
      </c>
      <c r="E21" s="363" t="str">
        <f t="shared" si="4"/>
        <v>PJ,PJa</v>
      </c>
      <c r="F21" s="363" t="str">
        <f t="shared" si="5"/>
        <v>PRC,DMD,DAYNITE</v>
      </c>
    </row>
    <row r="22" spans="1:6">
      <c r="A22" s="304" t="str">
        <f>IF(LEFT(COM_N_2012!A65,2)="\I","*","")</f>
        <v/>
      </c>
      <c r="B22" s="363" t="str">
        <f t="shared" si="6"/>
        <v>T</v>
      </c>
      <c r="C22" s="304" t="str">
        <f>IF(A22="*","",COM_N_2012!B65)</f>
        <v>CNCELCCEN-N</v>
      </c>
      <c r="D22" s="304" t="str">
        <f>IF(A22="*","",COM_N_2012!A65)</f>
        <v>Commercial - Cooling - Electricity - Central - New</v>
      </c>
      <c r="E22" s="363" t="str">
        <f t="shared" si="4"/>
        <v>PJ,PJa</v>
      </c>
      <c r="F22" s="363" t="str">
        <f t="shared" si="5"/>
        <v>PRC,DMD,DAYNITE</v>
      </c>
    </row>
    <row r="23" spans="1:6">
      <c r="A23" s="304" t="str">
        <f>IF(LEFT(COM_N_2012!A66,2)="\I","*","")</f>
        <v/>
      </c>
      <c r="B23" s="363" t="str">
        <f t="shared" si="6"/>
        <v>T</v>
      </c>
      <c r="C23" s="304" t="str">
        <f>IF(A23="*","",COM_N_2012!B66)</f>
        <v>CNCELCHP-N</v>
      </c>
      <c r="D23" s="304" t="str">
        <f>IF(A23="*","",COM_N_2012!A66)</f>
        <v>Commercial - Cooling - Electricity - Heat Pump - New</v>
      </c>
      <c r="E23" s="363" t="str">
        <f t="shared" si="4"/>
        <v>PJ,PJa</v>
      </c>
      <c r="F23" s="363" t="str">
        <f t="shared" si="5"/>
        <v>PRC,DMD,DAYNITE</v>
      </c>
    </row>
    <row r="24" spans="1:6">
      <c r="A24" s="304" t="str">
        <f>IF(LEFT(COM_N_2012!A67,2)="\I","*","")</f>
        <v>*</v>
      </c>
      <c r="B24" s="363" t="str">
        <f t="shared" si="6"/>
        <v/>
      </c>
      <c r="C24" s="304" t="str">
        <f>IF(A24="*","",COM_N_2012!B67)</f>
        <v/>
      </c>
      <c r="D24" s="304" t="str">
        <f>IF(A24="*","",COM_N_2012!A67)</f>
        <v/>
      </c>
      <c r="E24" s="363" t="str">
        <f t="shared" si="4"/>
        <v/>
      </c>
      <c r="F24" s="363" t="str">
        <f t="shared" si="5"/>
        <v/>
      </c>
    </row>
    <row r="25" spans="1:6">
      <c r="A25" s="304" t="str">
        <f>IF(LEFT(COM_N_2012!A68,2)="\I","*","")</f>
        <v>*</v>
      </c>
      <c r="B25" s="363" t="str">
        <f t="shared" si="6"/>
        <v/>
      </c>
      <c r="C25" s="304" t="str">
        <f>IF(A25="*","",COM_N_2012!B68)</f>
        <v/>
      </c>
      <c r="D25" s="304" t="str">
        <f>IF(A25="*","",COM_N_2012!A68)</f>
        <v/>
      </c>
      <c r="E25" s="363" t="str">
        <f t="shared" si="4"/>
        <v/>
      </c>
      <c r="F25" s="363" t="str">
        <f t="shared" si="5"/>
        <v/>
      </c>
    </row>
    <row r="26" spans="1:6">
      <c r="A26" s="304" t="str">
        <f>IF(LEFT(COM_N_2012!A69,2)="\I","*","")</f>
        <v/>
      </c>
      <c r="B26" s="363" t="str">
        <f t="shared" si="6"/>
        <v>T</v>
      </c>
      <c r="C26" s="304" t="str">
        <f>IF(A26="*","",COM_N_2012!B69)</f>
        <v>CNHCOA-E</v>
      </c>
      <c r="D26" s="304" t="str">
        <f>IF(A26="*","",COM_N_2012!A69)</f>
        <v>Commercial - Space Heating - Coal - Existing</v>
      </c>
      <c r="E26" s="363" t="str">
        <f t="shared" si="4"/>
        <v>PJ,PJa</v>
      </c>
      <c r="F26" s="363" t="str">
        <f t="shared" si="5"/>
        <v>PRC,DMD,DAYNITE</v>
      </c>
    </row>
    <row r="27" spans="1:6">
      <c r="A27" s="304" t="str">
        <f>IF(LEFT(COM_N_2012!A70,2)="\I","*","")</f>
        <v/>
      </c>
      <c r="B27" s="363" t="str">
        <f t="shared" si="6"/>
        <v>T</v>
      </c>
      <c r="C27" s="304" t="str">
        <f>IF(A27="*","",COM_N_2012!B70)</f>
        <v>CNHELC-E</v>
      </c>
      <c r="D27" s="304" t="str">
        <f>IF(A27="*","",COM_N_2012!A70)</f>
        <v>Commercial - Space Heating - Electricity - Existing</v>
      </c>
      <c r="E27" s="363" t="str">
        <f t="shared" si="4"/>
        <v>PJ,PJa</v>
      </c>
      <c r="F27" s="363" t="str">
        <f t="shared" si="5"/>
        <v>PRC,DMD,DAYNITE</v>
      </c>
    </row>
    <row r="28" spans="1:6">
      <c r="B28" s="363" t="str">
        <f t="shared" ref="B28:B30" si="7">IF(A28="*","","T")</f>
        <v>T</v>
      </c>
      <c r="C28" s="304" t="str">
        <f>IF(A28="*","",COM_N_2012!B71)</f>
        <v>CNHGAS-E</v>
      </c>
      <c r="D28" s="304" t="str">
        <f>IF(A28="*","",COM_N_2012!A71)</f>
        <v>Commercial - Space Heating - Gas - Existing</v>
      </c>
      <c r="E28" s="363" t="str">
        <f t="shared" ref="E28:E30" si="8">IF(A28="*","","PJ,PJa")</f>
        <v>PJ,PJa</v>
      </c>
      <c r="F28" s="363" t="str">
        <f t="shared" ref="F28:F30" si="9">IF(A28="*","","PRC,DMD,DAYNITE")</f>
        <v>PRC,DMD,DAYNITE</v>
      </c>
    </row>
    <row r="29" spans="1:6">
      <c r="A29" s="304" t="str">
        <f>IF(LEFT(COM_N_2012!A72,2)="\I","*","")</f>
        <v/>
      </c>
      <c r="B29" s="363" t="str">
        <f t="shared" si="7"/>
        <v>T</v>
      </c>
      <c r="C29" s="304" t="str">
        <f>IF(A29="*","",COM_N_2012!B72)</f>
        <v>CNHELC-N</v>
      </c>
      <c r="D29" s="304" t="str">
        <f>IF(A29="*","",COM_N_2012!A72)</f>
        <v>Commercial - Space Heating - Electricity - New</v>
      </c>
      <c r="E29" s="363" t="str">
        <f t="shared" si="8"/>
        <v>PJ,PJa</v>
      </c>
      <c r="F29" s="363" t="str">
        <f t="shared" si="9"/>
        <v>PRC,DMD,DAYNITE</v>
      </c>
    </row>
    <row r="30" spans="1:6">
      <c r="A30" s="304" t="str">
        <f>IF(LEFT(COM_N_2012!A73,2)="\I","*","")</f>
        <v/>
      </c>
      <c r="B30" s="363" t="str">
        <f t="shared" si="7"/>
        <v>T</v>
      </c>
      <c r="C30" s="304" t="str">
        <f>IF(A30="*","",COM_N_2012!B73)</f>
        <v>CNHGAS-N</v>
      </c>
      <c r="D30" s="304" t="str">
        <f>IF(A30="*","",COM_N_2012!A73)</f>
        <v>Commercial - Space Heating - Gas - New</v>
      </c>
      <c r="E30" s="363" t="str">
        <f t="shared" si="8"/>
        <v>PJ,PJa</v>
      </c>
      <c r="F30" s="363" t="str">
        <f t="shared" si="9"/>
        <v>PRC,DMD,DAYNITE</v>
      </c>
    </row>
    <row r="31" spans="1:6">
      <c r="A31" s="304" t="str">
        <f>IF(LEFT(COM_N_2012!A74,2)="\I","*","")</f>
        <v>*</v>
      </c>
      <c r="B31" s="363" t="str">
        <f t="shared" si="6"/>
        <v/>
      </c>
      <c r="C31" s="304" t="str">
        <f>IF(A31="*","",COM_N_2012!B74)</f>
        <v/>
      </c>
      <c r="D31" s="304" t="str">
        <f>IF(A31="*","",COM_N_2012!A74)</f>
        <v/>
      </c>
      <c r="E31" s="363" t="str">
        <f t="shared" ref="E31:E60" si="10">IF(A31="*","","PJ,PJa")</f>
        <v/>
      </c>
      <c r="F31" s="363" t="str">
        <f t="shared" ref="F31:F60" si="11">IF(A31="*","","PRC,DMD,DAYNITE")</f>
        <v/>
      </c>
    </row>
    <row r="32" spans="1:6">
      <c r="A32" s="304" t="str">
        <f>IF(LEFT(COM_N_2012!A75,2)="\I","*","")</f>
        <v>*</v>
      </c>
      <c r="B32" s="363" t="str">
        <f t="shared" si="6"/>
        <v/>
      </c>
      <c r="C32" s="304" t="str">
        <f>IF(A32="*","",COM_N_2012!B75)</f>
        <v/>
      </c>
      <c r="D32" s="304" t="str">
        <f>IF(A32="*","",COM_N_2012!A75)</f>
        <v/>
      </c>
      <c r="E32" s="363" t="str">
        <f t="shared" si="10"/>
        <v/>
      </c>
      <c r="F32" s="363" t="str">
        <f t="shared" si="11"/>
        <v/>
      </c>
    </row>
    <row r="33" spans="1:6">
      <c r="A33" s="304" t="str">
        <f>IF(LEFT(COM_N_2012!A76,2)="\I","*","")</f>
        <v/>
      </c>
      <c r="B33" s="363" t="str">
        <f t="shared" si="6"/>
        <v>T</v>
      </c>
      <c r="C33" s="304" t="str">
        <f>IF(A33="*","",COM_N_2012!B76)</f>
        <v>CNKOLP-E</v>
      </c>
      <c r="D33" s="304" t="str">
        <f>IF(A33="*","",COM_N_2012!A76)</f>
        <v>Commercial - Cooking - Oil LPG - Existing</v>
      </c>
      <c r="E33" s="363" t="str">
        <f t="shared" si="10"/>
        <v>PJ,PJa</v>
      </c>
      <c r="F33" s="363" t="str">
        <f t="shared" si="11"/>
        <v>PRC,DMD,DAYNITE</v>
      </c>
    </row>
    <row r="34" spans="1:6">
      <c r="B34" s="363" t="str">
        <f t="shared" ref="B34:B35" si="12">IF(A34="*","","T")</f>
        <v>T</v>
      </c>
      <c r="C34" s="304" t="str">
        <f>IF(A34="*","",COM_N_2012!B77)</f>
        <v>CNKELC-E</v>
      </c>
      <c r="D34" s="304" t="str">
        <f>IF(A34="*","",COM_N_2012!A77)</f>
        <v>Commercial - Cooking - Electricity - Existing</v>
      </c>
      <c r="E34" s="363" t="str">
        <f t="shared" ref="E34:E35" si="13">IF(A34="*","","PJ,PJa")</f>
        <v>PJ,PJa</v>
      </c>
      <c r="F34" s="363" t="str">
        <f t="shared" ref="F34:F35" si="14">IF(A34="*","","PRC,DMD,DAYNITE")</f>
        <v>PRC,DMD,DAYNITE</v>
      </c>
    </row>
    <row r="35" spans="1:6">
      <c r="B35" s="363" t="str">
        <f t="shared" si="12"/>
        <v>T</v>
      </c>
      <c r="C35" s="304" t="str">
        <f>IF(A35="*","",COM_N_2012!B78)</f>
        <v>CNKCOA-E</v>
      </c>
      <c r="D35" s="304" t="str">
        <f>IF(A35="*","",COM_N_2012!A78)</f>
        <v>Commercial - Cooking - Coal - Existing</v>
      </c>
      <c r="E35" s="363" t="str">
        <f t="shared" si="13"/>
        <v>PJ,PJa</v>
      </c>
      <c r="F35" s="363" t="str">
        <f t="shared" si="14"/>
        <v>PRC,DMD,DAYNITE</v>
      </c>
    </row>
    <row r="36" spans="1:6">
      <c r="A36" s="304" t="str">
        <f>IF(LEFT(COM_N_2012!A79,2)="\I","*","")</f>
        <v>*</v>
      </c>
      <c r="B36" s="363" t="str">
        <f t="shared" si="6"/>
        <v/>
      </c>
      <c r="C36" s="304" t="str">
        <f>IF(A36="*","",COM_N_2012!B79)</f>
        <v/>
      </c>
      <c r="D36" s="304" t="str">
        <f>IF(A36="*","",COM_N_2012!A79)</f>
        <v/>
      </c>
      <c r="E36" s="363" t="str">
        <f t="shared" si="10"/>
        <v/>
      </c>
      <c r="F36" s="363" t="str">
        <f t="shared" si="11"/>
        <v/>
      </c>
    </row>
    <row r="37" spans="1:6">
      <c r="A37" s="304" t="str">
        <f>IF(LEFT(COM_N_2012!A80,2)="\I","*","")</f>
        <v>*</v>
      </c>
      <c r="B37" s="363" t="str">
        <f t="shared" si="6"/>
        <v/>
      </c>
      <c r="C37" s="304" t="str">
        <f>IF(A37="*","",COM_N_2012!B80)</f>
        <v/>
      </c>
      <c r="D37" s="304" t="str">
        <f>IF(A37="*","",COM_N_2012!A80)</f>
        <v/>
      </c>
      <c r="E37" s="363" t="str">
        <f t="shared" si="10"/>
        <v/>
      </c>
      <c r="F37" s="363" t="str">
        <f t="shared" si="11"/>
        <v/>
      </c>
    </row>
    <row r="38" spans="1:6">
      <c r="A38" s="304" t="str">
        <f>IF(LEFT(COM_N_2012!A81,2)="\I","*","")</f>
        <v/>
      </c>
      <c r="B38" s="363" t="str">
        <f t="shared" si="6"/>
        <v>T</v>
      </c>
      <c r="C38" s="304" t="str">
        <f>IF(A38="*","",COM_N_2012!B81)</f>
        <v>CNLELCCFL-E</v>
      </c>
      <c r="D38" s="304" t="str">
        <f>IF(A38="*","",COM_N_2012!A81)</f>
        <v>Commercial - Lighting - Electricity - CFL - Existing</v>
      </c>
      <c r="E38" s="363" t="str">
        <f t="shared" si="10"/>
        <v>PJ,PJa</v>
      </c>
      <c r="F38" s="363" t="str">
        <f t="shared" si="11"/>
        <v>PRC,DMD,DAYNITE</v>
      </c>
    </row>
    <row r="39" spans="1:6">
      <c r="A39" s="304" t="str">
        <f>IF(LEFT(COM_N_2012!A82,2)="\I","*","")</f>
        <v/>
      </c>
      <c r="B39" s="363" t="str">
        <f t="shared" si="6"/>
        <v>T</v>
      </c>
      <c r="C39" s="304" t="str">
        <f>IF(A39="*","",COM_N_2012!B82)</f>
        <v>CNLELCFLU-E</v>
      </c>
      <c r="D39" s="304" t="str">
        <f>IF(A39="*","",COM_N_2012!A82)</f>
        <v>Commercial - Lighting - Electricity - FLU - Existing</v>
      </c>
      <c r="E39" s="363" t="str">
        <f t="shared" si="10"/>
        <v>PJ,PJa</v>
      </c>
      <c r="F39" s="363" t="str">
        <f t="shared" si="11"/>
        <v>PRC,DMD,DAYNITE</v>
      </c>
    </row>
    <row r="40" spans="1:6">
      <c r="A40" s="304" t="str">
        <f>IF(LEFT(COM_N_2012!A83,2)="\I","*","")</f>
        <v/>
      </c>
      <c r="B40" s="363" t="str">
        <f t="shared" si="6"/>
        <v>T</v>
      </c>
      <c r="C40" s="304" t="str">
        <f>IF(A40="*","",COM_N_2012!B83)</f>
        <v>CNLELCHAL-E</v>
      </c>
      <c r="D40" s="304" t="str">
        <f>IF(A40="*","",COM_N_2012!A83)</f>
        <v>Commercial - Lighting - Electricity - HAL - Existing</v>
      </c>
      <c r="E40" s="363" t="str">
        <f t="shared" si="10"/>
        <v>PJ,PJa</v>
      </c>
      <c r="F40" s="363" t="str">
        <f t="shared" si="11"/>
        <v>PRC,DMD,DAYNITE</v>
      </c>
    </row>
    <row r="41" spans="1:6">
      <c r="A41" s="304" t="str">
        <f>IF(LEFT(COM_N_2012!A84,2)="\I","*","")</f>
        <v/>
      </c>
      <c r="B41" s="363" t="str">
        <f t="shared" si="6"/>
        <v>T</v>
      </c>
      <c r="C41" s="304" t="str">
        <f>IF(A41="*","",COM_N_2012!B84)</f>
        <v>CNLELCHID-E</v>
      </c>
      <c r="D41" s="304" t="str">
        <f>IF(A41="*","",COM_N_2012!A84)</f>
        <v>Commercial - Lighting - Electricity - HID - Existing</v>
      </c>
      <c r="E41" s="363" t="str">
        <f t="shared" si="10"/>
        <v>PJ,PJa</v>
      </c>
      <c r="F41" s="363" t="str">
        <f t="shared" si="11"/>
        <v>PRC,DMD,DAYNITE</v>
      </c>
    </row>
    <row r="42" spans="1:6">
      <c r="A42" s="304" t="str">
        <f>IF(LEFT(COM_N_2012!A85,2)="\I","*","")</f>
        <v/>
      </c>
      <c r="B42" s="363" t="str">
        <f t="shared" si="6"/>
        <v>T</v>
      </c>
      <c r="C42" s="304" t="str">
        <f>IF(A42="*","",COM_N_2012!B85)</f>
        <v>CNLELCINC-E</v>
      </c>
      <c r="D42" s="304" t="str">
        <f>IF(A42="*","",COM_N_2012!A85)</f>
        <v>Commercial - Lighting - Electricity - INC - Existing</v>
      </c>
      <c r="E42" s="363" t="str">
        <f t="shared" si="10"/>
        <v>PJ,PJa</v>
      </c>
      <c r="F42" s="363" t="str">
        <f t="shared" si="11"/>
        <v>PRC,DMD,DAYNITE</v>
      </c>
    </row>
    <row r="43" spans="1:6">
      <c r="A43" s="304" t="str">
        <f>IF(LEFT(COM_N_2012!A86,2)="\I","*","")</f>
        <v/>
      </c>
      <c r="B43" s="363" t="str">
        <f t="shared" si="6"/>
        <v>T</v>
      </c>
      <c r="C43" s="304" t="str">
        <f>IF(A43="*","",COM_N_2012!B86)</f>
        <v>CNLELCLED-N</v>
      </c>
      <c r="D43" s="304" t="str">
        <f>IF(A43="*","",COM_N_2012!A86)</f>
        <v>Commercial - Lighting - Electricity - LED - New</v>
      </c>
      <c r="E43" s="363" t="str">
        <f t="shared" si="10"/>
        <v>PJ,PJa</v>
      </c>
      <c r="F43" s="363" t="str">
        <f t="shared" si="11"/>
        <v>PRC,DMD,DAYNITE</v>
      </c>
    </row>
    <row r="44" spans="1:6">
      <c r="A44" s="304" t="str">
        <f>IF(LEFT(COM_N_2012!A87,2)="\I","*","")</f>
        <v>*</v>
      </c>
      <c r="B44" s="363" t="str">
        <f t="shared" si="6"/>
        <v/>
      </c>
      <c r="C44" s="304" t="str">
        <f>IF(A44="*","",COM_N_2012!B87)</f>
        <v/>
      </c>
      <c r="D44" s="304" t="str">
        <f>IF(A44="*","",COM_N_2012!A87)</f>
        <v/>
      </c>
      <c r="E44" s="363" t="str">
        <f t="shared" si="10"/>
        <v/>
      </c>
      <c r="F44" s="363" t="str">
        <f t="shared" si="11"/>
        <v/>
      </c>
    </row>
    <row r="45" spans="1:6">
      <c r="A45" s="304" t="str">
        <f>IF(LEFT(COM_N_2012!A88,2)="\I","*","")</f>
        <v>*</v>
      </c>
      <c r="B45" s="363" t="str">
        <f t="shared" si="6"/>
        <v/>
      </c>
      <c r="C45" s="304" t="str">
        <f>IF(A45="*","",COM_N_2012!B88)</f>
        <v/>
      </c>
      <c r="D45" s="304" t="str">
        <f>IF(A45="*","",COM_N_2012!A88)</f>
        <v/>
      </c>
      <c r="E45" s="363" t="str">
        <f t="shared" si="10"/>
        <v/>
      </c>
      <c r="F45" s="363" t="str">
        <f t="shared" si="11"/>
        <v/>
      </c>
    </row>
    <row r="46" spans="1:6">
      <c r="A46" s="304" t="str">
        <f>IF(LEFT(COM_N_2012!A89,2)="\I","*","")</f>
        <v/>
      </c>
      <c r="B46" s="363" t="str">
        <f t="shared" si="6"/>
        <v>T</v>
      </c>
      <c r="C46" s="304" t="str">
        <f>IF(A46="*","",COM_N_2012!B89)</f>
        <v>CNRELC-E</v>
      </c>
      <c r="D46" s="304" t="str">
        <f>IF(A46="*","",COM_N_2012!A89)</f>
        <v>Commercial - Refrigeration - Electricity - Existing</v>
      </c>
      <c r="E46" s="363" t="str">
        <f t="shared" si="10"/>
        <v>PJ,PJa</v>
      </c>
      <c r="F46" s="363" t="str">
        <f t="shared" si="11"/>
        <v>PRC,DMD,DAYNITE</v>
      </c>
    </row>
    <row r="47" spans="1:6">
      <c r="A47" s="304" t="str">
        <f>IF(LEFT(COM_N_2012!A90,2)="\I","*","")</f>
        <v/>
      </c>
      <c r="B47" s="363" t="str">
        <f t="shared" si="6"/>
        <v>T</v>
      </c>
      <c r="C47" s="304" t="str">
        <f>IF(A47="*","",COM_N_2012!B90)</f>
        <v>CNRELC-N</v>
      </c>
      <c r="D47" s="304" t="str">
        <f>IF(A47="*","",COM_N_2012!A90)</f>
        <v>Commercial - Refrigeration - Electricity - New</v>
      </c>
      <c r="E47" s="363" t="str">
        <f t="shared" si="10"/>
        <v>PJ,PJa</v>
      </c>
      <c r="F47" s="363" t="str">
        <f t="shared" si="11"/>
        <v>PRC,DMD,DAYNITE</v>
      </c>
    </row>
    <row r="48" spans="1:6">
      <c r="A48" s="304" t="str">
        <f>IF(LEFT(COM_N_2012!A91,2)="\I","*","")</f>
        <v>*</v>
      </c>
      <c r="B48" s="363" t="str">
        <f t="shared" si="6"/>
        <v/>
      </c>
      <c r="C48" s="304" t="str">
        <f>IF(A48="*","",COM_N_2012!B91)</f>
        <v/>
      </c>
      <c r="D48" s="304" t="str">
        <f>IF(A48="*","",COM_N_2012!A91)</f>
        <v/>
      </c>
      <c r="E48" s="363" t="str">
        <f t="shared" si="10"/>
        <v/>
      </c>
      <c r="F48" s="363" t="str">
        <f t="shared" si="11"/>
        <v/>
      </c>
    </row>
    <row r="49" spans="1:6">
      <c r="A49" s="304" t="str">
        <f>IF(LEFT(COM_N_2012!A92,2)="\I","*","")</f>
        <v>*</v>
      </c>
      <c r="B49" s="363" t="str">
        <f t="shared" si="6"/>
        <v/>
      </c>
      <c r="C49" s="304" t="str">
        <f>IF(A49="*","",COM_N_2012!B92)</f>
        <v/>
      </c>
      <c r="D49" s="304" t="str">
        <f>IF(A49="*","",COM_N_2012!A92)</f>
        <v/>
      </c>
      <c r="E49" s="363" t="str">
        <f t="shared" si="10"/>
        <v/>
      </c>
      <c r="F49" s="363" t="str">
        <f t="shared" si="11"/>
        <v/>
      </c>
    </row>
    <row r="50" spans="1:6">
      <c r="A50" s="304" t="str">
        <f>IF(LEFT(COM_N_2012!A93,2)="\I","*","")</f>
        <v/>
      </c>
      <c r="B50" s="363" t="str">
        <f t="shared" si="6"/>
        <v>T</v>
      </c>
      <c r="C50" s="304" t="str">
        <f>IF(A50="*","",COM_N_2012!B93)</f>
        <v>CNWELC-E</v>
      </c>
      <c r="D50" s="304" t="str">
        <f>IF(A50="*","",COM_N_2012!A93)</f>
        <v>Commercial - Water Heating - Electricity - Existing</v>
      </c>
      <c r="E50" s="363" t="str">
        <f t="shared" si="10"/>
        <v>PJ,PJa</v>
      </c>
      <c r="F50" s="363" t="str">
        <f t="shared" si="11"/>
        <v>PRC,DMD,DAYNITE</v>
      </c>
    </row>
    <row r="51" spans="1:6">
      <c r="A51" s="304" t="str">
        <f>IF(LEFT(COM_N_2012!A94,2)="\I","*","")</f>
        <v/>
      </c>
      <c r="B51" s="363" t="str">
        <f t="shared" si="6"/>
        <v>T</v>
      </c>
      <c r="C51" s="304" t="str">
        <f>IF(A51="*","",COM_N_2012!B94)</f>
        <v>CNWCOA-E</v>
      </c>
      <c r="D51" s="304" t="str">
        <f>IF(A51="*","",COM_N_2012!A94)</f>
        <v>Commercial - Water Heating - Coal - Existing</v>
      </c>
      <c r="E51" s="363" t="str">
        <f t="shared" si="10"/>
        <v>PJ,PJa</v>
      </c>
      <c r="F51" s="363" t="str">
        <f t="shared" si="11"/>
        <v>PRC,DMD,DAYNITE</v>
      </c>
    </row>
    <row r="52" spans="1:6">
      <c r="A52" s="304" t="str">
        <f>IF(LEFT(COM_N_2012!A95,2)="\I","*","")</f>
        <v/>
      </c>
      <c r="B52" s="363" t="str">
        <f t="shared" si="6"/>
        <v>T</v>
      </c>
      <c r="C52" s="304" t="str">
        <f>IF(A52="*","",COM_N_2012!B95)</f>
        <v>CNWOLP-E</v>
      </c>
      <c r="D52" s="304" t="str">
        <f>IF(A52="*","",COM_N_2012!A95)</f>
        <v>Commercial - Water Heating - Oil LPG - Existing</v>
      </c>
      <c r="E52" s="363" t="str">
        <f t="shared" si="10"/>
        <v>PJ,PJa</v>
      </c>
      <c r="F52" s="363" t="str">
        <f t="shared" si="11"/>
        <v>PRC,DMD,DAYNITE</v>
      </c>
    </row>
    <row r="53" spans="1:6">
      <c r="B53" s="363" t="str">
        <f t="shared" ref="B53:B54" si="15">IF(A53="*","","T")</f>
        <v>T</v>
      </c>
      <c r="C53" s="304" t="str">
        <f>IF(A53="*","",COM_N_2012!B96)</f>
        <v>CNWGAS-E</v>
      </c>
      <c r="D53" s="304" t="str">
        <f>IF(A53="*","",COM_N_2012!A96)</f>
        <v>Commercial - Water Heating - Gas - Existing</v>
      </c>
      <c r="E53" s="363" t="str">
        <f t="shared" ref="E53:E54" si="16">IF(A53="*","","PJ,PJa")</f>
        <v>PJ,PJa</v>
      </c>
      <c r="F53" s="363" t="str">
        <f t="shared" ref="F53:F54" si="17">IF(A53="*","","PRC,DMD,DAYNITE")</f>
        <v>PRC,DMD,DAYNITE</v>
      </c>
    </row>
    <row r="54" spans="1:6">
      <c r="B54" s="363" t="str">
        <f t="shared" si="15"/>
        <v>T</v>
      </c>
      <c r="C54" s="304" t="str">
        <f>IF(A54="*","",COM_N_2012!B97)</f>
        <v>CNWOKE-E</v>
      </c>
      <c r="D54" s="304" t="str">
        <f>IF(A54="*","",COM_N_2012!A97)</f>
        <v>Commercial - Water Heating - Oil Paraffin - Existing</v>
      </c>
      <c r="E54" s="363" t="str">
        <f t="shared" si="16"/>
        <v>PJ,PJa</v>
      </c>
      <c r="F54" s="363" t="str">
        <f t="shared" si="17"/>
        <v>PRC,DMD,DAYNITE</v>
      </c>
    </row>
    <row r="55" spans="1:6">
      <c r="A55" s="304" t="str">
        <f>IF(LEFT(COM_N_2012!A98,2)="\I","*","")</f>
        <v/>
      </c>
      <c r="B55" s="363" t="str">
        <f t="shared" si="6"/>
        <v>T</v>
      </c>
      <c r="C55" s="304" t="str">
        <f>IF(A55="*","",COM_N_2012!B98)</f>
        <v>CNWELC-N</v>
      </c>
      <c r="D55" s="304" t="str">
        <f>IF(A55="*","",COM_N_2012!A98)</f>
        <v>Commercial - Water Heating - Electricity - New</v>
      </c>
      <c r="E55" s="363" t="str">
        <f t="shared" si="10"/>
        <v>PJ,PJa</v>
      </c>
      <c r="F55" s="363" t="str">
        <f t="shared" si="11"/>
        <v>PRC,DMD,DAYNITE</v>
      </c>
    </row>
    <row r="56" spans="1:6">
      <c r="A56" s="304" t="str">
        <f>IF(LEFT(COM_N_2012!A99,2)="\I","*","")</f>
        <v/>
      </c>
      <c r="B56" s="363" t="str">
        <f t="shared" si="6"/>
        <v>T</v>
      </c>
      <c r="C56" s="304" t="str">
        <f>IF(A56="*","",COM_N_2012!B99)</f>
        <v>CNWELCHP-N</v>
      </c>
      <c r="D56" s="304" t="str">
        <f>IF(A56="*","",COM_N_2012!A99)</f>
        <v>Commercial - Water Heating - Electricity - HP - New</v>
      </c>
      <c r="E56" s="363" t="str">
        <f t="shared" si="10"/>
        <v>PJ,PJa</v>
      </c>
      <c r="F56" s="363" t="str">
        <f t="shared" si="11"/>
        <v>PRC,DMD,DAYNITE</v>
      </c>
    </row>
    <row r="57" spans="1:6">
      <c r="A57" s="304" t="str">
        <f>IF(LEFT(COM_N_2012!A100,2)="\I","*","")</f>
        <v>*</v>
      </c>
      <c r="B57" s="363" t="str">
        <f t="shared" si="6"/>
        <v/>
      </c>
      <c r="C57" s="304" t="str">
        <f>IF(A57="*","",COM_N_2012!B100)</f>
        <v/>
      </c>
      <c r="D57" s="304" t="str">
        <f>IF(A57="*","",COM_N_2012!A100)</f>
        <v/>
      </c>
      <c r="E57" s="363" t="str">
        <f t="shared" si="10"/>
        <v/>
      </c>
      <c r="F57" s="363" t="str">
        <f t="shared" si="11"/>
        <v/>
      </c>
    </row>
    <row r="58" spans="1:6">
      <c r="A58" s="304" t="str">
        <f>IF(LEFT(COM_N_2012!A101,2)="\I","*","")</f>
        <v>*</v>
      </c>
      <c r="B58" s="363" t="str">
        <f t="shared" si="6"/>
        <v/>
      </c>
      <c r="C58" s="304" t="str">
        <f>IF(A58="*","",COM_N_2012!B101)</f>
        <v/>
      </c>
      <c r="D58" s="304" t="str">
        <f>IF(A58="*","",COM_N_2012!A101)</f>
        <v/>
      </c>
      <c r="E58" s="363" t="str">
        <f t="shared" si="10"/>
        <v/>
      </c>
      <c r="F58" s="363" t="str">
        <f t="shared" si="11"/>
        <v/>
      </c>
    </row>
    <row r="59" spans="1:6">
      <c r="A59" s="304" t="str">
        <f>IF(LEFT(COM_N_2012!A102,2)="\I","*","")</f>
        <v/>
      </c>
      <c r="B59" s="363" t="str">
        <f t="shared" si="6"/>
        <v>T</v>
      </c>
      <c r="C59" s="304" t="str">
        <f>IF(A59="*","",COM_N_2012!B102)</f>
        <v>CNGELCINC-E</v>
      </c>
      <c r="D59" s="304" t="str">
        <f>IF(A59="*","",COM_N_2012!A102)</f>
        <v>Commercial - Public Lights - Electricity - INC - Existing</v>
      </c>
      <c r="E59" s="363" t="str">
        <f t="shared" si="10"/>
        <v>PJ,PJa</v>
      </c>
      <c r="F59" s="363" t="str">
        <f t="shared" si="11"/>
        <v>PRC,DMD,DAYNITE</v>
      </c>
    </row>
    <row r="60" spans="1:6">
      <c r="A60" s="304" t="str">
        <f>IF(LEFT(COM_N_2012!A103,2)="\I","*","")</f>
        <v/>
      </c>
      <c r="B60" s="363" t="str">
        <f t="shared" si="6"/>
        <v>T</v>
      </c>
      <c r="C60" s="304" t="str">
        <f>IF(A60="*","",COM_N_2012!B103)</f>
        <v>CNGELCHAL-E</v>
      </c>
      <c r="D60" s="304" t="str">
        <f>IF(A60="*","",COM_N_2012!A103)</f>
        <v>Commercial - Public Lights - Electricity - HAL - Existing</v>
      </c>
      <c r="E60" s="363" t="str">
        <f t="shared" si="10"/>
        <v>PJ,PJa</v>
      </c>
      <c r="F60" s="363" t="str">
        <f t="shared" si="11"/>
        <v>PRC,DMD,DAYNITE</v>
      </c>
    </row>
    <row r="61" spans="1:6">
      <c r="A61" s="304" t="str">
        <f>IF(LEFT(COM_N_2012!A104,2)="\I","*","")</f>
        <v/>
      </c>
      <c r="B61" s="363" t="str">
        <f t="shared" si="6"/>
        <v>T</v>
      </c>
      <c r="C61" s="304" t="str">
        <f>IF(A61="*","",COM_N_2012!B104)</f>
        <v>CNGELCHPM-E</v>
      </c>
      <c r="D61" s="304" t="str">
        <f>IF(A61="*","",COM_N_2012!A104)</f>
        <v>Commercial - Public Lights - Electricity - HPM - Existing</v>
      </c>
      <c r="E61" s="363" t="str">
        <f t="shared" ref="E61:E77" si="18">IF(A61="*","","PJ,PJa")</f>
        <v>PJ,PJa</v>
      </c>
      <c r="F61" s="363" t="str">
        <f t="shared" ref="F61:F77" si="19">IF(A61="*","","PRC,DMD,DAYNITE")</f>
        <v>PRC,DMD,DAYNITE</v>
      </c>
    </row>
    <row r="62" spans="1:6">
      <c r="A62" s="304" t="str">
        <f>IF(LEFT(COM_N_2012!A105,2)="\I","*","")</f>
        <v/>
      </c>
      <c r="B62" s="363" t="str">
        <f t="shared" si="6"/>
        <v>T</v>
      </c>
      <c r="C62" s="304" t="str">
        <f>IF(A62="*","",COM_N_2012!B105)</f>
        <v>CNGELCHPS-E</v>
      </c>
      <c r="D62" s="304" t="str">
        <f>IF(A62="*","",COM_N_2012!A105)</f>
        <v>Commercial - Public Lights - Electricity - HPS - Existing</v>
      </c>
      <c r="E62" s="363" t="str">
        <f t="shared" si="18"/>
        <v>PJ,PJa</v>
      </c>
      <c r="F62" s="363" t="str">
        <f t="shared" si="19"/>
        <v>PRC,DMD,DAYNITE</v>
      </c>
    </row>
    <row r="63" spans="1:6">
      <c r="A63" s="304" t="str">
        <f>IF(LEFT(COM_N_2012!A106,2)="\I","*","")</f>
        <v/>
      </c>
      <c r="B63" s="363" t="str">
        <f t="shared" si="6"/>
        <v>T</v>
      </c>
      <c r="C63" s="304" t="str">
        <f>IF(A63="*","",COM_N_2012!B106)</f>
        <v>CNGELCMHL-E</v>
      </c>
      <c r="D63" s="304" t="str">
        <f>IF(A63="*","",COM_N_2012!A106)</f>
        <v>Commercial - Public Lights - Electricity - MHL - Existing</v>
      </c>
      <c r="E63" s="363" t="str">
        <f t="shared" si="18"/>
        <v>PJ,PJa</v>
      </c>
      <c r="F63" s="363" t="str">
        <f t="shared" si="19"/>
        <v>PRC,DMD,DAYNITE</v>
      </c>
    </row>
    <row r="64" spans="1:6">
      <c r="A64" s="304" t="str">
        <f>IF(LEFT(COM_N_2012!A107,2)="\I","*","")</f>
        <v/>
      </c>
      <c r="B64" s="363" t="str">
        <f t="shared" si="6"/>
        <v>T</v>
      </c>
      <c r="C64" s="304" t="str">
        <f>IF(A64="*","",COM_N_2012!B107)</f>
        <v>CNGELCLED-N</v>
      </c>
      <c r="D64" s="304" t="str">
        <f>IF(A64="*","",COM_N_2012!A107)</f>
        <v>Commercial - Public Lights - Electricity - LED - New</v>
      </c>
      <c r="E64" s="363" t="str">
        <f t="shared" si="18"/>
        <v>PJ,PJa</v>
      </c>
      <c r="F64" s="363" t="str">
        <f t="shared" si="19"/>
        <v>PRC,DMD,DAYNITE</v>
      </c>
    </row>
    <row r="65" spans="1:6">
      <c r="A65" s="304" t="str">
        <f>IF(LEFT(COM_N_2012!A108,2)="\I","*","")</f>
        <v>*</v>
      </c>
      <c r="B65" s="363" t="str">
        <f t="shared" si="6"/>
        <v/>
      </c>
      <c r="C65" s="304" t="str">
        <f>IF(A65="*","",COM_N_2012!B108)</f>
        <v/>
      </c>
      <c r="D65" s="304" t="str">
        <f>IF(A65="*","",COM_N_2012!A108)</f>
        <v/>
      </c>
      <c r="E65" s="363" t="str">
        <f t="shared" si="18"/>
        <v/>
      </c>
      <c r="F65" s="363" t="str">
        <f t="shared" si="19"/>
        <v/>
      </c>
    </row>
    <row r="66" spans="1:6">
      <c r="A66" s="304" t="str">
        <f>IF(LEFT(COM_N_2012!A109,2)="\I","*","")</f>
        <v>*</v>
      </c>
      <c r="B66" s="363" t="str">
        <f t="shared" si="6"/>
        <v/>
      </c>
      <c r="C66" s="304" t="str">
        <f>IF(A66="*","",COM_N_2012!B109)</f>
        <v/>
      </c>
      <c r="D66" s="304" t="str">
        <f>IF(A66="*","",COM_N_2012!A109)</f>
        <v/>
      </c>
      <c r="E66" s="363" t="str">
        <f t="shared" si="18"/>
        <v/>
      </c>
      <c r="F66" s="363" t="str">
        <f t="shared" si="19"/>
        <v/>
      </c>
    </row>
    <row r="67" spans="1:6">
      <c r="A67" s="304" t="str">
        <f>IF(LEFT(COM_N_2012!A110,2)="\I","*","")</f>
        <v/>
      </c>
      <c r="B67" s="363" t="str">
        <f t="shared" si="6"/>
        <v>T</v>
      </c>
      <c r="C67" s="304" t="str">
        <f>IF(A67="*","",COM_N_2012!B110)</f>
        <v>CNTELC-E</v>
      </c>
      <c r="D67" s="304" t="str">
        <f>IF(A67="*","",COM_N_2012!A110)</f>
        <v>Commercial - Public Water - Electricity -  - Existing</v>
      </c>
      <c r="E67" s="363" t="str">
        <f t="shared" si="18"/>
        <v>PJ,PJa</v>
      </c>
      <c r="F67" s="363" t="str">
        <f t="shared" si="19"/>
        <v>PRC,DMD,DAYNITE</v>
      </c>
    </row>
    <row r="68" spans="1:6">
      <c r="A68" s="304" t="str">
        <f>IF(LEFT(COM_N_2012!A111,2)="\I","*","")</f>
        <v>*</v>
      </c>
      <c r="B68" s="363" t="str">
        <f t="shared" si="6"/>
        <v/>
      </c>
      <c r="C68" s="304" t="str">
        <f>IF(A68="*","",COM_N_2012!B111)</f>
        <v/>
      </c>
      <c r="D68" s="304" t="str">
        <f>IF(A68="*","",COM_N_2012!A111)</f>
        <v/>
      </c>
      <c r="E68" s="363" t="str">
        <f t="shared" si="18"/>
        <v/>
      </c>
      <c r="F68" s="363" t="str">
        <f t="shared" si="19"/>
        <v/>
      </c>
    </row>
    <row r="69" spans="1:6">
      <c r="A69" s="304" t="str">
        <f>IF(LEFT(COM_N_2012!A112,2)="\I","*","")</f>
        <v>*</v>
      </c>
      <c r="B69" s="363" t="str">
        <f t="shared" si="6"/>
        <v/>
      </c>
      <c r="C69" s="304" t="str">
        <f>IF(A69="*","",COM_N_2012!B112)</f>
        <v/>
      </c>
      <c r="D69" s="304" t="str">
        <f>IF(A69="*","",COM_N_2012!A112)</f>
        <v/>
      </c>
      <c r="E69" s="363" t="str">
        <f t="shared" si="18"/>
        <v/>
      </c>
      <c r="F69" s="363" t="str">
        <f t="shared" si="19"/>
        <v/>
      </c>
    </row>
    <row r="70" spans="1:6">
      <c r="A70" s="304" t="str">
        <f>IF(LEFT(COM_N_2012!A113,2)="\I","*","")</f>
        <v/>
      </c>
      <c r="B70" s="363" t="str">
        <f t="shared" si="6"/>
        <v>T</v>
      </c>
      <c r="C70" s="304" t="str">
        <f>IF(A70="*","",COM_N_2012!B113)</f>
        <v>CNOCOA-E</v>
      </c>
      <c r="D70" s="304" t="str">
        <f>IF(A70="*","",COM_N_2012!A113)</f>
        <v>Commercial - Other - Coal - Existing</v>
      </c>
      <c r="E70" s="363" t="str">
        <f t="shared" si="18"/>
        <v>PJ,PJa</v>
      </c>
      <c r="F70" s="363" t="str">
        <f t="shared" si="19"/>
        <v>PRC,DMD,DAYNITE</v>
      </c>
    </row>
    <row r="71" spans="1:6">
      <c r="A71" s="304" t="str">
        <f>IF(LEFT(COM_N_2012!A114,2)="\I","*","")</f>
        <v/>
      </c>
      <c r="B71" s="363" t="str">
        <f t="shared" si="6"/>
        <v>T</v>
      </c>
      <c r="C71" s="304" t="str">
        <f>IF(A71="*","",COM_N_2012!B114)</f>
        <v>CNOODS-E</v>
      </c>
      <c r="D71" s="304" t="str">
        <f>IF(A71="*","",COM_N_2012!A114)</f>
        <v>Commercial - Other - Oil Diesel - Existing</v>
      </c>
      <c r="E71" s="363" t="str">
        <f t="shared" si="18"/>
        <v>PJ,PJa</v>
      </c>
      <c r="F71" s="363" t="str">
        <f t="shared" si="19"/>
        <v>PRC,DMD,DAYNITE</v>
      </c>
    </row>
    <row r="72" spans="1:6">
      <c r="A72" s="304" t="str">
        <f>IF(LEFT(COM_N_2012!A115,2)="\I","*","")</f>
        <v/>
      </c>
      <c r="B72" s="363" t="str">
        <f t="shared" si="6"/>
        <v>T</v>
      </c>
      <c r="C72" s="304" t="str">
        <f>IF(A72="*","",COM_N_2012!B115)</f>
        <v>CNOELC-E</v>
      </c>
      <c r="D72" s="304" t="str">
        <f>IF(A72="*","",COM_N_2012!A115)</f>
        <v>Commercial - Other - Electricity - Existing</v>
      </c>
      <c r="E72" s="363" t="str">
        <f t="shared" si="18"/>
        <v>PJ,PJa</v>
      </c>
      <c r="F72" s="363" t="str">
        <f t="shared" si="19"/>
        <v>PRC,DMD,DAYNITE</v>
      </c>
    </row>
    <row r="73" spans="1:6">
      <c r="A73" s="304" t="str">
        <f>IF(LEFT(COM_N_2012!A116,2)="\I","*","")</f>
        <v/>
      </c>
      <c r="B73" s="363" t="str">
        <f t="shared" si="6"/>
        <v>T</v>
      </c>
      <c r="C73" s="304" t="str">
        <f>IF(A73="*","",COM_N_2012!B116)</f>
        <v>CNOGAS-E</v>
      </c>
      <c r="D73" s="304" t="str">
        <f>IF(A73="*","",COM_N_2012!A116)</f>
        <v>Commercial - Other - Gas - Existing</v>
      </c>
      <c r="E73" s="363" t="str">
        <f t="shared" si="18"/>
        <v>PJ,PJa</v>
      </c>
      <c r="F73" s="363" t="str">
        <f t="shared" si="19"/>
        <v>PRC,DMD,DAYNITE</v>
      </c>
    </row>
    <row r="74" spans="1:6">
      <c r="A74" s="304" t="str">
        <f>IF(LEFT(COM_N_2012!A117,2)="\I","*","")</f>
        <v/>
      </c>
      <c r="B74" s="363" t="str">
        <f t="shared" si="6"/>
        <v>T</v>
      </c>
      <c r="C74" s="304" t="str">
        <f>IF(A74="*","",COM_N_2012!B117)</f>
        <v>CNOOGS-E</v>
      </c>
      <c r="D74" s="304" t="str">
        <f>IF(A74="*","",COM_N_2012!A117)</f>
        <v>Commercial - Other - Oil Gasoline - Existing</v>
      </c>
      <c r="E74" s="363" t="str">
        <f t="shared" si="18"/>
        <v>PJ,PJa</v>
      </c>
      <c r="F74" s="363" t="str">
        <f t="shared" si="19"/>
        <v>PRC,DMD,DAYNITE</v>
      </c>
    </row>
    <row r="75" spans="1:6">
      <c r="A75" s="304" t="str">
        <f>IF(LEFT(COM_N_2012!A118,2)="\I","*","")</f>
        <v/>
      </c>
      <c r="B75" s="363" t="str">
        <f t="shared" si="6"/>
        <v>T</v>
      </c>
      <c r="C75" s="304" t="str">
        <f>IF(A75="*","",COM_N_2012!B118)</f>
        <v>CNOOHF-E</v>
      </c>
      <c r="D75" s="304" t="str">
        <f>IF(A75="*","",COM_N_2012!A118)</f>
        <v>Commercial - Other - Oil HFO - Existing</v>
      </c>
      <c r="E75" s="363" t="str">
        <f t="shared" si="18"/>
        <v>PJ,PJa</v>
      </c>
      <c r="F75" s="363" t="str">
        <f t="shared" si="19"/>
        <v>PRC,DMD,DAYNITE</v>
      </c>
    </row>
    <row r="76" spans="1:6">
      <c r="A76" s="304" t="str">
        <f>IF(LEFT(COM_N_2012!A119,2)="\I","*","")</f>
        <v/>
      </c>
      <c r="B76" s="363" t="str">
        <f t="shared" si="6"/>
        <v>T</v>
      </c>
      <c r="C76" s="304" t="str">
        <f>IF(A76="*","",COM_N_2012!B119)</f>
        <v>CNOOKE-E</v>
      </c>
      <c r="D76" s="304" t="str">
        <f>IF(A76="*","",COM_N_2012!A119)</f>
        <v>Commercial - Other - Oil Paraffin - Existing</v>
      </c>
      <c r="E76" s="363" t="str">
        <f t="shared" si="18"/>
        <v>PJ,PJa</v>
      </c>
      <c r="F76" s="363" t="str">
        <f t="shared" si="19"/>
        <v>PRC,DMD,DAYNITE</v>
      </c>
    </row>
    <row r="77" spans="1:6">
      <c r="A77" s="304" t="str">
        <f>IF(LEFT(COM_N_2012!A120,2)="\I","*","")</f>
        <v>*</v>
      </c>
      <c r="B77" s="363" t="str">
        <f t="shared" si="6"/>
        <v/>
      </c>
      <c r="C77" s="304" t="str">
        <f>IF(A77="*","",COM_N_2012!B120)</f>
        <v/>
      </c>
      <c r="D77" s="304" t="str">
        <f>IF(A77="*","",COM_N_2012!A120)</f>
        <v/>
      </c>
      <c r="E77" s="363" t="str">
        <f t="shared" si="18"/>
        <v/>
      </c>
      <c r="F77" s="363" t="str">
        <f t="shared" si="19"/>
        <v/>
      </c>
    </row>
    <row r="78" spans="1:6">
      <c r="A78" s="304" t="str">
        <f>IF(LEFT(COM_N_2012!A121,2)="\I","*","")</f>
        <v>*</v>
      </c>
      <c r="B78" s="363"/>
      <c r="E78" s="363"/>
      <c r="F78" s="363"/>
    </row>
    <row r="79" spans="1:6">
      <c r="A79" s="304" t="str">
        <f>IF(LEFT(COM_N_2012!A122,2)="\I","*","")</f>
        <v/>
      </c>
      <c r="B79" s="363"/>
      <c r="E79" s="363"/>
      <c r="F79" s="363"/>
    </row>
    <row r="80" spans="1:6">
      <c r="B80" s="363"/>
      <c r="E80" s="363"/>
      <c r="F80" s="363"/>
    </row>
    <row r="82" spans="1:1">
      <c r="A82" s="304" t="str">
        <f>IF(LEFT(COM_2012!A137,2)="\I","*","")</f>
        <v/>
      </c>
    </row>
    <row r="83" spans="1:1">
      <c r="A83" s="304" t="str">
        <f>IF(LEFT(COM_2012!A138,2)="\I","*","")</f>
        <v/>
      </c>
    </row>
    <row r="84" spans="1:1">
      <c r="A84" s="304" t="str">
        <f>IF(LEFT(COM_2012!A139,2)="\I","*","")</f>
        <v/>
      </c>
    </row>
    <row r="85" spans="1:1">
      <c r="A85" s="304" t="str">
        <f>IF(LEFT(COM_2012!A140,2)="\I","*","")</f>
        <v/>
      </c>
    </row>
    <row r="86" spans="1:1">
      <c r="A86" s="304" t="str">
        <f>IF(LEFT(COM_2012!A141,2)="\I","*","")</f>
        <v/>
      </c>
    </row>
    <row r="87" spans="1:1">
      <c r="A87" s="304" t="str">
        <f>IF(LEFT(COM_2012!A142,2)="\I","*","")</f>
        <v/>
      </c>
    </row>
    <row r="88" spans="1:1">
      <c r="A88" s="304" t="str">
        <f>IF(LEFT(COM_2012!A143,2)="\I","*","")</f>
        <v/>
      </c>
    </row>
    <row r="89" spans="1:1">
      <c r="A89" s="304" t="str">
        <f>IF(LEFT(COM_2012!A144,2)="\I","*","")</f>
        <v/>
      </c>
    </row>
  </sheetData>
  <autoFilter ref="A1:F89" xr:uid="{00000000-0009-0000-0000-000010000000}"/>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7172" r:id="rId3" name="cmdSpecifySets">
          <controlPr defaultSize="0" autoLine="0" r:id="rId4">
            <anchor moveWithCells="1">
              <from>
                <xdr:col>5</xdr:col>
                <xdr:colOff>9525</xdr:colOff>
                <xdr:row>25</xdr:row>
                <xdr:rowOff>0</xdr:rowOff>
              </from>
              <to>
                <xdr:col>6</xdr:col>
                <xdr:colOff>0</xdr:colOff>
                <xdr:row>26</xdr:row>
                <xdr:rowOff>95250</xdr:rowOff>
              </to>
            </anchor>
          </controlPr>
        </control>
      </mc:Choice>
      <mc:Fallback>
        <control shapeId="7172" r:id="rId3" name="cmdSpecifySets"/>
      </mc:Fallback>
    </mc:AlternateContent>
    <mc:AlternateContent xmlns:mc="http://schemas.openxmlformats.org/markup-compatibility/2006">
      <mc:Choice Requires="x14">
        <control shapeId="7171" r:id="rId5" name="cmdSpecifyUnits">
          <controlPr defaultSize="0" autoLine="0" r:id="rId6">
            <anchor moveWithCells="1">
              <from>
                <xdr:col>4</xdr:col>
                <xdr:colOff>9525</xdr:colOff>
                <xdr:row>25</xdr:row>
                <xdr:rowOff>0</xdr:rowOff>
              </from>
              <to>
                <xdr:col>5</xdr:col>
                <xdr:colOff>0</xdr:colOff>
                <xdr:row>26</xdr:row>
                <xdr:rowOff>95250</xdr:rowOff>
              </to>
            </anchor>
          </controlPr>
        </control>
      </mc:Choice>
      <mc:Fallback>
        <control shapeId="7171" r:id="rId5" name="cmdSpecifyUnits"/>
      </mc:Fallback>
    </mc:AlternateContent>
    <mc:AlternateContent xmlns:mc="http://schemas.openxmlformats.org/markup-compatibility/2006">
      <mc:Choice Requires="x14">
        <control shapeId="7170" r:id="rId7" name="cmdSpecifyComponent">
          <controlPr defaultSize="0" autoLine="0" r:id="rId8">
            <anchor moveWithCells="1">
              <from>
                <xdr:col>1</xdr:col>
                <xdr:colOff>9525</xdr:colOff>
                <xdr:row>25</xdr:row>
                <xdr:rowOff>0</xdr:rowOff>
              </from>
              <to>
                <xdr:col>2</xdr:col>
                <xdr:colOff>0</xdr:colOff>
                <xdr:row>26</xdr:row>
                <xdr:rowOff>95250</xdr:rowOff>
              </to>
            </anchor>
          </controlPr>
        </control>
      </mc:Choice>
      <mc:Fallback>
        <control shapeId="7170" r:id="rId7" name="cmdSpecifyComponent"/>
      </mc:Fallback>
    </mc:AlternateContent>
    <mc:AlternateContent xmlns:mc="http://schemas.openxmlformats.org/markup-compatibility/2006">
      <mc:Choice Requires="x14">
        <control shapeId="7169" r:id="rId9" name="cmdCheckItemsSheet">
          <controlPr defaultSize="0" autoLine="0" r:id="rId10">
            <anchor moveWithCells="1">
              <from>
                <xdr:col>0</xdr:col>
                <xdr:colOff>9525</xdr:colOff>
                <xdr:row>25</xdr:row>
                <xdr:rowOff>0</xdr:rowOff>
              </from>
              <to>
                <xdr:col>1</xdr:col>
                <xdr:colOff>0</xdr:colOff>
                <xdr:row>26</xdr:row>
                <xdr:rowOff>95250</xdr:rowOff>
              </to>
            </anchor>
          </controlPr>
        </control>
      </mc:Choice>
      <mc:Fallback>
        <control shapeId="7169" r:id="rId9" name="cmdCheckItemsSheet"/>
      </mc:Fallback>
    </mc:AlternateContent>
  </control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7">
    <tabColor theme="9" tint="-0.249977111117893"/>
  </sheetPr>
  <dimension ref="B1:AD89"/>
  <sheetViews>
    <sheetView workbookViewId="0">
      <selection activeCell="E9" sqref="E9"/>
    </sheetView>
  </sheetViews>
  <sheetFormatPr defaultRowHeight="12.75"/>
  <cols>
    <col min="2" max="2" width="12.5703125" bestFit="1" customWidth="1"/>
    <col min="3" max="3" width="52.85546875" customWidth="1"/>
  </cols>
  <sheetData>
    <row r="1" spans="2:30">
      <c r="D1" t="s">
        <v>1342</v>
      </c>
      <c r="E1">
        <v>0.26506849315068493</v>
      </c>
      <c r="F1">
        <v>0.323972602739726</v>
      </c>
      <c r="G1">
        <v>0.11780821917808218</v>
      </c>
      <c r="H1">
        <v>9.7716894977168955E-2</v>
      </c>
      <c r="I1">
        <v>4.8858447488584478E-2</v>
      </c>
      <c r="J1">
        <v>8.5502283105022836E-2</v>
      </c>
      <c r="K1">
        <v>3.6643835616438358E-2</v>
      </c>
      <c r="L1">
        <v>2.4429223744292239E-2</v>
      </c>
    </row>
    <row r="2" spans="2:30">
      <c r="E2">
        <v>1</v>
      </c>
      <c r="F2">
        <f>E2+1</f>
        <v>2</v>
      </c>
      <c r="G2">
        <f t="shared" ref="G2:L2" si="0">F2+1</f>
        <v>3</v>
      </c>
      <c r="H2">
        <f t="shared" si="0"/>
        <v>4</v>
      </c>
      <c r="I2">
        <f t="shared" si="0"/>
        <v>5</v>
      </c>
      <c r="J2">
        <f t="shared" si="0"/>
        <v>6</v>
      </c>
      <c r="K2">
        <f t="shared" si="0"/>
        <v>7</v>
      </c>
      <c r="L2">
        <f t="shared" si="0"/>
        <v>8</v>
      </c>
      <c r="M2">
        <v>1</v>
      </c>
      <c r="N2">
        <f>M2+1</f>
        <v>2</v>
      </c>
      <c r="O2">
        <f t="shared" ref="O2:T2" si="1">N2+1</f>
        <v>3</v>
      </c>
      <c r="P2">
        <f t="shared" si="1"/>
        <v>4</v>
      </c>
      <c r="Q2">
        <f t="shared" si="1"/>
        <v>5</v>
      </c>
      <c r="R2">
        <f t="shared" si="1"/>
        <v>6</v>
      </c>
      <c r="S2">
        <f t="shared" si="1"/>
        <v>7</v>
      </c>
      <c r="T2">
        <f t="shared" si="1"/>
        <v>8</v>
      </c>
      <c r="U2">
        <v>1</v>
      </c>
      <c r="V2">
        <f>U2+1</f>
        <v>2</v>
      </c>
      <c r="W2">
        <f t="shared" ref="W2:AB2" si="2">V2+1</f>
        <v>3</v>
      </c>
      <c r="X2">
        <f t="shared" si="2"/>
        <v>4</v>
      </c>
      <c r="Y2">
        <f t="shared" si="2"/>
        <v>5</v>
      </c>
      <c r="Z2">
        <f t="shared" si="2"/>
        <v>6</v>
      </c>
      <c r="AA2">
        <f t="shared" si="2"/>
        <v>7</v>
      </c>
      <c r="AB2">
        <f t="shared" si="2"/>
        <v>8</v>
      </c>
    </row>
    <row r="3" spans="2:30">
      <c r="D3" t="s">
        <v>1341</v>
      </c>
      <c r="E3" t="str">
        <f ca="1">OFFSET('TS COMFR_10'!$G$9,ncapaf!E$2,0)</f>
        <v>s1d1b1</v>
      </c>
      <c r="F3" t="str">
        <f ca="1">OFFSET('TS COMFR_10'!$G$9,ncapaf!F$2,0)</f>
        <v>s1d1b2</v>
      </c>
      <c r="G3" t="str">
        <f ca="1">OFFSET('TS COMFR_10'!$G$9,ncapaf!G$2,0)</f>
        <v>s1d1b3</v>
      </c>
      <c r="H3" t="str">
        <f ca="1">OFFSET('TS COMFR_10'!$G$9,ncapaf!H$2,0)</f>
        <v>s2d1b1</v>
      </c>
      <c r="I3" t="str">
        <f ca="1">OFFSET('TS COMFR_10'!$G$9,ncapaf!I$2,0)</f>
        <v>s2d1b2</v>
      </c>
      <c r="J3" t="str">
        <f ca="1">OFFSET('TS COMFR_10'!$G$9,ncapaf!J$2,0)</f>
        <v>s2d1b3</v>
      </c>
      <c r="K3" t="str">
        <f ca="1">OFFSET('TS COMFR_10'!$G$9,ncapaf!K$2,0)</f>
        <v>s2d1b4</v>
      </c>
      <c r="L3" t="str">
        <f ca="1">OFFSET('TS COMFR_10'!$G$9,ncapaf!L$2,0)</f>
        <v>s2d1b5</v>
      </c>
      <c r="M3" t="str">
        <f ca="1">OFFSET('TS COMFR_10'!$G$9,ncapaf!M$2,0)</f>
        <v>s1d1b1</v>
      </c>
      <c r="N3" t="str">
        <f ca="1">OFFSET('TS COMFR_10'!$G$9,ncapaf!N$2,0)</f>
        <v>s1d1b2</v>
      </c>
      <c r="O3" t="str">
        <f ca="1">OFFSET('TS COMFR_10'!$G$9,ncapaf!O$2,0)</f>
        <v>s1d1b3</v>
      </c>
      <c r="P3" t="str">
        <f ca="1">OFFSET('TS COMFR_10'!$G$9,ncapaf!P$2,0)</f>
        <v>s2d1b1</v>
      </c>
      <c r="Q3" t="str">
        <f ca="1">OFFSET('TS COMFR_10'!$G$9,ncapaf!Q$2,0)</f>
        <v>s2d1b2</v>
      </c>
      <c r="R3" t="str">
        <f ca="1">OFFSET('TS COMFR_10'!$G$9,ncapaf!R$2,0)</f>
        <v>s2d1b3</v>
      </c>
      <c r="S3" t="str">
        <f ca="1">OFFSET('TS COMFR_10'!$G$9,ncapaf!S$2,0)</f>
        <v>s2d1b4</v>
      </c>
      <c r="T3" t="str">
        <f ca="1">OFFSET('TS COMFR_10'!$G$9,ncapaf!T$2,0)</f>
        <v>s2d1b5</v>
      </c>
      <c r="U3" t="str">
        <f ca="1">OFFSET('TS COMFR_10'!$G$9,ncapaf!U$2,0)</f>
        <v>s1d1b1</v>
      </c>
      <c r="V3" t="str">
        <f ca="1">OFFSET('TS COMFR_10'!$G$9,ncapaf!V$2,0)</f>
        <v>s1d1b2</v>
      </c>
      <c r="W3" t="str">
        <f ca="1">OFFSET('TS COMFR_10'!$G$9,ncapaf!W$2,0)</f>
        <v>s1d1b3</v>
      </c>
      <c r="X3" t="str">
        <f ca="1">OFFSET('TS COMFR_10'!$G$9,ncapaf!X$2,0)</f>
        <v>s2d1b1</v>
      </c>
      <c r="Y3" t="str">
        <f ca="1">OFFSET('TS COMFR_10'!$G$9,ncapaf!Y$2,0)</f>
        <v>s2d1b2</v>
      </c>
      <c r="Z3" t="str">
        <f ca="1">OFFSET('TS COMFR_10'!$G$9,ncapaf!Z$2,0)</f>
        <v>s2d1b3</v>
      </c>
      <c r="AA3" t="str">
        <f ca="1">OFFSET('TS COMFR_10'!$G$9,ncapaf!AA$2,0)</f>
        <v>s2d1b4</v>
      </c>
      <c r="AB3" t="str">
        <f ca="1">OFFSET('TS COMFR_10'!$G$9,ncapaf!AB$2,0)</f>
        <v>s2d1b5</v>
      </c>
    </row>
    <row r="4" spans="2:30">
      <c r="B4" t="s">
        <v>1361</v>
      </c>
      <c r="C4" t="s">
        <v>1362</v>
      </c>
      <c r="D4" t="str">
        <f>LEFT(B4,3)</f>
        <v>CEC</v>
      </c>
      <c r="E4">
        <f>INDEX('TS COMFR_10'!$J$10:$J$153,MATCH($D4,'TS COMFR_10'!$D$10:$D$153,0)+E$2-1)</f>
        <v>0.20380000000000001</v>
      </c>
      <c r="F4">
        <f>INDEX('TS COMFR_10'!$J$10:$J$153,MATCH($D4,'TS COMFR_10'!$D$10:$D$153,0)+F$2-1)</f>
        <v>0.39271999999999979</v>
      </c>
      <c r="G4">
        <f>INDEX('TS COMFR_10'!$J$10:$J$153,MATCH($D4,'TS COMFR_10'!$D$10:$D$153,0)+G$2-1)</f>
        <v>0.14752999999999999</v>
      </c>
      <c r="H4">
        <f>INDEX('TS COMFR_10'!$J$10:$J$153,MATCH($D4,'TS COMFR_10'!$D$10:$D$153,0)+H$2-1)</f>
        <v>6.3039999999999999E-2</v>
      </c>
      <c r="I4">
        <f>INDEX('TS COMFR_10'!$J$10:$J$153,MATCH($D4,'TS COMFR_10'!$D$10:$D$153,0)+I$2-1)</f>
        <v>3.3020000000000001E-2</v>
      </c>
      <c r="J4">
        <f>INDEX('TS COMFR_10'!$J$10:$J$153,MATCH($D4,'TS COMFR_10'!$D$10:$D$153,0)+J$2-1)</f>
        <v>9.9519999999999997E-2</v>
      </c>
      <c r="K4">
        <f>INDEX('TS COMFR_10'!$J$10:$J$153,MATCH($D4,'TS COMFR_10'!$D$10:$D$153,0)+K$2-1)</f>
        <v>4.2099999999999999E-2</v>
      </c>
      <c r="L4">
        <f>INDEX('TS COMFR_10'!$J$10:$J$153,MATCH($D4,'TS COMFR_10'!$D$10:$D$153,0)+L$2-1)</f>
        <v>1.8270000000000002E-2</v>
      </c>
      <c r="M4">
        <f>E4/E$1</f>
        <v>0.76885788113695097</v>
      </c>
      <c r="N4">
        <f t="shared" ref="N4:T15" si="3">F4/F$1</f>
        <v>1.2122012684989423</v>
      </c>
      <c r="O4">
        <f t="shared" si="3"/>
        <v>1.2522895348837211</v>
      </c>
      <c r="P4">
        <f t="shared" si="3"/>
        <v>0.64512897196261676</v>
      </c>
      <c r="Q4">
        <f t="shared" si="3"/>
        <v>0.6758299065420561</v>
      </c>
      <c r="R4">
        <f t="shared" si="3"/>
        <v>1.1639455273698263</v>
      </c>
      <c r="S4">
        <f t="shared" si="3"/>
        <v>1.1488971962616821</v>
      </c>
      <c r="T4">
        <f t="shared" si="3"/>
        <v>0.74787476635514016</v>
      </c>
      <c r="U4">
        <f>M4/MAX($M4:$T4)</f>
        <v>0.6139617554245087</v>
      </c>
      <c r="V4">
        <f t="shared" ref="V4:AB15" si="4">N4/MAX($M4:$T4)</f>
        <v>0.96798802092640568</v>
      </c>
      <c r="W4">
        <f t="shared" si="4"/>
        <v>1</v>
      </c>
      <c r="X4">
        <f t="shared" si="4"/>
        <v>0.51515959687590851</v>
      </c>
      <c r="Y4">
        <f t="shared" si="4"/>
        <v>0.53967544063586614</v>
      </c>
      <c r="Z4">
        <f t="shared" si="4"/>
        <v>0.92945400799656297</v>
      </c>
      <c r="AA4">
        <f t="shared" si="4"/>
        <v>0.91743735315041242</v>
      </c>
      <c r="AB4">
        <f t="shared" si="4"/>
        <v>0.5972059539925666</v>
      </c>
      <c r="AD4">
        <f t="shared" ref="AD4:AD67" si="5">SUMPRODUCT(U4:AB4,E$1:L$1)</f>
        <v>0.79853737665615221</v>
      </c>
    </row>
    <row r="5" spans="2:30">
      <c r="B5" t="s">
        <v>1363</v>
      </c>
      <c r="C5" t="s">
        <v>1364</v>
      </c>
      <c r="D5" t="str">
        <f t="shared" ref="D5:D19" si="6">LEFT(B5,3)</f>
        <v>CEC</v>
      </c>
      <c r="E5">
        <f>INDEX('TS COMFR_10'!$J$10:$J$153,MATCH($D5,'TS COMFR_10'!$D$10:$D$153,0)+E$2-1)</f>
        <v>0.20380000000000001</v>
      </c>
      <c r="F5">
        <f>INDEX('TS COMFR_10'!$J$10:$J$153,MATCH($D5,'TS COMFR_10'!$D$10:$D$153,0)+F$2-1)</f>
        <v>0.39271999999999979</v>
      </c>
      <c r="G5">
        <f>INDEX('TS COMFR_10'!$J$10:$J$153,MATCH($D5,'TS COMFR_10'!$D$10:$D$153,0)+G$2-1)</f>
        <v>0.14752999999999999</v>
      </c>
      <c r="H5">
        <f>INDEX('TS COMFR_10'!$J$10:$J$153,MATCH($D5,'TS COMFR_10'!$D$10:$D$153,0)+H$2-1)</f>
        <v>6.3039999999999999E-2</v>
      </c>
      <c r="I5">
        <f>INDEX('TS COMFR_10'!$J$10:$J$153,MATCH($D5,'TS COMFR_10'!$D$10:$D$153,0)+I$2-1)</f>
        <v>3.3020000000000001E-2</v>
      </c>
      <c r="J5">
        <f>INDEX('TS COMFR_10'!$J$10:$J$153,MATCH($D5,'TS COMFR_10'!$D$10:$D$153,0)+J$2-1)</f>
        <v>9.9519999999999997E-2</v>
      </c>
      <c r="K5">
        <f>INDEX('TS COMFR_10'!$J$10:$J$153,MATCH($D5,'TS COMFR_10'!$D$10:$D$153,0)+K$2-1)</f>
        <v>4.2099999999999999E-2</v>
      </c>
      <c r="L5">
        <f>INDEX('TS COMFR_10'!$J$10:$J$153,MATCH($D5,'TS COMFR_10'!$D$10:$D$153,0)+L$2-1)</f>
        <v>1.8270000000000002E-2</v>
      </c>
      <c r="M5">
        <f t="shared" ref="M5:M19" si="7">E5/E$1</f>
        <v>0.76885788113695097</v>
      </c>
      <c r="N5">
        <f t="shared" si="3"/>
        <v>1.2122012684989423</v>
      </c>
      <c r="O5">
        <f t="shared" si="3"/>
        <v>1.2522895348837211</v>
      </c>
      <c r="P5">
        <f t="shared" si="3"/>
        <v>0.64512897196261676</v>
      </c>
      <c r="Q5">
        <f t="shared" si="3"/>
        <v>0.6758299065420561</v>
      </c>
      <c r="R5">
        <f t="shared" si="3"/>
        <v>1.1639455273698263</v>
      </c>
      <c r="S5">
        <f t="shared" si="3"/>
        <v>1.1488971962616821</v>
      </c>
      <c r="T5">
        <f t="shared" si="3"/>
        <v>0.74787476635514016</v>
      </c>
      <c r="U5">
        <f t="shared" ref="U5:U19" si="8">M5/MAX($M5:$T5)</f>
        <v>0.6139617554245087</v>
      </c>
      <c r="V5">
        <f t="shared" si="4"/>
        <v>0.96798802092640568</v>
      </c>
      <c r="W5">
        <f t="shared" si="4"/>
        <v>1</v>
      </c>
      <c r="X5">
        <f t="shared" si="4"/>
        <v>0.51515959687590851</v>
      </c>
      <c r="Y5">
        <f t="shared" si="4"/>
        <v>0.53967544063586614</v>
      </c>
      <c r="Z5">
        <f t="shared" si="4"/>
        <v>0.92945400799656297</v>
      </c>
      <c r="AA5">
        <f t="shared" si="4"/>
        <v>0.91743735315041242</v>
      </c>
      <c r="AB5">
        <f t="shared" si="4"/>
        <v>0.5972059539925666</v>
      </c>
      <c r="AD5">
        <f t="shared" si="5"/>
        <v>0.79853737665615221</v>
      </c>
    </row>
    <row r="6" spans="2:30">
      <c r="B6" t="s">
        <v>1365</v>
      </c>
      <c r="C6" t="s">
        <v>1366</v>
      </c>
      <c r="D6" t="str">
        <f t="shared" si="6"/>
        <v>CEC</v>
      </c>
      <c r="E6">
        <f>INDEX('TS COMFR_10'!$J$10:$J$153,MATCH($D6,'TS COMFR_10'!$D$10:$D$153,0)+E$2-1)</f>
        <v>0.20380000000000001</v>
      </c>
      <c r="F6">
        <f>INDEX('TS COMFR_10'!$J$10:$J$153,MATCH($D6,'TS COMFR_10'!$D$10:$D$153,0)+F$2-1)</f>
        <v>0.39271999999999979</v>
      </c>
      <c r="G6">
        <f>INDEX('TS COMFR_10'!$J$10:$J$153,MATCH($D6,'TS COMFR_10'!$D$10:$D$153,0)+G$2-1)</f>
        <v>0.14752999999999999</v>
      </c>
      <c r="H6">
        <f>INDEX('TS COMFR_10'!$J$10:$J$153,MATCH($D6,'TS COMFR_10'!$D$10:$D$153,0)+H$2-1)</f>
        <v>6.3039999999999999E-2</v>
      </c>
      <c r="I6">
        <f>INDEX('TS COMFR_10'!$J$10:$J$153,MATCH($D6,'TS COMFR_10'!$D$10:$D$153,0)+I$2-1)</f>
        <v>3.3020000000000001E-2</v>
      </c>
      <c r="J6">
        <f>INDEX('TS COMFR_10'!$J$10:$J$153,MATCH($D6,'TS COMFR_10'!$D$10:$D$153,0)+J$2-1)</f>
        <v>9.9519999999999997E-2</v>
      </c>
      <c r="K6">
        <f>INDEX('TS COMFR_10'!$J$10:$J$153,MATCH($D6,'TS COMFR_10'!$D$10:$D$153,0)+K$2-1)</f>
        <v>4.2099999999999999E-2</v>
      </c>
      <c r="L6">
        <f>INDEX('TS COMFR_10'!$J$10:$J$153,MATCH($D6,'TS COMFR_10'!$D$10:$D$153,0)+L$2-1)</f>
        <v>1.8270000000000002E-2</v>
      </c>
      <c r="M6">
        <f t="shared" si="7"/>
        <v>0.76885788113695097</v>
      </c>
      <c r="N6">
        <f t="shared" si="3"/>
        <v>1.2122012684989423</v>
      </c>
      <c r="O6">
        <f t="shared" si="3"/>
        <v>1.2522895348837211</v>
      </c>
      <c r="P6">
        <f t="shared" si="3"/>
        <v>0.64512897196261676</v>
      </c>
      <c r="Q6">
        <f t="shared" si="3"/>
        <v>0.6758299065420561</v>
      </c>
      <c r="R6">
        <f t="shared" si="3"/>
        <v>1.1639455273698263</v>
      </c>
      <c r="S6">
        <f t="shared" si="3"/>
        <v>1.1488971962616821</v>
      </c>
      <c r="T6">
        <f t="shared" si="3"/>
        <v>0.74787476635514016</v>
      </c>
      <c r="U6">
        <f t="shared" si="8"/>
        <v>0.6139617554245087</v>
      </c>
      <c r="V6">
        <f t="shared" si="4"/>
        <v>0.96798802092640568</v>
      </c>
      <c r="W6">
        <f t="shared" si="4"/>
        <v>1</v>
      </c>
      <c r="X6">
        <f t="shared" si="4"/>
        <v>0.51515959687590851</v>
      </c>
      <c r="Y6">
        <f t="shared" si="4"/>
        <v>0.53967544063586614</v>
      </c>
      <c r="Z6">
        <f t="shared" si="4"/>
        <v>0.92945400799656297</v>
      </c>
      <c r="AA6">
        <f t="shared" si="4"/>
        <v>0.91743735315041242</v>
      </c>
      <c r="AB6">
        <f t="shared" si="4"/>
        <v>0.5972059539925666</v>
      </c>
      <c r="AD6">
        <f t="shared" si="5"/>
        <v>0.79853737665615221</v>
      </c>
    </row>
    <row r="7" spans="2:30">
      <c r="B7" t="s">
        <v>1367</v>
      </c>
      <c r="C7" t="s">
        <v>1368</v>
      </c>
      <c r="D7" t="str">
        <f t="shared" si="6"/>
        <v>CEC</v>
      </c>
      <c r="E7">
        <f>INDEX('TS COMFR_10'!$J$10:$J$153,MATCH($D7,'TS COMFR_10'!$D$10:$D$153,0)+E$2-1)</f>
        <v>0.20380000000000001</v>
      </c>
      <c r="F7">
        <f>INDEX('TS COMFR_10'!$J$10:$J$153,MATCH($D7,'TS COMFR_10'!$D$10:$D$153,0)+F$2-1)</f>
        <v>0.39271999999999979</v>
      </c>
      <c r="G7">
        <f>INDEX('TS COMFR_10'!$J$10:$J$153,MATCH($D7,'TS COMFR_10'!$D$10:$D$153,0)+G$2-1)</f>
        <v>0.14752999999999999</v>
      </c>
      <c r="H7">
        <f>INDEX('TS COMFR_10'!$J$10:$J$153,MATCH($D7,'TS COMFR_10'!$D$10:$D$153,0)+H$2-1)</f>
        <v>6.3039999999999999E-2</v>
      </c>
      <c r="I7">
        <f>INDEX('TS COMFR_10'!$J$10:$J$153,MATCH($D7,'TS COMFR_10'!$D$10:$D$153,0)+I$2-1)</f>
        <v>3.3020000000000001E-2</v>
      </c>
      <c r="J7">
        <f>INDEX('TS COMFR_10'!$J$10:$J$153,MATCH($D7,'TS COMFR_10'!$D$10:$D$153,0)+J$2-1)</f>
        <v>9.9519999999999997E-2</v>
      </c>
      <c r="K7">
        <f>INDEX('TS COMFR_10'!$J$10:$J$153,MATCH($D7,'TS COMFR_10'!$D$10:$D$153,0)+K$2-1)</f>
        <v>4.2099999999999999E-2</v>
      </c>
      <c r="L7">
        <f>INDEX('TS COMFR_10'!$J$10:$J$153,MATCH($D7,'TS COMFR_10'!$D$10:$D$153,0)+L$2-1)</f>
        <v>1.8270000000000002E-2</v>
      </c>
      <c r="M7">
        <f t="shared" si="7"/>
        <v>0.76885788113695097</v>
      </c>
      <c r="N7">
        <f t="shared" si="3"/>
        <v>1.2122012684989423</v>
      </c>
      <c r="O7">
        <f t="shared" si="3"/>
        <v>1.2522895348837211</v>
      </c>
      <c r="P7">
        <f t="shared" si="3"/>
        <v>0.64512897196261676</v>
      </c>
      <c r="Q7">
        <f t="shared" si="3"/>
        <v>0.6758299065420561</v>
      </c>
      <c r="R7">
        <f t="shared" si="3"/>
        <v>1.1639455273698263</v>
      </c>
      <c r="S7">
        <f t="shared" si="3"/>
        <v>1.1488971962616821</v>
      </c>
      <c r="T7">
        <f t="shared" si="3"/>
        <v>0.74787476635514016</v>
      </c>
      <c r="U7">
        <f t="shared" si="8"/>
        <v>0.6139617554245087</v>
      </c>
      <c r="V7">
        <f t="shared" si="4"/>
        <v>0.96798802092640568</v>
      </c>
      <c r="W7">
        <f t="shared" si="4"/>
        <v>1</v>
      </c>
      <c r="X7">
        <f t="shared" si="4"/>
        <v>0.51515959687590851</v>
      </c>
      <c r="Y7">
        <f t="shared" si="4"/>
        <v>0.53967544063586614</v>
      </c>
      <c r="Z7">
        <f t="shared" si="4"/>
        <v>0.92945400799656297</v>
      </c>
      <c r="AA7">
        <f t="shared" si="4"/>
        <v>0.91743735315041242</v>
      </c>
      <c r="AB7">
        <f t="shared" si="4"/>
        <v>0.5972059539925666</v>
      </c>
      <c r="AD7">
        <f t="shared" si="5"/>
        <v>0.79853737665615221</v>
      </c>
    </row>
    <row r="8" spans="2:30">
      <c r="B8" t="s">
        <v>1369</v>
      </c>
      <c r="C8" t="s">
        <v>1370</v>
      </c>
      <c r="D8" t="str">
        <f t="shared" si="6"/>
        <v>CEC</v>
      </c>
      <c r="E8">
        <f>INDEX('TS COMFR_10'!$J$10:$J$153,MATCH($D8,'TS COMFR_10'!$D$10:$D$153,0)+E$2-1)</f>
        <v>0.20380000000000001</v>
      </c>
      <c r="F8">
        <f>INDEX('TS COMFR_10'!$J$10:$J$153,MATCH($D8,'TS COMFR_10'!$D$10:$D$153,0)+F$2-1)</f>
        <v>0.39271999999999979</v>
      </c>
      <c r="G8">
        <f>INDEX('TS COMFR_10'!$J$10:$J$153,MATCH($D8,'TS COMFR_10'!$D$10:$D$153,0)+G$2-1)</f>
        <v>0.14752999999999999</v>
      </c>
      <c r="H8">
        <f>INDEX('TS COMFR_10'!$J$10:$J$153,MATCH($D8,'TS COMFR_10'!$D$10:$D$153,0)+H$2-1)</f>
        <v>6.3039999999999999E-2</v>
      </c>
      <c r="I8">
        <f>INDEX('TS COMFR_10'!$J$10:$J$153,MATCH($D8,'TS COMFR_10'!$D$10:$D$153,0)+I$2-1)</f>
        <v>3.3020000000000001E-2</v>
      </c>
      <c r="J8">
        <f>INDEX('TS COMFR_10'!$J$10:$J$153,MATCH($D8,'TS COMFR_10'!$D$10:$D$153,0)+J$2-1)</f>
        <v>9.9519999999999997E-2</v>
      </c>
      <c r="K8">
        <f>INDEX('TS COMFR_10'!$J$10:$J$153,MATCH($D8,'TS COMFR_10'!$D$10:$D$153,0)+K$2-1)</f>
        <v>4.2099999999999999E-2</v>
      </c>
      <c r="L8">
        <f>INDEX('TS COMFR_10'!$J$10:$J$153,MATCH($D8,'TS COMFR_10'!$D$10:$D$153,0)+L$2-1)</f>
        <v>1.8270000000000002E-2</v>
      </c>
      <c r="M8">
        <f t="shared" si="7"/>
        <v>0.76885788113695097</v>
      </c>
      <c r="N8">
        <f t="shared" si="3"/>
        <v>1.2122012684989423</v>
      </c>
      <c r="O8">
        <f t="shared" si="3"/>
        <v>1.2522895348837211</v>
      </c>
      <c r="P8">
        <f t="shared" si="3"/>
        <v>0.64512897196261676</v>
      </c>
      <c r="Q8">
        <f t="shared" si="3"/>
        <v>0.6758299065420561</v>
      </c>
      <c r="R8">
        <f t="shared" si="3"/>
        <v>1.1639455273698263</v>
      </c>
      <c r="S8">
        <f t="shared" si="3"/>
        <v>1.1488971962616821</v>
      </c>
      <c r="T8">
        <f t="shared" si="3"/>
        <v>0.74787476635514016</v>
      </c>
      <c r="U8">
        <f t="shared" si="8"/>
        <v>0.6139617554245087</v>
      </c>
      <c r="V8">
        <f t="shared" si="4"/>
        <v>0.96798802092640568</v>
      </c>
      <c r="W8">
        <f t="shared" si="4"/>
        <v>1</v>
      </c>
      <c r="X8">
        <f t="shared" si="4"/>
        <v>0.51515959687590851</v>
      </c>
      <c r="Y8">
        <f t="shared" si="4"/>
        <v>0.53967544063586614</v>
      </c>
      <c r="Z8">
        <f t="shared" si="4"/>
        <v>0.92945400799656297</v>
      </c>
      <c r="AA8">
        <f t="shared" si="4"/>
        <v>0.91743735315041242</v>
      </c>
      <c r="AB8">
        <f t="shared" si="4"/>
        <v>0.5972059539925666</v>
      </c>
      <c r="AD8">
        <f t="shared" si="5"/>
        <v>0.79853737665615221</v>
      </c>
    </row>
    <row r="9" spans="2:30">
      <c r="B9" t="s">
        <v>1371</v>
      </c>
      <c r="C9" t="s">
        <v>1372</v>
      </c>
      <c r="D9" t="str">
        <f t="shared" si="6"/>
        <v>CEC</v>
      </c>
      <c r="E9">
        <f>INDEX('TS COMFR_10'!$J$10:$J$153,MATCH($D9,'TS COMFR_10'!$D$10:$D$153,0)+E$2-1)</f>
        <v>0.20380000000000001</v>
      </c>
      <c r="F9">
        <f>INDEX('TS COMFR_10'!$J$10:$J$153,MATCH($D9,'TS COMFR_10'!$D$10:$D$153,0)+F$2-1)</f>
        <v>0.39271999999999979</v>
      </c>
      <c r="G9">
        <f>INDEX('TS COMFR_10'!$J$10:$J$153,MATCH($D9,'TS COMFR_10'!$D$10:$D$153,0)+G$2-1)</f>
        <v>0.14752999999999999</v>
      </c>
      <c r="H9">
        <f>INDEX('TS COMFR_10'!$J$10:$J$153,MATCH($D9,'TS COMFR_10'!$D$10:$D$153,0)+H$2-1)</f>
        <v>6.3039999999999999E-2</v>
      </c>
      <c r="I9">
        <f>INDEX('TS COMFR_10'!$J$10:$J$153,MATCH($D9,'TS COMFR_10'!$D$10:$D$153,0)+I$2-1)</f>
        <v>3.3020000000000001E-2</v>
      </c>
      <c r="J9">
        <f>INDEX('TS COMFR_10'!$J$10:$J$153,MATCH($D9,'TS COMFR_10'!$D$10:$D$153,0)+J$2-1)</f>
        <v>9.9519999999999997E-2</v>
      </c>
      <c r="K9">
        <f>INDEX('TS COMFR_10'!$J$10:$J$153,MATCH($D9,'TS COMFR_10'!$D$10:$D$153,0)+K$2-1)</f>
        <v>4.2099999999999999E-2</v>
      </c>
      <c r="L9">
        <f>INDEX('TS COMFR_10'!$J$10:$J$153,MATCH($D9,'TS COMFR_10'!$D$10:$D$153,0)+L$2-1)</f>
        <v>1.8270000000000002E-2</v>
      </c>
      <c r="M9">
        <f t="shared" si="7"/>
        <v>0.76885788113695097</v>
      </c>
      <c r="N9">
        <f t="shared" si="3"/>
        <v>1.2122012684989423</v>
      </c>
      <c r="O9">
        <f t="shared" si="3"/>
        <v>1.2522895348837211</v>
      </c>
      <c r="P9">
        <f t="shared" si="3"/>
        <v>0.64512897196261676</v>
      </c>
      <c r="Q9">
        <f t="shared" si="3"/>
        <v>0.6758299065420561</v>
      </c>
      <c r="R9">
        <f t="shared" si="3"/>
        <v>1.1639455273698263</v>
      </c>
      <c r="S9">
        <f t="shared" si="3"/>
        <v>1.1488971962616821</v>
      </c>
      <c r="T9">
        <f t="shared" si="3"/>
        <v>0.74787476635514016</v>
      </c>
      <c r="U9">
        <f t="shared" si="8"/>
        <v>0.6139617554245087</v>
      </c>
      <c r="V9">
        <f t="shared" si="4"/>
        <v>0.96798802092640568</v>
      </c>
      <c r="W9">
        <f t="shared" si="4"/>
        <v>1</v>
      </c>
      <c r="X9">
        <f t="shared" si="4"/>
        <v>0.51515959687590851</v>
      </c>
      <c r="Y9">
        <f t="shared" si="4"/>
        <v>0.53967544063586614</v>
      </c>
      <c r="Z9">
        <f t="shared" si="4"/>
        <v>0.92945400799656297</v>
      </c>
      <c r="AA9">
        <f t="shared" si="4"/>
        <v>0.91743735315041242</v>
      </c>
      <c r="AB9">
        <f t="shared" si="4"/>
        <v>0.5972059539925666</v>
      </c>
      <c r="AD9">
        <f t="shared" si="5"/>
        <v>0.79853737665615221</v>
      </c>
    </row>
    <row r="10" spans="2:30">
      <c r="B10" t="s">
        <v>1297</v>
      </c>
      <c r="C10" t="s">
        <v>1298</v>
      </c>
      <c r="D10" t="str">
        <f t="shared" si="6"/>
        <v>CEH</v>
      </c>
      <c r="E10">
        <f>INDEX('TS COMFR_10'!$J$10:$J$153,MATCH($D10,'TS COMFR_10'!$D$10:$D$153,0)+E$2-1)</f>
        <v>0.14902000000000001</v>
      </c>
      <c r="F10">
        <f>INDEX('TS COMFR_10'!$J$10:$J$153,MATCH($D10,'TS COMFR_10'!$D$10:$D$153,0)+F$2-1)</f>
        <v>0.28716000000000014</v>
      </c>
      <c r="G10">
        <f>INDEX('TS COMFR_10'!$J$10:$J$153,MATCH($D10,'TS COMFR_10'!$D$10:$D$153,0)+G$2-1)</f>
        <v>0.10788</v>
      </c>
      <c r="H10">
        <f>INDEX('TS COMFR_10'!$J$10:$J$153,MATCH($D10,'TS COMFR_10'!$D$10:$D$153,0)+H$2-1)</f>
        <v>0.1123</v>
      </c>
      <c r="I10">
        <f>INDEX('TS COMFR_10'!$J$10:$J$153,MATCH($D10,'TS COMFR_10'!$D$10:$D$153,0)+I$2-1)</f>
        <v>5.8810000000000001E-2</v>
      </c>
      <c r="J10">
        <f>INDEX('TS COMFR_10'!$J$10:$J$153,MATCH($D10,'TS COMFR_10'!$D$10:$D$153,0)+J$2-1)</f>
        <v>0.17727999999999999</v>
      </c>
      <c r="K10">
        <f>INDEX('TS COMFR_10'!$J$10:$J$153,MATCH($D10,'TS COMFR_10'!$D$10:$D$153,0)+K$2-1)</f>
        <v>7.4999999999999997E-2</v>
      </c>
      <c r="L10">
        <f>INDEX('TS COMFR_10'!$J$10:$J$153,MATCH($D10,'TS COMFR_10'!$D$10:$D$153,0)+L$2-1)</f>
        <v>3.2550000000000003E-2</v>
      </c>
      <c r="M10">
        <f t="shared" si="7"/>
        <v>0.56219431524547814</v>
      </c>
      <c r="N10">
        <f t="shared" si="3"/>
        <v>0.88637124735729433</v>
      </c>
      <c r="O10">
        <f t="shared" si="3"/>
        <v>0.91572558139534899</v>
      </c>
      <c r="P10">
        <f t="shared" si="3"/>
        <v>1.1492383177570094</v>
      </c>
      <c r="Q10">
        <f t="shared" si="3"/>
        <v>1.203681308411215</v>
      </c>
      <c r="R10">
        <f t="shared" si="3"/>
        <v>2.0733949265687581</v>
      </c>
      <c r="S10">
        <f t="shared" si="3"/>
        <v>2.0467289719626165</v>
      </c>
      <c r="T10">
        <f t="shared" si="3"/>
        <v>1.3324205607476636</v>
      </c>
      <c r="U10">
        <f t="shared" si="8"/>
        <v>0.27114675937586491</v>
      </c>
      <c r="V10">
        <f t="shared" si="4"/>
        <v>0.42749754810297613</v>
      </c>
      <c r="W10">
        <f t="shared" si="4"/>
        <v>0.44165516644278408</v>
      </c>
      <c r="X10">
        <f t="shared" si="4"/>
        <v>0.55427854241877261</v>
      </c>
      <c r="Y10">
        <f t="shared" si="4"/>
        <v>0.58053643953068601</v>
      </c>
      <c r="Z10">
        <f t="shared" si="4"/>
        <v>1</v>
      </c>
      <c r="AA10">
        <f t="shared" si="4"/>
        <v>0.98713898916967502</v>
      </c>
      <c r="AB10">
        <f t="shared" si="4"/>
        <v>0.64262748194945851</v>
      </c>
      <c r="AD10">
        <f>SUMPRODUCT(U10:AB10,E$1:L$1)</f>
        <v>0.48230078466280946</v>
      </c>
    </row>
    <row r="11" spans="2:30">
      <c r="B11" t="s">
        <v>1299</v>
      </c>
      <c r="C11" t="s">
        <v>1300</v>
      </c>
      <c r="D11" t="str">
        <f t="shared" si="6"/>
        <v>CEH</v>
      </c>
      <c r="E11">
        <f>INDEX('TS COMFR_10'!$J$10:$J$153,MATCH($D11,'TS COMFR_10'!$D$10:$D$153,0)+E$2-1)</f>
        <v>0.14902000000000001</v>
      </c>
      <c r="F11">
        <f>INDEX('TS COMFR_10'!$J$10:$J$153,MATCH($D11,'TS COMFR_10'!$D$10:$D$153,0)+F$2-1)</f>
        <v>0.28716000000000014</v>
      </c>
      <c r="G11">
        <f>INDEX('TS COMFR_10'!$J$10:$J$153,MATCH($D11,'TS COMFR_10'!$D$10:$D$153,0)+G$2-1)</f>
        <v>0.10788</v>
      </c>
      <c r="H11">
        <f>INDEX('TS COMFR_10'!$J$10:$J$153,MATCH($D11,'TS COMFR_10'!$D$10:$D$153,0)+H$2-1)</f>
        <v>0.1123</v>
      </c>
      <c r="I11">
        <f>INDEX('TS COMFR_10'!$J$10:$J$153,MATCH($D11,'TS COMFR_10'!$D$10:$D$153,0)+I$2-1)</f>
        <v>5.8810000000000001E-2</v>
      </c>
      <c r="J11">
        <f>INDEX('TS COMFR_10'!$J$10:$J$153,MATCH($D11,'TS COMFR_10'!$D$10:$D$153,0)+J$2-1)</f>
        <v>0.17727999999999999</v>
      </c>
      <c r="K11">
        <f>INDEX('TS COMFR_10'!$J$10:$J$153,MATCH($D11,'TS COMFR_10'!$D$10:$D$153,0)+K$2-1)</f>
        <v>7.4999999999999997E-2</v>
      </c>
      <c r="L11">
        <f>INDEX('TS COMFR_10'!$J$10:$J$153,MATCH($D11,'TS COMFR_10'!$D$10:$D$153,0)+L$2-1)</f>
        <v>3.2550000000000003E-2</v>
      </c>
      <c r="M11">
        <f t="shared" si="7"/>
        <v>0.56219431524547814</v>
      </c>
      <c r="N11">
        <f t="shared" si="3"/>
        <v>0.88637124735729433</v>
      </c>
      <c r="O11">
        <f t="shared" si="3"/>
        <v>0.91572558139534899</v>
      </c>
      <c r="P11">
        <f t="shared" si="3"/>
        <v>1.1492383177570094</v>
      </c>
      <c r="Q11">
        <f t="shared" si="3"/>
        <v>1.203681308411215</v>
      </c>
      <c r="R11">
        <f t="shared" si="3"/>
        <v>2.0733949265687581</v>
      </c>
      <c r="S11">
        <f t="shared" si="3"/>
        <v>2.0467289719626165</v>
      </c>
      <c r="T11">
        <f t="shared" si="3"/>
        <v>1.3324205607476636</v>
      </c>
      <c r="U11">
        <f t="shared" si="8"/>
        <v>0.27114675937586491</v>
      </c>
      <c r="V11">
        <f t="shared" si="4"/>
        <v>0.42749754810297613</v>
      </c>
      <c r="W11">
        <f t="shared" si="4"/>
        <v>0.44165516644278408</v>
      </c>
      <c r="X11">
        <f t="shared" si="4"/>
        <v>0.55427854241877261</v>
      </c>
      <c r="Y11">
        <f t="shared" si="4"/>
        <v>0.58053643953068601</v>
      </c>
      <c r="Z11">
        <f t="shared" si="4"/>
        <v>1</v>
      </c>
      <c r="AA11">
        <f t="shared" si="4"/>
        <v>0.98713898916967502</v>
      </c>
      <c r="AB11">
        <f t="shared" si="4"/>
        <v>0.64262748194945851</v>
      </c>
      <c r="AD11">
        <f t="shared" si="5"/>
        <v>0.48230078466280946</v>
      </c>
    </row>
    <row r="12" spans="2:30">
      <c r="B12" t="s">
        <v>1301</v>
      </c>
      <c r="C12" t="s">
        <v>1302</v>
      </c>
      <c r="D12" t="str">
        <f t="shared" si="6"/>
        <v>CEH</v>
      </c>
      <c r="E12">
        <f>INDEX('TS COMFR_10'!$J$10:$J$153,MATCH($D12,'TS COMFR_10'!$D$10:$D$153,0)+E$2-1)</f>
        <v>0.14902000000000001</v>
      </c>
      <c r="F12">
        <f>INDEX('TS COMFR_10'!$J$10:$J$153,MATCH($D12,'TS COMFR_10'!$D$10:$D$153,0)+F$2-1)</f>
        <v>0.28716000000000014</v>
      </c>
      <c r="G12">
        <f>INDEX('TS COMFR_10'!$J$10:$J$153,MATCH($D12,'TS COMFR_10'!$D$10:$D$153,0)+G$2-1)</f>
        <v>0.10788</v>
      </c>
      <c r="H12">
        <f>INDEX('TS COMFR_10'!$J$10:$J$153,MATCH($D12,'TS COMFR_10'!$D$10:$D$153,0)+H$2-1)</f>
        <v>0.1123</v>
      </c>
      <c r="I12">
        <f>INDEX('TS COMFR_10'!$J$10:$J$153,MATCH($D12,'TS COMFR_10'!$D$10:$D$153,0)+I$2-1)</f>
        <v>5.8810000000000001E-2</v>
      </c>
      <c r="J12">
        <f>INDEX('TS COMFR_10'!$J$10:$J$153,MATCH($D12,'TS COMFR_10'!$D$10:$D$153,0)+J$2-1)</f>
        <v>0.17727999999999999</v>
      </c>
      <c r="K12">
        <f>INDEX('TS COMFR_10'!$J$10:$J$153,MATCH($D12,'TS COMFR_10'!$D$10:$D$153,0)+K$2-1)</f>
        <v>7.4999999999999997E-2</v>
      </c>
      <c r="L12">
        <f>INDEX('TS COMFR_10'!$J$10:$J$153,MATCH($D12,'TS COMFR_10'!$D$10:$D$153,0)+L$2-1)</f>
        <v>3.2550000000000003E-2</v>
      </c>
      <c r="M12">
        <f t="shared" si="7"/>
        <v>0.56219431524547814</v>
      </c>
      <c r="N12">
        <f t="shared" si="3"/>
        <v>0.88637124735729433</v>
      </c>
      <c r="O12">
        <f t="shared" si="3"/>
        <v>0.91572558139534899</v>
      </c>
      <c r="P12">
        <f t="shared" si="3"/>
        <v>1.1492383177570094</v>
      </c>
      <c r="Q12">
        <f t="shared" si="3"/>
        <v>1.203681308411215</v>
      </c>
      <c r="R12">
        <f t="shared" si="3"/>
        <v>2.0733949265687581</v>
      </c>
      <c r="S12">
        <f t="shared" si="3"/>
        <v>2.0467289719626165</v>
      </c>
      <c r="T12">
        <f t="shared" si="3"/>
        <v>1.3324205607476636</v>
      </c>
      <c r="U12">
        <f t="shared" si="8"/>
        <v>0.27114675937586491</v>
      </c>
      <c r="V12">
        <f t="shared" si="4"/>
        <v>0.42749754810297613</v>
      </c>
      <c r="W12">
        <f t="shared" si="4"/>
        <v>0.44165516644278408</v>
      </c>
      <c r="X12">
        <f t="shared" si="4"/>
        <v>0.55427854241877261</v>
      </c>
      <c r="Y12">
        <f t="shared" si="4"/>
        <v>0.58053643953068601</v>
      </c>
      <c r="Z12">
        <f t="shared" si="4"/>
        <v>1</v>
      </c>
      <c r="AA12">
        <f t="shared" si="4"/>
        <v>0.98713898916967502</v>
      </c>
      <c r="AB12">
        <f t="shared" si="4"/>
        <v>0.64262748194945851</v>
      </c>
      <c r="AD12">
        <f t="shared" si="5"/>
        <v>0.48230078466280946</v>
      </c>
    </row>
    <row r="13" spans="2:30">
      <c r="B13" t="s">
        <v>1303</v>
      </c>
      <c r="C13" t="s">
        <v>1304</v>
      </c>
      <c r="D13" t="str">
        <f t="shared" si="6"/>
        <v>CEH</v>
      </c>
      <c r="E13">
        <f>INDEX('TS COMFR_10'!$J$10:$J$153,MATCH($D13,'TS COMFR_10'!$D$10:$D$153,0)+E$2-1)</f>
        <v>0.14902000000000001</v>
      </c>
      <c r="F13">
        <f>INDEX('TS COMFR_10'!$J$10:$J$153,MATCH($D13,'TS COMFR_10'!$D$10:$D$153,0)+F$2-1)</f>
        <v>0.28716000000000014</v>
      </c>
      <c r="G13">
        <f>INDEX('TS COMFR_10'!$J$10:$J$153,MATCH($D13,'TS COMFR_10'!$D$10:$D$153,0)+G$2-1)</f>
        <v>0.10788</v>
      </c>
      <c r="H13">
        <f>INDEX('TS COMFR_10'!$J$10:$J$153,MATCH($D13,'TS COMFR_10'!$D$10:$D$153,0)+H$2-1)</f>
        <v>0.1123</v>
      </c>
      <c r="I13">
        <f>INDEX('TS COMFR_10'!$J$10:$J$153,MATCH($D13,'TS COMFR_10'!$D$10:$D$153,0)+I$2-1)</f>
        <v>5.8810000000000001E-2</v>
      </c>
      <c r="J13">
        <f>INDEX('TS COMFR_10'!$J$10:$J$153,MATCH($D13,'TS COMFR_10'!$D$10:$D$153,0)+J$2-1)</f>
        <v>0.17727999999999999</v>
      </c>
      <c r="K13">
        <f>INDEX('TS COMFR_10'!$J$10:$J$153,MATCH($D13,'TS COMFR_10'!$D$10:$D$153,0)+K$2-1)</f>
        <v>7.4999999999999997E-2</v>
      </c>
      <c r="L13">
        <f>INDEX('TS COMFR_10'!$J$10:$J$153,MATCH($D13,'TS COMFR_10'!$D$10:$D$153,0)+L$2-1)</f>
        <v>3.2550000000000003E-2</v>
      </c>
      <c r="M13">
        <f t="shared" si="7"/>
        <v>0.56219431524547814</v>
      </c>
      <c r="N13">
        <f t="shared" si="3"/>
        <v>0.88637124735729433</v>
      </c>
      <c r="O13">
        <f t="shared" si="3"/>
        <v>0.91572558139534899</v>
      </c>
      <c r="P13">
        <f t="shared" si="3"/>
        <v>1.1492383177570094</v>
      </c>
      <c r="Q13">
        <f t="shared" si="3"/>
        <v>1.203681308411215</v>
      </c>
      <c r="R13">
        <f t="shared" si="3"/>
        <v>2.0733949265687581</v>
      </c>
      <c r="S13">
        <f t="shared" si="3"/>
        <v>2.0467289719626165</v>
      </c>
      <c r="T13">
        <f t="shared" si="3"/>
        <v>1.3324205607476636</v>
      </c>
      <c r="U13">
        <f t="shared" si="8"/>
        <v>0.27114675937586491</v>
      </c>
      <c r="V13">
        <f t="shared" si="4"/>
        <v>0.42749754810297613</v>
      </c>
      <c r="W13">
        <f t="shared" si="4"/>
        <v>0.44165516644278408</v>
      </c>
      <c r="X13">
        <f t="shared" si="4"/>
        <v>0.55427854241877261</v>
      </c>
      <c r="Y13">
        <f t="shared" si="4"/>
        <v>0.58053643953068601</v>
      </c>
      <c r="Z13">
        <f t="shared" si="4"/>
        <v>1</v>
      </c>
      <c r="AA13">
        <f t="shared" si="4"/>
        <v>0.98713898916967502</v>
      </c>
      <c r="AB13">
        <f t="shared" si="4"/>
        <v>0.64262748194945851</v>
      </c>
      <c r="AD13">
        <f t="shared" si="5"/>
        <v>0.48230078466280946</v>
      </c>
    </row>
    <row r="14" spans="2:30">
      <c r="B14" t="s">
        <v>1305</v>
      </c>
      <c r="C14" t="s">
        <v>1306</v>
      </c>
      <c r="D14" t="str">
        <f t="shared" si="6"/>
        <v>CEH</v>
      </c>
      <c r="E14">
        <f>INDEX('TS COMFR_10'!$J$10:$J$153,MATCH($D14,'TS COMFR_10'!$D$10:$D$153,0)+E$2-1)</f>
        <v>0.14902000000000001</v>
      </c>
      <c r="F14">
        <f>INDEX('TS COMFR_10'!$J$10:$J$153,MATCH($D14,'TS COMFR_10'!$D$10:$D$153,0)+F$2-1)</f>
        <v>0.28716000000000014</v>
      </c>
      <c r="G14">
        <f>INDEX('TS COMFR_10'!$J$10:$J$153,MATCH($D14,'TS COMFR_10'!$D$10:$D$153,0)+G$2-1)</f>
        <v>0.10788</v>
      </c>
      <c r="H14">
        <f>INDEX('TS COMFR_10'!$J$10:$J$153,MATCH($D14,'TS COMFR_10'!$D$10:$D$153,0)+H$2-1)</f>
        <v>0.1123</v>
      </c>
      <c r="I14">
        <f>INDEX('TS COMFR_10'!$J$10:$J$153,MATCH($D14,'TS COMFR_10'!$D$10:$D$153,0)+I$2-1)</f>
        <v>5.8810000000000001E-2</v>
      </c>
      <c r="J14">
        <f>INDEX('TS COMFR_10'!$J$10:$J$153,MATCH($D14,'TS COMFR_10'!$D$10:$D$153,0)+J$2-1)</f>
        <v>0.17727999999999999</v>
      </c>
      <c r="K14">
        <f>INDEX('TS COMFR_10'!$J$10:$J$153,MATCH($D14,'TS COMFR_10'!$D$10:$D$153,0)+K$2-1)</f>
        <v>7.4999999999999997E-2</v>
      </c>
      <c r="L14">
        <f>INDEX('TS COMFR_10'!$J$10:$J$153,MATCH($D14,'TS COMFR_10'!$D$10:$D$153,0)+L$2-1)</f>
        <v>3.2550000000000003E-2</v>
      </c>
      <c r="M14">
        <f t="shared" si="7"/>
        <v>0.56219431524547814</v>
      </c>
      <c r="N14">
        <f t="shared" si="3"/>
        <v>0.88637124735729433</v>
      </c>
      <c r="O14">
        <f t="shared" si="3"/>
        <v>0.91572558139534899</v>
      </c>
      <c r="P14">
        <f t="shared" si="3"/>
        <v>1.1492383177570094</v>
      </c>
      <c r="Q14">
        <f t="shared" si="3"/>
        <v>1.203681308411215</v>
      </c>
      <c r="R14">
        <f t="shared" si="3"/>
        <v>2.0733949265687581</v>
      </c>
      <c r="S14">
        <f t="shared" si="3"/>
        <v>2.0467289719626165</v>
      </c>
      <c r="T14">
        <f t="shared" si="3"/>
        <v>1.3324205607476636</v>
      </c>
      <c r="U14">
        <f t="shared" si="8"/>
        <v>0.27114675937586491</v>
      </c>
      <c r="V14">
        <f t="shared" si="4"/>
        <v>0.42749754810297613</v>
      </c>
      <c r="W14">
        <f t="shared" si="4"/>
        <v>0.44165516644278408</v>
      </c>
      <c r="X14">
        <f t="shared" si="4"/>
        <v>0.55427854241877261</v>
      </c>
      <c r="Y14">
        <f t="shared" si="4"/>
        <v>0.58053643953068601</v>
      </c>
      <c r="Z14">
        <f t="shared" si="4"/>
        <v>1</v>
      </c>
      <c r="AA14">
        <f t="shared" si="4"/>
        <v>0.98713898916967502</v>
      </c>
      <c r="AB14">
        <f t="shared" si="4"/>
        <v>0.64262748194945851</v>
      </c>
      <c r="AD14">
        <f t="shared" si="5"/>
        <v>0.48230078466280946</v>
      </c>
    </row>
    <row r="15" spans="2:30">
      <c r="B15" t="s">
        <v>1307</v>
      </c>
      <c r="C15" t="s">
        <v>1308</v>
      </c>
      <c r="D15" t="str">
        <f t="shared" si="6"/>
        <v>CEK</v>
      </c>
      <c r="E15">
        <f>INDEX('TS COMFR_10'!$J$10:$J$153,MATCH($D15,'TS COMFR_10'!$D$10:$D$153,0)+E$2-1)</f>
        <v>0.17326</v>
      </c>
      <c r="F15">
        <f>INDEX('TS COMFR_10'!$J$10:$J$153,MATCH($D15,'TS COMFR_10'!$D$10:$D$153,0)+F$2-1)</f>
        <v>0.39327000000000001</v>
      </c>
      <c r="G15">
        <f>INDEX('TS COMFR_10'!$J$10:$J$153,MATCH($D15,'TS COMFR_10'!$D$10:$D$153,0)+G$2-1)</f>
        <v>0.12751999999999999</v>
      </c>
      <c r="H15">
        <f>INDEX('TS COMFR_10'!$J$10:$J$153,MATCH($D15,'TS COMFR_10'!$D$10:$D$153,0)+H$2-1)</f>
        <v>7.0050000000000001E-2</v>
      </c>
      <c r="I15">
        <f>INDEX('TS COMFR_10'!$J$10:$J$153,MATCH($D15,'TS COMFR_10'!$D$10:$D$153,0)+I$2-1)</f>
        <v>4.6249999999999999E-2</v>
      </c>
      <c r="J15">
        <f>INDEX('TS COMFR_10'!$J$10:$J$153,MATCH($D15,'TS COMFR_10'!$D$10:$D$153,0)+J$2-1)</f>
        <v>0.12447999999999999</v>
      </c>
      <c r="K15">
        <f>INDEX('TS COMFR_10'!$J$10:$J$153,MATCH($D15,'TS COMFR_10'!$D$10:$D$153,0)+K$2-1)</f>
        <v>4.7879999999999999E-2</v>
      </c>
      <c r="L15">
        <f>INDEX('TS COMFR_10'!$J$10:$J$153,MATCH($D15,'TS COMFR_10'!$D$10:$D$153,0)+L$2-1)</f>
        <v>1.729E-2</v>
      </c>
      <c r="M15">
        <f t="shared" si="7"/>
        <v>0.65364237726098195</v>
      </c>
      <c r="N15">
        <f t="shared" si="3"/>
        <v>1.2138989429175477</v>
      </c>
      <c r="O15">
        <f t="shared" si="3"/>
        <v>1.0824372093023256</v>
      </c>
      <c r="P15">
        <f t="shared" si="3"/>
        <v>0.71686682242990651</v>
      </c>
      <c r="Q15">
        <f t="shared" si="3"/>
        <v>0.94661214953271022</v>
      </c>
      <c r="R15">
        <f t="shared" si="3"/>
        <v>1.4558675567423229</v>
      </c>
      <c r="S15">
        <f t="shared" si="3"/>
        <v>1.3066317757009345</v>
      </c>
      <c r="T15">
        <f t="shared" si="3"/>
        <v>0.70775887850467289</v>
      </c>
      <c r="U15">
        <f t="shared" si="8"/>
        <v>0.44897104426420809</v>
      </c>
      <c r="V15">
        <f t="shared" si="4"/>
        <v>0.83379764683663338</v>
      </c>
      <c r="W15">
        <f t="shared" si="4"/>
        <v>0.74349978079352752</v>
      </c>
      <c r="X15">
        <f t="shared" si="4"/>
        <v>0.49239837724935737</v>
      </c>
      <c r="Y15">
        <f t="shared" si="4"/>
        <v>0.65020485218509005</v>
      </c>
      <c r="Z15">
        <f t="shared" si="4"/>
        <v>1</v>
      </c>
      <c r="AA15">
        <f t="shared" si="4"/>
        <v>0.89749357326478152</v>
      </c>
      <c r="AB15">
        <f t="shared" si="4"/>
        <v>0.48614235218509005</v>
      </c>
      <c r="AD15">
        <f t="shared" si="5"/>
        <v>0.68687566761747132</v>
      </c>
    </row>
    <row r="16" spans="2:30">
      <c r="B16" t="s">
        <v>1309</v>
      </c>
      <c r="C16" t="s">
        <v>1310</v>
      </c>
      <c r="D16" t="str">
        <f t="shared" si="6"/>
        <v>CEK</v>
      </c>
      <c r="E16">
        <f>INDEX('TS COMFR_10'!$J$10:$J$153,MATCH($D16,'TS COMFR_10'!$D$10:$D$153,0)+E$2-1)</f>
        <v>0.17326</v>
      </c>
      <c r="F16">
        <f>INDEX('TS COMFR_10'!$J$10:$J$153,MATCH($D16,'TS COMFR_10'!$D$10:$D$153,0)+F$2-1)</f>
        <v>0.39327000000000001</v>
      </c>
      <c r="G16">
        <f>INDEX('TS COMFR_10'!$J$10:$J$153,MATCH($D16,'TS COMFR_10'!$D$10:$D$153,0)+G$2-1)</f>
        <v>0.12751999999999999</v>
      </c>
      <c r="H16">
        <f>INDEX('TS COMFR_10'!$J$10:$J$153,MATCH($D16,'TS COMFR_10'!$D$10:$D$153,0)+H$2-1)</f>
        <v>7.0050000000000001E-2</v>
      </c>
      <c r="I16">
        <f>INDEX('TS COMFR_10'!$J$10:$J$153,MATCH($D16,'TS COMFR_10'!$D$10:$D$153,0)+I$2-1)</f>
        <v>4.6249999999999999E-2</v>
      </c>
      <c r="J16">
        <f>INDEX('TS COMFR_10'!$J$10:$J$153,MATCH($D16,'TS COMFR_10'!$D$10:$D$153,0)+J$2-1)</f>
        <v>0.12447999999999999</v>
      </c>
      <c r="K16">
        <f>INDEX('TS COMFR_10'!$J$10:$J$153,MATCH($D16,'TS COMFR_10'!$D$10:$D$153,0)+K$2-1)</f>
        <v>4.7879999999999999E-2</v>
      </c>
      <c r="L16">
        <f>INDEX('TS COMFR_10'!$J$10:$J$153,MATCH($D16,'TS COMFR_10'!$D$10:$D$153,0)+L$2-1)</f>
        <v>1.729E-2</v>
      </c>
      <c r="M16">
        <f t="shared" si="7"/>
        <v>0.65364237726098195</v>
      </c>
      <c r="N16">
        <f t="shared" ref="N16:N19" si="9">F16/F$1</f>
        <v>1.2138989429175477</v>
      </c>
      <c r="O16">
        <f t="shared" ref="O16:O19" si="10">G16/G$1</f>
        <v>1.0824372093023256</v>
      </c>
      <c r="P16">
        <f t="shared" ref="P16:P19" si="11">H16/H$1</f>
        <v>0.71686682242990651</v>
      </c>
      <c r="Q16">
        <f t="shared" ref="Q16:Q19" si="12">I16/I$1</f>
        <v>0.94661214953271022</v>
      </c>
      <c r="R16">
        <f t="shared" ref="R16:R19" si="13">J16/J$1</f>
        <v>1.4558675567423229</v>
      </c>
      <c r="S16">
        <f t="shared" ref="S16:S19" si="14">K16/K$1</f>
        <v>1.3066317757009345</v>
      </c>
      <c r="T16">
        <f t="shared" ref="T16:T19" si="15">L16/L$1</f>
        <v>0.70775887850467289</v>
      </c>
      <c r="U16">
        <f t="shared" si="8"/>
        <v>0.44897104426420809</v>
      </c>
      <c r="V16">
        <f t="shared" ref="V16:V19" si="16">N16/MAX($M16:$T16)</f>
        <v>0.83379764683663338</v>
      </c>
      <c r="W16">
        <f t="shared" ref="W16:W19" si="17">O16/MAX($M16:$T16)</f>
        <v>0.74349978079352752</v>
      </c>
      <c r="X16">
        <f t="shared" ref="X16:X19" si="18">P16/MAX($M16:$T16)</f>
        <v>0.49239837724935737</v>
      </c>
      <c r="Y16">
        <f t="shared" ref="Y16:Y19" si="19">Q16/MAX($M16:$T16)</f>
        <v>0.65020485218509005</v>
      </c>
      <c r="Z16">
        <f t="shared" ref="Z16:Z19" si="20">R16/MAX($M16:$T16)</f>
        <v>1</v>
      </c>
      <c r="AA16">
        <f t="shared" ref="AA16:AA19" si="21">S16/MAX($M16:$T16)</f>
        <v>0.89749357326478152</v>
      </c>
      <c r="AB16">
        <f t="shared" ref="AB16:AB19" si="22">T16/MAX($M16:$T16)</f>
        <v>0.48614235218509005</v>
      </c>
      <c r="AD16">
        <f t="shared" si="5"/>
        <v>0.68687566761747132</v>
      </c>
    </row>
    <row r="17" spans="2:30">
      <c r="B17" t="s">
        <v>1311</v>
      </c>
      <c r="C17" t="s">
        <v>1312</v>
      </c>
      <c r="D17" t="str">
        <f t="shared" si="6"/>
        <v>CEK</v>
      </c>
      <c r="E17">
        <f>INDEX('TS COMFR_10'!$J$10:$J$153,MATCH($D17,'TS COMFR_10'!$D$10:$D$153,0)+E$2-1)</f>
        <v>0.17326</v>
      </c>
      <c r="F17">
        <f>INDEX('TS COMFR_10'!$J$10:$J$153,MATCH($D17,'TS COMFR_10'!$D$10:$D$153,0)+F$2-1)</f>
        <v>0.39327000000000001</v>
      </c>
      <c r="G17">
        <f>INDEX('TS COMFR_10'!$J$10:$J$153,MATCH($D17,'TS COMFR_10'!$D$10:$D$153,0)+G$2-1)</f>
        <v>0.12751999999999999</v>
      </c>
      <c r="H17">
        <f>INDEX('TS COMFR_10'!$J$10:$J$153,MATCH($D17,'TS COMFR_10'!$D$10:$D$153,0)+H$2-1)</f>
        <v>7.0050000000000001E-2</v>
      </c>
      <c r="I17">
        <f>INDEX('TS COMFR_10'!$J$10:$J$153,MATCH($D17,'TS COMFR_10'!$D$10:$D$153,0)+I$2-1)</f>
        <v>4.6249999999999999E-2</v>
      </c>
      <c r="J17">
        <f>INDEX('TS COMFR_10'!$J$10:$J$153,MATCH($D17,'TS COMFR_10'!$D$10:$D$153,0)+J$2-1)</f>
        <v>0.12447999999999999</v>
      </c>
      <c r="K17">
        <f>INDEX('TS COMFR_10'!$J$10:$J$153,MATCH($D17,'TS COMFR_10'!$D$10:$D$153,0)+K$2-1)</f>
        <v>4.7879999999999999E-2</v>
      </c>
      <c r="L17">
        <f>INDEX('TS COMFR_10'!$J$10:$J$153,MATCH($D17,'TS COMFR_10'!$D$10:$D$153,0)+L$2-1)</f>
        <v>1.729E-2</v>
      </c>
      <c r="M17">
        <f t="shared" si="7"/>
        <v>0.65364237726098195</v>
      </c>
      <c r="N17">
        <f t="shared" si="9"/>
        <v>1.2138989429175477</v>
      </c>
      <c r="O17">
        <f t="shared" si="10"/>
        <v>1.0824372093023256</v>
      </c>
      <c r="P17">
        <f t="shared" si="11"/>
        <v>0.71686682242990651</v>
      </c>
      <c r="Q17">
        <f t="shared" si="12"/>
        <v>0.94661214953271022</v>
      </c>
      <c r="R17">
        <f t="shared" si="13"/>
        <v>1.4558675567423229</v>
      </c>
      <c r="S17">
        <f t="shared" si="14"/>
        <v>1.3066317757009345</v>
      </c>
      <c r="T17">
        <f t="shared" si="15"/>
        <v>0.70775887850467289</v>
      </c>
      <c r="U17">
        <f t="shared" si="8"/>
        <v>0.44897104426420809</v>
      </c>
      <c r="V17">
        <f t="shared" si="16"/>
        <v>0.83379764683663338</v>
      </c>
      <c r="W17">
        <f t="shared" si="17"/>
        <v>0.74349978079352752</v>
      </c>
      <c r="X17">
        <f t="shared" si="18"/>
        <v>0.49239837724935737</v>
      </c>
      <c r="Y17">
        <f t="shared" si="19"/>
        <v>0.65020485218509005</v>
      </c>
      <c r="Z17">
        <f t="shared" si="20"/>
        <v>1</v>
      </c>
      <c r="AA17">
        <f t="shared" si="21"/>
        <v>0.89749357326478152</v>
      </c>
      <c r="AB17">
        <f t="shared" si="22"/>
        <v>0.48614235218509005</v>
      </c>
      <c r="AD17">
        <f t="shared" si="5"/>
        <v>0.68687566761747132</v>
      </c>
    </row>
    <row r="18" spans="2:30">
      <c r="B18" t="s">
        <v>1373</v>
      </c>
      <c r="C18" t="s">
        <v>1374</v>
      </c>
      <c r="D18" t="str">
        <f t="shared" si="6"/>
        <v>CEL</v>
      </c>
      <c r="E18">
        <f>INDEX('TS COMFR_10'!$J$10:$J$153,MATCH($D18,'TS COMFR_10'!$D$10:$D$153,0)+E$2-1)</f>
        <v>0.18623000000000001</v>
      </c>
      <c r="F18">
        <f>INDEX('TS COMFR_10'!$J$10:$J$153,MATCH($D18,'TS COMFR_10'!$D$10:$D$153,0)+F$2-1)</f>
        <v>0.36068999999999996</v>
      </c>
      <c r="G18">
        <f>INDEX('TS COMFR_10'!$J$10:$J$153,MATCH($D18,'TS COMFR_10'!$D$10:$D$153,0)+G$2-1)</f>
        <v>0.14713999999999999</v>
      </c>
      <c r="H18">
        <f>INDEX('TS COMFR_10'!$J$10:$J$153,MATCH($D18,'TS COMFR_10'!$D$10:$D$153,0)+H$2-1)</f>
        <v>7.2919999999999999E-2</v>
      </c>
      <c r="I18">
        <f>INDEX('TS COMFR_10'!$J$10:$J$153,MATCH($D18,'TS COMFR_10'!$D$10:$D$153,0)+I$2-1)</f>
        <v>8.8510000000000005E-2</v>
      </c>
      <c r="J18">
        <f>INDEX('TS COMFR_10'!$J$10:$J$153,MATCH($D18,'TS COMFR_10'!$D$10:$D$153,0)+J$2-1)</f>
        <v>6.6019999999999995E-2</v>
      </c>
      <c r="K18">
        <f>INDEX('TS COMFR_10'!$J$10:$J$153,MATCH($D18,'TS COMFR_10'!$D$10:$D$153,0)+K$2-1)</f>
        <v>4.3459999999999999E-2</v>
      </c>
      <c r="L18">
        <f>INDEX('TS COMFR_10'!$J$10:$J$153,MATCH($D18,'TS COMFR_10'!$D$10:$D$153,0)+L$2-1)</f>
        <v>3.5029999999999999E-2</v>
      </c>
      <c r="M18">
        <f t="shared" si="7"/>
        <v>0.70257312661498716</v>
      </c>
      <c r="N18">
        <f t="shared" si="9"/>
        <v>1.1133348837209303</v>
      </c>
      <c r="O18">
        <f t="shared" si="10"/>
        <v>1.2489790697674419</v>
      </c>
      <c r="P18">
        <f t="shared" si="11"/>
        <v>0.74623738317757005</v>
      </c>
      <c r="Q18">
        <f t="shared" si="12"/>
        <v>1.8115598130841122</v>
      </c>
      <c r="R18">
        <f t="shared" si="13"/>
        <v>0.77214312416555397</v>
      </c>
      <c r="S18">
        <f t="shared" si="14"/>
        <v>1.1860112149532709</v>
      </c>
      <c r="T18">
        <f t="shared" si="15"/>
        <v>1.4339383177570093</v>
      </c>
      <c r="U18">
        <f t="shared" si="8"/>
        <v>0.38782772809410193</v>
      </c>
      <c r="V18">
        <f t="shared" si="16"/>
        <v>0.61457252235327497</v>
      </c>
      <c r="W18">
        <f t="shared" si="17"/>
        <v>0.68944953445456603</v>
      </c>
      <c r="X18">
        <f t="shared" si="18"/>
        <v>0.41193085527059087</v>
      </c>
      <c r="Y18">
        <f t="shared" si="19"/>
        <v>1</v>
      </c>
      <c r="Z18">
        <f t="shared" si="20"/>
        <v>0.42623109575996249</v>
      </c>
      <c r="AA18">
        <f t="shared" si="21"/>
        <v>0.65469061876247492</v>
      </c>
      <c r="AB18">
        <f t="shared" si="22"/>
        <v>0.79154897751666475</v>
      </c>
      <c r="AD18">
        <f t="shared" si="5"/>
        <v>0.55201047891294175</v>
      </c>
    </row>
    <row r="19" spans="2:30">
      <c r="B19" t="s">
        <v>1375</v>
      </c>
      <c r="C19" t="s">
        <v>1376</v>
      </c>
      <c r="D19" t="str">
        <f t="shared" si="6"/>
        <v>CEL</v>
      </c>
      <c r="E19">
        <f>INDEX('TS COMFR_10'!$J$10:$J$153,MATCH($D19,'TS COMFR_10'!$D$10:$D$153,0)+E$2-1)</f>
        <v>0.18623000000000001</v>
      </c>
      <c r="F19">
        <f>INDEX('TS COMFR_10'!$J$10:$J$153,MATCH($D19,'TS COMFR_10'!$D$10:$D$153,0)+F$2-1)</f>
        <v>0.36068999999999996</v>
      </c>
      <c r="G19">
        <f>INDEX('TS COMFR_10'!$J$10:$J$153,MATCH($D19,'TS COMFR_10'!$D$10:$D$153,0)+G$2-1)</f>
        <v>0.14713999999999999</v>
      </c>
      <c r="H19">
        <f>INDEX('TS COMFR_10'!$J$10:$J$153,MATCH($D19,'TS COMFR_10'!$D$10:$D$153,0)+H$2-1)</f>
        <v>7.2919999999999999E-2</v>
      </c>
      <c r="I19">
        <f>INDEX('TS COMFR_10'!$J$10:$J$153,MATCH($D19,'TS COMFR_10'!$D$10:$D$153,0)+I$2-1)</f>
        <v>8.8510000000000005E-2</v>
      </c>
      <c r="J19">
        <f>INDEX('TS COMFR_10'!$J$10:$J$153,MATCH($D19,'TS COMFR_10'!$D$10:$D$153,0)+J$2-1)</f>
        <v>6.6019999999999995E-2</v>
      </c>
      <c r="K19">
        <f>INDEX('TS COMFR_10'!$J$10:$J$153,MATCH($D19,'TS COMFR_10'!$D$10:$D$153,0)+K$2-1)</f>
        <v>4.3459999999999999E-2</v>
      </c>
      <c r="L19">
        <f>INDEX('TS COMFR_10'!$J$10:$J$153,MATCH($D19,'TS COMFR_10'!$D$10:$D$153,0)+L$2-1)</f>
        <v>3.5029999999999999E-2</v>
      </c>
      <c r="M19">
        <f t="shared" si="7"/>
        <v>0.70257312661498716</v>
      </c>
      <c r="N19">
        <f t="shared" si="9"/>
        <v>1.1133348837209303</v>
      </c>
      <c r="O19">
        <f t="shared" si="10"/>
        <v>1.2489790697674419</v>
      </c>
      <c r="P19">
        <f t="shared" si="11"/>
        <v>0.74623738317757005</v>
      </c>
      <c r="Q19">
        <f t="shared" si="12"/>
        <v>1.8115598130841122</v>
      </c>
      <c r="R19">
        <f t="shared" si="13"/>
        <v>0.77214312416555397</v>
      </c>
      <c r="S19">
        <f t="shared" si="14"/>
        <v>1.1860112149532709</v>
      </c>
      <c r="T19">
        <f t="shared" si="15"/>
        <v>1.4339383177570093</v>
      </c>
      <c r="U19">
        <f t="shared" si="8"/>
        <v>0.38782772809410193</v>
      </c>
      <c r="V19">
        <f t="shared" si="16"/>
        <v>0.61457252235327497</v>
      </c>
      <c r="W19">
        <f t="shared" si="17"/>
        <v>0.68944953445456603</v>
      </c>
      <c r="X19">
        <f t="shared" si="18"/>
        <v>0.41193085527059087</v>
      </c>
      <c r="Y19">
        <f t="shared" si="19"/>
        <v>1</v>
      </c>
      <c r="Z19">
        <f t="shared" si="20"/>
        <v>0.42623109575996249</v>
      </c>
      <c r="AA19">
        <f t="shared" si="21"/>
        <v>0.65469061876247492</v>
      </c>
      <c r="AB19">
        <f t="shared" si="22"/>
        <v>0.79154897751666475</v>
      </c>
      <c r="AD19">
        <f t="shared" si="5"/>
        <v>0.55201047891294175</v>
      </c>
    </row>
    <row r="20" spans="2:30">
      <c r="B20" t="s">
        <v>1377</v>
      </c>
      <c r="C20" t="s">
        <v>1378</v>
      </c>
      <c r="D20" t="str">
        <f t="shared" ref="D20:D46" si="23">LEFT(B20,3)</f>
        <v>CEL</v>
      </c>
      <c r="E20">
        <f>INDEX('TS COMFR_10'!$J$10:$J$153,MATCH($D20,'TS COMFR_10'!$D$10:$D$153,0)+E$2-1)</f>
        <v>0.18623000000000001</v>
      </c>
      <c r="F20">
        <f>INDEX('TS COMFR_10'!$J$10:$J$153,MATCH($D20,'TS COMFR_10'!$D$10:$D$153,0)+F$2-1)</f>
        <v>0.36068999999999996</v>
      </c>
      <c r="G20">
        <f>INDEX('TS COMFR_10'!$J$10:$J$153,MATCH($D20,'TS COMFR_10'!$D$10:$D$153,0)+G$2-1)</f>
        <v>0.14713999999999999</v>
      </c>
      <c r="H20">
        <f>INDEX('TS COMFR_10'!$J$10:$J$153,MATCH($D20,'TS COMFR_10'!$D$10:$D$153,0)+H$2-1)</f>
        <v>7.2919999999999999E-2</v>
      </c>
      <c r="I20">
        <f>INDEX('TS COMFR_10'!$J$10:$J$153,MATCH($D20,'TS COMFR_10'!$D$10:$D$153,0)+I$2-1)</f>
        <v>8.8510000000000005E-2</v>
      </c>
      <c r="J20">
        <f>INDEX('TS COMFR_10'!$J$10:$J$153,MATCH($D20,'TS COMFR_10'!$D$10:$D$153,0)+J$2-1)</f>
        <v>6.6019999999999995E-2</v>
      </c>
      <c r="K20">
        <f>INDEX('TS COMFR_10'!$J$10:$J$153,MATCH($D20,'TS COMFR_10'!$D$10:$D$153,0)+K$2-1)</f>
        <v>4.3459999999999999E-2</v>
      </c>
      <c r="L20">
        <f>INDEX('TS COMFR_10'!$J$10:$J$153,MATCH($D20,'TS COMFR_10'!$D$10:$D$153,0)+L$2-1)</f>
        <v>3.5029999999999999E-2</v>
      </c>
      <c r="M20">
        <f t="shared" ref="M20:M30" si="24">E20/E$1</f>
        <v>0.70257312661498716</v>
      </c>
      <c r="N20">
        <f t="shared" ref="N20:N46" si="25">F20/F$1</f>
        <v>1.1133348837209303</v>
      </c>
      <c r="O20">
        <f t="shared" ref="O20:O46" si="26">G20/G$1</f>
        <v>1.2489790697674419</v>
      </c>
      <c r="P20">
        <f t="shared" ref="P20:P46" si="27">H20/H$1</f>
        <v>0.74623738317757005</v>
      </c>
      <c r="Q20">
        <f t="shared" ref="Q20:Q46" si="28">I20/I$1</f>
        <v>1.8115598130841122</v>
      </c>
      <c r="R20">
        <f t="shared" ref="R20:R46" si="29">J20/J$1</f>
        <v>0.77214312416555397</v>
      </c>
      <c r="S20">
        <f t="shared" ref="S20:S46" si="30">K20/K$1</f>
        <v>1.1860112149532709</v>
      </c>
      <c r="T20">
        <f t="shared" ref="T20:T46" si="31">L20/L$1</f>
        <v>1.4339383177570093</v>
      </c>
      <c r="U20">
        <f t="shared" ref="U20:U30" si="32">M20/MAX($M20:$T20)</f>
        <v>0.38782772809410193</v>
      </c>
      <c r="V20">
        <f t="shared" ref="V20:V46" si="33">N20/MAX($M20:$T20)</f>
        <v>0.61457252235327497</v>
      </c>
      <c r="W20">
        <f t="shared" ref="W20:W46" si="34">O20/MAX($M20:$T20)</f>
        <v>0.68944953445456603</v>
      </c>
      <c r="X20">
        <f t="shared" ref="X20:X46" si="35">P20/MAX($M20:$T20)</f>
        <v>0.41193085527059087</v>
      </c>
      <c r="Y20">
        <f t="shared" ref="Y20:Y46" si="36">Q20/MAX($M20:$T20)</f>
        <v>1</v>
      </c>
      <c r="Z20">
        <f t="shared" ref="Z20:Z46" si="37">R20/MAX($M20:$T20)</f>
        <v>0.42623109575996249</v>
      </c>
      <c r="AA20">
        <f t="shared" ref="AA20:AA46" si="38">S20/MAX($M20:$T20)</f>
        <v>0.65469061876247492</v>
      </c>
      <c r="AB20">
        <f t="shared" ref="AB20:AB46" si="39">T20/MAX($M20:$T20)</f>
        <v>0.79154897751666475</v>
      </c>
      <c r="AD20">
        <f t="shared" si="5"/>
        <v>0.55201047891294175</v>
      </c>
    </row>
    <row r="21" spans="2:30">
      <c r="B21" t="s">
        <v>1379</v>
      </c>
      <c r="C21" t="s">
        <v>1380</v>
      </c>
      <c r="D21" t="str">
        <f t="shared" si="23"/>
        <v>CEL</v>
      </c>
      <c r="E21">
        <f>INDEX('TS COMFR_10'!$J$10:$J$153,MATCH($D21,'TS COMFR_10'!$D$10:$D$153,0)+E$2-1)</f>
        <v>0.18623000000000001</v>
      </c>
      <c r="F21">
        <f>INDEX('TS COMFR_10'!$J$10:$J$153,MATCH($D21,'TS COMFR_10'!$D$10:$D$153,0)+F$2-1)</f>
        <v>0.36068999999999996</v>
      </c>
      <c r="G21">
        <f>INDEX('TS COMFR_10'!$J$10:$J$153,MATCH($D21,'TS COMFR_10'!$D$10:$D$153,0)+G$2-1)</f>
        <v>0.14713999999999999</v>
      </c>
      <c r="H21">
        <f>INDEX('TS COMFR_10'!$J$10:$J$153,MATCH($D21,'TS COMFR_10'!$D$10:$D$153,0)+H$2-1)</f>
        <v>7.2919999999999999E-2</v>
      </c>
      <c r="I21">
        <f>INDEX('TS COMFR_10'!$J$10:$J$153,MATCH($D21,'TS COMFR_10'!$D$10:$D$153,0)+I$2-1)</f>
        <v>8.8510000000000005E-2</v>
      </c>
      <c r="J21">
        <f>INDEX('TS COMFR_10'!$J$10:$J$153,MATCH($D21,'TS COMFR_10'!$D$10:$D$153,0)+J$2-1)</f>
        <v>6.6019999999999995E-2</v>
      </c>
      <c r="K21">
        <f>INDEX('TS COMFR_10'!$J$10:$J$153,MATCH($D21,'TS COMFR_10'!$D$10:$D$153,0)+K$2-1)</f>
        <v>4.3459999999999999E-2</v>
      </c>
      <c r="L21">
        <f>INDEX('TS COMFR_10'!$J$10:$J$153,MATCH($D21,'TS COMFR_10'!$D$10:$D$153,0)+L$2-1)</f>
        <v>3.5029999999999999E-2</v>
      </c>
      <c r="M21">
        <f t="shared" si="24"/>
        <v>0.70257312661498716</v>
      </c>
      <c r="N21">
        <f t="shared" si="25"/>
        <v>1.1133348837209303</v>
      </c>
      <c r="O21">
        <f t="shared" si="26"/>
        <v>1.2489790697674419</v>
      </c>
      <c r="P21">
        <f t="shared" si="27"/>
        <v>0.74623738317757005</v>
      </c>
      <c r="Q21">
        <f t="shared" si="28"/>
        <v>1.8115598130841122</v>
      </c>
      <c r="R21">
        <f t="shared" si="29"/>
        <v>0.77214312416555397</v>
      </c>
      <c r="S21">
        <f t="shared" si="30"/>
        <v>1.1860112149532709</v>
      </c>
      <c r="T21">
        <f t="shared" si="31"/>
        <v>1.4339383177570093</v>
      </c>
      <c r="U21">
        <f t="shared" si="32"/>
        <v>0.38782772809410193</v>
      </c>
      <c r="V21">
        <f t="shared" si="33"/>
        <v>0.61457252235327497</v>
      </c>
      <c r="W21">
        <f t="shared" si="34"/>
        <v>0.68944953445456603</v>
      </c>
      <c r="X21">
        <f t="shared" si="35"/>
        <v>0.41193085527059087</v>
      </c>
      <c r="Y21">
        <f t="shared" si="36"/>
        <v>1</v>
      </c>
      <c r="Z21">
        <f t="shared" si="37"/>
        <v>0.42623109575996249</v>
      </c>
      <c r="AA21">
        <f t="shared" si="38"/>
        <v>0.65469061876247492</v>
      </c>
      <c r="AB21">
        <f t="shared" si="39"/>
        <v>0.79154897751666475</v>
      </c>
      <c r="AD21">
        <f t="shared" si="5"/>
        <v>0.55201047891294175</v>
      </c>
    </row>
    <row r="22" spans="2:30">
      <c r="B22" t="s">
        <v>1381</v>
      </c>
      <c r="C22" t="s">
        <v>1382</v>
      </c>
      <c r="D22" t="str">
        <f t="shared" si="23"/>
        <v>CEL</v>
      </c>
      <c r="E22">
        <f>INDEX('TS COMFR_10'!$J$10:$J$153,MATCH($D22,'TS COMFR_10'!$D$10:$D$153,0)+E$2-1)</f>
        <v>0.18623000000000001</v>
      </c>
      <c r="F22">
        <f>INDEX('TS COMFR_10'!$J$10:$J$153,MATCH($D22,'TS COMFR_10'!$D$10:$D$153,0)+F$2-1)</f>
        <v>0.36068999999999996</v>
      </c>
      <c r="G22">
        <f>INDEX('TS COMFR_10'!$J$10:$J$153,MATCH($D22,'TS COMFR_10'!$D$10:$D$153,0)+G$2-1)</f>
        <v>0.14713999999999999</v>
      </c>
      <c r="H22">
        <f>INDEX('TS COMFR_10'!$J$10:$J$153,MATCH($D22,'TS COMFR_10'!$D$10:$D$153,0)+H$2-1)</f>
        <v>7.2919999999999999E-2</v>
      </c>
      <c r="I22">
        <f>INDEX('TS COMFR_10'!$J$10:$J$153,MATCH($D22,'TS COMFR_10'!$D$10:$D$153,0)+I$2-1)</f>
        <v>8.8510000000000005E-2</v>
      </c>
      <c r="J22">
        <f>INDEX('TS COMFR_10'!$J$10:$J$153,MATCH($D22,'TS COMFR_10'!$D$10:$D$153,0)+J$2-1)</f>
        <v>6.6019999999999995E-2</v>
      </c>
      <c r="K22">
        <f>INDEX('TS COMFR_10'!$J$10:$J$153,MATCH($D22,'TS COMFR_10'!$D$10:$D$153,0)+K$2-1)</f>
        <v>4.3459999999999999E-2</v>
      </c>
      <c r="L22">
        <f>INDEX('TS COMFR_10'!$J$10:$J$153,MATCH($D22,'TS COMFR_10'!$D$10:$D$153,0)+L$2-1)</f>
        <v>3.5029999999999999E-2</v>
      </c>
      <c r="M22">
        <f t="shared" si="24"/>
        <v>0.70257312661498716</v>
      </c>
      <c r="N22">
        <f t="shared" si="25"/>
        <v>1.1133348837209303</v>
      </c>
      <c r="O22">
        <f t="shared" si="26"/>
        <v>1.2489790697674419</v>
      </c>
      <c r="P22">
        <f t="shared" si="27"/>
        <v>0.74623738317757005</v>
      </c>
      <c r="Q22">
        <f t="shared" si="28"/>
        <v>1.8115598130841122</v>
      </c>
      <c r="R22">
        <f t="shared" si="29"/>
        <v>0.77214312416555397</v>
      </c>
      <c r="S22">
        <f t="shared" si="30"/>
        <v>1.1860112149532709</v>
      </c>
      <c r="T22">
        <f t="shared" si="31"/>
        <v>1.4339383177570093</v>
      </c>
      <c r="U22">
        <f t="shared" si="32"/>
        <v>0.38782772809410193</v>
      </c>
      <c r="V22">
        <f t="shared" si="33"/>
        <v>0.61457252235327497</v>
      </c>
      <c r="W22">
        <f t="shared" si="34"/>
        <v>0.68944953445456603</v>
      </c>
      <c r="X22">
        <f t="shared" si="35"/>
        <v>0.41193085527059087</v>
      </c>
      <c r="Y22">
        <f t="shared" si="36"/>
        <v>1</v>
      </c>
      <c r="Z22">
        <f t="shared" si="37"/>
        <v>0.42623109575996249</v>
      </c>
      <c r="AA22">
        <f t="shared" si="38"/>
        <v>0.65469061876247492</v>
      </c>
      <c r="AB22">
        <f t="shared" si="39"/>
        <v>0.79154897751666475</v>
      </c>
      <c r="AD22">
        <f t="shared" si="5"/>
        <v>0.55201047891294175</v>
      </c>
    </row>
    <row r="23" spans="2:30">
      <c r="B23" t="s">
        <v>1383</v>
      </c>
      <c r="C23" t="s">
        <v>1384</v>
      </c>
      <c r="D23" t="str">
        <f t="shared" si="23"/>
        <v>CEL</v>
      </c>
      <c r="E23">
        <f>INDEX('TS COMFR_10'!$J$10:$J$153,MATCH($D23,'TS COMFR_10'!$D$10:$D$153,0)+E$2-1)</f>
        <v>0.18623000000000001</v>
      </c>
      <c r="F23">
        <f>INDEX('TS COMFR_10'!$J$10:$J$153,MATCH($D23,'TS COMFR_10'!$D$10:$D$153,0)+F$2-1)</f>
        <v>0.36068999999999996</v>
      </c>
      <c r="G23">
        <f>INDEX('TS COMFR_10'!$J$10:$J$153,MATCH($D23,'TS COMFR_10'!$D$10:$D$153,0)+G$2-1)</f>
        <v>0.14713999999999999</v>
      </c>
      <c r="H23">
        <f>INDEX('TS COMFR_10'!$J$10:$J$153,MATCH($D23,'TS COMFR_10'!$D$10:$D$153,0)+H$2-1)</f>
        <v>7.2919999999999999E-2</v>
      </c>
      <c r="I23">
        <f>INDEX('TS COMFR_10'!$J$10:$J$153,MATCH($D23,'TS COMFR_10'!$D$10:$D$153,0)+I$2-1)</f>
        <v>8.8510000000000005E-2</v>
      </c>
      <c r="J23">
        <f>INDEX('TS COMFR_10'!$J$10:$J$153,MATCH($D23,'TS COMFR_10'!$D$10:$D$153,0)+J$2-1)</f>
        <v>6.6019999999999995E-2</v>
      </c>
      <c r="K23">
        <f>INDEX('TS COMFR_10'!$J$10:$J$153,MATCH($D23,'TS COMFR_10'!$D$10:$D$153,0)+K$2-1)</f>
        <v>4.3459999999999999E-2</v>
      </c>
      <c r="L23">
        <f>INDEX('TS COMFR_10'!$J$10:$J$153,MATCH($D23,'TS COMFR_10'!$D$10:$D$153,0)+L$2-1)</f>
        <v>3.5029999999999999E-2</v>
      </c>
      <c r="M23">
        <f t="shared" si="24"/>
        <v>0.70257312661498716</v>
      </c>
      <c r="N23">
        <f t="shared" si="25"/>
        <v>1.1133348837209303</v>
      </c>
      <c r="O23">
        <f t="shared" si="26"/>
        <v>1.2489790697674419</v>
      </c>
      <c r="P23">
        <f t="shared" si="27"/>
        <v>0.74623738317757005</v>
      </c>
      <c r="Q23">
        <f t="shared" si="28"/>
        <v>1.8115598130841122</v>
      </c>
      <c r="R23">
        <f t="shared" si="29"/>
        <v>0.77214312416555397</v>
      </c>
      <c r="S23">
        <f t="shared" si="30"/>
        <v>1.1860112149532709</v>
      </c>
      <c r="T23">
        <f t="shared" si="31"/>
        <v>1.4339383177570093</v>
      </c>
      <c r="U23">
        <f t="shared" si="32"/>
        <v>0.38782772809410193</v>
      </c>
      <c r="V23">
        <f t="shared" si="33"/>
        <v>0.61457252235327497</v>
      </c>
      <c r="W23">
        <f t="shared" si="34"/>
        <v>0.68944953445456603</v>
      </c>
      <c r="X23">
        <f t="shared" si="35"/>
        <v>0.41193085527059087</v>
      </c>
      <c r="Y23">
        <f t="shared" si="36"/>
        <v>1</v>
      </c>
      <c r="Z23">
        <f t="shared" si="37"/>
        <v>0.42623109575996249</v>
      </c>
      <c r="AA23">
        <f t="shared" si="38"/>
        <v>0.65469061876247492</v>
      </c>
      <c r="AB23">
        <f t="shared" si="39"/>
        <v>0.79154897751666475</v>
      </c>
      <c r="AD23">
        <f t="shared" si="5"/>
        <v>0.55201047891294175</v>
      </c>
    </row>
    <row r="24" spans="2:30">
      <c r="B24" t="s">
        <v>1385</v>
      </c>
      <c r="C24" t="s">
        <v>1386</v>
      </c>
      <c r="D24" t="str">
        <f t="shared" si="23"/>
        <v>CER</v>
      </c>
      <c r="E24">
        <f>INDEX('TS COMFR_10'!$J$10:$J$153,MATCH($D24,'TS COMFR_10'!$D$10:$D$153,0)+E$2-1)</f>
        <v>0.25266</v>
      </c>
      <c r="F24">
        <f>INDEX('TS COMFR_10'!$J$10:$J$153,MATCH($D24,'TS COMFR_10'!$D$10:$D$153,0)+F$2-1)</f>
        <v>0.30057</v>
      </c>
      <c r="G24">
        <f>INDEX('TS COMFR_10'!$J$10:$J$153,MATCH($D24,'TS COMFR_10'!$D$10:$D$153,0)+G$2-1)</f>
        <v>0.14082</v>
      </c>
      <c r="H24">
        <f>INDEX('TS COMFR_10'!$J$10:$J$153,MATCH($D24,'TS COMFR_10'!$D$10:$D$153,0)+H$2-1)</f>
        <v>0.10063</v>
      </c>
      <c r="I24">
        <f>INDEX('TS COMFR_10'!$J$10:$J$153,MATCH($D24,'TS COMFR_10'!$D$10:$D$153,0)+I$2-1)</f>
        <v>3.6630000000000003E-2</v>
      </c>
      <c r="J24">
        <f>INDEX('TS COMFR_10'!$J$10:$J$153,MATCH($D24,'TS COMFR_10'!$D$10:$D$153,0)+J$2-1)</f>
        <v>9.2810000000000004E-2</v>
      </c>
      <c r="K24">
        <f>INDEX('TS COMFR_10'!$J$10:$J$153,MATCH($D24,'TS COMFR_10'!$D$10:$D$153,0)+K$2-1)</f>
        <v>5.3240000000000003E-2</v>
      </c>
      <c r="L24">
        <f>INDEX('TS COMFR_10'!$J$10:$J$153,MATCH($D24,'TS COMFR_10'!$D$10:$D$153,0)+L$2-1)</f>
        <v>2.264E-2</v>
      </c>
      <c r="M24">
        <f t="shared" si="24"/>
        <v>0.95318759689922483</v>
      </c>
      <c r="N24">
        <f t="shared" si="25"/>
        <v>0.92776363636363646</v>
      </c>
      <c r="O24">
        <f t="shared" si="26"/>
        <v>1.1953325581395351</v>
      </c>
      <c r="P24">
        <f t="shared" si="27"/>
        <v>1.0298116822429906</v>
      </c>
      <c r="Q24">
        <f t="shared" si="28"/>
        <v>0.74971682242990656</v>
      </c>
      <c r="R24">
        <f t="shared" si="29"/>
        <v>1.085468090787717</v>
      </c>
      <c r="S24">
        <f t="shared" si="30"/>
        <v>1.4529046728971962</v>
      </c>
      <c r="T24">
        <f t="shared" si="31"/>
        <v>0.92675887850467287</v>
      </c>
      <c r="U24">
        <f t="shared" si="32"/>
        <v>0.6560565291585857</v>
      </c>
      <c r="V24">
        <f t="shared" si="33"/>
        <v>0.63855781708899673</v>
      </c>
      <c r="W24">
        <f t="shared" si="34"/>
        <v>0.82271919172505392</v>
      </c>
      <c r="X24">
        <f t="shared" si="35"/>
        <v>0.70879507888805404</v>
      </c>
      <c r="Y24">
        <f t="shared" si="36"/>
        <v>0.51601239669421495</v>
      </c>
      <c r="Z24">
        <f t="shared" si="37"/>
        <v>0.74710207148223684</v>
      </c>
      <c r="AA24">
        <f t="shared" si="38"/>
        <v>1</v>
      </c>
      <c r="AB24">
        <f t="shared" si="39"/>
        <v>0.63786626596543949</v>
      </c>
      <c r="AD24">
        <f t="shared" si="5"/>
        <v>0.68827640151086333</v>
      </c>
    </row>
    <row r="25" spans="2:30">
      <c r="B25" t="s">
        <v>1387</v>
      </c>
      <c r="C25" t="s">
        <v>1388</v>
      </c>
      <c r="D25" t="str">
        <f t="shared" si="23"/>
        <v>CER</v>
      </c>
      <c r="E25">
        <f>INDEX('TS COMFR_10'!$J$10:$J$153,MATCH($D25,'TS COMFR_10'!$D$10:$D$153,0)+E$2-1)</f>
        <v>0.25266</v>
      </c>
      <c r="F25">
        <f>INDEX('TS COMFR_10'!$J$10:$J$153,MATCH($D25,'TS COMFR_10'!$D$10:$D$153,0)+F$2-1)</f>
        <v>0.30057</v>
      </c>
      <c r="G25">
        <f>INDEX('TS COMFR_10'!$J$10:$J$153,MATCH($D25,'TS COMFR_10'!$D$10:$D$153,0)+G$2-1)</f>
        <v>0.14082</v>
      </c>
      <c r="H25">
        <f>INDEX('TS COMFR_10'!$J$10:$J$153,MATCH($D25,'TS COMFR_10'!$D$10:$D$153,0)+H$2-1)</f>
        <v>0.10063</v>
      </c>
      <c r="I25">
        <f>INDEX('TS COMFR_10'!$J$10:$J$153,MATCH($D25,'TS COMFR_10'!$D$10:$D$153,0)+I$2-1)</f>
        <v>3.6630000000000003E-2</v>
      </c>
      <c r="J25">
        <f>INDEX('TS COMFR_10'!$J$10:$J$153,MATCH($D25,'TS COMFR_10'!$D$10:$D$153,0)+J$2-1)</f>
        <v>9.2810000000000004E-2</v>
      </c>
      <c r="K25">
        <f>INDEX('TS COMFR_10'!$J$10:$J$153,MATCH($D25,'TS COMFR_10'!$D$10:$D$153,0)+K$2-1)</f>
        <v>5.3240000000000003E-2</v>
      </c>
      <c r="L25">
        <f>INDEX('TS COMFR_10'!$J$10:$J$153,MATCH($D25,'TS COMFR_10'!$D$10:$D$153,0)+L$2-1)</f>
        <v>2.264E-2</v>
      </c>
      <c r="M25">
        <f t="shared" si="24"/>
        <v>0.95318759689922483</v>
      </c>
      <c r="N25">
        <f t="shared" si="25"/>
        <v>0.92776363636363646</v>
      </c>
      <c r="O25">
        <f t="shared" si="26"/>
        <v>1.1953325581395351</v>
      </c>
      <c r="P25">
        <f t="shared" si="27"/>
        <v>1.0298116822429906</v>
      </c>
      <c r="Q25">
        <f t="shared" si="28"/>
        <v>0.74971682242990656</v>
      </c>
      <c r="R25">
        <f t="shared" si="29"/>
        <v>1.085468090787717</v>
      </c>
      <c r="S25">
        <f t="shared" si="30"/>
        <v>1.4529046728971962</v>
      </c>
      <c r="T25">
        <f t="shared" si="31"/>
        <v>0.92675887850467287</v>
      </c>
      <c r="U25">
        <f t="shared" si="32"/>
        <v>0.6560565291585857</v>
      </c>
      <c r="V25">
        <f t="shared" si="33"/>
        <v>0.63855781708899673</v>
      </c>
      <c r="W25">
        <f t="shared" si="34"/>
        <v>0.82271919172505392</v>
      </c>
      <c r="X25">
        <f t="shared" si="35"/>
        <v>0.70879507888805404</v>
      </c>
      <c r="Y25">
        <f t="shared" si="36"/>
        <v>0.51601239669421495</v>
      </c>
      <c r="Z25">
        <f t="shared" si="37"/>
        <v>0.74710207148223684</v>
      </c>
      <c r="AA25">
        <f t="shared" si="38"/>
        <v>1</v>
      </c>
      <c r="AB25">
        <f t="shared" si="39"/>
        <v>0.63786626596543949</v>
      </c>
      <c r="AD25">
        <f t="shared" si="5"/>
        <v>0.68827640151086333</v>
      </c>
    </row>
    <row r="26" spans="2:30">
      <c r="B26" t="s">
        <v>1313</v>
      </c>
      <c r="C26" t="s">
        <v>1314</v>
      </c>
      <c r="D26" t="str">
        <f t="shared" si="23"/>
        <v>CEW</v>
      </c>
      <c r="E26">
        <f>INDEX('TS COMFR_10'!$J$10:$J$153,MATCH($D26,'TS COMFR_10'!$D$10:$D$153,0)+E$2-1)</f>
        <v>0.26721</v>
      </c>
      <c r="F26">
        <f>INDEX('TS COMFR_10'!$J$10:$J$153,MATCH($D26,'TS COMFR_10'!$D$10:$D$153,0)+F$2-1)</f>
        <v>0.31810999999999978</v>
      </c>
      <c r="G26">
        <f>INDEX('TS COMFR_10'!$J$10:$J$153,MATCH($D26,'TS COMFR_10'!$D$10:$D$153,0)+G$2-1)</f>
        <v>0.10874</v>
      </c>
      <c r="H26">
        <f>INDEX('TS COMFR_10'!$J$10:$J$153,MATCH($D26,'TS COMFR_10'!$D$10:$D$153,0)+H$2-1)</f>
        <v>0.10963000000000001</v>
      </c>
      <c r="I26">
        <f>INDEX('TS COMFR_10'!$J$10:$J$153,MATCH($D26,'TS COMFR_10'!$D$10:$D$153,0)+I$2-1)</f>
        <v>5.0990000000000001E-2</v>
      </c>
      <c r="J26">
        <f>INDEX('TS COMFR_10'!$J$10:$J$153,MATCH($D26,'TS COMFR_10'!$D$10:$D$153,0)+J$2-1)</f>
        <v>8.6169999999999997E-2</v>
      </c>
      <c r="K26">
        <f>INDEX('TS COMFR_10'!$J$10:$J$153,MATCH($D26,'TS COMFR_10'!$D$10:$D$153,0)+K$2-1)</f>
        <v>3.8240000000000003E-2</v>
      </c>
      <c r="L26">
        <f>INDEX('TS COMFR_10'!$J$10:$J$153,MATCH($D26,'TS COMFR_10'!$D$10:$D$153,0)+L$2-1)</f>
        <v>2.0910000000000002E-2</v>
      </c>
      <c r="M26">
        <f t="shared" si="24"/>
        <v>1.008079069767442</v>
      </c>
      <c r="N26">
        <f t="shared" si="25"/>
        <v>0.98190401691331863</v>
      </c>
      <c r="O26">
        <f t="shared" si="26"/>
        <v>0.92302558139534896</v>
      </c>
      <c r="P26">
        <f t="shared" si="27"/>
        <v>1.1219144859813084</v>
      </c>
      <c r="Q26">
        <f t="shared" si="28"/>
        <v>1.0436271028037383</v>
      </c>
      <c r="R26">
        <f t="shared" si="29"/>
        <v>1.0078093457943924</v>
      </c>
      <c r="S26">
        <f t="shared" si="30"/>
        <v>1.043558878504673</v>
      </c>
      <c r="T26">
        <f t="shared" si="31"/>
        <v>0.85594205607476637</v>
      </c>
      <c r="U26">
        <f t="shared" si="32"/>
        <v>0.89853467654061203</v>
      </c>
      <c r="V26">
        <f t="shared" si="33"/>
        <v>0.87520397426232854</v>
      </c>
      <c r="W26">
        <f t="shared" si="34"/>
        <v>0.82272365044649842</v>
      </c>
      <c r="X26">
        <f t="shared" si="35"/>
        <v>1</v>
      </c>
      <c r="Y26">
        <f t="shared" si="36"/>
        <v>0.93021983033841105</v>
      </c>
      <c r="Z26">
        <f t="shared" si="37"/>
        <v>0.89829426251938327</v>
      </c>
      <c r="AA26">
        <f t="shared" si="38"/>
        <v>0.9301590197330416</v>
      </c>
      <c r="AB26">
        <f t="shared" si="39"/>
        <v>0.76292985496670618</v>
      </c>
      <c r="AD26">
        <f t="shared" si="5"/>
        <v>0.89133353075954513</v>
      </c>
    </row>
    <row r="27" spans="2:30">
      <c r="B27" t="s">
        <v>1315</v>
      </c>
      <c r="C27" t="s">
        <v>1316</v>
      </c>
      <c r="D27" t="str">
        <f t="shared" si="23"/>
        <v>CEW</v>
      </c>
      <c r="E27">
        <f>INDEX('TS COMFR_10'!$J$10:$J$153,MATCH($D27,'TS COMFR_10'!$D$10:$D$153,0)+E$2-1)</f>
        <v>0.26721</v>
      </c>
      <c r="F27">
        <f>INDEX('TS COMFR_10'!$J$10:$J$153,MATCH($D27,'TS COMFR_10'!$D$10:$D$153,0)+F$2-1)</f>
        <v>0.31810999999999978</v>
      </c>
      <c r="G27">
        <f>INDEX('TS COMFR_10'!$J$10:$J$153,MATCH($D27,'TS COMFR_10'!$D$10:$D$153,0)+G$2-1)</f>
        <v>0.10874</v>
      </c>
      <c r="H27">
        <f>INDEX('TS COMFR_10'!$J$10:$J$153,MATCH($D27,'TS COMFR_10'!$D$10:$D$153,0)+H$2-1)</f>
        <v>0.10963000000000001</v>
      </c>
      <c r="I27">
        <f>INDEX('TS COMFR_10'!$J$10:$J$153,MATCH($D27,'TS COMFR_10'!$D$10:$D$153,0)+I$2-1)</f>
        <v>5.0990000000000001E-2</v>
      </c>
      <c r="J27">
        <f>INDEX('TS COMFR_10'!$J$10:$J$153,MATCH($D27,'TS COMFR_10'!$D$10:$D$153,0)+J$2-1)</f>
        <v>8.6169999999999997E-2</v>
      </c>
      <c r="K27">
        <f>INDEX('TS COMFR_10'!$J$10:$J$153,MATCH($D27,'TS COMFR_10'!$D$10:$D$153,0)+K$2-1)</f>
        <v>3.8240000000000003E-2</v>
      </c>
      <c r="L27">
        <f>INDEX('TS COMFR_10'!$J$10:$J$153,MATCH($D27,'TS COMFR_10'!$D$10:$D$153,0)+L$2-1)</f>
        <v>2.0910000000000002E-2</v>
      </c>
      <c r="M27">
        <f t="shared" si="24"/>
        <v>1.008079069767442</v>
      </c>
      <c r="N27">
        <f t="shared" si="25"/>
        <v>0.98190401691331863</v>
      </c>
      <c r="O27">
        <f t="shared" si="26"/>
        <v>0.92302558139534896</v>
      </c>
      <c r="P27">
        <f t="shared" si="27"/>
        <v>1.1219144859813084</v>
      </c>
      <c r="Q27">
        <f t="shared" si="28"/>
        <v>1.0436271028037383</v>
      </c>
      <c r="R27">
        <f t="shared" si="29"/>
        <v>1.0078093457943924</v>
      </c>
      <c r="S27">
        <f t="shared" si="30"/>
        <v>1.043558878504673</v>
      </c>
      <c r="T27">
        <f t="shared" si="31"/>
        <v>0.85594205607476637</v>
      </c>
      <c r="U27">
        <f t="shared" si="32"/>
        <v>0.89853467654061203</v>
      </c>
      <c r="V27">
        <f t="shared" si="33"/>
        <v>0.87520397426232854</v>
      </c>
      <c r="W27">
        <f t="shared" si="34"/>
        <v>0.82272365044649842</v>
      </c>
      <c r="X27">
        <f t="shared" si="35"/>
        <v>1</v>
      </c>
      <c r="Y27">
        <f t="shared" si="36"/>
        <v>0.93021983033841105</v>
      </c>
      <c r="Z27">
        <f t="shared" si="37"/>
        <v>0.89829426251938327</v>
      </c>
      <c r="AA27">
        <f t="shared" si="38"/>
        <v>0.9301590197330416</v>
      </c>
      <c r="AB27">
        <f t="shared" si="39"/>
        <v>0.76292985496670618</v>
      </c>
      <c r="AD27">
        <f t="shared" si="5"/>
        <v>0.89133353075954513</v>
      </c>
    </row>
    <row r="28" spans="2:30">
      <c r="B28" t="s">
        <v>1317</v>
      </c>
      <c r="C28" t="s">
        <v>1318</v>
      </c>
      <c r="D28" t="str">
        <f t="shared" si="23"/>
        <v>CEW</v>
      </c>
      <c r="E28">
        <f>INDEX('TS COMFR_10'!$J$10:$J$153,MATCH($D28,'TS COMFR_10'!$D$10:$D$153,0)+E$2-1)</f>
        <v>0.26721</v>
      </c>
      <c r="F28">
        <f>INDEX('TS COMFR_10'!$J$10:$J$153,MATCH($D28,'TS COMFR_10'!$D$10:$D$153,0)+F$2-1)</f>
        <v>0.31810999999999978</v>
      </c>
      <c r="G28">
        <f>INDEX('TS COMFR_10'!$J$10:$J$153,MATCH($D28,'TS COMFR_10'!$D$10:$D$153,0)+G$2-1)</f>
        <v>0.10874</v>
      </c>
      <c r="H28">
        <f>INDEX('TS COMFR_10'!$J$10:$J$153,MATCH($D28,'TS COMFR_10'!$D$10:$D$153,0)+H$2-1)</f>
        <v>0.10963000000000001</v>
      </c>
      <c r="I28">
        <f>INDEX('TS COMFR_10'!$J$10:$J$153,MATCH($D28,'TS COMFR_10'!$D$10:$D$153,0)+I$2-1)</f>
        <v>5.0990000000000001E-2</v>
      </c>
      <c r="J28">
        <f>INDEX('TS COMFR_10'!$J$10:$J$153,MATCH($D28,'TS COMFR_10'!$D$10:$D$153,0)+J$2-1)</f>
        <v>8.6169999999999997E-2</v>
      </c>
      <c r="K28">
        <f>INDEX('TS COMFR_10'!$J$10:$J$153,MATCH($D28,'TS COMFR_10'!$D$10:$D$153,0)+K$2-1)</f>
        <v>3.8240000000000003E-2</v>
      </c>
      <c r="L28">
        <f>INDEX('TS COMFR_10'!$J$10:$J$153,MATCH($D28,'TS COMFR_10'!$D$10:$D$153,0)+L$2-1)</f>
        <v>2.0910000000000002E-2</v>
      </c>
      <c r="M28">
        <f t="shared" si="24"/>
        <v>1.008079069767442</v>
      </c>
      <c r="N28">
        <f t="shared" si="25"/>
        <v>0.98190401691331863</v>
      </c>
      <c r="O28">
        <f t="shared" si="26"/>
        <v>0.92302558139534896</v>
      </c>
      <c r="P28">
        <f t="shared" si="27"/>
        <v>1.1219144859813084</v>
      </c>
      <c r="Q28">
        <f t="shared" si="28"/>
        <v>1.0436271028037383</v>
      </c>
      <c r="R28">
        <f t="shared" si="29"/>
        <v>1.0078093457943924</v>
      </c>
      <c r="S28">
        <f t="shared" si="30"/>
        <v>1.043558878504673</v>
      </c>
      <c r="T28">
        <f t="shared" si="31"/>
        <v>0.85594205607476637</v>
      </c>
      <c r="U28">
        <f t="shared" si="32"/>
        <v>0.89853467654061203</v>
      </c>
      <c r="V28">
        <f t="shared" si="33"/>
        <v>0.87520397426232854</v>
      </c>
      <c r="W28">
        <f t="shared" si="34"/>
        <v>0.82272365044649842</v>
      </c>
      <c r="X28">
        <f t="shared" si="35"/>
        <v>1</v>
      </c>
      <c r="Y28">
        <f t="shared" si="36"/>
        <v>0.93021983033841105</v>
      </c>
      <c r="Z28">
        <f t="shared" si="37"/>
        <v>0.89829426251938327</v>
      </c>
      <c r="AA28">
        <f t="shared" si="38"/>
        <v>0.9301590197330416</v>
      </c>
      <c r="AB28">
        <f t="shared" si="39"/>
        <v>0.76292985496670618</v>
      </c>
      <c r="AD28">
        <f t="shared" si="5"/>
        <v>0.89133353075954513</v>
      </c>
    </row>
    <row r="29" spans="2:30">
      <c r="B29" t="s">
        <v>1319</v>
      </c>
      <c r="C29" t="s">
        <v>1320</v>
      </c>
      <c r="D29" t="str">
        <f t="shared" si="23"/>
        <v>CEW</v>
      </c>
      <c r="E29">
        <f>INDEX('TS COMFR_10'!$J$10:$J$153,MATCH($D29,'TS COMFR_10'!$D$10:$D$153,0)+E$2-1)</f>
        <v>0.26721</v>
      </c>
      <c r="F29">
        <f>INDEX('TS COMFR_10'!$J$10:$J$153,MATCH($D29,'TS COMFR_10'!$D$10:$D$153,0)+F$2-1)</f>
        <v>0.31810999999999978</v>
      </c>
      <c r="G29">
        <f>INDEX('TS COMFR_10'!$J$10:$J$153,MATCH($D29,'TS COMFR_10'!$D$10:$D$153,0)+G$2-1)</f>
        <v>0.10874</v>
      </c>
      <c r="H29">
        <f>INDEX('TS COMFR_10'!$J$10:$J$153,MATCH($D29,'TS COMFR_10'!$D$10:$D$153,0)+H$2-1)</f>
        <v>0.10963000000000001</v>
      </c>
      <c r="I29">
        <f>INDEX('TS COMFR_10'!$J$10:$J$153,MATCH($D29,'TS COMFR_10'!$D$10:$D$153,0)+I$2-1)</f>
        <v>5.0990000000000001E-2</v>
      </c>
      <c r="J29">
        <f>INDEX('TS COMFR_10'!$J$10:$J$153,MATCH($D29,'TS COMFR_10'!$D$10:$D$153,0)+J$2-1)</f>
        <v>8.6169999999999997E-2</v>
      </c>
      <c r="K29">
        <f>INDEX('TS COMFR_10'!$J$10:$J$153,MATCH($D29,'TS COMFR_10'!$D$10:$D$153,0)+K$2-1)</f>
        <v>3.8240000000000003E-2</v>
      </c>
      <c r="L29">
        <f>INDEX('TS COMFR_10'!$J$10:$J$153,MATCH($D29,'TS COMFR_10'!$D$10:$D$153,0)+L$2-1)</f>
        <v>2.0910000000000002E-2</v>
      </c>
      <c r="M29">
        <f t="shared" si="24"/>
        <v>1.008079069767442</v>
      </c>
      <c r="N29">
        <f t="shared" si="25"/>
        <v>0.98190401691331863</v>
      </c>
      <c r="O29">
        <f t="shared" si="26"/>
        <v>0.92302558139534896</v>
      </c>
      <c r="P29">
        <f t="shared" si="27"/>
        <v>1.1219144859813084</v>
      </c>
      <c r="Q29">
        <f t="shared" si="28"/>
        <v>1.0436271028037383</v>
      </c>
      <c r="R29">
        <f t="shared" si="29"/>
        <v>1.0078093457943924</v>
      </c>
      <c r="S29">
        <f t="shared" si="30"/>
        <v>1.043558878504673</v>
      </c>
      <c r="T29">
        <f t="shared" si="31"/>
        <v>0.85594205607476637</v>
      </c>
      <c r="U29">
        <f t="shared" si="32"/>
        <v>0.89853467654061203</v>
      </c>
      <c r="V29">
        <f t="shared" si="33"/>
        <v>0.87520397426232854</v>
      </c>
      <c r="W29">
        <f t="shared" si="34"/>
        <v>0.82272365044649842</v>
      </c>
      <c r="X29">
        <f t="shared" si="35"/>
        <v>1</v>
      </c>
      <c r="Y29">
        <f t="shared" si="36"/>
        <v>0.93021983033841105</v>
      </c>
      <c r="Z29">
        <f t="shared" si="37"/>
        <v>0.89829426251938327</v>
      </c>
      <c r="AA29">
        <f t="shared" si="38"/>
        <v>0.9301590197330416</v>
      </c>
      <c r="AB29">
        <f t="shared" si="39"/>
        <v>0.76292985496670618</v>
      </c>
      <c r="AD29">
        <f t="shared" si="5"/>
        <v>0.89133353075954513</v>
      </c>
    </row>
    <row r="30" spans="2:30">
      <c r="B30" t="s">
        <v>1321</v>
      </c>
      <c r="C30" t="s">
        <v>1322</v>
      </c>
      <c r="D30" t="str">
        <f t="shared" si="23"/>
        <v>CEW</v>
      </c>
      <c r="E30">
        <f>INDEX('TS COMFR_10'!$J$10:$J$153,MATCH($D30,'TS COMFR_10'!$D$10:$D$153,0)+E$2-1)</f>
        <v>0.26721</v>
      </c>
      <c r="F30">
        <f>INDEX('TS COMFR_10'!$J$10:$J$153,MATCH($D30,'TS COMFR_10'!$D$10:$D$153,0)+F$2-1)</f>
        <v>0.31810999999999978</v>
      </c>
      <c r="G30">
        <f>INDEX('TS COMFR_10'!$J$10:$J$153,MATCH($D30,'TS COMFR_10'!$D$10:$D$153,0)+G$2-1)</f>
        <v>0.10874</v>
      </c>
      <c r="H30">
        <f>INDEX('TS COMFR_10'!$J$10:$J$153,MATCH($D30,'TS COMFR_10'!$D$10:$D$153,0)+H$2-1)</f>
        <v>0.10963000000000001</v>
      </c>
      <c r="I30">
        <f>INDEX('TS COMFR_10'!$J$10:$J$153,MATCH($D30,'TS COMFR_10'!$D$10:$D$153,0)+I$2-1)</f>
        <v>5.0990000000000001E-2</v>
      </c>
      <c r="J30">
        <f>INDEX('TS COMFR_10'!$J$10:$J$153,MATCH($D30,'TS COMFR_10'!$D$10:$D$153,0)+J$2-1)</f>
        <v>8.6169999999999997E-2</v>
      </c>
      <c r="K30">
        <f>INDEX('TS COMFR_10'!$J$10:$J$153,MATCH($D30,'TS COMFR_10'!$D$10:$D$153,0)+K$2-1)</f>
        <v>3.8240000000000003E-2</v>
      </c>
      <c r="L30">
        <f>INDEX('TS COMFR_10'!$J$10:$J$153,MATCH($D30,'TS COMFR_10'!$D$10:$D$153,0)+L$2-1)</f>
        <v>2.0910000000000002E-2</v>
      </c>
      <c r="M30">
        <f t="shared" si="24"/>
        <v>1.008079069767442</v>
      </c>
      <c r="N30">
        <f t="shared" si="25"/>
        <v>0.98190401691331863</v>
      </c>
      <c r="O30">
        <f t="shared" si="26"/>
        <v>0.92302558139534896</v>
      </c>
      <c r="P30">
        <f t="shared" si="27"/>
        <v>1.1219144859813084</v>
      </c>
      <c r="Q30">
        <f t="shared" si="28"/>
        <v>1.0436271028037383</v>
      </c>
      <c r="R30">
        <f t="shared" si="29"/>
        <v>1.0078093457943924</v>
      </c>
      <c r="S30">
        <f t="shared" si="30"/>
        <v>1.043558878504673</v>
      </c>
      <c r="T30">
        <f t="shared" si="31"/>
        <v>0.85594205607476637</v>
      </c>
      <c r="U30">
        <f t="shared" si="32"/>
        <v>0.89853467654061203</v>
      </c>
      <c r="V30">
        <f t="shared" si="33"/>
        <v>0.87520397426232854</v>
      </c>
      <c r="W30">
        <f t="shared" si="34"/>
        <v>0.82272365044649842</v>
      </c>
      <c r="X30">
        <f t="shared" si="35"/>
        <v>1</v>
      </c>
      <c r="Y30">
        <f t="shared" si="36"/>
        <v>0.93021983033841105</v>
      </c>
      <c r="Z30">
        <f t="shared" si="37"/>
        <v>0.89829426251938327</v>
      </c>
      <c r="AA30">
        <f t="shared" si="38"/>
        <v>0.9301590197330416</v>
      </c>
      <c r="AB30">
        <f t="shared" si="39"/>
        <v>0.76292985496670618</v>
      </c>
      <c r="AD30">
        <f t="shared" si="5"/>
        <v>0.89133353075954513</v>
      </c>
    </row>
    <row r="31" spans="2:30">
      <c r="B31" t="s">
        <v>1323</v>
      </c>
      <c r="C31" t="s">
        <v>1324</v>
      </c>
      <c r="D31" t="str">
        <f t="shared" si="23"/>
        <v>CEW</v>
      </c>
      <c r="E31">
        <f>INDEX('TS COMFR_10'!$J$10:$J$153,MATCH($D31,'TS COMFR_10'!$D$10:$D$153,0)+E$2-1)</f>
        <v>0.26721</v>
      </c>
      <c r="F31">
        <f>INDEX('TS COMFR_10'!$J$10:$J$153,MATCH($D31,'TS COMFR_10'!$D$10:$D$153,0)+F$2-1)</f>
        <v>0.31810999999999978</v>
      </c>
      <c r="G31">
        <f>INDEX('TS COMFR_10'!$J$10:$J$153,MATCH($D31,'TS COMFR_10'!$D$10:$D$153,0)+G$2-1)</f>
        <v>0.10874</v>
      </c>
      <c r="H31">
        <f>INDEX('TS COMFR_10'!$J$10:$J$153,MATCH($D31,'TS COMFR_10'!$D$10:$D$153,0)+H$2-1)</f>
        <v>0.10963000000000001</v>
      </c>
      <c r="I31">
        <f>INDEX('TS COMFR_10'!$J$10:$J$153,MATCH($D31,'TS COMFR_10'!$D$10:$D$153,0)+I$2-1)</f>
        <v>5.0990000000000001E-2</v>
      </c>
      <c r="J31">
        <f>INDEX('TS COMFR_10'!$J$10:$J$153,MATCH($D31,'TS COMFR_10'!$D$10:$D$153,0)+J$2-1)</f>
        <v>8.6169999999999997E-2</v>
      </c>
      <c r="K31">
        <f>INDEX('TS COMFR_10'!$J$10:$J$153,MATCH($D31,'TS COMFR_10'!$D$10:$D$153,0)+K$2-1)</f>
        <v>3.8240000000000003E-2</v>
      </c>
      <c r="L31">
        <f>INDEX('TS COMFR_10'!$J$10:$J$153,MATCH($D31,'TS COMFR_10'!$D$10:$D$153,0)+L$2-1)</f>
        <v>2.0910000000000002E-2</v>
      </c>
      <c r="M31">
        <f>E31/E$1</f>
        <v>1.008079069767442</v>
      </c>
      <c r="N31">
        <f t="shared" si="25"/>
        <v>0.98190401691331863</v>
      </c>
      <c r="O31">
        <f t="shared" si="26"/>
        <v>0.92302558139534896</v>
      </c>
      <c r="P31">
        <f t="shared" si="27"/>
        <v>1.1219144859813084</v>
      </c>
      <c r="Q31">
        <f t="shared" si="28"/>
        <v>1.0436271028037383</v>
      </c>
      <c r="R31">
        <f t="shared" si="29"/>
        <v>1.0078093457943924</v>
      </c>
      <c r="S31">
        <f t="shared" si="30"/>
        <v>1.043558878504673</v>
      </c>
      <c r="T31">
        <f t="shared" si="31"/>
        <v>0.85594205607476637</v>
      </c>
      <c r="U31">
        <f>M31/MAX($M31:$T31)</f>
        <v>0.89853467654061203</v>
      </c>
      <c r="V31">
        <f t="shared" si="33"/>
        <v>0.87520397426232854</v>
      </c>
      <c r="W31">
        <f t="shared" si="34"/>
        <v>0.82272365044649842</v>
      </c>
      <c r="X31">
        <f t="shared" si="35"/>
        <v>1</v>
      </c>
      <c r="Y31">
        <f t="shared" si="36"/>
        <v>0.93021983033841105</v>
      </c>
      <c r="Z31">
        <f t="shared" si="37"/>
        <v>0.89829426251938327</v>
      </c>
      <c r="AA31">
        <f t="shared" si="38"/>
        <v>0.9301590197330416</v>
      </c>
      <c r="AB31">
        <f t="shared" si="39"/>
        <v>0.76292985496670618</v>
      </c>
      <c r="AD31">
        <f t="shared" si="5"/>
        <v>0.89133353075954513</v>
      </c>
    </row>
    <row r="32" spans="2:30">
      <c r="B32" t="s">
        <v>1325</v>
      </c>
      <c r="C32" t="s">
        <v>1326</v>
      </c>
      <c r="D32" t="str">
        <f t="shared" si="23"/>
        <v>CEW</v>
      </c>
      <c r="E32">
        <f>INDEX('TS COMFR_10'!$J$10:$J$153,MATCH($D32,'TS COMFR_10'!$D$10:$D$153,0)+E$2-1)</f>
        <v>0.26721</v>
      </c>
      <c r="F32">
        <f>INDEX('TS COMFR_10'!$J$10:$J$153,MATCH($D32,'TS COMFR_10'!$D$10:$D$153,0)+F$2-1)</f>
        <v>0.31810999999999978</v>
      </c>
      <c r="G32">
        <f>INDEX('TS COMFR_10'!$J$10:$J$153,MATCH($D32,'TS COMFR_10'!$D$10:$D$153,0)+G$2-1)</f>
        <v>0.10874</v>
      </c>
      <c r="H32">
        <f>INDEX('TS COMFR_10'!$J$10:$J$153,MATCH($D32,'TS COMFR_10'!$D$10:$D$153,0)+H$2-1)</f>
        <v>0.10963000000000001</v>
      </c>
      <c r="I32">
        <f>INDEX('TS COMFR_10'!$J$10:$J$153,MATCH($D32,'TS COMFR_10'!$D$10:$D$153,0)+I$2-1)</f>
        <v>5.0990000000000001E-2</v>
      </c>
      <c r="J32">
        <f>INDEX('TS COMFR_10'!$J$10:$J$153,MATCH($D32,'TS COMFR_10'!$D$10:$D$153,0)+J$2-1)</f>
        <v>8.6169999999999997E-2</v>
      </c>
      <c r="K32">
        <f>INDEX('TS COMFR_10'!$J$10:$J$153,MATCH($D32,'TS COMFR_10'!$D$10:$D$153,0)+K$2-1)</f>
        <v>3.8240000000000003E-2</v>
      </c>
      <c r="L32">
        <f>INDEX('TS COMFR_10'!$J$10:$J$153,MATCH($D32,'TS COMFR_10'!$D$10:$D$153,0)+L$2-1)</f>
        <v>2.0910000000000002E-2</v>
      </c>
      <c r="M32">
        <f t="shared" ref="M32:M46" si="40">E32/E$1</f>
        <v>1.008079069767442</v>
      </c>
      <c r="N32">
        <f t="shared" si="25"/>
        <v>0.98190401691331863</v>
      </c>
      <c r="O32">
        <f t="shared" si="26"/>
        <v>0.92302558139534896</v>
      </c>
      <c r="P32">
        <f t="shared" si="27"/>
        <v>1.1219144859813084</v>
      </c>
      <c r="Q32">
        <f t="shared" si="28"/>
        <v>1.0436271028037383</v>
      </c>
      <c r="R32">
        <f t="shared" si="29"/>
        <v>1.0078093457943924</v>
      </c>
      <c r="S32">
        <f t="shared" si="30"/>
        <v>1.043558878504673</v>
      </c>
      <c r="T32">
        <f t="shared" si="31"/>
        <v>0.85594205607476637</v>
      </c>
      <c r="U32">
        <f t="shared" ref="U32:U46" si="41">M32/MAX($M32:$T32)</f>
        <v>0.89853467654061203</v>
      </c>
      <c r="V32">
        <f t="shared" si="33"/>
        <v>0.87520397426232854</v>
      </c>
      <c r="W32">
        <f t="shared" si="34"/>
        <v>0.82272365044649842</v>
      </c>
      <c r="X32">
        <f t="shared" si="35"/>
        <v>1</v>
      </c>
      <c r="Y32">
        <f t="shared" si="36"/>
        <v>0.93021983033841105</v>
      </c>
      <c r="Z32">
        <f t="shared" si="37"/>
        <v>0.89829426251938327</v>
      </c>
      <c r="AA32">
        <f t="shared" si="38"/>
        <v>0.9301590197330416</v>
      </c>
      <c r="AB32">
        <f t="shared" si="39"/>
        <v>0.76292985496670618</v>
      </c>
      <c r="AD32">
        <f t="shared" si="5"/>
        <v>0.89133353075954513</v>
      </c>
    </row>
    <row r="33" spans="2:30">
      <c r="B33" t="s">
        <v>1389</v>
      </c>
      <c r="C33" t="s">
        <v>1390</v>
      </c>
      <c r="D33" t="str">
        <f t="shared" si="23"/>
        <v>CEG</v>
      </c>
      <c r="E33">
        <f>INDEX('TS COMFR_10'!$J$10:$J$153,MATCH($D33,'TS COMFR_10'!$D$10:$D$153,0)+E$2-1)</f>
        <v>0.44383000000000006</v>
      </c>
      <c r="F33">
        <f>INDEX('TS COMFR_10'!$J$10:$J$153,MATCH($D33,'TS COMFR_10'!$D$10:$D$153,0)+F$2-1)</f>
        <v>0.15719</v>
      </c>
      <c r="G33">
        <f>INDEX('TS COMFR_10'!$J$10:$J$153,MATCH($D33,'TS COMFR_10'!$D$10:$D$153,0)+G$2-1)</f>
        <v>9.3039999999999998E-2</v>
      </c>
      <c r="H33">
        <f>INDEX('TS COMFR_10'!$J$10:$J$153,MATCH($D33,'TS COMFR_10'!$D$10:$D$153,0)+H$2-1)</f>
        <v>0.17882999999999999</v>
      </c>
      <c r="I33">
        <f>INDEX('TS COMFR_10'!$J$10:$J$153,MATCH($D33,'TS COMFR_10'!$D$10:$D$153,0)+I$2-1)</f>
        <v>6.4829999999999999E-2</v>
      </c>
      <c r="J33">
        <f>INDEX('TS COMFR_10'!$J$10:$J$153,MATCH($D33,'TS COMFR_10'!$D$10:$D$153,0)+J$2-1)</f>
        <v>1.4E-3</v>
      </c>
      <c r="K33">
        <f>INDEX('TS COMFR_10'!$J$10:$J$153,MATCH($D33,'TS COMFR_10'!$D$10:$D$153,0)+K$2-1)</f>
        <v>2.2669999999999999E-2</v>
      </c>
      <c r="L33">
        <f>INDEX('TS COMFR_10'!$J$10:$J$153,MATCH($D33,'TS COMFR_10'!$D$10:$D$153,0)+L$2-1)</f>
        <v>3.8210000000000001E-2</v>
      </c>
      <c r="M33">
        <f t="shared" si="40"/>
        <v>1.674397416020672</v>
      </c>
      <c r="N33">
        <f t="shared" si="25"/>
        <v>0.48519534883720933</v>
      </c>
      <c r="O33">
        <f t="shared" si="26"/>
        <v>0.78975813953488383</v>
      </c>
      <c r="P33">
        <f t="shared" si="27"/>
        <v>1.8300827102803736</v>
      </c>
      <c r="Q33">
        <f t="shared" si="28"/>
        <v>1.3268943925233643</v>
      </c>
      <c r="R33">
        <f t="shared" si="29"/>
        <v>1.6373831775700932E-2</v>
      </c>
      <c r="S33">
        <f t="shared" si="30"/>
        <v>0.61865794392523354</v>
      </c>
      <c r="T33">
        <f t="shared" si="31"/>
        <v>1.5641102803738318</v>
      </c>
      <c r="U33">
        <f t="shared" si="41"/>
        <v>0.91492991361256559</v>
      </c>
      <c r="V33">
        <f t="shared" si="33"/>
        <v>0.26512208771311546</v>
      </c>
      <c r="W33">
        <f t="shared" si="34"/>
        <v>0.43154232051833918</v>
      </c>
      <c r="X33">
        <f t="shared" si="35"/>
        <v>1</v>
      </c>
      <c r="Y33">
        <f t="shared" si="36"/>
        <v>0.72504613319912758</v>
      </c>
      <c r="Z33">
        <f t="shared" si="37"/>
        <v>8.9470446793043674E-3</v>
      </c>
      <c r="AA33">
        <f t="shared" si="38"/>
        <v>0.3380491714663833</v>
      </c>
      <c r="AB33">
        <f t="shared" si="39"/>
        <v>0.85466644299054984</v>
      </c>
      <c r="AD33">
        <f t="shared" si="5"/>
        <v>0.54642339080226443</v>
      </c>
    </row>
    <row r="34" spans="2:30">
      <c r="B34" t="s">
        <v>1391</v>
      </c>
      <c r="C34" t="s">
        <v>1392</v>
      </c>
      <c r="D34" t="str">
        <f t="shared" si="23"/>
        <v>CEG</v>
      </c>
      <c r="E34">
        <f>INDEX('TS COMFR_10'!$J$10:$J$153,MATCH($D34,'TS COMFR_10'!$D$10:$D$153,0)+E$2-1)</f>
        <v>0.44383000000000006</v>
      </c>
      <c r="F34">
        <f>INDEX('TS COMFR_10'!$J$10:$J$153,MATCH($D34,'TS COMFR_10'!$D$10:$D$153,0)+F$2-1)</f>
        <v>0.15719</v>
      </c>
      <c r="G34">
        <f>INDEX('TS COMFR_10'!$J$10:$J$153,MATCH($D34,'TS COMFR_10'!$D$10:$D$153,0)+G$2-1)</f>
        <v>9.3039999999999998E-2</v>
      </c>
      <c r="H34">
        <f>INDEX('TS COMFR_10'!$J$10:$J$153,MATCH($D34,'TS COMFR_10'!$D$10:$D$153,0)+H$2-1)</f>
        <v>0.17882999999999999</v>
      </c>
      <c r="I34">
        <f>INDEX('TS COMFR_10'!$J$10:$J$153,MATCH($D34,'TS COMFR_10'!$D$10:$D$153,0)+I$2-1)</f>
        <v>6.4829999999999999E-2</v>
      </c>
      <c r="J34">
        <f>INDEX('TS COMFR_10'!$J$10:$J$153,MATCH($D34,'TS COMFR_10'!$D$10:$D$153,0)+J$2-1)</f>
        <v>1.4E-3</v>
      </c>
      <c r="K34">
        <f>INDEX('TS COMFR_10'!$J$10:$J$153,MATCH($D34,'TS COMFR_10'!$D$10:$D$153,0)+K$2-1)</f>
        <v>2.2669999999999999E-2</v>
      </c>
      <c r="L34">
        <f>INDEX('TS COMFR_10'!$J$10:$J$153,MATCH($D34,'TS COMFR_10'!$D$10:$D$153,0)+L$2-1)</f>
        <v>3.8210000000000001E-2</v>
      </c>
      <c r="M34">
        <f t="shared" si="40"/>
        <v>1.674397416020672</v>
      </c>
      <c r="N34">
        <f t="shared" si="25"/>
        <v>0.48519534883720933</v>
      </c>
      <c r="O34">
        <f t="shared" si="26"/>
        <v>0.78975813953488383</v>
      </c>
      <c r="P34">
        <f t="shared" si="27"/>
        <v>1.8300827102803736</v>
      </c>
      <c r="Q34">
        <f t="shared" si="28"/>
        <v>1.3268943925233643</v>
      </c>
      <c r="R34">
        <f t="shared" si="29"/>
        <v>1.6373831775700932E-2</v>
      </c>
      <c r="S34">
        <f t="shared" si="30"/>
        <v>0.61865794392523354</v>
      </c>
      <c r="T34">
        <f t="shared" si="31"/>
        <v>1.5641102803738318</v>
      </c>
      <c r="U34">
        <f t="shared" si="41"/>
        <v>0.91492991361256559</v>
      </c>
      <c r="V34">
        <f t="shared" si="33"/>
        <v>0.26512208771311546</v>
      </c>
      <c r="W34">
        <f t="shared" si="34"/>
        <v>0.43154232051833918</v>
      </c>
      <c r="X34">
        <f t="shared" si="35"/>
        <v>1</v>
      </c>
      <c r="Y34">
        <f t="shared" si="36"/>
        <v>0.72504613319912758</v>
      </c>
      <c r="Z34">
        <f t="shared" si="37"/>
        <v>8.9470446793043674E-3</v>
      </c>
      <c r="AA34">
        <f t="shared" si="38"/>
        <v>0.3380491714663833</v>
      </c>
      <c r="AB34">
        <f t="shared" si="39"/>
        <v>0.85466644299054984</v>
      </c>
      <c r="AD34">
        <f t="shared" si="5"/>
        <v>0.54642339080226443</v>
      </c>
    </row>
    <row r="35" spans="2:30">
      <c r="B35" t="s">
        <v>1393</v>
      </c>
      <c r="C35" t="s">
        <v>1394</v>
      </c>
      <c r="D35" t="str">
        <f t="shared" si="23"/>
        <v>CEG</v>
      </c>
      <c r="E35">
        <f>INDEX('TS COMFR_10'!$J$10:$J$153,MATCH($D35,'TS COMFR_10'!$D$10:$D$153,0)+E$2-1)</f>
        <v>0.44383000000000006</v>
      </c>
      <c r="F35">
        <f>INDEX('TS COMFR_10'!$J$10:$J$153,MATCH($D35,'TS COMFR_10'!$D$10:$D$153,0)+F$2-1)</f>
        <v>0.15719</v>
      </c>
      <c r="G35">
        <f>INDEX('TS COMFR_10'!$J$10:$J$153,MATCH($D35,'TS COMFR_10'!$D$10:$D$153,0)+G$2-1)</f>
        <v>9.3039999999999998E-2</v>
      </c>
      <c r="H35">
        <f>INDEX('TS COMFR_10'!$J$10:$J$153,MATCH($D35,'TS COMFR_10'!$D$10:$D$153,0)+H$2-1)</f>
        <v>0.17882999999999999</v>
      </c>
      <c r="I35">
        <f>INDEX('TS COMFR_10'!$J$10:$J$153,MATCH($D35,'TS COMFR_10'!$D$10:$D$153,0)+I$2-1)</f>
        <v>6.4829999999999999E-2</v>
      </c>
      <c r="J35">
        <f>INDEX('TS COMFR_10'!$J$10:$J$153,MATCH($D35,'TS COMFR_10'!$D$10:$D$153,0)+J$2-1)</f>
        <v>1.4E-3</v>
      </c>
      <c r="K35">
        <f>INDEX('TS COMFR_10'!$J$10:$J$153,MATCH($D35,'TS COMFR_10'!$D$10:$D$153,0)+K$2-1)</f>
        <v>2.2669999999999999E-2</v>
      </c>
      <c r="L35">
        <f>INDEX('TS COMFR_10'!$J$10:$J$153,MATCH($D35,'TS COMFR_10'!$D$10:$D$153,0)+L$2-1)</f>
        <v>3.8210000000000001E-2</v>
      </c>
      <c r="M35">
        <f t="shared" si="40"/>
        <v>1.674397416020672</v>
      </c>
      <c r="N35">
        <f t="shared" si="25"/>
        <v>0.48519534883720933</v>
      </c>
      <c r="O35">
        <f t="shared" si="26"/>
        <v>0.78975813953488383</v>
      </c>
      <c r="P35">
        <f t="shared" si="27"/>
        <v>1.8300827102803736</v>
      </c>
      <c r="Q35">
        <f t="shared" si="28"/>
        <v>1.3268943925233643</v>
      </c>
      <c r="R35">
        <f t="shared" si="29"/>
        <v>1.6373831775700932E-2</v>
      </c>
      <c r="S35">
        <f t="shared" si="30"/>
        <v>0.61865794392523354</v>
      </c>
      <c r="T35">
        <f t="shared" si="31"/>
        <v>1.5641102803738318</v>
      </c>
      <c r="U35">
        <f t="shared" si="41"/>
        <v>0.91492991361256559</v>
      </c>
      <c r="V35">
        <f t="shared" si="33"/>
        <v>0.26512208771311546</v>
      </c>
      <c r="W35">
        <f t="shared" si="34"/>
        <v>0.43154232051833918</v>
      </c>
      <c r="X35">
        <f t="shared" si="35"/>
        <v>1</v>
      </c>
      <c r="Y35">
        <f t="shared" si="36"/>
        <v>0.72504613319912758</v>
      </c>
      <c r="Z35">
        <f t="shared" si="37"/>
        <v>8.9470446793043674E-3</v>
      </c>
      <c r="AA35">
        <f t="shared" si="38"/>
        <v>0.3380491714663833</v>
      </c>
      <c r="AB35">
        <f t="shared" si="39"/>
        <v>0.85466644299054984</v>
      </c>
      <c r="AD35">
        <f t="shared" si="5"/>
        <v>0.54642339080226443</v>
      </c>
    </row>
    <row r="36" spans="2:30">
      <c r="B36" t="s">
        <v>1395</v>
      </c>
      <c r="C36" t="s">
        <v>1396</v>
      </c>
      <c r="D36" t="str">
        <f t="shared" si="23"/>
        <v>CEG</v>
      </c>
      <c r="E36">
        <f>INDEX('TS COMFR_10'!$J$10:$J$153,MATCH($D36,'TS COMFR_10'!$D$10:$D$153,0)+E$2-1)</f>
        <v>0.44383000000000006</v>
      </c>
      <c r="F36">
        <f>INDEX('TS COMFR_10'!$J$10:$J$153,MATCH($D36,'TS COMFR_10'!$D$10:$D$153,0)+F$2-1)</f>
        <v>0.15719</v>
      </c>
      <c r="G36">
        <f>INDEX('TS COMFR_10'!$J$10:$J$153,MATCH($D36,'TS COMFR_10'!$D$10:$D$153,0)+G$2-1)</f>
        <v>9.3039999999999998E-2</v>
      </c>
      <c r="H36">
        <f>INDEX('TS COMFR_10'!$J$10:$J$153,MATCH($D36,'TS COMFR_10'!$D$10:$D$153,0)+H$2-1)</f>
        <v>0.17882999999999999</v>
      </c>
      <c r="I36">
        <f>INDEX('TS COMFR_10'!$J$10:$J$153,MATCH($D36,'TS COMFR_10'!$D$10:$D$153,0)+I$2-1)</f>
        <v>6.4829999999999999E-2</v>
      </c>
      <c r="J36">
        <f>INDEX('TS COMFR_10'!$J$10:$J$153,MATCH($D36,'TS COMFR_10'!$D$10:$D$153,0)+J$2-1)</f>
        <v>1.4E-3</v>
      </c>
      <c r="K36">
        <f>INDEX('TS COMFR_10'!$J$10:$J$153,MATCH($D36,'TS COMFR_10'!$D$10:$D$153,0)+K$2-1)</f>
        <v>2.2669999999999999E-2</v>
      </c>
      <c r="L36">
        <f>INDEX('TS COMFR_10'!$J$10:$J$153,MATCH($D36,'TS COMFR_10'!$D$10:$D$153,0)+L$2-1)</f>
        <v>3.8210000000000001E-2</v>
      </c>
      <c r="M36">
        <f t="shared" si="40"/>
        <v>1.674397416020672</v>
      </c>
      <c r="N36">
        <f t="shared" si="25"/>
        <v>0.48519534883720933</v>
      </c>
      <c r="O36">
        <f t="shared" si="26"/>
        <v>0.78975813953488383</v>
      </c>
      <c r="P36">
        <f t="shared" si="27"/>
        <v>1.8300827102803736</v>
      </c>
      <c r="Q36">
        <f t="shared" si="28"/>
        <v>1.3268943925233643</v>
      </c>
      <c r="R36">
        <f t="shared" si="29"/>
        <v>1.6373831775700932E-2</v>
      </c>
      <c r="S36">
        <f t="shared" si="30"/>
        <v>0.61865794392523354</v>
      </c>
      <c r="T36">
        <f t="shared" si="31"/>
        <v>1.5641102803738318</v>
      </c>
      <c r="U36">
        <f t="shared" si="41"/>
        <v>0.91492991361256559</v>
      </c>
      <c r="V36">
        <f t="shared" si="33"/>
        <v>0.26512208771311546</v>
      </c>
      <c r="W36">
        <f t="shared" si="34"/>
        <v>0.43154232051833918</v>
      </c>
      <c r="X36">
        <f t="shared" si="35"/>
        <v>1</v>
      </c>
      <c r="Y36">
        <f t="shared" si="36"/>
        <v>0.72504613319912758</v>
      </c>
      <c r="Z36">
        <f t="shared" si="37"/>
        <v>8.9470446793043674E-3</v>
      </c>
      <c r="AA36">
        <f t="shared" si="38"/>
        <v>0.3380491714663833</v>
      </c>
      <c r="AB36">
        <f t="shared" si="39"/>
        <v>0.85466644299054984</v>
      </c>
      <c r="AD36">
        <f t="shared" si="5"/>
        <v>0.54642339080226443</v>
      </c>
    </row>
    <row r="37" spans="2:30">
      <c r="B37" t="s">
        <v>1397</v>
      </c>
      <c r="C37" t="s">
        <v>1398</v>
      </c>
      <c r="D37" t="str">
        <f t="shared" si="23"/>
        <v>CEG</v>
      </c>
      <c r="E37">
        <f>INDEX('TS COMFR_10'!$J$10:$J$153,MATCH($D37,'TS COMFR_10'!$D$10:$D$153,0)+E$2-1)</f>
        <v>0.44383000000000006</v>
      </c>
      <c r="F37">
        <f>INDEX('TS COMFR_10'!$J$10:$J$153,MATCH($D37,'TS COMFR_10'!$D$10:$D$153,0)+F$2-1)</f>
        <v>0.15719</v>
      </c>
      <c r="G37">
        <f>INDEX('TS COMFR_10'!$J$10:$J$153,MATCH($D37,'TS COMFR_10'!$D$10:$D$153,0)+G$2-1)</f>
        <v>9.3039999999999998E-2</v>
      </c>
      <c r="H37">
        <f>INDEX('TS COMFR_10'!$J$10:$J$153,MATCH($D37,'TS COMFR_10'!$D$10:$D$153,0)+H$2-1)</f>
        <v>0.17882999999999999</v>
      </c>
      <c r="I37">
        <f>INDEX('TS COMFR_10'!$J$10:$J$153,MATCH($D37,'TS COMFR_10'!$D$10:$D$153,0)+I$2-1)</f>
        <v>6.4829999999999999E-2</v>
      </c>
      <c r="J37">
        <f>INDEX('TS COMFR_10'!$J$10:$J$153,MATCH($D37,'TS COMFR_10'!$D$10:$D$153,0)+J$2-1)</f>
        <v>1.4E-3</v>
      </c>
      <c r="K37">
        <f>INDEX('TS COMFR_10'!$J$10:$J$153,MATCH($D37,'TS COMFR_10'!$D$10:$D$153,0)+K$2-1)</f>
        <v>2.2669999999999999E-2</v>
      </c>
      <c r="L37">
        <f>INDEX('TS COMFR_10'!$J$10:$J$153,MATCH($D37,'TS COMFR_10'!$D$10:$D$153,0)+L$2-1)</f>
        <v>3.8210000000000001E-2</v>
      </c>
      <c r="M37">
        <f t="shared" si="40"/>
        <v>1.674397416020672</v>
      </c>
      <c r="N37">
        <f t="shared" si="25"/>
        <v>0.48519534883720933</v>
      </c>
      <c r="O37">
        <f t="shared" si="26"/>
        <v>0.78975813953488383</v>
      </c>
      <c r="P37">
        <f t="shared" si="27"/>
        <v>1.8300827102803736</v>
      </c>
      <c r="Q37">
        <f t="shared" si="28"/>
        <v>1.3268943925233643</v>
      </c>
      <c r="R37">
        <f t="shared" si="29"/>
        <v>1.6373831775700932E-2</v>
      </c>
      <c r="S37">
        <f t="shared" si="30"/>
        <v>0.61865794392523354</v>
      </c>
      <c r="T37">
        <f t="shared" si="31"/>
        <v>1.5641102803738318</v>
      </c>
      <c r="U37">
        <f t="shared" si="41"/>
        <v>0.91492991361256559</v>
      </c>
      <c r="V37">
        <f t="shared" si="33"/>
        <v>0.26512208771311546</v>
      </c>
      <c r="W37">
        <f t="shared" si="34"/>
        <v>0.43154232051833918</v>
      </c>
      <c r="X37">
        <f t="shared" si="35"/>
        <v>1</v>
      </c>
      <c r="Y37">
        <f t="shared" si="36"/>
        <v>0.72504613319912758</v>
      </c>
      <c r="Z37">
        <f t="shared" si="37"/>
        <v>8.9470446793043674E-3</v>
      </c>
      <c r="AA37">
        <f t="shared" si="38"/>
        <v>0.3380491714663833</v>
      </c>
      <c r="AB37">
        <f t="shared" si="39"/>
        <v>0.85466644299054984</v>
      </c>
      <c r="AD37">
        <f t="shared" si="5"/>
        <v>0.54642339080226443</v>
      </c>
    </row>
    <row r="38" spans="2:30">
      <c r="B38" t="s">
        <v>1399</v>
      </c>
      <c r="C38" t="s">
        <v>1400</v>
      </c>
      <c r="D38" t="str">
        <f t="shared" si="23"/>
        <v>CEG</v>
      </c>
      <c r="E38">
        <f>INDEX('TS COMFR_10'!$J$10:$J$153,MATCH($D38,'TS COMFR_10'!$D$10:$D$153,0)+E$2-1)</f>
        <v>0.44383000000000006</v>
      </c>
      <c r="F38">
        <f>INDEX('TS COMFR_10'!$J$10:$J$153,MATCH($D38,'TS COMFR_10'!$D$10:$D$153,0)+F$2-1)</f>
        <v>0.15719</v>
      </c>
      <c r="G38">
        <f>INDEX('TS COMFR_10'!$J$10:$J$153,MATCH($D38,'TS COMFR_10'!$D$10:$D$153,0)+G$2-1)</f>
        <v>9.3039999999999998E-2</v>
      </c>
      <c r="H38">
        <f>INDEX('TS COMFR_10'!$J$10:$J$153,MATCH($D38,'TS COMFR_10'!$D$10:$D$153,0)+H$2-1)</f>
        <v>0.17882999999999999</v>
      </c>
      <c r="I38">
        <f>INDEX('TS COMFR_10'!$J$10:$J$153,MATCH($D38,'TS COMFR_10'!$D$10:$D$153,0)+I$2-1)</f>
        <v>6.4829999999999999E-2</v>
      </c>
      <c r="J38">
        <f>INDEX('TS COMFR_10'!$J$10:$J$153,MATCH($D38,'TS COMFR_10'!$D$10:$D$153,0)+J$2-1)</f>
        <v>1.4E-3</v>
      </c>
      <c r="K38">
        <f>INDEX('TS COMFR_10'!$J$10:$J$153,MATCH($D38,'TS COMFR_10'!$D$10:$D$153,0)+K$2-1)</f>
        <v>2.2669999999999999E-2</v>
      </c>
      <c r="L38">
        <f>INDEX('TS COMFR_10'!$J$10:$J$153,MATCH($D38,'TS COMFR_10'!$D$10:$D$153,0)+L$2-1)</f>
        <v>3.8210000000000001E-2</v>
      </c>
      <c r="M38">
        <f t="shared" si="40"/>
        <v>1.674397416020672</v>
      </c>
      <c r="N38">
        <f t="shared" si="25"/>
        <v>0.48519534883720933</v>
      </c>
      <c r="O38">
        <f t="shared" si="26"/>
        <v>0.78975813953488383</v>
      </c>
      <c r="P38">
        <f t="shared" si="27"/>
        <v>1.8300827102803736</v>
      </c>
      <c r="Q38">
        <f t="shared" si="28"/>
        <v>1.3268943925233643</v>
      </c>
      <c r="R38">
        <f t="shared" si="29"/>
        <v>1.6373831775700932E-2</v>
      </c>
      <c r="S38">
        <f t="shared" si="30"/>
        <v>0.61865794392523354</v>
      </c>
      <c r="T38">
        <f t="shared" si="31"/>
        <v>1.5641102803738318</v>
      </c>
      <c r="U38">
        <f t="shared" si="41"/>
        <v>0.91492991361256559</v>
      </c>
      <c r="V38">
        <f t="shared" si="33"/>
        <v>0.26512208771311546</v>
      </c>
      <c r="W38">
        <f t="shared" si="34"/>
        <v>0.43154232051833918</v>
      </c>
      <c r="X38">
        <f t="shared" si="35"/>
        <v>1</v>
      </c>
      <c r="Y38">
        <f t="shared" si="36"/>
        <v>0.72504613319912758</v>
      </c>
      <c r="Z38">
        <f t="shared" si="37"/>
        <v>8.9470446793043674E-3</v>
      </c>
      <c r="AA38">
        <f t="shared" si="38"/>
        <v>0.3380491714663833</v>
      </c>
      <c r="AB38">
        <f t="shared" si="39"/>
        <v>0.85466644299054984</v>
      </c>
      <c r="AD38">
        <f t="shared" si="5"/>
        <v>0.54642339080226443</v>
      </c>
    </row>
    <row r="39" spans="2:30">
      <c r="B39" t="s">
        <v>1401</v>
      </c>
      <c r="C39" t="s">
        <v>1402</v>
      </c>
      <c r="D39" t="str">
        <f t="shared" si="23"/>
        <v>CET</v>
      </c>
      <c r="E39">
        <f>INDEX('TS COMFR_10'!$J$10:$J$153,MATCH($D39,'TS COMFR_10'!$D$10:$D$153,0)+E$2-1)</f>
        <v>0.26721</v>
      </c>
      <c r="F39">
        <f>INDEX('TS COMFR_10'!$J$10:$J$153,MATCH($D39,'TS COMFR_10'!$D$10:$D$153,0)+F$2-1)</f>
        <v>0.31810999999999978</v>
      </c>
      <c r="G39">
        <f>INDEX('TS COMFR_10'!$J$10:$J$153,MATCH($D39,'TS COMFR_10'!$D$10:$D$153,0)+G$2-1)</f>
        <v>0.10874</v>
      </c>
      <c r="H39">
        <f>INDEX('TS COMFR_10'!$J$10:$J$153,MATCH($D39,'TS COMFR_10'!$D$10:$D$153,0)+H$2-1)</f>
        <v>0.10963000000000001</v>
      </c>
      <c r="I39">
        <f>INDEX('TS COMFR_10'!$J$10:$J$153,MATCH($D39,'TS COMFR_10'!$D$10:$D$153,0)+I$2-1)</f>
        <v>5.0990000000000001E-2</v>
      </c>
      <c r="J39">
        <f>INDEX('TS COMFR_10'!$J$10:$J$153,MATCH($D39,'TS COMFR_10'!$D$10:$D$153,0)+J$2-1)</f>
        <v>8.6169999999999997E-2</v>
      </c>
      <c r="K39">
        <f>INDEX('TS COMFR_10'!$J$10:$J$153,MATCH($D39,'TS COMFR_10'!$D$10:$D$153,0)+K$2-1)</f>
        <v>3.8240000000000003E-2</v>
      </c>
      <c r="L39">
        <f>INDEX('TS COMFR_10'!$J$10:$J$153,MATCH($D39,'TS COMFR_10'!$D$10:$D$153,0)+L$2-1)</f>
        <v>2.0910000000000002E-2</v>
      </c>
      <c r="M39">
        <f t="shared" si="40"/>
        <v>1.008079069767442</v>
      </c>
      <c r="N39">
        <f t="shared" si="25"/>
        <v>0.98190401691331863</v>
      </c>
      <c r="O39">
        <f t="shared" si="26"/>
        <v>0.92302558139534896</v>
      </c>
      <c r="P39">
        <f t="shared" si="27"/>
        <v>1.1219144859813084</v>
      </c>
      <c r="Q39">
        <f t="shared" si="28"/>
        <v>1.0436271028037383</v>
      </c>
      <c r="R39">
        <f t="shared" si="29"/>
        <v>1.0078093457943924</v>
      </c>
      <c r="S39">
        <f t="shared" si="30"/>
        <v>1.043558878504673</v>
      </c>
      <c r="T39">
        <f t="shared" si="31"/>
        <v>0.85594205607476637</v>
      </c>
      <c r="U39">
        <f t="shared" si="41"/>
        <v>0.89853467654061203</v>
      </c>
      <c r="V39">
        <f t="shared" si="33"/>
        <v>0.87520397426232854</v>
      </c>
      <c r="W39">
        <f t="shared" si="34"/>
        <v>0.82272365044649842</v>
      </c>
      <c r="X39">
        <f t="shared" si="35"/>
        <v>1</v>
      </c>
      <c r="Y39">
        <f t="shared" si="36"/>
        <v>0.93021983033841105</v>
      </c>
      <c r="Z39">
        <f t="shared" si="37"/>
        <v>0.89829426251938327</v>
      </c>
      <c r="AA39">
        <f t="shared" si="38"/>
        <v>0.9301590197330416</v>
      </c>
      <c r="AB39">
        <f t="shared" si="39"/>
        <v>0.76292985496670618</v>
      </c>
      <c r="AD39">
        <f t="shared" si="5"/>
        <v>0.89133353075954513</v>
      </c>
    </row>
    <row r="40" spans="2:30">
      <c r="B40" t="s">
        <v>1327</v>
      </c>
      <c r="C40" t="s">
        <v>1328</v>
      </c>
      <c r="D40" t="str">
        <f t="shared" si="23"/>
        <v>CEO</v>
      </c>
      <c r="E40">
        <f>INDEX('TS COMFR_10'!$J$10:$J$153,MATCH($D40,'TS COMFR_10'!$D$10:$D$153,0)+E$2-1)</f>
        <v>0.14651</v>
      </c>
      <c r="F40">
        <f>INDEX('TS COMFR_10'!$J$10:$J$153,MATCH($D40,'TS COMFR_10'!$D$10:$D$153,0)+F$2-1)</f>
        <v>0.43703000000000009</v>
      </c>
      <c r="G40">
        <f>INDEX('TS COMFR_10'!$J$10:$J$153,MATCH($D40,'TS COMFR_10'!$D$10:$D$153,0)+G$2-1)</f>
        <v>0.11051999999999999</v>
      </c>
      <c r="H40">
        <f>INDEX('TS COMFR_10'!$J$10:$J$153,MATCH($D40,'TS COMFR_10'!$D$10:$D$153,0)+H$2-1)</f>
        <v>6.2839999999999993E-2</v>
      </c>
      <c r="I40">
        <f>INDEX('TS COMFR_10'!$J$10:$J$153,MATCH($D40,'TS COMFR_10'!$D$10:$D$153,0)+I$2-1)</f>
        <v>5.6410000000000002E-2</v>
      </c>
      <c r="J40">
        <f>INDEX('TS COMFR_10'!$J$10:$J$153,MATCH($D40,'TS COMFR_10'!$D$10:$D$153,0)+J$2-1)</f>
        <v>0.13208</v>
      </c>
      <c r="K40">
        <f>INDEX('TS COMFR_10'!$J$10:$J$153,MATCH($D40,'TS COMFR_10'!$D$10:$D$153,0)+K$2-1)</f>
        <v>4.3810000000000002E-2</v>
      </c>
      <c r="L40">
        <f>INDEX('TS COMFR_10'!$J$10:$J$153,MATCH($D40,'TS COMFR_10'!$D$10:$D$153,0)+L$2-1)</f>
        <v>1.0800000000000001E-2</v>
      </c>
      <c r="M40">
        <f t="shared" si="40"/>
        <v>0.55272506459948323</v>
      </c>
      <c r="N40">
        <f t="shared" si="25"/>
        <v>1.3489720930232563</v>
      </c>
      <c r="O40">
        <f t="shared" si="26"/>
        <v>0.93813488372093023</v>
      </c>
      <c r="P40">
        <f t="shared" si="27"/>
        <v>0.64308224299065408</v>
      </c>
      <c r="Q40">
        <f t="shared" si="28"/>
        <v>1.1545598130841122</v>
      </c>
      <c r="R40">
        <f t="shared" si="29"/>
        <v>1.5447540720961281</v>
      </c>
      <c r="S40">
        <f t="shared" si="30"/>
        <v>1.1955626168224298</v>
      </c>
      <c r="T40">
        <f t="shared" si="31"/>
        <v>0.44209345794392524</v>
      </c>
      <c r="U40">
        <f t="shared" si="41"/>
        <v>0.3578078055165585</v>
      </c>
      <c r="V40">
        <f t="shared" si="33"/>
        <v>0.87326009841345886</v>
      </c>
      <c r="W40">
        <f t="shared" si="34"/>
        <v>0.60730371304213093</v>
      </c>
      <c r="X40">
        <f t="shared" si="35"/>
        <v>0.4163007268322228</v>
      </c>
      <c r="Y40">
        <f t="shared" si="36"/>
        <v>0.74740687462144162</v>
      </c>
      <c r="Z40">
        <f t="shared" si="37"/>
        <v>1</v>
      </c>
      <c r="AA40">
        <f t="shared" si="38"/>
        <v>0.77395013123359579</v>
      </c>
      <c r="AB40">
        <f t="shared" si="39"/>
        <v>0.28619018776499094</v>
      </c>
      <c r="AD40">
        <f t="shared" si="5"/>
        <v>0.64735223428999722</v>
      </c>
    </row>
    <row r="41" spans="2:30">
      <c r="B41" t="s">
        <v>1329</v>
      </c>
      <c r="C41" t="s">
        <v>1330</v>
      </c>
      <c r="D41" t="str">
        <f t="shared" si="23"/>
        <v>CEO</v>
      </c>
      <c r="E41">
        <f>INDEX('TS COMFR_10'!$J$10:$J$153,MATCH($D41,'TS COMFR_10'!$D$10:$D$153,0)+E$2-1)</f>
        <v>0.14651</v>
      </c>
      <c r="F41">
        <f>INDEX('TS COMFR_10'!$J$10:$J$153,MATCH($D41,'TS COMFR_10'!$D$10:$D$153,0)+F$2-1)</f>
        <v>0.43703000000000009</v>
      </c>
      <c r="G41">
        <f>INDEX('TS COMFR_10'!$J$10:$J$153,MATCH($D41,'TS COMFR_10'!$D$10:$D$153,0)+G$2-1)</f>
        <v>0.11051999999999999</v>
      </c>
      <c r="H41">
        <f>INDEX('TS COMFR_10'!$J$10:$J$153,MATCH($D41,'TS COMFR_10'!$D$10:$D$153,0)+H$2-1)</f>
        <v>6.2839999999999993E-2</v>
      </c>
      <c r="I41">
        <f>INDEX('TS COMFR_10'!$J$10:$J$153,MATCH($D41,'TS COMFR_10'!$D$10:$D$153,0)+I$2-1)</f>
        <v>5.6410000000000002E-2</v>
      </c>
      <c r="J41">
        <f>INDEX('TS COMFR_10'!$J$10:$J$153,MATCH($D41,'TS COMFR_10'!$D$10:$D$153,0)+J$2-1)</f>
        <v>0.13208</v>
      </c>
      <c r="K41">
        <f>INDEX('TS COMFR_10'!$J$10:$J$153,MATCH($D41,'TS COMFR_10'!$D$10:$D$153,0)+K$2-1)</f>
        <v>4.3810000000000002E-2</v>
      </c>
      <c r="L41">
        <f>INDEX('TS COMFR_10'!$J$10:$J$153,MATCH($D41,'TS COMFR_10'!$D$10:$D$153,0)+L$2-1)</f>
        <v>1.0800000000000001E-2</v>
      </c>
      <c r="M41">
        <f t="shared" si="40"/>
        <v>0.55272506459948323</v>
      </c>
      <c r="N41">
        <f t="shared" si="25"/>
        <v>1.3489720930232563</v>
      </c>
      <c r="O41">
        <f t="shared" si="26"/>
        <v>0.93813488372093023</v>
      </c>
      <c r="P41">
        <f t="shared" si="27"/>
        <v>0.64308224299065408</v>
      </c>
      <c r="Q41">
        <f t="shared" si="28"/>
        <v>1.1545598130841122</v>
      </c>
      <c r="R41">
        <f t="shared" si="29"/>
        <v>1.5447540720961281</v>
      </c>
      <c r="S41">
        <f t="shared" si="30"/>
        <v>1.1955626168224298</v>
      </c>
      <c r="T41">
        <f t="shared" si="31"/>
        <v>0.44209345794392524</v>
      </c>
      <c r="U41">
        <f t="shared" si="41"/>
        <v>0.3578078055165585</v>
      </c>
      <c r="V41">
        <f t="shared" si="33"/>
        <v>0.87326009841345886</v>
      </c>
      <c r="W41">
        <f t="shared" si="34"/>
        <v>0.60730371304213093</v>
      </c>
      <c r="X41">
        <f t="shared" si="35"/>
        <v>0.4163007268322228</v>
      </c>
      <c r="Y41">
        <f t="shared" si="36"/>
        <v>0.74740687462144162</v>
      </c>
      <c r="Z41">
        <f t="shared" si="37"/>
        <v>1</v>
      </c>
      <c r="AA41">
        <f t="shared" si="38"/>
        <v>0.77395013123359579</v>
      </c>
      <c r="AB41">
        <f t="shared" si="39"/>
        <v>0.28619018776499094</v>
      </c>
      <c r="AD41">
        <f t="shared" si="5"/>
        <v>0.64735223428999722</v>
      </c>
    </row>
    <row r="42" spans="2:30">
      <c r="B42" t="s">
        <v>1331</v>
      </c>
      <c r="C42" t="s">
        <v>1332</v>
      </c>
      <c r="D42" t="str">
        <f t="shared" si="23"/>
        <v>CEO</v>
      </c>
      <c r="E42">
        <f>INDEX('TS COMFR_10'!$J$10:$J$153,MATCH($D42,'TS COMFR_10'!$D$10:$D$153,0)+E$2-1)</f>
        <v>0.14651</v>
      </c>
      <c r="F42">
        <f>INDEX('TS COMFR_10'!$J$10:$J$153,MATCH($D42,'TS COMFR_10'!$D$10:$D$153,0)+F$2-1)</f>
        <v>0.43703000000000009</v>
      </c>
      <c r="G42">
        <f>INDEX('TS COMFR_10'!$J$10:$J$153,MATCH($D42,'TS COMFR_10'!$D$10:$D$153,0)+G$2-1)</f>
        <v>0.11051999999999999</v>
      </c>
      <c r="H42">
        <f>INDEX('TS COMFR_10'!$J$10:$J$153,MATCH($D42,'TS COMFR_10'!$D$10:$D$153,0)+H$2-1)</f>
        <v>6.2839999999999993E-2</v>
      </c>
      <c r="I42">
        <f>INDEX('TS COMFR_10'!$J$10:$J$153,MATCH($D42,'TS COMFR_10'!$D$10:$D$153,0)+I$2-1)</f>
        <v>5.6410000000000002E-2</v>
      </c>
      <c r="J42">
        <f>INDEX('TS COMFR_10'!$J$10:$J$153,MATCH($D42,'TS COMFR_10'!$D$10:$D$153,0)+J$2-1)</f>
        <v>0.13208</v>
      </c>
      <c r="K42">
        <f>INDEX('TS COMFR_10'!$J$10:$J$153,MATCH($D42,'TS COMFR_10'!$D$10:$D$153,0)+K$2-1)</f>
        <v>4.3810000000000002E-2</v>
      </c>
      <c r="L42">
        <f>INDEX('TS COMFR_10'!$J$10:$J$153,MATCH($D42,'TS COMFR_10'!$D$10:$D$153,0)+L$2-1)</f>
        <v>1.0800000000000001E-2</v>
      </c>
      <c r="M42">
        <f t="shared" si="40"/>
        <v>0.55272506459948323</v>
      </c>
      <c r="N42">
        <f t="shared" si="25"/>
        <v>1.3489720930232563</v>
      </c>
      <c r="O42">
        <f t="shared" si="26"/>
        <v>0.93813488372093023</v>
      </c>
      <c r="P42">
        <f t="shared" si="27"/>
        <v>0.64308224299065408</v>
      </c>
      <c r="Q42">
        <f t="shared" si="28"/>
        <v>1.1545598130841122</v>
      </c>
      <c r="R42">
        <f t="shared" si="29"/>
        <v>1.5447540720961281</v>
      </c>
      <c r="S42">
        <f t="shared" si="30"/>
        <v>1.1955626168224298</v>
      </c>
      <c r="T42">
        <f t="shared" si="31"/>
        <v>0.44209345794392524</v>
      </c>
      <c r="U42">
        <f t="shared" si="41"/>
        <v>0.3578078055165585</v>
      </c>
      <c r="V42">
        <f t="shared" si="33"/>
        <v>0.87326009841345886</v>
      </c>
      <c r="W42">
        <f t="shared" si="34"/>
        <v>0.60730371304213093</v>
      </c>
      <c r="X42">
        <f t="shared" si="35"/>
        <v>0.4163007268322228</v>
      </c>
      <c r="Y42">
        <f t="shared" si="36"/>
        <v>0.74740687462144162</v>
      </c>
      <c r="Z42">
        <f t="shared" si="37"/>
        <v>1</v>
      </c>
      <c r="AA42">
        <f t="shared" si="38"/>
        <v>0.77395013123359579</v>
      </c>
      <c r="AB42">
        <f t="shared" si="39"/>
        <v>0.28619018776499094</v>
      </c>
      <c r="AD42">
        <f t="shared" si="5"/>
        <v>0.64735223428999722</v>
      </c>
    </row>
    <row r="43" spans="2:30">
      <c r="B43" t="s">
        <v>1333</v>
      </c>
      <c r="C43" t="s">
        <v>1334</v>
      </c>
      <c r="D43" t="str">
        <f t="shared" si="23"/>
        <v>CEO</v>
      </c>
      <c r="E43">
        <f>INDEX('TS COMFR_10'!$J$10:$J$153,MATCH($D43,'TS COMFR_10'!$D$10:$D$153,0)+E$2-1)</f>
        <v>0.14651</v>
      </c>
      <c r="F43">
        <f>INDEX('TS COMFR_10'!$J$10:$J$153,MATCH($D43,'TS COMFR_10'!$D$10:$D$153,0)+F$2-1)</f>
        <v>0.43703000000000009</v>
      </c>
      <c r="G43">
        <f>INDEX('TS COMFR_10'!$J$10:$J$153,MATCH($D43,'TS COMFR_10'!$D$10:$D$153,0)+G$2-1)</f>
        <v>0.11051999999999999</v>
      </c>
      <c r="H43">
        <f>INDEX('TS COMFR_10'!$J$10:$J$153,MATCH($D43,'TS COMFR_10'!$D$10:$D$153,0)+H$2-1)</f>
        <v>6.2839999999999993E-2</v>
      </c>
      <c r="I43">
        <f>INDEX('TS COMFR_10'!$J$10:$J$153,MATCH($D43,'TS COMFR_10'!$D$10:$D$153,0)+I$2-1)</f>
        <v>5.6410000000000002E-2</v>
      </c>
      <c r="J43">
        <f>INDEX('TS COMFR_10'!$J$10:$J$153,MATCH($D43,'TS COMFR_10'!$D$10:$D$153,0)+J$2-1)</f>
        <v>0.13208</v>
      </c>
      <c r="K43">
        <f>INDEX('TS COMFR_10'!$J$10:$J$153,MATCH($D43,'TS COMFR_10'!$D$10:$D$153,0)+K$2-1)</f>
        <v>4.3810000000000002E-2</v>
      </c>
      <c r="L43">
        <f>INDEX('TS COMFR_10'!$J$10:$J$153,MATCH($D43,'TS COMFR_10'!$D$10:$D$153,0)+L$2-1)</f>
        <v>1.0800000000000001E-2</v>
      </c>
      <c r="M43">
        <f t="shared" si="40"/>
        <v>0.55272506459948323</v>
      </c>
      <c r="N43">
        <f t="shared" si="25"/>
        <v>1.3489720930232563</v>
      </c>
      <c r="O43">
        <f t="shared" si="26"/>
        <v>0.93813488372093023</v>
      </c>
      <c r="P43">
        <f t="shared" si="27"/>
        <v>0.64308224299065408</v>
      </c>
      <c r="Q43">
        <f t="shared" si="28"/>
        <v>1.1545598130841122</v>
      </c>
      <c r="R43">
        <f t="shared" si="29"/>
        <v>1.5447540720961281</v>
      </c>
      <c r="S43">
        <f t="shared" si="30"/>
        <v>1.1955626168224298</v>
      </c>
      <c r="T43">
        <f t="shared" si="31"/>
        <v>0.44209345794392524</v>
      </c>
      <c r="U43">
        <f t="shared" si="41"/>
        <v>0.3578078055165585</v>
      </c>
      <c r="V43">
        <f t="shared" si="33"/>
        <v>0.87326009841345886</v>
      </c>
      <c r="W43">
        <f t="shared" si="34"/>
        <v>0.60730371304213093</v>
      </c>
      <c r="X43">
        <f t="shared" si="35"/>
        <v>0.4163007268322228</v>
      </c>
      <c r="Y43">
        <f t="shared" si="36"/>
        <v>0.74740687462144162</v>
      </c>
      <c r="Z43">
        <f t="shared" si="37"/>
        <v>1</v>
      </c>
      <c r="AA43">
        <f t="shared" si="38"/>
        <v>0.77395013123359579</v>
      </c>
      <c r="AB43">
        <f t="shared" si="39"/>
        <v>0.28619018776499094</v>
      </c>
      <c r="AD43">
        <f t="shared" si="5"/>
        <v>0.64735223428999722</v>
      </c>
    </row>
    <row r="44" spans="2:30">
      <c r="B44" t="s">
        <v>1335</v>
      </c>
      <c r="C44" t="s">
        <v>1336</v>
      </c>
      <c r="D44" t="str">
        <f t="shared" si="23"/>
        <v>CEO</v>
      </c>
      <c r="E44">
        <f>INDEX('TS COMFR_10'!$J$10:$J$153,MATCH($D44,'TS COMFR_10'!$D$10:$D$153,0)+E$2-1)</f>
        <v>0.14651</v>
      </c>
      <c r="F44">
        <f>INDEX('TS COMFR_10'!$J$10:$J$153,MATCH($D44,'TS COMFR_10'!$D$10:$D$153,0)+F$2-1)</f>
        <v>0.43703000000000009</v>
      </c>
      <c r="G44">
        <f>INDEX('TS COMFR_10'!$J$10:$J$153,MATCH($D44,'TS COMFR_10'!$D$10:$D$153,0)+G$2-1)</f>
        <v>0.11051999999999999</v>
      </c>
      <c r="H44">
        <f>INDEX('TS COMFR_10'!$J$10:$J$153,MATCH($D44,'TS COMFR_10'!$D$10:$D$153,0)+H$2-1)</f>
        <v>6.2839999999999993E-2</v>
      </c>
      <c r="I44">
        <f>INDEX('TS COMFR_10'!$J$10:$J$153,MATCH($D44,'TS COMFR_10'!$D$10:$D$153,0)+I$2-1)</f>
        <v>5.6410000000000002E-2</v>
      </c>
      <c r="J44">
        <f>INDEX('TS COMFR_10'!$J$10:$J$153,MATCH($D44,'TS COMFR_10'!$D$10:$D$153,0)+J$2-1)</f>
        <v>0.13208</v>
      </c>
      <c r="K44">
        <f>INDEX('TS COMFR_10'!$J$10:$J$153,MATCH($D44,'TS COMFR_10'!$D$10:$D$153,0)+K$2-1)</f>
        <v>4.3810000000000002E-2</v>
      </c>
      <c r="L44">
        <f>INDEX('TS COMFR_10'!$J$10:$J$153,MATCH($D44,'TS COMFR_10'!$D$10:$D$153,0)+L$2-1)</f>
        <v>1.0800000000000001E-2</v>
      </c>
      <c r="M44">
        <f t="shared" si="40"/>
        <v>0.55272506459948323</v>
      </c>
      <c r="N44">
        <f t="shared" si="25"/>
        <v>1.3489720930232563</v>
      </c>
      <c r="O44">
        <f t="shared" si="26"/>
        <v>0.93813488372093023</v>
      </c>
      <c r="P44">
        <f t="shared" si="27"/>
        <v>0.64308224299065408</v>
      </c>
      <c r="Q44">
        <f t="shared" si="28"/>
        <v>1.1545598130841122</v>
      </c>
      <c r="R44">
        <f t="shared" si="29"/>
        <v>1.5447540720961281</v>
      </c>
      <c r="S44">
        <f t="shared" si="30"/>
        <v>1.1955626168224298</v>
      </c>
      <c r="T44">
        <f t="shared" si="31"/>
        <v>0.44209345794392524</v>
      </c>
      <c r="U44">
        <f t="shared" si="41"/>
        <v>0.3578078055165585</v>
      </c>
      <c r="V44">
        <f t="shared" si="33"/>
        <v>0.87326009841345886</v>
      </c>
      <c r="W44">
        <f t="shared" si="34"/>
        <v>0.60730371304213093</v>
      </c>
      <c r="X44">
        <f t="shared" si="35"/>
        <v>0.4163007268322228</v>
      </c>
      <c r="Y44">
        <f t="shared" si="36"/>
        <v>0.74740687462144162</v>
      </c>
      <c r="Z44">
        <f t="shared" si="37"/>
        <v>1</v>
      </c>
      <c r="AA44">
        <f t="shared" si="38"/>
        <v>0.77395013123359579</v>
      </c>
      <c r="AB44">
        <f t="shared" si="39"/>
        <v>0.28619018776499094</v>
      </c>
      <c r="AD44">
        <f t="shared" si="5"/>
        <v>0.64735223428999722</v>
      </c>
    </row>
    <row r="45" spans="2:30">
      <c r="B45" t="s">
        <v>1337</v>
      </c>
      <c r="C45" t="s">
        <v>1338</v>
      </c>
      <c r="D45" t="str">
        <f t="shared" si="23"/>
        <v>CEO</v>
      </c>
      <c r="E45">
        <f>INDEX('TS COMFR_10'!$J$10:$J$153,MATCH($D45,'TS COMFR_10'!$D$10:$D$153,0)+E$2-1)</f>
        <v>0.14651</v>
      </c>
      <c r="F45">
        <f>INDEX('TS COMFR_10'!$J$10:$J$153,MATCH($D45,'TS COMFR_10'!$D$10:$D$153,0)+F$2-1)</f>
        <v>0.43703000000000009</v>
      </c>
      <c r="G45">
        <f>INDEX('TS COMFR_10'!$J$10:$J$153,MATCH($D45,'TS COMFR_10'!$D$10:$D$153,0)+G$2-1)</f>
        <v>0.11051999999999999</v>
      </c>
      <c r="H45">
        <f>INDEX('TS COMFR_10'!$J$10:$J$153,MATCH($D45,'TS COMFR_10'!$D$10:$D$153,0)+H$2-1)</f>
        <v>6.2839999999999993E-2</v>
      </c>
      <c r="I45">
        <f>INDEX('TS COMFR_10'!$J$10:$J$153,MATCH($D45,'TS COMFR_10'!$D$10:$D$153,0)+I$2-1)</f>
        <v>5.6410000000000002E-2</v>
      </c>
      <c r="J45">
        <f>INDEX('TS COMFR_10'!$J$10:$J$153,MATCH($D45,'TS COMFR_10'!$D$10:$D$153,0)+J$2-1)</f>
        <v>0.13208</v>
      </c>
      <c r="K45">
        <f>INDEX('TS COMFR_10'!$J$10:$J$153,MATCH($D45,'TS COMFR_10'!$D$10:$D$153,0)+K$2-1)</f>
        <v>4.3810000000000002E-2</v>
      </c>
      <c r="L45">
        <f>INDEX('TS COMFR_10'!$J$10:$J$153,MATCH($D45,'TS COMFR_10'!$D$10:$D$153,0)+L$2-1)</f>
        <v>1.0800000000000001E-2</v>
      </c>
      <c r="M45">
        <f t="shared" si="40"/>
        <v>0.55272506459948323</v>
      </c>
      <c r="N45">
        <f t="shared" si="25"/>
        <v>1.3489720930232563</v>
      </c>
      <c r="O45">
        <f t="shared" si="26"/>
        <v>0.93813488372093023</v>
      </c>
      <c r="P45">
        <f t="shared" si="27"/>
        <v>0.64308224299065408</v>
      </c>
      <c r="Q45">
        <f t="shared" si="28"/>
        <v>1.1545598130841122</v>
      </c>
      <c r="R45">
        <f t="shared" si="29"/>
        <v>1.5447540720961281</v>
      </c>
      <c r="S45">
        <f t="shared" si="30"/>
        <v>1.1955626168224298</v>
      </c>
      <c r="T45">
        <f t="shared" si="31"/>
        <v>0.44209345794392524</v>
      </c>
      <c r="U45">
        <f t="shared" si="41"/>
        <v>0.3578078055165585</v>
      </c>
      <c r="V45">
        <f t="shared" si="33"/>
        <v>0.87326009841345886</v>
      </c>
      <c r="W45">
        <f t="shared" si="34"/>
        <v>0.60730371304213093</v>
      </c>
      <c r="X45">
        <f t="shared" si="35"/>
        <v>0.4163007268322228</v>
      </c>
      <c r="Y45">
        <f t="shared" si="36"/>
        <v>0.74740687462144162</v>
      </c>
      <c r="Z45">
        <f t="shared" si="37"/>
        <v>1</v>
      </c>
      <c r="AA45">
        <f t="shared" si="38"/>
        <v>0.77395013123359579</v>
      </c>
      <c r="AB45">
        <f t="shared" si="39"/>
        <v>0.28619018776499094</v>
      </c>
      <c r="AD45">
        <f t="shared" si="5"/>
        <v>0.64735223428999722</v>
      </c>
    </row>
    <row r="46" spans="2:30">
      <c r="B46" t="s">
        <v>1339</v>
      </c>
      <c r="C46" t="s">
        <v>1340</v>
      </c>
      <c r="D46" t="str">
        <f t="shared" si="23"/>
        <v>CEO</v>
      </c>
      <c r="E46">
        <f>INDEX('TS COMFR_10'!$J$10:$J$153,MATCH($D46,'TS COMFR_10'!$D$10:$D$153,0)+E$2-1)</f>
        <v>0.14651</v>
      </c>
      <c r="F46">
        <f>INDEX('TS COMFR_10'!$J$10:$J$153,MATCH($D46,'TS COMFR_10'!$D$10:$D$153,0)+F$2-1)</f>
        <v>0.43703000000000009</v>
      </c>
      <c r="G46">
        <f>INDEX('TS COMFR_10'!$J$10:$J$153,MATCH($D46,'TS COMFR_10'!$D$10:$D$153,0)+G$2-1)</f>
        <v>0.11051999999999999</v>
      </c>
      <c r="H46">
        <f>INDEX('TS COMFR_10'!$J$10:$J$153,MATCH($D46,'TS COMFR_10'!$D$10:$D$153,0)+H$2-1)</f>
        <v>6.2839999999999993E-2</v>
      </c>
      <c r="I46">
        <f>INDEX('TS COMFR_10'!$J$10:$J$153,MATCH($D46,'TS COMFR_10'!$D$10:$D$153,0)+I$2-1)</f>
        <v>5.6410000000000002E-2</v>
      </c>
      <c r="J46">
        <f>INDEX('TS COMFR_10'!$J$10:$J$153,MATCH($D46,'TS COMFR_10'!$D$10:$D$153,0)+J$2-1)</f>
        <v>0.13208</v>
      </c>
      <c r="K46">
        <f>INDEX('TS COMFR_10'!$J$10:$J$153,MATCH($D46,'TS COMFR_10'!$D$10:$D$153,0)+K$2-1)</f>
        <v>4.3810000000000002E-2</v>
      </c>
      <c r="L46">
        <f>INDEX('TS COMFR_10'!$J$10:$J$153,MATCH($D46,'TS COMFR_10'!$D$10:$D$153,0)+L$2-1)</f>
        <v>1.0800000000000001E-2</v>
      </c>
      <c r="M46">
        <f t="shared" si="40"/>
        <v>0.55272506459948323</v>
      </c>
      <c r="N46">
        <f t="shared" si="25"/>
        <v>1.3489720930232563</v>
      </c>
      <c r="O46">
        <f t="shared" si="26"/>
        <v>0.93813488372093023</v>
      </c>
      <c r="P46">
        <f t="shared" si="27"/>
        <v>0.64308224299065408</v>
      </c>
      <c r="Q46">
        <f t="shared" si="28"/>
        <v>1.1545598130841122</v>
      </c>
      <c r="R46">
        <f t="shared" si="29"/>
        <v>1.5447540720961281</v>
      </c>
      <c r="S46">
        <f t="shared" si="30"/>
        <v>1.1955626168224298</v>
      </c>
      <c r="T46">
        <f t="shared" si="31"/>
        <v>0.44209345794392524</v>
      </c>
      <c r="U46">
        <f t="shared" si="41"/>
        <v>0.3578078055165585</v>
      </c>
      <c r="V46">
        <f t="shared" si="33"/>
        <v>0.87326009841345886</v>
      </c>
      <c r="W46">
        <f t="shared" si="34"/>
        <v>0.60730371304213093</v>
      </c>
      <c r="X46">
        <f t="shared" si="35"/>
        <v>0.4163007268322228</v>
      </c>
      <c r="Y46">
        <f t="shared" si="36"/>
        <v>0.74740687462144162</v>
      </c>
      <c r="Z46">
        <f t="shared" si="37"/>
        <v>1</v>
      </c>
      <c r="AA46">
        <f t="shared" si="38"/>
        <v>0.77395013123359579</v>
      </c>
      <c r="AB46">
        <f t="shared" si="39"/>
        <v>0.28619018776499094</v>
      </c>
      <c r="AD46">
        <f t="shared" si="5"/>
        <v>0.64735223428999722</v>
      </c>
    </row>
    <row r="47" spans="2:30">
      <c r="B47" t="s">
        <v>1403</v>
      </c>
      <c r="C47" t="s">
        <v>1362</v>
      </c>
      <c r="D47" t="str">
        <f t="shared" ref="D47:D84" si="42">LEFT(B47,3)</f>
        <v>CNC</v>
      </c>
      <c r="E47">
        <f>INDEX('TS COMFR_10'!$J$10:$J$153,MATCH($D47,'TS COMFR_10'!$D$10:$D$153,0)+E$2-1)</f>
        <v>0.20380000000000001</v>
      </c>
      <c r="F47">
        <f>INDEX('TS COMFR_10'!$J$10:$J$153,MATCH($D47,'TS COMFR_10'!$D$10:$D$153,0)+F$2-1)</f>
        <v>0.39271999999999979</v>
      </c>
      <c r="G47">
        <f>INDEX('TS COMFR_10'!$J$10:$J$153,MATCH($D47,'TS COMFR_10'!$D$10:$D$153,0)+G$2-1)</f>
        <v>0.14752999999999999</v>
      </c>
      <c r="H47">
        <f>INDEX('TS COMFR_10'!$J$10:$J$153,MATCH($D47,'TS COMFR_10'!$D$10:$D$153,0)+H$2-1)</f>
        <v>6.3039999999999999E-2</v>
      </c>
      <c r="I47">
        <f>INDEX('TS COMFR_10'!$J$10:$J$153,MATCH($D47,'TS COMFR_10'!$D$10:$D$153,0)+I$2-1)</f>
        <v>3.3020000000000001E-2</v>
      </c>
      <c r="J47">
        <f>INDEX('TS COMFR_10'!$J$10:$J$153,MATCH($D47,'TS COMFR_10'!$D$10:$D$153,0)+J$2-1)</f>
        <v>9.9519999999999997E-2</v>
      </c>
      <c r="K47">
        <f>INDEX('TS COMFR_10'!$J$10:$J$153,MATCH($D47,'TS COMFR_10'!$D$10:$D$153,0)+K$2-1)</f>
        <v>4.2099999999999999E-2</v>
      </c>
      <c r="L47">
        <f>INDEX('TS COMFR_10'!$J$10:$J$153,MATCH($D47,'TS COMFR_10'!$D$10:$D$153,0)+L$2-1)</f>
        <v>1.8270000000000002E-2</v>
      </c>
      <c r="M47">
        <f t="shared" ref="M47:M84" si="43">E47/E$1</f>
        <v>0.76885788113695097</v>
      </c>
      <c r="N47">
        <f t="shared" ref="N47:N84" si="44">F47/F$1</f>
        <v>1.2122012684989423</v>
      </c>
      <c r="O47">
        <f t="shared" ref="O47:O84" si="45">G47/G$1</f>
        <v>1.2522895348837211</v>
      </c>
      <c r="P47">
        <f t="shared" ref="P47:P84" si="46">H47/H$1</f>
        <v>0.64512897196261676</v>
      </c>
      <c r="Q47">
        <f t="shared" ref="Q47:Q84" si="47">I47/I$1</f>
        <v>0.6758299065420561</v>
      </c>
      <c r="R47">
        <f t="shared" ref="R47:R84" si="48">J47/J$1</f>
        <v>1.1639455273698263</v>
      </c>
      <c r="S47">
        <f t="shared" ref="S47:S84" si="49">K47/K$1</f>
        <v>1.1488971962616821</v>
      </c>
      <c r="T47">
        <f t="shared" ref="T47:T84" si="50">L47/L$1</f>
        <v>0.74787476635514016</v>
      </c>
      <c r="U47">
        <f t="shared" ref="U47:U84" si="51">M47/MAX($M47:$T47)</f>
        <v>0.6139617554245087</v>
      </c>
      <c r="V47">
        <f t="shared" ref="V47:V84" si="52">N47/MAX($M47:$T47)</f>
        <v>0.96798802092640568</v>
      </c>
      <c r="W47">
        <f t="shared" ref="W47:W84" si="53">O47/MAX($M47:$T47)</f>
        <v>1</v>
      </c>
      <c r="X47">
        <f t="shared" ref="X47:X84" si="54">P47/MAX($M47:$T47)</f>
        <v>0.51515959687590851</v>
      </c>
      <c r="Y47">
        <f t="shared" ref="Y47:Y84" si="55">Q47/MAX($M47:$T47)</f>
        <v>0.53967544063586614</v>
      </c>
      <c r="Z47">
        <f t="shared" ref="Z47:Z84" si="56">R47/MAX($M47:$T47)</f>
        <v>0.92945400799656297</v>
      </c>
      <c r="AA47">
        <f t="shared" ref="AA47:AA84" si="57">S47/MAX($M47:$T47)</f>
        <v>0.91743735315041242</v>
      </c>
      <c r="AB47">
        <f t="shared" ref="AB47:AB84" si="58">T47/MAX($M47:$T47)</f>
        <v>0.5972059539925666</v>
      </c>
      <c r="AD47">
        <f t="shared" si="5"/>
        <v>0.79853737665615221</v>
      </c>
    </row>
    <row r="48" spans="2:30">
      <c r="B48" t="s">
        <v>1404</v>
      </c>
      <c r="C48" t="s">
        <v>1364</v>
      </c>
      <c r="D48" t="str">
        <f t="shared" si="42"/>
        <v>CNC</v>
      </c>
      <c r="E48">
        <f>INDEX('TS COMFR_10'!$J$10:$J$153,MATCH($D48,'TS COMFR_10'!$D$10:$D$153,0)+E$2-1)</f>
        <v>0.20380000000000001</v>
      </c>
      <c r="F48">
        <f>INDEX('TS COMFR_10'!$J$10:$J$153,MATCH($D48,'TS COMFR_10'!$D$10:$D$153,0)+F$2-1)</f>
        <v>0.39271999999999979</v>
      </c>
      <c r="G48">
        <f>INDEX('TS COMFR_10'!$J$10:$J$153,MATCH($D48,'TS COMFR_10'!$D$10:$D$153,0)+G$2-1)</f>
        <v>0.14752999999999999</v>
      </c>
      <c r="H48">
        <f>INDEX('TS COMFR_10'!$J$10:$J$153,MATCH($D48,'TS COMFR_10'!$D$10:$D$153,0)+H$2-1)</f>
        <v>6.3039999999999999E-2</v>
      </c>
      <c r="I48">
        <f>INDEX('TS COMFR_10'!$J$10:$J$153,MATCH($D48,'TS COMFR_10'!$D$10:$D$153,0)+I$2-1)</f>
        <v>3.3020000000000001E-2</v>
      </c>
      <c r="J48">
        <f>INDEX('TS COMFR_10'!$J$10:$J$153,MATCH($D48,'TS COMFR_10'!$D$10:$D$153,0)+J$2-1)</f>
        <v>9.9519999999999997E-2</v>
      </c>
      <c r="K48">
        <f>INDEX('TS COMFR_10'!$J$10:$J$153,MATCH($D48,'TS COMFR_10'!$D$10:$D$153,0)+K$2-1)</f>
        <v>4.2099999999999999E-2</v>
      </c>
      <c r="L48">
        <f>INDEX('TS COMFR_10'!$J$10:$J$153,MATCH($D48,'TS COMFR_10'!$D$10:$D$153,0)+L$2-1)</f>
        <v>1.8270000000000002E-2</v>
      </c>
      <c r="M48">
        <f t="shared" si="43"/>
        <v>0.76885788113695097</v>
      </c>
      <c r="N48">
        <f t="shared" si="44"/>
        <v>1.2122012684989423</v>
      </c>
      <c r="O48">
        <f t="shared" si="45"/>
        <v>1.2522895348837211</v>
      </c>
      <c r="P48">
        <f t="shared" si="46"/>
        <v>0.64512897196261676</v>
      </c>
      <c r="Q48">
        <f t="shared" si="47"/>
        <v>0.6758299065420561</v>
      </c>
      <c r="R48">
        <f t="shared" si="48"/>
        <v>1.1639455273698263</v>
      </c>
      <c r="S48">
        <f t="shared" si="49"/>
        <v>1.1488971962616821</v>
      </c>
      <c r="T48">
        <f t="shared" si="50"/>
        <v>0.74787476635514016</v>
      </c>
      <c r="U48">
        <f t="shared" si="51"/>
        <v>0.6139617554245087</v>
      </c>
      <c r="V48">
        <f t="shared" si="52"/>
        <v>0.96798802092640568</v>
      </c>
      <c r="W48">
        <f t="shared" si="53"/>
        <v>1</v>
      </c>
      <c r="X48">
        <f t="shared" si="54"/>
        <v>0.51515959687590851</v>
      </c>
      <c r="Y48">
        <f t="shared" si="55"/>
        <v>0.53967544063586614</v>
      </c>
      <c r="Z48">
        <f t="shared" si="56"/>
        <v>0.92945400799656297</v>
      </c>
      <c r="AA48">
        <f t="shared" si="57"/>
        <v>0.91743735315041242</v>
      </c>
      <c r="AB48">
        <f t="shared" si="58"/>
        <v>0.5972059539925666</v>
      </c>
      <c r="AD48">
        <f t="shared" si="5"/>
        <v>0.79853737665615221</v>
      </c>
    </row>
    <row r="49" spans="2:30">
      <c r="B49" t="s">
        <v>1405</v>
      </c>
      <c r="C49" t="s">
        <v>1366</v>
      </c>
      <c r="D49" t="str">
        <f t="shared" si="42"/>
        <v>CNC</v>
      </c>
      <c r="E49">
        <f>INDEX('TS COMFR_10'!$J$10:$J$153,MATCH($D49,'TS COMFR_10'!$D$10:$D$153,0)+E$2-1)</f>
        <v>0.20380000000000001</v>
      </c>
      <c r="F49">
        <f>INDEX('TS COMFR_10'!$J$10:$J$153,MATCH($D49,'TS COMFR_10'!$D$10:$D$153,0)+F$2-1)</f>
        <v>0.39271999999999979</v>
      </c>
      <c r="G49">
        <f>INDEX('TS COMFR_10'!$J$10:$J$153,MATCH($D49,'TS COMFR_10'!$D$10:$D$153,0)+G$2-1)</f>
        <v>0.14752999999999999</v>
      </c>
      <c r="H49">
        <f>INDEX('TS COMFR_10'!$J$10:$J$153,MATCH($D49,'TS COMFR_10'!$D$10:$D$153,0)+H$2-1)</f>
        <v>6.3039999999999999E-2</v>
      </c>
      <c r="I49">
        <f>INDEX('TS COMFR_10'!$J$10:$J$153,MATCH($D49,'TS COMFR_10'!$D$10:$D$153,0)+I$2-1)</f>
        <v>3.3020000000000001E-2</v>
      </c>
      <c r="J49">
        <f>INDEX('TS COMFR_10'!$J$10:$J$153,MATCH($D49,'TS COMFR_10'!$D$10:$D$153,0)+J$2-1)</f>
        <v>9.9519999999999997E-2</v>
      </c>
      <c r="K49">
        <f>INDEX('TS COMFR_10'!$J$10:$J$153,MATCH($D49,'TS COMFR_10'!$D$10:$D$153,0)+K$2-1)</f>
        <v>4.2099999999999999E-2</v>
      </c>
      <c r="L49">
        <f>INDEX('TS COMFR_10'!$J$10:$J$153,MATCH($D49,'TS COMFR_10'!$D$10:$D$153,0)+L$2-1)</f>
        <v>1.8270000000000002E-2</v>
      </c>
      <c r="M49">
        <f t="shared" si="43"/>
        <v>0.76885788113695097</v>
      </c>
      <c r="N49">
        <f t="shared" si="44"/>
        <v>1.2122012684989423</v>
      </c>
      <c r="O49">
        <f t="shared" si="45"/>
        <v>1.2522895348837211</v>
      </c>
      <c r="P49">
        <f t="shared" si="46"/>
        <v>0.64512897196261676</v>
      </c>
      <c r="Q49">
        <f t="shared" si="47"/>
        <v>0.6758299065420561</v>
      </c>
      <c r="R49">
        <f t="shared" si="48"/>
        <v>1.1639455273698263</v>
      </c>
      <c r="S49">
        <f t="shared" si="49"/>
        <v>1.1488971962616821</v>
      </c>
      <c r="T49">
        <f t="shared" si="50"/>
        <v>0.74787476635514016</v>
      </c>
      <c r="U49">
        <f t="shared" si="51"/>
        <v>0.6139617554245087</v>
      </c>
      <c r="V49">
        <f t="shared" si="52"/>
        <v>0.96798802092640568</v>
      </c>
      <c r="W49">
        <f t="shared" si="53"/>
        <v>1</v>
      </c>
      <c r="X49">
        <f t="shared" si="54"/>
        <v>0.51515959687590851</v>
      </c>
      <c r="Y49">
        <f t="shared" si="55"/>
        <v>0.53967544063586614</v>
      </c>
      <c r="Z49">
        <f t="shared" si="56"/>
        <v>0.92945400799656297</v>
      </c>
      <c r="AA49">
        <f t="shared" si="57"/>
        <v>0.91743735315041242</v>
      </c>
      <c r="AB49">
        <f t="shared" si="58"/>
        <v>0.5972059539925666</v>
      </c>
      <c r="AD49">
        <f t="shared" si="5"/>
        <v>0.79853737665615221</v>
      </c>
    </row>
    <row r="50" spans="2:30">
      <c r="B50" t="s">
        <v>1406</v>
      </c>
      <c r="C50" t="s">
        <v>1368</v>
      </c>
      <c r="D50" t="str">
        <f t="shared" si="42"/>
        <v>CNC</v>
      </c>
      <c r="E50">
        <f>INDEX('TS COMFR_10'!$J$10:$J$153,MATCH($D50,'TS COMFR_10'!$D$10:$D$153,0)+E$2-1)</f>
        <v>0.20380000000000001</v>
      </c>
      <c r="F50">
        <f>INDEX('TS COMFR_10'!$J$10:$J$153,MATCH($D50,'TS COMFR_10'!$D$10:$D$153,0)+F$2-1)</f>
        <v>0.39271999999999979</v>
      </c>
      <c r="G50">
        <f>INDEX('TS COMFR_10'!$J$10:$J$153,MATCH($D50,'TS COMFR_10'!$D$10:$D$153,0)+G$2-1)</f>
        <v>0.14752999999999999</v>
      </c>
      <c r="H50">
        <f>INDEX('TS COMFR_10'!$J$10:$J$153,MATCH($D50,'TS COMFR_10'!$D$10:$D$153,0)+H$2-1)</f>
        <v>6.3039999999999999E-2</v>
      </c>
      <c r="I50">
        <f>INDEX('TS COMFR_10'!$J$10:$J$153,MATCH($D50,'TS COMFR_10'!$D$10:$D$153,0)+I$2-1)</f>
        <v>3.3020000000000001E-2</v>
      </c>
      <c r="J50">
        <f>INDEX('TS COMFR_10'!$J$10:$J$153,MATCH($D50,'TS COMFR_10'!$D$10:$D$153,0)+J$2-1)</f>
        <v>9.9519999999999997E-2</v>
      </c>
      <c r="K50">
        <f>INDEX('TS COMFR_10'!$J$10:$J$153,MATCH($D50,'TS COMFR_10'!$D$10:$D$153,0)+K$2-1)</f>
        <v>4.2099999999999999E-2</v>
      </c>
      <c r="L50">
        <f>INDEX('TS COMFR_10'!$J$10:$J$153,MATCH($D50,'TS COMFR_10'!$D$10:$D$153,0)+L$2-1)</f>
        <v>1.8270000000000002E-2</v>
      </c>
      <c r="M50">
        <f t="shared" si="43"/>
        <v>0.76885788113695097</v>
      </c>
      <c r="N50">
        <f t="shared" si="44"/>
        <v>1.2122012684989423</v>
      </c>
      <c r="O50">
        <f t="shared" si="45"/>
        <v>1.2522895348837211</v>
      </c>
      <c r="P50">
        <f t="shared" si="46"/>
        <v>0.64512897196261676</v>
      </c>
      <c r="Q50">
        <f t="shared" si="47"/>
        <v>0.6758299065420561</v>
      </c>
      <c r="R50">
        <f t="shared" si="48"/>
        <v>1.1639455273698263</v>
      </c>
      <c r="S50">
        <f t="shared" si="49"/>
        <v>1.1488971962616821</v>
      </c>
      <c r="T50">
        <f t="shared" si="50"/>
        <v>0.74787476635514016</v>
      </c>
      <c r="U50">
        <f t="shared" si="51"/>
        <v>0.6139617554245087</v>
      </c>
      <c r="V50">
        <f t="shared" si="52"/>
        <v>0.96798802092640568</v>
      </c>
      <c r="W50">
        <f t="shared" si="53"/>
        <v>1</v>
      </c>
      <c r="X50">
        <f t="shared" si="54"/>
        <v>0.51515959687590851</v>
      </c>
      <c r="Y50">
        <f t="shared" si="55"/>
        <v>0.53967544063586614</v>
      </c>
      <c r="Z50">
        <f t="shared" si="56"/>
        <v>0.92945400799656297</v>
      </c>
      <c r="AA50">
        <f t="shared" si="57"/>
        <v>0.91743735315041242</v>
      </c>
      <c r="AB50">
        <f t="shared" si="58"/>
        <v>0.5972059539925666</v>
      </c>
      <c r="AD50">
        <f t="shared" si="5"/>
        <v>0.79853737665615221</v>
      </c>
    </row>
    <row r="51" spans="2:30">
      <c r="B51" t="s">
        <v>1407</v>
      </c>
      <c r="C51" t="s">
        <v>1370</v>
      </c>
      <c r="D51" t="str">
        <f t="shared" si="42"/>
        <v>CNC</v>
      </c>
      <c r="E51">
        <f>INDEX('TS COMFR_10'!$J$10:$J$153,MATCH($D51,'TS COMFR_10'!$D$10:$D$153,0)+E$2-1)</f>
        <v>0.20380000000000001</v>
      </c>
      <c r="F51">
        <f>INDEX('TS COMFR_10'!$J$10:$J$153,MATCH($D51,'TS COMFR_10'!$D$10:$D$153,0)+F$2-1)</f>
        <v>0.39271999999999979</v>
      </c>
      <c r="G51">
        <f>INDEX('TS COMFR_10'!$J$10:$J$153,MATCH($D51,'TS COMFR_10'!$D$10:$D$153,0)+G$2-1)</f>
        <v>0.14752999999999999</v>
      </c>
      <c r="H51">
        <f>INDEX('TS COMFR_10'!$J$10:$J$153,MATCH($D51,'TS COMFR_10'!$D$10:$D$153,0)+H$2-1)</f>
        <v>6.3039999999999999E-2</v>
      </c>
      <c r="I51">
        <f>INDEX('TS COMFR_10'!$J$10:$J$153,MATCH($D51,'TS COMFR_10'!$D$10:$D$153,0)+I$2-1)</f>
        <v>3.3020000000000001E-2</v>
      </c>
      <c r="J51">
        <f>INDEX('TS COMFR_10'!$J$10:$J$153,MATCH($D51,'TS COMFR_10'!$D$10:$D$153,0)+J$2-1)</f>
        <v>9.9519999999999997E-2</v>
      </c>
      <c r="K51">
        <f>INDEX('TS COMFR_10'!$J$10:$J$153,MATCH($D51,'TS COMFR_10'!$D$10:$D$153,0)+K$2-1)</f>
        <v>4.2099999999999999E-2</v>
      </c>
      <c r="L51">
        <f>INDEX('TS COMFR_10'!$J$10:$J$153,MATCH($D51,'TS COMFR_10'!$D$10:$D$153,0)+L$2-1)</f>
        <v>1.8270000000000002E-2</v>
      </c>
      <c r="M51">
        <f t="shared" si="43"/>
        <v>0.76885788113695097</v>
      </c>
      <c r="N51">
        <f t="shared" si="44"/>
        <v>1.2122012684989423</v>
      </c>
      <c r="O51">
        <f t="shared" si="45"/>
        <v>1.2522895348837211</v>
      </c>
      <c r="P51">
        <f t="shared" si="46"/>
        <v>0.64512897196261676</v>
      </c>
      <c r="Q51">
        <f t="shared" si="47"/>
        <v>0.6758299065420561</v>
      </c>
      <c r="R51">
        <f t="shared" si="48"/>
        <v>1.1639455273698263</v>
      </c>
      <c r="S51">
        <f t="shared" si="49"/>
        <v>1.1488971962616821</v>
      </c>
      <c r="T51">
        <f t="shared" si="50"/>
        <v>0.74787476635514016</v>
      </c>
      <c r="U51">
        <f t="shared" si="51"/>
        <v>0.6139617554245087</v>
      </c>
      <c r="V51">
        <f t="shared" si="52"/>
        <v>0.96798802092640568</v>
      </c>
      <c r="W51">
        <f t="shared" si="53"/>
        <v>1</v>
      </c>
      <c r="X51">
        <f t="shared" si="54"/>
        <v>0.51515959687590851</v>
      </c>
      <c r="Y51">
        <f t="shared" si="55"/>
        <v>0.53967544063586614</v>
      </c>
      <c r="Z51">
        <f t="shared" si="56"/>
        <v>0.92945400799656297</v>
      </c>
      <c r="AA51">
        <f t="shared" si="57"/>
        <v>0.91743735315041242</v>
      </c>
      <c r="AB51">
        <f t="shared" si="58"/>
        <v>0.5972059539925666</v>
      </c>
      <c r="AD51">
        <f t="shared" si="5"/>
        <v>0.79853737665615221</v>
      </c>
    </row>
    <row r="52" spans="2:30">
      <c r="B52" t="s">
        <v>1408</v>
      </c>
      <c r="C52" t="s">
        <v>1372</v>
      </c>
      <c r="D52" t="str">
        <f t="shared" si="42"/>
        <v>CNC</v>
      </c>
      <c r="E52">
        <f>INDEX('TS COMFR_10'!$J$10:$J$153,MATCH($D52,'TS COMFR_10'!$D$10:$D$153,0)+E$2-1)</f>
        <v>0.20380000000000001</v>
      </c>
      <c r="F52">
        <f>INDEX('TS COMFR_10'!$J$10:$J$153,MATCH($D52,'TS COMFR_10'!$D$10:$D$153,0)+F$2-1)</f>
        <v>0.39271999999999979</v>
      </c>
      <c r="G52">
        <f>INDEX('TS COMFR_10'!$J$10:$J$153,MATCH($D52,'TS COMFR_10'!$D$10:$D$153,0)+G$2-1)</f>
        <v>0.14752999999999999</v>
      </c>
      <c r="H52">
        <f>INDEX('TS COMFR_10'!$J$10:$J$153,MATCH($D52,'TS COMFR_10'!$D$10:$D$153,0)+H$2-1)</f>
        <v>6.3039999999999999E-2</v>
      </c>
      <c r="I52">
        <f>INDEX('TS COMFR_10'!$J$10:$J$153,MATCH($D52,'TS COMFR_10'!$D$10:$D$153,0)+I$2-1)</f>
        <v>3.3020000000000001E-2</v>
      </c>
      <c r="J52">
        <f>INDEX('TS COMFR_10'!$J$10:$J$153,MATCH($D52,'TS COMFR_10'!$D$10:$D$153,0)+J$2-1)</f>
        <v>9.9519999999999997E-2</v>
      </c>
      <c r="K52">
        <f>INDEX('TS COMFR_10'!$J$10:$J$153,MATCH($D52,'TS COMFR_10'!$D$10:$D$153,0)+K$2-1)</f>
        <v>4.2099999999999999E-2</v>
      </c>
      <c r="L52">
        <f>INDEX('TS COMFR_10'!$J$10:$J$153,MATCH($D52,'TS COMFR_10'!$D$10:$D$153,0)+L$2-1)</f>
        <v>1.8270000000000002E-2</v>
      </c>
      <c r="M52">
        <f t="shared" si="43"/>
        <v>0.76885788113695097</v>
      </c>
      <c r="N52">
        <f t="shared" si="44"/>
        <v>1.2122012684989423</v>
      </c>
      <c r="O52">
        <f t="shared" si="45"/>
        <v>1.2522895348837211</v>
      </c>
      <c r="P52">
        <f t="shared" si="46"/>
        <v>0.64512897196261676</v>
      </c>
      <c r="Q52">
        <f t="shared" si="47"/>
        <v>0.6758299065420561</v>
      </c>
      <c r="R52">
        <f t="shared" si="48"/>
        <v>1.1639455273698263</v>
      </c>
      <c r="S52">
        <f t="shared" si="49"/>
        <v>1.1488971962616821</v>
      </c>
      <c r="T52">
        <f t="shared" si="50"/>
        <v>0.74787476635514016</v>
      </c>
      <c r="U52">
        <f t="shared" si="51"/>
        <v>0.6139617554245087</v>
      </c>
      <c r="V52">
        <f t="shared" si="52"/>
        <v>0.96798802092640568</v>
      </c>
      <c r="W52">
        <f t="shared" si="53"/>
        <v>1</v>
      </c>
      <c r="X52">
        <f t="shared" si="54"/>
        <v>0.51515959687590851</v>
      </c>
      <c r="Y52">
        <f t="shared" si="55"/>
        <v>0.53967544063586614</v>
      </c>
      <c r="Z52">
        <f t="shared" si="56"/>
        <v>0.92945400799656297</v>
      </c>
      <c r="AA52">
        <f t="shared" si="57"/>
        <v>0.91743735315041242</v>
      </c>
      <c r="AB52">
        <f t="shared" si="58"/>
        <v>0.5972059539925666</v>
      </c>
      <c r="AD52">
        <f t="shared" si="5"/>
        <v>0.79853737665615221</v>
      </c>
    </row>
    <row r="53" spans="2:30">
      <c r="B53" t="s">
        <v>1343</v>
      </c>
      <c r="C53" t="s">
        <v>1298</v>
      </c>
      <c r="D53" t="str">
        <f t="shared" si="42"/>
        <v>CNH</v>
      </c>
      <c r="E53">
        <f>INDEX('TS COMFR_10'!$J$10:$J$153,MATCH($D53,'TS COMFR_10'!$D$10:$D$153,0)+E$2-1)</f>
        <v>0.14902000000000001</v>
      </c>
      <c r="F53">
        <f>INDEX('TS COMFR_10'!$J$10:$J$153,MATCH($D53,'TS COMFR_10'!$D$10:$D$153,0)+F$2-1)</f>
        <v>0.28716000000000014</v>
      </c>
      <c r="G53">
        <f>INDEX('TS COMFR_10'!$J$10:$J$153,MATCH($D53,'TS COMFR_10'!$D$10:$D$153,0)+G$2-1)</f>
        <v>0.10788</v>
      </c>
      <c r="H53">
        <f>INDEX('TS COMFR_10'!$J$10:$J$153,MATCH($D53,'TS COMFR_10'!$D$10:$D$153,0)+H$2-1)</f>
        <v>0.1123</v>
      </c>
      <c r="I53">
        <f>INDEX('TS COMFR_10'!$J$10:$J$153,MATCH($D53,'TS COMFR_10'!$D$10:$D$153,0)+I$2-1)</f>
        <v>5.8810000000000001E-2</v>
      </c>
      <c r="J53">
        <f>INDEX('TS COMFR_10'!$J$10:$J$153,MATCH($D53,'TS COMFR_10'!$D$10:$D$153,0)+J$2-1)</f>
        <v>0.17727999999999999</v>
      </c>
      <c r="K53">
        <f>INDEX('TS COMFR_10'!$J$10:$J$153,MATCH($D53,'TS COMFR_10'!$D$10:$D$153,0)+K$2-1)</f>
        <v>7.4999999999999997E-2</v>
      </c>
      <c r="L53">
        <f>INDEX('TS COMFR_10'!$J$10:$J$153,MATCH($D53,'TS COMFR_10'!$D$10:$D$153,0)+L$2-1)</f>
        <v>3.2550000000000003E-2</v>
      </c>
      <c r="M53">
        <f t="shared" si="43"/>
        <v>0.56219431524547814</v>
      </c>
      <c r="N53">
        <f t="shared" si="44"/>
        <v>0.88637124735729433</v>
      </c>
      <c r="O53">
        <f t="shared" si="45"/>
        <v>0.91572558139534899</v>
      </c>
      <c r="P53">
        <f t="shared" si="46"/>
        <v>1.1492383177570094</v>
      </c>
      <c r="Q53">
        <f t="shared" si="47"/>
        <v>1.203681308411215</v>
      </c>
      <c r="R53">
        <f t="shared" si="48"/>
        <v>2.0733949265687581</v>
      </c>
      <c r="S53">
        <f t="shared" si="49"/>
        <v>2.0467289719626165</v>
      </c>
      <c r="T53">
        <f t="shared" si="50"/>
        <v>1.3324205607476636</v>
      </c>
      <c r="U53">
        <f t="shared" si="51"/>
        <v>0.27114675937586491</v>
      </c>
      <c r="V53">
        <f t="shared" si="52"/>
        <v>0.42749754810297613</v>
      </c>
      <c r="W53">
        <f t="shared" si="53"/>
        <v>0.44165516644278408</v>
      </c>
      <c r="X53">
        <f t="shared" si="54"/>
        <v>0.55427854241877261</v>
      </c>
      <c r="Y53">
        <f t="shared" si="55"/>
        <v>0.58053643953068601</v>
      </c>
      <c r="Z53">
        <f t="shared" si="56"/>
        <v>1</v>
      </c>
      <c r="AA53">
        <f t="shared" si="57"/>
        <v>0.98713898916967502</v>
      </c>
      <c r="AB53">
        <f t="shared" si="58"/>
        <v>0.64262748194945851</v>
      </c>
      <c r="AD53">
        <f t="shared" si="5"/>
        <v>0.48230078466280946</v>
      </c>
    </row>
    <row r="54" spans="2:30">
      <c r="B54" t="s">
        <v>1344</v>
      </c>
      <c r="C54" t="s">
        <v>1300</v>
      </c>
      <c r="D54" t="str">
        <f t="shared" si="42"/>
        <v>CNH</v>
      </c>
      <c r="E54">
        <f>INDEX('TS COMFR_10'!$J$10:$J$153,MATCH($D54,'TS COMFR_10'!$D$10:$D$153,0)+E$2-1)</f>
        <v>0.14902000000000001</v>
      </c>
      <c r="F54">
        <f>INDEX('TS COMFR_10'!$J$10:$J$153,MATCH($D54,'TS COMFR_10'!$D$10:$D$153,0)+F$2-1)</f>
        <v>0.28716000000000014</v>
      </c>
      <c r="G54">
        <f>INDEX('TS COMFR_10'!$J$10:$J$153,MATCH($D54,'TS COMFR_10'!$D$10:$D$153,0)+G$2-1)</f>
        <v>0.10788</v>
      </c>
      <c r="H54">
        <f>INDEX('TS COMFR_10'!$J$10:$J$153,MATCH($D54,'TS COMFR_10'!$D$10:$D$153,0)+H$2-1)</f>
        <v>0.1123</v>
      </c>
      <c r="I54">
        <f>INDEX('TS COMFR_10'!$J$10:$J$153,MATCH($D54,'TS COMFR_10'!$D$10:$D$153,0)+I$2-1)</f>
        <v>5.8810000000000001E-2</v>
      </c>
      <c r="J54">
        <f>INDEX('TS COMFR_10'!$J$10:$J$153,MATCH($D54,'TS COMFR_10'!$D$10:$D$153,0)+J$2-1)</f>
        <v>0.17727999999999999</v>
      </c>
      <c r="K54">
        <f>INDEX('TS COMFR_10'!$J$10:$J$153,MATCH($D54,'TS COMFR_10'!$D$10:$D$153,0)+K$2-1)</f>
        <v>7.4999999999999997E-2</v>
      </c>
      <c r="L54">
        <f>INDEX('TS COMFR_10'!$J$10:$J$153,MATCH($D54,'TS COMFR_10'!$D$10:$D$153,0)+L$2-1)</f>
        <v>3.2550000000000003E-2</v>
      </c>
      <c r="M54">
        <f t="shared" si="43"/>
        <v>0.56219431524547814</v>
      </c>
      <c r="N54">
        <f t="shared" si="44"/>
        <v>0.88637124735729433</v>
      </c>
      <c r="O54">
        <f t="shared" si="45"/>
        <v>0.91572558139534899</v>
      </c>
      <c r="P54">
        <f t="shared" si="46"/>
        <v>1.1492383177570094</v>
      </c>
      <c r="Q54">
        <f t="shared" si="47"/>
        <v>1.203681308411215</v>
      </c>
      <c r="R54">
        <f t="shared" si="48"/>
        <v>2.0733949265687581</v>
      </c>
      <c r="S54">
        <f t="shared" si="49"/>
        <v>2.0467289719626165</v>
      </c>
      <c r="T54">
        <f t="shared" si="50"/>
        <v>1.3324205607476636</v>
      </c>
      <c r="U54">
        <f t="shared" si="51"/>
        <v>0.27114675937586491</v>
      </c>
      <c r="V54">
        <f t="shared" si="52"/>
        <v>0.42749754810297613</v>
      </c>
      <c r="W54">
        <f t="shared" si="53"/>
        <v>0.44165516644278408</v>
      </c>
      <c r="X54">
        <f t="shared" si="54"/>
        <v>0.55427854241877261</v>
      </c>
      <c r="Y54">
        <f t="shared" si="55"/>
        <v>0.58053643953068601</v>
      </c>
      <c r="Z54">
        <f t="shared" si="56"/>
        <v>1</v>
      </c>
      <c r="AA54">
        <f t="shared" si="57"/>
        <v>0.98713898916967502</v>
      </c>
      <c r="AB54">
        <f t="shared" si="58"/>
        <v>0.64262748194945851</v>
      </c>
      <c r="AD54">
        <f t="shared" si="5"/>
        <v>0.48230078466280946</v>
      </c>
    </row>
    <row r="55" spans="2:30">
      <c r="B55" t="s">
        <v>1345</v>
      </c>
      <c r="C55" t="s">
        <v>1302</v>
      </c>
      <c r="D55" t="str">
        <f t="shared" si="42"/>
        <v>CNH</v>
      </c>
      <c r="E55">
        <f>INDEX('TS COMFR_10'!$J$10:$J$153,MATCH($D55,'TS COMFR_10'!$D$10:$D$153,0)+E$2-1)</f>
        <v>0.14902000000000001</v>
      </c>
      <c r="F55">
        <f>INDEX('TS COMFR_10'!$J$10:$J$153,MATCH($D55,'TS COMFR_10'!$D$10:$D$153,0)+F$2-1)</f>
        <v>0.28716000000000014</v>
      </c>
      <c r="G55">
        <f>INDEX('TS COMFR_10'!$J$10:$J$153,MATCH($D55,'TS COMFR_10'!$D$10:$D$153,0)+G$2-1)</f>
        <v>0.10788</v>
      </c>
      <c r="H55">
        <f>INDEX('TS COMFR_10'!$J$10:$J$153,MATCH($D55,'TS COMFR_10'!$D$10:$D$153,0)+H$2-1)</f>
        <v>0.1123</v>
      </c>
      <c r="I55">
        <f>INDEX('TS COMFR_10'!$J$10:$J$153,MATCH($D55,'TS COMFR_10'!$D$10:$D$153,0)+I$2-1)</f>
        <v>5.8810000000000001E-2</v>
      </c>
      <c r="J55">
        <f>INDEX('TS COMFR_10'!$J$10:$J$153,MATCH($D55,'TS COMFR_10'!$D$10:$D$153,0)+J$2-1)</f>
        <v>0.17727999999999999</v>
      </c>
      <c r="K55">
        <f>INDEX('TS COMFR_10'!$J$10:$J$153,MATCH($D55,'TS COMFR_10'!$D$10:$D$153,0)+K$2-1)</f>
        <v>7.4999999999999997E-2</v>
      </c>
      <c r="L55">
        <f>INDEX('TS COMFR_10'!$J$10:$J$153,MATCH($D55,'TS COMFR_10'!$D$10:$D$153,0)+L$2-1)</f>
        <v>3.2550000000000003E-2</v>
      </c>
      <c r="M55">
        <f t="shared" si="43"/>
        <v>0.56219431524547814</v>
      </c>
      <c r="N55">
        <f t="shared" si="44"/>
        <v>0.88637124735729433</v>
      </c>
      <c r="O55">
        <f t="shared" si="45"/>
        <v>0.91572558139534899</v>
      </c>
      <c r="P55">
        <f t="shared" si="46"/>
        <v>1.1492383177570094</v>
      </c>
      <c r="Q55">
        <f t="shared" si="47"/>
        <v>1.203681308411215</v>
      </c>
      <c r="R55">
        <f t="shared" si="48"/>
        <v>2.0733949265687581</v>
      </c>
      <c r="S55">
        <f t="shared" si="49"/>
        <v>2.0467289719626165</v>
      </c>
      <c r="T55">
        <f t="shared" si="50"/>
        <v>1.3324205607476636</v>
      </c>
      <c r="U55">
        <f t="shared" si="51"/>
        <v>0.27114675937586491</v>
      </c>
      <c r="V55">
        <f t="shared" si="52"/>
        <v>0.42749754810297613</v>
      </c>
      <c r="W55">
        <f t="shared" si="53"/>
        <v>0.44165516644278408</v>
      </c>
      <c r="X55">
        <f t="shared" si="54"/>
        <v>0.55427854241877261</v>
      </c>
      <c r="Y55">
        <f t="shared" si="55"/>
        <v>0.58053643953068601</v>
      </c>
      <c r="Z55">
        <f t="shared" si="56"/>
        <v>1</v>
      </c>
      <c r="AA55">
        <f t="shared" si="57"/>
        <v>0.98713898916967502</v>
      </c>
      <c r="AB55">
        <f t="shared" si="58"/>
        <v>0.64262748194945851</v>
      </c>
      <c r="AD55">
        <f t="shared" si="5"/>
        <v>0.48230078466280946</v>
      </c>
    </row>
    <row r="56" spans="2:30">
      <c r="B56" t="s">
        <v>1346</v>
      </c>
      <c r="C56" t="s">
        <v>1304</v>
      </c>
      <c r="D56" t="str">
        <f t="shared" si="42"/>
        <v>CNH</v>
      </c>
      <c r="E56">
        <f>INDEX('TS COMFR_10'!$J$10:$J$153,MATCH($D56,'TS COMFR_10'!$D$10:$D$153,0)+E$2-1)</f>
        <v>0.14902000000000001</v>
      </c>
      <c r="F56">
        <f>INDEX('TS COMFR_10'!$J$10:$J$153,MATCH($D56,'TS COMFR_10'!$D$10:$D$153,0)+F$2-1)</f>
        <v>0.28716000000000014</v>
      </c>
      <c r="G56">
        <f>INDEX('TS COMFR_10'!$J$10:$J$153,MATCH($D56,'TS COMFR_10'!$D$10:$D$153,0)+G$2-1)</f>
        <v>0.10788</v>
      </c>
      <c r="H56">
        <f>INDEX('TS COMFR_10'!$J$10:$J$153,MATCH($D56,'TS COMFR_10'!$D$10:$D$153,0)+H$2-1)</f>
        <v>0.1123</v>
      </c>
      <c r="I56">
        <f>INDEX('TS COMFR_10'!$J$10:$J$153,MATCH($D56,'TS COMFR_10'!$D$10:$D$153,0)+I$2-1)</f>
        <v>5.8810000000000001E-2</v>
      </c>
      <c r="J56">
        <f>INDEX('TS COMFR_10'!$J$10:$J$153,MATCH($D56,'TS COMFR_10'!$D$10:$D$153,0)+J$2-1)</f>
        <v>0.17727999999999999</v>
      </c>
      <c r="K56">
        <f>INDEX('TS COMFR_10'!$J$10:$J$153,MATCH($D56,'TS COMFR_10'!$D$10:$D$153,0)+K$2-1)</f>
        <v>7.4999999999999997E-2</v>
      </c>
      <c r="L56">
        <f>INDEX('TS COMFR_10'!$J$10:$J$153,MATCH($D56,'TS COMFR_10'!$D$10:$D$153,0)+L$2-1)</f>
        <v>3.2550000000000003E-2</v>
      </c>
      <c r="M56">
        <f t="shared" si="43"/>
        <v>0.56219431524547814</v>
      </c>
      <c r="N56">
        <f t="shared" si="44"/>
        <v>0.88637124735729433</v>
      </c>
      <c r="O56">
        <f t="shared" si="45"/>
        <v>0.91572558139534899</v>
      </c>
      <c r="P56">
        <f t="shared" si="46"/>
        <v>1.1492383177570094</v>
      </c>
      <c r="Q56">
        <f t="shared" si="47"/>
        <v>1.203681308411215</v>
      </c>
      <c r="R56">
        <f t="shared" si="48"/>
        <v>2.0733949265687581</v>
      </c>
      <c r="S56">
        <f t="shared" si="49"/>
        <v>2.0467289719626165</v>
      </c>
      <c r="T56">
        <f t="shared" si="50"/>
        <v>1.3324205607476636</v>
      </c>
      <c r="U56">
        <f t="shared" si="51"/>
        <v>0.27114675937586491</v>
      </c>
      <c r="V56">
        <f t="shared" si="52"/>
        <v>0.42749754810297613</v>
      </c>
      <c r="W56">
        <f t="shared" si="53"/>
        <v>0.44165516644278408</v>
      </c>
      <c r="X56">
        <f t="shared" si="54"/>
        <v>0.55427854241877261</v>
      </c>
      <c r="Y56">
        <f t="shared" si="55"/>
        <v>0.58053643953068601</v>
      </c>
      <c r="Z56">
        <f t="shared" si="56"/>
        <v>1</v>
      </c>
      <c r="AA56">
        <f t="shared" si="57"/>
        <v>0.98713898916967502</v>
      </c>
      <c r="AB56">
        <f t="shared" si="58"/>
        <v>0.64262748194945851</v>
      </c>
      <c r="AD56">
        <f t="shared" si="5"/>
        <v>0.48230078466280946</v>
      </c>
    </row>
    <row r="57" spans="2:30">
      <c r="B57" t="s">
        <v>1347</v>
      </c>
      <c r="C57" t="s">
        <v>1306</v>
      </c>
      <c r="D57" t="str">
        <f t="shared" si="42"/>
        <v>CNH</v>
      </c>
      <c r="E57">
        <f>INDEX('TS COMFR_10'!$J$10:$J$153,MATCH($D57,'TS COMFR_10'!$D$10:$D$153,0)+E$2-1)</f>
        <v>0.14902000000000001</v>
      </c>
      <c r="F57">
        <f>INDEX('TS COMFR_10'!$J$10:$J$153,MATCH($D57,'TS COMFR_10'!$D$10:$D$153,0)+F$2-1)</f>
        <v>0.28716000000000014</v>
      </c>
      <c r="G57">
        <f>INDEX('TS COMFR_10'!$J$10:$J$153,MATCH($D57,'TS COMFR_10'!$D$10:$D$153,0)+G$2-1)</f>
        <v>0.10788</v>
      </c>
      <c r="H57">
        <f>INDEX('TS COMFR_10'!$J$10:$J$153,MATCH($D57,'TS COMFR_10'!$D$10:$D$153,0)+H$2-1)</f>
        <v>0.1123</v>
      </c>
      <c r="I57">
        <f>INDEX('TS COMFR_10'!$J$10:$J$153,MATCH($D57,'TS COMFR_10'!$D$10:$D$153,0)+I$2-1)</f>
        <v>5.8810000000000001E-2</v>
      </c>
      <c r="J57">
        <f>INDEX('TS COMFR_10'!$J$10:$J$153,MATCH($D57,'TS COMFR_10'!$D$10:$D$153,0)+J$2-1)</f>
        <v>0.17727999999999999</v>
      </c>
      <c r="K57">
        <f>INDEX('TS COMFR_10'!$J$10:$J$153,MATCH($D57,'TS COMFR_10'!$D$10:$D$153,0)+K$2-1)</f>
        <v>7.4999999999999997E-2</v>
      </c>
      <c r="L57">
        <f>INDEX('TS COMFR_10'!$J$10:$J$153,MATCH($D57,'TS COMFR_10'!$D$10:$D$153,0)+L$2-1)</f>
        <v>3.2550000000000003E-2</v>
      </c>
      <c r="M57">
        <f t="shared" si="43"/>
        <v>0.56219431524547814</v>
      </c>
      <c r="N57">
        <f t="shared" si="44"/>
        <v>0.88637124735729433</v>
      </c>
      <c r="O57">
        <f t="shared" si="45"/>
        <v>0.91572558139534899</v>
      </c>
      <c r="P57">
        <f t="shared" si="46"/>
        <v>1.1492383177570094</v>
      </c>
      <c r="Q57">
        <f t="shared" si="47"/>
        <v>1.203681308411215</v>
      </c>
      <c r="R57">
        <f t="shared" si="48"/>
        <v>2.0733949265687581</v>
      </c>
      <c r="S57">
        <f t="shared" si="49"/>
        <v>2.0467289719626165</v>
      </c>
      <c r="T57">
        <f t="shared" si="50"/>
        <v>1.3324205607476636</v>
      </c>
      <c r="U57">
        <f t="shared" si="51"/>
        <v>0.27114675937586491</v>
      </c>
      <c r="V57">
        <f t="shared" si="52"/>
        <v>0.42749754810297613</v>
      </c>
      <c r="W57">
        <f t="shared" si="53"/>
        <v>0.44165516644278408</v>
      </c>
      <c r="X57">
        <f t="shared" si="54"/>
        <v>0.55427854241877261</v>
      </c>
      <c r="Y57">
        <f t="shared" si="55"/>
        <v>0.58053643953068601</v>
      </c>
      <c r="Z57">
        <f t="shared" si="56"/>
        <v>1</v>
      </c>
      <c r="AA57">
        <f t="shared" si="57"/>
        <v>0.98713898916967502</v>
      </c>
      <c r="AB57">
        <f t="shared" si="58"/>
        <v>0.64262748194945851</v>
      </c>
      <c r="AD57">
        <f t="shared" si="5"/>
        <v>0.48230078466280946</v>
      </c>
    </row>
    <row r="58" spans="2:30">
      <c r="B58" t="s">
        <v>1348</v>
      </c>
      <c r="C58" t="s">
        <v>1308</v>
      </c>
      <c r="D58" t="str">
        <f t="shared" si="42"/>
        <v>CNK</v>
      </c>
      <c r="E58">
        <f>INDEX('TS COMFR_10'!$J$10:$J$153,MATCH($D58,'TS COMFR_10'!$D$10:$D$153,0)+E$2-1)</f>
        <v>0.17326</v>
      </c>
      <c r="F58">
        <f>INDEX('TS COMFR_10'!$J$10:$J$153,MATCH($D58,'TS COMFR_10'!$D$10:$D$153,0)+F$2-1)</f>
        <v>0.39327000000000001</v>
      </c>
      <c r="G58">
        <f>INDEX('TS COMFR_10'!$J$10:$J$153,MATCH($D58,'TS COMFR_10'!$D$10:$D$153,0)+G$2-1)</f>
        <v>0.12751999999999999</v>
      </c>
      <c r="H58">
        <f>INDEX('TS COMFR_10'!$J$10:$J$153,MATCH($D58,'TS COMFR_10'!$D$10:$D$153,0)+H$2-1)</f>
        <v>7.0050000000000001E-2</v>
      </c>
      <c r="I58">
        <f>INDEX('TS COMFR_10'!$J$10:$J$153,MATCH($D58,'TS COMFR_10'!$D$10:$D$153,0)+I$2-1)</f>
        <v>4.6249999999999999E-2</v>
      </c>
      <c r="J58">
        <f>INDEX('TS COMFR_10'!$J$10:$J$153,MATCH($D58,'TS COMFR_10'!$D$10:$D$153,0)+J$2-1)</f>
        <v>0.12447999999999999</v>
      </c>
      <c r="K58">
        <f>INDEX('TS COMFR_10'!$J$10:$J$153,MATCH($D58,'TS COMFR_10'!$D$10:$D$153,0)+K$2-1)</f>
        <v>4.7879999999999999E-2</v>
      </c>
      <c r="L58">
        <f>INDEX('TS COMFR_10'!$J$10:$J$153,MATCH($D58,'TS COMFR_10'!$D$10:$D$153,0)+L$2-1)</f>
        <v>1.729E-2</v>
      </c>
      <c r="M58">
        <f t="shared" si="43"/>
        <v>0.65364237726098195</v>
      </c>
      <c r="N58">
        <f t="shared" si="44"/>
        <v>1.2138989429175477</v>
      </c>
      <c r="O58">
        <f t="shared" si="45"/>
        <v>1.0824372093023256</v>
      </c>
      <c r="P58">
        <f t="shared" si="46"/>
        <v>0.71686682242990651</v>
      </c>
      <c r="Q58">
        <f t="shared" si="47"/>
        <v>0.94661214953271022</v>
      </c>
      <c r="R58">
        <f t="shared" si="48"/>
        <v>1.4558675567423229</v>
      </c>
      <c r="S58">
        <f t="shared" si="49"/>
        <v>1.3066317757009345</v>
      </c>
      <c r="T58">
        <f t="shared" si="50"/>
        <v>0.70775887850467289</v>
      </c>
      <c r="U58">
        <f t="shared" si="51"/>
        <v>0.44897104426420809</v>
      </c>
      <c r="V58">
        <f t="shared" si="52"/>
        <v>0.83379764683663338</v>
      </c>
      <c r="W58">
        <f t="shared" si="53"/>
        <v>0.74349978079352752</v>
      </c>
      <c r="X58">
        <f t="shared" si="54"/>
        <v>0.49239837724935737</v>
      </c>
      <c r="Y58">
        <f t="shared" si="55"/>
        <v>0.65020485218509005</v>
      </c>
      <c r="Z58">
        <f t="shared" si="56"/>
        <v>1</v>
      </c>
      <c r="AA58">
        <f t="shared" si="57"/>
        <v>0.89749357326478152</v>
      </c>
      <c r="AB58">
        <f t="shared" si="58"/>
        <v>0.48614235218509005</v>
      </c>
      <c r="AD58">
        <f t="shared" si="5"/>
        <v>0.68687566761747132</v>
      </c>
    </row>
    <row r="59" spans="2:30">
      <c r="B59" t="s">
        <v>1349</v>
      </c>
      <c r="C59" t="s">
        <v>1310</v>
      </c>
      <c r="D59" t="str">
        <f t="shared" si="42"/>
        <v>CNK</v>
      </c>
      <c r="E59">
        <f>INDEX('TS COMFR_10'!$J$10:$J$153,MATCH($D59,'TS COMFR_10'!$D$10:$D$153,0)+E$2-1)</f>
        <v>0.17326</v>
      </c>
      <c r="F59">
        <f>INDEX('TS COMFR_10'!$J$10:$J$153,MATCH($D59,'TS COMFR_10'!$D$10:$D$153,0)+F$2-1)</f>
        <v>0.39327000000000001</v>
      </c>
      <c r="G59">
        <f>INDEX('TS COMFR_10'!$J$10:$J$153,MATCH($D59,'TS COMFR_10'!$D$10:$D$153,0)+G$2-1)</f>
        <v>0.12751999999999999</v>
      </c>
      <c r="H59">
        <f>INDEX('TS COMFR_10'!$J$10:$J$153,MATCH($D59,'TS COMFR_10'!$D$10:$D$153,0)+H$2-1)</f>
        <v>7.0050000000000001E-2</v>
      </c>
      <c r="I59">
        <f>INDEX('TS COMFR_10'!$J$10:$J$153,MATCH($D59,'TS COMFR_10'!$D$10:$D$153,0)+I$2-1)</f>
        <v>4.6249999999999999E-2</v>
      </c>
      <c r="J59">
        <f>INDEX('TS COMFR_10'!$J$10:$J$153,MATCH($D59,'TS COMFR_10'!$D$10:$D$153,0)+J$2-1)</f>
        <v>0.12447999999999999</v>
      </c>
      <c r="K59">
        <f>INDEX('TS COMFR_10'!$J$10:$J$153,MATCH($D59,'TS COMFR_10'!$D$10:$D$153,0)+K$2-1)</f>
        <v>4.7879999999999999E-2</v>
      </c>
      <c r="L59">
        <f>INDEX('TS COMFR_10'!$J$10:$J$153,MATCH($D59,'TS COMFR_10'!$D$10:$D$153,0)+L$2-1)</f>
        <v>1.729E-2</v>
      </c>
      <c r="M59">
        <f t="shared" si="43"/>
        <v>0.65364237726098195</v>
      </c>
      <c r="N59">
        <f t="shared" si="44"/>
        <v>1.2138989429175477</v>
      </c>
      <c r="O59">
        <f t="shared" si="45"/>
        <v>1.0824372093023256</v>
      </c>
      <c r="P59">
        <f t="shared" si="46"/>
        <v>0.71686682242990651</v>
      </c>
      <c r="Q59">
        <f t="shared" si="47"/>
        <v>0.94661214953271022</v>
      </c>
      <c r="R59">
        <f t="shared" si="48"/>
        <v>1.4558675567423229</v>
      </c>
      <c r="S59">
        <f t="shared" si="49"/>
        <v>1.3066317757009345</v>
      </c>
      <c r="T59">
        <f t="shared" si="50"/>
        <v>0.70775887850467289</v>
      </c>
      <c r="U59">
        <f t="shared" si="51"/>
        <v>0.44897104426420809</v>
      </c>
      <c r="V59">
        <f t="shared" si="52"/>
        <v>0.83379764683663338</v>
      </c>
      <c r="W59">
        <f t="shared" si="53"/>
        <v>0.74349978079352752</v>
      </c>
      <c r="X59">
        <f t="shared" si="54"/>
        <v>0.49239837724935737</v>
      </c>
      <c r="Y59">
        <f t="shared" si="55"/>
        <v>0.65020485218509005</v>
      </c>
      <c r="Z59">
        <f t="shared" si="56"/>
        <v>1</v>
      </c>
      <c r="AA59">
        <f t="shared" si="57"/>
        <v>0.89749357326478152</v>
      </c>
      <c r="AB59">
        <f t="shared" si="58"/>
        <v>0.48614235218509005</v>
      </c>
      <c r="AD59">
        <f t="shared" si="5"/>
        <v>0.68687566761747132</v>
      </c>
    </row>
    <row r="60" spans="2:30">
      <c r="B60" t="s">
        <v>1350</v>
      </c>
      <c r="C60" t="s">
        <v>1312</v>
      </c>
      <c r="D60" t="str">
        <f t="shared" si="42"/>
        <v>CNK</v>
      </c>
      <c r="E60">
        <f>INDEX('TS COMFR_10'!$J$10:$J$153,MATCH($D60,'TS COMFR_10'!$D$10:$D$153,0)+E$2-1)</f>
        <v>0.17326</v>
      </c>
      <c r="F60">
        <f>INDEX('TS COMFR_10'!$J$10:$J$153,MATCH($D60,'TS COMFR_10'!$D$10:$D$153,0)+F$2-1)</f>
        <v>0.39327000000000001</v>
      </c>
      <c r="G60">
        <f>INDEX('TS COMFR_10'!$J$10:$J$153,MATCH($D60,'TS COMFR_10'!$D$10:$D$153,0)+G$2-1)</f>
        <v>0.12751999999999999</v>
      </c>
      <c r="H60">
        <f>INDEX('TS COMFR_10'!$J$10:$J$153,MATCH($D60,'TS COMFR_10'!$D$10:$D$153,0)+H$2-1)</f>
        <v>7.0050000000000001E-2</v>
      </c>
      <c r="I60">
        <f>INDEX('TS COMFR_10'!$J$10:$J$153,MATCH($D60,'TS COMFR_10'!$D$10:$D$153,0)+I$2-1)</f>
        <v>4.6249999999999999E-2</v>
      </c>
      <c r="J60">
        <f>INDEX('TS COMFR_10'!$J$10:$J$153,MATCH($D60,'TS COMFR_10'!$D$10:$D$153,0)+J$2-1)</f>
        <v>0.12447999999999999</v>
      </c>
      <c r="K60">
        <f>INDEX('TS COMFR_10'!$J$10:$J$153,MATCH($D60,'TS COMFR_10'!$D$10:$D$153,0)+K$2-1)</f>
        <v>4.7879999999999999E-2</v>
      </c>
      <c r="L60">
        <f>INDEX('TS COMFR_10'!$J$10:$J$153,MATCH($D60,'TS COMFR_10'!$D$10:$D$153,0)+L$2-1)</f>
        <v>1.729E-2</v>
      </c>
      <c r="M60">
        <f t="shared" si="43"/>
        <v>0.65364237726098195</v>
      </c>
      <c r="N60">
        <f t="shared" si="44"/>
        <v>1.2138989429175477</v>
      </c>
      <c r="O60">
        <f t="shared" si="45"/>
        <v>1.0824372093023256</v>
      </c>
      <c r="P60">
        <f t="shared" si="46"/>
        <v>0.71686682242990651</v>
      </c>
      <c r="Q60">
        <f t="shared" si="47"/>
        <v>0.94661214953271022</v>
      </c>
      <c r="R60">
        <f t="shared" si="48"/>
        <v>1.4558675567423229</v>
      </c>
      <c r="S60">
        <f t="shared" si="49"/>
        <v>1.3066317757009345</v>
      </c>
      <c r="T60">
        <f t="shared" si="50"/>
        <v>0.70775887850467289</v>
      </c>
      <c r="U60">
        <f t="shared" si="51"/>
        <v>0.44897104426420809</v>
      </c>
      <c r="V60">
        <f t="shared" si="52"/>
        <v>0.83379764683663338</v>
      </c>
      <c r="W60">
        <f t="shared" si="53"/>
        <v>0.74349978079352752</v>
      </c>
      <c r="X60">
        <f t="shared" si="54"/>
        <v>0.49239837724935737</v>
      </c>
      <c r="Y60">
        <f t="shared" si="55"/>
        <v>0.65020485218509005</v>
      </c>
      <c r="Z60">
        <f t="shared" si="56"/>
        <v>1</v>
      </c>
      <c r="AA60">
        <f t="shared" si="57"/>
        <v>0.89749357326478152</v>
      </c>
      <c r="AB60">
        <f t="shared" si="58"/>
        <v>0.48614235218509005</v>
      </c>
      <c r="AD60">
        <f t="shared" si="5"/>
        <v>0.68687566761747132</v>
      </c>
    </row>
    <row r="61" spans="2:30">
      <c r="B61" t="s">
        <v>1409</v>
      </c>
      <c r="C61" t="s">
        <v>1374</v>
      </c>
      <c r="D61" t="str">
        <f t="shared" si="42"/>
        <v>CNL</v>
      </c>
      <c r="E61">
        <f>INDEX('TS COMFR_10'!$J$10:$J$153,MATCH($D61,'TS COMFR_10'!$D$10:$D$153,0)+E$2-1)</f>
        <v>0.18623000000000001</v>
      </c>
      <c r="F61">
        <f>INDEX('TS COMFR_10'!$J$10:$J$153,MATCH($D61,'TS COMFR_10'!$D$10:$D$153,0)+F$2-1)</f>
        <v>0.36068999999999996</v>
      </c>
      <c r="G61">
        <f>INDEX('TS COMFR_10'!$J$10:$J$153,MATCH($D61,'TS COMFR_10'!$D$10:$D$153,0)+G$2-1)</f>
        <v>0.14713999999999999</v>
      </c>
      <c r="H61">
        <f>INDEX('TS COMFR_10'!$J$10:$J$153,MATCH($D61,'TS COMFR_10'!$D$10:$D$153,0)+H$2-1)</f>
        <v>7.2919999999999999E-2</v>
      </c>
      <c r="I61">
        <f>INDEX('TS COMFR_10'!$J$10:$J$153,MATCH($D61,'TS COMFR_10'!$D$10:$D$153,0)+I$2-1)</f>
        <v>8.8510000000000005E-2</v>
      </c>
      <c r="J61">
        <f>INDEX('TS COMFR_10'!$J$10:$J$153,MATCH($D61,'TS COMFR_10'!$D$10:$D$153,0)+J$2-1)</f>
        <v>6.6019999999999995E-2</v>
      </c>
      <c r="K61">
        <f>INDEX('TS COMFR_10'!$J$10:$J$153,MATCH($D61,'TS COMFR_10'!$D$10:$D$153,0)+K$2-1)</f>
        <v>4.3459999999999999E-2</v>
      </c>
      <c r="L61">
        <f>INDEX('TS COMFR_10'!$J$10:$J$153,MATCH($D61,'TS COMFR_10'!$D$10:$D$153,0)+L$2-1)</f>
        <v>3.5029999999999999E-2</v>
      </c>
      <c r="M61">
        <f t="shared" si="43"/>
        <v>0.70257312661498716</v>
      </c>
      <c r="N61">
        <f t="shared" si="44"/>
        <v>1.1133348837209303</v>
      </c>
      <c r="O61">
        <f t="shared" si="45"/>
        <v>1.2489790697674419</v>
      </c>
      <c r="P61">
        <f t="shared" si="46"/>
        <v>0.74623738317757005</v>
      </c>
      <c r="Q61">
        <f t="shared" si="47"/>
        <v>1.8115598130841122</v>
      </c>
      <c r="R61">
        <f t="shared" si="48"/>
        <v>0.77214312416555397</v>
      </c>
      <c r="S61">
        <f t="shared" si="49"/>
        <v>1.1860112149532709</v>
      </c>
      <c r="T61">
        <f t="shared" si="50"/>
        <v>1.4339383177570093</v>
      </c>
      <c r="U61">
        <f t="shared" si="51"/>
        <v>0.38782772809410193</v>
      </c>
      <c r="V61">
        <f t="shared" si="52"/>
        <v>0.61457252235327497</v>
      </c>
      <c r="W61">
        <f t="shared" si="53"/>
        <v>0.68944953445456603</v>
      </c>
      <c r="X61">
        <f t="shared" si="54"/>
        <v>0.41193085527059087</v>
      </c>
      <c r="Y61">
        <f t="shared" si="55"/>
        <v>1</v>
      </c>
      <c r="Z61">
        <f t="shared" si="56"/>
        <v>0.42623109575996249</v>
      </c>
      <c r="AA61">
        <f t="shared" si="57"/>
        <v>0.65469061876247492</v>
      </c>
      <c r="AB61">
        <f t="shared" si="58"/>
        <v>0.79154897751666475</v>
      </c>
      <c r="AD61">
        <f>SUMPRODUCT(U61:AB61,E$1:L$1)</f>
        <v>0.55201047891294175</v>
      </c>
    </row>
    <row r="62" spans="2:30">
      <c r="B62" t="s">
        <v>1410</v>
      </c>
      <c r="C62" t="s">
        <v>1376</v>
      </c>
      <c r="D62" t="str">
        <f t="shared" si="42"/>
        <v>CNL</v>
      </c>
      <c r="E62">
        <f>INDEX('TS COMFR_10'!$J$10:$J$153,MATCH($D62,'TS COMFR_10'!$D$10:$D$153,0)+E$2-1)</f>
        <v>0.18623000000000001</v>
      </c>
      <c r="F62">
        <f>INDEX('TS COMFR_10'!$J$10:$J$153,MATCH($D62,'TS COMFR_10'!$D$10:$D$153,0)+F$2-1)</f>
        <v>0.36068999999999996</v>
      </c>
      <c r="G62">
        <f>INDEX('TS COMFR_10'!$J$10:$J$153,MATCH($D62,'TS COMFR_10'!$D$10:$D$153,0)+G$2-1)</f>
        <v>0.14713999999999999</v>
      </c>
      <c r="H62">
        <f>INDEX('TS COMFR_10'!$J$10:$J$153,MATCH($D62,'TS COMFR_10'!$D$10:$D$153,0)+H$2-1)</f>
        <v>7.2919999999999999E-2</v>
      </c>
      <c r="I62">
        <f>INDEX('TS COMFR_10'!$J$10:$J$153,MATCH($D62,'TS COMFR_10'!$D$10:$D$153,0)+I$2-1)</f>
        <v>8.8510000000000005E-2</v>
      </c>
      <c r="J62">
        <f>INDEX('TS COMFR_10'!$J$10:$J$153,MATCH($D62,'TS COMFR_10'!$D$10:$D$153,0)+J$2-1)</f>
        <v>6.6019999999999995E-2</v>
      </c>
      <c r="K62">
        <f>INDEX('TS COMFR_10'!$J$10:$J$153,MATCH($D62,'TS COMFR_10'!$D$10:$D$153,0)+K$2-1)</f>
        <v>4.3459999999999999E-2</v>
      </c>
      <c r="L62">
        <f>INDEX('TS COMFR_10'!$J$10:$J$153,MATCH($D62,'TS COMFR_10'!$D$10:$D$153,0)+L$2-1)</f>
        <v>3.5029999999999999E-2</v>
      </c>
      <c r="M62">
        <f t="shared" si="43"/>
        <v>0.70257312661498716</v>
      </c>
      <c r="N62">
        <f t="shared" si="44"/>
        <v>1.1133348837209303</v>
      </c>
      <c r="O62">
        <f t="shared" si="45"/>
        <v>1.2489790697674419</v>
      </c>
      <c r="P62">
        <f t="shared" si="46"/>
        <v>0.74623738317757005</v>
      </c>
      <c r="Q62">
        <f t="shared" si="47"/>
        <v>1.8115598130841122</v>
      </c>
      <c r="R62">
        <f t="shared" si="48"/>
        <v>0.77214312416555397</v>
      </c>
      <c r="S62">
        <f t="shared" si="49"/>
        <v>1.1860112149532709</v>
      </c>
      <c r="T62">
        <f t="shared" si="50"/>
        <v>1.4339383177570093</v>
      </c>
      <c r="U62">
        <f t="shared" si="51"/>
        <v>0.38782772809410193</v>
      </c>
      <c r="V62">
        <f t="shared" si="52"/>
        <v>0.61457252235327497</v>
      </c>
      <c r="W62">
        <f t="shared" si="53"/>
        <v>0.68944953445456603</v>
      </c>
      <c r="X62">
        <f t="shared" si="54"/>
        <v>0.41193085527059087</v>
      </c>
      <c r="Y62">
        <f t="shared" si="55"/>
        <v>1</v>
      </c>
      <c r="Z62">
        <f t="shared" si="56"/>
        <v>0.42623109575996249</v>
      </c>
      <c r="AA62">
        <f t="shared" si="57"/>
        <v>0.65469061876247492</v>
      </c>
      <c r="AB62">
        <f t="shared" si="58"/>
        <v>0.79154897751666475</v>
      </c>
      <c r="AD62">
        <f t="shared" si="5"/>
        <v>0.55201047891294175</v>
      </c>
    </row>
    <row r="63" spans="2:30">
      <c r="B63" t="s">
        <v>1411</v>
      </c>
      <c r="C63" t="s">
        <v>1378</v>
      </c>
      <c r="D63" t="str">
        <f t="shared" si="42"/>
        <v>CNL</v>
      </c>
      <c r="E63">
        <f>INDEX('TS COMFR_10'!$J$10:$J$153,MATCH($D63,'TS COMFR_10'!$D$10:$D$153,0)+E$2-1)</f>
        <v>0.18623000000000001</v>
      </c>
      <c r="F63">
        <f>INDEX('TS COMFR_10'!$J$10:$J$153,MATCH($D63,'TS COMFR_10'!$D$10:$D$153,0)+F$2-1)</f>
        <v>0.36068999999999996</v>
      </c>
      <c r="G63">
        <f>INDEX('TS COMFR_10'!$J$10:$J$153,MATCH($D63,'TS COMFR_10'!$D$10:$D$153,0)+G$2-1)</f>
        <v>0.14713999999999999</v>
      </c>
      <c r="H63">
        <f>INDEX('TS COMFR_10'!$J$10:$J$153,MATCH($D63,'TS COMFR_10'!$D$10:$D$153,0)+H$2-1)</f>
        <v>7.2919999999999999E-2</v>
      </c>
      <c r="I63">
        <f>INDEX('TS COMFR_10'!$J$10:$J$153,MATCH($D63,'TS COMFR_10'!$D$10:$D$153,0)+I$2-1)</f>
        <v>8.8510000000000005E-2</v>
      </c>
      <c r="J63">
        <f>INDEX('TS COMFR_10'!$J$10:$J$153,MATCH($D63,'TS COMFR_10'!$D$10:$D$153,0)+J$2-1)</f>
        <v>6.6019999999999995E-2</v>
      </c>
      <c r="K63">
        <f>INDEX('TS COMFR_10'!$J$10:$J$153,MATCH($D63,'TS COMFR_10'!$D$10:$D$153,0)+K$2-1)</f>
        <v>4.3459999999999999E-2</v>
      </c>
      <c r="L63">
        <f>INDEX('TS COMFR_10'!$J$10:$J$153,MATCH($D63,'TS COMFR_10'!$D$10:$D$153,0)+L$2-1)</f>
        <v>3.5029999999999999E-2</v>
      </c>
      <c r="M63">
        <f t="shared" si="43"/>
        <v>0.70257312661498716</v>
      </c>
      <c r="N63">
        <f t="shared" si="44"/>
        <v>1.1133348837209303</v>
      </c>
      <c r="O63">
        <f t="shared" si="45"/>
        <v>1.2489790697674419</v>
      </c>
      <c r="P63">
        <f t="shared" si="46"/>
        <v>0.74623738317757005</v>
      </c>
      <c r="Q63">
        <f t="shared" si="47"/>
        <v>1.8115598130841122</v>
      </c>
      <c r="R63">
        <f t="shared" si="48"/>
        <v>0.77214312416555397</v>
      </c>
      <c r="S63">
        <f t="shared" si="49"/>
        <v>1.1860112149532709</v>
      </c>
      <c r="T63">
        <f t="shared" si="50"/>
        <v>1.4339383177570093</v>
      </c>
      <c r="U63">
        <f t="shared" si="51"/>
        <v>0.38782772809410193</v>
      </c>
      <c r="V63">
        <f t="shared" si="52"/>
        <v>0.61457252235327497</v>
      </c>
      <c r="W63">
        <f t="shared" si="53"/>
        <v>0.68944953445456603</v>
      </c>
      <c r="X63">
        <f t="shared" si="54"/>
        <v>0.41193085527059087</v>
      </c>
      <c r="Y63">
        <f t="shared" si="55"/>
        <v>1</v>
      </c>
      <c r="Z63">
        <f t="shared" si="56"/>
        <v>0.42623109575996249</v>
      </c>
      <c r="AA63">
        <f t="shared" si="57"/>
        <v>0.65469061876247492</v>
      </c>
      <c r="AB63">
        <f t="shared" si="58"/>
        <v>0.79154897751666475</v>
      </c>
      <c r="AD63">
        <f t="shared" si="5"/>
        <v>0.55201047891294175</v>
      </c>
    </row>
    <row r="64" spans="2:30">
      <c r="B64" t="s">
        <v>1412</v>
      </c>
      <c r="C64" t="s">
        <v>1380</v>
      </c>
      <c r="D64" t="str">
        <f t="shared" si="42"/>
        <v>CNL</v>
      </c>
      <c r="E64">
        <f>INDEX('TS COMFR_10'!$J$10:$J$153,MATCH($D64,'TS COMFR_10'!$D$10:$D$153,0)+E$2-1)</f>
        <v>0.18623000000000001</v>
      </c>
      <c r="F64">
        <f>INDEX('TS COMFR_10'!$J$10:$J$153,MATCH($D64,'TS COMFR_10'!$D$10:$D$153,0)+F$2-1)</f>
        <v>0.36068999999999996</v>
      </c>
      <c r="G64">
        <f>INDEX('TS COMFR_10'!$J$10:$J$153,MATCH($D64,'TS COMFR_10'!$D$10:$D$153,0)+G$2-1)</f>
        <v>0.14713999999999999</v>
      </c>
      <c r="H64">
        <f>INDEX('TS COMFR_10'!$J$10:$J$153,MATCH($D64,'TS COMFR_10'!$D$10:$D$153,0)+H$2-1)</f>
        <v>7.2919999999999999E-2</v>
      </c>
      <c r="I64">
        <f>INDEX('TS COMFR_10'!$J$10:$J$153,MATCH($D64,'TS COMFR_10'!$D$10:$D$153,0)+I$2-1)</f>
        <v>8.8510000000000005E-2</v>
      </c>
      <c r="J64">
        <f>INDEX('TS COMFR_10'!$J$10:$J$153,MATCH($D64,'TS COMFR_10'!$D$10:$D$153,0)+J$2-1)</f>
        <v>6.6019999999999995E-2</v>
      </c>
      <c r="K64">
        <f>INDEX('TS COMFR_10'!$J$10:$J$153,MATCH($D64,'TS COMFR_10'!$D$10:$D$153,0)+K$2-1)</f>
        <v>4.3459999999999999E-2</v>
      </c>
      <c r="L64">
        <f>INDEX('TS COMFR_10'!$J$10:$J$153,MATCH($D64,'TS COMFR_10'!$D$10:$D$153,0)+L$2-1)</f>
        <v>3.5029999999999999E-2</v>
      </c>
      <c r="M64">
        <f t="shared" si="43"/>
        <v>0.70257312661498716</v>
      </c>
      <c r="N64">
        <f t="shared" si="44"/>
        <v>1.1133348837209303</v>
      </c>
      <c r="O64">
        <f t="shared" si="45"/>
        <v>1.2489790697674419</v>
      </c>
      <c r="P64">
        <f t="shared" si="46"/>
        <v>0.74623738317757005</v>
      </c>
      <c r="Q64">
        <f t="shared" si="47"/>
        <v>1.8115598130841122</v>
      </c>
      <c r="R64">
        <f t="shared" si="48"/>
        <v>0.77214312416555397</v>
      </c>
      <c r="S64">
        <f t="shared" si="49"/>
        <v>1.1860112149532709</v>
      </c>
      <c r="T64">
        <f t="shared" si="50"/>
        <v>1.4339383177570093</v>
      </c>
      <c r="U64">
        <f t="shared" si="51"/>
        <v>0.38782772809410193</v>
      </c>
      <c r="V64">
        <f t="shared" si="52"/>
        <v>0.61457252235327497</v>
      </c>
      <c r="W64">
        <f t="shared" si="53"/>
        <v>0.68944953445456603</v>
      </c>
      <c r="X64">
        <f t="shared" si="54"/>
        <v>0.41193085527059087</v>
      </c>
      <c r="Y64">
        <f t="shared" si="55"/>
        <v>1</v>
      </c>
      <c r="Z64">
        <f t="shared" si="56"/>
        <v>0.42623109575996249</v>
      </c>
      <c r="AA64">
        <f t="shared" si="57"/>
        <v>0.65469061876247492</v>
      </c>
      <c r="AB64">
        <f t="shared" si="58"/>
        <v>0.79154897751666475</v>
      </c>
      <c r="AD64">
        <f t="shared" si="5"/>
        <v>0.55201047891294175</v>
      </c>
    </row>
    <row r="65" spans="2:30">
      <c r="B65" t="s">
        <v>1413</v>
      </c>
      <c r="C65" t="s">
        <v>1382</v>
      </c>
      <c r="D65" t="str">
        <f t="shared" si="42"/>
        <v>CNL</v>
      </c>
      <c r="E65">
        <f>INDEX('TS COMFR_10'!$J$10:$J$153,MATCH($D65,'TS COMFR_10'!$D$10:$D$153,0)+E$2-1)</f>
        <v>0.18623000000000001</v>
      </c>
      <c r="F65">
        <f>INDEX('TS COMFR_10'!$J$10:$J$153,MATCH($D65,'TS COMFR_10'!$D$10:$D$153,0)+F$2-1)</f>
        <v>0.36068999999999996</v>
      </c>
      <c r="G65">
        <f>INDEX('TS COMFR_10'!$J$10:$J$153,MATCH($D65,'TS COMFR_10'!$D$10:$D$153,0)+G$2-1)</f>
        <v>0.14713999999999999</v>
      </c>
      <c r="H65">
        <f>INDEX('TS COMFR_10'!$J$10:$J$153,MATCH($D65,'TS COMFR_10'!$D$10:$D$153,0)+H$2-1)</f>
        <v>7.2919999999999999E-2</v>
      </c>
      <c r="I65">
        <f>INDEX('TS COMFR_10'!$J$10:$J$153,MATCH($D65,'TS COMFR_10'!$D$10:$D$153,0)+I$2-1)</f>
        <v>8.8510000000000005E-2</v>
      </c>
      <c r="J65">
        <f>INDEX('TS COMFR_10'!$J$10:$J$153,MATCH($D65,'TS COMFR_10'!$D$10:$D$153,0)+J$2-1)</f>
        <v>6.6019999999999995E-2</v>
      </c>
      <c r="K65">
        <f>INDEX('TS COMFR_10'!$J$10:$J$153,MATCH($D65,'TS COMFR_10'!$D$10:$D$153,0)+K$2-1)</f>
        <v>4.3459999999999999E-2</v>
      </c>
      <c r="L65">
        <f>INDEX('TS COMFR_10'!$J$10:$J$153,MATCH($D65,'TS COMFR_10'!$D$10:$D$153,0)+L$2-1)</f>
        <v>3.5029999999999999E-2</v>
      </c>
      <c r="M65">
        <f t="shared" si="43"/>
        <v>0.70257312661498716</v>
      </c>
      <c r="N65">
        <f t="shared" si="44"/>
        <v>1.1133348837209303</v>
      </c>
      <c r="O65">
        <f t="shared" si="45"/>
        <v>1.2489790697674419</v>
      </c>
      <c r="P65">
        <f t="shared" si="46"/>
        <v>0.74623738317757005</v>
      </c>
      <c r="Q65">
        <f t="shared" si="47"/>
        <v>1.8115598130841122</v>
      </c>
      <c r="R65">
        <f t="shared" si="48"/>
        <v>0.77214312416555397</v>
      </c>
      <c r="S65">
        <f t="shared" si="49"/>
        <v>1.1860112149532709</v>
      </c>
      <c r="T65">
        <f t="shared" si="50"/>
        <v>1.4339383177570093</v>
      </c>
      <c r="U65">
        <f t="shared" si="51"/>
        <v>0.38782772809410193</v>
      </c>
      <c r="V65">
        <f t="shared" si="52"/>
        <v>0.61457252235327497</v>
      </c>
      <c r="W65">
        <f t="shared" si="53"/>
        <v>0.68944953445456603</v>
      </c>
      <c r="X65">
        <f t="shared" si="54"/>
        <v>0.41193085527059087</v>
      </c>
      <c r="Y65">
        <f t="shared" si="55"/>
        <v>1</v>
      </c>
      <c r="Z65">
        <f t="shared" si="56"/>
        <v>0.42623109575996249</v>
      </c>
      <c r="AA65">
        <f t="shared" si="57"/>
        <v>0.65469061876247492</v>
      </c>
      <c r="AB65">
        <f t="shared" si="58"/>
        <v>0.79154897751666475</v>
      </c>
      <c r="AD65">
        <f t="shared" si="5"/>
        <v>0.55201047891294175</v>
      </c>
    </row>
    <row r="66" spans="2:30">
      <c r="B66" t="s">
        <v>1414</v>
      </c>
      <c r="C66" t="s">
        <v>1384</v>
      </c>
      <c r="D66" t="str">
        <f t="shared" si="42"/>
        <v>CNL</v>
      </c>
      <c r="E66">
        <f>INDEX('TS COMFR_10'!$J$10:$J$153,MATCH($D66,'TS COMFR_10'!$D$10:$D$153,0)+E$2-1)</f>
        <v>0.18623000000000001</v>
      </c>
      <c r="F66">
        <f>INDEX('TS COMFR_10'!$J$10:$J$153,MATCH($D66,'TS COMFR_10'!$D$10:$D$153,0)+F$2-1)</f>
        <v>0.36068999999999996</v>
      </c>
      <c r="G66">
        <f>INDEX('TS COMFR_10'!$J$10:$J$153,MATCH($D66,'TS COMFR_10'!$D$10:$D$153,0)+G$2-1)</f>
        <v>0.14713999999999999</v>
      </c>
      <c r="H66">
        <f>INDEX('TS COMFR_10'!$J$10:$J$153,MATCH($D66,'TS COMFR_10'!$D$10:$D$153,0)+H$2-1)</f>
        <v>7.2919999999999999E-2</v>
      </c>
      <c r="I66">
        <f>INDEX('TS COMFR_10'!$J$10:$J$153,MATCH($D66,'TS COMFR_10'!$D$10:$D$153,0)+I$2-1)</f>
        <v>8.8510000000000005E-2</v>
      </c>
      <c r="J66">
        <f>INDEX('TS COMFR_10'!$J$10:$J$153,MATCH($D66,'TS COMFR_10'!$D$10:$D$153,0)+J$2-1)</f>
        <v>6.6019999999999995E-2</v>
      </c>
      <c r="K66">
        <f>INDEX('TS COMFR_10'!$J$10:$J$153,MATCH($D66,'TS COMFR_10'!$D$10:$D$153,0)+K$2-1)</f>
        <v>4.3459999999999999E-2</v>
      </c>
      <c r="L66">
        <f>INDEX('TS COMFR_10'!$J$10:$J$153,MATCH($D66,'TS COMFR_10'!$D$10:$D$153,0)+L$2-1)</f>
        <v>3.5029999999999999E-2</v>
      </c>
      <c r="M66">
        <f t="shared" si="43"/>
        <v>0.70257312661498716</v>
      </c>
      <c r="N66">
        <f t="shared" si="44"/>
        <v>1.1133348837209303</v>
      </c>
      <c r="O66">
        <f t="shared" si="45"/>
        <v>1.2489790697674419</v>
      </c>
      <c r="P66">
        <f t="shared" si="46"/>
        <v>0.74623738317757005</v>
      </c>
      <c r="Q66">
        <f t="shared" si="47"/>
        <v>1.8115598130841122</v>
      </c>
      <c r="R66">
        <f t="shared" si="48"/>
        <v>0.77214312416555397</v>
      </c>
      <c r="S66">
        <f t="shared" si="49"/>
        <v>1.1860112149532709</v>
      </c>
      <c r="T66">
        <f t="shared" si="50"/>
        <v>1.4339383177570093</v>
      </c>
      <c r="U66">
        <f t="shared" si="51"/>
        <v>0.38782772809410193</v>
      </c>
      <c r="V66">
        <f t="shared" si="52"/>
        <v>0.61457252235327497</v>
      </c>
      <c r="W66">
        <f t="shared" si="53"/>
        <v>0.68944953445456603</v>
      </c>
      <c r="X66">
        <f t="shared" si="54"/>
        <v>0.41193085527059087</v>
      </c>
      <c r="Y66">
        <f t="shared" si="55"/>
        <v>1</v>
      </c>
      <c r="Z66">
        <f t="shared" si="56"/>
        <v>0.42623109575996249</v>
      </c>
      <c r="AA66">
        <f t="shared" si="57"/>
        <v>0.65469061876247492</v>
      </c>
      <c r="AB66">
        <f t="shared" si="58"/>
        <v>0.79154897751666475</v>
      </c>
      <c r="AD66">
        <f t="shared" si="5"/>
        <v>0.55201047891294175</v>
      </c>
    </row>
    <row r="67" spans="2:30">
      <c r="B67" t="s">
        <v>1415</v>
      </c>
      <c r="C67" t="s">
        <v>1386</v>
      </c>
      <c r="D67" t="str">
        <f t="shared" si="42"/>
        <v>CNR</v>
      </c>
      <c r="E67">
        <f>INDEX('TS COMFR_10'!$J$10:$J$153,MATCH($D67,'TS COMFR_10'!$D$10:$D$153,0)+E$2-1)</f>
        <v>0.25266</v>
      </c>
      <c r="F67">
        <f>INDEX('TS COMFR_10'!$J$10:$J$153,MATCH($D67,'TS COMFR_10'!$D$10:$D$153,0)+F$2-1)</f>
        <v>0.30057</v>
      </c>
      <c r="G67">
        <f>INDEX('TS COMFR_10'!$J$10:$J$153,MATCH($D67,'TS COMFR_10'!$D$10:$D$153,0)+G$2-1)</f>
        <v>0.14082</v>
      </c>
      <c r="H67">
        <f>INDEX('TS COMFR_10'!$J$10:$J$153,MATCH($D67,'TS COMFR_10'!$D$10:$D$153,0)+H$2-1)</f>
        <v>0.10063</v>
      </c>
      <c r="I67">
        <f>INDEX('TS COMFR_10'!$J$10:$J$153,MATCH($D67,'TS COMFR_10'!$D$10:$D$153,0)+I$2-1)</f>
        <v>3.6630000000000003E-2</v>
      </c>
      <c r="J67">
        <f>INDEX('TS COMFR_10'!$J$10:$J$153,MATCH($D67,'TS COMFR_10'!$D$10:$D$153,0)+J$2-1)</f>
        <v>9.2810000000000004E-2</v>
      </c>
      <c r="K67">
        <f>INDEX('TS COMFR_10'!$J$10:$J$153,MATCH($D67,'TS COMFR_10'!$D$10:$D$153,0)+K$2-1)</f>
        <v>5.3240000000000003E-2</v>
      </c>
      <c r="L67">
        <f>INDEX('TS COMFR_10'!$J$10:$J$153,MATCH($D67,'TS COMFR_10'!$D$10:$D$153,0)+L$2-1)</f>
        <v>2.264E-2</v>
      </c>
      <c r="M67">
        <f t="shared" si="43"/>
        <v>0.95318759689922483</v>
      </c>
      <c r="N67">
        <f t="shared" si="44"/>
        <v>0.92776363636363646</v>
      </c>
      <c r="O67">
        <f t="shared" si="45"/>
        <v>1.1953325581395351</v>
      </c>
      <c r="P67">
        <f t="shared" si="46"/>
        <v>1.0298116822429906</v>
      </c>
      <c r="Q67">
        <f t="shared" si="47"/>
        <v>0.74971682242990656</v>
      </c>
      <c r="R67">
        <f t="shared" si="48"/>
        <v>1.085468090787717</v>
      </c>
      <c r="S67">
        <f t="shared" si="49"/>
        <v>1.4529046728971962</v>
      </c>
      <c r="T67">
        <f t="shared" si="50"/>
        <v>0.92675887850467287</v>
      </c>
      <c r="U67">
        <f t="shared" si="51"/>
        <v>0.6560565291585857</v>
      </c>
      <c r="V67">
        <f t="shared" si="52"/>
        <v>0.63855781708899673</v>
      </c>
      <c r="W67">
        <f t="shared" si="53"/>
        <v>0.82271919172505392</v>
      </c>
      <c r="X67">
        <f t="shared" si="54"/>
        <v>0.70879507888805404</v>
      </c>
      <c r="Y67">
        <f t="shared" si="55"/>
        <v>0.51601239669421495</v>
      </c>
      <c r="Z67">
        <f t="shared" si="56"/>
        <v>0.74710207148223684</v>
      </c>
      <c r="AA67">
        <f t="shared" si="57"/>
        <v>1</v>
      </c>
      <c r="AB67">
        <f t="shared" si="58"/>
        <v>0.63786626596543949</v>
      </c>
      <c r="AD67">
        <f t="shared" si="5"/>
        <v>0.68827640151086333</v>
      </c>
    </row>
    <row r="68" spans="2:30">
      <c r="B68" t="s">
        <v>1416</v>
      </c>
      <c r="C68" t="s">
        <v>1388</v>
      </c>
      <c r="D68" t="str">
        <f t="shared" si="42"/>
        <v>CNR</v>
      </c>
      <c r="E68">
        <f>INDEX('TS COMFR_10'!$J$10:$J$153,MATCH($D68,'TS COMFR_10'!$D$10:$D$153,0)+E$2-1)</f>
        <v>0.25266</v>
      </c>
      <c r="F68">
        <f>INDEX('TS COMFR_10'!$J$10:$J$153,MATCH($D68,'TS COMFR_10'!$D$10:$D$153,0)+F$2-1)</f>
        <v>0.30057</v>
      </c>
      <c r="G68">
        <f>INDEX('TS COMFR_10'!$J$10:$J$153,MATCH($D68,'TS COMFR_10'!$D$10:$D$153,0)+G$2-1)</f>
        <v>0.14082</v>
      </c>
      <c r="H68">
        <f>INDEX('TS COMFR_10'!$J$10:$J$153,MATCH($D68,'TS COMFR_10'!$D$10:$D$153,0)+H$2-1)</f>
        <v>0.10063</v>
      </c>
      <c r="I68">
        <f>INDEX('TS COMFR_10'!$J$10:$J$153,MATCH($D68,'TS COMFR_10'!$D$10:$D$153,0)+I$2-1)</f>
        <v>3.6630000000000003E-2</v>
      </c>
      <c r="J68">
        <f>INDEX('TS COMFR_10'!$J$10:$J$153,MATCH($D68,'TS COMFR_10'!$D$10:$D$153,0)+J$2-1)</f>
        <v>9.2810000000000004E-2</v>
      </c>
      <c r="K68">
        <f>INDEX('TS COMFR_10'!$J$10:$J$153,MATCH($D68,'TS COMFR_10'!$D$10:$D$153,0)+K$2-1)</f>
        <v>5.3240000000000003E-2</v>
      </c>
      <c r="L68">
        <f>INDEX('TS COMFR_10'!$J$10:$J$153,MATCH($D68,'TS COMFR_10'!$D$10:$D$153,0)+L$2-1)</f>
        <v>2.264E-2</v>
      </c>
      <c r="M68">
        <f t="shared" si="43"/>
        <v>0.95318759689922483</v>
      </c>
      <c r="N68">
        <f t="shared" si="44"/>
        <v>0.92776363636363646</v>
      </c>
      <c r="O68">
        <f t="shared" si="45"/>
        <v>1.1953325581395351</v>
      </c>
      <c r="P68">
        <f t="shared" si="46"/>
        <v>1.0298116822429906</v>
      </c>
      <c r="Q68">
        <f t="shared" si="47"/>
        <v>0.74971682242990656</v>
      </c>
      <c r="R68">
        <f t="shared" si="48"/>
        <v>1.085468090787717</v>
      </c>
      <c r="S68">
        <f t="shared" si="49"/>
        <v>1.4529046728971962</v>
      </c>
      <c r="T68">
        <f t="shared" si="50"/>
        <v>0.92675887850467287</v>
      </c>
      <c r="U68">
        <f t="shared" si="51"/>
        <v>0.6560565291585857</v>
      </c>
      <c r="V68">
        <f t="shared" si="52"/>
        <v>0.63855781708899673</v>
      </c>
      <c r="W68">
        <f t="shared" si="53"/>
        <v>0.82271919172505392</v>
      </c>
      <c r="X68">
        <f t="shared" si="54"/>
        <v>0.70879507888805404</v>
      </c>
      <c r="Y68">
        <f t="shared" si="55"/>
        <v>0.51601239669421495</v>
      </c>
      <c r="Z68">
        <f t="shared" si="56"/>
        <v>0.74710207148223684</v>
      </c>
      <c r="AA68">
        <f t="shared" si="57"/>
        <v>1</v>
      </c>
      <c r="AB68">
        <f t="shared" si="58"/>
        <v>0.63786626596543949</v>
      </c>
      <c r="AD68">
        <f t="shared" ref="AD68:AD89" si="59">SUMPRODUCT(U68:AB68,E$1:L$1)</f>
        <v>0.68827640151086333</v>
      </c>
    </row>
    <row r="69" spans="2:30">
      <c r="B69" t="s">
        <v>1351</v>
      </c>
      <c r="C69" t="s">
        <v>1314</v>
      </c>
      <c r="D69" t="str">
        <f t="shared" si="42"/>
        <v>CNW</v>
      </c>
      <c r="E69">
        <f>INDEX('TS COMFR_10'!$J$10:$J$153,MATCH($D69,'TS COMFR_10'!$D$10:$D$153,0)+E$2-1)</f>
        <v>0.26721</v>
      </c>
      <c r="F69">
        <f>INDEX('TS COMFR_10'!$J$10:$J$153,MATCH($D69,'TS COMFR_10'!$D$10:$D$153,0)+F$2-1)</f>
        <v>0.31810999999999978</v>
      </c>
      <c r="G69">
        <f>INDEX('TS COMFR_10'!$J$10:$J$153,MATCH($D69,'TS COMFR_10'!$D$10:$D$153,0)+G$2-1)</f>
        <v>0.10874</v>
      </c>
      <c r="H69">
        <f>INDEX('TS COMFR_10'!$J$10:$J$153,MATCH($D69,'TS COMFR_10'!$D$10:$D$153,0)+H$2-1)</f>
        <v>0.10963000000000001</v>
      </c>
      <c r="I69">
        <f>INDEX('TS COMFR_10'!$J$10:$J$153,MATCH($D69,'TS COMFR_10'!$D$10:$D$153,0)+I$2-1)</f>
        <v>5.0990000000000001E-2</v>
      </c>
      <c r="J69">
        <f>INDEX('TS COMFR_10'!$J$10:$J$153,MATCH($D69,'TS COMFR_10'!$D$10:$D$153,0)+J$2-1)</f>
        <v>8.6169999999999997E-2</v>
      </c>
      <c r="K69">
        <f>INDEX('TS COMFR_10'!$J$10:$J$153,MATCH($D69,'TS COMFR_10'!$D$10:$D$153,0)+K$2-1)</f>
        <v>3.8240000000000003E-2</v>
      </c>
      <c r="L69">
        <f>INDEX('TS COMFR_10'!$J$10:$J$153,MATCH($D69,'TS COMFR_10'!$D$10:$D$153,0)+L$2-1)</f>
        <v>2.0910000000000002E-2</v>
      </c>
      <c r="M69">
        <f t="shared" si="43"/>
        <v>1.008079069767442</v>
      </c>
      <c r="N69">
        <f t="shared" si="44"/>
        <v>0.98190401691331863</v>
      </c>
      <c r="O69">
        <f t="shared" si="45"/>
        <v>0.92302558139534896</v>
      </c>
      <c r="P69">
        <f t="shared" si="46"/>
        <v>1.1219144859813084</v>
      </c>
      <c r="Q69">
        <f t="shared" si="47"/>
        <v>1.0436271028037383</v>
      </c>
      <c r="R69">
        <f t="shared" si="48"/>
        <v>1.0078093457943924</v>
      </c>
      <c r="S69">
        <f t="shared" si="49"/>
        <v>1.043558878504673</v>
      </c>
      <c r="T69">
        <f t="shared" si="50"/>
        <v>0.85594205607476637</v>
      </c>
      <c r="U69">
        <f t="shared" si="51"/>
        <v>0.89853467654061203</v>
      </c>
      <c r="V69">
        <f t="shared" si="52"/>
        <v>0.87520397426232854</v>
      </c>
      <c r="W69">
        <f t="shared" si="53"/>
        <v>0.82272365044649842</v>
      </c>
      <c r="X69">
        <f t="shared" si="54"/>
        <v>1</v>
      </c>
      <c r="Y69">
        <f t="shared" si="55"/>
        <v>0.93021983033841105</v>
      </c>
      <c r="Z69">
        <f t="shared" si="56"/>
        <v>0.89829426251938327</v>
      </c>
      <c r="AA69">
        <f t="shared" si="57"/>
        <v>0.9301590197330416</v>
      </c>
      <c r="AB69">
        <f t="shared" si="58"/>
        <v>0.76292985496670618</v>
      </c>
      <c r="AD69">
        <f t="shared" si="59"/>
        <v>0.89133353075954513</v>
      </c>
    </row>
    <row r="70" spans="2:30">
      <c r="B70" t="s">
        <v>1352</v>
      </c>
      <c r="C70" t="s">
        <v>1316</v>
      </c>
      <c r="D70" t="str">
        <f t="shared" si="42"/>
        <v>CNW</v>
      </c>
      <c r="E70">
        <f>INDEX('TS COMFR_10'!$J$10:$J$153,MATCH($D70,'TS COMFR_10'!$D$10:$D$153,0)+E$2-1)</f>
        <v>0.26721</v>
      </c>
      <c r="F70">
        <f>INDEX('TS COMFR_10'!$J$10:$J$153,MATCH($D70,'TS COMFR_10'!$D$10:$D$153,0)+F$2-1)</f>
        <v>0.31810999999999978</v>
      </c>
      <c r="G70">
        <f>INDEX('TS COMFR_10'!$J$10:$J$153,MATCH($D70,'TS COMFR_10'!$D$10:$D$153,0)+G$2-1)</f>
        <v>0.10874</v>
      </c>
      <c r="H70">
        <f>INDEX('TS COMFR_10'!$J$10:$J$153,MATCH($D70,'TS COMFR_10'!$D$10:$D$153,0)+H$2-1)</f>
        <v>0.10963000000000001</v>
      </c>
      <c r="I70">
        <f>INDEX('TS COMFR_10'!$J$10:$J$153,MATCH($D70,'TS COMFR_10'!$D$10:$D$153,0)+I$2-1)</f>
        <v>5.0990000000000001E-2</v>
      </c>
      <c r="J70">
        <f>INDEX('TS COMFR_10'!$J$10:$J$153,MATCH($D70,'TS COMFR_10'!$D$10:$D$153,0)+J$2-1)</f>
        <v>8.6169999999999997E-2</v>
      </c>
      <c r="K70">
        <f>INDEX('TS COMFR_10'!$J$10:$J$153,MATCH($D70,'TS COMFR_10'!$D$10:$D$153,0)+K$2-1)</f>
        <v>3.8240000000000003E-2</v>
      </c>
      <c r="L70">
        <f>INDEX('TS COMFR_10'!$J$10:$J$153,MATCH($D70,'TS COMFR_10'!$D$10:$D$153,0)+L$2-1)</f>
        <v>2.0910000000000002E-2</v>
      </c>
      <c r="M70">
        <f t="shared" si="43"/>
        <v>1.008079069767442</v>
      </c>
      <c r="N70">
        <f t="shared" si="44"/>
        <v>0.98190401691331863</v>
      </c>
      <c r="O70">
        <f t="shared" si="45"/>
        <v>0.92302558139534896</v>
      </c>
      <c r="P70">
        <f t="shared" si="46"/>
        <v>1.1219144859813084</v>
      </c>
      <c r="Q70">
        <f t="shared" si="47"/>
        <v>1.0436271028037383</v>
      </c>
      <c r="R70">
        <f t="shared" si="48"/>
        <v>1.0078093457943924</v>
      </c>
      <c r="S70">
        <f t="shared" si="49"/>
        <v>1.043558878504673</v>
      </c>
      <c r="T70">
        <f t="shared" si="50"/>
        <v>0.85594205607476637</v>
      </c>
      <c r="U70">
        <f t="shared" si="51"/>
        <v>0.89853467654061203</v>
      </c>
      <c r="V70">
        <f t="shared" si="52"/>
        <v>0.87520397426232854</v>
      </c>
      <c r="W70">
        <f t="shared" si="53"/>
        <v>0.82272365044649842</v>
      </c>
      <c r="X70">
        <f t="shared" si="54"/>
        <v>1</v>
      </c>
      <c r="Y70">
        <f t="shared" si="55"/>
        <v>0.93021983033841105</v>
      </c>
      <c r="Z70">
        <f t="shared" si="56"/>
        <v>0.89829426251938327</v>
      </c>
      <c r="AA70">
        <f t="shared" si="57"/>
        <v>0.9301590197330416</v>
      </c>
      <c r="AB70">
        <f t="shared" si="58"/>
        <v>0.76292985496670618</v>
      </c>
      <c r="AD70">
        <f t="shared" si="59"/>
        <v>0.89133353075954513</v>
      </c>
    </row>
    <row r="71" spans="2:30">
      <c r="B71" t="s">
        <v>1353</v>
      </c>
      <c r="C71" t="s">
        <v>1318</v>
      </c>
      <c r="D71" t="str">
        <f t="shared" si="42"/>
        <v>CNW</v>
      </c>
      <c r="E71">
        <f>INDEX('TS COMFR_10'!$J$10:$J$153,MATCH($D71,'TS COMFR_10'!$D$10:$D$153,0)+E$2-1)</f>
        <v>0.26721</v>
      </c>
      <c r="F71">
        <f>INDEX('TS COMFR_10'!$J$10:$J$153,MATCH($D71,'TS COMFR_10'!$D$10:$D$153,0)+F$2-1)</f>
        <v>0.31810999999999978</v>
      </c>
      <c r="G71">
        <f>INDEX('TS COMFR_10'!$J$10:$J$153,MATCH($D71,'TS COMFR_10'!$D$10:$D$153,0)+G$2-1)</f>
        <v>0.10874</v>
      </c>
      <c r="H71">
        <f>INDEX('TS COMFR_10'!$J$10:$J$153,MATCH($D71,'TS COMFR_10'!$D$10:$D$153,0)+H$2-1)</f>
        <v>0.10963000000000001</v>
      </c>
      <c r="I71">
        <f>INDEX('TS COMFR_10'!$J$10:$J$153,MATCH($D71,'TS COMFR_10'!$D$10:$D$153,0)+I$2-1)</f>
        <v>5.0990000000000001E-2</v>
      </c>
      <c r="J71">
        <f>INDEX('TS COMFR_10'!$J$10:$J$153,MATCH($D71,'TS COMFR_10'!$D$10:$D$153,0)+J$2-1)</f>
        <v>8.6169999999999997E-2</v>
      </c>
      <c r="K71">
        <f>INDEX('TS COMFR_10'!$J$10:$J$153,MATCH($D71,'TS COMFR_10'!$D$10:$D$153,0)+K$2-1)</f>
        <v>3.8240000000000003E-2</v>
      </c>
      <c r="L71">
        <f>INDEX('TS COMFR_10'!$J$10:$J$153,MATCH($D71,'TS COMFR_10'!$D$10:$D$153,0)+L$2-1)</f>
        <v>2.0910000000000002E-2</v>
      </c>
      <c r="M71">
        <f t="shared" si="43"/>
        <v>1.008079069767442</v>
      </c>
      <c r="N71">
        <f t="shared" si="44"/>
        <v>0.98190401691331863</v>
      </c>
      <c r="O71">
        <f t="shared" si="45"/>
        <v>0.92302558139534896</v>
      </c>
      <c r="P71">
        <f t="shared" si="46"/>
        <v>1.1219144859813084</v>
      </c>
      <c r="Q71">
        <f t="shared" si="47"/>
        <v>1.0436271028037383</v>
      </c>
      <c r="R71">
        <f t="shared" si="48"/>
        <v>1.0078093457943924</v>
      </c>
      <c r="S71">
        <f t="shared" si="49"/>
        <v>1.043558878504673</v>
      </c>
      <c r="T71">
        <f t="shared" si="50"/>
        <v>0.85594205607476637</v>
      </c>
      <c r="U71">
        <f t="shared" si="51"/>
        <v>0.89853467654061203</v>
      </c>
      <c r="V71">
        <f t="shared" si="52"/>
        <v>0.87520397426232854</v>
      </c>
      <c r="W71">
        <f t="shared" si="53"/>
        <v>0.82272365044649842</v>
      </c>
      <c r="X71">
        <f t="shared" si="54"/>
        <v>1</v>
      </c>
      <c r="Y71">
        <f t="shared" si="55"/>
        <v>0.93021983033841105</v>
      </c>
      <c r="Z71">
        <f t="shared" si="56"/>
        <v>0.89829426251938327</v>
      </c>
      <c r="AA71">
        <f t="shared" si="57"/>
        <v>0.9301590197330416</v>
      </c>
      <c r="AB71">
        <f t="shared" si="58"/>
        <v>0.76292985496670618</v>
      </c>
      <c r="AD71">
        <f t="shared" si="59"/>
        <v>0.89133353075954513</v>
      </c>
    </row>
    <row r="72" spans="2:30">
      <c r="B72" t="s">
        <v>1354</v>
      </c>
      <c r="C72" t="s">
        <v>1320</v>
      </c>
      <c r="D72" t="str">
        <f t="shared" si="42"/>
        <v>CNW</v>
      </c>
      <c r="E72">
        <f>INDEX('TS COMFR_10'!$J$10:$J$153,MATCH($D72,'TS COMFR_10'!$D$10:$D$153,0)+E$2-1)</f>
        <v>0.26721</v>
      </c>
      <c r="F72">
        <f>INDEX('TS COMFR_10'!$J$10:$J$153,MATCH($D72,'TS COMFR_10'!$D$10:$D$153,0)+F$2-1)</f>
        <v>0.31810999999999978</v>
      </c>
      <c r="G72">
        <f>INDEX('TS COMFR_10'!$J$10:$J$153,MATCH($D72,'TS COMFR_10'!$D$10:$D$153,0)+G$2-1)</f>
        <v>0.10874</v>
      </c>
      <c r="H72">
        <f>INDEX('TS COMFR_10'!$J$10:$J$153,MATCH($D72,'TS COMFR_10'!$D$10:$D$153,0)+H$2-1)</f>
        <v>0.10963000000000001</v>
      </c>
      <c r="I72">
        <f>INDEX('TS COMFR_10'!$J$10:$J$153,MATCH($D72,'TS COMFR_10'!$D$10:$D$153,0)+I$2-1)</f>
        <v>5.0990000000000001E-2</v>
      </c>
      <c r="J72">
        <f>INDEX('TS COMFR_10'!$J$10:$J$153,MATCH($D72,'TS COMFR_10'!$D$10:$D$153,0)+J$2-1)</f>
        <v>8.6169999999999997E-2</v>
      </c>
      <c r="K72">
        <f>INDEX('TS COMFR_10'!$J$10:$J$153,MATCH($D72,'TS COMFR_10'!$D$10:$D$153,0)+K$2-1)</f>
        <v>3.8240000000000003E-2</v>
      </c>
      <c r="L72">
        <f>INDEX('TS COMFR_10'!$J$10:$J$153,MATCH($D72,'TS COMFR_10'!$D$10:$D$153,0)+L$2-1)</f>
        <v>2.0910000000000002E-2</v>
      </c>
      <c r="M72">
        <f t="shared" si="43"/>
        <v>1.008079069767442</v>
      </c>
      <c r="N72">
        <f t="shared" si="44"/>
        <v>0.98190401691331863</v>
      </c>
      <c r="O72">
        <f t="shared" si="45"/>
        <v>0.92302558139534896</v>
      </c>
      <c r="P72">
        <f t="shared" si="46"/>
        <v>1.1219144859813084</v>
      </c>
      <c r="Q72">
        <f t="shared" si="47"/>
        <v>1.0436271028037383</v>
      </c>
      <c r="R72">
        <f t="shared" si="48"/>
        <v>1.0078093457943924</v>
      </c>
      <c r="S72">
        <f t="shared" si="49"/>
        <v>1.043558878504673</v>
      </c>
      <c r="T72">
        <f t="shared" si="50"/>
        <v>0.85594205607476637</v>
      </c>
      <c r="U72">
        <f t="shared" si="51"/>
        <v>0.89853467654061203</v>
      </c>
      <c r="V72">
        <f t="shared" si="52"/>
        <v>0.87520397426232854</v>
      </c>
      <c r="W72">
        <f t="shared" si="53"/>
        <v>0.82272365044649842</v>
      </c>
      <c r="X72">
        <f t="shared" si="54"/>
        <v>1</v>
      </c>
      <c r="Y72">
        <f t="shared" si="55"/>
        <v>0.93021983033841105</v>
      </c>
      <c r="Z72">
        <f t="shared" si="56"/>
        <v>0.89829426251938327</v>
      </c>
      <c r="AA72">
        <f t="shared" si="57"/>
        <v>0.9301590197330416</v>
      </c>
      <c r="AB72">
        <f t="shared" si="58"/>
        <v>0.76292985496670618</v>
      </c>
      <c r="AD72">
        <f t="shared" si="59"/>
        <v>0.89133353075954513</v>
      </c>
    </row>
    <row r="73" spans="2:30">
      <c r="B73" t="s">
        <v>1355</v>
      </c>
      <c r="C73" t="s">
        <v>1322</v>
      </c>
      <c r="D73" t="str">
        <f t="shared" si="42"/>
        <v>CNW</v>
      </c>
      <c r="E73">
        <f>INDEX('TS COMFR_10'!$J$10:$J$153,MATCH($D73,'TS COMFR_10'!$D$10:$D$153,0)+E$2-1)</f>
        <v>0.26721</v>
      </c>
      <c r="F73">
        <f>INDEX('TS COMFR_10'!$J$10:$J$153,MATCH($D73,'TS COMFR_10'!$D$10:$D$153,0)+F$2-1)</f>
        <v>0.31810999999999978</v>
      </c>
      <c r="G73">
        <f>INDEX('TS COMFR_10'!$J$10:$J$153,MATCH($D73,'TS COMFR_10'!$D$10:$D$153,0)+G$2-1)</f>
        <v>0.10874</v>
      </c>
      <c r="H73">
        <f>INDEX('TS COMFR_10'!$J$10:$J$153,MATCH($D73,'TS COMFR_10'!$D$10:$D$153,0)+H$2-1)</f>
        <v>0.10963000000000001</v>
      </c>
      <c r="I73">
        <f>INDEX('TS COMFR_10'!$J$10:$J$153,MATCH($D73,'TS COMFR_10'!$D$10:$D$153,0)+I$2-1)</f>
        <v>5.0990000000000001E-2</v>
      </c>
      <c r="J73">
        <f>INDEX('TS COMFR_10'!$J$10:$J$153,MATCH($D73,'TS COMFR_10'!$D$10:$D$153,0)+J$2-1)</f>
        <v>8.6169999999999997E-2</v>
      </c>
      <c r="K73">
        <f>INDEX('TS COMFR_10'!$J$10:$J$153,MATCH($D73,'TS COMFR_10'!$D$10:$D$153,0)+K$2-1)</f>
        <v>3.8240000000000003E-2</v>
      </c>
      <c r="L73">
        <f>INDEX('TS COMFR_10'!$J$10:$J$153,MATCH($D73,'TS COMFR_10'!$D$10:$D$153,0)+L$2-1)</f>
        <v>2.0910000000000002E-2</v>
      </c>
      <c r="M73">
        <f t="shared" si="43"/>
        <v>1.008079069767442</v>
      </c>
      <c r="N73">
        <f t="shared" si="44"/>
        <v>0.98190401691331863</v>
      </c>
      <c r="O73">
        <f t="shared" si="45"/>
        <v>0.92302558139534896</v>
      </c>
      <c r="P73">
        <f t="shared" si="46"/>
        <v>1.1219144859813084</v>
      </c>
      <c r="Q73">
        <f t="shared" si="47"/>
        <v>1.0436271028037383</v>
      </c>
      <c r="R73">
        <f t="shared" si="48"/>
        <v>1.0078093457943924</v>
      </c>
      <c r="S73">
        <f t="shared" si="49"/>
        <v>1.043558878504673</v>
      </c>
      <c r="T73">
        <f t="shared" si="50"/>
        <v>0.85594205607476637</v>
      </c>
      <c r="U73">
        <f t="shared" si="51"/>
        <v>0.89853467654061203</v>
      </c>
      <c r="V73">
        <f t="shared" si="52"/>
        <v>0.87520397426232854</v>
      </c>
      <c r="W73">
        <f t="shared" si="53"/>
        <v>0.82272365044649842</v>
      </c>
      <c r="X73">
        <f t="shared" si="54"/>
        <v>1</v>
      </c>
      <c r="Y73">
        <f t="shared" si="55"/>
        <v>0.93021983033841105</v>
      </c>
      <c r="Z73">
        <f t="shared" si="56"/>
        <v>0.89829426251938327</v>
      </c>
      <c r="AA73">
        <f t="shared" si="57"/>
        <v>0.9301590197330416</v>
      </c>
      <c r="AB73">
        <f t="shared" si="58"/>
        <v>0.76292985496670618</v>
      </c>
      <c r="AD73">
        <f t="shared" si="59"/>
        <v>0.89133353075954513</v>
      </c>
    </row>
    <row r="74" spans="2:30">
      <c r="B74" t="s">
        <v>1356</v>
      </c>
      <c r="C74" t="s">
        <v>1324</v>
      </c>
      <c r="D74" t="str">
        <f t="shared" si="42"/>
        <v>CNW</v>
      </c>
      <c r="E74">
        <f>INDEX('TS COMFR_10'!$J$10:$J$153,MATCH($D74,'TS COMFR_10'!$D$10:$D$153,0)+E$2-1)</f>
        <v>0.26721</v>
      </c>
      <c r="F74">
        <f>INDEX('TS COMFR_10'!$J$10:$J$153,MATCH($D74,'TS COMFR_10'!$D$10:$D$153,0)+F$2-1)</f>
        <v>0.31810999999999978</v>
      </c>
      <c r="G74">
        <f>INDEX('TS COMFR_10'!$J$10:$J$153,MATCH($D74,'TS COMFR_10'!$D$10:$D$153,0)+G$2-1)</f>
        <v>0.10874</v>
      </c>
      <c r="H74">
        <f>INDEX('TS COMFR_10'!$J$10:$J$153,MATCH($D74,'TS COMFR_10'!$D$10:$D$153,0)+H$2-1)</f>
        <v>0.10963000000000001</v>
      </c>
      <c r="I74">
        <f>INDEX('TS COMFR_10'!$J$10:$J$153,MATCH($D74,'TS COMFR_10'!$D$10:$D$153,0)+I$2-1)</f>
        <v>5.0990000000000001E-2</v>
      </c>
      <c r="J74">
        <f>INDEX('TS COMFR_10'!$J$10:$J$153,MATCH($D74,'TS COMFR_10'!$D$10:$D$153,0)+J$2-1)</f>
        <v>8.6169999999999997E-2</v>
      </c>
      <c r="K74">
        <f>INDEX('TS COMFR_10'!$J$10:$J$153,MATCH($D74,'TS COMFR_10'!$D$10:$D$153,0)+K$2-1)</f>
        <v>3.8240000000000003E-2</v>
      </c>
      <c r="L74">
        <f>INDEX('TS COMFR_10'!$J$10:$J$153,MATCH($D74,'TS COMFR_10'!$D$10:$D$153,0)+L$2-1)</f>
        <v>2.0910000000000002E-2</v>
      </c>
      <c r="M74">
        <f t="shared" si="43"/>
        <v>1.008079069767442</v>
      </c>
      <c r="N74">
        <f t="shared" si="44"/>
        <v>0.98190401691331863</v>
      </c>
      <c r="O74">
        <f t="shared" si="45"/>
        <v>0.92302558139534896</v>
      </c>
      <c r="P74">
        <f t="shared" si="46"/>
        <v>1.1219144859813084</v>
      </c>
      <c r="Q74">
        <f t="shared" si="47"/>
        <v>1.0436271028037383</v>
      </c>
      <c r="R74">
        <f t="shared" si="48"/>
        <v>1.0078093457943924</v>
      </c>
      <c r="S74">
        <f t="shared" si="49"/>
        <v>1.043558878504673</v>
      </c>
      <c r="T74">
        <f t="shared" si="50"/>
        <v>0.85594205607476637</v>
      </c>
      <c r="U74">
        <f t="shared" si="51"/>
        <v>0.89853467654061203</v>
      </c>
      <c r="V74">
        <f t="shared" si="52"/>
        <v>0.87520397426232854</v>
      </c>
      <c r="W74">
        <f t="shared" si="53"/>
        <v>0.82272365044649842</v>
      </c>
      <c r="X74">
        <f t="shared" si="54"/>
        <v>1</v>
      </c>
      <c r="Y74">
        <f t="shared" si="55"/>
        <v>0.93021983033841105</v>
      </c>
      <c r="Z74">
        <f t="shared" si="56"/>
        <v>0.89829426251938327</v>
      </c>
      <c r="AA74">
        <f t="shared" si="57"/>
        <v>0.9301590197330416</v>
      </c>
      <c r="AB74">
        <f t="shared" si="58"/>
        <v>0.76292985496670618</v>
      </c>
      <c r="AD74">
        <f t="shared" si="59"/>
        <v>0.89133353075954513</v>
      </c>
    </row>
    <row r="75" spans="2:30">
      <c r="B75" t="s">
        <v>1357</v>
      </c>
      <c r="C75" t="s">
        <v>1326</v>
      </c>
      <c r="D75" t="str">
        <f t="shared" si="42"/>
        <v>CNW</v>
      </c>
      <c r="E75">
        <f>INDEX('TS COMFR_10'!$J$10:$J$153,MATCH($D75,'TS COMFR_10'!$D$10:$D$153,0)+E$2-1)</f>
        <v>0.26721</v>
      </c>
      <c r="F75">
        <f>INDEX('TS COMFR_10'!$J$10:$J$153,MATCH($D75,'TS COMFR_10'!$D$10:$D$153,0)+F$2-1)</f>
        <v>0.31810999999999978</v>
      </c>
      <c r="G75">
        <f>INDEX('TS COMFR_10'!$J$10:$J$153,MATCH($D75,'TS COMFR_10'!$D$10:$D$153,0)+G$2-1)</f>
        <v>0.10874</v>
      </c>
      <c r="H75">
        <f>INDEX('TS COMFR_10'!$J$10:$J$153,MATCH($D75,'TS COMFR_10'!$D$10:$D$153,0)+H$2-1)</f>
        <v>0.10963000000000001</v>
      </c>
      <c r="I75">
        <f>INDEX('TS COMFR_10'!$J$10:$J$153,MATCH($D75,'TS COMFR_10'!$D$10:$D$153,0)+I$2-1)</f>
        <v>5.0990000000000001E-2</v>
      </c>
      <c r="J75">
        <f>INDEX('TS COMFR_10'!$J$10:$J$153,MATCH($D75,'TS COMFR_10'!$D$10:$D$153,0)+J$2-1)</f>
        <v>8.6169999999999997E-2</v>
      </c>
      <c r="K75">
        <f>INDEX('TS COMFR_10'!$J$10:$J$153,MATCH($D75,'TS COMFR_10'!$D$10:$D$153,0)+K$2-1)</f>
        <v>3.8240000000000003E-2</v>
      </c>
      <c r="L75">
        <f>INDEX('TS COMFR_10'!$J$10:$J$153,MATCH($D75,'TS COMFR_10'!$D$10:$D$153,0)+L$2-1)</f>
        <v>2.0910000000000002E-2</v>
      </c>
      <c r="M75">
        <f t="shared" si="43"/>
        <v>1.008079069767442</v>
      </c>
      <c r="N75">
        <f t="shared" si="44"/>
        <v>0.98190401691331863</v>
      </c>
      <c r="O75">
        <f t="shared" si="45"/>
        <v>0.92302558139534896</v>
      </c>
      <c r="P75">
        <f t="shared" si="46"/>
        <v>1.1219144859813084</v>
      </c>
      <c r="Q75">
        <f t="shared" si="47"/>
        <v>1.0436271028037383</v>
      </c>
      <c r="R75">
        <f t="shared" si="48"/>
        <v>1.0078093457943924</v>
      </c>
      <c r="S75">
        <f t="shared" si="49"/>
        <v>1.043558878504673</v>
      </c>
      <c r="T75">
        <f t="shared" si="50"/>
        <v>0.85594205607476637</v>
      </c>
      <c r="U75">
        <f t="shared" si="51"/>
        <v>0.89853467654061203</v>
      </c>
      <c r="V75">
        <f t="shared" si="52"/>
        <v>0.87520397426232854</v>
      </c>
      <c r="W75">
        <f t="shared" si="53"/>
        <v>0.82272365044649842</v>
      </c>
      <c r="X75">
        <f t="shared" si="54"/>
        <v>1</v>
      </c>
      <c r="Y75">
        <f t="shared" si="55"/>
        <v>0.93021983033841105</v>
      </c>
      <c r="Z75">
        <f t="shared" si="56"/>
        <v>0.89829426251938327</v>
      </c>
      <c r="AA75">
        <f t="shared" si="57"/>
        <v>0.9301590197330416</v>
      </c>
      <c r="AB75">
        <f t="shared" si="58"/>
        <v>0.76292985496670618</v>
      </c>
      <c r="AD75">
        <f t="shared" si="59"/>
        <v>0.89133353075954513</v>
      </c>
    </row>
    <row r="76" spans="2:30">
      <c r="B76" t="s">
        <v>1417</v>
      </c>
      <c r="C76" t="s">
        <v>1390</v>
      </c>
      <c r="D76" t="str">
        <f t="shared" si="42"/>
        <v>CNG</v>
      </c>
      <c r="E76">
        <f>INDEX('TS COMFR_10'!$J$10:$J$153,MATCH($D76,'TS COMFR_10'!$D$10:$D$153,0)+E$2-1)</f>
        <v>0.44383000000000006</v>
      </c>
      <c r="F76">
        <f>INDEX('TS COMFR_10'!$J$10:$J$153,MATCH($D76,'TS COMFR_10'!$D$10:$D$153,0)+F$2-1)</f>
        <v>0.15719</v>
      </c>
      <c r="G76">
        <f>INDEX('TS COMFR_10'!$J$10:$J$153,MATCH($D76,'TS COMFR_10'!$D$10:$D$153,0)+G$2-1)</f>
        <v>9.3039999999999998E-2</v>
      </c>
      <c r="H76">
        <f>INDEX('TS COMFR_10'!$J$10:$J$153,MATCH($D76,'TS COMFR_10'!$D$10:$D$153,0)+H$2-1)</f>
        <v>0.17882999999999999</v>
      </c>
      <c r="I76">
        <f>INDEX('TS COMFR_10'!$J$10:$J$153,MATCH($D76,'TS COMFR_10'!$D$10:$D$153,0)+I$2-1)</f>
        <v>6.4829999999999999E-2</v>
      </c>
      <c r="J76">
        <f>INDEX('TS COMFR_10'!$J$10:$J$153,MATCH($D76,'TS COMFR_10'!$D$10:$D$153,0)+J$2-1)</f>
        <v>1.4E-3</v>
      </c>
      <c r="K76">
        <f>INDEX('TS COMFR_10'!$J$10:$J$153,MATCH($D76,'TS COMFR_10'!$D$10:$D$153,0)+K$2-1)</f>
        <v>2.2669999999999999E-2</v>
      </c>
      <c r="L76">
        <f>INDEX('TS COMFR_10'!$J$10:$J$153,MATCH($D76,'TS COMFR_10'!$D$10:$D$153,0)+L$2-1)</f>
        <v>3.8210000000000001E-2</v>
      </c>
      <c r="M76">
        <f t="shared" si="43"/>
        <v>1.674397416020672</v>
      </c>
      <c r="N76">
        <f t="shared" si="44"/>
        <v>0.48519534883720933</v>
      </c>
      <c r="O76">
        <f t="shared" si="45"/>
        <v>0.78975813953488383</v>
      </c>
      <c r="P76">
        <f t="shared" si="46"/>
        <v>1.8300827102803736</v>
      </c>
      <c r="Q76">
        <f t="shared" si="47"/>
        <v>1.3268943925233643</v>
      </c>
      <c r="R76">
        <f t="shared" si="48"/>
        <v>1.6373831775700932E-2</v>
      </c>
      <c r="S76">
        <f t="shared" si="49"/>
        <v>0.61865794392523354</v>
      </c>
      <c r="T76">
        <f t="shared" si="50"/>
        <v>1.5641102803738318</v>
      </c>
      <c r="U76">
        <f t="shared" si="51"/>
        <v>0.91492991361256559</v>
      </c>
      <c r="V76">
        <f t="shared" si="52"/>
        <v>0.26512208771311546</v>
      </c>
      <c r="W76">
        <f t="shared" si="53"/>
        <v>0.43154232051833918</v>
      </c>
      <c r="X76">
        <f t="shared" si="54"/>
        <v>1</v>
      </c>
      <c r="Y76">
        <f t="shared" si="55"/>
        <v>0.72504613319912758</v>
      </c>
      <c r="Z76">
        <f t="shared" si="56"/>
        <v>8.9470446793043674E-3</v>
      </c>
      <c r="AA76">
        <f t="shared" si="57"/>
        <v>0.3380491714663833</v>
      </c>
      <c r="AB76">
        <f t="shared" si="58"/>
        <v>0.85466644299054984</v>
      </c>
      <c r="AD76">
        <f t="shared" si="59"/>
        <v>0.54642339080226443</v>
      </c>
    </row>
    <row r="77" spans="2:30">
      <c r="B77" t="s">
        <v>1418</v>
      </c>
      <c r="C77" t="s">
        <v>1392</v>
      </c>
      <c r="D77" t="str">
        <f t="shared" si="42"/>
        <v>CNG</v>
      </c>
      <c r="E77">
        <f>INDEX('TS COMFR_10'!$J$10:$J$153,MATCH($D77,'TS COMFR_10'!$D$10:$D$153,0)+E$2-1)</f>
        <v>0.44383000000000006</v>
      </c>
      <c r="F77">
        <f>INDEX('TS COMFR_10'!$J$10:$J$153,MATCH($D77,'TS COMFR_10'!$D$10:$D$153,0)+F$2-1)</f>
        <v>0.15719</v>
      </c>
      <c r="G77">
        <f>INDEX('TS COMFR_10'!$J$10:$J$153,MATCH($D77,'TS COMFR_10'!$D$10:$D$153,0)+G$2-1)</f>
        <v>9.3039999999999998E-2</v>
      </c>
      <c r="H77">
        <f>INDEX('TS COMFR_10'!$J$10:$J$153,MATCH($D77,'TS COMFR_10'!$D$10:$D$153,0)+H$2-1)</f>
        <v>0.17882999999999999</v>
      </c>
      <c r="I77">
        <f>INDEX('TS COMFR_10'!$J$10:$J$153,MATCH($D77,'TS COMFR_10'!$D$10:$D$153,0)+I$2-1)</f>
        <v>6.4829999999999999E-2</v>
      </c>
      <c r="J77">
        <f>INDEX('TS COMFR_10'!$J$10:$J$153,MATCH($D77,'TS COMFR_10'!$D$10:$D$153,0)+J$2-1)</f>
        <v>1.4E-3</v>
      </c>
      <c r="K77">
        <f>INDEX('TS COMFR_10'!$J$10:$J$153,MATCH($D77,'TS COMFR_10'!$D$10:$D$153,0)+K$2-1)</f>
        <v>2.2669999999999999E-2</v>
      </c>
      <c r="L77">
        <f>INDEX('TS COMFR_10'!$J$10:$J$153,MATCH($D77,'TS COMFR_10'!$D$10:$D$153,0)+L$2-1)</f>
        <v>3.8210000000000001E-2</v>
      </c>
      <c r="M77">
        <f t="shared" si="43"/>
        <v>1.674397416020672</v>
      </c>
      <c r="N77">
        <f t="shared" si="44"/>
        <v>0.48519534883720933</v>
      </c>
      <c r="O77">
        <f t="shared" si="45"/>
        <v>0.78975813953488383</v>
      </c>
      <c r="P77">
        <f t="shared" si="46"/>
        <v>1.8300827102803736</v>
      </c>
      <c r="Q77">
        <f t="shared" si="47"/>
        <v>1.3268943925233643</v>
      </c>
      <c r="R77">
        <f t="shared" si="48"/>
        <v>1.6373831775700932E-2</v>
      </c>
      <c r="S77">
        <f t="shared" si="49"/>
        <v>0.61865794392523354</v>
      </c>
      <c r="T77">
        <f t="shared" si="50"/>
        <v>1.5641102803738318</v>
      </c>
      <c r="U77">
        <f t="shared" si="51"/>
        <v>0.91492991361256559</v>
      </c>
      <c r="V77">
        <f t="shared" si="52"/>
        <v>0.26512208771311546</v>
      </c>
      <c r="W77">
        <f t="shared" si="53"/>
        <v>0.43154232051833918</v>
      </c>
      <c r="X77">
        <f t="shared" si="54"/>
        <v>1</v>
      </c>
      <c r="Y77">
        <f t="shared" si="55"/>
        <v>0.72504613319912758</v>
      </c>
      <c r="Z77">
        <f t="shared" si="56"/>
        <v>8.9470446793043674E-3</v>
      </c>
      <c r="AA77">
        <f t="shared" si="57"/>
        <v>0.3380491714663833</v>
      </c>
      <c r="AB77">
        <f t="shared" si="58"/>
        <v>0.85466644299054984</v>
      </c>
      <c r="AD77">
        <f t="shared" si="59"/>
        <v>0.54642339080226443</v>
      </c>
    </row>
    <row r="78" spans="2:30">
      <c r="B78" t="s">
        <v>1419</v>
      </c>
      <c r="C78" t="s">
        <v>1394</v>
      </c>
      <c r="D78" t="str">
        <f t="shared" si="42"/>
        <v>CNG</v>
      </c>
      <c r="E78">
        <f>INDEX('TS COMFR_10'!$J$10:$J$153,MATCH($D78,'TS COMFR_10'!$D$10:$D$153,0)+E$2-1)</f>
        <v>0.44383000000000006</v>
      </c>
      <c r="F78">
        <f>INDEX('TS COMFR_10'!$J$10:$J$153,MATCH($D78,'TS COMFR_10'!$D$10:$D$153,0)+F$2-1)</f>
        <v>0.15719</v>
      </c>
      <c r="G78">
        <f>INDEX('TS COMFR_10'!$J$10:$J$153,MATCH($D78,'TS COMFR_10'!$D$10:$D$153,0)+G$2-1)</f>
        <v>9.3039999999999998E-2</v>
      </c>
      <c r="H78">
        <f>INDEX('TS COMFR_10'!$J$10:$J$153,MATCH($D78,'TS COMFR_10'!$D$10:$D$153,0)+H$2-1)</f>
        <v>0.17882999999999999</v>
      </c>
      <c r="I78">
        <f>INDEX('TS COMFR_10'!$J$10:$J$153,MATCH($D78,'TS COMFR_10'!$D$10:$D$153,0)+I$2-1)</f>
        <v>6.4829999999999999E-2</v>
      </c>
      <c r="J78">
        <f>INDEX('TS COMFR_10'!$J$10:$J$153,MATCH($D78,'TS COMFR_10'!$D$10:$D$153,0)+J$2-1)</f>
        <v>1.4E-3</v>
      </c>
      <c r="K78">
        <f>INDEX('TS COMFR_10'!$J$10:$J$153,MATCH($D78,'TS COMFR_10'!$D$10:$D$153,0)+K$2-1)</f>
        <v>2.2669999999999999E-2</v>
      </c>
      <c r="L78">
        <f>INDEX('TS COMFR_10'!$J$10:$J$153,MATCH($D78,'TS COMFR_10'!$D$10:$D$153,0)+L$2-1)</f>
        <v>3.8210000000000001E-2</v>
      </c>
      <c r="M78">
        <f t="shared" si="43"/>
        <v>1.674397416020672</v>
      </c>
      <c r="N78">
        <f t="shared" si="44"/>
        <v>0.48519534883720933</v>
      </c>
      <c r="O78">
        <f t="shared" si="45"/>
        <v>0.78975813953488383</v>
      </c>
      <c r="P78">
        <f t="shared" si="46"/>
        <v>1.8300827102803736</v>
      </c>
      <c r="Q78">
        <f t="shared" si="47"/>
        <v>1.3268943925233643</v>
      </c>
      <c r="R78">
        <f t="shared" si="48"/>
        <v>1.6373831775700932E-2</v>
      </c>
      <c r="S78">
        <f t="shared" si="49"/>
        <v>0.61865794392523354</v>
      </c>
      <c r="T78">
        <f t="shared" si="50"/>
        <v>1.5641102803738318</v>
      </c>
      <c r="U78">
        <f t="shared" si="51"/>
        <v>0.91492991361256559</v>
      </c>
      <c r="V78">
        <f t="shared" si="52"/>
        <v>0.26512208771311546</v>
      </c>
      <c r="W78">
        <f t="shared" si="53"/>
        <v>0.43154232051833918</v>
      </c>
      <c r="X78">
        <f t="shared" si="54"/>
        <v>1</v>
      </c>
      <c r="Y78">
        <f t="shared" si="55"/>
        <v>0.72504613319912758</v>
      </c>
      <c r="Z78">
        <f t="shared" si="56"/>
        <v>8.9470446793043674E-3</v>
      </c>
      <c r="AA78">
        <f t="shared" si="57"/>
        <v>0.3380491714663833</v>
      </c>
      <c r="AB78">
        <f t="shared" si="58"/>
        <v>0.85466644299054984</v>
      </c>
      <c r="AD78">
        <f t="shared" si="59"/>
        <v>0.54642339080226443</v>
      </c>
    </row>
    <row r="79" spans="2:30">
      <c r="B79" t="s">
        <v>1420</v>
      </c>
      <c r="C79" t="s">
        <v>1396</v>
      </c>
      <c r="D79" t="str">
        <f t="shared" si="42"/>
        <v>CNG</v>
      </c>
      <c r="E79">
        <f>INDEX('TS COMFR_10'!$J$10:$J$153,MATCH($D79,'TS COMFR_10'!$D$10:$D$153,0)+E$2-1)</f>
        <v>0.44383000000000006</v>
      </c>
      <c r="F79">
        <f>INDEX('TS COMFR_10'!$J$10:$J$153,MATCH($D79,'TS COMFR_10'!$D$10:$D$153,0)+F$2-1)</f>
        <v>0.15719</v>
      </c>
      <c r="G79">
        <f>INDEX('TS COMFR_10'!$J$10:$J$153,MATCH($D79,'TS COMFR_10'!$D$10:$D$153,0)+G$2-1)</f>
        <v>9.3039999999999998E-2</v>
      </c>
      <c r="H79">
        <f>INDEX('TS COMFR_10'!$J$10:$J$153,MATCH($D79,'TS COMFR_10'!$D$10:$D$153,0)+H$2-1)</f>
        <v>0.17882999999999999</v>
      </c>
      <c r="I79">
        <f>INDEX('TS COMFR_10'!$J$10:$J$153,MATCH($D79,'TS COMFR_10'!$D$10:$D$153,0)+I$2-1)</f>
        <v>6.4829999999999999E-2</v>
      </c>
      <c r="J79">
        <f>INDEX('TS COMFR_10'!$J$10:$J$153,MATCH($D79,'TS COMFR_10'!$D$10:$D$153,0)+J$2-1)</f>
        <v>1.4E-3</v>
      </c>
      <c r="K79">
        <f>INDEX('TS COMFR_10'!$J$10:$J$153,MATCH($D79,'TS COMFR_10'!$D$10:$D$153,0)+K$2-1)</f>
        <v>2.2669999999999999E-2</v>
      </c>
      <c r="L79">
        <f>INDEX('TS COMFR_10'!$J$10:$J$153,MATCH($D79,'TS COMFR_10'!$D$10:$D$153,0)+L$2-1)</f>
        <v>3.8210000000000001E-2</v>
      </c>
      <c r="M79">
        <f t="shared" si="43"/>
        <v>1.674397416020672</v>
      </c>
      <c r="N79">
        <f t="shared" si="44"/>
        <v>0.48519534883720933</v>
      </c>
      <c r="O79">
        <f t="shared" si="45"/>
        <v>0.78975813953488383</v>
      </c>
      <c r="P79">
        <f t="shared" si="46"/>
        <v>1.8300827102803736</v>
      </c>
      <c r="Q79">
        <f t="shared" si="47"/>
        <v>1.3268943925233643</v>
      </c>
      <c r="R79">
        <f t="shared" si="48"/>
        <v>1.6373831775700932E-2</v>
      </c>
      <c r="S79">
        <f t="shared" si="49"/>
        <v>0.61865794392523354</v>
      </c>
      <c r="T79">
        <f t="shared" si="50"/>
        <v>1.5641102803738318</v>
      </c>
      <c r="U79">
        <f t="shared" si="51"/>
        <v>0.91492991361256559</v>
      </c>
      <c r="V79">
        <f t="shared" si="52"/>
        <v>0.26512208771311546</v>
      </c>
      <c r="W79">
        <f t="shared" si="53"/>
        <v>0.43154232051833918</v>
      </c>
      <c r="X79">
        <f t="shared" si="54"/>
        <v>1</v>
      </c>
      <c r="Y79">
        <f t="shared" si="55"/>
        <v>0.72504613319912758</v>
      </c>
      <c r="Z79">
        <f t="shared" si="56"/>
        <v>8.9470446793043674E-3</v>
      </c>
      <c r="AA79">
        <f t="shared" si="57"/>
        <v>0.3380491714663833</v>
      </c>
      <c r="AB79">
        <f t="shared" si="58"/>
        <v>0.85466644299054984</v>
      </c>
      <c r="AD79">
        <f t="shared" si="59"/>
        <v>0.54642339080226443</v>
      </c>
    </row>
    <row r="80" spans="2:30">
      <c r="B80" t="s">
        <v>1421</v>
      </c>
      <c r="C80" t="s">
        <v>1398</v>
      </c>
      <c r="D80" t="str">
        <f t="shared" si="42"/>
        <v>CNG</v>
      </c>
      <c r="E80">
        <f>INDEX('TS COMFR_10'!$J$10:$J$153,MATCH($D80,'TS COMFR_10'!$D$10:$D$153,0)+E$2-1)</f>
        <v>0.44383000000000006</v>
      </c>
      <c r="F80">
        <f>INDEX('TS COMFR_10'!$J$10:$J$153,MATCH($D80,'TS COMFR_10'!$D$10:$D$153,0)+F$2-1)</f>
        <v>0.15719</v>
      </c>
      <c r="G80">
        <f>INDEX('TS COMFR_10'!$J$10:$J$153,MATCH($D80,'TS COMFR_10'!$D$10:$D$153,0)+G$2-1)</f>
        <v>9.3039999999999998E-2</v>
      </c>
      <c r="H80">
        <f>INDEX('TS COMFR_10'!$J$10:$J$153,MATCH($D80,'TS COMFR_10'!$D$10:$D$153,0)+H$2-1)</f>
        <v>0.17882999999999999</v>
      </c>
      <c r="I80">
        <f>INDEX('TS COMFR_10'!$J$10:$J$153,MATCH($D80,'TS COMFR_10'!$D$10:$D$153,0)+I$2-1)</f>
        <v>6.4829999999999999E-2</v>
      </c>
      <c r="J80">
        <f>INDEX('TS COMFR_10'!$J$10:$J$153,MATCH($D80,'TS COMFR_10'!$D$10:$D$153,0)+J$2-1)</f>
        <v>1.4E-3</v>
      </c>
      <c r="K80">
        <f>INDEX('TS COMFR_10'!$J$10:$J$153,MATCH($D80,'TS COMFR_10'!$D$10:$D$153,0)+K$2-1)</f>
        <v>2.2669999999999999E-2</v>
      </c>
      <c r="L80">
        <f>INDEX('TS COMFR_10'!$J$10:$J$153,MATCH($D80,'TS COMFR_10'!$D$10:$D$153,0)+L$2-1)</f>
        <v>3.8210000000000001E-2</v>
      </c>
      <c r="M80">
        <f t="shared" si="43"/>
        <v>1.674397416020672</v>
      </c>
      <c r="N80">
        <f t="shared" si="44"/>
        <v>0.48519534883720933</v>
      </c>
      <c r="O80">
        <f t="shared" si="45"/>
        <v>0.78975813953488383</v>
      </c>
      <c r="P80">
        <f t="shared" si="46"/>
        <v>1.8300827102803736</v>
      </c>
      <c r="Q80">
        <f t="shared" si="47"/>
        <v>1.3268943925233643</v>
      </c>
      <c r="R80">
        <f t="shared" si="48"/>
        <v>1.6373831775700932E-2</v>
      </c>
      <c r="S80">
        <f t="shared" si="49"/>
        <v>0.61865794392523354</v>
      </c>
      <c r="T80">
        <f t="shared" si="50"/>
        <v>1.5641102803738318</v>
      </c>
      <c r="U80">
        <f t="shared" si="51"/>
        <v>0.91492991361256559</v>
      </c>
      <c r="V80">
        <f t="shared" si="52"/>
        <v>0.26512208771311546</v>
      </c>
      <c r="W80">
        <f t="shared" si="53"/>
        <v>0.43154232051833918</v>
      </c>
      <c r="X80">
        <f t="shared" si="54"/>
        <v>1</v>
      </c>
      <c r="Y80">
        <f t="shared" si="55"/>
        <v>0.72504613319912758</v>
      </c>
      <c r="Z80">
        <f t="shared" si="56"/>
        <v>8.9470446793043674E-3</v>
      </c>
      <c r="AA80">
        <f t="shared" si="57"/>
        <v>0.3380491714663833</v>
      </c>
      <c r="AB80">
        <f t="shared" si="58"/>
        <v>0.85466644299054984</v>
      </c>
      <c r="AD80">
        <f t="shared" si="59"/>
        <v>0.54642339080226443</v>
      </c>
    </row>
    <row r="81" spans="2:30">
      <c r="B81" t="s">
        <v>1422</v>
      </c>
      <c r="C81" t="s">
        <v>1400</v>
      </c>
      <c r="D81" t="str">
        <f t="shared" si="42"/>
        <v>CNG</v>
      </c>
      <c r="E81">
        <f>INDEX('TS COMFR_10'!$J$10:$J$153,MATCH($D81,'TS COMFR_10'!$D$10:$D$153,0)+E$2-1)</f>
        <v>0.44383000000000006</v>
      </c>
      <c r="F81">
        <f>INDEX('TS COMFR_10'!$J$10:$J$153,MATCH($D81,'TS COMFR_10'!$D$10:$D$153,0)+F$2-1)</f>
        <v>0.15719</v>
      </c>
      <c r="G81">
        <f>INDEX('TS COMFR_10'!$J$10:$J$153,MATCH($D81,'TS COMFR_10'!$D$10:$D$153,0)+G$2-1)</f>
        <v>9.3039999999999998E-2</v>
      </c>
      <c r="H81">
        <f>INDEX('TS COMFR_10'!$J$10:$J$153,MATCH($D81,'TS COMFR_10'!$D$10:$D$153,0)+H$2-1)</f>
        <v>0.17882999999999999</v>
      </c>
      <c r="I81">
        <f>INDEX('TS COMFR_10'!$J$10:$J$153,MATCH($D81,'TS COMFR_10'!$D$10:$D$153,0)+I$2-1)</f>
        <v>6.4829999999999999E-2</v>
      </c>
      <c r="J81">
        <f>INDEX('TS COMFR_10'!$J$10:$J$153,MATCH($D81,'TS COMFR_10'!$D$10:$D$153,0)+J$2-1)</f>
        <v>1.4E-3</v>
      </c>
      <c r="K81">
        <f>INDEX('TS COMFR_10'!$J$10:$J$153,MATCH($D81,'TS COMFR_10'!$D$10:$D$153,0)+K$2-1)</f>
        <v>2.2669999999999999E-2</v>
      </c>
      <c r="L81">
        <f>INDEX('TS COMFR_10'!$J$10:$J$153,MATCH($D81,'TS COMFR_10'!$D$10:$D$153,0)+L$2-1)</f>
        <v>3.8210000000000001E-2</v>
      </c>
      <c r="M81">
        <f t="shared" si="43"/>
        <v>1.674397416020672</v>
      </c>
      <c r="N81">
        <f t="shared" si="44"/>
        <v>0.48519534883720933</v>
      </c>
      <c r="O81">
        <f t="shared" si="45"/>
        <v>0.78975813953488383</v>
      </c>
      <c r="P81">
        <f t="shared" si="46"/>
        <v>1.8300827102803736</v>
      </c>
      <c r="Q81">
        <f t="shared" si="47"/>
        <v>1.3268943925233643</v>
      </c>
      <c r="R81">
        <f t="shared" si="48"/>
        <v>1.6373831775700932E-2</v>
      </c>
      <c r="S81">
        <f t="shared" si="49"/>
        <v>0.61865794392523354</v>
      </c>
      <c r="T81">
        <f t="shared" si="50"/>
        <v>1.5641102803738318</v>
      </c>
      <c r="U81">
        <f t="shared" si="51"/>
        <v>0.91492991361256559</v>
      </c>
      <c r="V81">
        <f t="shared" si="52"/>
        <v>0.26512208771311546</v>
      </c>
      <c r="W81">
        <f t="shared" si="53"/>
        <v>0.43154232051833918</v>
      </c>
      <c r="X81">
        <f t="shared" si="54"/>
        <v>1</v>
      </c>
      <c r="Y81">
        <f t="shared" si="55"/>
        <v>0.72504613319912758</v>
      </c>
      <c r="Z81">
        <f t="shared" si="56"/>
        <v>8.9470446793043674E-3</v>
      </c>
      <c r="AA81">
        <f t="shared" si="57"/>
        <v>0.3380491714663833</v>
      </c>
      <c r="AB81">
        <f t="shared" si="58"/>
        <v>0.85466644299054984</v>
      </c>
      <c r="AD81">
        <f t="shared" si="59"/>
        <v>0.54642339080226443</v>
      </c>
    </row>
    <row r="82" spans="2:30">
      <c r="B82" t="s">
        <v>1423</v>
      </c>
      <c r="C82" t="s">
        <v>1402</v>
      </c>
      <c r="D82" t="str">
        <f t="shared" si="42"/>
        <v>CNT</v>
      </c>
      <c r="E82">
        <f>INDEX('TS COMFR_10'!$J$10:$J$153,MATCH($D82,'TS COMFR_10'!$D$10:$D$153,0)+E$2-1)</f>
        <v>0.26721</v>
      </c>
      <c r="F82">
        <f>INDEX('TS COMFR_10'!$J$10:$J$153,MATCH($D82,'TS COMFR_10'!$D$10:$D$153,0)+F$2-1)</f>
        <v>0.31810999999999978</v>
      </c>
      <c r="G82">
        <f>INDEX('TS COMFR_10'!$J$10:$J$153,MATCH($D82,'TS COMFR_10'!$D$10:$D$153,0)+G$2-1)</f>
        <v>0.10874</v>
      </c>
      <c r="H82">
        <f>INDEX('TS COMFR_10'!$J$10:$J$153,MATCH($D82,'TS COMFR_10'!$D$10:$D$153,0)+H$2-1)</f>
        <v>0.10963000000000001</v>
      </c>
      <c r="I82">
        <f>INDEX('TS COMFR_10'!$J$10:$J$153,MATCH($D82,'TS COMFR_10'!$D$10:$D$153,0)+I$2-1)</f>
        <v>5.0990000000000001E-2</v>
      </c>
      <c r="J82">
        <f>INDEX('TS COMFR_10'!$J$10:$J$153,MATCH($D82,'TS COMFR_10'!$D$10:$D$153,0)+J$2-1)</f>
        <v>8.6169999999999997E-2</v>
      </c>
      <c r="K82">
        <f>INDEX('TS COMFR_10'!$J$10:$J$153,MATCH($D82,'TS COMFR_10'!$D$10:$D$153,0)+K$2-1)</f>
        <v>3.8240000000000003E-2</v>
      </c>
      <c r="L82">
        <f>INDEX('TS COMFR_10'!$J$10:$J$153,MATCH($D82,'TS COMFR_10'!$D$10:$D$153,0)+L$2-1)</f>
        <v>2.0910000000000002E-2</v>
      </c>
      <c r="M82">
        <f t="shared" si="43"/>
        <v>1.008079069767442</v>
      </c>
      <c r="N82">
        <f t="shared" si="44"/>
        <v>0.98190401691331863</v>
      </c>
      <c r="O82">
        <f t="shared" si="45"/>
        <v>0.92302558139534896</v>
      </c>
      <c r="P82">
        <f t="shared" si="46"/>
        <v>1.1219144859813084</v>
      </c>
      <c r="Q82">
        <f t="shared" si="47"/>
        <v>1.0436271028037383</v>
      </c>
      <c r="R82">
        <f t="shared" si="48"/>
        <v>1.0078093457943924</v>
      </c>
      <c r="S82">
        <f t="shared" si="49"/>
        <v>1.043558878504673</v>
      </c>
      <c r="T82">
        <f t="shared" si="50"/>
        <v>0.85594205607476637</v>
      </c>
      <c r="U82">
        <f t="shared" si="51"/>
        <v>0.89853467654061203</v>
      </c>
      <c r="V82">
        <f t="shared" si="52"/>
        <v>0.87520397426232854</v>
      </c>
      <c r="W82">
        <f t="shared" si="53"/>
        <v>0.82272365044649842</v>
      </c>
      <c r="X82">
        <f t="shared" si="54"/>
        <v>1</v>
      </c>
      <c r="Y82">
        <f t="shared" si="55"/>
        <v>0.93021983033841105</v>
      </c>
      <c r="Z82">
        <f t="shared" si="56"/>
        <v>0.89829426251938327</v>
      </c>
      <c r="AA82">
        <f t="shared" si="57"/>
        <v>0.9301590197330416</v>
      </c>
      <c r="AB82">
        <f t="shared" si="58"/>
        <v>0.76292985496670618</v>
      </c>
      <c r="AD82">
        <f t="shared" si="59"/>
        <v>0.89133353075954513</v>
      </c>
    </row>
    <row r="83" spans="2:30">
      <c r="B83" t="s">
        <v>1424</v>
      </c>
      <c r="C83" t="s">
        <v>1328</v>
      </c>
      <c r="D83" t="str">
        <f t="shared" si="42"/>
        <v>CNO</v>
      </c>
      <c r="E83">
        <f>INDEX('TS COMFR_10'!$J$10:$J$153,MATCH($D83,'TS COMFR_10'!$D$10:$D$153,0)+E$2-1)</f>
        <v>0.14651</v>
      </c>
      <c r="F83">
        <f>INDEX('TS COMFR_10'!$J$10:$J$153,MATCH($D83,'TS COMFR_10'!$D$10:$D$153,0)+F$2-1)</f>
        <v>0.43703000000000009</v>
      </c>
      <c r="G83">
        <f>INDEX('TS COMFR_10'!$J$10:$J$153,MATCH($D83,'TS COMFR_10'!$D$10:$D$153,0)+G$2-1)</f>
        <v>0.11051999999999999</v>
      </c>
      <c r="H83">
        <f>INDEX('TS COMFR_10'!$J$10:$J$153,MATCH($D83,'TS COMFR_10'!$D$10:$D$153,0)+H$2-1)</f>
        <v>6.2839999999999993E-2</v>
      </c>
      <c r="I83">
        <f>INDEX('TS COMFR_10'!$J$10:$J$153,MATCH($D83,'TS COMFR_10'!$D$10:$D$153,0)+I$2-1)</f>
        <v>5.6410000000000002E-2</v>
      </c>
      <c r="J83">
        <f>INDEX('TS COMFR_10'!$J$10:$J$153,MATCH($D83,'TS COMFR_10'!$D$10:$D$153,0)+J$2-1)</f>
        <v>0.13208</v>
      </c>
      <c r="K83">
        <f>INDEX('TS COMFR_10'!$J$10:$J$153,MATCH($D83,'TS COMFR_10'!$D$10:$D$153,0)+K$2-1)</f>
        <v>4.3810000000000002E-2</v>
      </c>
      <c r="L83">
        <f>INDEX('TS COMFR_10'!$J$10:$J$153,MATCH($D83,'TS COMFR_10'!$D$10:$D$153,0)+L$2-1)</f>
        <v>1.0800000000000001E-2</v>
      </c>
      <c r="M83">
        <f t="shared" si="43"/>
        <v>0.55272506459948323</v>
      </c>
      <c r="N83">
        <f t="shared" si="44"/>
        <v>1.3489720930232563</v>
      </c>
      <c r="O83">
        <f t="shared" si="45"/>
        <v>0.93813488372093023</v>
      </c>
      <c r="P83">
        <f t="shared" si="46"/>
        <v>0.64308224299065408</v>
      </c>
      <c r="Q83">
        <f t="shared" si="47"/>
        <v>1.1545598130841122</v>
      </c>
      <c r="R83">
        <f t="shared" si="48"/>
        <v>1.5447540720961281</v>
      </c>
      <c r="S83">
        <f t="shared" si="49"/>
        <v>1.1955626168224298</v>
      </c>
      <c r="T83">
        <f t="shared" si="50"/>
        <v>0.44209345794392524</v>
      </c>
      <c r="U83">
        <f t="shared" si="51"/>
        <v>0.3578078055165585</v>
      </c>
      <c r="V83">
        <f t="shared" si="52"/>
        <v>0.87326009841345886</v>
      </c>
      <c r="W83">
        <f t="shared" si="53"/>
        <v>0.60730371304213093</v>
      </c>
      <c r="X83">
        <f t="shared" si="54"/>
        <v>0.4163007268322228</v>
      </c>
      <c r="Y83">
        <f t="shared" si="55"/>
        <v>0.74740687462144162</v>
      </c>
      <c r="Z83">
        <f t="shared" si="56"/>
        <v>1</v>
      </c>
      <c r="AA83">
        <f t="shared" si="57"/>
        <v>0.77395013123359579</v>
      </c>
      <c r="AB83">
        <f t="shared" si="58"/>
        <v>0.28619018776499094</v>
      </c>
      <c r="AD83">
        <f t="shared" si="59"/>
        <v>0.64735223428999722</v>
      </c>
    </row>
    <row r="84" spans="2:30">
      <c r="B84" t="s">
        <v>1425</v>
      </c>
      <c r="C84" t="s">
        <v>1330</v>
      </c>
      <c r="D84" t="str">
        <f t="shared" si="42"/>
        <v>CNO</v>
      </c>
      <c r="E84">
        <f>INDEX('TS COMFR_10'!$J$10:$J$153,MATCH($D84,'TS COMFR_10'!$D$10:$D$153,0)+E$2-1)</f>
        <v>0.14651</v>
      </c>
      <c r="F84">
        <f>INDEX('TS COMFR_10'!$J$10:$J$153,MATCH($D84,'TS COMFR_10'!$D$10:$D$153,0)+F$2-1)</f>
        <v>0.43703000000000009</v>
      </c>
      <c r="G84">
        <f>INDEX('TS COMFR_10'!$J$10:$J$153,MATCH($D84,'TS COMFR_10'!$D$10:$D$153,0)+G$2-1)</f>
        <v>0.11051999999999999</v>
      </c>
      <c r="H84">
        <f>INDEX('TS COMFR_10'!$J$10:$J$153,MATCH($D84,'TS COMFR_10'!$D$10:$D$153,0)+H$2-1)</f>
        <v>6.2839999999999993E-2</v>
      </c>
      <c r="I84">
        <f>INDEX('TS COMFR_10'!$J$10:$J$153,MATCH($D84,'TS COMFR_10'!$D$10:$D$153,0)+I$2-1)</f>
        <v>5.6410000000000002E-2</v>
      </c>
      <c r="J84">
        <f>INDEX('TS COMFR_10'!$J$10:$J$153,MATCH($D84,'TS COMFR_10'!$D$10:$D$153,0)+J$2-1)</f>
        <v>0.13208</v>
      </c>
      <c r="K84">
        <f>INDEX('TS COMFR_10'!$J$10:$J$153,MATCH($D84,'TS COMFR_10'!$D$10:$D$153,0)+K$2-1)</f>
        <v>4.3810000000000002E-2</v>
      </c>
      <c r="L84">
        <f>INDEX('TS COMFR_10'!$J$10:$J$153,MATCH($D84,'TS COMFR_10'!$D$10:$D$153,0)+L$2-1)</f>
        <v>1.0800000000000001E-2</v>
      </c>
      <c r="M84">
        <f t="shared" si="43"/>
        <v>0.55272506459948323</v>
      </c>
      <c r="N84">
        <f t="shared" si="44"/>
        <v>1.3489720930232563</v>
      </c>
      <c r="O84">
        <f t="shared" si="45"/>
        <v>0.93813488372093023</v>
      </c>
      <c r="P84">
        <f t="shared" si="46"/>
        <v>0.64308224299065408</v>
      </c>
      <c r="Q84">
        <f t="shared" si="47"/>
        <v>1.1545598130841122</v>
      </c>
      <c r="R84">
        <f t="shared" si="48"/>
        <v>1.5447540720961281</v>
      </c>
      <c r="S84">
        <f t="shared" si="49"/>
        <v>1.1955626168224298</v>
      </c>
      <c r="T84">
        <f t="shared" si="50"/>
        <v>0.44209345794392524</v>
      </c>
      <c r="U84">
        <f t="shared" si="51"/>
        <v>0.3578078055165585</v>
      </c>
      <c r="V84">
        <f t="shared" si="52"/>
        <v>0.87326009841345886</v>
      </c>
      <c r="W84">
        <f t="shared" si="53"/>
        <v>0.60730371304213093</v>
      </c>
      <c r="X84">
        <f t="shared" si="54"/>
        <v>0.4163007268322228</v>
      </c>
      <c r="Y84">
        <f t="shared" si="55"/>
        <v>0.74740687462144162</v>
      </c>
      <c r="Z84">
        <f t="shared" si="56"/>
        <v>1</v>
      </c>
      <c r="AA84">
        <f t="shared" si="57"/>
        <v>0.77395013123359579</v>
      </c>
      <c r="AB84">
        <f t="shared" si="58"/>
        <v>0.28619018776499094</v>
      </c>
      <c r="AD84">
        <f t="shared" si="59"/>
        <v>0.64735223428999722</v>
      </c>
    </row>
    <row r="85" spans="2:30">
      <c r="B85" t="s">
        <v>1426</v>
      </c>
      <c r="C85" t="s">
        <v>1332</v>
      </c>
      <c r="D85" t="str">
        <f t="shared" ref="D85:D89" si="60">LEFT(B85,3)</f>
        <v>CNO</v>
      </c>
      <c r="E85">
        <f>INDEX('TS COMFR_10'!$J$10:$J$153,MATCH($D85,'TS COMFR_10'!$D$10:$D$153,0)+E$2-1)</f>
        <v>0.14651</v>
      </c>
      <c r="F85">
        <f>INDEX('TS COMFR_10'!$J$10:$J$153,MATCH($D85,'TS COMFR_10'!$D$10:$D$153,0)+F$2-1)</f>
        <v>0.43703000000000009</v>
      </c>
      <c r="G85">
        <f>INDEX('TS COMFR_10'!$J$10:$J$153,MATCH($D85,'TS COMFR_10'!$D$10:$D$153,0)+G$2-1)</f>
        <v>0.11051999999999999</v>
      </c>
      <c r="H85">
        <f>INDEX('TS COMFR_10'!$J$10:$J$153,MATCH($D85,'TS COMFR_10'!$D$10:$D$153,0)+H$2-1)</f>
        <v>6.2839999999999993E-2</v>
      </c>
      <c r="I85">
        <f>INDEX('TS COMFR_10'!$J$10:$J$153,MATCH($D85,'TS COMFR_10'!$D$10:$D$153,0)+I$2-1)</f>
        <v>5.6410000000000002E-2</v>
      </c>
      <c r="J85">
        <f>INDEX('TS COMFR_10'!$J$10:$J$153,MATCH($D85,'TS COMFR_10'!$D$10:$D$153,0)+J$2-1)</f>
        <v>0.13208</v>
      </c>
      <c r="K85">
        <f>INDEX('TS COMFR_10'!$J$10:$J$153,MATCH($D85,'TS COMFR_10'!$D$10:$D$153,0)+K$2-1)</f>
        <v>4.3810000000000002E-2</v>
      </c>
      <c r="L85">
        <f>INDEX('TS COMFR_10'!$J$10:$J$153,MATCH($D85,'TS COMFR_10'!$D$10:$D$153,0)+L$2-1)</f>
        <v>1.0800000000000001E-2</v>
      </c>
      <c r="M85">
        <f t="shared" ref="M85:M89" si="61">E85/E$1</f>
        <v>0.55272506459948323</v>
      </c>
      <c r="N85">
        <f t="shared" ref="N85:N89" si="62">F85/F$1</f>
        <v>1.3489720930232563</v>
      </c>
      <c r="O85">
        <f t="shared" ref="O85:O89" si="63">G85/G$1</f>
        <v>0.93813488372093023</v>
      </c>
      <c r="P85">
        <f t="shared" ref="P85:P89" si="64">H85/H$1</f>
        <v>0.64308224299065408</v>
      </c>
      <c r="Q85">
        <f t="shared" ref="Q85:Q89" si="65">I85/I$1</f>
        <v>1.1545598130841122</v>
      </c>
      <c r="R85">
        <f t="shared" ref="R85:R89" si="66">J85/J$1</f>
        <v>1.5447540720961281</v>
      </c>
      <c r="S85">
        <f t="shared" ref="S85:S89" si="67">K85/K$1</f>
        <v>1.1955626168224298</v>
      </c>
      <c r="T85">
        <f t="shared" ref="T85:T89" si="68">L85/L$1</f>
        <v>0.44209345794392524</v>
      </c>
      <c r="U85">
        <f t="shared" ref="U85:U89" si="69">M85/MAX($M85:$T85)</f>
        <v>0.3578078055165585</v>
      </c>
      <c r="V85">
        <f t="shared" ref="V85:V89" si="70">N85/MAX($M85:$T85)</f>
        <v>0.87326009841345886</v>
      </c>
      <c r="W85">
        <f t="shared" ref="W85:W89" si="71">O85/MAX($M85:$T85)</f>
        <v>0.60730371304213093</v>
      </c>
      <c r="X85">
        <f t="shared" ref="X85:X89" si="72">P85/MAX($M85:$T85)</f>
        <v>0.4163007268322228</v>
      </c>
      <c r="Y85">
        <f t="shared" ref="Y85:Y89" si="73">Q85/MAX($M85:$T85)</f>
        <v>0.74740687462144162</v>
      </c>
      <c r="Z85">
        <f t="shared" ref="Z85:Z89" si="74">R85/MAX($M85:$T85)</f>
        <v>1</v>
      </c>
      <c r="AA85">
        <f t="shared" ref="AA85:AA89" si="75">S85/MAX($M85:$T85)</f>
        <v>0.77395013123359579</v>
      </c>
      <c r="AB85">
        <f t="shared" ref="AB85:AB89" si="76">T85/MAX($M85:$T85)</f>
        <v>0.28619018776499094</v>
      </c>
      <c r="AD85">
        <f t="shared" si="59"/>
        <v>0.64735223428999722</v>
      </c>
    </row>
    <row r="86" spans="2:30">
      <c r="B86" t="s">
        <v>1427</v>
      </c>
      <c r="C86" t="s">
        <v>1334</v>
      </c>
      <c r="D86" t="str">
        <f t="shared" si="60"/>
        <v>CNO</v>
      </c>
      <c r="E86">
        <f>INDEX('TS COMFR_10'!$J$10:$J$153,MATCH($D86,'TS COMFR_10'!$D$10:$D$153,0)+E$2-1)</f>
        <v>0.14651</v>
      </c>
      <c r="F86">
        <f>INDEX('TS COMFR_10'!$J$10:$J$153,MATCH($D86,'TS COMFR_10'!$D$10:$D$153,0)+F$2-1)</f>
        <v>0.43703000000000009</v>
      </c>
      <c r="G86">
        <f>INDEX('TS COMFR_10'!$J$10:$J$153,MATCH($D86,'TS COMFR_10'!$D$10:$D$153,0)+G$2-1)</f>
        <v>0.11051999999999999</v>
      </c>
      <c r="H86">
        <f>INDEX('TS COMFR_10'!$J$10:$J$153,MATCH($D86,'TS COMFR_10'!$D$10:$D$153,0)+H$2-1)</f>
        <v>6.2839999999999993E-2</v>
      </c>
      <c r="I86">
        <f>INDEX('TS COMFR_10'!$J$10:$J$153,MATCH($D86,'TS COMFR_10'!$D$10:$D$153,0)+I$2-1)</f>
        <v>5.6410000000000002E-2</v>
      </c>
      <c r="J86">
        <f>INDEX('TS COMFR_10'!$J$10:$J$153,MATCH($D86,'TS COMFR_10'!$D$10:$D$153,0)+J$2-1)</f>
        <v>0.13208</v>
      </c>
      <c r="K86">
        <f>INDEX('TS COMFR_10'!$J$10:$J$153,MATCH($D86,'TS COMFR_10'!$D$10:$D$153,0)+K$2-1)</f>
        <v>4.3810000000000002E-2</v>
      </c>
      <c r="L86">
        <f>INDEX('TS COMFR_10'!$J$10:$J$153,MATCH($D86,'TS COMFR_10'!$D$10:$D$153,0)+L$2-1)</f>
        <v>1.0800000000000001E-2</v>
      </c>
      <c r="M86">
        <f t="shared" si="61"/>
        <v>0.55272506459948323</v>
      </c>
      <c r="N86">
        <f t="shared" si="62"/>
        <v>1.3489720930232563</v>
      </c>
      <c r="O86">
        <f t="shared" si="63"/>
        <v>0.93813488372093023</v>
      </c>
      <c r="P86">
        <f t="shared" si="64"/>
        <v>0.64308224299065408</v>
      </c>
      <c r="Q86">
        <f t="shared" si="65"/>
        <v>1.1545598130841122</v>
      </c>
      <c r="R86">
        <f t="shared" si="66"/>
        <v>1.5447540720961281</v>
      </c>
      <c r="S86">
        <f t="shared" si="67"/>
        <v>1.1955626168224298</v>
      </c>
      <c r="T86">
        <f t="shared" si="68"/>
        <v>0.44209345794392524</v>
      </c>
      <c r="U86">
        <f t="shared" si="69"/>
        <v>0.3578078055165585</v>
      </c>
      <c r="V86">
        <f t="shared" si="70"/>
        <v>0.87326009841345886</v>
      </c>
      <c r="W86">
        <f t="shared" si="71"/>
        <v>0.60730371304213093</v>
      </c>
      <c r="X86">
        <f t="shared" si="72"/>
        <v>0.4163007268322228</v>
      </c>
      <c r="Y86">
        <f t="shared" si="73"/>
        <v>0.74740687462144162</v>
      </c>
      <c r="Z86">
        <f t="shared" si="74"/>
        <v>1</v>
      </c>
      <c r="AA86">
        <f t="shared" si="75"/>
        <v>0.77395013123359579</v>
      </c>
      <c r="AB86">
        <f t="shared" si="76"/>
        <v>0.28619018776499094</v>
      </c>
      <c r="AD86">
        <f t="shared" si="59"/>
        <v>0.64735223428999722</v>
      </c>
    </row>
    <row r="87" spans="2:30">
      <c r="B87" t="s">
        <v>1428</v>
      </c>
      <c r="C87" t="s">
        <v>1336</v>
      </c>
      <c r="D87" t="str">
        <f t="shared" si="60"/>
        <v>CNO</v>
      </c>
      <c r="E87">
        <f>INDEX('TS COMFR_10'!$J$10:$J$153,MATCH($D87,'TS COMFR_10'!$D$10:$D$153,0)+E$2-1)</f>
        <v>0.14651</v>
      </c>
      <c r="F87">
        <f>INDEX('TS COMFR_10'!$J$10:$J$153,MATCH($D87,'TS COMFR_10'!$D$10:$D$153,0)+F$2-1)</f>
        <v>0.43703000000000009</v>
      </c>
      <c r="G87">
        <f>INDEX('TS COMFR_10'!$J$10:$J$153,MATCH($D87,'TS COMFR_10'!$D$10:$D$153,0)+G$2-1)</f>
        <v>0.11051999999999999</v>
      </c>
      <c r="H87">
        <f>INDEX('TS COMFR_10'!$J$10:$J$153,MATCH($D87,'TS COMFR_10'!$D$10:$D$153,0)+H$2-1)</f>
        <v>6.2839999999999993E-2</v>
      </c>
      <c r="I87">
        <f>INDEX('TS COMFR_10'!$J$10:$J$153,MATCH($D87,'TS COMFR_10'!$D$10:$D$153,0)+I$2-1)</f>
        <v>5.6410000000000002E-2</v>
      </c>
      <c r="J87">
        <f>INDEX('TS COMFR_10'!$J$10:$J$153,MATCH($D87,'TS COMFR_10'!$D$10:$D$153,0)+J$2-1)</f>
        <v>0.13208</v>
      </c>
      <c r="K87">
        <f>INDEX('TS COMFR_10'!$J$10:$J$153,MATCH($D87,'TS COMFR_10'!$D$10:$D$153,0)+K$2-1)</f>
        <v>4.3810000000000002E-2</v>
      </c>
      <c r="L87">
        <f>INDEX('TS COMFR_10'!$J$10:$J$153,MATCH($D87,'TS COMFR_10'!$D$10:$D$153,0)+L$2-1)</f>
        <v>1.0800000000000001E-2</v>
      </c>
      <c r="M87">
        <f t="shared" si="61"/>
        <v>0.55272506459948323</v>
      </c>
      <c r="N87">
        <f t="shared" si="62"/>
        <v>1.3489720930232563</v>
      </c>
      <c r="O87">
        <f t="shared" si="63"/>
        <v>0.93813488372093023</v>
      </c>
      <c r="P87">
        <f t="shared" si="64"/>
        <v>0.64308224299065408</v>
      </c>
      <c r="Q87">
        <f t="shared" si="65"/>
        <v>1.1545598130841122</v>
      </c>
      <c r="R87">
        <f t="shared" si="66"/>
        <v>1.5447540720961281</v>
      </c>
      <c r="S87">
        <f t="shared" si="67"/>
        <v>1.1955626168224298</v>
      </c>
      <c r="T87">
        <f t="shared" si="68"/>
        <v>0.44209345794392524</v>
      </c>
      <c r="U87">
        <f t="shared" si="69"/>
        <v>0.3578078055165585</v>
      </c>
      <c r="V87">
        <f t="shared" si="70"/>
        <v>0.87326009841345886</v>
      </c>
      <c r="W87">
        <f t="shared" si="71"/>
        <v>0.60730371304213093</v>
      </c>
      <c r="X87">
        <f t="shared" si="72"/>
        <v>0.4163007268322228</v>
      </c>
      <c r="Y87">
        <f t="shared" si="73"/>
        <v>0.74740687462144162</v>
      </c>
      <c r="Z87">
        <f t="shared" si="74"/>
        <v>1</v>
      </c>
      <c r="AA87">
        <f t="shared" si="75"/>
        <v>0.77395013123359579</v>
      </c>
      <c r="AB87">
        <f t="shared" si="76"/>
        <v>0.28619018776499094</v>
      </c>
      <c r="AD87">
        <f t="shared" si="59"/>
        <v>0.64735223428999722</v>
      </c>
    </row>
    <row r="88" spans="2:30">
      <c r="B88" t="s">
        <v>1429</v>
      </c>
      <c r="C88" t="s">
        <v>1338</v>
      </c>
      <c r="D88" t="str">
        <f t="shared" si="60"/>
        <v>CNO</v>
      </c>
      <c r="E88">
        <f>INDEX('TS COMFR_10'!$J$10:$J$153,MATCH($D88,'TS COMFR_10'!$D$10:$D$153,0)+E$2-1)</f>
        <v>0.14651</v>
      </c>
      <c r="F88">
        <f>INDEX('TS COMFR_10'!$J$10:$J$153,MATCH($D88,'TS COMFR_10'!$D$10:$D$153,0)+F$2-1)</f>
        <v>0.43703000000000009</v>
      </c>
      <c r="G88">
        <f>INDEX('TS COMFR_10'!$J$10:$J$153,MATCH($D88,'TS COMFR_10'!$D$10:$D$153,0)+G$2-1)</f>
        <v>0.11051999999999999</v>
      </c>
      <c r="H88">
        <f>INDEX('TS COMFR_10'!$J$10:$J$153,MATCH($D88,'TS COMFR_10'!$D$10:$D$153,0)+H$2-1)</f>
        <v>6.2839999999999993E-2</v>
      </c>
      <c r="I88">
        <f>INDEX('TS COMFR_10'!$J$10:$J$153,MATCH($D88,'TS COMFR_10'!$D$10:$D$153,0)+I$2-1)</f>
        <v>5.6410000000000002E-2</v>
      </c>
      <c r="J88">
        <f>INDEX('TS COMFR_10'!$J$10:$J$153,MATCH($D88,'TS COMFR_10'!$D$10:$D$153,0)+J$2-1)</f>
        <v>0.13208</v>
      </c>
      <c r="K88">
        <f>INDEX('TS COMFR_10'!$J$10:$J$153,MATCH($D88,'TS COMFR_10'!$D$10:$D$153,0)+K$2-1)</f>
        <v>4.3810000000000002E-2</v>
      </c>
      <c r="L88">
        <f>INDEX('TS COMFR_10'!$J$10:$J$153,MATCH($D88,'TS COMFR_10'!$D$10:$D$153,0)+L$2-1)</f>
        <v>1.0800000000000001E-2</v>
      </c>
      <c r="M88">
        <f t="shared" si="61"/>
        <v>0.55272506459948323</v>
      </c>
      <c r="N88">
        <f t="shared" si="62"/>
        <v>1.3489720930232563</v>
      </c>
      <c r="O88">
        <f t="shared" si="63"/>
        <v>0.93813488372093023</v>
      </c>
      <c r="P88">
        <f t="shared" si="64"/>
        <v>0.64308224299065408</v>
      </c>
      <c r="Q88">
        <f t="shared" si="65"/>
        <v>1.1545598130841122</v>
      </c>
      <c r="R88">
        <f t="shared" si="66"/>
        <v>1.5447540720961281</v>
      </c>
      <c r="S88">
        <f t="shared" si="67"/>
        <v>1.1955626168224298</v>
      </c>
      <c r="T88">
        <f t="shared" si="68"/>
        <v>0.44209345794392524</v>
      </c>
      <c r="U88">
        <f t="shared" si="69"/>
        <v>0.3578078055165585</v>
      </c>
      <c r="V88">
        <f t="shared" si="70"/>
        <v>0.87326009841345886</v>
      </c>
      <c r="W88">
        <f t="shared" si="71"/>
        <v>0.60730371304213093</v>
      </c>
      <c r="X88">
        <f t="shared" si="72"/>
        <v>0.4163007268322228</v>
      </c>
      <c r="Y88">
        <f t="shared" si="73"/>
        <v>0.74740687462144162</v>
      </c>
      <c r="Z88">
        <f t="shared" si="74"/>
        <v>1</v>
      </c>
      <c r="AA88">
        <f t="shared" si="75"/>
        <v>0.77395013123359579</v>
      </c>
      <c r="AB88">
        <f t="shared" si="76"/>
        <v>0.28619018776499094</v>
      </c>
      <c r="AD88">
        <f t="shared" si="59"/>
        <v>0.64735223428999722</v>
      </c>
    </row>
    <row r="89" spans="2:30">
      <c r="B89" t="s">
        <v>1430</v>
      </c>
      <c r="C89" t="s">
        <v>1340</v>
      </c>
      <c r="D89" t="str">
        <f t="shared" si="60"/>
        <v>CNO</v>
      </c>
      <c r="E89">
        <f>INDEX('TS COMFR_10'!$J$10:$J$153,MATCH($D89,'TS COMFR_10'!$D$10:$D$153,0)+E$2-1)</f>
        <v>0.14651</v>
      </c>
      <c r="F89">
        <f>INDEX('TS COMFR_10'!$J$10:$J$153,MATCH($D89,'TS COMFR_10'!$D$10:$D$153,0)+F$2-1)</f>
        <v>0.43703000000000009</v>
      </c>
      <c r="G89">
        <f>INDEX('TS COMFR_10'!$J$10:$J$153,MATCH($D89,'TS COMFR_10'!$D$10:$D$153,0)+G$2-1)</f>
        <v>0.11051999999999999</v>
      </c>
      <c r="H89">
        <f>INDEX('TS COMFR_10'!$J$10:$J$153,MATCH($D89,'TS COMFR_10'!$D$10:$D$153,0)+H$2-1)</f>
        <v>6.2839999999999993E-2</v>
      </c>
      <c r="I89">
        <f>INDEX('TS COMFR_10'!$J$10:$J$153,MATCH($D89,'TS COMFR_10'!$D$10:$D$153,0)+I$2-1)</f>
        <v>5.6410000000000002E-2</v>
      </c>
      <c r="J89">
        <f>INDEX('TS COMFR_10'!$J$10:$J$153,MATCH($D89,'TS COMFR_10'!$D$10:$D$153,0)+J$2-1)</f>
        <v>0.13208</v>
      </c>
      <c r="K89">
        <f>INDEX('TS COMFR_10'!$J$10:$J$153,MATCH($D89,'TS COMFR_10'!$D$10:$D$153,0)+K$2-1)</f>
        <v>4.3810000000000002E-2</v>
      </c>
      <c r="L89">
        <f>INDEX('TS COMFR_10'!$J$10:$J$153,MATCH($D89,'TS COMFR_10'!$D$10:$D$153,0)+L$2-1)</f>
        <v>1.0800000000000001E-2</v>
      </c>
      <c r="M89">
        <f t="shared" si="61"/>
        <v>0.55272506459948323</v>
      </c>
      <c r="N89">
        <f t="shared" si="62"/>
        <v>1.3489720930232563</v>
      </c>
      <c r="O89">
        <f t="shared" si="63"/>
        <v>0.93813488372093023</v>
      </c>
      <c r="P89">
        <f t="shared" si="64"/>
        <v>0.64308224299065408</v>
      </c>
      <c r="Q89">
        <f t="shared" si="65"/>
        <v>1.1545598130841122</v>
      </c>
      <c r="R89">
        <f t="shared" si="66"/>
        <v>1.5447540720961281</v>
      </c>
      <c r="S89">
        <f t="shared" si="67"/>
        <v>1.1955626168224298</v>
      </c>
      <c r="T89">
        <f t="shared" si="68"/>
        <v>0.44209345794392524</v>
      </c>
      <c r="U89">
        <f t="shared" si="69"/>
        <v>0.3578078055165585</v>
      </c>
      <c r="V89">
        <f t="shared" si="70"/>
        <v>0.87326009841345886</v>
      </c>
      <c r="W89">
        <f t="shared" si="71"/>
        <v>0.60730371304213093</v>
      </c>
      <c r="X89">
        <f t="shared" si="72"/>
        <v>0.4163007268322228</v>
      </c>
      <c r="Y89">
        <f t="shared" si="73"/>
        <v>0.74740687462144162</v>
      </c>
      <c r="Z89">
        <f t="shared" si="74"/>
        <v>1</v>
      </c>
      <c r="AA89">
        <f t="shared" si="75"/>
        <v>0.77395013123359579</v>
      </c>
      <c r="AB89">
        <f t="shared" si="76"/>
        <v>0.28619018776499094</v>
      </c>
      <c r="AD89">
        <f t="shared" si="59"/>
        <v>0.64735223428999722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theme="9" tint="-0.249977111117893"/>
  </sheetPr>
  <dimension ref="A1:AX397"/>
  <sheetViews>
    <sheetView topLeftCell="A39" workbookViewId="0"/>
  </sheetViews>
  <sheetFormatPr defaultColWidth="11.42578125" defaultRowHeight="11.25"/>
  <cols>
    <col min="1" max="1" width="12.140625" style="304" customWidth="1"/>
    <col min="2" max="2" width="12" style="304" customWidth="1"/>
    <col min="3" max="3" width="14.5703125" style="304" customWidth="1"/>
    <col min="4" max="8" width="11.42578125" style="304" customWidth="1"/>
    <col min="9" max="10" width="7.42578125" style="304" customWidth="1"/>
    <col min="11" max="14" width="5.42578125" style="304" customWidth="1"/>
    <col min="15" max="15" width="5.42578125" style="657" customWidth="1"/>
    <col min="16"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657">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COM_2012!$E$59</f>
        <v>3</v>
      </c>
    </row>
    <row r="11" spans="1:50">
      <c r="A11" s="304" t="s">
        <v>709</v>
      </c>
      <c r="B11" s="363" t="s">
        <v>736</v>
      </c>
      <c r="C11" s="363" t="s">
        <v>732</v>
      </c>
      <c r="D11" s="363" t="s">
        <v>463</v>
      </c>
      <c r="E11" s="363" t="s">
        <v>463</v>
      </c>
      <c r="F11" s="363" t="s">
        <v>463</v>
      </c>
      <c r="G11" s="363" t="s">
        <v>463</v>
      </c>
      <c r="H11" s="363" t="s">
        <v>737</v>
      </c>
      <c r="I11" s="368">
        <v>0</v>
      </c>
      <c r="AX11" s="304">
        <f>COM_2012!$F$59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COM_2012!$G$59</f>
        <v>5</v>
      </c>
    </row>
    <row r="14" spans="1:50">
      <c r="A14" s="304" t="s">
        <v>740</v>
      </c>
      <c r="B14" s="363" t="s">
        <v>762</v>
      </c>
      <c r="C14" s="363" t="s">
        <v>732</v>
      </c>
      <c r="D14" s="363" t="s">
        <v>463</v>
      </c>
      <c r="E14" s="363" t="s">
        <v>463</v>
      </c>
      <c r="F14" s="363" t="s">
        <v>463</v>
      </c>
      <c r="G14" s="363" t="s">
        <v>463</v>
      </c>
      <c r="H14" s="363" t="s">
        <v>463</v>
      </c>
      <c r="I14" s="368">
        <v>0</v>
      </c>
      <c r="AX14" s="304">
        <f>COM_2012!I59</f>
        <v>7</v>
      </c>
    </row>
    <row r="15" spans="1:50">
      <c r="A15" s="304" t="s">
        <v>742</v>
      </c>
      <c r="B15" s="363" t="s">
        <v>776</v>
      </c>
      <c r="C15" s="363" t="s">
        <v>732</v>
      </c>
      <c r="D15" s="363" t="s">
        <v>463</v>
      </c>
      <c r="E15" s="363" t="s">
        <v>463</v>
      </c>
      <c r="F15" s="363" t="s">
        <v>463</v>
      </c>
      <c r="G15" s="363" t="s">
        <v>463</v>
      </c>
      <c r="H15" s="363" t="s">
        <v>463</v>
      </c>
      <c r="I15" s="368">
        <v>0</v>
      </c>
      <c r="AX15" s="304">
        <f>COM_2012!J59</f>
        <v>8</v>
      </c>
    </row>
    <row r="16" spans="1:50">
      <c r="A16" s="304" t="s">
        <v>775</v>
      </c>
      <c r="B16" s="363" t="s">
        <v>743</v>
      </c>
      <c r="C16" s="363" t="s">
        <v>732</v>
      </c>
      <c r="D16" s="363" t="s">
        <v>463</v>
      </c>
      <c r="E16" s="363" t="s">
        <v>463</v>
      </c>
      <c r="F16" s="363" t="s">
        <v>463</v>
      </c>
      <c r="G16" s="363" t="s">
        <v>463</v>
      </c>
      <c r="H16" s="363" t="s">
        <v>463</v>
      </c>
      <c r="I16" s="368">
        <v>0</v>
      </c>
      <c r="AX16" s="304">
        <f>COM_2012!$H$59</f>
        <v>6</v>
      </c>
    </row>
    <row r="17" spans="1:49">
      <c r="A17" s="304" t="s">
        <v>709</v>
      </c>
      <c r="B17" s="363"/>
      <c r="C17" s="363"/>
      <c r="D17" s="363"/>
      <c r="E17" s="363"/>
      <c r="F17" s="363"/>
      <c r="G17" s="363"/>
      <c r="H17" s="363"/>
      <c r="I17" s="368"/>
    </row>
    <row r="18" spans="1:49">
      <c r="B18" s="369" t="s">
        <v>731</v>
      </c>
      <c r="C18" s="369" t="str">
        <f>ITEMS_Tech!C9</f>
        <v>ZZCOMCEC</v>
      </c>
      <c r="D18" s="369" t="s">
        <v>463</v>
      </c>
      <c r="E18" s="369" t="s">
        <v>733</v>
      </c>
      <c r="F18" s="369" t="s">
        <v>463</v>
      </c>
      <c r="G18" s="369" t="s">
        <v>734</v>
      </c>
      <c r="H18" s="369" t="s">
        <v>463</v>
      </c>
      <c r="I18" s="370">
        <v>0</v>
      </c>
      <c r="J18" s="304">
        <v>1</v>
      </c>
    </row>
    <row r="19" spans="1:49">
      <c r="B19" s="369" t="s">
        <v>731</v>
      </c>
      <c r="C19" s="369" t="str">
        <f>ITEMS_Tech!C10</f>
        <v>ZZCOMCEH</v>
      </c>
      <c r="D19" s="369" t="s">
        <v>463</v>
      </c>
      <c r="E19" s="369" t="s">
        <v>733</v>
      </c>
      <c r="F19" s="369" t="s">
        <v>463</v>
      </c>
      <c r="G19" s="369" t="s">
        <v>734</v>
      </c>
      <c r="H19" s="369" t="s">
        <v>463</v>
      </c>
      <c r="I19" s="370">
        <v>0</v>
      </c>
      <c r="J19" s="304">
        <v>1</v>
      </c>
    </row>
    <row r="20" spans="1:49">
      <c r="B20" s="369" t="s">
        <v>731</v>
      </c>
      <c r="C20" s="369" t="str">
        <f>ITEMS_Tech!C11</f>
        <v>ZZCOMCEK</v>
      </c>
      <c r="D20" s="369" t="s">
        <v>463</v>
      </c>
      <c r="E20" s="369" t="s">
        <v>733</v>
      </c>
      <c r="F20" s="369" t="s">
        <v>463</v>
      </c>
      <c r="G20" s="369" t="s">
        <v>734</v>
      </c>
      <c r="H20" s="369" t="s">
        <v>463</v>
      </c>
      <c r="I20" s="370">
        <v>0</v>
      </c>
      <c r="J20" s="304">
        <v>1</v>
      </c>
    </row>
    <row r="21" spans="1:49">
      <c r="B21" s="369" t="s">
        <v>731</v>
      </c>
      <c r="C21" s="369" t="str">
        <f>ITEMS_Tech!C12</f>
        <v>ZZCOMCEL</v>
      </c>
      <c r="D21" s="369" t="s">
        <v>463</v>
      </c>
      <c r="E21" s="369" t="s">
        <v>733</v>
      </c>
      <c r="F21" s="369" t="s">
        <v>463</v>
      </c>
      <c r="G21" s="369" t="s">
        <v>734</v>
      </c>
      <c r="H21" s="369" t="s">
        <v>463</v>
      </c>
      <c r="I21" s="370">
        <v>0</v>
      </c>
      <c r="J21" s="304">
        <v>1</v>
      </c>
    </row>
    <row r="22" spans="1:49">
      <c r="B22" s="369" t="s">
        <v>731</v>
      </c>
      <c r="C22" s="369" t="str">
        <f>ITEMS_Tech!C13</f>
        <v>ZZCOMCER</v>
      </c>
      <c r="D22" s="369" t="s">
        <v>463</v>
      </c>
      <c r="E22" s="369" t="s">
        <v>733</v>
      </c>
      <c r="F22" s="369" t="s">
        <v>463</v>
      </c>
      <c r="G22" s="369" t="s">
        <v>734</v>
      </c>
      <c r="H22" s="369" t="s">
        <v>463</v>
      </c>
      <c r="I22" s="370">
        <v>0</v>
      </c>
      <c r="J22" s="304">
        <v>1</v>
      </c>
    </row>
    <row r="23" spans="1:49">
      <c r="B23" s="369" t="s">
        <v>731</v>
      </c>
      <c r="C23" s="369" t="str">
        <f>ITEMS_Tech!C14</f>
        <v>ZZCOMCEW</v>
      </c>
      <c r="D23" s="369" t="s">
        <v>463</v>
      </c>
      <c r="E23" s="369" t="s">
        <v>733</v>
      </c>
      <c r="F23" s="369" t="s">
        <v>463</v>
      </c>
      <c r="G23" s="369" t="s">
        <v>734</v>
      </c>
      <c r="H23" s="369" t="s">
        <v>463</v>
      </c>
      <c r="I23" s="370">
        <v>0</v>
      </c>
      <c r="J23" s="304">
        <v>1</v>
      </c>
    </row>
    <row r="24" spans="1:49">
      <c r="B24" s="369" t="s">
        <v>731</v>
      </c>
      <c r="C24" s="369" t="str">
        <f>ITEMS_Tech!C15</f>
        <v>ZZCOMCEG</v>
      </c>
      <c r="D24" s="369" t="s">
        <v>463</v>
      </c>
      <c r="E24" s="369" t="s">
        <v>733</v>
      </c>
      <c r="F24" s="369" t="s">
        <v>463</v>
      </c>
      <c r="G24" s="369" t="s">
        <v>734</v>
      </c>
      <c r="H24" s="369" t="s">
        <v>463</v>
      </c>
      <c r="I24" s="370">
        <v>0</v>
      </c>
      <c r="J24" s="304">
        <v>1</v>
      </c>
    </row>
    <row r="25" spans="1:49">
      <c r="B25" s="369" t="s">
        <v>731</v>
      </c>
      <c r="C25" s="369" t="str">
        <f>ITEMS_Tech!C16</f>
        <v>ZZCOMCET</v>
      </c>
      <c r="D25" s="369" t="s">
        <v>463</v>
      </c>
      <c r="E25" s="369" t="s">
        <v>733</v>
      </c>
      <c r="F25" s="369" t="s">
        <v>463</v>
      </c>
      <c r="G25" s="369" t="s">
        <v>734</v>
      </c>
      <c r="H25" s="369" t="s">
        <v>463</v>
      </c>
      <c r="I25" s="370">
        <v>0</v>
      </c>
      <c r="J25" s="304">
        <v>1</v>
      </c>
    </row>
    <row r="26" spans="1:49">
      <c r="B26" s="369" t="s">
        <v>731</v>
      </c>
      <c r="C26" s="369" t="str">
        <f>ITEMS_Tech!C17</f>
        <v>ZZCOMCEO</v>
      </c>
      <c r="D26" s="369" t="s">
        <v>463</v>
      </c>
      <c r="E26" s="369" t="s">
        <v>733</v>
      </c>
      <c r="F26" s="369" t="s">
        <v>463</v>
      </c>
      <c r="G26" s="369" t="s">
        <v>734</v>
      </c>
      <c r="H26" s="369" t="s">
        <v>463</v>
      </c>
      <c r="I26" s="370">
        <v>0</v>
      </c>
      <c r="J26" s="304">
        <v>1</v>
      </c>
    </row>
    <row r="27" spans="1:49">
      <c r="A27" s="304" t="s">
        <v>709</v>
      </c>
      <c r="B27" s="369"/>
      <c r="C27" s="369"/>
      <c r="D27" s="369"/>
      <c r="E27" s="369"/>
      <c r="F27" s="369"/>
      <c r="G27" s="369"/>
      <c r="H27" s="369"/>
      <c r="I27" s="370"/>
    </row>
    <row r="28" spans="1:49">
      <c r="A28" s="304" t="str">
        <f ca="1">IF(LEFT(OFFSET(COM_2012!$A$60,AW28,0),2)="\I","*","")</f>
        <v/>
      </c>
      <c r="B28" s="369" t="str">
        <f t="shared" ref="B28:B91" ca="1" si="2">IF(A28="*","",VLOOKUP("*"&amp;AV28,$A$9:$B$16,2,FALSE))</f>
        <v>ACT_EFF</v>
      </c>
      <c r="C28" s="369" t="str">
        <f ca="1">IF($A28="*","",OFFSET(COM_2012!$B$60,AW28,0))</f>
        <v>CECELCCHIL-E</v>
      </c>
      <c r="D28" s="369" t="str">
        <f t="shared" ref="D28:I46" ca="1" si="3">IF($A28="*","",VLOOKUP($B28,$B$10:$I$16,D$9,FALSE))</f>
        <v>-</v>
      </c>
      <c r="E28" s="369" t="str">
        <f t="shared" ref="E28:I46" ca="1" si="4">IF($A28="*","",VLOOKUP($B28,$B$10:$I$16,E$9,FALSE))</f>
        <v>ACTGRP</v>
      </c>
      <c r="F28" s="369" t="str">
        <f t="shared" ca="1" si="4"/>
        <v>-</v>
      </c>
      <c r="G28" s="369" t="str">
        <f t="shared" ca="1" si="4"/>
        <v>ANNUAL</v>
      </c>
      <c r="H28" s="369" t="str">
        <f t="shared" ca="1" si="4"/>
        <v>-</v>
      </c>
      <c r="I28" s="370">
        <f t="shared" ca="1" si="4"/>
        <v>0</v>
      </c>
      <c r="J28" s="391">
        <f ca="1">IF($A28="*","",OFFSET(COM_2012!$B$60,AW28,SUMIF($B$10:$B$16,B28,$AX$10:$AX$16)))</f>
        <v>2.2000000000000002</v>
      </c>
      <c r="K28" s="369" t="str">
        <f ca="1">IF($B28&lt;&gt;"PRC_RESID","",IF(K$7=2005+OFFSET(COM_2012!$B$60,$AW28,SUMIF($B$10:$B$16,"NCAP_TLIFE",$AX$10:$AX$16)),0,""))</f>
        <v/>
      </c>
      <c r="L28" s="369" t="str">
        <f ca="1">IF($B28&lt;&gt;"PRC_RESID","",IF(L$7=2005+OFFSET(COM_2012!$B$60,$AW28,SUMIF($B$10:$B$16,"NCAP_TLIFE",$AX$10:$AX$16)),0,""))</f>
        <v/>
      </c>
      <c r="M28" s="369" t="str">
        <f ca="1">IF($B28&lt;&gt;"PRC_RESID","",IF(M$7=2005+OFFSET(COM_2012!$B$60,$AW28,SUMIF($B$10:$B$16,"NCAP_TLIFE",$AX$10:$AX$16)),0,""))</f>
        <v/>
      </c>
      <c r="N28" s="369" t="str">
        <f ca="1">IF($B28&lt;&gt;"PRC_RESID","",IF(N$7=2005+OFFSET(COM_2012!$B$60,$AW28,SUMIF($B$10:$B$16,"NCAP_TLIFE",$AX$10:$AX$16)),0,""))</f>
        <v/>
      </c>
      <c r="O28" s="658" t="str">
        <f ca="1">IF($B28&lt;&gt;"PRC_RESID","",IF(O$7=2005+OFFSET(COM_2012!$B$60,$AW28,SUMIF($B$10:$B$16,"NCAP_TLIFE",$AX$10:$AX$16)),0,""))</f>
        <v/>
      </c>
      <c r="P28" s="369" t="str">
        <f ca="1">IF($B28&lt;&gt;"PRC_RESID","",IF(P$7=2005+OFFSET(COM_2012!$B$60,$AW28,SUMIF($B$10:$B$16,"NCAP_TLIFE",$AX$10:$AX$16)),0,""))</f>
        <v/>
      </c>
      <c r="Q28" s="369" t="str">
        <f ca="1">IF($B28&lt;&gt;"PRC_RESID","",IF(Q$7=2005+OFFSET(COM_2012!$B$60,$AW28,SUMIF($B$10:$B$16,"NCAP_TLIFE",$AX$10:$AX$16)),0,""))</f>
        <v/>
      </c>
      <c r="R28" s="369" t="str">
        <f ca="1">IF($B28&lt;&gt;"PRC_RESID","",IF(R$7=2005+OFFSET(COM_2012!$B$60,$AW28,SUMIF($B$10:$B$16,"NCAP_TLIFE",$AX$10:$AX$16)),0,""))</f>
        <v/>
      </c>
      <c r="S28" s="369" t="str">
        <f ca="1">IF($B28&lt;&gt;"PRC_RESID","",IF(S$7=2005+OFFSET(COM_2012!$B$60,$AW28,SUMIF($B$10:$B$16,"NCAP_TLIFE",$AX$10:$AX$16)),0,""))</f>
        <v/>
      </c>
      <c r="T28" s="369" t="str">
        <f ca="1">IF($B28&lt;&gt;"PRC_RESID","",IF(T$7=2005+OFFSET(COM_2012!$B$60,$AW28,SUMIF($B$10:$B$16,"NCAP_TLIFE",$AX$10:$AX$16)),0,""))</f>
        <v/>
      </c>
      <c r="U28" s="369" t="str">
        <f ca="1">IF($B28&lt;&gt;"PRC_RESID","",IF(U$7=2005+OFFSET(COM_2012!$B$60,$AW28,SUMIF($B$10:$B$16,"NCAP_TLIFE",$AX$10:$AX$16)),0,""))</f>
        <v/>
      </c>
      <c r="V28" s="369" t="str">
        <f ca="1">IF($B28&lt;&gt;"PRC_RESID","",IF(V$7=2005+OFFSET(COM_2012!$B$60,$AW28,SUMIF($B$10:$B$16,"NCAP_TLIFE",$AX$10:$AX$16)),0,""))</f>
        <v/>
      </c>
      <c r="W28" s="369" t="str">
        <f ca="1">IF($B28&lt;&gt;"PRC_RESID","",IF(W$7=2005+OFFSET(COM_2012!$B$60,$AW28,SUMIF($B$10:$B$16,"NCAP_TLIFE",$AX$10:$AX$16)),0,""))</f>
        <v/>
      </c>
      <c r="X28" s="369" t="str">
        <f ca="1">IF($B28&lt;&gt;"PRC_RESID","",IF(X$7=2005+OFFSET(COM_2012!$B$60,$AW28,SUMIF($B$10:$B$16,"NCAP_TLIFE",$AX$10:$AX$16)),0,""))</f>
        <v/>
      </c>
      <c r="Y28" s="369" t="str">
        <f ca="1">IF($B28&lt;&gt;"PRC_RESID","",IF(Y$7=2005+OFFSET(COM_2012!$B$60,$AW28,SUMIF($B$10:$B$16,"NCAP_TLIFE",$AX$10:$AX$16)),0,""))</f>
        <v/>
      </c>
      <c r="Z28" s="369" t="str">
        <f ca="1">IF($B28&lt;&gt;"PRC_RESID","",IF(Z$7=2005+OFFSET(COM_2012!$B$60,$AW28,SUMIF($B$10:$B$16,"NCAP_TLIFE",$AX$10:$AX$16)),0,""))</f>
        <v/>
      </c>
      <c r="AA28" s="369" t="str">
        <f ca="1">IF($B28&lt;&gt;"PRC_RESID","",IF(AA$7=2005+OFFSET(COM_2012!$B$60,$AW28,SUMIF($B$10:$B$16,"NCAP_TLIFE",$AX$10:$AX$16)),0,""))</f>
        <v/>
      </c>
      <c r="AB28" s="369" t="str">
        <f ca="1">IF($B28&lt;&gt;"PRC_RESID","",IF(AB$7=2005+OFFSET(COM_2012!$B$60,$AW28,SUMIF($B$10:$B$16,"NCAP_TLIFE",$AX$10:$AX$16)),0,""))</f>
        <v/>
      </c>
      <c r="AC28" s="369" t="str">
        <f ca="1">IF($B28&lt;&gt;"PRC_RESID","",IF(AC$7=2005+OFFSET(COM_2012!$B$60,$AW28,SUMIF($B$10:$B$16,"NCAP_TLIFE",$AX$10:$AX$16)),0,""))</f>
        <v/>
      </c>
      <c r="AD28" s="369" t="str">
        <f ca="1">IF($B28&lt;&gt;"PRC_RESID","",IF(AD$7=2005+OFFSET(COM_2012!$B$60,$AW28,SUMIF($B$10:$B$16,"NCAP_TLIFE",$AX$10:$AX$16)),0,""))</f>
        <v/>
      </c>
      <c r="AE28" s="369" t="str">
        <f ca="1">IF($B28&lt;&gt;"PRC_RESID","",IF(AE$7=2005+OFFSET(COM_2012!$B$60,$AW28,SUMIF($B$10:$B$16,"NCAP_TLIFE",$AX$10:$AX$16)),0,""))</f>
        <v/>
      </c>
      <c r="AF28" s="369" t="str">
        <f ca="1">IF($B28&lt;&gt;"PRC_RESID","",IF(AF$7=2005+OFFSET(COM_2012!$B$60,$AW28,SUMIF($B$10:$B$16,"NCAP_TLIFE",$AX$10:$AX$16)),0,""))</f>
        <v/>
      </c>
      <c r="AG28" s="369" t="str">
        <f ca="1">IF($B28&lt;&gt;"PRC_RESID","",IF(AG$7=2005+OFFSET(COM_2012!$B$60,$AW28,SUMIF($B$10:$B$16,"NCAP_TLIFE",$AX$10:$AX$16)),0,""))</f>
        <v/>
      </c>
      <c r="AH28" s="369" t="str">
        <f ca="1">IF($B28&lt;&gt;"PRC_RESID","",IF(AH$7=2005+OFFSET(COM_2012!$B$60,$AW28,SUMIF($B$10:$B$16,"NCAP_TLIFE",$AX$10:$AX$16)),0,""))</f>
        <v/>
      </c>
      <c r="AI28" s="369" t="str">
        <f ca="1">IF($B28&lt;&gt;"PRC_RESID","",IF(AI$7=2005+OFFSET(COM_2012!$B$60,$AW28,SUMIF($B$10:$B$16,"NCAP_TLIFE",$AX$10:$AX$16)),0,""))</f>
        <v/>
      </c>
      <c r="AJ28" s="369" t="str">
        <f ca="1">IF($B28&lt;&gt;"PRC_RESID","",IF(AJ$7=2005+OFFSET(COM_2012!$B$60,$AW28,SUMIF($B$10:$B$16,"NCAP_TLIFE",$AX$10:$AX$16)),0,""))</f>
        <v/>
      </c>
      <c r="AK28" s="369" t="str">
        <f ca="1">IF($B28&lt;&gt;"PRC_RESID","",IF(AK$7=2005+OFFSET(COM_2012!$B$60,$AW28,SUMIF($B$10:$B$16,"NCAP_TLIFE",$AX$10:$AX$16)),0,""))</f>
        <v/>
      </c>
      <c r="AL28" s="369" t="str">
        <f ca="1">IF($B28&lt;&gt;"PRC_RESID","",IF(AL$7=2005+OFFSET(COM_2012!$B$60,$AW28,SUMIF($B$10:$B$16,"NCAP_TLIFE",$AX$10:$AX$16)),0,""))</f>
        <v/>
      </c>
      <c r="AM28" s="369" t="str">
        <f ca="1">IF($B28&lt;&gt;"PRC_RESID","",IF(AM$7=2005+OFFSET(COM_2012!$B$60,$AW28,SUMIF($B$10:$B$16,"NCAP_TLIFE",$AX$10:$AX$16)),0,""))</f>
        <v/>
      </c>
      <c r="AN28" s="369" t="str">
        <f ca="1">IF($B28&lt;&gt;"PRC_RESID","",IF(AN$7=2005+OFFSET(COM_2012!$B$60,$AW28,SUMIF($B$10:$B$16,"NCAP_TLIFE",$AX$10:$AX$16)),0,""))</f>
        <v/>
      </c>
      <c r="AO28" s="369" t="str">
        <f ca="1">IF($B28&lt;&gt;"PRC_RESID","",IF(AO$7=2005+OFFSET(COM_2012!$B$60,$AW28,SUMIF($B$10:$B$16,"NCAP_TLIFE",$AX$10:$AX$16)),0,""))</f>
        <v/>
      </c>
      <c r="AP28" s="369" t="str">
        <f ca="1">IF($B28&lt;&gt;"PRC_RESID","",IF(AP$7=2005+OFFSET(COM_2012!$B$60,$AW28,SUMIF($B$10:$B$16,"NCAP_TLIFE",$AX$10:$AX$16)),0,""))</f>
        <v/>
      </c>
      <c r="AQ28" s="369" t="str">
        <f ca="1">IF($B28&lt;&gt;"PRC_RESID","",IF(AQ$7=2005+OFFSET(COM_2012!$B$60,$AW28,SUMIF($B$10:$B$16,"NCAP_TLIFE",$AX$10:$AX$16)),0,""))</f>
        <v/>
      </c>
      <c r="AR28" s="369" t="str">
        <f ca="1">IF($B28&lt;&gt;"PRC_RESID","",IF(AR$7=2005+OFFSET(COM_2012!$B$60,$AW28,SUMIF($B$10:$B$16,"NCAP_TLIFE",$AX$10:$AX$16)),0,""))</f>
        <v/>
      </c>
      <c r="AS28" s="369" t="str">
        <f ca="1">IF($B28&lt;&gt;"PRC_RESID","",IF(AS$7=2005+OFFSET(COM_2012!$B$60,$AW28,SUMIF($B$10:$B$16,"NCAP_TLIFE",$AX$10:$AX$16)),0,""))</f>
        <v/>
      </c>
      <c r="AT28" s="369" t="str">
        <f ca="1">IF($B28&lt;&gt;"PRC_RESID","",IF(AT$7=2005+OFFSET(COM_2012!$B$60,$AW28,SUMIF($B$10:$B$16,"NCAP_TLIFE",$AX$10:$AX$16)),0,""))</f>
        <v/>
      </c>
      <c r="AU28" s="369" t="str">
        <f ca="1">IF($B28&lt;&gt;"PRC_RESID","",IF(AU$7=2005+OFFSET(COM_2012!$B$60,$AW28,SUMIF($B$10:$B$16,"NCAP_TLIFE",$AX$10:$AX$16)),0,""))</f>
        <v/>
      </c>
      <c r="AV28" s="304">
        <v>1</v>
      </c>
      <c r="AW28" s="304">
        <v>1</v>
      </c>
    </row>
    <row r="29" spans="1:49">
      <c r="A29" s="304" t="str">
        <f ca="1">IF(LEFT(OFFSET(COM_2012!$A$60,AW29,0),2)="\I","*","")</f>
        <v/>
      </c>
      <c r="B29" s="369" t="str">
        <f t="shared" ca="1" si="2"/>
        <v>ACT_EFF</v>
      </c>
      <c r="C29" s="369" t="str">
        <f ca="1">IF($A29="*","",OFFSET(COM_2012!$B$60,AW29,0))</f>
        <v>CECELCCEN-E</v>
      </c>
      <c r="D29" s="369" t="str">
        <f t="shared" ca="1" si="3"/>
        <v>-</v>
      </c>
      <c r="E29" s="369" t="str">
        <f t="shared" ca="1" si="4"/>
        <v>ACTGRP</v>
      </c>
      <c r="F29" s="369" t="str">
        <f t="shared" ca="1" si="4"/>
        <v>-</v>
      </c>
      <c r="G29" s="369" t="str">
        <f t="shared" ca="1" si="4"/>
        <v>ANNUAL</v>
      </c>
      <c r="H29" s="369" t="str">
        <f t="shared" ca="1" si="4"/>
        <v>-</v>
      </c>
      <c r="I29" s="370">
        <f t="shared" ca="1" si="4"/>
        <v>0</v>
      </c>
      <c r="J29" s="391">
        <f ca="1">IF($A29="*","",OFFSET(COM_2012!$B$60,AW29,SUMIF($B$10:$B$16,B29,$AX$10:$AX$16)))</f>
        <v>3.1</v>
      </c>
      <c r="K29" s="369" t="str">
        <f ca="1">IF($B29&lt;&gt;"PRC_RESID","",IF(K$7=2005+OFFSET(COM_2012!$B$60,$AW29,SUMIF($B$10:$B$16,"NCAP_TLIFE",$AX$10:$AX$16)),0,""))</f>
        <v/>
      </c>
      <c r="L29" s="369" t="str">
        <f ca="1">IF($B29&lt;&gt;"PRC_RESID","",IF(L$7=2005+OFFSET(COM_2012!$B$60,$AW29,SUMIF($B$10:$B$16,"NCAP_TLIFE",$AX$10:$AX$16)),0,""))</f>
        <v/>
      </c>
      <c r="M29" s="369" t="str">
        <f ca="1">IF($B29&lt;&gt;"PRC_RESID","",IF(M$7=2005+OFFSET(COM_2012!$B$60,$AW29,SUMIF($B$10:$B$16,"NCAP_TLIFE",$AX$10:$AX$16)),0,""))</f>
        <v/>
      </c>
      <c r="N29" s="369" t="str">
        <f ca="1">IF($B29&lt;&gt;"PRC_RESID","",IF(N$7=2005+OFFSET(COM_2012!$B$60,$AW29,SUMIF($B$10:$B$16,"NCAP_TLIFE",$AX$10:$AX$16)),0,""))</f>
        <v/>
      </c>
      <c r="O29" s="658" t="str">
        <f ca="1">IF($B29&lt;&gt;"PRC_RESID","",IF(O$7=2005+OFFSET(COM_2012!$B$60,$AW29,SUMIF($B$10:$B$16,"NCAP_TLIFE",$AX$10:$AX$16)),0,""))</f>
        <v/>
      </c>
      <c r="P29" s="369" t="str">
        <f ca="1">IF($B29&lt;&gt;"PRC_RESID","",IF(P$7=2005+OFFSET(COM_2012!$B$60,$AW29,SUMIF($B$10:$B$16,"NCAP_TLIFE",$AX$10:$AX$16)),0,""))</f>
        <v/>
      </c>
      <c r="Q29" s="369" t="str">
        <f ca="1">IF($B29&lt;&gt;"PRC_RESID","",IF(Q$7=2005+OFFSET(COM_2012!$B$60,$AW29,SUMIF($B$10:$B$16,"NCAP_TLIFE",$AX$10:$AX$16)),0,""))</f>
        <v/>
      </c>
      <c r="R29" s="369" t="str">
        <f ca="1">IF($B29&lt;&gt;"PRC_RESID","",IF(R$7=2005+OFFSET(COM_2012!$B$60,$AW29,SUMIF($B$10:$B$16,"NCAP_TLIFE",$AX$10:$AX$16)),0,""))</f>
        <v/>
      </c>
      <c r="S29" s="369" t="str">
        <f ca="1">IF($B29&lt;&gt;"PRC_RESID","",IF(S$7=2005+OFFSET(COM_2012!$B$60,$AW29,SUMIF($B$10:$B$16,"NCAP_TLIFE",$AX$10:$AX$16)),0,""))</f>
        <v/>
      </c>
      <c r="T29" s="369" t="str">
        <f ca="1">IF($B29&lt;&gt;"PRC_RESID","",IF(T$7=2005+OFFSET(COM_2012!$B$60,$AW29,SUMIF($B$10:$B$16,"NCAP_TLIFE",$AX$10:$AX$16)),0,""))</f>
        <v/>
      </c>
      <c r="U29" s="369" t="str">
        <f ca="1">IF($B29&lt;&gt;"PRC_RESID","",IF(U$7=2005+OFFSET(COM_2012!$B$60,$AW29,SUMIF($B$10:$B$16,"NCAP_TLIFE",$AX$10:$AX$16)),0,""))</f>
        <v/>
      </c>
      <c r="V29" s="369" t="str">
        <f ca="1">IF($B29&lt;&gt;"PRC_RESID","",IF(V$7=2005+OFFSET(COM_2012!$B$60,$AW29,SUMIF($B$10:$B$16,"NCAP_TLIFE",$AX$10:$AX$16)),0,""))</f>
        <v/>
      </c>
      <c r="W29" s="369" t="str">
        <f ca="1">IF($B29&lt;&gt;"PRC_RESID","",IF(W$7=2005+OFFSET(COM_2012!$B$60,$AW29,SUMIF($B$10:$B$16,"NCAP_TLIFE",$AX$10:$AX$16)),0,""))</f>
        <v/>
      </c>
      <c r="X29" s="369" t="str">
        <f ca="1">IF($B29&lt;&gt;"PRC_RESID","",IF(X$7=2005+OFFSET(COM_2012!$B$60,$AW29,SUMIF($B$10:$B$16,"NCAP_TLIFE",$AX$10:$AX$16)),0,""))</f>
        <v/>
      </c>
      <c r="Y29" s="369" t="str">
        <f ca="1">IF($B29&lt;&gt;"PRC_RESID","",IF(Y$7=2005+OFFSET(COM_2012!$B$60,$AW29,SUMIF($B$10:$B$16,"NCAP_TLIFE",$AX$10:$AX$16)),0,""))</f>
        <v/>
      </c>
      <c r="Z29" s="369" t="str">
        <f ca="1">IF($B29&lt;&gt;"PRC_RESID","",IF(Z$7=2005+OFFSET(COM_2012!$B$60,$AW29,SUMIF($B$10:$B$16,"NCAP_TLIFE",$AX$10:$AX$16)),0,""))</f>
        <v/>
      </c>
      <c r="AA29" s="369" t="str">
        <f ca="1">IF($B29&lt;&gt;"PRC_RESID","",IF(AA$7=2005+OFFSET(COM_2012!$B$60,$AW29,SUMIF($B$10:$B$16,"NCAP_TLIFE",$AX$10:$AX$16)),0,""))</f>
        <v/>
      </c>
      <c r="AB29" s="369" t="str">
        <f ca="1">IF($B29&lt;&gt;"PRC_RESID","",IF(AB$7=2005+OFFSET(COM_2012!$B$60,$AW29,SUMIF($B$10:$B$16,"NCAP_TLIFE",$AX$10:$AX$16)),0,""))</f>
        <v/>
      </c>
      <c r="AC29" s="369" t="str">
        <f ca="1">IF($B29&lt;&gt;"PRC_RESID","",IF(AC$7=2005+OFFSET(COM_2012!$B$60,$AW29,SUMIF($B$10:$B$16,"NCAP_TLIFE",$AX$10:$AX$16)),0,""))</f>
        <v/>
      </c>
      <c r="AD29" s="369" t="str">
        <f ca="1">IF($B29&lt;&gt;"PRC_RESID","",IF(AD$7=2005+OFFSET(COM_2012!$B$60,$AW29,SUMIF($B$10:$B$16,"NCAP_TLIFE",$AX$10:$AX$16)),0,""))</f>
        <v/>
      </c>
      <c r="AE29" s="369" t="str">
        <f ca="1">IF($B29&lt;&gt;"PRC_RESID","",IF(AE$7=2005+OFFSET(COM_2012!$B$60,$AW29,SUMIF($B$10:$B$16,"NCAP_TLIFE",$AX$10:$AX$16)),0,""))</f>
        <v/>
      </c>
      <c r="AF29" s="369" t="str">
        <f ca="1">IF($B29&lt;&gt;"PRC_RESID","",IF(AF$7=2005+OFFSET(COM_2012!$B$60,$AW29,SUMIF($B$10:$B$16,"NCAP_TLIFE",$AX$10:$AX$16)),0,""))</f>
        <v/>
      </c>
      <c r="AG29" s="369" t="str">
        <f ca="1">IF($B29&lt;&gt;"PRC_RESID","",IF(AG$7=2005+OFFSET(COM_2012!$B$60,$AW29,SUMIF($B$10:$B$16,"NCAP_TLIFE",$AX$10:$AX$16)),0,""))</f>
        <v/>
      </c>
      <c r="AH29" s="369" t="str">
        <f ca="1">IF($B29&lt;&gt;"PRC_RESID","",IF(AH$7=2005+OFFSET(COM_2012!$B$60,$AW29,SUMIF($B$10:$B$16,"NCAP_TLIFE",$AX$10:$AX$16)),0,""))</f>
        <v/>
      </c>
      <c r="AI29" s="369" t="str">
        <f ca="1">IF($B29&lt;&gt;"PRC_RESID","",IF(AI$7=2005+OFFSET(COM_2012!$B$60,$AW29,SUMIF($B$10:$B$16,"NCAP_TLIFE",$AX$10:$AX$16)),0,""))</f>
        <v/>
      </c>
      <c r="AJ29" s="369" t="str">
        <f ca="1">IF($B29&lt;&gt;"PRC_RESID","",IF(AJ$7=2005+OFFSET(COM_2012!$B$60,$AW29,SUMIF($B$10:$B$16,"NCAP_TLIFE",$AX$10:$AX$16)),0,""))</f>
        <v/>
      </c>
      <c r="AK29" s="369" t="str">
        <f ca="1">IF($B29&lt;&gt;"PRC_RESID","",IF(AK$7=2005+OFFSET(COM_2012!$B$60,$AW29,SUMIF($B$10:$B$16,"NCAP_TLIFE",$AX$10:$AX$16)),0,""))</f>
        <v/>
      </c>
      <c r="AL29" s="369" t="str">
        <f ca="1">IF($B29&lt;&gt;"PRC_RESID","",IF(AL$7=2005+OFFSET(COM_2012!$B$60,$AW29,SUMIF($B$10:$B$16,"NCAP_TLIFE",$AX$10:$AX$16)),0,""))</f>
        <v/>
      </c>
      <c r="AM29" s="369" t="str">
        <f ca="1">IF($B29&lt;&gt;"PRC_RESID","",IF(AM$7=2005+OFFSET(COM_2012!$B$60,$AW29,SUMIF($B$10:$B$16,"NCAP_TLIFE",$AX$10:$AX$16)),0,""))</f>
        <v/>
      </c>
      <c r="AN29" s="369" t="str">
        <f ca="1">IF($B29&lt;&gt;"PRC_RESID","",IF(AN$7=2005+OFFSET(COM_2012!$B$60,$AW29,SUMIF($B$10:$B$16,"NCAP_TLIFE",$AX$10:$AX$16)),0,""))</f>
        <v/>
      </c>
      <c r="AO29" s="369" t="str">
        <f ca="1">IF($B29&lt;&gt;"PRC_RESID","",IF(AO$7=2005+OFFSET(COM_2012!$B$60,$AW29,SUMIF($B$10:$B$16,"NCAP_TLIFE",$AX$10:$AX$16)),0,""))</f>
        <v/>
      </c>
      <c r="AP29" s="369" t="str">
        <f ca="1">IF($B29&lt;&gt;"PRC_RESID","",IF(AP$7=2005+OFFSET(COM_2012!$B$60,$AW29,SUMIF($B$10:$B$16,"NCAP_TLIFE",$AX$10:$AX$16)),0,""))</f>
        <v/>
      </c>
      <c r="AQ29" s="369" t="str">
        <f ca="1">IF($B29&lt;&gt;"PRC_RESID","",IF(AQ$7=2005+OFFSET(COM_2012!$B$60,$AW29,SUMIF($B$10:$B$16,"NCAP_TLIFE",$AX$10:$AX$16)),0,""))</f>
        <v/>
      </c>
      <c r="AR29" s="369" t="str">
        <f ca="1">IF($B29&lt;&gt;"PRC_RESID","",IF(AR$7=2005+OFFSET(COM_2012!$B$60,$AW29,SUMIF($B$10:$B$16,"NCAP_TLIFE",$AX$10:$AX$16)),0,""))</f>
        <v/>
      </c>
      <c r="AS29" s="369" t="str">
        <f ca="1">IF($B29&lt;&gt;"PRC_RESID","",IF(AS$7=2005+OFFSET(COM_2012!$B$60,$AW29,SUMIF($B$10:$B$16,"NCAP_TLIFE",$AX$10:$AX$16)),0,""))</f>
        <v/>
      </c>
      <c r="AT29" s="369" t="str">
        <f ca="1">IF($B29&lt;&gt;"PRC_RESID","",IF(AT$7=2005+OFFSET(COM_2012!$B$60,$AW29,SUMIF($B$10:$B$16,"NCAP_TLIFE",$AX$10:$AX$16)),0,""))</f>
        <v/>
      </c>
      <c r="AU29" s="369" t="str">
        <f ca="1">IF($B29&lt;&gt;"PRC_RESID","",IF(AU$7=2005+OFFSET(COM_2012!$B$60,$AW29,SUMIF($B$10:$B$16,"NCAP_TLIFE",$AX$10:$AX$16)),0,""))</f>
        <v/>
      </c>
      <c r="AV29" s="304">
        <f>IF(AW28=COM_2012!$AI$121,AV28+1,AV28)</f>
        <v>1</v>
      </c>
      <c r="AW29" s="304">
        <f>IF(AV29=AV28,AW28+1,1)</f>
        <v>2</v>
      </c>
    </row>
    <row r="30" spans="1:49">
      <c r="A30" s="304" t="str">
        <f ca="1">IF(LEFT(OFFSET(COM_2012!$A$60,AW30,0),2)="\I","*","")</f>
        <v/>
      </c>
      <c r="B30" s="369" t="str">
        <f t="shared" ca="1" si="2"/>
        <v>ACT_EFF</v>
      </c>
      <c r="C30" s="369" t="str">
        <f ca="1">IF($A30="*","",OFFSET(COM_2012!$B$60,AW30,0))</f>
        <v>CECELCHP-E</v>
      </c>
      <c r="D30" s="369" t="str">
        <f t="shared" ca="1" si="3"/>
        <v>-</v>
      </c>
      <c r="E30" s="369" t="str">
        <f t="shared" ca="1" si="4"/>
        <v>ACTGRP</v>
      </c>
      <c r="F30" s="369" t="str">
        <f t="shared" ca="1" si="4"/>
        <v>-</v>
      </c>
      <c r="G30" s="369" t="str">
        <f t="shared" ca="1" si="4"/>
        <v>ANNUAL</v>
      </c>
      <c r="H30" s="369" t="str">
        <f t="shared" ca="1" si="4"/>
        <v>-</v>
      </c>
      <c r="I30" s="370">
        <f t="shared" ca="1" si="4"/>
        <v>0</v>
      </c>
      <c r="J30" s="391">
        <f ca="1">IF($A30="*","",OFFSET(COM_2012!$B$60,AW30,SUMIF($B$10:$B$16,B30,$AX$10:$AX$16)))</f>
        <v>2.5</v>
      </c>
      <c r="K30" s="369" t="str">
        <f ca="1">IF($B30&lt;&gt;"PRC_RESID","",IF(K$7=2005+OFFSET(COM_2012!$B$60,$AW30,SUMIF($B$10:$B$16,"NCAP_TLIFE",$AX$10:$AX$16)),0,""))</f>
        <v/>
      </c>
      <c r="L30" s="369" t="str">
        <f ca="1">IF($B30&lt;&gt;"PRC_RESID","",IF(L$7=2005+OFFSET(COM_2012!$B$60,$AW30,SUMIF($B$10:$B$16,"NCAP_TLIFE",$AX$10:$AX$16)),0,""))</f>
        <v/>
      </c>
      <c r="M30" s="369" t="str">
        <f ca="1">IF($B30&lt;&gt;"PRC_RESID","",IF(M$7=2005+OFFSET(COM_2012!$B$60,$AW30,SUMIF($B$10:$B$16,"NCAP_TLIFE",$AX$10:$AX$16)),0,""))</f>
        <v/>
      </c>
      <c r="N30" s="369" t="str">
        <f ca="1">IF($B30&lt;&gt;"PRC_RESID","",IF(N$7=2005+OFFSET(COM_2012!$B$60,$AW30,SUMIF($B$10:$B$16,"NCAP_TLIFE",$AX$10:$AX$16)),0,""))</f>
        <v/>
      </c>
      <c r="O30" s="658" t="str">
        <f ca="1">IF($B30&lt;&gt;"PRC_RESID","",IF(O$7=2005+OFFSET(COM_2012!$B$60,$AW30,SUMIF($B$10:$B$16,"NCAP_TLIFE",$AX$10:$AX$16)),0,""))</f>
        <v/>
      </c>
      <c r="P30" s="369" t="str">
        <f ca="1">IF($B30&lt;&gt;"PRC_RESID","",IF(P$7=2005+OFFSET(COM_2012!$B$60,$AW30,SUMIF($B$10:$B$16,"NCAP_TLIFE",$AX$10:$AX$16)),0,""))</f>
        <v/>
      </c>
      <c r="Q30" s="369" t="str">
        <f ca="1">IF($B30&lt;&gt;"PRC_RESID","",IF(Q$7=2005+OFFSET(COM_2012!$B$60,$AW30,SUMIF($B$10:$B$16,"NCAP_TLIFE",$AX$10:$AX$16)),0,""))</f>
        <v/>
      </c>
      <c r="R30" s="369" t="str">
        <f ca="1">IF($B30&lt;&gt;"PRC_RESID","",IF(R$7=2005+OFFSET(COM_2012!$B$60,$AW30,SUMIF($B$10:$B$16,"NCAP_TLIFE",$AX$10:$AX$16)),0,""))</f>
        <v/>
      </c>
      <c r="S30" s="369" t="str">
        <f ca="1">IF($B30&lt;&gt;"PRC_RESID","",IF(S$7=2005+OFFSET(COM_2012!$B$60,$AW30,SUMIF($B$10:$B$16,"NCAP_TLIFE",$AX$10:$AX$16)),0,""))</f>
        <v/>
      </c>
      <c r="T30" s="369" t="str">
        <f ca="1">IF($B30&lt;&gt;"PRC_RESID","",IF(T$7=2005+OFFSET(COM_2012!$B$60,$AW30,SUMIF($B$10:$B$16,"NCAP_TLIFE",$AX$10:$AX$16)),0,""))</f>
        <v/>
      </c>
      <c r="U30" s="369" t="str">
        <f ca="1">IF($B30&lt;&gt;"PRC_RESID","",IF(U$7=2005+OFFSET(COM_2012!$B$60,$AW30,SUMIF($B$10:$B$16,"NCAP_TLIFE",$AX$10:$AX$16)),0,""))</f>
        <v/>
      </c>
      <c r="V30" s="369" t="str">
        <f ca="1">IF($B30&lt;&gt;"PRC_RESID","",IF(V$7=2005+OFFSET(COM_2012!$B$60,$AW30,SUMIF($B$10:$B$16,"NCAP_TLIFE",$AX$10:$AX$16)),0,""))</f>
        <v/>
      </c>
      <c r="W30" s="369" t="str">
        <f ca="1">IF($B30&lt;&gt;"PRC_RESID","",IF(W$7=2005+OFFSET(COM_2012!$B$60,$AW30,SUMIF($B$10:$B$16,"NCAP_TLIFE",$AX$10:$AX$16)),0,""))</f>
        <v/>
      </c>
      <c r="X30" s="369" t="str">
        <f ca="1">IF($B30&lt;&gt;"PRC_RESID","",IF(X$7=2005+OFFSET(COM_2012!$B$60,$AW30,SUMIF($B$10:$B$16,"NCAP_TLIFE",$AX$10:$AX$16)),0,""))</f>
        <v/>
      </c>
      <c r="Y30" s="369" t="str">
        <f ca="1">IF($B30&lt;&gt;"PRC_RESID","",IF(Y$7=2005+OFFSET(COM_2012!$B$60,$AW30,SUMIF($B$10:$B$16,"NCAP_TLIFE",$AX$10:$AX$16)),0,""))</f>
        <v/>
      </c>
      <c r="Z30" s="369" t="str">
        <f ca="1">IF($B30&lt;&gt;"PRC_RESID","",IF(Z$7=2005+OFFSET(COM_2012!$B$60,$AW30,SUMIF($B$10:$B$16,"NCAP_TLIFE",$AX$10:$AX$16)),0,""))</f>
        <v/>
      </c>
      <c r="AA30" s="369" t="str">
        <f ca="1">IF($B30&lt;&gt;"PRC_RESID","",IF(AA$7=2005+OFFSET(COM_2012!$B$60,$AW30,SUMIF($B$10:$B$16,"NCAP_TLIFE",$AX$10:$AX$16)),0,""))</f>
        <v/>
      </c>
      <c r="AB30" s="369" t="str">
        <f ca="1">IF($B30&lt;&gt;"PRC_RESID","",IF(AB$7=2005+OFFSET(COM_2012!$B$60,$AW30,SUMIF($B$10:$B$16,"NCAP_TLIFE",$AX$10:$AX$16)),0,""))</f>
        <v/>
      </c>
      <c r="AC30" s="369" t="str">
        <f ca="1">IF($B30&lt;&gt;"PRC_RESID","",IF(AC$7=2005+OFFSET(COM_2012!$B$60,$AW30,SUMIF($B$10:$B$16,"NCAP_TLIFE",$AX$10:$AX$16)),0,""))</f>
        <v/>
      </c>
      <c r="AD30" s="369" t="str">
        <f ca="1">IF($B30&lt;&gt;"PRC_RESID","",IF(AD$7=2005+OFFSET(COM_2012!$B$60,$AW30,SUMIF($B$10:$B$16,"NCAP_TLIFE",$AX$10:$AX$16)),0,""))</f>
        <v/>
      </c>
      <c r="AE30" s="369" t="str">
        <f ca="1">IF($B30&lt;&gt;"PRC_RESID","",IF(AE$7=2005+OFFSET(COM_2012!$B$60,$AW30,SUMIF($B$10:$B$16,"NCAP_TLIFE",$AX$10:$AX$16)),0,""))</f>
        <v/>
      </c>
      <c r="AF30" s="369" t="str">
        <f ca="1">IF($B30&lt;&gt;"PRC_RESID","",IF(AF$7=2005+OFFSET(COM_2012!$B$60,$AW30,SUMIF($B$10:$B$16,"NCAP_TLIFE",$AX$10:$AX$16)),0,""))</f>
        <v/>
      </c>
      <c r="AG30" s="369" t="str">
        <f ca="1">IF($B30&lt;&gt;"PRC_RESID","",IF(AG$7=2005+OFFSET(COM_2012!$B$60,$AW30,SUMIF($B$10:$B$16,"NCAP_TLIFE",$AX$10:$AX$16)),0,""))</f>
        <v/>
      </c>
      <c r="AH30" s="369" t="str">
        <f ca="1">IF($B30&lt;&gt;"PRC_RESID","",IF(AH$7=2005+OFFSET(COM_2012!$B$60,$AW30,SUMIF($B$10:$B$16,"NCAP_TLIFE",$AX$10:$AX$16)),0,""))</f>
        <v/>
      </c>
      <c r="AI30" s="369" t="str">
        <f ca="1">IF($B30&lt;&gt;"PRC_RESID","",IF(AI$7=2005+OFFSET(COM_2012!$B$60,$AW30,SUMIF($B$10:$B$16,"NCAP_TLIFE",$AX$10:$AX$16)),0,""))</f>
        <v/>
      </c>
      <c r="AJ30" s="369" t="str">
        <f ca="1">IF($B30&lt;&gt;"PRC_RESID","",IF(AJ$7=2005+OFFSET(COM_2012!$B$60,$AW30,SUMIF($B$10:$B$16,"NCAP_TLIFE",$AX$10:$AX$16)),0,""))</f>
        <v/>
      </c>
      <c r="AK30" s="369" t="str">
        <f ca="1">IF($B30&lt;&gt;"PRC_RESID","",IF(AK$7=2005+OFFSET(COM_2012!$B$60,$AW30,SUMIF($B$10:$B$16,"NCAP_TLIFE",$AX$10:$AX$16)),0,""))</f>
        <v/>
      </c>
      <c r="AL30" s="369" t="str">
        <f ca="1">IF($B30&lt;&gt;"PRC_RESID","",IF(AL$7=2005+OFFSET(COM_2012!$B$60,$AW30,SUMIF($B$10:$B$16,"NCAP_TLIFE",$AX$10:$AX$16)),0,""))</f>
        <v/>
      </c>
      <c r="AM30" s="369" t="str">
        <f ca="1">IF($B30&lt;&gt;"PRC_RESID","",IF(AM$7=2005+OFFSET(COM_2012!$B$60,$AW30,SUMIF($B$10:$B$16,"NCAP_TLIFE",$AX$10:$AX$16)),0,""))</f>
        <v/>
      </c>
      <c r="AN30" s="369" t="str">
        <f ca="1">IF($B30&lt;&gt;"PRC_RESID","",IF(AN$7=2005+OFFSET(COM_2012!$B$60,$AW30,SUMIF($B$10:$B$16,"NCAP_TLIFE",$AX$10:$AX$16)),0,""))</f>
        <v/>
      </c>
      <c r="AO30" s="369" t="str">
        <f ca="1">IF($B30&lt;&gt;"PRC_RESID","",IF(AO$7=2005+OFFSET(COM_2012!$B$60,$AW30,SUMIF($B$10:$B$16,"NCAP_TLIFE",$AX$10:$AX$16)),0,""))</f>
        <v/>
      </c>
      <c r="AP30" s="369" t="str">
        <f ca="1">IF($B30&lt;&gt;"PRC_RESID","",IF(AP$7=2005+OFFSET(COM_2012!$B$60,$AW30,SUMIF($B$10:$B$16,"NCAP_TLIFE",$AX$10:$AX$16)),0,""))</f>
        <v/>
      </c>
      <c r="AQ30" s="369" t="str">
        <f ca="1">IF($B30&lt;&gt;"PRC_RESID","",IF(AQ$7=2005+OFFSET(COM_2012!$B$60,$AW30,SUMIF($B$10:$B$16,"NCAP_TLIFE",$AX$10:$AX$16)),0,""))</f>
        <v/>
      </c>
      <c r="AR30" s="369" t="str">
        <f ca="1">IF($B30&lt;&gt;"PRC_RESID","",IF(AR$7=2005+OFFSET(COM_2012!$B$60,$AW30,SUMIF($B$10:$B$16,"NCAP_TLIFE",$AX$10:$AX$16)),0,""))</f>
        <v/>
      </c>
      <c r="AS30" s="369" t="str">
        <f ca="1">IF($B30&lt;&gt;"PRC_RESID","",IF(AS$7=2005+OFFSET(COM_2012!$B$60,$AW30,SUMIF($B$10:$B$16,"NCAP_TLIFE",$AX$10:$AX$16)),0,""))</f>
        <v/>
      </c>
      <c r="AT30" s="369" t="str">
        <f ca="1">IF($B30&lt;&gt;"PRC_RESID","",IF(AT$7=2005+OFFSET(COM_2012!$B$60,$AW30,SUMIF($B$10:$B$16,"NCAP_TLIFE",$AX$10:$AX$16)),0,""))</f>
        <v/>
      </c>
      <c r="AU30" s="369" t="str">
        <f ca="1">IF($B30&lt;&gt;"PRC_RESID","",IF(AU$7=2005+OFFSET(COM_2012!$B$60,$AW30,SUMIF($B$10:$B$16,"NCAP_TLIFE",$AX$10:$AX$16)),0,""))</f>
        <v/>
      </c>
      <c r="AV30" s="304">
        <f>IF(AW29=COM_2012!$AI$121,AV29+1,AV29)</f>
        <v>1</v>
      </c>
      <c r="AW30" s="304">
        <f>IF(AV30=AV29,AW29+1,1)</f>
        <v>3</v>
      </c>
    </row>
    <row r="31" spans="1:49">
      <c r="A31" s="304" t="str">
        <f ca="1">IF(LEFT(OFFSET(COM_2012!$A$60,AW31,0),2)="\I","*","")</f>
        <v/>
      </c>
      <c r="B31" s="369" t="str">
        <f t="shared" ca="1" si="2"/>
        <v>ACT_EFF</v>
      </c>
      <c r="C31" s="369" t="str">
        <f ca="1">IF($A31="*","",OFFSET(COM_2012!$B$60,AW31,0))</f>
        <v>CECELCROOM-E</v>
      </c>
      <c r="D31" s="369" t="str">
        <f t="shared" ca="1" si="3"/>
        <v>-</v>
      </c>
      <c r="E31" s="369" t="str">
        <f t="shared" ca="1" si="4"/>
        <v>ACTGRP</v>
      </c>
      <c r="F31" s="369" t="str">
        <f t="shared" ca="1" si="4"/>
        <v>-</v>
      </c>
      <c r="G31" s="369" t="str">
        <f t="shared" ca="1" si="4"/>
        <v>ANNUAL</v>
      </c>
      <c r="H31" s="369" t="str">
        <f t="shared" ca="1" si="4"/>
        <v>-</v>
      </c>
      <c r="I31" s="370">
        <f t="shared" ca="1" si="4"/>
        <v>0</v>
      </c>
      <c r="J31" s="391">
        <f ca="1">IF($A31="*","",OFFSET(COM_2012!$B$60,AW31,SUMIF($B$10:$B$16,B31,$AX$10:$AX$16)))</f>
        <v>2.4</v>
      </c>
      <c r="K31" s="369" t="str">
        <f ca="1">IF($B31&lt;&gt;"PRC_RESID","",IF(K$7=2005+OFFSET(COM_2012!$B$60,$AW31,SUMIF($B$10:$B$16,"NCAP_TLIFE",$AX$10:$AX$16)),0,""))</f>
        <v/>
      </c>
      <c r="L31" s="369" t="str">
        <f ca="1">IF($B31&lt;&gt;"PRC_RESID","",IF(L$7=2005+OFFSET(COM_2012!$B$60,$AW31,SUMIF($B$10:$B$16,"NCAP_TLIFE",$AX$10:$AX$16)),0,""))</f>
        <v/>
      </c>
      <c r="M31" s="369" t="str">
        <f ca="1">IF($B31&lt;&gt;"PRC_RESID","",IF(M$7=2005+OFFSET(COM_2012!$B$60,$AW31,SUMIF($B$10:$B$16,"NCAP_TLIFE",$AX$10:$AX$16)),0,""))</f>
        <v/>
      </c>
      <c r="N31" s="369" t="str">
        <f ca="1">IF($B31&lt;&gt;"PRC_RESID","",IF(N$7=2005+OFFSET(COM_2012!$B$60,$AW31,SUMIF($B$10:$B$16,"NCAP_TLIFE",$AX$10:$AX$16)),0,""))</f>
        <v/>
      </c>
      <c r="O31" s="658" t="str">
        <f ca="1">IF($B31&lt;&gt;"PRC_RESID","",IF(O$7=2005+OFFSET(COM_2012!$B$60,$AW31,SUMIF($B$10:$B$16,"NCAP_TLIFE",$AX$10:$AX$16)),0,""))</f>
        <v/>
      </c>
      <c r="P31" s="369" t="str">
        <f ca="1">IF($B31&lt;&gt;"PRC_RESID","",IF(P$7=2005+OFFSET(COM_2012!$B$60,$AW31,SUMIF($B$10:$B$16,"NCAP_TLIFE",$AX$10:$AX$16)),0,""))</f>
        <v/>
      </c>
      <c r="Q31" s="369" t="str">
        <f ca="1">IF($B31&lt;&gt;"PRC_RESID","",IF(Q$7=2005+OFFSET(COM_2012!$B$60,$AW31,SUMIF($B$10:$B$16,"NCAP_TLIFE",$AX$10:$AX$16)),0,""))</f>
        <v/>
      </c>
      <c r="R31" s="369" t="str">
        <f ca="1">IF($B31&lt;&gt;"PRC_RESID","",IF(R$7=2005+OFFSET(COM_2012!$B$60,$AW31,SUMIF($B$10:$B$16,"NCAP_TLIFE",$AX$10:$AX$16)),0,""))</f>
        <v/>
      </c>
      <c r="S31" s="369" t="str">
        <f ca="1">IF($B31&lt;&gt;"PRC_RESID","",IF(S$7=2005+OFFSET(COM_2012!$B$60,$AW31,SUMIF($B$10:$B$16,"NCAP_TLIFE",$AX$10:$AX$16)),0,""))</f>
        <v/>
      </c>
      <c r="T31" s="369" t="str">
        <f ca="1">IF($B31&lt;&gt;"PRC_RESID","",IF(T$7=2005+OFFSET(COM_2012!$B$60,$AW31,SUMIF($B$10:$B$16,"NCAP_TLIFE",$AX$10:$AX$16)),0,""))</f>
        <v/>
      </c>
      <c r="U31" s="369" t="str">
        <f ca="1">IF($B31&lt;&gt;"PRC_RESID","",IF(U$7=2005+OFFSET(COM_2012!$B$60,$AW31,SUMIF($B$10:$B$16,"NCAP_TLIFE",$AX$10:$AX$16)),0,""))</f>
        <v/>
      </c>
      <c r="V31" s="369" t="str">
        <f ca="1">IF($B31&lt;&gt;"PRC_RESID","",IF(V$7=2005+OFFSET(COM_2012!$B$60,$AW31,SUMIF($B$10:$B$16,"NCAP_TLIFE",$AX$10:$AX$16)),0,""))</f>
        <v/>
      </c>
      <c r="W31" s="369" t="str">
        <f ca="1">IF($B31&lt;&gt;"PRC_RESID","",IF(W$7=2005+OFFSET(COM_2012!$B$60,$AW31,SUMIF($B$10:$B$16,"NCAP_TLIFE",$AX$10:$AX$16)),0,""))</f>
        <v/>
      </c>
      <c r="X31" s="369" t="str">
        <f ca="1">IF($B31&lt;&gt;"PRC_RESID","",IF(X$7=2005+OFFSET(COM_2012!$B$60,$AW31,SUMIF($B$10:$B$16,"NCAP_TLIFE",$AX$10:$AX$16)),0,""))</f>
        <v/>
      </c>
      <c r="Y31" s="369" t="str">
        <f ca="1">IF($B31&lt;&gt;"PRC_RESID","",IF(Y$7=2005+OFFSET(COM_2012!$B$60,$AW31,SUMIF($B$10:$B$16,"NCAP_TLIFE",$AX$10:$AX$16)),0,""))</f>
        <v/>
      </c>
      <c r="Z31" s="369" t="str">
        <f ca="1">IF($B31&lt;&gt;"PRC_RESID","",IF(Z$7=2005+OFFSET(COM_2012!$B$60,$AW31,SUMIF($B$10:$B$16,"NCAP_TLIFE",$AX$10:$AX$16)),0,""))</f>
        <v/>
      </c>
      <c r="AA31" s="369" t="str">
        <f ca="1">IF($B31&lt;&gt;"PRC_RESID","",IF(AA$7=2005+OFFSET(COM_2012!$B$60,$AW31,SUMIF($B$10:$B$16,"NCAP_TLIFE",$AX$10:$AX$16)),0,""))</f>
        <v/>
      </c>
      <c r="AB31" s="369" t="str">
        <f ca="1">IF($B31&lt;&gt;"PRC_RESID","",IF(AB$7=2005+OFFSET(COM_2012!$B$60,$AW31,SUMIF($B$10:$B$16,"NCAP_TLIFE",$AX$10:$AX$16)),0,""))</f>
        <v/>
      </c>
      <c r="AC31" s="369" t="str">
        <f ca="1">IF($B31&lt;&gt;"PRC_RESID","",IF(AC$7=2005+OFFSET(COM_2012!$B$60,$AW31,SUMIF($B$10:$B$16,"NCAP_TLIFE",$AX$10:$AX$16)),0,""))</f>
        <v/>
      </c>
      <c r="AD31" s="369" t="str">
        <f ca="1">IF($B31&lt;&gt;"PRC_RESID","",IF(AD$7=2005+OFFSET(COM_2012!$B$60,$AW31,SUMIF($B$10:$B$16,"NCAP_TLIFE",$AX$10:$AX$16)),0,""))</f>
        <v/>
      </c>
      <c r="AE31" s="369" t="str">
        <f ca="1">IF($B31&lt;&gt;"PRC_RESID","",IF(AE$7=2005+OFFSET(COM_2012!$B$60,$AW31,SUMIF($B$10:$B$16,"NCAP_TLIFE",$AX$10:$AX$16)),0,""))</f>
        <v/>
      </c>
      <c r="AF31" s="369" t="str">
        <f ca="1">IF($B31&lt;&gt;"PRC_RESID","",IF(AF$7=2005+OFFSET(COM_2012!$B$60,$AW31,SUMIF($B$10:$B$16,"NCAP_TLIFE",$AX$10:$AX$16)),0,""))</f>
        <v/>
      </c>
      <c r="AG31" s="369" t="str">
        <f ca="1">IF($B31&lt;&gt;"PRC_RESID","",IF(AG$7=2005+OFFSET(COM_2012!$B$60,$AW31,SUMIF($B$10:$B$16,"NCAP_TLIFE",$AX$10:$AX$16)),0,""))</f>
        <v/>
      </c>
      <c r="AH31" s="369" t="str">
        <f ca="1">IF($B31&lt;&gt;"PRC_RESID","",IF(AH$7=2005+OFFSET(COM_2012!$B$60,$AW31,SUMIF($B$10:$B$16,"NCAP_TLIFE",$AX$10:$AX$16)),0,""))</f>
        <v/>
      </c>
      <c r="AI31" s="369" t="str">
        <f ca="1">IF($B31&lt;&gt;"PRC_RESID","",IF(AI$7=2005+OFFSET(COM_2012!$B$60,$AW31,SUMIF($B$10:$B$16,"NCAP_TLIFE",$AX$10:$AX$16)),0,""))</f>
        <v/>
      </c>
      <c r="AJ31" s="369" t="str">
        <f ca="1">IF($B31&lt;&gt;"PRC_RESID","",IF(AJ$7=2005+OFFSET(COM_2012!$B$60,$AW31,SUMIF($B$10:$B$16,"NCAP_TLIFE",$AX$10:$AX$16)),0,""))</f>
        <v/>
      </c>
      <c r="AK31" s="369" t="str">
        <f ca="1">IF($B31&lt;&gt;"PRC_RESID","",IF(AK$7=2005+OFFSET(COM_2012!$B$60,$AW31,SUMIF($B$10:$B$16,"NCAP_TLIFE",$AX$10:$AX$16)),0,""))</f>
        <v/>
      </c>
      <c r="AL31" s="369" t="str">
        <f ca="1">IF($B31&lt;&gt;"PRC_RESID","",IF(AL$7=2005+OFFSET(COM_2012!$B$60,$AW31,SUMIF($B$10:$B$16,"NCAP_TLIFE",$AX$10:$AX$16)),0,""))</f>
        <v/>
      </c>
      <c r="AM31" s="369" t="str">
        <f ca="1">IF($B31&lt;&gt;"PRC_RESID","",IF(AM$7=2005+OFFSET(COM_2012!$B$60,$AW31,SUMIF($B$10:$B$16,"NCAP_TLIFE",$AX$10:$AX$16)),0,""))</f>
        <v/>
      </c>
      <c r="AN31" s="369" t="str">
        <f ca="1">IF($B31&lt;&gt;"PRC_RESID","",IF(AN$7=2005+OFFSET(COM_2012!$B$60,$AW31,SUMIF($B$10:$B$16,"NCAP_TLIFE",$AX$10:$AX$16)),0,""))</f>
        <v/>
      </c>
      <c r="AO31" s="369" t="str">
        <f ca="1">IF($B31&lt;&gt;"PRC_RESID","",IF(AO$7=2005+OFFSET(COM_2012!$B$60,$AW31,SUMIF($B$10:$B$16,"NCAP_TLIFE",$AX$10:$AX$16)),0,""))</f>
        <v/>
      </c>
      <c r="AP31" s="369" t="str">
        <f ca="1">IF($B31&lt;&gt;"PRC_RESID","",IF(AP$7=2005+OFFSET(COM_2012!$B$60,$AW31,SUMIF($B$10:$B$16,"NCAP_TLIFE",$AX$10:$AX$16)),0,""))</f>
        <v/>
      </c>
      <c r="AQ31" s="369" t="str">
        <f ca="1">IF($B31&lt;&gt;"PRC_RESID","",IF(AQ$7=2005+OFFSET(COM_2012!$B$60,$AW31,SUMIF($B$10:$B$16,"NCAP_TLIFE",$AX$10:$AX$16)),0,""))</f>
        <v/>
      </c>
      <c r="AR31" s="369" t="str">
        <f ca="1">IF($B31&lt;&gt;"PRC_RESID","",IF(AR$7=2005+OFFSET(COM_2012!$B$60,$AW31,SUMIF($B$10:$B$16,"NCAP_TLIFE",$AX$10:$AX$16)),0,""))</f>
        <v/>
      </c>
      <c r="AS31" s="369" t="str">
        <f ca="1">IF($B31&lt;&gt;"PRC_RESID","",IF(AS$7=2005+OFFSET(COM_2012!$B$60,$AW31,SUMIF($B$10:$B$16,"NCAP_TLIFE",$AX$10:$AX$16)),0,""))</f>
        <v/>
      </c>
      <c r="AT31" s="369" t="str">
        <f ca="1">IF($B31&lt;&gt;"PRC_RESID","",IF(AT$7=2005+OFFSET(COM_2012!$B$60,$AW31,SUMIF($B$10:$B$16,"NCAP_TLIFE",$AX$10:$AX$16)),0,""))</f>
        <v/>
      </c>
      <c r="AU31" s="369" t="str">
        <f ca="1">IF($B31&lt;&gt;"PRC_RESID","",IF(AU$7=2005+OFFSET(COM_2012!$B$60,$AW31,SUMIF($B$10:$B$16,"NCAP_TLIFE",$AX$10:$AX$16)),0,""))</f>
        <v/>
      </c>
      <c r="AV31" s="304">
        <f>IF(AW30=COM_2012!$AI$121,AV30+1,AV30)</f>
        <v>1</v>
      </c>
      <c r="AW31" s="304">
        <f>IF(AV31=AV30,AW30+1,1)</f>
        <v>4</v>
      </c>
    </row>
    <row r="32" spans="1:49">
      <c r="A32" s="304" t="str">
        <f ca="1">IF(LEFT(OFFSET(COM_2012!$A$60,AW32,0),2)="\I","*","")</f>
        <v/>
      </c>
      <c r="B32" s="369" t="str">
        <f t="shared" ca="1" si="2"/>
        <v>ACT_EFF</v>
      </c>
      <c r="C32" s="369" t="str">
        <f ca="1">IF($A32="*","",OFFSET(COM_2012!$B$60,AW32,0))</f>
        <v>CECELCCEN-N</v>
      </c>
      <c r="D32" s="369" t="str">
        <f t="shared" ca="1" si="3"/>
        <v>-</v>
      </c>
      <c r="E32" s="369" t="str">
        <f t="shared" ca="1" si="4"/>
        <v>ACTGRP</v>
      </c>
      <c r="F32" s="369" t="str">
        <f t="shared" ca="1" si="4"/>
        <v>-</v>
      </c>
      <c r="G32" s="369" t="str">
        <f t="shared" ca="1" si="4"/>
        <v>ANNUAL</v>
      </c>
      <c r="H32" s="369" t="str">
        <f t="shared" ca="1" si="4"/>
        <v>-</v>
      </c>
      <c r="I32" s="370">
        <f t="shared" ca="1" si="4"/>
        <v>0</v>
      </c>
      <c r="J32" s="391">
        <f ca="1">IF($A32="*","",OFFSET(COM_2012!$B$60,AW32,SUMIF($B$10:$B$16,B32,$AX$10:$AX$16)))</f>
        <v>3.4647058823529413</v>
      </c>
      <c r="K32" s="369" t="str">
        <f ca="1">IF($B32&lt;&gt;"PRC_RESID","",IF(K$7=2005+OFFSET(COM_2012!$B$60,$AW32,SUMIF($B$10:$B$16,"NCAP_TLIFE",$AX$10:$AX$16)),0,""))</f>
        <v/>
      </c>
      <c r="L32" s="369" t="str">
        <f ca="1">IF($B32&lt;&gt;"PRC_RESID","",IF(L$7=2005+OFFSET(COM_2012!$B$60,$AW32,SUMIF($B$10:$B$16,"NCAP_TLIFE",$AX$10:$AX$16)),0,""))</f>
        <v/>
      </c>
      <c r="M32" s="369" t="str">
        <f ca="1">IF($B32&lt;&gt;"PRC_RESID","",IF(M$7=2005+OFFSET(COM_2012!$B$60,$AW32,SUMIF($B$10:$B$16,"NCAP_TLIFE",$AX$10:$AX$16)),0,""))</f>
        <v/>
      </c>
      <c r="N32" s="369" t="str">
        <f ca="1">IF($B32&lt;&gt;"PRC_RESID","",IF(N$7=2005+OFFSET(COM_2012!$B$60,$AW32,SUMIF($B$10:$B$16,"NCAP_TLIFE",$AX$10:$AX$16)),0,""))</f>
        <v/>
      </c>
      <c r="O32" s="658" t="str">
        <f ca="1">IF($B32&lt;&gt;"PRC_RESID","",IF(O$7=2005+OFFSET(COM_2012!$B$60,$AW32,SUMIF($B$10:$B$16,"NCAP_TLIFE",$AX$10:$AX$16)),0,""))</f>
        <v/>
      </c>
      <c r="P32" s="369" t="str">
        <f ca="1">IF($B32&lt;&gt;"PRC_RESID","",IF(P$7=2005+OFFSET(COM_2012!$B$60,$AW32,SUMIF($B$10:$B$16,"NCAP_TLIFE",$AX$10:$AX$16)),0,""))</f>
        <v/>
      </c>
      <c r="Q32" s="369" t="str">
        <f ca="1">IF($B32&lt;&gt;"PRC_RESID","",IF(Q$7=2005+OFFSET(COM_2012!$B$60,$AW32,SUMIF($B$10:$B$16,"NCAP_TLIFE",$AX$10:$AX$16)),0,""))</f>
        <v/>
      </c>
      <c r="R32" s="369" t="str">
        <f ca="1">IF($B32&lt;&gt;"PRC_RESID","",IF(R$7=2005+OFFSET(COM_2012!$B$60,$AW32,SUMIF($B$10:$B$16,"NCAP_TLIFE",$AX$10:$AX$16)),0,""))</f>
        <v/>
      </c>
      <c r="S32" s="369" t="str">
        <f ca="1">IF($B32&lt;&gt;"PRC_RESID","",IF(S$7=2005+OFFSET(COM_2012!$B$60,$AW32,SUMIF($B$10:$B$16,"NCAP_TLIFE",$AX$10:$AX$16)),0,""))</f>
        <v/>
      </c>
      <c r="T32" s="369" t="str">
        <f ca="1">IF($B32&lt;&gt;"PRC_RESID","",IF(T$7=2005+OFFSET(COM_2012!$B$60,$AW32,SUMIF($B$10:$B$16,"NCAP_TLIFE",$AX$10:$AX$16)),0,""))</f>
        <v/>
      </c>
      <c r="U32" s="369" t="str">
        <f ca="1">IF($B32&lt;&gt;"PRC_RESID","",IF(U$7=2005+OFFSET(COM_2012!$B$60,$AW32,SUMIF($B$10:$B$16,"NCAP_TLIFE",$AX$10:$AX$16)),0,""))</f>
        <v/>
      </c>
      <c r="V32" s="369" t="str">
        <f ca="1">IF($B32&lt;&gt;"PRC_RESID","",IF(V$7=2005+OFFSET(COM_2012!$B$60,$AW32,SUMIF($B$10:$B$16,"NCAP_TLIFE",$AX$10:$AX$16)),0,""))</f>
        <v/>
      </c>
      <c r="W32" s="369" t="str">
        <f ca="1">IF($B32&lt;&gt;"PRC_RESID","",IF(W$7=2005+OFFSET(COM_2012!$B$60,$AW32,SUMIF($B$10:$B$16,"NCAP_TLIFE",$AX$10:$AX$16)),0,""))</f>
        <v/>
      </c>
      <c r="X32" s="369" t="str">
        <f ca="1">IF($B32&lt;&gt;"PRC_RESID","",IF(X$7=2005+OFFSET(COM_2012!$B$60,$AW32,SUMIF($B$10:$B$16,"NCAP_TLIFE",$AX$10:$AX$16)),0,""))</f>
        <v/>
      </c>
      <c r="Y32" s="369" t="str">
        <f ca="1">IF($B32&lt;&gt;"PRC_RESID","",IF(Y$7=2005+OFFSET(COM_2012!$B$60,$AW32,SUMIF($B$10:$B$16,"NCAP_TLIFE",$AX$10:$AX$16)),0,""))</f>
        <v/>
      </c>
      <c r="Z32" s="369" t="str">
        <f ca="1">IF($B32&lt;&gt;"PRC_RESID","",IF(Z$7=2005+OFFSET(COM_2012!$B$60,$AW32,SUMIF($B$10:$B$16,"NCAP_TLIFE",$AX$10:$AX$16)),0,""))</f>
        <v/>
      </c>
      <c r="AA32" s="369" t="str">
        <f ca="1">IF($B32&lt;&gt;"PRC_RESID","",IF(AA$7=2005+OFFSET(COM_2012!$B$60,$AW32,SUMIF($B$10:$B$16,"NCAP_TLIFE",$AX$10:$AX$16)),0,""))</f>
        <v/>
      </c>
      <c r="AB32" s="369" t="str">
        <f ca="1">IF($B32&lt;&gt;"PRC_RESID","",IF(AB$7=2005+OFFSET(COM_2012!$B$60,$AW32,SUMIF($B$10:$B$16,"NCAP_TLIFE",$AX$10:$AX$16)),0,""))</f>
        <v/>
      </c>
      <c r="AC32" s="369" t="str">
        <f ca="1">IF($B32&lt;&gt;"PRC_RESID","",IF(AC$7=2005+OFFSET(COM_2012!$B$60,$AW32,SUMIF($B$10:$B$16,"NCAP_TLIFE",$AX$10:$AX$16)),0,""))</f>
        <v/>
      </c>
      <c r="AD32" s="369" t="str">
        <f ca="1">IF($B32&lt;&gt;"PRC_RESID","",IF(AD$7=2005+OFFSET(COM_2012!$B$60,$AW32,SUMIF($B$10:$B$16,"NCAP_TLIFE",$AX$10:$AX$16)),0,""))</f>
        <v/>
      </c>
      <c r="AE32" s="369" t="str">
        <f ca="1">IF($B32&lt;&gt;"PRC_RESID","",IF(AE$7=2005+OFFSET(COM_2012!$B$60,$AW32,SUMIF($B$10:$B$16,"NCAP_TLIFE",$AX$10:$AX$16)),0,""))</f>
        <v/>
      </c>
      <c r="AF32" s="369" t="str">
        <f ca="1">IF($B32&lt;&gt;"PRC_RESID","",IF(AF$7=2005+OFFSET(COM_2012!$B$60,$AW32,SUMIF($B$10:$B$16,"NCAP_TLIFE",$AX$10:$AX$16)),0,""))</f>
        <v/>
      </c>
      <c r="AG32" s="369" t="str">
        <f ca="1">IF($B32&lt;&gt;"PRC_RESID","",IF(AG$7=2005+OFFSET(COM_2012!$B$60,$AW32,SUMIF($B$10:$B$16,"NCAP_TLIFE",$AX$10:$AX$16)),0,""))</f>
        <v/>
      </c>
      <c r="AH32" s="369" t="str">
        <f ca="1">IF($B32&lt;&gt;"PRC_RESID","",IF(AH$7=2005+OFFSET(COM_2012!$B$60,$AW32,SUMIF($B$10:$B$16,"NCAP_TLIFE",$AX$10:$AX$16)),0,""))</f>
        <v/>
      </c>
      <c r="AI32" s="369" t="str">
        <f ca="1">IF($B32&lt;&gt;"PRC_RESID","",IF(AI$7=2005+OFFSET(COM_2012!$B$60,$AW32,SUMIF($B$10:$B$16,"NCAP_TLIFE",$AX$10:$AX$16)),0,""))</f>
        <v/>
      </c>
      <c r="AJ32" s="369" t="str">
        <f ca="1">IF($B32&lt;&gt;"PRC_RESID","",IF(AJ$7=2005+OFFSET(COM_2012!$B$60,$AW32,SUMIF($B$10:$B$16,"NCAP_TLIFE",$AX$10:$AX$16)),0,""))</f>
        <v/>
      </c>
      <c r="AK32" s="369" t="str">
        <f ca="1">IF($B32&lt;&gt;"PRC_RESID","",IF(AK$7=2005+OFFSET(COM_2012!$B$60,$AW32,SUMIF($B$10:$B$16,"NCAP_TLIFE",$AX$10:$AX$16)),0,""))</f>
        <v/>
      </c>
      <c r="AL32" s="369" t="str">
        <f ca="1">IF($B32&lt;&gt;"PRC_RESID","",IF(AL$7=2005+OFFSET(COM_2012!$B$60,$AW32,SUMIF($B$10:$B$16,"NCAP_TLIFE",$AX$10:$AX$16)),0,""))</f>
        <v/>
      </c>
      <c r="AM32" s="369" t="str">
        <f ca="1">IF($B32&lt;&gt;"PRC_RESID","",IF(AM$7=2005+OFFSET(COM_2012!$B$60,$AW32,SUMIF($B$10:$B$16,"NCAP_TLIFE",$AX$10:$AX$16)),0,""))</f>
        <v/>
      </c>
      <c r="AN32" s="369" t="str">
        <f ca="1">IF($B32&lt;&gt;"PRC_RESID","",IF(AN$7=2005+OFFSET(COM_2012!$B$60,$AW32,SUMIF($B$10:$B$16,"NCAP_TLIFE",$AX$10:$AX$16)),0,""))</f>
        <v/>
      </c>
      <c r="AO32" s="369" t="str">
        <f ca="1">IF($B32&lt;&gt;"PRC_RESID","",IF(AO$7=2005+OFFSET(COM_2012!$B$60,$AW32,SUMIF($B$10:$B$16,"NCAP_TLIFE",$AX$10:$AX$16)),0,""))</f>
        <v/>
      </c>
      <c r="AP32" s="369" t="str">
        <f ca="1">IF($B32&lt;&gt;"PRC_RESID","",IF(AP$7=2005+OFFSET(COM_2012!$B$60,$AW32,SUMIF($B$10:$B$16,"NCAP_TLIFE",$AX$10:$AX$16)),0,""))</f>
        <v/>
      </c>
      <c r="AQ32" s="369" t="str">
        <f ca="1">IF($B32&lt;&gt;"PRC_RESID","",IF(AQ$7=2005+OFFSET(COM_2012!$B$60,$AW32,SUMIF($B$10:$B$16,"NCAP_TLIFE",$AX$10:$AX$16)),0,""))</f>
        <v/>
      </c>
      <c r="AR32" s="369" t="str">
        <f ca="1">IF($B32&lt;&gt;"PRC_RESID","",IF(AR$7=2005+OFFSET(COM_2012!$B$60,$AW32,SUMIF($B$10:$B$16,"NCAP_TLIFE",$AX$10:$AX$16)),0,""))</f>
        <v/>
      </c>
      <c r="AS32" s="369" t="str">
        <f ca="1">IF($B32&lt;&gt;"PRC_RESID","",IF(AS$7=2005+OFFSET(COM_2012!$B$60,$AW32,SUMIF($B$10:$B$16,"NCAP_TLIFE",$AX$10:$AX$16)),0,""))</f>
        <v/>
      </c>
      <c r="AT32" s="369" t="str">
        <f ca="1">IF($B32&lt;&gt;"PRC_RESID","",IF(AT$7=2005+OFFSET(COM_2012!$B$60,$AW32,SUMIF($B$10:$B$16,"NCAP_TLIFE",$AX$10:$AX$16)),0,""))</f>
        <v/>
      </c>
      <c r="AU32" s="369" t="str">
        <f ca="1">IF($B32&lt;&gt;"PRC_RESID","",IF(AU$7=2005+OFFSET(COM_2012!$B$60,$AW32,SUMIF($B$10:$B$16,"NCAP_TLIFE",$AX$10:$AX$16)),0,""))</f>
        <v/>
      </c>
      <c r="AV32" s="304">
        <f>IF(AW31=COM_2012!$AI$121,AV31+1,AV31)</f>
        <v>1</v>
      </c>
      <c r="AW32" s="304">
        <f t="shared" ref="AW32:AW95" si="5">IF(AV32=AV31,AW31+1,1)</f>
        <v>5</v>
      </c>
    </row>
    <row r="33" spans="1:49">
      <c r="A33" s="304" t="str">
        <f ca="1">IF(LEFT(OFFSET(COM_2012!$A$60,AW33,0),2)="\I","*","")</f>
        <v/>
      </c>
      <c r="B33" s="369" t="str">
        <f t="shared" ca="1" si="2"/>
        <v>ACT_EFF</v>
      </c>
      <c r="C33" s="369" t="str">
        <f ca="1">IF($A33="*","",OFFSET(COM_2012!$B$60,AW33,0))</f>
        <v>CECELCHP-N</v>
      </c>
      <c r="D33" s="369" t="str">
        <f t="shared" ca="1" si="3"/>
        <v>-</v>
      </c>
      <c r="E33" s="369" t="str">
        <f t="shared" ca="1" si="4"/>
        <v>ACTGRP</v>
      </c>
      <c r="F33" s="369" t="str">
        <f t="shared" ca="1" si="4"/>
        <v>-</v>
      </c>
      <c r="G33" s="369" t="str">
        <f t="shared" ca="1" si="4"/>
        <v>ANNUAL</v>
      </c>
      <c r="H33" s="369" t="str">
        <f t="shared" ca="1" si="4"/>
        <v>-</v>
      </c>
      <c r="I33" s="370">
        <f t="shared" ca="1" si="4"/>
        <v>0</v>
      </c>
      <c r="J33" s="391">
        <f ca="1">IF($A33="*","",OFFSET(COM_2012!$B$60,AW33,SUMIF($B$10:$B$16,B33,$AX$10:$AX$16)))</f>
        <v>3.3465909090909087</v>
      </c>
      <c r="K33" s="369" t="str">
        <f ca="1">IF($B33&lt;&gt;"PRC_RESID","",IF(K$7=2005+OFFSET(COM_2012!$B$60,$AW33,SUMIF($B$10:$B$16,"NCAP_TLIFE",$AX$10:$AX$16)),0,""))</f>
        <v/>
      </c>
      <c r="L33" s="369" t="str">
        <f ca="1">IF($B33&lt;&gt;"PRC_RESID","",IF(L$7=2005+OFFSET(COM_2012!$B$60,$AW33,SUMIF($B$10:$B$16,"NCAP_TLIFE",$AX$10:$AX$16)),0,""))</f>
        <v/>
      </c>
      <c r="M33" s="369" t="str">
        <f ca="1">IF($B33&lt;&gt;"PRC_RESID","",IF(M$7=2005+OFFSET(COM_2012!$B$60,$AW33,SUMIF($B$10:$B$16,"NCAP_TLIFE",$AX$10:$AX$16)),0,""))</f>
        <v/>
      </c>
      <c r="N33" s="369" t="str">
        <f ca="1">IF($B33&lt;&gt;"PRC_RESID","",IF(N$7=2005+OFFSET(COM_2012!$B$60,$AW33,SUMIF($B$10:$B$16,"NCAP_TLIFE",$AX$10:$AX$16)),0,""))</f>
        <v/>
      </c>
      <c r="O33" s="658" t="str">
        <f ca="1">IF($B33&lt;&gt;"PRC_RESID","",IF(O$7=2005+OFFSET(COM_2012!$B$60,$AW33,SUMIF($B$10:$B$16,"NCAP_TLIFE",$AX$10:$AX$16)),0,""))</f>
        <v/>
      </c>
      <c r="P33" s="369" t="str">
        <f ca="1">IF($B33&lt;&gt;"PRC_RESID","",IF(P$7=2005+OFFSET(COM_2012!$B$60,$AW33,SUMIF($B$10:$B$16,"NCAP_TLIFE",$AX$10:$AX$16)),0,""))</f>
        <v/>
      </c>
      <c r="Q33" s="369" t="str">
        <f ca="1">IF($B33&lt;&gt;"PRC_RESID","",IF(Q$7=2005+OFFSET(COM_2012!$B$60,$AW33,SUMIF($B$10:$B$16,"NCAP_TLIFE",$AX$10:$AX$16)),0,""))</f>
        <v/>
      </c>
      <c r="R33" s="369" t="str">
        <f ca="1">IF($B33&lt;&gt;"PRC_RESID","",IF(R$7=2005+OFFSET(COM_2012!$B$60,$AW33,SUMIF($B$10:$B$16,"NCAP_TLIFE",$AX$10:$AX$16)),0,""))</f>
        <v/>
      </c>
      <c r="S33" s="369" t="str">
        <f ca="1">IF($B33&lt;&gt;"PRC_RESID","",IF(S$7=2005+OFFSET(COM_2012!$B$60,$AW33,SUMIF($B$10:$B$16,"NCAP_TLIFE",$AX$10:$AX$16)),0,""))</f>
        <v/>
      </c>
      <c r="T33" s="369" t="str">
        <f ca="1">IF($B33&lt;&gt;"PRC_RESID","",IF(T$7=2005+OFFSET(COM_2012!$B$60,$AW33,SUMIF($B$10:$B$16,"NCAP_TLIFE",$AX$10:$AX$16)),0,""))</f>
        <v/>
      </c>
      <c r="U33" s="369" t="str">
        <f ca="1">IF($B33&lt;&gt;"PRC_RESID","",IF(U$7=2005+OFFSET(COM_2012!$B$60,$AW33,SUMIF($B$10:$B$16,"NCAP_TLIFE",$AX$10:$AX$16)),0,""))</f>
        <v/>
      </c>
      <c r="V33" s="369" t="str">
        <f ca="1">IF($B33&lt;&gt;"PRC_RESID","",IF(V$7=2005+OFFSET(COM_2012!$B$60,$AW33,SUMIF($B$10:$B$16,"NCAP_TLIFE",$AX$10:$AX$16)),0,""))</f>
        <v/>
      </c>
      <c r="W33" s="369" t="str">
        <f ca="1">IF($B33&lt;&gt;"PRC_RESID","",IF(W$7=2005+OFFSET(COM_2012!$B$60,$AW33,SUMIF($B$10:$B$16,"NCAP_TLIFE",$AX$10:$AX$16)),0,""))</f>
        <v/>
      </c>
      <c r="X33" s="369" t="str">
        <f ca="1">IF($B33&lt;&gt;"PRC_RESID","",IF(X$7=2005+OFFSET(COM_2012!$B$60,$AW33,SUMIF($B$10:$B$16,"NCAP_TLIFE",$AX$10:$AX$16)),0,""))</f>
        <v/>
      </c>
      <c r="Y33" s="369" t="str">
        <f ca="1">IF($B33&lt;&gt;"PRC_RESID","",IF(Y$7=2005+OFFSET(COM_2012!$B$60,$AW33,SUMIF($B$10:$B$16,"NCAP_TLIFE",$AX$10:$AX$16)),0,""))</f>
        <v/>
      </c>
      <c r="Z33" s="369" t="str">
        <f ca="1">IF($B33&lt;&gt;"PRC_RESID","",IF(Z$7=2005+OFFSET(COM_2012!$B$60,$AW33,SUMIF($B$10:$B$16,"NCAP_TLIFE",$AX$10:$AX$16)),0,""))</f>
        <v/>
      </c>
      <c r="AA33" s="369" t="str">
        <f ca="1">IF($B33&lt;&gt;"PRC_RESID","",IF(AA$7=2005+OFFSET(COM_2012!$B$60,$AW33,SUMIF($B$10:$B$16,"NCAP_TLIFE",$AX$10:$AX$16)),0,""))</f>
        <v/>
      </c>
      <c r="AB33" s="369" t="str">
        <f ca="1">IF($B33&lt;&gt;"PRC_RESID","",IF(AB$7=2005+OFFSET(COM_2012!$B$60,$AW33,SUMIF($B$10:$B$16,"NCAP_TLIFE",$AX$10:$AX$16)),0,""))</f>
        <v/>
      </c>
      <c r="AC33" s="369" t="str">
        <f ca="1">IF($B33&lt;&gt;"PRC_RESID","",IF(AC$7=2005+OFFSET(COM_2012!$B$60,$AW33,SUMIF($B$10:$B$16,"NCAP_TLIFE",$AX$10:$AX$16)),0,""))</f>
        <v/>
      </c>
      <c r="AD33" s="369" t="str">
        <f ca="1">IF($B33&lt;&gt;"PRC_RESID","",IF(AD$7=2005+OFFSET(COM_2012!$B$60,$AW33,SUMIF($B$10:$B$16,"NCAP_TLIFE",$AX$10:$AX$16)),0,""))</f>
        <v/>
      </c>
      <c r="AE33" s="369" t="str">
        <f ca="1">IF($B33&lt;&gt;"PRC_RESID","",IF(AE$7=2005+OFFSET(COM_2012!$B$60,$AW33,SUMIF($B$10:$B$16,"NCAP_TLIFE",$AX$10:$AX$16)),0,""))</f>
        <v/>
      </c>
      <c r="AF33" s="369" t="str">
        <f ca="1">IF($B33&lt;&gt;"PRC_RESID","",IF(AF$7=2005+OFFSET(COM_2012!$B$60,$AW33,SUMIF($B$10:$B$16,"NCAP_TLIFE",$AX$10:$AX$16)),0,""))</f>
        <v/>
      </c>
      <c r="AG33" s="369" t="str">
        <f ca="1">IF($B33&lt;&gt;"PRC_RESID","",IF(AG$7=2005+OFFSET(COM_2012!$B$60,$AW33,SUMIF($B$10:$B$16,"NCAP_TLIFE",$AX$10:$AX$16)),0,""))</f>
        <v/>
      </c>
      <c r="AH33" s="369" t="str">
        <f ca="1">IF($B33&lt;&gt;"PRC_RESID","",IF(AH$7=2005+OFFSET(COM_2012!$B$60,$AW33,SUMIF($B$10:$B$16,"NCAP_TLIFE",$AX$10:$AX$16)),0,""))</f>
        <v/>
      </c>
      <c r="AI33" s="369" t="str">
        <f ca="1">IF($B33&lt;&gt;"PRC_RESID","",IF(AI$7=2005+OFFSET(COM_2012!$B$60,$AW33,SUMIF($B$10:$B$16,"NCAP_TLIFE",$AX$10:$AX$16)),0,""))</f>
        <v/>
      </c>
      <c r="AJ33" s="369" t="str">
        <f ca="1">IF($B33&lt;&gt;"PRC_RESID","",IF(AJ$7=2005+OFFSET(COM_2012!$B$60,$AW33,SUMIF($B$10:$B$16,"NCAP_TLIFE",$AX$10:$AX$16)),0,""))</f>
        <v/>
      </c>
      <c r="AK33" s="369" t="str">
        <f ca="1">IF($B33&lt;&gt;"PRC_RESID","",IF(AK$7=2005+OFFSET(COM_2012!$B$60,$AW33,SUMIF($B$10:$B$16,"NCAP_TLIFE",$AX$10:$AX$16)),0,""))</f>
        <v/>
      </c>
      <c r="AL33" s="369" t="str">
        <f ca="1">IF($B33&lt;&gt;"PRC_RESID","",IF(AL$7=2005+OFFSET(COM_2012!$B$60,$AW33,SUMIF($B$10:$B$16,"NCAP_TLIFE",$AX$10:$AX$16)),0,""))</f>
        <v/>
      </c>
      <c r="AM33" s="369" t="str">
        <f ca="1">IF($B33&lt;&gt;"PRC_RESID","",IF(AM$7=2005+OFFSET(COM_2012!$B$60,$AW33,SUMIF($B$10:$B$16,"NCAP_TLIFE",$AX$10:$AX$16)),0,""))</f>
        <v/>
      </c>
      <c r="AN33" s="369" t="str">
        <f ca="1">IF($B33&lt;&gt;"PRC_RESID","",IF(AN$7=2005+OFFSET(COM_2012!$B$60,$AW33,SUMIF($B$10:$B$16,"NCAP_TLIFE",$AX$10:$AX$16)),0,""))</f>
        <v/>
      </c>
      <c r="AO33" s="369" t="str">
        <f ca="1">IF($B33&lt;&gt;"PRC_RESID","",IF(AO$7=2005+OFFSET(COM_2012!$B$60,$AW33,SUMIF($B$10:$B$16,"NCAP_TLIFE",$AX$10:$AX$16)),0,""))</f>
        <v/>
      </c>
      <c r="AP33" s="369" t="str">
        <f ca="1">IF($B33&lt;&gt;"PRC_RESID","",IF(AP$7=2005+OFFSET(COM_2012!$B$60,$AW33,SUMIF($B$10:$B$16,"NCAP_TLIFE",$AX$10:$AX$16)),0,""))</f>
        <v/>
      </c>
      <c r="AQ33" s="369" t="str">
        <f ca="1">IF($B33&lt;&gt;"PRC_RESID","",IF(AQ$7=2005+OFFSET(COM_2012!$B$60,$AW33,SUMIF($B$10:$B$16,"NCAP_TLIFE",$AX$10:$AX$16)),0,""))</f>
        <v/>
      </c>
      <c r="AR33" s="369" t="str">
        <f ca="1">IF($B33&lt;&gt;"PRC_RESID","",IF(AR$7=2005+OFFSET(COM_2012!$B$60,$AW33,SUMIF($B$10:$B$16,"NCAP_TLIFE",$AX$10:$AX$16)),0,""))</f>
        <v/>
      </c>
      <c r="AS33" s="369" t="str">
        <f ca="1">IF($B33&lt;&gt;"PRC_RESID","",IF(AS$7=2005+OFFSET(COM_2012!$B$60,$AW33,SUMIF($B$10:$B$16,"NCAP_TLIFE",$AX$10:$AX$16)),0,""))</f>
        <v/>
      </c>
      <c r="AT33" s="369" t="str">
        <f ca="1">IF($B33&lt;&gt;"PRC_RESID","",IF(AT$7=2005+OFFSET(COM_2012!$B$60,$AW33,SUMIF($B$10:$B$16,"NCAP_TLIFE",$AX$10:$AX$16)),0,""))</f>
        <v/>
      </c>
      <c r="AU33" s="369" t="str">
        <f ca="1">IF($B33&lt;&gt;"PRC_RESID","",IF(AU$7=2005+OFFSET(COM_2012!$B$60,$AW33,SUMIF($B$10:$B$16,"NCAP_TLIFE",$AX$10:$AX$16)),0,""))</f>
        <v/>
      </c>
      <c r="AV33" s="304">
        <f>IF(AW32=COM_2012!$AI$121,AV32+1,AV32)</f>
        <v>1</v>
      </c>
      <c r="AW33" s="304">
        <f t="shared" si="5"/>
        <v>6</v>
      </c>
    </row>
    <row r="34" spans="1:49">
      <c r="A34" s="304" t="str">
        <f ca="1">IF(LEFT(OFFSET(COM_2012!$A$60,AW34,0),2)="\I","*","")</f>
        <v>*</v>
      </c>
      <c r="B34" s="369" t="str">
        <f t="shared" ca="1" si="2"/>
        <v/>
      </c>
      <c r="C34" s="369" t="str">
        <f ca="1">IF($A34="*","",OFFSET(COM_2012!$B$60,AW34,0))</f>
        <v/>
      </c>
      <c r="D34" s="369" t="str">
        <f t="shared" ca="1" si="3"/>
        <v/>
      </c>
      <c r="E34" s="369" t="str">
        <f t="shared" ca="1" si="4"/>
        <v/>
      </c>
      <c r="F34" s="369" t="str">
        <f t="shared" ca="1" si="4"/>
        <v/>
      </c>
      <c r="G34" s="369" t="str">
        <f t="shared" ca="1" si="4"/>
        <v/>
      </c>
      <c r="H34" s="369" t="str">
        <f t="shared" ca="1" si="4"/>
        <v/>
      </c>
      <c r="I34" s="370" t="str">
        <f t="shared" ca="1" si="4"/>
        <v/>
      </c>
      <c r="J34" s="391" t="str">
        <f ca="1">IF($A34="*","",OFFSET(COM_2012!$B$60,AW34,SUMIF($B$10:$B$16,B34,$AX$10:$AX$16)))</f>
        <v/>
      </c>
      <c r="K34" s="369" t="str">
        <f ca="1">IF($B34&lt;&gt;"PRC_RESID","",IF(K$7=2005+OFFSET(COM_2012!$B$60,$AW34,SUMIF($B$10:$B$16,"NCAP_TLIFE",$AX$10:$AX$16)),0,""))</f>
        <v/>
      </c>
      <c r="L34" s="369" t="str">
        <f ca="1">IF($B34&lt;&gt;"PRC_RESID","",IF(L$7=2005+OFFSET(COM_2012!$B$60,$AW34,SUMIF($B$10:$B$16,"NCAP_TLIFE",$AX$10:$AX$16)),0,""))</f>
        <v/>
      </c>
      <c r="M34" s="369" t="str">
        <f ca="1">IF($B34&lt;&gt;"PRC_RESID","",IF(M$7=2005+OFFSET(COM_2012!$B$60,$AW34,SUMIF($B$10:$B$16,"NCAP_TLIFE",$AX$10:$AX$16)),0,""))</f>
        <v/>
      </c>
      <c r="N34" s="369" t="str">
        <f ca="1">IF($B34&lt;&gt;"PRC_RESID","",IF(N$7=2005+OFFSET(COM_2012!$B$60,$AW34,SUMIF($B$10:$B$16,"NCAP_TLIFE",$AX$10:$AX$16)),0,""))</f>
        <v/>
      </c>
      <c r="O34" s="658" t="str">
        <f ca="1">IF($B34&lt;&gt;"PRC_RESID","",IF(O$7=2005+OFFSET(COM_2012!$B$60,$AW34,SUMIF($B$10:$B$16,"NCAP_TLIFE",$AX$10:$AX$16)),0,""))</f>
        <v/>
      </c>
      <c r="P34" s="369" t="str">
        <f ca="1">IF($B34&lt;&gt;"PRC_RESID","",IF(P$7=2005+OFFSET(COM_2012!$B$60,$AW34,SUMIF($B$10:$B$16,"NCAP_TLIFE",$AX$10:$AX$16)),0,""))</f>
        <v/>
      </c>
      <c r="Q34" s="369" t="str">
        <f ca="1">IF($B34&lt;&gt;"PRC_RESID","",IF(Q$7=2005+OFFSET(COM_2012!$B$60,$AW34,SUMIF($B$10:$B$16,"NCAP_TLIFE",$AX$10:$AX$16)),0,""))</f>
        <v/>
      </c>
      <c r="R34" s="369" t="str">
        <f ca="1">IF($B34&lt;&gt;"PRC_RESID","",IF(R$7=2005+OFFSET(COM_2012!$B$60,$AW34,SUMIF($B$10:$B$16,"NCAP_TLIFE",$AX$10:$AX$16)),0,""))</f>
        <v/>
      </c>
      <c r="S34" s="369" t="str">
        <f ca="1">IF($B34&lt;&gt;"PRC_RESID","",IF(S$7=2005+OFFSET(COM_2012!$B$60,$AW34,SUMIF($B$10:$B$16,"NCAP_TLIFE",$AX$10:$AX$16)),0,""))</f>
        <v/>
      </c>
      <c r="T34" s="369" t="str">
        <f ca="1">IF($B34&lt;&gt;"PRC_RESID","",IF(T$7=2005+OFFSET(COM_2012!$B$60,$AW34,SUMIF($B$10:$B$16,"NCAP_TLIFE",$AX$10:$AX$16)),0,""))</f>
        <v/>
      </c>
      <c r="U34" s="369" t="str">
        <f ca="1">IF($B34&lt;&gt;"PRC_RESID","",IF(U$7=2005+OFFSET(COM_2012!$B$60,$AW34,SUMIF($B$10:$B$16,"NCAP_TLIFE",$AX$10:$AX$16)),0,""))</f>
        <v/>
      </c>
      <c r="V34" s="369" t="str">
        <f ca="1">IF($B34&lt;&gt;"PRC_RESID","",IF(V$7=2005+OFFSET(COM_2012!$B$60,$AW34,SUMIF($B$10:$B$16,"NCAP_TLIFE",$AX$10:$AX$16)),0,""))</f>
        <v/>
      </c>
      <c r="W34" s="369" t="str">
        <f ca="1">IF($B34&lt;&gt;"PRC_RESID","",IF(W$7=2005+OFFSET(COM_2012!$B$60,$AW34,SUMIF($B$10:$B$16,"NCAP_TLIFE",$AX$10:$AX$16)),0,""))</f>
        <v/>
      </c>
      <c r="X34" s="369" t="str">
        <f ca="1">IF($B34&lt;&gt;"PRC_RESID","",IF(X$7=2005+OFFSET(COM_2012!$B$60,$AW34,SUMIF($B$10:$B$16,"NCAP_TLIFE",$AX$10:$AX$16)),0,""))</f>
        <v/>
      </c>
      <c r="Y34" s="369" t="str">
        <f ca="1">IF($B34&lt;&gt;"PRC_RESID","",IF(Y$7=2005+OFFSET(COM_2012!$B$60,$AW34,SUMIF($B$10:$B$16,"NCAP_TLIFE",$AX$10:$AX$16)),0,""))</f>
        <v/>
      </c>
      <c r="Z34" s="369" t="str">
        <f ca="1">IF($B34&lt;&gt;"PRC_RESID","",IF(Z$7=2005+OFFSET(COM_2012!$B$60,$AW34,SUMIF($B$10:$B$16,"NCAP_TLIFE",$AX$10:$AX$16)),0,""))</f>
        <v/>
      </c>
      <c r="AA34" s="369" t="str">
        <f ca="1">IF($B34&lt;&gt;"PRC_RESID","",IF(AA$7=2005+OFFSET(COM_2012!$B$60,$AW34,SUMIF($B$10:$B$16,"NCAP_TLIFE",$AX$10:$AX$16)),0,""))</f>
        <v/>
      </c>
      <c r="AB34" s="369" t="str">
        <f ca="1">IF($B34&lt;&gt;"PRC_RESID","",IF(AB$7=2005+OFFSET(COM_2012!$B$60,$AW34,SUMIF($B$10:$B$16,"NCAP_TLIFE",$AX$10:$AX$16)),0,""))</f>
        <v/>
      </c>
      <c r="AC34" s="369" t="str">
        <f ca="1">IF($B34&lt;&gt;"PRC_RESID","",IF(AC$7=2005+OFFSET(COM_2012!$B$60,$AW34,SUMIF($B$10:$B$16,"NCAP_TLIFE",$AX$10:$AX$16)),0,""))</f>
        <v/>
      </c>
      <c r="AD34" s="369" t="str">
        <f ca="1">IF($B34&lt;&gt;"PRC_RESID","",IF(AD$7=2005+OFFSET(COM_2012!$B$60,$AW34,SUMIF($B$10:$B$16,"NCAP_TLIFE",$AX$10:$AX$16)),0,""))</f>
        <v/>
      </c>
      <c r="AE34" s="369" t="str">
        <f ca="1">IF($B34&lt;&gt;"PRC_RESID","",IF(AE$7=2005+OFFSET(COM_2012!$B$60,$AW34,SUMIF($B$10:$B$16,"NCAP_TLIFE",$AX$10:$AX$16)),0,""))</f>
        <v/>
      </c>
      <c r="AF34" s="369" t="str">
        <f ca="1">IF($B34&lt;&gt;"PRC_RESID","",IF(AF$7=2005+OFFSET(COM_2012!$B$60,$AW34,SUMIF($B$10:$B$16,"NCAP_TLIFE",$AX$10:$AX$16)),0,""))</f>
        <v/>
      </c>
      <c r="AG34" s="369" t="str">
        <f ca="1">IF($B34&lt;&gt;"PRC_RESID","",IF(AG$7=2005+OFFSET(COM_2012!$B$60,$AW34,SUMIF($B$10:$B$16,"NCAP_TLIFE",$AX$10:$AX$16)),0,""))</f>
        <v/>
      </c>
      <c r="AH34" s="369" t="str">
        <f ca="1">IF($B34&lt;&gt;"PRC_RESID","",IF(AH$7=2005+OFFSET(COM_2012!$B$60,$AW34,SUMIF($B$10:$B$16,"NCAP_TLIFE",$AX$10:$AX$16)),0,""))</f>
        <v/>
      </c>
      <c r="AI34" s="369" t="str">
        <f ca="1">IF($B34&lt;&gt;"PRC_RESID","",IF(AI$7=2005+OFFSET(COM_2012!$B$60,$AW34,SUMIF($B$10:$B$16,"NCAP_TLIFE",$AX$10:$AX$16)),0,""))</f>
        <v/>
      </c>
      <c r="AJ34" s="369" t="str">
        <f ca="1">IF($B34&lt;&gt;"PRC_RESID","",IF(AJ$7=2005+OFFSET(COM_2012!$B$60,$AW34,SUMIF($B$10:$B$16,"NCAP_TLIFE",$AX$10:$AX$16)),0,""))</f>
        <v/>
      </c>
      <c r="AK34" s="369" t="str">
        <f ca="1">IF($B34&lt;&gt;"PRC_RESID","",IF(AK$7=2005+OFFSET(COM_2012!$B$60,$AW34,SUMIF($B$10:$B$16,"NCAP_TLIFE",$AX$10:$AX$16)),0,""))</f>
        <v/>
      </c>
      <c r="AL34" s="369" t="str">
        <f ca="1">IF($B34&lt;&gt;"PRC_RESID","",IF(AL$7=2005+OFFSET(COM_2012!$B$60,$AW34,SUMIF($B$10:$B$16,"NCAP_TLIFE",$AX$10:$AX$16)),0,""))</f>
        <v/>
      </c>
      <c r="AM34" s="369" t="str">
        <f ca="1">IF($B34&lt;&gt;"PRC_RESID","",IF(AM$7=2005+OFFSET(COM_2012!$B$60,$AW34,SUMIF($B$10:$B$16,"NCAP_TLIFE",$AX$10:$AX$16)),0,""))</f>
        <v/>
      </c>
      <c r="AN34" s="369" t="str">
        <f ca="1">IF($B34&lt;&gt;"PRC_RESID","",IF(AN$7=2005+OFFSET(COM_2012!$B$60,$AW34,SUMIF($B$10:$B$16,"NCAP_TLIFE",$AX$10:$AX$16)),0,""))</f>
        <v/>
      </c>
      <c r="AO34" s="369" t="str">
        <f ca="1">IF($B34&lt;&gt;"PRC_RESID","",IF(AO$7=2005+OFFSET(COM_2012!$B$60,$AW34,SUMIF($B$10:$B$16,"NCAP_TLIFE",$AX$10:$AX$16)),0,""))</f>
        <v/>
      </c>
      <c r="AP34" s="369" t="str">
        <f ca="1">IF($B34&lt;&gt;"PRC_RESID","",IF(AP$7=2005+OFFSET(COM_2012!$B$60,$AW34,SUMIF($B$10:$B$16,"NCAP_TLIFE",$AX$10:$AX$16)),0,""))</f>
        <v/>
      </c>
      <c r="AQ34" s="369" t="str">
        <f ca="1">IF($B34&lt;&gt;"PRC_RESID","",IF(AQ$7=2005+OFFSET(COM_2012!$B$60,$AW34,SUMIF($B$10:$B$16,"NCAP_TLIFE",$AX$10:$AX$16)),0,""))</f>
        <v/>
      </c>
      <c r="AR34" s="369" t="str">
        <f ca="1">IF($B34&lt;&gt;"PRC_RESID","",IF(AR$7=2005+OFFSET(COM_2012!$B$60,$AW34,SUMIF($B$10:$B$16,"NCAP_TLIFE",$AX$10:$AX$16)),0,""))</f>
        <v/>
      </c>
      <c r="AS34" s="369" t="str">
        <f ca="1">IF($B34&lt;&gt;"PRC_RESID","",IF(AS$7=2005+OFFSET(COM_2012!$B$60,$AW34,SUMIF($B$10:$B$16,"NCAP_TLIFE",$AX$10:$AX$16)),0,""))</f>
        <v/>
      </c>
      <c r="AT34" s="369" t="str">
        <f ca="1">IF($B34&lt;&gt;"PRC_RESID","",IF(AT$7=2005+OFFSET(COM_2012!$B$60,$AW34,SUMIF($B$10:$B$16,"NCAP_TLIFE",$AX$10:$AX$16)),0,""))</f>
        <v/>
      </c>
      <c r="AU34" s="369" t="str">
        <f ca="1">IF($B34&lt;&gt;"PRC_RESID","",IF(AU$7=2005+OFFSET(COM_2012!$B$60,$AW34,SUMIF($B$10:$B$16,"NCAP_TLIFE",$AX$10:$AX$16)),0,""))</f>
        <v/>
      </c>
      <c r="AV34" s="304">
        <f>IF(AW33=COM_2012!$AI$121,AV33+1,AV33)</f>
        <v>1</v>
      </c>
      <c r="AW34" s="304">
        <f t="shared" si="5"/>
        <v>7</v>
      </c>
    </row>
    <row r="35" spans="1:49">
      <c r="A35" s="304" t="str">
        <f ca="1">IF(LEFT(OFFSET(COM_2012!$A$60,AW35,0),2)="\I","*","")</f>
        <v>*</v>
      </c>
      <c r="B35" s="369" t="str">
        <f t="shared" ca="1" si="2"/>
        <v/>
      </c>
      <c r="C35" s="369" t="str">
        <f ca="1">IF($A35="*","",OFFSET(COM_2012!$B$60,AW35,0))</f>
        <v/>
      </c>
      <c r="D35" s="369" t="str">
        <f t="shared" ca="1" si="3"/>
        <v/>
      </c>
      <c r="E35" s="369" t="str">
        <f t="shared" ca="1" si="4"/>
        <v/>
      </c>
      <c r="F35" s="369" t="str">
        <f t="shared" ca="1" si="4"/>
        <v/>
      </c>
      <c r="G35" s="369" t="str">
        <f t="shared" ca="1" si="4"/>
        <v/>
      </c>
      <c r="H35" s="369" t="str">
        <f t="shared" ca="1" si="4"/>
        <v/>
      </c>
      <c r="I35" s="370" t="str">
        <f t="shared" ca="1" si="4"/>
        <v/>
      </c>
      <c r="J35" s="391" t="str">
        <f ca="1">IF($A35="*","",OFFSET(COM_2012!$B$60,AW35,SUMIF($B$10:$B$16,B35,$AX$10:$AX$16)))</f>
        <v/>
      </c>
      <c r="K35" s="369" t="str">
        <f ca="1">IF($B35&lt;&gt;"PRC_RESID","",IF(K$7=2005+OFFSET(COM_2012!$B$60,$AW35,SUMIF($B$10:$B$16,"NCAP_TLIFE",$AX$10:$AX$16)),0,""))</f>
        <v/>
      </c>
      <c r="L35" s="369" t="str">
        <f ca="1">IF($B35&lt;&gt;"PRC_RESID","",IF(L$7=2005+OFFSET(COM_2012!$B$60,$AW35,SUMIF($B$10:$B$16,"NCAP_TLIFE",$AX$10:$AX$16)),0,""))</f>
        <v/>
      </c>
      <c r="M35" s="369" t="str">
        <f ca="1">IF($B35&lt;&gt;"PRC_RESID","",IF(M$7=2005+OFFSET(COM_2012!$B$60,$AW35,SUMIF($B$10:$B$16,"NCAP_TLIFE",$AX$10:$AX$16)),0,""))</f>
        <v/>
      </c>
      <c r="N35" s="369" t="str">
        <f ca="1">IF($B35&lt;&gt;"PRC_RESID","",IF(N$7=2005+OFFSET(COM_2012!$B$60,$AW35,SUMIF($B$10:$B$16,"NCAP_TLIFE",$AX$10:$AX$16)),0,""))</f>
        <v/>
      </c>
      <c r="O35" s="658" t="str">
        <f ca="1">IF($B35&lt;&gt;"PRC_RESID","",IF(O$7=2005+OFFSET(COM_2012!$B$60,$AW35,SUMIF($B$10:$B$16,"NCAP_TLIFE",$AX$10:$AX$16)),0,""))</f>
        <v/>
      </c>
      <c r="P35" s="369" t="str">
        <f ca="1">IF($B35&lt;&gt;"PRC_RESID","",IF(P$7=2005+OFFSET(COM_2012!$B$60,$AW35,SUMIF($B$10:$B$16,"NCAP_TLIFE",$AX$10:$AX$16)),0,""))</f>
        <v/>
      </c>
      <c r="Q35" s="369" t="str">
        <f ca="1">IF($B35&lt;&gt;"PRC_RESID","",IF(Q$7=2005+OFFSET(COM_2012!$B$60,$AW35,SUMIF($B$10:$B$16,"NCAP_TLIFE",$AX$10:$AX$16)),0,""))</f>
        <v/>
      </c>
      <c r="R35" s="369" t="str">
        <f ca="1">IF($B35&lt;&gt;"PRC_RESID","",IF(R$7=2005+OFFSET(COM_2012!$B$60,$AW35,SUMIF($B$10:$B$16,"NCAP_TLIFE",$AX$10:$AX$16)),0,""))</f>
        <v/>
      </c>
      <c r="S35" s="369" t="str">
        <f ca="1">IF($B35&lt;&gt;"PRC_RESID","",IF(S$7=2005+OFFSET(COM_2012!$B$60,$AW35,SUMIF($B$10:$B$16,"NCAP_TLIFE",$AX$10:$AX$16)),0,""))</f>
        <v/>
      </c>
      <c r="T35" s="369" t="str">
        <f ca="1">IF($B35&lt;&gt;"PRC_RESID","",IF(T$7=2005+OFFSET(COM_2012!$B$60,$AW35,SUMIF($B$10:$B$16,"NCAP_TLIFE",$AX$10:$AX$16)),0,""))</f>
        <v/>
      </c>
      <c r="U35" s="369" t="str">
        <f ca="1">IF($B35&lt;&gt;"PRC_RESID","",IF(U$7=2005+OFFSET(COM_2012!$B$60,$AW35,SUMIF($B$10:$B$16,"NCAP_TLIFE",$AX$10:$AX$16)),0,""))</f>
        <v/>
      </c>
      <c r="V35" s="369" t="str">
        <f ca="1">IF($B35&lt;&gt;"PRC_RESID","",IF(V$7=2005+OFFSET(COM_2012!$B$60,$AW35,SUMIF($B$10:$B$16,"NCAP_TLIFE",$AX$10:$AX$16)),0,""))</f>
        <v/>
      </c>
      <c r="W35" s="369" t="str">
        <f ca="1">IF($B35&lt;&gt;"PRC_RESID","",IF(W$7=2005+OFFSET(COM_2012!$B$60,$AW35,SUMIF($B$10:$B$16,"NCAP_TLIFE",$AX$10:$AX$16)),0,""))</f>
        <v/>
      </c>
      <c r="X35" s="369" t="str">
        <f ca="1">IF($B35&lt;&gt;"PRC_RESID","",IF(X$7=2005+OFFSET(COM_2012!$B$60,$AW35,SUMIF($B$10:$B$16,"NCAP_TLIFE",$AX$10:$AX$16)),0,""))</f>
        <v/>
      </c>
      <c r="Y35" s="369" t="str">
        <f ca="1">IF($B35&lt;&gt;"PRC_RESID","",IF(Y$7=2005+OFFSET(COM_2012!$B$60,$AW35,SUMIF($B$10:$B$16,"NCAP_TLIFE",$AX$10:$AX$16)),0,""))</f>
        <v/>
      </c>
      <c r="Z35" s="369" t="str">
        <f ca="1">IF($B35&lt;&gt;"PRC_RESID","",IF(Z$7=2005+OFFSET(COM_2012!$B$60,$AW35,SUMIF($B$10:$B$16,"NCAP_TLIFE",$AX$10:$AX$16)),0,""))</f>
        <v/>
      </c>
      <c r="AA35" s="369" t="str">
        <f ca="1">IF($B35&lt;&gt;"PRC_RESID","",IF(AA$7=2005+OFFSET(COM_2012!$B$60,$AW35,SUMIF($B$10:$B$16,"NCAP_TLIFE",$AX$10:$AX$16)),0,""))</f>
        <v/>
      </c>
      <c r="AB35" s="369" t="str">
        <f ca="1">IF($B35&lt;&gt;"PRC_RESID","",IF(AB$7=2005+OFFSET(COM_2012!$B$60,$AW35,SUMIF($B$10:$B$16,"NCAP_TLIFE",$AX$10:$AX$16)),0,""))</f>
        <v/>
      </c>
      <c r="AC35" s="369" t="str">
        <f ca="1">IF($B35&lt;&gt;"PRC_RESID","",IF(AC$7=2005+OFFSET(COM_2012!$B$60,$AW35,SUMIF($B$10:$B$16,"NCAP_TLIFE",$AX$10:$AX$16)),0,""))</f>
        <v/>
      </c>
      <c r="AD35" s="369" t="str">
        <f ca="1">IF($B35&lt;&gt;"PRC_RESID","",IF(AD$7=2005+OFFSET(COM_2012!$B$60,$AW35,SUMIF($B$10:$B$16,"NCAP_TLIFE",$AX$10:$AX$16)),0,""))</f>
        <v/>
      </c>
      <c r="AE35" s="369" t="str">
        <f ca="1">IF($B35&lt;&gt;"PRC_RESID","",IF(AE$7=2005+OFFSET(COM_2012!$B$60,$AW35,SUMIF($B$10:$B$16,"NCAP_TLIFE",$AX$10:$AX$16)),0,""))</f>
        <v/>
      </c>
      <c r="AF35" s="369" t="str">
        <f ca="1">IF($B35&lt;&gt;"PRC_RESID","",IF(AF$7=2005+OFFSET(COM_2012!$B$60,$AW35,SUMIF($B$10:$B$16,"NCAP_TLIFE",$AX$10:$AX$16)),0,""))</f>
        <v/>
      </c>
      <c r="AG35" s="369" t="str">
        <f ca="1">IF($B35&lt;&gt;"PRC_RESID","",IF(AG$7=2005+OFFSET(COM_2012!$B$60,$AW35,SUMIF($B$10:$B$16,"NCAP_TLIFE",$AX$10:$AX$16)),0,""))</f>
        <v/>
      </c>
      <c r="AH35" s="369" t="str">
        <f ca="1">IF($B35&lt;&gt;"PRC_RESID","",IF(AH$7=2005+OFFSET(COM_2012!$B$60,$AW35,SUMIF($B$10:$B$16,"NCAP_TLIFE",$AX$10:$AX$16)),0,""))</f>
        <v/>
      </c>
      <c r="AI35" s="369" t="str">
        <f ca="1">IF($B35&lt;&gt;"PRC_RESID","",IF(AI$7=2005+OFFSET(COM_2012!$B$60,$AW35,SUMIF($B$10:$B$16,"NCAP_TLIFE",$AX$10:$AX$16)),0,""))</f>
        <v/>
      </c>
      <c r="AJ35" s="369" t="str">
        <f ca="1">IF($B35&lt;&gt;"PRC_RESID","",IF(AJ$7=2005+OFFSET(COM_2012!$B$60,$AW35,SUMIF($B$10:$B$16,"NCAP_TLIFE",$AX$10:$AX$16)),0,""))</f>
        <v/>
      </c>
      <c r="AK35" s="369" t="str">
        <f ca="1">IF($B35&lt;&gt;"PRC_RESID","",IF(AK$7=2005+OFFSET(COM_2012!$B$60,$AW35,SUMIF($B$10:$B$16,"NCAP_TLIFE",$AX$10:$AX$16)),0,""))</f>
        <v/>
      </c>
      <c r="AL35" s="369" t="str">
        <f ca="1">IF($B35&lt;&gt;"PRC_RESID","",IF(AL$7=2005+OFFSET(COM_2012!$B$60,$AW35,SUMIF($B$10:$B$16,"NCAP_TLIFE",$AX$10:$AX$16)),0,""))</f>
        <v/>
      </c>
      <c r="AM35" s="369" t="str">
        <f ca="1">IF($B35&lt;&gt;"PRC_RESID","",IF(AM$7=2005+OFFSET(COM_2012!$B$60,$AW35,SUMIF($B$10:$B$16,"NCAP_TLIFE",$AX$10:$AX$16)),0,""))</f>
        <v/>
      </c>
      <c r="AN35" s="369" t="str">
        <f ca="1">IF($B35&lt;&gt;"PRC_RESID","",IF(AN$7=2005+OFFSET(COM_2012!$B$60,$AW35,SUMIF($B$10:$B$16,"NCAP_TLIFE",$AX$10:$AX$16)),0,""))</f>
        <v/>
      </c>
      <c r="AO35" s="369" t="str">
        <f ca="1">IF($B35&lt;&gt;"PRC_RESID","",IF(AO$7=2005+OFFSET(COM_2012!$B$60,$AW35,SUMIF($B$10:$B$16,"NCAP_TLIFE",$AX$10:$AX$16)),0,""))</f>
        <v/>
      </c>
      <c r="AP35" s="369" t="str">
        <f ca="1">IF($B35&lt;&gt;"PRC_RESID","",IF(AP$7=2005+OFFSET(COM_2012!$B$60,$AW35,SUMIF($B$10:$B$16,"NCAP_TLIFE",$AX$10:$AX$16)),0,""))</f>
        <v/>
      </c>
      <c r="AQ35" s="369" t="str">
        <f ca="1">IF($B35&lt;&gt;"PRC_RESID","",IF(AQ$7=2005+OFFSET(COM_2012!$B$60,$AW35,SUMIF($B$10:$B$16,"NCAP_TLIFE",$AX$10:$AX$16)),0,""))</f>
        <v/>
      </c>
      <c r="AR35" s="369" t="str">
        <f ca="1">IF($B35&lt;&gt;"PRC_RESID","",IF(AR$7=2005+OFFSET(COM_2012!$B$60,$AW35,SUMIF($B$10:$B$16,"NCAP_TLIFE",$AX$10:$AX$16)),0,""))</f>
        <v/>
      </c>
      <c r="AS35" s="369" t="str">
        <f ca="1">IF($B35&lt;&gt;"PRC_RESID","",IF(AS$7=2005+OFFSET(COM_2012!$B$60,$AW35,SUMIF($B$10:$B$16,"NCAP_TLIFE",$AX$10:$AX$16)),0,""))</f>
        <v/>
      </c>
      <c r="AT35" s="369" t="str">
        <f ca="1">IF($B35&lt;&gt;"PRC_RESID","",IF(AT$7=2005+OFFSET(COM_2012!$B$60,$AW35,SUMIF($B$10:$B$16,"NCAP_TLIFE",$AX$10:$AX$16)),0,""))</f>
        <v/>
      </c>
      <c r="AU35" s="369" t="str">
        <f ca="1">IF($B35&lt;&gt;"PRC_RESID","",IF(AU$7=2005+OFFSET(COM_2012!$B$60,$AW35,SUMIF($B$10:$B$16,"NCAP_TLIFE",$AX$10:$AX$16)),0,""))</f>
        <v/>
      </c>
      <c r="AV35" s="304">
        <f>IF(AW34=COM_2012!$AI$121,AV34+1,AV34)</f>
        <v>1</v>
      </c>
      <c r="AW35" s="304">
        <f t="shared" si="5"/>
        <v>8</v>
      </c>
    </row>
    <row r="36" spans="1:49">
      <c r="A36" s="304" t="str">
        <f ca="1">IF(LEFT(OFFSET(COM_2012!$A$60,AW36,0),2)="\I","*","")</f>
        <v/>
      </c>
      <c r="B36" s="369" t="str">
        <f t="shared" ca="1" si="2"/>
        <v>ACT_EFF</v>
      </c>
      <c r="C36" s="369" t="str">
        <f ca="1">IF($A36="*","",OFFSET(COM_2012!$B$60,AW36,0))</f>
        <v>CEHCOA-E</v>
      </c>
      <c r="D36" s="369" t="str">
        <f t="shared" ca="1" si="3"/>
        <v>-</v>
      </c>
      <c r="E36" s="369" t="str">
        <f t="shared" ca="1" si="4"/>
        <v>ACTGRP</v>
      </c>
      <c r="F36" s="369" t="str">
        <f t="shared" ca="1" si="4"/>
        <v>-</v>
      </c>
      <c r="G36" s="369" t="str">
        <f t="shared" ca="1" si="4"/>
        <v>ANNUAL</v>
      </c>
      <c r="H36" s="369" t="str">
        <f t="shared" ca="1" si="4"/>
        <v>-</v>
      </c>
      <c r="I36" s="370">
        <f t="shared" ca="1" si="4"/>
        <v>0</v>
      </c>
      <c r="J36" s="391">
        <f ca="1">IF($A36="*","",OFFSET(COM_2012!$B$60,AW36,SUMIF($B$10:$B$16,B36,$AX$10:$AX$16)))</f>
        <v>0.60000000000000009</v>
      </c>
      <c r="K36" s="369" t="str">
        <f ca="1">IF($B36&lt;&gt;"PRC_RESID","",IF(K$7=2005+OFFSET(COM_2012!$B$60,$AW36,SUMIF($B$10:$B$16,"NCAP_TLIFE",$AX$10:$AX$16)),0,""))</f>
        <v/>
      </c>
      <c r="L36" s="369" t="str">
        <f ca="1">IF($B36&lt;&gt;"PRC_RESID","",IF(L$7=2005+OFFSET(COM_2012!$B$60,$AW36,SUMIF($B$10:$B$16,"NCAP_TLIFE",$AX$10:$AX$16)),0,""))</f>
        <v/>
      </c>
      <c r="M36" s="369" t="str">
        <f ca="1">IF($B36&lt;&gt;"PRC_RESID","",IF(M$7=2005+OFFSET(COM_2012!$B$60,$AW36,SUMIF($B$10:$B$16,"NCAP_TLIFE",$AX$10:$AX$16)),0,""))</f>
        <v/>
      </c>
      <c r="N36" s="369" t="str">
        <f ca="1">IF($B36&lt;&gt;"PRC_RESID","",IF(N$7=2005+OFFSET(COM_2012!$B$60,$AW36,SUMIF($B$10:$B$16,"NCAP_TLIFE",$AX$10:$AX$16)),0,""))</f>
        <v/>
      </c>
      <c r="O36" s="658" t="str">
        <f ca="1">IF($B36&lt;&gt;"PRC_RESID","",IF(O$7=2005+OFFSET(COM_2012!$B$60,$AW36,SUMIF($B$10:$B$16,"NCAP_TLIFE",$AX$10:$AX$16)),0,""))</f>
        <v/>
      </c>
      <c r="P36" s="369" t="str">
        <f ca="1">IF($B36&lt;&gt;"PRC_RESID","",IF(P$7=2005+OFFSET(COM_2012!$B$60,$AW36,SUMIF($B$10:$B$16,"NCAP_TLIFE",$AX$10:$AX$16)),0,""))</f>
        <v/>
      </c>
      <c r="Q36" s="369" t="str">
        <f ca="1">IF($B36&lt;&gt;"PRC_RESID","",IF(Q$7=2005+OFFSET(COM_2012!$B$60,$AW36,SUMIF($B$10:$B$16,"NCAP_TLIFE",$AX$10:$AX$16)),0,""))</f>
        <v/>
      </c>
      <c r="R36" s="369" t="str">
        <f ca="1">IF($B36&lt;&gt;"PRC_RESID","",IF(R$7=2005+OFFSET(COM_2012!$B$60,$AW36,SUMIF($B$10:$B$16,"NCAP_TLIFE",$AX$10:$AX$16)),0,""))</f>
        <v/>
      </c>
      <c r="S36" s="369" t="str">
        <f ca="1">IF($B36&lt;&gt;"PRC_RESID","",IF(S$7=2005+OFFSET(COM_2012!$B$60,$AW36,SUMIF($B$10:$B$16,"NCAP_TLIFE",$AX$10:$AX$16)),0,""))</f>
        <v/>
      </c>
      <c r="T36" s="369" t="str">
        <f ca="1">IF($B36&lt;&gt;"PRC_RESID","",IF(T$7=2005+OFFSET(COM_2012!$B$60,$AW36,SUMIF($B$10:$B$16,"NCAP_TLIFE",$AX$10:$AX$16)),0,""))</f>
        <v/>
      </c>
      <c r="U36" s="369" t="str">
        <f ca="1">IF($B36&lt;&gt;"PRC_RESID","",IF(U$7=2005+OFFSET(COM_2012!$B$60,$AW36,SUMIF($B$10:$B$16,"NCAP_TLIFE",$AX$10:$AX$16)),0,""))</f>
        <v/>
      </c>
      <c r="V36" s="369" t="str">
        <f ca="1">IF($B36&lt;&gt;"PRC_RESID","",IF(V$7=2005+OFFSET(COM_2012!$B$60,$AW36,SUMIF($B$10:$B$16,"NCAP_TLIFE",$AX$10:$AX$16)),0,""))</f>
        <v/>
      </c>
      <c r="W36" s="369" t="str">
        <f ca="1">IF($B36&lt;&gt;"PRC_RESID","",IF(W$7=2005+OFFSET(COM_2012!$B$60,$AW36,SUMIF($B$10:$B$16,"NCAP_TLIFE",$AX$10:$AX$16)),0,""))</f>
        <v/>
      </c>
      <c r="X36" s="369" t="str">
        <f ca="1">IF($B36&lt;&gt;"PRC_RESID","",IF(X$7=2005+OFFSET(COM_2012!$B$60,$AW36,SUMIF($B$10:$B$16,"NCAP_TLIFE",$AX$10:$AX$16)),0,""))</f>
        <v/>
      </c>
      <c r="Y36" s="369" t="str">
        <f ca="1">IF($B36&lt;&gt;"PRC_RESID","",IF(Y$7=2005+OFFSET(COM_2012!$B$60,$AW36,SUMIF($B$10:$B$16,"NCAP_TLIFE",$AX$10:$AX$16)),0,""))</f>
        <v/>
      </c>
      <c r="Z36" s="369" t="str">
        <f ca="1">IF($B36&lt;&gt;"PRC_RESID","",IF(Z$7=2005+OFFSET(COM_2012!$B$60,$AW36,SUMIF($B$10:$B$16,"NCAP_TLIFE",$AX$10:$AX$16)),0,""))</f>
        <v/>
      </c>
      <c r="AA36" s="369" t="str">
        <f ca="1">IF($B36&lt;&gt;"PRC_RESID","",IF(AA$7=2005+OFFSET(COM_2012!$B$60,$AW36,SUMIF($B$10:$B$16,"NCAP_TLIFE",$AX$10:$AX$16)),0,""))</f>
        <v/>
      </c>
      <c r="AB36" s="369" t="str">
        <f ca="1">IF($B36&lt;&gt;"PRC_RESID","",IF(AB$7=2005+OFFSET(COM_2012!$B$60,$AW36,SUMIF($B$10:$B$16,"NCAP_TLIFE",$AX$10:$AX$16)),0,""))</f>
        <v/>
      </c>
      <c r="AC36" s="369" t="str">
        <f ca="1">IF($B36&lt;&gt;"PRC_RESID","",IF(AC$7=2005+OFFSET(COM_2012!$B$60,$AW36,SUMIF($B$10:$B$16,"NCAP_TLIFE",$AX$10:$AX$16)),0,""))</f>
        <v/>
      </c>
      <c r="AD36" s="369" t="str">
        <f ca="1">IF($B36&lt;&gt;"PRC_RESID","",IF(AD$7=2005+OFFSET(COM_2012!$B$60,$AW36,SUMIF($B$10:$B$16,"NCAP_TLIFE",$AX$10:$AX$16)),0,""))</f>
        <v/>
      </c>
      <c r="AE36" s="369" t="str">
        <f ca="1">IF($B36&lt;&gt;"PRC_RESID","",IF(AE$7=2005+OFFSET(COM_2012!$B$60,$AW36,SUMIF($B$10:$B$16,"NCAP_TLIFE",$AX$10:$AX$16)),0,""))</f>
        <v/>
      </c>
      <c r="AF36" s="369" t="str">
        <f ca="1">IF($B36&lt;&gt;"PRC_RESID","",IF(AF$7=2005+OFFSET(COM_2012!$B$60,$AW36,SUMIF($B$10:$B$16,"NCAP_TLIFE",$AX$10:$AX$16)),0,""))</f>
        <v/>
      </c>
      <c r="AG36" s="369" t="str">
        <f ca="1">IF($B36&lt;&gt;"PRC_RESID","",IF(AG$7=2005+OFFSET(COM_2012!$B$60,$AW36,SUMIF($B$10:$B$16,"NCAP_TLIFE",$AX$10:$AX$16)),0,""))</f>
        <v/>
      </c>
      <c r="AH36" s="369" t="str">
        <f ca="1">IF($B36&lt;&gt;"PRC_RESID","",IF(AH$7=2005+OFFSET(COM_2012!$B$60,$AW36,SUMIF($B$10:$B$16,"NCAP_TLIFE",$AX$10:$AX$16)),0,""))</f>
        <v/>
      </c>
      <c r="AI36" s="369" t="str">
        <f ca="1">IF($B36&lt;&gt;"PRC_RESID","",IF(AI$7=2005+OFFSET(COM_2012!$B$60,$AW36,SUMIF($B$10:$B$16,"NCAP_TLIFE",$AX$10:$AX$16)),0,""))</f>
        <v/>
      </c>
      <c r="AJ36" s="369" t="str">
        <f ca="1">IF($B36&lt;&gt;"PRC_RESID","",IF(AJ$7=2005+OFFSET(COM_2012!$B$60,$AW36,SUMIF($B$10:$B$16,"NCAP_TLIFE",$AX$10:$AX$16)),0,""))</f>
        <v/>
      </c>
      <c r="AK36" s="369" t="str">
        <f ca="1">IF($B36&lt;&gt;"PRC_RESID","",IF(AK$7=2005+OFFSET(COM_2012!$B$60,$AW36,SUMIF($B$10:$B$16,"NCAP_TLIFE",$AX$10:$AX$16)),0,""))</f>
        <v/>
      </c>
      <c r="AL36" s="369" t="str">
        <f ca="1">IF($B36&lt;&gt;"PRC_RESID","",IF(AL$7=2005+OFFSET(COM_2012!$B$60,$AW36,SUMIF($B$10:$B$16,"NCAP_TLIFE",$AX$10:$AX$16)),0,""))</f>
        <v/>
      </c>
      <c r="AM36" s="369" t="str">
        <f ca="1">IF($B36&lt;&gt;"PRC_RESID","",IF(AM$7=2005+OFFSET(COM_2012!$B$60,$AW36,SUMIF($B$10:$B$16,"NCAP_TLIFE",$AX$10:$AX$16)),0,""))</f>
        <v/>
      </c>
      <c r="AN36" s="369" t="str">
        <f ca="1">IF($B36&lt;&gt;"PRC_RESID","",IF(AN$7=2005+OFFSET(COM_2012!$B$60,$AW36,SUMIF($B$10:$B$16,"NCAP_TLIFE",$AX$10:$AX$16)),0,""))</f>
        <v/>
      </c>
      <c r="AO36" s="369" t="str">
        <f ca="1">IF($B36&lt;&gt;"PRC_RESID","",IF(AO$7=2005+OFFSET(COM_2012!$B$60,$AW36,SUMIF($B$10:$B$16,"NCAP_TLIFE",$AX$10:$AX$16)),0,""))</f>
        <v/>
      </c>
      <c r="AP36" s="369" t="str">
        <f ca="1">IF($B36&lt;&gt;"PRC_RESID","",IF(AP$7=2005+OFFSET(COM_2012!$B$60,$AW36,SUMIF($B$10:$B$16,"NCAP_TLIFE",$AX$10:$AX$16)),0,""))</f>
        <v/>
      </c>
      <c r="AQ36" s="369" t="str">
        <f ca="1">IF($B36&lt;&gt;"PRC_RESID","",IF(AQ$7=2005+OFFSET(COM_2012!$B$60,$AW36,SUMIF($B$10:$B$16,"NCAP_TLIFE",$AX$10:$AX$16)),0,""))</f>
        <v/>
      </c>
      <c r="AR36" s="369" t="str">
        <f ca="1">IF($B36&lt;&gt;"PRC_RESID","",IF(AR$7=2005+OFFSET(COM_2012!$B$60,$AW36,SUMIF($B$10:$B$16,"NCAP_TLIFE",$AX$10:$AX$16)),0,""))</f>
        <v/>
      </c>
      <c r="AS36" s="369" t="str">
        <f ca="1">IF($B36&lt;&gt;"PRC_RESID","",IF(AS$7=2005+OFFSET(COM_2012!$B$60,$AW36,SUMIF($B$10:$B$16,"NCAP_TLIFE",$AX$10:$AX$16)),0,""))</f>
        <v/>
      </c>
      <c r="AT36" s="369" t="str">
        <f ca="1">IF($B36&lt;&gt;"PRC_RESID","",IF(AT$7=2005+OFFSET(COM_2012!$B$60,$AW36,SUMIF($B$10:$B$16,"NCAP_TLIFE",$AX$10:$AX$16)),0,""))</f>
        <v/>
      </c>
      <c r="AU36" s="369" t="str">
        <f ca="1">IF($B36&lt;&gt;"PRC_RESID","",IF(AU$7=2005+OFFSET(COM_2012!$B$60,$AW36,SUMIF($B$10:$B$16,"NCAP_TLIFE",$AX$10:$AX$16)),0,""))</f>
        <v/>
      </c>
      <c r="AV36" s="304">
        <f>IF(AW35=COM_2012!$AI$121,AV35+1,AV35)</f>
        <v>1</v>
      </c>
      <c r="AW36" s="304">
        <f t="shared" si="5"/>
        <v>9</v>
      </c>
    </row>
    <row r="37" spans="1:49">
      <c r="A37" s="304" t="str">
        <f ca="1">IF(LEFT(OFFSET(COM_2012!$A$60,AW37,0),2)="\I","*","")</f>
        <v/>
      </c>
      <c r="B37" s="369" t="str">
        <f t="shared" ca="1" si="2"/>
        <v>ACT_EFF</v>
      </c>
      <c r="C37" s="369" t="str">
        <f ca="1">IF($A37="*","",OFFSET(COM_2012!$B$60,AW37,0))</f>
        <v>CEHELC-E</v>
      </c>
      <c r="D37" s="369" t="str">
        <f t="shared" ca="1" si="3"/>
        <v>-</v>
      </c>
      <c r="E37" s="369" t="str">
        <f t="shared" ca="1" si="4"/>
        <v>ACTGRP</v>
      </c>
      <c r="F37" s="369" t="str">
        <f t="shared" ca="1" si="4"/>
        <v>-</v>
      </c>
      <c r="G37" s="369" t="str">
        <f t="shared" ca="1" si="4"/>
        <v>ANNUAL</v>
      </c>
      <c r="H37" s="369" t="str">
        <f t="shared" ca="1" si="4"/>
        <v>-</v>
      </c>
      <c r="I37" s="370">
        <f t="shared" ca="1" si="4"/>
        <v>0</v>
      </c>
      <c r="J37" s="391">
        <f ca="1">IF($A37="*","",OFFSET(COM_2012!$B$60,AW37,SUMIF($B$10:$B$16,B37,$AX$10:$AX$16)))</f>
        <v>1</v>
      </c>
      <c r="K37" s="369" t="str">
        <f ca="1">IF($B37&lt;&gt;"PRC_RESID","",IF(K$7=2005+OFFSET(COM_2012!$B$60,$AW37,SUMIF($B$10:$B$16,"NCAP_TLIFE",$AX$10:$AX$16)),0,""))</f>
        <v/>
      </c>
      <c r="L37" s="369" t="str">
        <f ca="1">IF($B37&lt;&gt;"PRC_RESID","",IF(L$7=2005+OFFSET(COM_2012!$B$60,$AW37,SUMIF($B$10:$B$16,"NCAP_TLIFE",$AX$10:$AX$16)),0,""))</f>
        <v/>
      </c>
      <c r="M37" s="369" t="str">
        <f ca="1">IF($B37&lt;&gt;"PRC_RESID","",IF(M$7=2005+OFFSET(COM_2012!$B$60,$AW37,SUMIF($B$10:$B$16,"NCAP_TLIFE",$AX$10:$AX$16)),0,""))</f>
        <v/>
      </c>
      <c r="N37" s="369" t="str">
        <f ca="1">IF($B37&lt;&gt;"PRC_RESID","",IF(N$7=2005+OFFSET(COM_2012!$B$60,$AW37,SUMIF($B$10:$B$16,"NCAP_TLIFE",$AX$10:$AX$16)),0,""))</f>
        <v/>
      </c>
      <c r="O37" s="658" t="str">
        <f ca="1">IF($B37&lt;&gt;"PRC_RESID","",IF(O$7=2005+OFFSET(COM_2012!$B$60,$AW37,SUMIF($B$10:$B$16,"NCAP_TLIFE",$AX$10:$AX$16)),0,""))</f>
        <v/>
      </c>
      <c r="P37" s="369" t="str">
        <f ca="1">IF($B37&lt;&gt;"PRC_RESID","",IF(P$7=2005+OFFSET(COM_2012!$B$60,$AW37,SUMIF($B$10:$B$16,"NCAP_TLIFE",$AX$10:$AX$16)),0,""))</f>
        <v/>
      </c>
      <c r="Q37" s="369" t="str">
        <f ca="1">IF($B37&lt;&gt;"PRC_RESID","",IF(Q$7=2005+OFFSET(COM_2012!$B$60,$AW37,SUMIF($B$10:$B$16,"NCAP_TLIFE",$AX$10:$AX$16)),0,""))</f>
        <v/>
      </c>
      <c r="R37" s="369" t="str">
        <f ca="1">IF($B37&lt;&gt;"PRC_RESID","",IF(R$7=2005+OFFSET(COM_2012!$B$60,$AW37,SUMIF($B$10:$B$16,"NCAP_TLIFE",$AX$10:$AX$16)),0,""))</f>
        <v/>
      </c>
      <c r="S37" s="369" t="str">
        <f ca="1">IF($B37&lt;&gt;"PRC_RESID","",IF(S$7=2005+OFFSET(COM_2012!$B$60,$AW37,SUMIF($B$10:$B$16,"NCAP_TLIFE",$AX$10:$AX$16)),0,""))</f>
        <v/>
      </c>
      <c r="T37" s="369" t="str">
        <f ca="1">IF($B37&lt;&gt;"PRC_RESID","",IF(T$7=2005+OFFSET(COM_2012!$B$60,$AW37,SUMIF($B$10:$B$16,"NCAP_TLIFE",$AX$10:$AX$16)),0,""))</f>
        <v/>
      </c>
      <c r="U37" s="369" t="str">
        <f ca="1">IF($B37&lt;&gt;"PRC_RESID","",IF(U$7=2005+OFFSET(COM_2012!$B$60,$AW37,SUMIF($B$10:$B$16,"NCAP_TLIFE",$AX$10:$AX$16)),0,""))</f>
        <v/>
      </c>
      <c r="V37" s="369" t="str">
        <f ca="1">IF($B37&lt;&gt;"PRC_RESID","",IF(V$7=2005+OFFSET(COM_2012!$B$60,$AW37,SUMIF($B$10:$B$16,"NCAP_TLIFE",$AX$10:$AX$16)),0,""))</f>
        <v/>
      </c>
      <c r="W37" s="369" t="str">
        <f ca="1">IF($B37&lt;&gt;"PRC_RESID","",IF(W$7=2005+OFFSET(COM_2012!$B$60,$AW37,SUMIF($B$10:$B$16,"NCAP_TLIFE",$AX$10:$AX$16)),0,""))</f>
        <v/>
      </c>
      <c r="X37" s="369" t="str">
        <f ca="1">IF($B37&lt;&gt;"PRC_RESID","",IF(X$7=2005+OFFSET(COM_2012!$B$60,$AW37,SUMIF($B$10:$B$16,"NCAP_TLIFE",$AX$10:$AX$16)),0,""))</f>
        <v/>
      </c>
      <c r="Y37" s="369" t="str">
        <f ca="1">IF($B37&lt;&gt;"PRC_RESID","",IF(Y$7=2005+OFFSET(COM_2012!$B$60,$AW37,SUMIF($B$10:$B$16,"NCAP_TLIFE",$AX$10:$AX$16)),0,""))</f>
        <v/>
      </c>
      <c r="Z37" s="369" t="str">
        <f ca="1">IF($B37&lt;&gt;"PRC_RESID","",IF(Z$7=2005+OFFSET(COM_2012!$B$60,$AW37,SUMIF($B$10:$B$16,"NCAP_TLIFE",$AX$10:$AX$16)),0,""))</f>
        <v/>
      </c>
      <c r="AA37" s="369" t="str">
        <f ca="1">IF($B37&lt;&gt;"PRC_RESID","",IF(AA$7=2005+OFFSET(COM_2012!$B$60,$AW37,SUMIF($B$10:$B$16,"NCAP_TLIFE",$AX$10:$AX$16)),0,""))</f>
        <v/>
      </c>
      <c r="AB37" s="369" t="str">
        <f ca="1">IF($B37&lt;&gt;"PRC_RESID","",IF(AB$7=2005+OFFSET(COM_2012!$B$60,$AW37,SUMIF($B$10:$B$16,"NCAP_TLIFE",$AX$10:$AX$16)),0,""))</f>
        <v/>
      </c>
      <c r="AC37" s="369" t="str">
        <f ca="1">IF($B37&lt;&gt;"PRC_RESID","",IF(AC$7=2005+OFFSET(COM_2012!$B$60,$AW37,SUMIF($B$10:$B$16,"NCAP_TLIFE",$AX$10:$AX$16)),0,""))</f>
        <v/>
      </c>
      <c r="AD37" s="369" t="str">
        <f ca="1">IF($B37&lt;&gt;"PRC_RESID","",IF(AD$7=2005+OFFSET(COM_2012!$B$60,$AW37,SUMIF($B$10:$B$16,"NCAP_TLIFE",$AX$10:$AX$16)),0,""))</f>
        <v/>
      </c>
      <c r="AE37" s="369" t="str">
        <f ca="1">IF($B37&lt;&gt;"PRC_RESID","",IF(AE$7=2005+OFFSET(COM_2012!$B$60,$AW37,SUMIF($B$10:$B$16,"NCAP_TLIFE",$AX$10:$AX$16)),0,""))</f>
        <v/>
      </c>
      <c r="AF37" s="369" t="str">
        <f ca="1">IF($B37&lt;&gt;"PRC_RESID","",IF(AF$7=2005+OFFSET(COM_2012!$B$60,$AW37,SUMIF($B$10:$B$16,"NCAP_TLIFE",$AX$10:$AX$16)),0,""))</f>
        <v/>
      </c>
      <c r="AG37" s="369" t="str">
        <f ca="1">IF($B37&lt;&gt;"PRC_RESID","",IF(AG$7=2005+OFFSET(COM_2012!$B$60,$AW37,SUMIF($B$10:$B$16,"NCAP_TLIFE",$AX$10:$AX$16)),0,""))</f>
        <v/>
      </c>
      <c r="AH37" s="369" t="str">
        <f ca="1">IF($B37&lt;&gt;"PRC_RESID","",IF(AH$7=2005+OFFSET(COM_2012!$B$60,$AW37,SUMIF($B$10:$B$16,"NCAP_TLIFE",$AX$10:$AX$16)),0,""))</f>
        <v/>
      </c>
      <c r="AI37" s="369" t="str">
        <f ca="1">IF($B37&lt;&gt;"PRC_RESID","",IF(AI$7=2005+OFFSET(COM_2012!$B$60,$AW37,SUMIF($B$10:$B$16,"NCAP_TLIFE",$AX$10:$AX$16)),0,""))</f>
        <v/>
      </c>
      <c r="AJ37" s="369" t="str">
        <f ca="1">IF($B37&lt;&gt;"PRC_RESID","",IF(AJ$7=2005+OFFSET(COM_2012!$B$60,$AW37,SUMIF($B$10:$B$16,"NCAP_TLIFE",$AX$10:$AX$16)),0,""))</f>
        <v/>
      </c>
      <c r="AK37" s="369" t="str">
        <f ca="1">IF($B37&lt;&gt;"PRC_RESID","",IF(AK$7=2005+OFFSET(COM_2012!$B$60,$AW37,SUMIF($B$10:$B$16,"NCAP_TLIFE",$AX$10:$AX$16)),0,""))</f>
        <v/>
      </c>
      <c r="AL37" s="369" t="str">
        <f ca="1">IF($B37&lt;&gt;"PRC_RESID","",IF(AL$7=2005+OFFSET(COM_2012!$B$60,$AW37,SUMIF($B$10:$B$16,"NCAP_TLIFE",$AX$10:$AX$16)),0,""))</f>
        <v/>
      </c>
      <c r="AM37" s="369" t="str">
        <f ca="1">IF($B37&lt;&gt;"PRC_RESID","",IF(AM$7=2005+OFFSET(COM_2012!$B$60,$AW37,SUMIF($B$10:$B$16,"NCAP_TLIFE",$AX$10:$AX$16)),0,""))</f>
        <v/>
      </c>
      <c r="AN37" s="369" t="str">
        <f ca="1">IF($B37&lt;&gt;"PRC_RESID","",IF(AN$7=2005+OFFSET(COM_2012!$B$60,$AW37,SUMIF($B$10:$B$16,"NCAP_TLIFE",$AX$10:$AX$16)),0,""))</f>
        <v/>
      </c>
      <c r="AO37" s="369" t="str">
        <f ca="1">IF($B37&lt;&gt;"PRC_RESID","",IF(AO$7=2005+OFFSET(COM_2012!$B$60,$AW37,SUMIF($B$10:$B$16,"NCAP_TLIFE",$AX$10:$AX$16)),0,""))</f>
        <v/>
      </c>
      <c r="AP37" s="369" t="str">
        <f ca="1">IF($B37&lt;&gt;"PRC_RESID","",IF(AP$7=2005+OFFSET(COM_2012!$B$60,$AW37,SUMIF($B$10:$B$16,"NCAP_TLIFE",$AX$10:$AX$16)),0,""))</f>
        <v/>
      </c>
      <c r="AQ37" s="369" t="str">
        <f ca="1">IF($B37&lt;&gt;"PRC_RESID","",IF(AQ$7=2005+OFFSET(COM_2012!$B$60,$AW37,SUMIF($B$10:$B$16,"NCAP_TLIFE",$AX$10:$AX$16)),0,""))</f>
        <v/>
      </c>
      <c r="AR37" s="369" t="str">
        <f ca="1">IF($B37&lt;&gt;"PRC_RESID","",IF(AR$7=2005+OFFSET(COM_2012!$B$60,$AW37,SUMIF($B$10:$B$16,"NCAP_TLIFE",$AX$10:$AX$16)),0,""))</f>
        <v/>
      </c>
      <c r="AS37" s="369" t="str">
        <f ca="1">IF($B37&lt;&gt;"PRC_RESID","",IF(AS$7=2005+OFFSET(COM_2012!$B$60,$AW37,SUMIF($B$10:$B$16,"NCAP_TLIFE",$AX$10:$AX$16)),0,""))</f>
        <v/>
      </c>
      <c r="AT37" s="369" t="str">
        <f ca="1">IF($B37&lt;&gt;"PRC_RESID","",IF(AT$7=2005+OFFSET(COM_2012!$B$60,$AW37,SUMIF($B$10:$B$16,"NCAP_TLIFE",$AX$10:$AX$16)),0,""))</f>
        <v/>
      </c>
      <c r="AU37" s="369" t="str">
        <f ca="1">IF($B37&lt;&gt;"PRC_RESID","",IF(AU$7=2005+OFFSET(COM_2012!$B$60,$AW37,SUMIF($B$10:$B$16,"NCAP_TLIFE",$AX$10:$AX$16)),0,""))</f>
        <v/>
      </c>
      <c r="AV37" s="304">
        <f>IF(AW36=COM_2012!$AI$121,AV36+1,AV36)</f>
        <v>1</v>
      </c>
      <c r="AW37" s="304">
        <f t="shared" si="5"/>
        <v>10</v>
      </c>
    </row>
    <row r="38" spans="1:49">
      <c r="A38" s="304" t="str">
        <f ca="1">IF(LEFT(OFFSET(COM_2012!$A$60,AW38,0),2)="\I","*","")</f>
        <v/>
      </c>
      <c r="B38" s="369" t="str">
        <f t="shared" ca="1" si="2"/>
        <v>ACT_EFF</v>
      </c>
      <c r="C38" s="369" t="str">
        <f ca="1">IF($A38="*","",OFFSET(COM_2012!$B$60,AW38,0))</f>
        <v>CEHGAS-E</v>
      </c>
      <c r="D38" s="369" t="str">
        <f t="shared" ca="1" si="3"/>
        <v>-</v>
      </c>
      <c r="E38" s="369" t="str">
        <f t="shared" ca="1" si="4"/>
        <v>ACTGRP</v>
      </c>
      <c r="F38" s="369" t="str">
        <f t="shared" ca="1" si="4"/>
        <v>-</v>
      </c>
      <c r="G38" s="369" t="str">
        <f t="shared" ca="1" si="4"/>
        <v>ANNUAL</v>
      </c>
      <c r="H38" s="369" t="str">
        <f t="shared" ca="1" si="4"/>
        <v>-</v>
      </c>
      <c r="I38" s="370">
        <f t="shared" ca="1" si="4"/>
        <v>0</v>
      </c>
      <c r="J38" s="391">
        <f ca="1">IF($A38="*","",OFFSET(COM_2012!$B$60,AW38,SUMIF($B$10:$B$16,B38,$AX$10:$AX$16)))</f>
        <v>0.69</v>
      </c>
      <c r="K38" s="369" t="str">
        <f ca="1">IF($B38&lt;&gt;"PRC_RESID","",IF(K$7=2005+OFFSET(COM_2012!$B$60,$AW38,SUMIF($B$10:$B$16,"NCAP_TLIFE",$AX$10:$AX$16)),0,""))</f>
        <v/>
      </c>
      <c r="L38" s="369" t="str">
        <f ca="1">IF($B38&lt;&gt;"PRC_RESID","",IF(L$7=2005+OFFSET(COM_2012!$B$60,$AW38,SUMIF($B$10:$B$16,"NCAP_TLIFE",$AX$10:$AX$16)),0,""))</f>
        <v/>
      </c>
      <c r="M38" s="369" t="str">
        <f ca="1">IF($B38&lt;&gt;"PRC_RESID","",IF(M$7=2005+OFFSET(COM_2012!$B$60,$AW38,SUMIF($B$10:$B$16,"NCAP_TLIFE",$AX$10:$AX$16)),0,""))</f>
        <v/>
      </c>
      <c r="N38" s="369" t="str">
        <f ca="1">IF($B38&lt;&gt;"PRC_RESID","",IF(N$7=2005+OFFSET(COM_2012!$B$60,$AW38,SUMIF($B$10:$B$16,"NCAP_TLIFE",$AX$10:$AX$16)),0,""))</f>
        <v/>
      </c>
      <c r="O38" s="658" t="str">
        <f ca="1">IF($B38&lt;&gt;"PRC_RESID","",IF(O$7=2005+OFFSET(COM_2012!$B$60,$AW38,SUMIF($B$10:$B$16,"NCAP_TLIFE",$AX$10:$AX$16)),0,""))</f>
        <v/>
      </c>
      <c r="P38" s="369" t="str">
        <f ca="1">IF($B38&lt;&gt;"PRC_RESID","",IF(P$7=2005+OFFSET(COM_2012!$B$60,$AW38,SUMIF($B$10:$B$16,"NCAP_TLIFE",$AX$10:$AX$16)),0,""))</f>
        <v/>
      </c>
      <c r="Q38" s="369" t="str">
        <f ca="1">IF($B38&lt;&gt;"PRC_RESID","",IF(Q$7=2005+OFFSET(COM_2012!$B$60,$AW38,SUMIF($B$10:$B$16,"NCAP_TLIFE",$AX$10:$AX$16)),0,""))</f>
        <v/>
      </c>
      <c r="R38" s="369" t="str">
        <f ca="1">IF($B38&lt;&gt;"PRC_RESID","",IF(R$7=2005+OFFSET(COM_2012!$B$60,$AW38,SUMIF($B$10:$B$16,"NCAP_TLIFE",$AX$10:$AX$16)),0,""))</f>
        <v/>
      </c>
      <c r="S38" s="369" t="str">
        <f ca="1">IF($B38&lt;&gt;"PRC_RESID","",IF(S$7=2005+OFFSET(COM_2012!$B$60,$AW38,SUMIF($B$10:$B$16,"NCAP_TLIFE",$AX$10:$AX$16)),0,""))</f>
        <v/>
      </c>
      <c r="T38" s="369" t="str">
        <f ca="1">IF($B38&lt;&gt;"PRC_RESID","",IF(T$7=2005+OFFSET(COM_2012!$B$60,$AW38,SUMIF($B$10:$B$16,"NCAP_TLIFE",$AX$10:$AX$16)),0,""))</f>
        <v/>
      </c>
      <c r="U38" s="369" t="str">
        <f ca="1">IF($B38&lt;&gt;"PRC_RESID","",IF(U$7=2005+OFFSET(COM_2012!$B$60,$AW38,SUMIF($B$10:$B$16,"NCAP_TLIFE",$AX$10:$AX$16)),0,""))</f>
        <v/>
      </c>
      <c r="V38" s="369" t="str">
        <f ca="1">IF($B38&lt;&gt;"PRC_RESID","",IF(V$7=2005+OFFSET(COM_2012!$B$60,$AW38,SUMIF($B$10:$B$16,"NCAP_TLIFE",$AX$10:$AX$16)),0,""))</f>
        <v/>
      </c>
      <c r="W38" s="369" t="str">
        <f ca="1">IF($B38&lt;&gt;"PRC_RESID","",IF(W$7=2005+OFFSET(COM_2012!$B$60,$AW38,SUMIF($B$10:$B$16,"NCAP_TLIFE",$AX$10:$AX$16)),0,""))</f>
        <v/>
      </c>
      <c r="X38" s="369" t="str">
        <f ca="1">IF($B38&lt;&gt;"PRC_RESID","",IF(X$7=2005+OFFSET(COM_2012!$B$60,$AW38,SUMIF($B$10:$B$16,"NCAP_TLIFE",$AX$10:$AX$16)),0,""))</f>
        <v/>
      </c>
      <c r="Y38" s="369" t="str">
        <f ca="1">IF($B38&lt;&gt;"PRC_RESID","",IF(Y$7=2005+OFFSET(COM_2012!$B$60,$AW38,SUMIF($B$10:$B$16,"NCAP_TLIFE",$AX$10:$AX$16)),0,""))</f>
        <v/>
      </c>
      <c r="Z38" s="369" t="str">
        <f ca="1">IF($B38&lt;&gt;"PRC_RESID","",IF(Z$7=2005+OFFSET(COM_2012!$B$60,$AW38,SUMIF($B$10:$B$16,"NCAP_TLIFE",$AX$10:$AX$16)),0,""))</f>
        <v/>
      </c>
      <c r="AA38" s="369" t="str">
        <f ca="1">IF($B38&lt;&gt;"PRC_RESID","",IF(AA$7=2005+OFFSET(COM_2012!$B$60,$AW38,SUMIF($B$10:$B$16,"NCAP_TLIFE",$AX$10:$AX$16)),0,""))</f>
        <v/>
      </c>
      <c r="AB38" s="369" t="str">
        <f ca="1">IF($B38&lt;&gt;"PRC_RESID","",IF(AB$7=2005+OFFSET(COM_2012!$B$60,$AW38,SUMIF($B$10:$B$16,"NCAP_TLIFE",$AX$10:$AX$16)),0,""))</f>
        <v/>
      </c>
      <c r="AC38" s="369" t="str">
        <f ca="1">IF($B38&lt;&gt;"PRC_RESID","",IF(AC$7=2005+OFFSET(COM_2012!$B$60,$AW38,SUMIF($B$10:$B$16,"NCAP_TLIFE",$AX$10:$AX$16)),0,""))</f>
        <v/>
      </c>
      <c r="AD38" s="369" t="str">
        <f ca="1">IF($B38&lt;&gt;"PRC_RESID","",IF(AD$7=2005+OFFSET(COM_2012!$B$60,$AW38,SUMIF($B$10:$B$16,"NCAP_TLIFE",$AX$10:$AX$16)),0,""))</f>
        <v/>
      </c>
      <c r="AE38" s="369" t="str">
        <f ca="1">IF($B38&lt;&gt;"PRC_RESID","",IF(AE$7=2005+OFFSET(COM_2012!$B$60,$AW38,SUMIF($B$10:$B$16,"NCAP_TLIFE",$AX$10:$AX$16)),0,""))</f>
        <v/>
      </c>
      <c r="AF38" s="369" t="str">
        <f ca="1">IF($B38&lt;&gt;"PRC_RESID","",IF(AF$7=2005+OFFSET(COM_2012!$B$60,$AW38,SUMIF($B$10:$B$16,"NCAP_TLIFE",$AX$10:$AX$16)),0,""))</f>
        <v/>
      </c>
      <c r="AG38" s="369" t="str">
        <f ca="1">IF($B38&lt;&gt;"PRC_RESID","",IF(AG$7=2005+OFFSET(COM_2012!$B$60,$AW38,SUMIF($B$10:$B$16,"NCAP_TLIFE",$AX$10:$AX$16)),0,""))</f>
        <v/>
      </c>
      <c r="AH38" s="369" t="str">
        <f ca="1">IF($B38&lt;&gt;"PRC_RESID","",IF(AH$7=2005+OFFSET(COM_2012!$B$60,$AW38,SUMIF($B$10:$B$16,"NCAP_TLIFE",$AX$10:$AX$16)),0,""))</f>
        <v/>
      </c>
      <c r="AI38" s="369" t="str">
        <f ca="1">IF($B38&lt;&gt;"PRC_RESID","",IF(AI$7=2005+OFFSET(COM_2012!$B$60,$AW38,SUMIF($B$10:$B$16,"NCAP_TLIFE",$AX$10:$AX$16)),0,""))</f>
        <v/>
      </c>
      <c r="AJ38" s="369" t="str">
        <f ca="1">IF($B38&lt;&gt;"PRC_RESID","",IF(AJ$7=2005+OFFSET(COM_2012!$B$60,$AW38,SUMIF($B$10:$B$16,"NCAP_TLIFE",$AX$10:$AX$16)),0,""))</f>
        <v/>
      </c>
      <c r="AK38" s="369" t="str">
        <f ca="1">IF($B38&lt;&gt;"PRC_RESID","",IF(AK$7=2005+OFFSET(COM_2012!$B$60,$AW38,SUMIF($B$10:$B$16,"NCAP_TLIFE",$AX$10:$AX$16)),0,""))</f>
        <v/>
      </c>
      <c r="AL38" s="369" t="str">
        <f ca="1">IF($B38&lt;&gt;"PRC_RESID","",IF(AL$7=2005+OFFSET(COM_2012!$B$60,$AW38,SUMIF($B$10:$B$16,"NCAP_TLIFE",$AX$10:$AX$16)),0,""))</f>
        <v/>
      </c>
      <c r="AM38" s="369" t="str">
        <f ca="1">IF($B38&lt;&gt;"PRC_RESID","",IF(AM$7=2005+OFFSET(COM_2012!$B$60,$AW38,SUMIF($B$10:$B$16,"NCAP_TLIFE",$AX$10:$AX$16)),0,""))</f>
        <v/>
      </c>
      <c r="AN38" s="369" t="str">
        <f ca="1">IF($B38&lt;&gt;"PRC_RESID","",IF(AN$7=2005+OFFSET(COM_2012!$B$60,$AW38,SUMIF($B$10:$B$16,"NCAP_TLIFE",$AX$10:$AX$16)),0,""))</f>
        <v/>
      </c>
      <c r="AO38" s="369" t="str">
        <f ca="1">IF($B38&lt;&gt;"PRC_RESID","",IF(AO$7=2005+OFFSET(COM_2012!$B$60,$AW38,SUMIF($B$10:$B$16,"NCAP_TLIFE",$AX$10:$AX$16)),0,""))</f>
        <v/>
      </c>
      <c r="AP38" s="369" t="str">
        <f ca="1">IF($B38&lt;&gt;"PRC_RESID","",IF(AP$7=2005+OFFSET(COM_2012!$B$60,$AW38,SUMIF($B$10:$B$16,"NCAP_TLIFE",$AX$10:$AX$16)),0,""))</f>
        <v/>
      </c>
      <c r="AQ38" s="369" t="str">
        <f ca="1">IF($B38&lt;&gt;"PRC_RESID","",IF(AQ$7=2005+OFFSET(COM_2012!$B$60,$AW38,SUMIF($B$10:$B$16,"NCAP_TLIFE",$AX$10:$AX$16)),0,""))</f>
        <v/>
      </c>
      <c r="AR38" s="369" t="str">
        <f ca="1">IF($B38&lt;&gt;"PRC_RESID","",IF(AR$7=2005+OFFSET(COM_2012!$B$60,$AW38,SUMIF($B$10:$B$16,"NCAP_TLIFE",$AX$10:$AX$16)),0,""))</f>
        <v/>
      </c>
      <c r="AS38" s="369" t="str">
        <f ca="1">IF($B38&lt;&gt;"PRC_RESID","",IF(AS$7=2005+OFFSET(COM_2012!$B$60,$AW38,SUMIF($B$10:$B$16,"NCAP_TLIFE",$AX$10:$AX$16)),0,""))</f>
        <v/>
      </c>
      <c r="AT38" s="369" t="str">
        <f ca="1">IF($B38&lt;&gt;"PRC_RESID","",IF(AT$7=2005+OFFSET(COM_2012!$B$60,$AW38,SUMIF($B$10:$B$16,"NCAP_TLIFE",$AX$10:$AX$16)),0,""))</f>
        <v/>
      </c>
      <c r="AU38" s="369" t="str">
        <f ca="1">IF($B38&lt;&gt;"PRC_RESID","",IF(AU$7=2005+OFFSET(COM_2012!$B$60,$AW38,SUMIF($B$10:$B$16,"NCAP_TLIFE",$AX$10:$AX$16)),0,""))</f>
        <v/>
      </c>
      <c r="AV38" s="304">
        <f>IF(AW37=COM_2012!$AI$121,AV37+1,AV37)</f>
        <v>1</v>
      </c>
      <c r="AW38" s="304">
        <f t="shared" si="5"/>
        <v>11</v>
      </c>
    </row>
    <row r="39" spans="1:49">
      <c r="A39" s="304" t="str">
        <f ca="1">IF(LEFT(OFFSET(COM_2012!$A$60,AW39,0),2)="\I","*","")</f>
        <v/>
      </c>
      <c r="B39" s="369" t="str">
        <f t="shared" ca="1" si="2"/>
        <v>ACT_EFF</v>
      </c>
      <c r="C39" s="369" t="str">
        <f ca="1">IF($A39="*","",OFFSET(COM_2012!$B$60,AW39,0))</f>
        <v>CEHELC-N</v>
      </c>
      <c r="D39" s="369" t="str">
        <f t="shared" ca="1" si="3"/>
        <v>-</v>
      </c>
      <c r="E39" s="369" t="str">
        <f t="shared" ca="1" si="4"/>
        <v>ACTGRP</v>
      </c>
      <c r="F39" s="369" t="str">
        <f t="shared" ca="1" si="4"/>
        <v>-</v>
      </c>
      <c r="G39" s="369" t="str">
        <f t="shared" ca="1" si="4"/>
        <v>ANNUAL</v>
      </c>
      <c r="H39" s="369" t="str">
        <f t="shared" ca="1" si="4"/>
        <v>-</v>
      </c>
      <c r="I39" s="370">
        <f t="shared" ca="1" si="4"/>
        <v>0</v>
      </c>
      <c r="J39" s="391">
        <f ca="1">IF($A39="*","",OFFSET(COM_2012!$B$60,AW39,SUMIF($B$10:$B$16,B39,$AX$10:$AX$16)))</f>
        <v>3.5416666666666665</v>
      </c>
      <c r="K39" s="369" t="str">
        <f ca="1">IF($B39&lt;&gt;"PRC_RESID","",IF(K$7=2005+OFFSET(COM_2012!$B$60,$AW39,SUMIF($B$10:$B$16,"NCAP_TLIFE",$AX$10:$AX$16)),0,""))</f>
        <v/>
      </c>
      <c r="L39" s="369" t="str">
        <f ca="1">IF($B39&lt;&gt;"PRC_RESID","",IF(L$7=2005+OFFSET(COM_2012!$B$60,$AW39,SUMIF($B$10:$B$16,"NCAP_TLIFE",$AX$10:$AX$16)),0,""))</f>
        <v/>
      </c>
      <c r="M39" s="369" t="str">
        <f ca="1">IF($B39&lt;&gt;"PRC_RESID","",IF(M$7=2005+OFFSET(COM_2012!$B$60,$AW39,SUMIF($B$10:$B$16,"NCAP_TLIFE",$AX$10:$AX$16)),0,""))</f>
        <v/>
      </c>
      <c r="N39" s="369" t="str">
        <f ca="1">IF($B39&lt;&gt;"PRC_RESID","",IF(N$7=2005+OFFSET(COM_2012!$B$60,$AW39,SUMIF($B$10:$B$16,"NCAP_TLIFE",$AX$10:$AX$16)),0,""))</f>
        <v/>
      </c>
      <c r="O39" s="658" t="str">
        <f ca="1">IF($B39&lt;&gt;"PRC_RESID","",IF(O$7=2005+OFFSET(COM_2012!$B$60,$AW39,SUMIF($B$10:$B$16,"NCAP_TLIFE",$AX$10:$AX$16)),0,""))</f>
        <v/>
      </c>
      <c r="P39" s="369" t="str">
        <f ca="1">IF($B39&lt;&gt;"PRC_RESID","",IF(P$7=2005+OFFSET(COM_2012!$B$60,$AW39,SUMIF($B$10:$B$16,"NCAP_TLIFE",$AX$10:$AX$16)),0,""))</f>
        <v/>
      </c>
      <c r="Q39" s="369" t="str">
        <f ca="1">IF($B39&lt;&gt;"PRC_RESID","",IF(Q$7=2005+OFFSET(COM_2012!$B$60,$AW39,SUMIF($B$10:$B$16,"NCAP_TLIFE",$AX$10:$AX$16)),0,""))</f>
        <v/>
      </c>
      <c r="R39" s="369" t="str">
        <f ca="1">IF($B39&lt;&gt;"PRC_RESID","",IF(R$7=2005+OFFSET(COM_2012!$B$60,$AW39,SUMIF($B$10:$B$16,"NCAP_TLIFE",$AX$10:$AX$16)),0,""))</f>
        <v/>
      </c>
      <c r="S39" s="369" t="str">
        <f ca="1">IF($B39&lt;&gt;"PRC_RESID","",IF(S$7=2005+OFFSET(COM_2012!$B$60,$AW39,SUMIF($B$10:$B$16,"NCAP_TLIFE",$AX$10:$AX$16)),0,""))</f>
        <v/>
      </c>
      <c r="T39" s="369" t="str">
        <f ca="1">IF($B39&lt;&gt;"PRC_RESID","",IF(T$7=2005+OFFSET(COM_2012!$B$60,$AW39,SUMIF($B$10:$B$16,"NCAP_TLIFE",$AX$10:$AX$16)),0,""))</f>
        <v/>
      </c>
      <c r="U39" s="369" t="str">
        <f ca="1">IF($B39&lt;&gt;"PRC_RESID","",IF(U$7=2005+OFFSET(COM_2012!$B$60,$AW39,SUMIF($B$10:$B$16,"NCAP_TLIFE",$AX$10:$AX$16)),0,""))</f>
        <v/>
      </c>
      <c r="V39" s="369" t="str">
        <f ca="1">IF($B39&lt;&gt;"PRC_RESID","",IF(V$7=2005+OFFSET(COM_2012!$B$60,$AW39,SUMIF($B$10:$B$16,"NCAP_TLIFE",$AX$10:$AX$16)),0,""))</f>
        <v/>
      </c>
      <c r="W39" s="369" t="str">
        <f ca="1">IF($B39&lt;&gt;"PRC_RESID","",IF(W$7=2005+OFFSET(COM_2012!$B$60,$AW39,SUMIF($B$10:$B$16,"NCAP_TLIFE",$AX$10:$AX$16)),0,""))</f>
        <v/>
      </c>
      <c r="X39" s="369" t="str">
        <f ca="1">IF($B39&lt;&gt;"PRC_RESID","",IF(X$7=2005+OFFSET(COM_2012!$B$60,$AW39,SUMIF($B$10:$B$16,"NCAP_TLIFE",$AX$10:$AX$16)),0,""))</f>
        <v/>
      </c>
      <c r="Y39" s="369" t="str">
        <f ca="1">IF($B39&lt;&gt;"PRC_RESID","",IF(Y$7=2005+OFFSET(COM_2012!$B$60,$AW39,SUMIF($B$10:$B$16,"NCAP_TLIFE",$AX$10:$AX$16)),0,""))</f>
        <v/>
      </c>
      <c r="Z39" s="369" t="str">
        <f ca="1">IF($B39&lt;&gt;"PRC_RESID","",IF(Z$7=2005+OFFSET(COM_2012!$B$60,$AW39,SUMIF($B$10:$B$16,"NCAP_TLIFE",$AX$10:$AX$16)),0,""))</f>
        <v/>
      </c>
      <c r="AA39" s="369" t="str">
        <f ca="1">IF($B39&lt;&gt;"PRC_RESID","",IF(AA$7=2005+OFFSET(COM_2012!$B$60,$AW39,SUMIF($B$10:$B$16,"NCAP_TLIFE",$AX$10:$AX$16)),0,""))</f>
        <v/>
      </c>
      <c r="AB39" s="369" t="str">
        <f ca="1">IF($B39&lt;&gt;"PRC_RESID","",IF(AB$7=2005+OFFSET(COM_2012!$B$60,$AW39,SUMIF($B$10:$B$16,"NCAP_TLIFE",$AX$10:$AX$16)),0,""))</f>
        <v/>
      </c>
      <c r="AC39" s="369" t="str">
        <f ca="1">IF($B39&lt;&gt;"PRC_RESID","",IF(AC$7=2005+OFFSET(COM_2012!$B$60,$AW39,SUMIF($B$10:$B$16,"NCAP_TLIFE",$AX$10:$AX$16)),0,""))</f>
        <v/>
      </c>
      <c r="AD39" s="369" t="str">
        <f ca="1">IF($B39&lt;&gt;"PRC_RESID","",IF(AD$7=2005+OFFSET(COM_2012!$B$60,$AW39,SUMIF($B$10:$B$16,"NCAP_TLIFE",$AX$10:$AX$16)),0,""))</f>
        <v/>
      </c>
      <c r="AE39" s="369" t="str">
        <f ca="1">IF($B39&lt;&gt;"PRC_RESID","",IF(AE$7=2005+OFFSET(COM_2012!$B$60,$AW39,SUMIF($B$10:$B$16,"NCAP_TLIFE",$AX$10:$AX$16)),0,""))</f>
        <v/>
      </c>
      <c r="AF39" s="369" t="str">
        <f ca="1">IF($B39&lt;&gt;"PRC_RESID","",IF(AF$7=2005+OFFSET(COM_2012!$B$60,$AW39,SUMIF($B$10:$B$16,"NCAP_TLIFE",$AX$10:$AX$16)),0,""))</f>
        <v/>
      </c>
      <c r="AG39" s="369" t="str">
        <f ca="1">IF($B39&lt;&gt;"PRC_RESID","",IF(AG$7=2005+OFFSET(COM_2012!$B$60,$AW39,SUMIF($B$10:$B$16,"NCAP_TLIFE",$AX$10:$AX$16)),0,""))</f>
        <v/>
      </c>
      <c r="AH39" s="369" t="str">
        <f ca="1">IF($B39&lt;&gt;"PRC_RESID","",IF(AH$7=2005+OFFSET(COM_2012!$B$60,$AW39,SUMIF($B$10:$B$16,"NCAP_TLIFE",$AX$10:$AX$16)),0,""))</f>
        <v/>
      </c>
      <c r="AI39" s="369" t="str">
        <f ca="1">IF($B39&lt;&gt;"PRC_RESID","",IF(AI$7=2005+OFFSET(COM_2012!$B$60,$AW39,SUMIF($B$10:$B$16,"NCAP_TLIFE",$AX$10:$AX$16)),0,""))</f>
        <v/>
      </c>
      <c r="AJ39" s="369" t="str">
        <f ca="1">IF($B39&lt;&gt;"PRC_RESID","",IF(AJ$7=2005+OFFSET(COM_2012!$B$60,$AW39,SUMIF($B$10:$B$16,"NCAP_TLIFE",$AX$10:$AX$16)),0,""))</f>
        <v/>
      </c>
      <c r="AK39" s="369" t="str">
        <f ca="1">IF($B39&lt;&gt;"PRC_RESID","",IF(AK$7=2005+OFFSET(COM_2012!$B$60,$AW39,SUMIF($B$10:$B$16,"NCAP_TLIFE",$AX$10:$AX$16)),0,""))</f>
        <v/>
      </c>
      <c r="AL39" s="369" t="str">
        <f ca="1">IF($B39&lt;&gt;"PRC_RESID","",IF(AL$7=2005+OFFSET(COM_2012!$B$60,$AW39,SUMIF($B$10:$B$16,"NCAP_TLIFE",$AX$10:$AX$16)),0,""))</f>
        <v/>
      </c>
      <c r="AM39" s="369" t="str">
        <f ca="1">IF($B39&lt;&gt;"PRC_RESID","",IF(AM$7=2005+OFFSET(COM_2012!$B$60,$AW39,SUMIF($B$10:$B$16,"NCAP_TLIFE",$AX$10:$AX$16)),0,""))</f>
        <v/>
      </c>
      <c r="AN39" s="369" t="str">
        <f ca="1">IF($B39&lt;&gt;"PRC_RESID","",IF(AN$7=2005+OFFSET(COM_2012!$B$60,$AW39,SUMIF($B$10:$B$16,"NCAP_TLIFE",$AX$10:$AX$16)),0,""))</f>
        <v/>
      </c>
      <c r="AO39" s="369" t="str">
        <f ca="1">IF($B39&lt;&gt;"PRC_RESID","",IF(AO$7=2005+OFFSET(COM_2012!$B$60,$AW39,SUMIF($B$10:$B$16,"NCAP_TLIFE",$AX$10:$AX$16)),0,""))</f>
        <v/>
      </c>
      <c r="AP39" s="369" t="str">
        <f ca="1">IF($B39&lt;&gt;"PRC_RESID","",IF(AP$7=2005+OFFSET(COM_2012!$B$60,$AW39,SUMIF($B$10:$B$16,"NCAP_TLIFE",$AX$10:$AX$16)),0,""))</f>
        <v/>
      </c>
      <c r="AQ39" s="369" t="str">
        <f ca="1">IF($B39&lt;&gt;"PRC_RESID","",IF(AQ$7=2005+OFFSET(COM_2012!$B$60,$AW39,SUMIF($B$10:$B$16,"NCAP_TLIFE",$AX$10:$AX$16)),0,""))</f>
        <v/>
      </c>
      <c r="AR39" s="369" t="str">
        <f ca="1">IF($B39&lt;&gt;"PRC_RESID","",IF(AR$7=2005+OFFSET(COM_2012!$B$60,$AW39,SUMIF($B$10:$B$16,"NCAP_TLIFE",$AX$10:$AX$16)),0,""))</f>
        <v/>
      </c>
      <c r="AS39" s="369" t="str">
        <f ca="1">IF($B39&lt;&gt;"PRC_RESID","",IF(AS$7=2005+OFFSET(COM_2012!$B$60,$AW39,SUMIF($B$10:$B$16,"NCAP_TLIFE",$AX$10:$AX$16)),0,""))</f>
        <v/>
      </c>
      <c r="AT39" s="369" t="str">
        <f ca="1">IF($B39&lt;&gt;"PRC_RESID","",IF(AT$7=2005+OFFSET(COM_2012!$B$60,$AW39,SUMIF($B$10:$B$16,"NCAP_TLIFE",$AX$10:$AX$16)),0,""))</f>
        <v/>
      </c>
      <c r="AU39" s="369" t="str">
        <f ca="1">IF($B39&lt;&gt;"PRC_RESID","",IF(AU$7=2005+OFFSET(COM_2012!$B$60,$AW39,SUMIF($B$10:$B$16,"NCAP_TLIFE",$AX$10:$AX$16)),0,""))</f>
        <v/>
      </c>
      <c r="AV39" s="304">
        <f>IF(AW38=COM_2012!$AI$121,AV38+1,AV38)</f>
        <v>1</v>
      </c>
      <c r="AW39" s="304">
        <f t="shared" si="5"/>
        <v>12</v>
      </c>
    </row>
    <row r="40" spans="1:49">
      <c r="A40" s="304" t="str">
        <f ca="1">IF(LEFT(OFFSET(COM_2012!$A$60,AW40,0),2)="\I","*","")</f>
        <v/>
      </c>
      <c r="B40" s="369" t="str">
        <f t="shared" ca="1" si="2"/>
        <v>ACT_EFF</v>
      </c>
      <c r="C40" s="369" t="str">
        <f ca="1">IF($A40="*","",OFFSET(COM_2012!$B$60,AW40,0))</f>
        <v>CEHGAS-N</v>
      </c>
      <c r="D40" s="369" t="str">
        <f t="shared" ca="1" si="3"/>
        <v>-</v>
      </c>
      <c r="E40" s="369" t="str">
        <f t="shared" ca="1" si="4"/>
        <v>ACTGRP</v>
      </c>
      <c r="F40" s="369" t="str">
        <f t="shared" ca="1" si="4"/>
        <v>-</v>
      </c>
      <c r="G40" s="369" t="str">
        <f t="shared" ca="1" si="4"/>
        <v>ANNUAL</v>
      </c>
      <c r="H40" s="369" t="str">
        <f t="shared" ca="1" si="4"/>
        <v>-</v>
      </c>
      <c r="I40" s="370">
        <f t="shared" ca="1" si="4"/>
        <v>0</v>
      </c>
      <c r="J40" s="391">
        <f ca="1">IF($A40="*","",OFFSET(COM_2012!$B$60,AW40,SUMIF($B$10:$B$16,B40,$AX$10:$AX$16)))</f>
        <v>0.88</v>
      </c>
      <c r="K40" s="369" t="str">
        <f ca="1">IF($B40&lt;&gt;"PRC_RESID","",IF(K$7=2005+OFFSET(COM_2012!$B$60,$AW40,SUMIF($B$10:$B$16,"NCAP_TLIFE",$AX$10:$AX$16)),0,""))</f>
        <v/>
      </c>
      <c r="L40" s="369" t="str">
        <f ca="1">IF($B40&lt;&gt;"PRC_RESID","",IF(L$7=2005+OFFSET(COM_2012!$B$60,$AW40,SUMIF($B$10:$B$16,"NCAP_TLIFE",$AX$10:$AX$16)),0,""))</f>
        <v/>
      </c>
      <c r="M40" s="369" t="str">
        <f ca="1">IF($B40&lt;&gt;"PRC_RESID","",IF(M$7=2005+OFFSET(COM_2012!$B$60,$AW40,SUMIF($B$10:$B$16,"NCAP_TLIFE",$AX$10:$AX$16)),0,""))</f>
        <v/>
      </c>
      <c r="N40" s="369" t="str">
        <f ca="1">IF($B40&lt;&gt;"PRC_RESID","",IF(N$7=2005+OFFSET(COM_2012!$B$60,$AW40,SUMIF($B$10:$B$16,"NCAP_TLIFE",$AX$10:$AX$16)),0,""))</f>
        <v/>
      </c>
      <c r="O40" s="658" t="str">
        <f ca="1">IF($B40&lt;&gt;"PRC_RESID","",IF(O$7=2005+OFFSET(COM_2012!$B$60,$AW40,SUMIF($B$10:$B$16,"NCAP_TLIFE",$AX$10:$AX$16)),0,""))</f>
        <v/>
      </c>
      <c r="P40" s="369" t="str">
        <f ca="1">IF($B40&lt;&gt;"PRC_RESID","",IF(P$7=2005+OFFSET(COM_2012!$B$60,$AW40,SUMIF($B$10:$B$16,"NCAP_TLIFE",$AX$10:$AX$16)),0,""))</f>
        <v/>
      </c>
      <c r="Q40" s="369" t="str">
        <f ca="1">IF($B40&lt;&gt;"PRC_RESID","",IF(Q$7=2005+OFFSET(COM_2012!$B$60,$AW40,SUMIF($B$10:$B$16,"NCAP_TLIFE",$AX$10:$AX$16)),0,""))</f>
        <v/>
      </c>
      <c r="R40" s="369" t="str">
        <f ca="1">IF($B40&lt;&gt;"PRC_RESID","",IF(R$7=2005+OFFSET(COM_2012!$B$60,$AW40,SUMIF($B$10:$B$16,"NCAP_TLIFE",$AX$10:$AX$16)),0,""))</f>
        <v/>
      </c>
      <c r="S40" s="369" t="str">
        <f ca="1">IF($B40&lt;&gt;"PRC_RESID","",IF(S$7=2005+OFFSET(COM_2012!$B$60,$AW40,SUMIF($B$10:$B$16,"NCAP_TLIFE",$AX$10:$AX$16)),0,""))</f>
        <v/>
      </c>
      <c r="T40" s="369" t="str">
        <f ca="1">IF($B40&lt;&gt;"PRC_RESID","",IF(T$7=2005+OFFSET(COM_2012!$B$60,$AW40,SUMIF($B$10:$B$16,"NCAP_TLIFE",$AX$10:$AX$16)),0,""))</f>
        <v/>
      </c>
      <c r="U40" s="369" t="str">
        <f ca="1">IF($B40&lt;&gt;"PRC_RESID","",IF(U$7=2005+OFFSET(COM_2012!$B$60,$AW40,SUMIF($B$10:$B$16,"NCAP_TLIFE",$AX$10:$AX$16)),0,""))</f>
        <v/>
      </c>
      <c r="V40" s="369" t="str">
        <f ca="1">IF($B40&lt;&gt;"PRC_RESID","",IF(V$7=2005+OFFSET(COM_2012!$B$60,$AW40,SUMIF($B$10:$B$16,"NCAP_TLIFE",$AX$10:$AX$16)),0,""))</f>
        <v/>
      </c>
      <c r="W40" s="369" t="str">
        <f ca="1">IF($B40&lt;&gt;"PRC_RESID","",IF(W$7=2005+OFFSET(COM_2012!$B$60,$AW40,SUMIF($B$10:$B$16,"NCAP_TLIFE",$AX$10:$AX$16)),0,""))</f>
        <v/>
      </c>
      <c r="X40" s="369" t="str">
        <f ca="1">IF($B40&lt;&gt;"PRC_RESID","",IF(X$7=2005+OFFSET(COM_2012!$B$60,$AW40,SUMIF($B$10:$B$16,"NCAP_TLIFE",$AX$10:$AX$16)),0,""))</f>
        <v/>
      </c>
      <c r="Y40" s="369" t="str">
        <f ca="1">IF($B40&lt;&gt;"PRC_RESID","",IF(Y$7=2005+OFFSET(COM_2012!$B$60,$AW40,SUMIF($B$10:$B$16,"NCAP_TLIFE",$AX$10:$AX$16)),0,""))</f>
        <v/>
      </c>
      <c r="Z40" s="369" t="str">
        <f ca="1">IF($B40&lt;&gt;"PRC_RESID","",IF(Z$7=2005+OFFSET(COM_2012!$B$60,$AW40,SUMIF($B$10:$B$16,"NCAP_TLIFE",$AX$10:$AX$16)),0,""))</f>
        <v/>
      </c>
      <c r="AA40" s="369" t="str">
        <f ca="1">IF($B40&lt;&gt;"PRC_RESID","",IF(AA$7=2005+OFFSET(COM_2012!$B$60,$AW40,SUMIF($B$10:$B$16,"NCAP_TLIFE",$AX$10:$AX$16)),0,""))</f>
        <v/>
      </c>
      <c r="AB40" s="369" t="str">
        <f ca="1">IF($B40&lt;&gt;"PRC_RESID","",IF(AB$7=2005+OFFSET(COM_2012!$B$60,$AW40,SUMIF($B$10:$B$16,"NCAP_TLIFE",$AX$10:$AX$16)),0,""))</f>
        <v/>
      </c>
      <c r="AC40" s="369" t="str">
        <f ca="1">IF($B40&lt;&gt;"PRC_RESID","",IF(AC$7=2005+OFFSET(COM_2012!$B$60,$AW40,SUMIF($B$10:$B$16,"NCAP_TLIFE",$AX$10:$AX$16)),0,""))</f>
        <v/>
      </c>
      <c r="AD40" s="369" t="str">
        <f ca="1">IF($B40&lt;&gt;"PRC_RESID","",IF(AD$7=2005+OFFSET(COM_2012!$B$60,$AW40,SUMIF($B$10:$B$16,"NCAP_TLIFE",$AX$10:$AX$16)),0,""))</f>
        <v/>
      </c>
      <c r="AE40" s="369" t="str">
        <f ca="1">IF($B40&lt;&gt;"PRC_RESID","",IF(AE$7=2005+OFFSET(COM_2012!$B$60,$AW40,SUMIF($B$10:$B$16,"NCAP_TLIFE",$AX$10:$AX$16)),0,""))</f>
        <v/>
      </c>
      <c r="AF40" s="369" t="str">
        <f ca="1">IF($B40&lt;&gt;"PRC_RESID","",IF(AF$7=2005+OFFSET(COM_2012!$B$60,$AW40,SUMIF($B$10:$B$16,"NCAP_TLIFE",$AX$10:$AX$16)),0,""))</f>
        <v/>
      </c>
      <c r="AG40" s="369" t="str">
        <f ca="1">IF($B40&lt;&gt;"PRC_RESID","",IF(AG$7=2005+OFFSET(COM_2012!$B$60,$AW40,SUMIF($B$10:$B$16,"NCAP_TLIFE",$AX$10:$AX$16)),0,""))</f>
        <v/>
      </c>
      <c r="AH40" s="369" t="str">
        <f ca="1">IF($B40&lt;&gt;"PRC_RESID","",IF(AH$7=2005+OFFSET(COM_2012!$B$60,$AW40,SUMIF($B$10:$B$16,"NCAP_TLIFE",$AX$10:$AX$16)),0,""))</f>
        <v/>
      </c>
      <c r="AI40" s="369" t="str">
        <f ca="1">IF($B40&lt;&gt;"PRC_RESID","",IF(AI$7=2005+OFFSET(COM_2012!$B$60,$AW40,SUMIF($B$10:$B$16,"NCAP_TLIFE",$AX$10:$AX$16)),0,""))</f>
        <v/>
      </c>
      <c r="AJ40" s="369" t="str">
        <f ca="1">IF($B40&lt;&gt;"PRC_RESID","",IF(AJ$7=2005+OFFSET(COM_2012!$B$60,$AW40,SUMIF($B$10:$B$16,"NCAP_TLIFE",$AX$10:$AX$16)),0,""))</f>
        <v/>
      </c>
      <c r="AK40" s="369" t="str">
        <f ca="1">IF($B40&lt;&gt;"PRC_RESID","",IF(AK$7=2005+OFFSET(COM_2012!$B$60,$AW40,SUMIF($B$10:$B$16,"NCAP_TLIFE",$AX$10:$AX$16)),0,""))</f>
        <v/>
      </c>
      <c r="AL40" s="369" t="str">
        <f ca="1">IF($B40&lt;&gt;"PRC_RESID","",IF(AL$7=2005+OFFSET(COM_2012!$B$60,$AW40,SUMIF($B$10:$B$16,"NCAP_TLIFE",$AX$10:$AX$16)),0,""))</f>
        <v/>
      </c>
      <c r="AM40" s="369" t="str">
        <f ca="1">IF($B40&lt;&gt;"PRC_RESID","",IF(AM$7=2005+OFFSET(COM_2012!$B$60,$AW40,SUMIF($B$10:$B$16,"NCAP_TLIFE",$AX$10:$AX$16)),0,""))</f>
        <v/>
      </c>
      <c r="AN40" s="369" t="str">
        <f ca="1">IF($B40&lt;&gt;"PRC_RESID","",IF(AN$7=2005+OFFSET(COM_2012!$B$60,$AW40,SUMIF($B$10:$B$16,"NCAP_TLIFE",$AX$10:$AX$16)),0,""))</f>
        <v/>
      </c>
      <c r="AO40" s="369" t="str">
        <f ca="1">IF($B40&lt;&gt;"PRC_RESID","",IF(AO$7=2005+OFFSET(COM_2012!$B$60,$AW40,SUMIF($B$10:$B$16,"NCAP_TLIFE",$AX$10:$AX$16)),0,""))</f>
        <v/>
      </c>
      <c r="AP40" s="369" t="str">
        <f ca="1">IF($B40&lt;&gt;"PRC_RESID","",IF(AP$7=2005+OFFSET(COM_2012!$B$60,$AW40,SUMIF($B$10:$B$16,"NCAP_TLIFE",$AX$10:$AX$16)),0,""))</f>
        <v/>
      </c>
      <c r="AQ40" s="369" t="str">
        <f ca="1">IF($B40&lt;&gt;"PRC_RESID","",IF(AQ$7=2005+OFFSET(COM_2012!$B$60,$AW40,SUMIF($B$10:$B$16,"NCAP_TLIFE",$AX$10:$AX$16)),0,""))</f>
        <v/>
      </c>
      <c r="AR40" s="369" t="str">
        <f ca="1">IF($B40&lt;&gt;"PRC_RESID","",IF(AR$7=2005+OFFSET(COM_2012!$B$60,$AW40,SUMIF($B$10:$B$16,"NCAP_TLIFE",$AX$10:$AX$16)),0,""))</f>
        <v/>
      </c>
      <c r="AS40" s="369" t="str">
        <f ca="1">IF($B40&lt;&gt;"PRC_RESID","",IF(AS$7=2005+OFFSET(COM_2012!$B$60,$AW40,SUMIF($B$10:$B$16,"NCAP_TLIFE",$AX$10:$AX$16)),0,""))</f>
        <v/>
      </c>
      <c r="AT40" s="369" t="str">
        <f ca="1">IF($B40&lt;&gt;"PRC_RESID","",IF(AT$7=2005+OFFSET(COM_2012!$B$60,$AW40,SUMIF($B$10:$B$16,"NCAP_TLIFE",$AX$10:$AX$16)),0,""))</f>
        <v/>
      </c>
      <c r="AU40" s="369" t="str">
        <f ca="1">IF($B40&lt;&gt;"PRC_RESID","",IF(AU$7=2005+OFFSET(COM_2012!$B$60,$AW40,SUMIF($B$10:$B$16,"NCAP_TLIFE",$AX$10:$AX$16)),0,""))</f>
        <v/>
      </c>
      <c r="AV40" s="304">
        <f>IF(AW39=COM_2012!$AI$121,AV39+1,AV39)</f>
        <v>1</v>
      </c>
      <c r="AW40" s="304">
        <f t="shared" si="5"/>
        <v>13</v>
      </c>
    </row>
    <row r="41" spans="1:49">
      <c r="A41" s="304" t="str">
        <f ca="1">IF(LEFT(OFFSET(COM_2012!$A$60,AW41,0),2)="\I","*","")</f>
        <v>*</v>
      </c>
      <c r="B41" s="369" t="str">
        <f t="shared" ca="1" si="2"/>
        <v/>
      </c>
      <c r="C41" s="369" t="str">
        <f ca="1">IF($A41="*","",OFFSET(COM_2012!$B$60,AW41,0))</f>
        <v/>
      </c>
      <c r="D41" s="369" t="str">
        <f t="shared" ca="1" si="3"/>
        <v/>
      </c>
      <c r="E41" s="369" t="str">
        <f t="shared" ca="1" si="4"/>
        <v/>
      </c>
      <c r="F41" s="369" t="str">
        <f t="shared" ca="1" si="4"/>
        <v/>
      </c>
      <c r="G41" s="369" t="str">
        <f t="shared" ca="1" si="4"/>
        <v/>
      </c>
      <c r="H41" s="369" t="str">
        <f t="shared" ca="1" si="4"/>
        <v/>
      </c>
      <c r="I41" s="370" t="str">
        <f t="shared" ca="1" si="4"/>
        <v/>
      </c>
      <c r="J41" s="391" t="str">
        <f ca="1">IF($A41="*","",OFFSET(COM_2012!$B$60,AW41,SUMIF($B$10:$B$16,B41,$AX$10:$AX$16)))</f>
        <v/>
      </c>
      <c r="K41" s="369" t="str">
        <f ca="1">IF($B41&lt;&gt;"PRC_RESID","",IF(K$7=2005+OFFSET(COM_2012!$B$60,$AW41,SUMIF($B$10:$B$16,"NCAP_TLIFE",$AX$10:$AX$16)),0,""))</f>
        <v/>
      </c>
      <c r="L41" s="369" t="str">
        <f ca="1">IF($B41&lt;&gt;"PRC_RESID","",IF(L$7=2005+OFFSET(COM_2012!$B$60,$AW41,SUMIF($B$10:$B$16,"NCAP_TLIFE",$AX$10:$AX$16)),0,""))</f>
        <v/>
      </c>
      <c r="M41" s="369" t="str">
        <f ca="1">IF($B41&lt;&gt;"PRC_RESID","",IF(M$7=2005+OFFSET(COM_2012!$B$60,$AW41,SUMIF($B$10:$B$16,"NCAP_TLIFE",$AX$10:$AX$16)),0,""))</f>
        <v/>
      </c>
      <c r="N41" s="369" t="str">
        <f ca="1">IF($B41&lt;&gt;"PRC_RESID","",IF(N$7=2005+OFFSET(COM_2012!$B$60,$AW41,SUMIF($B$10:$B$16,"NCAP_TLIFE",$AX$10:$AX$16)),0,""))</f>
        <v/>
      </c>
      <c r="O41" s="658" t="str">
        <f ca="1">IF($B41&lt;&gt;"PRC_RESID","",IF(O$7=2005+OFFSET(COM_2012!$B$60,$AW41,SUMIF($B$10:$B$16,"NCAP_TLIFE",$AX$10:$AX$16)),0,""))</f>
        <v/>
      </c>
      <c r="P41" s="369" t="str">
        <f ca="1">IF($B41&lt;&gt;"PRC_RESID","",IF(P$7=2005+OFFSET(COM_2012!$B$60,$AW41,SUMIF($B$10:$B$16,"NCAP_TLIFE",$AX$10:$AX$16)),0,""))</f>
        <v/>
      </c>
      <c r="Q41" s="369" t="str">
        <f ca="1">IF($B41&lt;&gt;"PRC_RESID","",IF(Q$7=2005+OFFSET(COM_2012!$B$60,$AW41,SUMIF($B$10:$B$16,"NCAP_TLIFE",$AX$10:$AX$16)),0,""))</f>
        <v/>
      </c>
      <c r="R41" s="369" t="str">
        <f ca="1">IF($B41&lt;&gt;"PRC_RESID","",IF(R$7=2005+OFFSET(COM_2012!$B$60,$AW41,SUMIF($B$10:$B$16,"NCAP_TLIFE",$AX$10:$AX$16)),0,""))</f>
        <v/>
      </c>
      <c r="S41" s="369" t="str">
        <f ca="1">IF($B41&lt;&gt;"PRC_RESID","",IF(S$7=2005+OFFSET(COM_2012!$B$60,$AW41,SUMIF($B$10:$B$16,"NCAP_TLIFE",$AX$10:$AX$16)),0,""))</f>
        <v/>
      </c>
      <c r="T41" s="369" t="str">
        <f ca="1">IF($B41&lt;&gt;"PRC_RESID","",IF(T$7=2005+OFFSET(COM_2012!$B$60,$AW41,SUMIF($B$10:$B$16,"NCAP_TLIFE",$AX$10:$AX$16)),0,""))</f>
        <v/>
      </c>
      <c r="U41" s="369" t="str">
        <f ca="1">IF($B41&lt;&gt;"PRC_RESID","",IF(U$7=2005+OFFSET(COM_2012!$B$60,$AW41,SUMIF($B$10:$B$16,"NCAP_TLIFE",$AX$10:$AX$16)),0,""))</f>
        <v/>
      </c>
      <c r="V41" s="369" t="str">
        <f ca="1">IF($B41&lt;&gt;"PRC_RESID","",IF(V$7=2005+OFFSET(COM_2012!$B$60,$AW41,SUMIF($B$10:$B$16,"NCAP_TLIFE",$AX$10:$AX$16)),0,""))</f>
        <v/>
      </c>
      <c r="W41" s="369" t="str">
        <f ca="1">IF($B41&lt;&gt;"PRC_RESID","",IF(W$7=2005+OFFSET(COM_2012!$B$60,$AW41,SUMIF($B$10:$B$16,"NCAP_TLIFE",$AX$10:$AX$16)),0,""))</f>
        <v/>
      </c>
      <c r="X41" s="369" t="str">
        <f ca="1">IF($B41&lt;&gt;"PRC_RESID","",IF(X$7=2005+OFFSET(COM_2012!$B$60,$AW41,SUMIF($B$10:$B$16,"NCAP_TLIFE",$AX$10:$AX$16)),0,""))</f>
        <v/>
      </c>
      <c r="Y41" s="369" t="str">
        <f ca="1">IF($B41&lt;&gt;"PRC_RESID","",IF(Y$7=2005+OFFSET(COM_2012!$B$60,$AW41,SUMIF($B$10:$B$16,"NCAP_TLIFE",$AX$10:$AX$16)),0,""))</f>
        <v/>
      </c>
      <c r="Z41" s="369" t="str">
        <f ca="1">IF($B41&lt;&gt;"PRC_RESID","",IF(Z$7=2005+OFFSET(COM_2012!$B$60,$AW41,SUMIF($B$10:$B$16,"NCAP_TLIFE",$AX$10:$AX$16)),0,""))</f>
        <v/>
      </c>
      <c r="AA41" s="369" t="str">
        <f ca="1">IF($B41&lt;&gt;"PRC_RESID","",IF(AA$7=2005+OFFSET(COM_2012!$B$60,$AW41,SUMIF($B$10:$B$16,"NCAP_TLIFE",$AX$10:$AX$16)),0,""))</f>
        <v/>
      </c>
      <c r="AB41" s="369" t="str">
        <f ca="1">IF($B41&lt;&gt;"PRC_RESID","",IF(AB$7=2005+OFFSET(COM_2012!$B$60,$AW41,SUMIF($B$10:$B$16,"NCAP_TLIFE",$AX$10:$AX$16)),0,""))</f>
        <v/>
      </c>
      <c r="AC41" s="369" t="str">
        <f ca="1">IF($B41&lt;&gt;"PRC_RESID","",IF(AC$7=2005+OFFSET(COM_2012!$B$60,$AW41,SUMIF($B$10:$B$16,"NCAP_TLIFE",$AX$10:$AX$16)),0,""))</f>
        <v/>
      </c>
      <c r="AD41" s="369" t="str">
        <f ca="1">IF($B41&lt;&gt;"PRC_RESID","",IF(AD$7=2005+OFFSET(COM_2012!$B$60,$AW41,SUMIF($B$10:$B$16,"NCAP_TLIFE",$AX$10:$AX$16)),0,""))</f>
        <v/>
      </c>
      <c r="AE41" s="369" t="str">
        <f ca="1">IF($B41&lt;&gt;"PRC_RESID","",IF(AE$7=2005+OFFSET(COM_2012!$B$60,$AW41,SUMIF($B$10:$B$16,"NCAP_TLIFE",$AX$10:$AX$16)),0,""))</f>
        <v/>
      </c>
      <c r="AF41" s="369" t="str">
        <f ca="1">IF($B41&lt;&gt;"PRC_RESID","",IF(AF$7=2005+OFFSET(COM_2012!$B$60,$AW41,SUMIF($B$10:$B$16,"NCAP_TLIFE",$AX$10:$AX$16)),0,""))</f>
        <v/>
      </c>
      <c r="AG41" s="369" t="str">
        <f ca="1">IF($B41&lt;&gt;"PRC_RESID","",IF(AG$7=2005+OFFSET(COM_2012!$B$60,$AW41,SUMIF($B$10:$B$16,"NCAP_TLIFE",$AX$10:$AX$16)),0,""))</f>
        <v/>
      </c>
      <c r="AH41" s="369" t="str">
        <f ca="1">IF($B41&lt;&gt;"PRC_RESID","",IF(AH$7=2005+OFFSET(COM_2012!$B$60,$AW41,SUMIF($B$10:$B$16,"NCAP_TLIFE",$AX$10:$AX$16)),0,""))</f>
        <v/>
      </c>
      <c r="AI41" s="369" t="str">
        <f ca="1">IF($B41&lt;&gt;"PRC_RESID","",IF(AI$7=2005+OFFSET(COM_2012!$B$60,$AW41,SUMIF($B$10:$B$16,"NCAP_TLIFE",$AX$10:$AX$16)),0,""))</f>
        <v/>
      </c>
      <c r="AJ41" s="369" t="str">
        <f ca="1">IF($B41&lt;&gt;"PRC_RESID","",IF(AJ$7=2005+OFFSET(COM_2012!$B$60,$AW41,SUMIF($B$10:$B$16,"NCAP_TLIFE",$AX$10:$AX$16)),0,""))</f>
        <v/>
      </c>
      <c r="AK41" s="369" t="str">
        <f ca="1">IF($B41&lt;&gt;"PRC_RESID","",IF(AK$7=2005+OFFSET(COM_2012!$B$60,$AW41,SUMIF($B$10:$B$16,"NCAP_TLIFE",$AX$10:$AX$16)),0,""))</f>
        <v/>
      </c>
      <c r="AL41" s="369" t="str">
        <f ca="1">IF($B41&lt;&gt;"PRC_RESID","",IF(AL$7=2005+OFFSET(COM_2012!$B$60,$AW41,SUMIF($B$10:$B$16,"NCAP_TLIFE",$AX$10:$AX$16)),0,""))</f>
        <v/>
      </c>
      <c r="AM41" s="369" t="str">
        <f ca="1">IF($B41&lt;&gt;"PRC_RESID","",IF(AM$7=2005+OFFSET(COM_2012!$B$60,$AW41,SUMIF($B$10:$B$16,"NCAP_TLIFE",$AX$10:$AX$16)),0,""))</f>
        <v/>
      </c>
      <c r="AN41" s="369" t="str">
        <f ca="1">IF($B41&lt;&gt;"PRC_RESID","",IF(AN$7=2005+OFFSET(COM_2012!$B$60,$AW41,SUMIF($B$10:$B$16,"NCAP_TLIFE",$AX$10:$AX$16)),0,""))</f>
        <v/>
      </c>
      <c r="AO41" s="369" t="str">
        <f ca="1">IF($B41&lt;&gt;"PRC_RESID","",IF(AO$7=2005+OFFSET(COM_2012!$B$60,$AW41,SUMIF($B$10:$B$16,"NCAP_TLIFE",$AX$10:$AX$16)),0,""))</f>
        <v/>
      </c>
      <c r="AP41" s="369" t="str">
        <f ca="1">IF($B41&lt;&gt;"PRC_RESID","",IF(AP$7=2005+OFFSET(COM_2012!$B$60,$AW41,SUMIF($B$10:$B$16,"NCAP_TLIFE",$AX$10:$AX$16)),0,""))</f>
        <v/>
      </c>
      <c r="AQ41" s="369" t="str">
        <f ca="1">IF($B41&lt;&gt;"PRC_RESID","",IF(AQ$7=2005+OFFSET(COM_2012!$B$60,$AW41,SUMIF($B$10:$B$16,"NCAP_TLIFE",$AX$10:$AX$16)),0,""))</f>
        <v/>
      </c>
      <c r="AR41" s="369" t="str">
        <f ca="1">IF($B41&lt;&gt;"PRC_RESID","",IF(AR$7=2005+OFFSET(COM_2012!$B$60,$AW41,SUMIF($B$10:$B$16,"NCAP_TLIFE",$AX$10:$AX$16)),0,""))</f>
        <v/>
      </c>
      <c r="AS41" s="369" t="str">
        <f ca="1">IF($B41&lt;&gt;"PRC_RESID","",IF(AS$7=2005+OFFSET(COM_2012!$B$60,$AW41,SUMIF($B$10:$B$16,"NCAP_TLIFE",$AX$10:$AX$16)),0,""))</f>
        <v/>
      </c>
      <c r="AT41" s="369" t="str">
        <f ca="1">IF($B41&lt;&gt;"PRC_RESID","",IF(AT$7=2005+OFFSET(COM_2012!$B$60,$AW41,SUMIF($B$10:$B$16,"NCAP_TLIFE",$AX$10:$AX$16)),0,""))</f>
        <v/>
      </c>
      <c r="AU41" s="369" t="str">
        <f ca="1">IF($B41&lt;&gt;"PRC_RESID","",IF(AU$7=2005+OFFSET(COM_2012!$B$60,$AW41,SUMIF($B$10:$B$16,"NCAP_TLIFE",$AX$10:$AX$16)),0,""))</f>
        <v/>
      </c>
      <c r="AV41" s="304">
        <f>IF(AW40=COM_2012!$AI$121,AV40+1,AV40)</f>
        <v>1</v>
      </c>
      <c r="AW41" s="304">
        <f t="shared" si="5"/>
        <v>14</v>
      </c>
    </row>
    <row r="42" spans="1:49">
      <c r="A42" s="304" t="str">
        <f ca="1">IF(LEFT(OFFSET(COM_2012!$A$60,AW42,0),2)="\I","*","")</f>
        <v>*</v>
      </c>
      <c r="B42" s="369" t="str">
        <f t="shared" ca="1" si="2"/>
        <v/>
      </c>
      <c r="C42" s="369" t="str">
        <f ca="1">IF($A42="*","",OFFSET(COM_2012!$B$60,AW42,0))</f>
        <v/>
      </c>
      <c r="D42" s="369" t="str">
        <f t="shared" ca="1" si="3"/>
        <v/>
      </c>
      <c r="E42" s="369" t="str">
        <f t="shared" ca="1" si="4"/>
        <v/>
      </c>
      <c r="F42" s="369" t="str">
        <f t="shared" ca="1" si="4"/>
        <v/>
      </c>
      <c r="G42" s="369" t="str">
        <f t="shared" ca="1" si="4"/>
        <v/>
      </c>
      <c r="H42" s="369" t="str">
        <f t="shared" ca="1" si="4"/>
        <v/>
      </c>
      <c r="I42" s="370" t="str">
        <f t="shared" ca="1" si="4"/>
        <v/>
      </c>
      <c r="J42" s="391" t="str">
        <f ca="1">IF($A42="*","",OFFSET(COM_2012!$B$60,AW42,SUMIF($B$10:$B$16,B42,$AX$10:$AX$16)))</f>
        <v/>
      </c>
      <c r="K42" s="369" t="str">
        <f ca="1">IF($B42&lt;&gt;"PRC_RESID","",IF(K$7=2005+OFFSET(COM_2012!$B$60,$AW42,SUMIF($B$10:$B$16,"NCAP_TLIFE",$AX$10:$AX$16)),0,""))</f>
        <v/>
      </c>
      <c r="L42" s="369" t="str">
        <f ca="1">IF($B42&lt;&gt;"PRC_RESID","",IF(L$7=2005+OFFSET(COM_2012!$B$60,$AW42,SUMIF($B$10:$B$16,"NCAP_TLIFE",$AX$10:$AX$16)),0,""))</f>
        <v/>
      </c>
      <c r="M42" s="369" t="str">
        <f ca="1">IF($B42&lt;&gt;"PRC_RESID","",IF(M$7=2005+OFFSET(COM_2012!$B$60,$AW42,SUMIF($B$10:$B$16,"NCAP_TLIFE",$AX$10:$AX$16)),0,""))</f>
        <v/>
      </c>
      <c r="N42" s="369" t="str">
        <f ca="1">IF($B42&lt;&gt;"PRC_RESID","",IF(N$7=2005+OFFSET(COM_2012!$B$60,$AW42,SUMIF($B$10:$B$16,"NCAP_TLIFE",$AX$10:$AX$16)),0,""))</f>
        <v/>
      </c>
      <c r="O42" s="658" t="str">
        <f ca="1">IF($B42&lt;&gt;"PRC_RESID","",IF(O$7=2005+OFFSET(COM_2012!$B$60,$AW42,SUMIF($B$10:$B$16,"NCAP_TLIFE",$AX$10:$AX$16)),0,""))</f>
        <v/>
      </c>
      <c r="P42" s="369" t="str">
        <f ca="1">IF($B42&lt;&gt;"PRC_RESID","",IF(P$7=2005+OFFSET(COM_2012!$B$60,$AW42,SUMIF($B$10:$B$16,"NCAP_TLIFE",$AX$10:$AX$16)),0,""))</f>
        <v/>
      </c>
      <c r="Q42" s="369" t="str">
        <f ca="1">IF($B42&lt;&gt;"PRC_RESID","",IF(Q$7=2005+OFFSET(COM_2012!$B$60,$AW42,SUMIF($B$10:$B$16,"NCAP_TLIFE",$AX$10:$AX$16)),0,""))</f>
        <v/>
      </c>
      <c r="R42" s="369" t="str">
        <f ca="1">IF($B42&lt;&gt;"PRC_RESID","",IF(R$7=2005+OFFSET(COM_2012!$B$60,$AW42,SUMIF($B$10:$B$16,"NCAP_TLIFE",$AX$10:$AX$16)),0,""))</f>
        <v/>
      </c>
      <c r="S42" s="369" t="str">
        <f ca="1">IF($B42&lt;&gt;"PRC_RESID","",IF(S$7=2005+OFFSET(COM_2012!$B$60,$AW42,SUMIF($B$10:$B$16,"NCAP_TLIFE",$AX$10:$AX$16)),0,""))</f>
        <v/>
      </c>
      <c r="T42" s="369" t="str">
        <f ca="1">IF($B42&lt;&gt;"PRC_RESID","",IF(T$7=2005+OFFSET(COM_2012!$B$60,$AW42,SUMIF($B$10:$B$16,"NCAP_TLIFE",$AX$10:$AX$16)),0,""))</f>
        <v/>
      </c>
      <c r="U42" s="369" t="str">
        <f ca="1">IF($B42&lt;&gt;"PRC_RESID","",IF(U$7=2005+OFFSET(COM_2012!$B$60,$AW42,SUMIF($B$10:$B$16,"NCAP_TLIFE",$AX$10:$AX$16)),0,""))</f>
        <v/>
      </c>
      <c r="V42" s="369" t="str">
        <f ca="1">IF($B42&lt;&gt;"PRC_RESID","",IF(V$7=2005+OFFSET(COM_2012!$B$60,$AW42,SUMIF($B$10:$B$16,"NCAP_TLIFE",$AX$10:$AX$16)),0,""))</f>
        <v/>
      </c>
      <c r="W42" s="369" t="str">
        <f ca="1">IF($B42&lt;&gt;"PRC_RESID","",IF(W$7=2005+OFFSET(COM_2012!$B$60,$AW42,SUMIF($B$10:$B$16,"NCAP_TLIFE",$AX$10:$AX$16)),0,""))</f>
        <v/>
      </c>
      <c r="X42" s="369" t="str">
        <f ca="1">IF($B42&lt;&gt;"PRC_RESID","",IF(X$7=2005+OFFSET(COM_2012!$B$60,$AW42,SUMIF($B$10:$B$16,"NCAP_TLIFE",$AX$10:$AX$16)),0,""))</f>
        <v/>
      </c>
      <c r="Y42" s="369" t="str">
        <f ca="1">IF($B42&lt;&gt;"PRC_RESID","",IF(Y$7=2005+OFFSET(COM_2012!$B$60,$AW42,SUMIF($B$10:$B$16,"NCAP_TLIFE",$AX$10:$AX$16)),0,""))</f>
        <v/>
      </c>
      <c r="Z42" s="369" t="str">
        <f ca="1">IF($B42&lt;&gt;"PRC_RESID","",IF(Z$7=2005+OFFSET(COM_2012!$B$60,$AW42,SUMIF($B$10:$B$16,"NCAP_TLIFE",$AX$10:$AX$16)),0,""))</f>
        <v/>
      </c>
      <c r="AA42" s="369" t="str">
        <f ca="1">IF($B42&lt;&gt;"PRC_RESID","",IF(AA$7=2005+OFFSET(COM_2012!$B$60,$AW42,SUMIF($B$10:$B$16,"NCAP_TLIFE",$AX$10:$AX$16)),0,""))</f>
        <v/>
      </c>
      <c r="AB42" s="369" t="str">
        <f ca="1">IF($B42&lt;&gt;"PRC_RESID","",IF(AB$7=2005+OFFSET(COM_2012!$B$60,$AW42,SUMIF($B$10:$B$16,"NCAP_TLIFE",$AX$10:$AX$16)),0,""))</f>
        <v/>
      </c>
      <c r="AC42" s="369" t="str">
        <f ca="1">IF($B42&lt;&gt;"PRC_RESID","",IF(AC$7=2005+OFFSET(COM_2012!$B$60,$AW42,SUMIF($B$10:$B$16,"NCAP_TLIFE",$AX$10:$AX$16)),0,""))</f>
        <v/>
      </c>
      <c r="AD42" s="369" t="str">
        <f ca="1">IF($B42&lt;&gt;"PRC_RESID","",IF(AD$7=2005+OFFSET(COM_2012!$B$60,$AW42,SUMIF($B$10:$B$16,"NCAP_TLIFE",$AX$10:$AX$16)),0,""))</f>
        <v/>
      </c>
      <c r="AE42" s="369" t="str">
        <f ca="1">IF($B42&lt;&gt;"PRC_RESID","",IF(AE$7=2005+OFFSET(COM_2012!$B$60,$AW42,SUMIF($B$10:$B$16,"NCAP_TLIFE",$AX$10:$AX$16)),0,""))</f>
        <v/>
      </c>
      <c r="AF42" s="369" t="str">
        <f ca="1">IF($B42&lt;&gt;"PRC_RESID","",IF(AF$7=2005+OFFSET(COM_2012!$B$60,$AW42,SUMIF($B$10:$B$16,"NCAP_TLIFE",$AX$10:$AX$16)),0,""))</f>
        <v/>
      </c>
      <c r="AG42" s="369" t="str">
        <f ca="1">IF($B42&lt;&gt;"PRC_RESID","",IF(AG$7=2005+OFFSET(COM_2012!$B$60,$AW42,SUMIF($B$10:$B$16,"NCAP_TLIFE",$AX$10:$AX$16)),0,""))</f>
        <v/>
      </c>
      <c r="AH42" s="369" t="str">
        <f ca="1">IF($B42&lt;&gt;"PRC_RESID","",IF(AH$7=2005+OFFSET(COM_2012!$B$60,$AW42,SUMIF($B$10:$B$16,"NCAP_TLIFE",$AX$10:$AX$16)),0,""))</f>
        <v/>
      </c>
      <c r="AI42" s="369" t="str">
        <f ca="1">IF($B42&lt;&gt;"PRC_RESID","",IF(AI$7=2005+OFFSET(COM_2012!$B$60,$AW42,SUMIF($B$10:$B$16,"NCAP_TLIFE",$AX$10:$AX$16)),0,""))</f>
        <v/>
      </c>
      <c r="AJ42" s="369" t="str">
        <f ca="1">IF($B42&lt;&gt;"PRC_RESID","",IF(AJ$7=2005+OFFSET(COM_2012!$B$60,$AW42,SUMIF($B$10:$B$16,"NCAP_TLIFE",$AX$10:$AX$16)),0,""))</f>
        <v/>
      </c>
      <c r="AK42" s="369" t="str">
        <f ca="1">IF($B42&lt;&gt;"PRC_RESID","",IF(AK$7=2005+OFFSET(COM_2012!$B$60,$AW42,SUMIF($B$10:$B$16,"NCAP_TLIFE",$AX$10:$AX$16)),0,""))</f>
        <v/>
      </c>
      <c r="AL42" s="369" t="str">
        <f ca="1">IF($B42&lt;&gt;"PRC_RESID","",IF(AL$7=2005+OFFSET(COM_2012!$B$60,$AW42,SUMIF($B$10:$B$16,"NCAP_TLIFE",$AX$10:$AX$16)),0,""))</f>
        <v/>
      </c>
      <c r="AM42" s="369" t="str">
        <f ca="1">IF($B42&lt;&gt;"PRC_RESID","",IF(AM$7=2005+OFFSET(COM_2012!$B$60,$AW42,SUMIF($B$10:$B$16,"NCAP_TLIFE",$AX$10:$AX$16)),0,""))</f>
        <v/>
      </c>
      <c r="AN42" s="369" t="str">
        <f ca="1">IF($B42&lt;&gt;"PRC_RESID","",IF(AN$7=2005+OFFSET(COM_2012!$B$60,$AW42,SUMIF($B$10:$B$16,"NCAP_TLIFE",$AX$10:$AX$16)),0,""))</f>
        <v/>
      </c>
      <c r="AO42" s="369" t="str">
        <f ca="1">IF($B42&lt;&gt;"PRC_RESID","",IF(AO$7=2005+OFFSET(COM_2012!$B$60,$AW42,SUMIF($B$10:$B$16,"NCAP_TLIFE",$AX$10:$AX$16)),0,""))</f>
        <v/>
      </c>
      <c r="AP42" s="369" t="str">
        <f ca="1">IF($B42&lt;&gt;"PRC_RESID","",IF(AP$7=2005+OFFSET(COM_2012!$B$60,$AW42,SUMIF($B$10:$B$16,"NCAP_TLIFE",$AX$10:$AX$16)),0,""))</f>
        <v/>
      </c>
      <c r="AQ42" s="369" t="str">
        <f ca="1">IF($B42&lt;&gt;"PRC_RESID","",IF(AQ$7=2005+OFFSET(COM_2012!$B$60,$AW42,SUMIF($B$10:$B$16,"NCAP_TLIFE",$AX$10:$AX$16)),0,""))</f>
        <v/>
      </c>
      <c r="AR42" s="369" t="str">
        <f ca="1">IF($B42&lt;&gt;"PRC_RESID","",IF(AR$7=2005+OFFSET(COM_2012!$B$60,$AW42,SUMIF($B$10:$B$16,"NCAP_TLIFE",$AX$10:$AX$16)),0,""))</f>
        <v/>
      </c>
      <c r="AS42" s="369" t="str">
        <f ca="1">IF($B42&lt;&gt;"PRC_RESID","",IF(AS$7=2005+OFFSET(COM_2012!$B$60,$AW42,SUMIF($B$10:$B$16,"NCAP_TLIFE",$AX$10:$AX$16)),0,""))</f>
        <v/>
      </c>
      <c r="AT42" s="369" t="str">
        <f ca="1">IF($B42&lt;&gt;"PRC_RESID","",IF(AT$7=2005+OFFSET(COM_2012!$B$60,$AW42,SUMIF($B$10:$B$16,"NCAP_TLIFE",$AX$10:$AX$16)),0,""))</f>
        <v/>
      </c>
      <c r="AU42" s="369" t="str">
        <f ca="1">IF($B42&lt;&gt;"PRC_RESID","",IF(AU$7=2005+OFFSET(COM_2012!$B$60,$AW42,SUMIF($B$10:$B$16,"NCAP_TLIFE",$AX$10:$AX$16)),0,""))</f>
        <v/>
      </c>
      <c r="AV42" s="304">
        <f>IF(AW41=COM_2012!$AI$121,AV41+1,AV41)</f>
        <v>1</v>
      </c>
      <c r="AW42" s="304">
        <f t="shared" si="5"/>
        <v>15</v>
      </c>
    </row>
    <row r="43" spans="1:49">
      <c r="A43" s="304" t="str">
        <f ca="1">IF(LEFT(OFFSET(COM_2012!$A$60,AW43,0),2)="\I","*","")</f>
        <v/>
      </c>
      <c r="B43" s="369" t="str">
        <f t="shared" ca="1" si="2"/>
        <v>ACT_EFF</v>
      </c>
      <c r="C43" s="369" t="str">
        <f ca="1">IF($A43="*","",OFFSET(COM_2012!$B$60,AW43,0))</f>
        <v>CEKOLP-E</v>
      </c>
      <c r="D43" s="369" t="str">
        <f t="shared" ca="1" si="3"/>
        <v>-</v>
      </c>
      <c r="E43" s="369" t="str">
        <f t="shared" ca="1" si="4"/>
        <v>ACTGRP</v>
      </c>
      <c r="F43" s="369" t="str">
        <f t="shared" ca="1" si="4"/>
        <v>-</v>
      </c>
      <c r="G43" s="369" t="str">
        <f t="shared" ca="1" si="4"/>
        <v>ANNUAL</v>
      </c>
      <c r="H43" s="369" t="str">
        <f t="shared" ca="1" si="4"/>
        <v>-</v>
      </c>
      <c r="I43" s="370">
        <f t="shared" ca="1" si="4"/>
        <v>0</v>
      </c>
      <c r="J43" s="391">
        <f ca="1">IF($A43="*","",OFFSET(COM_2012!$B$60,AW43,SUMIF($B$10:$B$16,B43,$AX$10:$AX$16)))</f>
        <v>0.9</v>
      </c>
      <c r="K43" s="369" t="str">
        <f ca="1">IF($B43&lt;&gt;"PRC_RESID","",IF(K$7=2005+OFFSET(COM_2012!$B$60,$AW43,SUMIF($B$10:$B$16,"NCAP_TLIFE",$AX$10:$AX$16)),0,""))</f>
        <v/>
      </c>
      <c r="L43" s="369" t="str">
        <f ca="1">IF($B43&lt;&gt;"PRC_RESID","",IF(L$7=2005+OFFSET(COM_2012!$B$60,$AW43,SUMIF($B$10:$B$16,"NCAP_TLIFE",$AX$10:$AX$16)),0,""))</f>
        <v/>
      </c>
      <c r="M43" s="369" t="str">
        <f ca="1">IF($B43&lt;&gt;"PRC_RESID","",IF(M$7=2005+OFFSET(COM_2012!$B$60,$AW43,SUMIF($B$10:$B$16,"NCAP_TLIFE",$AX$10:$AX$16)),0,""))</f>
        <v/>
      </c>
      <c r="N43" s="369" t="str">
        <f ca="1">IF($B43&lt;&gt;"PRC_RESID","",IF(N$7=2005+OFFSET(COM_2012!$B$60,$AW43,SUMIF($B$10:$B$16,"NCAP_TLIFE",$AX$10:$AX$16)),0,""))</f>
        <v/>
      </c>
      <c r="O43" s="658" t="str">
        <f ca="1">IF($B43&lt;&gt;"PRC_RESID","",IF(O$7=2005+OFFSET(COM_2012!$B$60,$AW43,SUMIF($B$10:$B$16,"NCAP_TLIFE",$AX$10:$AX$16)),0,""))</f>
        <v/>
      </c>
      <c r="P43" s="369" t="str">
        <f ca="1">IF($B43&lt;&gt;"PRC_RESID","",IF(P$7=2005+OFFSET(COM_2012!$B$60,$AW43,SUMIF($B$10:$B$16,"NCAP_TLIFE",$AX$10:$AX$16)),0,""))</f>
        <v/>
      </c>
      <c r="Q43" s="369" t="str">
        <f ca="1">IF($B43&lt;&gt;"PRC_RESID","",IF(Q$7=2005+OFFSET(COM_2012!$B$60,$AW43,SUMIF($B$10:$B$16,"NCAP_TLIFE",$AX$10:$AX$16)),0,""))</f>
        <v/>
      </c>
      <c r="R43" s="369" t="str">
        <f ca="1">IF($B43&lt;&gt;"PRC_RESID","",IF(R$7=2005+OFFSET(COM_2012!$B$60,$AW43,SUMIF($B$10:$B$16,"NCAP_TLIFE",$AX$10:$AX$16)),0,""))</f>
        <v/>
      </c>
      <c r="S43" s="369" t="str">
        <f ca="1">IF($B43&lt;&gt;"PRC_RESID","",IF(S$7=2005+OFFSET(COM_2012!$B$60,$AW43,SUMIF($B$10:$B$16,"NCAP_TLIFE",$AX$10:$AX$16)),0,""))</f>
        <v/>
      </c>
      <c r="T43" s="369" t="str">
        <f ca="1">IF($B43&lt;&gt;"PRC_RESID","",IF(T$7=2005+OFFSET(COM_2012!$B$60,$AW43,SUMIF($B$10:$B$16,"NCAP_TLIFE",$AX$10:$AX$16)),0,""))</f>
        <v/>
      </c>
      <c r="U43" s="369" t="str">
        <f ca="1">IF($B43&lt;&gt;"PRC_RESID","",IF(U$7=2005+OFFSET(COM_2012!$B$60,$AW43,SUMIF($B$10:$B$16,"NCAP_TLIFE",$AX$10:$AX$16)),0,""))</f>
        <v/>
      </c>
      <c r="V43" s="369" t="str">
        <f ca="1">IF($B43&lt;&gt;"PRC_RESID","",IF(V$7=2005+OFFSET(COM_2012!$B$60,$AW43,SUMIF($B$10:$B$16,"NCAP_TLIFE",$AX$10:$AX$16)),0,""))</f>
        <v/>
      </c>
      <c r="W43" s="369" t="str">
        <f ca="1">IF($B43&lt;&gt;"PRC_RESID","",IF(W$7=2005+OFFSET(COM_2012!$B$60,$AW43,SUMIF($B$10:$B$16,"NCAP_TLIFE",$AX$10:$AX$16)),0,""))</f>
        <v/>
      </c>
      <c r="X43" s="369" t="str">
        <f ca="1">IF($B43&lt;&gt;"PRC_RESID","",IF(X$7=2005+OFFSET(COM_2012!$B$60,$AW43,SUMIF($B$10:$B$16,"NCAP_TLIFE",$AX$10:$AX$16)),0,""))</f>
        <v/>
      </c>
      <c r="Y43" s="369" t="str">
        <f ca="1">IF($B43&lt;&gt;"PRC_RESID","",IF(Y$7=2005+OFFSET(COM_2012!$B$60,$AW43,SUMIF($B$10:$B$16,"NCAP_TLIFE",$AX$10:$AX$16)),0,""))</f>
        <v/>
      </c>
      <c r="Z43" s="369" t="str">
        <f ca="1">IF($B43&lt;&gt;"PRC_RESID","",IF(Z$7=2005+OFFSET(COM_2012!$B$60,$AW43,SUMIF($B$10:$B$16,"NCAP_TLIFE",$AX$10:$AX$16)),0,""))</f>
        <v/>
      </c>
      <c r="AA43" s="369" t="str">
        <f ca="1">IF($B43&lt;&gt;"PRC_RESID","",IF(AA$7=2005+OFFSET(COM_2012!$B$60,$AW43,SUMIF($B$10:$B$16,"NCAP_TLIFE",$AX$10:$AX$16)),0,""))</f>
        <v/>
      </c>
      <c r="AB43" s="369" t="str">
        <f ca="1">IF($B43&lt;&gt;"PRC_RESID","",IF(AB$7=2005+OFFSET(COM_2012!$B$60,$AW43,SUMIF($B$10:$B$16,"NCAP_TLIFE",$AX$10:$AX$16)),0,""))</f>
        <v/>
      </c>
      <c r="AC43" s="369" t="str">
        <f ca="1">IF($B43&lt;&gt;"PRC_RESID","",IF(AC$7=2005+OFFSET(COM_2012!$B$60,$AW43,SUMIF($B$10:$B$16,"NCAP_TLIFE",$AX$10:$AX$16)),0,""))</f>
        <v/>
      </c>
      <c r="AD43" s="369" t="str">
        <f ca="1">IF($B43&lt;&gt;"PRC_RESID","",IF(AD$7=2005+OFFSET(COM_2012!$B$60,$AW43,SUMIF($B$10:$B$16,"NCAP_TLIFE",$AX$10:$AX$16)),0,""))</f>
        <v/>
      </c>
      <c r="AE43" s="369" t="str">
        <f ca="1">IF($B43&lt;&gt;"PRC_RESID","",IF(AE$7=2005+OFFSET(COM_2012!$B$60,$AW43,SUMIF($B$10:$B$16,"NCAP_TLIFE",$AX$10:$AX$16)),0,""))</f>
        <v/>
      </c>
      <c r="AF43" s="369" t="str">
        <f ca="1">IF($B43&lt;&gt;"PRC_RESID","",IF(AF$7=2005+OFFSET(COM_2012!$B$60,$AW43,SUMIF($B$10:$B$16,"NCAP_TLIFE",$AX$10:$AX$16)),0,""))</f>
        <v/>
      </c>
      <c r="AG43" s="369" t="str">
        <f ca="1">IF($B43&lt;&gt;"PRC_RESID","",IF(AG$7=2005+OFFSET(COM_2012!$B$60,$AW43,SUMIF($B$10:$B$16,"NCAP_TLIFE",$AX$10:$AX$16)),0,""))</f>
        <v/>
      </c>
      <c r="AH43" s="369" t="str">
        <f ca="1">IF($B43&lt;&gt;"PRC_RESID","",IF(AH$7=2005+OFFSET(COM_2012!$B$60,$AW43,SUMIF($B$10:$B$16,"NCAP_TLIFE",$AX$10:$AX$16)),0,""))</f>
        <v/>
      </c>
      <c r="AI43" s="369" t="str">
        <f ca="1">IF($B43&lt;&gt;"PRC_RESID","",IF(AI$7=2005+OFFSET(COM_2012!$B$60,$AW43,SUMIF($B$10:$B$16,"NCAP_TLIFE",$AX$10:$AX$16)),0,""))</f>
        <v/>
      </c>
      <c r="AJ43" s="369" t="str">
        <f ca="1">IF($B43&lt;&gt;"PRC_RESID","",IF(AJ$7=2005+OFFSET(COM_2012!$B$60,$AW43,SUMIF($B$10:$B$16,"NCAP_TLIFE",$AX$10:$AX$16)),0,""))</f>
        <v/>
      </c>
      <c r="AK43" s="369" t="str">
        <f ca="1">IF($B43&lt;&gt;"PRC_RESID","",IF(AK$7=2005+OFFSET(COM_2012!$B$60,$AW43,SUMIF($B$10:$B$16,"NCAP_TLIFE",$AX$10:$AX$16)),0,""))</f>
        <v/>
      </c>
      <c r="AL43" s="369" t="str">
        <f ca="1">IF($B43&lt;&gt;"PRC_RESID","",IF(AL$7=2005+OFFSET(COM_2012!$B$60,$AW43,SUMIF($B$10:$B$16,"NCAP_TLIFE",$AX$10:$AX$16)),0,""))</f>
        <v/>
      </c>
      <c r="AM43" s="369" t="str">
        <f ca="1">IF($B43&lt;&gt;"PRC_RESID","",IF(AM$7=2005+OFFSET(COM_2012!$B$60,$AW43,SUMIF($B$10:$B$16,"NCAP_TLIFE",$AX$10:$AX$16)),0,""))</f>
        <v/>
      </c>
      <c r="AN43" s="369" t="str">
        <f ca="1">IF($B43&lt;&gt;"PRC_RESID","",IF(AN$7=2005+OFFSET(COM_2012!$B$60,$AW43,SUMIF($B$10:$B$16,"NCAP_TLIFE",$AX$10:$AX$16)),0,""))</f>
        <v/>
      </c>
      <c r="AO43" s="369" t="str">
        <f ca="1">IF($B43&lt;&gt;"PRC_RESID","",IF(AO$7=2005+OFFSET(COM_2012!$B$60,$AW43,SUMIF($B$10:$B$16,"NCAP_TLIFE",$AX$10:$AX$16)),0,""))</f>
        <v/>
      </c>
      <c r="AP43" s="369" t="str">
        <f ca="1">IF($B43&lt;&gt;"PRC_RESID","",IF(AP$7=2005+OFFSET(COM_2012!$B$60,$AW43,SUMIF($B$10:$B$16,"NCAP_TLIFE",$AX$10:$AX$16)),0,""))</f>
        <v/>
      </c>
      <c r="AQ43" s="369" t="str">
        <f ca="1">IF($B43&lt;&gt;"PRC_RESID","",IF(AQ$7=2005+OFFSET(COM_2012!$B$60,$AW43,SUMIF($B$10:$B$16,"NCAP_TLIFE",$AX$10:$AX$16)),0,""))</f>
        <v/>
      </c>
      <c r="AR43" s="369" t="str">
        <f ca="1">IF($B43&lt;&gt;"PRC_RESID","",IF(AR$7=2005+OFFSET(COM_2012!$B$60,$AW43,SUMIF($B$10:$B$16,"NCAP_TLIFE",$AX$10:$AX$16)),0,""))</f>
        <v/>
      </c>
      <c r="AS43" s="369" t="str">
        <f ca="1">IF($B43&lt;&gt;"PRC_RESID","",IF(AS$7=2005+OFFSET(COM_2012!$B$60,$AW43,SUMIF($B$10:$B$16,"NCAP_TLIFE",$AX$10:$AX$16)),0,""))</f>
        <v/>
      </c>
      <c r="AT43" s="369" t="str">
        <f ca="1">IF($B43&lt;&gt;"PRC_RESID","",IF(AT$7=2005+OFFSET(COM_2012!$B$60,$AW43,SUMIF($B$10:$B$16,"NCAP_TLIFE",$AX$10:$AX$16)),0,""))</f>
        <v/>
      </c>
      <c r="AU43" s="369" t="str">
        <f ca="1">IF($B43&lt;&gt;"PRC_RESID","",IF(AU$7=2005+OFFSET(COM_2012!$B$60,$AW43,SUMIF($B$10:$B$16,"NCAP_TLIFE",$AX$10:$AX$16)),0,""))</f>
        <v/>
      </c>
      <c r="AV43" s="304">
        <f>IF(AW42=COM_2012!$AI$121,AV42+1,AV42)</f>
        <v>1</v>
      </c>
      <c r="AW43" s="304">
        <f t="shared" si="5"/>
        <v>16</v>
      </c>
    </row>
    <row r="44" spans="1:49">
      <c r="A44" s="304" t="str">
        <f ca="1">IF(LEFT(OFFSET(COM_2012!$A$60,AW44,0),2)="\I","*","")</f>
        <v/>
      </c>
      <c r="B44" s="369" t="str">
        <f t="shared" ca="1" si="2"/>
        <v>ACT_EFF</v>
      </c>
      <c r="C44" s="369" t="str">
        <f ca="1">IF($A44="*","",OFFSET(COM_2012!$B$60,AW44,0))</f>
        <v>CEKELC-E</v>
      </c>
      <c r="D44" s="369" t="str">
        <f t="shared" ca="1" si="3"/>
        <v>-</v>
      </c>
      <c r="E44" s="369" t="str">
        <f t="shared" ca="1" si="4"/>
        <v>ACTGRP</v>
      </c>
      <c r="F44" s="369" t="str">
        <f t="shared" ca="1" si="4"/>
        <v>-</v>
      </c>
      <c r="G44" s="369" t="str">
        <f t="shared" ca="1" si="4"/>
        <v>ANNUAL</v>
      </c>
      <c r="H44" s="369" t="str">
        <f t="shared" ca="1" si="4"/>
        <v>-</v>
      </c>
      <c r="I44" s="370">
        <f t="shared" ca="1" si="4"/>
        <v>0</v>
      </c>
      <c r="J44" s="391">
        <f ca="1">IF($A44="*","",OFFSET(COM_2012!$B$60,AW44,SUMIF($B$10:$B$16,B44,$AX$10:$AX$16)))</f>
        <v>1</v>
      </c>
      <c r="K44" s="369" t="str">
        <f ca="1">IF($B44&lt;&gt;"PRC_RESID","",IF(K$7=2005+OFFSET(COM_2012!$B$60,$AW44,SUMIF($B$10:$B$16,"NCAP_TLIFE",$AX$10:$AX$16)),0,""))</f>
        <v/>
      </c>
      <c r="L44" s="369" t="str">
        <f ca="1">IF($B44&lt;&gt;"PRC_RESID","",IF(L$7=2005+OFFSET(COM_2012!$B$60,$AW44,SUMIF($B$10:$B$16,"NCAP_TLIFE",$AX$10:$AX$16)),0,""))</f>
        <v/>
      </c>
      <c r="M44" s="369" t="str">
        <f ca="1">IF($B44&lt;&gt;"PRC_RESID","",IF(M$7=2005+OFFSET(COM_2012!$B$60,$AW44,SUMIF($B$10:$B$16,"NCAP_TLIFE",$AX$10:$AX$16)),0,""))</f>
        <v/>
      </c>
      <c r="N44" s="369" t="str">
        <f ca="1">IF($B44&lt;&gt;"PRC_RESID","",IF(N$7=2005+OFFSET(COM_2012!$B$60,$AW44,SUMIF($B$10:$B$16,"NCAP_TLIFE",$AX$10:$AX$16)),0,""))</f>
        <v/>
      </c>
      <c r="O44" s="658" t="str">
        <f ca="1">IF($B44&lt;&gt;"PRC_RESID","",IF(O$7=2005+OFFSET(COM_2012!$B$60,$AW44,SUMIF($B$10:$B$16,"NCAP_TLIFE",$AX$10:$AX$16)),0,""))</f>
        <v/>
      </c>
      <c r="P44" s="369" t="str">
        <f ca="1">IF($B44&lt;&gt;"PRC_RESID","",IF(P$7=2005+OFFSET(COM_2012!$B$60,$AW44,SUMIF($B$10:$B$16,"NCAP_TLIFE",$AX$10:$AX$16)),0,""))</f>
        <v/>
      </c>
      <c r="Q44" s="369" t="str">
        <f ca="1">IF($B44&lt;&gt;"PRC_RESID","",IF(Q$7=2005+OFFSET(COM_2012!$B$60,$AW44,SUMIF($B$10:$B$16,"NCAP_TLIFE",$AX$10:$AX$16)),0,""))</f>
        <v/>
      </c>
      <c r="R44" s="369" t="str">
        <f ca="1">IF($B44&lt;&gt;"PRC_RESID","",IF(R$7=2005+OFFSET(COM_2012!$B$60,$AW44,SUMIF($B$10:$B$16,"NCAP_TLIFE",$AX$10:$AX$16)),0,""))</f>
        <v/>
      </c>
      <c r="S44" s="369" t="str">
        <f ca="1">IF($B44&lt;&gt;"PRC_RESID","",IF(S$7=2005+OFFSET(COM_2012!$B$60,$AW44,SUMIF($B$10:$B$16,"NCAP_TLIFE",$AX$10:$AX$16)),0,""))</f>
        <v/>
      </c>
      <c r="T44" s="369" t="str">
        <f ca="1">IF($B44&lt;&gt;"PRC_RESID","",IF(T$7=2005+OFFSET(COM_2012!$B$60,$AW44,SUMIF($B$10:$B$16,"NCAP_TLIFE",$AX$10:$AX$16)),0,""))</f>
        <v/>
      </c>
      <c r="U44" s="369" t="str">
        <f ca="1">IF($B44&lt;&gt;"PRC_RESID","",IF(U$7=2005+OFFSET(COM_2012!$B$60,$AW44,SUMIF($B$10:$B$16,"NCAP_TLIFE",$AX$10:$AX$16)),0,""))</f>
        <v/>
      </c>
      <c r="V44" s="369" t="str">
        <f ca="1">IF($B44&lt;&gt;"PRC_RESID","",IF(V$7=2005+OFFSET(COM_2012!$B$60,$AW44,SUMIF($B$10:$B$16,"NCAP_TLIFE",$AX$10:$AX$16)),0,""))</f>
        <v/>
      </c>
      <c r="W44" s="369" t="str">
        <f ca="1">IF($B44&lt;&gt;"PRC_RESID","",IF(W$7=2005+OFFSET(COM_2012!$B$60,$AW44,SUMIF($B$10:$B$16,"NCAP_TLIFE",$AX$10:$AX$16)),0,""))</f>
        <v/>
      </c>
      <c r="X44" s="369" t="str">
        <f ca="1">IF($B44&lt;&gt;"PRC_RESID","",IF(X$7=2005+OFFSET(COM_2012!$B$60,$AW44,SUMIF($B$10:$B$16,"NCAP_TLIFE",$AX$10:$AX$16)),0,""))</f>
        <v/>
      </c>
      <c r="Y44" s="369" t="str">
        <f ca="1">IF($B44&lt;&gt;"PRC_RESID","",IF(Y$7=2005+OFFSET(COM_2012!$B$60,$AW44,SUMIF($B$10:$B$16,"NCAP_TLIFE",$AX$10:$AX$16)),0,""))</f>
        <v/>
      </c>
      <c r="Z44" s="369" t="str">
        <f ca="1">IF($B44&lt;&gt;"PRC_RESID","",IF(Z$7=2005+OFFSET(COM_2012!$B$60,$AW44,SUMIF($B$10:$B$16,"NCAP_TLIFE",$AX$10:$AX$16)),0,""))</f>
        <v/>
      </c>
      <c r="AA44" s="369" t="str">
        <f ca="1">IF($B44&lt;&gt;"PRC_RESID","",IF(AA$7=2005+OFFSET(COM_2012!$B$60,$AW44,SUMIF($B$10:$B$16,"NCAP_TLIFE",$AX$10:$AX$16)),0,""))</f>
        <v/>
      </c>
      <c r="AB44" s="369" t="str">
        <f ca="1">IF($B44&lt;&gt;"PRC_RESID","",IF(AB$7=2005+OFFSET(COM_2012!$B$60,$AW44,SUMIF($B$10:$B$16,"NCAP_TLIFE",$AX$10:$AX$16)),0,""))</f>
        <v/>
      </c>
      <c r="AC44" s="369" t="str">
        <f ca="1">IF($B44&lt;&gt;"PRC_RESID","",IF(AC$7=2005+OFFSET(COM_2012!$B$60,$AW44,SUMIF($B$10:$B$16,"NCAP_TLIFE",$AX$10:$AX$16)),0,""))</f>
        <v/>
      </c>
      <c r="AD44" s="369" t="str">
        <f ca="1">IF($B44&lt;&gt;"PRC_RESID","",IF(AD$7=2005+OFFSET(COM_2012!$B$60,$AW44,SUMIF($B$10:$B$16,"NCAP_TLIFE",$AX$10:$AX$16)),0,""))</f>
        <v/>
      </c>
      <c r="AE44" s="369" t="str">
        <f ca="1">IF($B44&lt;&gt;"PRC_RESID","",IF(AE$7=2005+OFFSET(COM_2012!$B$60,$AW44,SUMIF($B$10:$B$16,"NCAP_TLIFE",$AX$10:$AX$16)),0,""))</f>
        <v/>
      </c>
      <c r="AF44" s="369" t="str">
        <f ca="1">IF($B44&lt;&gt;"PRC_RESID","",IF(AF$7=2005+OFFSET(COM_2012!$B$60,$AW44,SUMIF($B$10:$B$16,"NCAP_TLIFE",$AX$10:$AX$16)),0,""))</f>
        <v/>
      </c>
      <c r="AG44" s="369" t="str">
        <f ca="1">IF($B44&lt;&gt;"PRC_RESID","",IF(AG$7=2005+OFFSET(COM_2012!$B$60,$AW44,SUMIF($B$10:$B$16,"NCAP_TLIFE",$AX$10:$AX$16)),0,""))</f>
        <v/>
      </c>
      <c r="AH44" s="369" t="str">
        <f ca="1">IF($B44&lt;&gt;"PRC_RESID","",IF(AH$7=2005+OFFSET(COM_2012!$B$60,$AW44,SUMIF($B$10:$B$16,"NCAP_TLIFE",$AX$10:$AX$16)),0,""))</f>
        <v/>
      </c>
      <c r="AI44" s="369" t="str">
        <f ca="1">IF($B44&lt;&gt;"PRC_RESID","",IF(AI$7=2005+OFFSET(COM_2012!$B$60,$AW44,SUMIF($B$10:$B$16,"NCAP_TLIFE",$AX$10:$AX$16)),0,""))</f>
        <v/>
      </c>
      <c r="AJ44" s="369" t="str">
        <f ca="1">IF($B44&lt;&gt;"PRC_RESID","",IF(AJ$7=2005+OFFSET(COM_2012!$B$60,$AW44,SUMIF($B$10:$B$16,"NCAP_TLIFE",$AX$10:$AX$16)),0,""))</f>
        <v/>
      </c>
      <c r="AK44" s="369" t="str">
        <f ca="1">IF($B44&lt;&gt;"PRC_RESID","",IF(AK$7=2005+OFFSET(COM_2012!$B$60,$AW44,SUMIF($B$10:$B$16,"NCAP_TLIFE",$AX$10:$AX$16)),0,""))</f>
        <v/>
      </c>
      <c r="AL44" s="369" t="str">
        <f ca="1">IF($B44&lt;&gt;"PRC_RESID","",IF(AL$7=2005+OFFSET(COM_2012!$B$60,$AW44,SUMIF($B$10:$B$16,"NCAP_TLIFE",$AX$10:$AX$16)),0,""))</f>
        <v/>
      </c>
      <c r="AM44" s="369" t="str">
        <f ca="1">IF($B44&lt;&gt;"PRC_RESID","",IF(AM$7=2005+OFFSET(COM_2012!$B$60,$AW44,SUMIF($B$10:$B$16,"NCAP_TLIFE",$AX$10:$AX$16)),0,""))</f>
        <v/>
      </c>
      <c r="AN44" s="369" t="str">
        <f ca="1">IF($B44&lt;&gt;"PRC_RESID","",IF(AN$7=2005+OFFSET(COM_2012!$B$60,$AW44,SUMIF($B$10:$B$16,"NCAP_TLIFE",$AX$10:$AX$16)),0,""))</f>
        <v/>
      </c>
      <c r="AO44" s="369" t="str">
        <f ca="1">IF($B44&lt;&gt;"PRC_RESID","",IF(AO$7=2005+OFFSET(COM_2012!$B$60,$AW44,SUMIF($B$10:$B$16,"NCAP_TLIFE",$AX$10:$AX$16)),0,""))</f>
        <v/>
      </c>
      <c r="AP44" s="369" t="str">
        <f ca="1">IF($B44&lt;&gt;"PRC_RESID","",IF(AP$7=2005+OFFSET(COM_2012!$B$60,$AW44,SUMIF($B$10:$B$16,"NCAP_TLIFE",$AX$10:$AX$16)),0,""))</f>
        <v/>
      </c>
      <c r="AQ44" s="369" t="str">
        <f ca="1">IF($B44&lt;&gt;"PRC_RESID","",IF(AQ$7=2005+OFFSET(COM_2012!$B$60,$AW44,SUMIF($B$10:$B$16,"NCAP_TLIFE",$AX$10:$AX$16)),0,""))</f>
        <v/>
      </c>
      <c r="AR44" s="369" t="str">
        <f ca="1">IF($B44&lt;&gt;"PRC_RESID","",IF(AR$7=2005+OFFSET(COM_2012!$B$60,$AW44,SUMIF($B$10:$B$16,"NCAP_TLIFE",$AX$10:$AX$16)),0,""))</f>
        <v/>
      </c>
      <c r="AS44" s="369" t="str">
        <f ca="1">IF($B44&lt;&gt;"PRC_RESID","",IF(AS$7=2005+OFFSET(COM_2012!$B$60,$AW44,SUMIF($B$10:$B$16,"NCAP_TLIFE",$AX$10:$AX$16)),0,""))</f>
        <v/>
      </c>
      <c r="AT44" s="369" t="str">
        <f ca="1">IF($B44&lt;&gt;"PRC_RESID","",IF(AT$7=2005+OFFSET(COM_2012!$B$60,$AW44,SUMIF($B$10:$B$16,"NCAP_TLIFE",$AX$10:$AX$16)),0,""))</f>
        <v/>
      </c>
      <c r="AU44" s="369" t="str">
        <f ca="1">IF($B44&lt;&gt;"PRC_RESID","",IF(AU$7=2005+OFFSET(COM_2012!$B$60,$AW44,SUMIF($B$10:$B$16,"NCAP_TLIFE",$AX$10:$AX$16)),0,""))</f>
        <v/>
      </c>
      <c r="AV44" s="304">
        <f>IF(AW43=COM_2012!$AI$121,AV43+1,AV43)</f>
        <v>1</v>
      </c>
      <c r="AW44" s="304">
        <f t="shared" si="5"/>
        <v>17</v>
      </c>
    </row>
    <row r="45" spans="1:49">
      <c r="A45" s="304" t="str">
        <f ca="1">IF(LEFT(OFFSET(COM_2012!$A$60,AW45,0),2)="\I","*","")</f>
        <v/>
      </c>
      <c r="B45" s="369" t="str">
        <f t="shared" ca="1" si="2"/>
        <v>ACT_EFF</v>
      </c>
      <c r="C45" s="369" t="str">
        <f ca="1">IF($A45="*","",OFFSET(COM_2012!$B$60,AW45,0))</f>
        <v>CEKCOA-E</v>
      </c>
      <c r="D45" s="369" t="str">
        <f t="shared" ca="1" si="3"/>
        <v>-</v>
      </c>
      <c r="E45" s="369" t="str">
        <f t="shared" ca="1" si="3"/>
        <v>ACTGRP</v>
      </c>
      <c r="F45" s="369" t="str">
        <f t="shared" ca="1" si="3"/>
        <v>-</v>
      </c>
      <c r="G45" s="369" t="str">
        <f t="shared" ca="1" si="3"/>
        <v>ANNUAL</v>
      </c>
      <c r="H45" s="369" t="str">
        <f t="shared" ca="1" si="3"/>
        <v>-</v>
      </c>
      <c r="I45" s="370">
        <f t="shared" ca="1" si="3"/>
        <v>0</v>
      </c>
      <c r="J45" s="391">
        <f ca="1">IF($A45="*","",OFFSET(COM_2012!$B$60,AW45,SUMIF($B$10:$B$16,B45,$AX$10:$AX$16)))</f>
        <v>0.75</v>
      </c>
      <c r="K45" s="369" t="str">
        <f ca="1">IF($B45&lt;&gt;"PRC_RESID","",IF(K$7=2005+OFFSET(COM_2012!$B$60,$AW45,SUMIF($B$10:$B$16,"NCAP_TLIFE",$AX$10:$AX$16)),0,""))</f>
        <v/>
      </c>
      <c r="L45" s="369" t="str">
        <f ca="1">IF($B45&lt;&gt;"PRC_RESID","",IF(L$7=2005+OFFSET(COM_2012!$B$60,$AW45,SUMIF($B$10:$B$16,"NCAP_TLIFE",$AX$10:$AX$16)),0,""))</f>
        <v/>
      </c>
      <c r="M45" s="369" t="str">
        <f ca="1">IF($B45&lt;&gt;"PRC_RESID","",IF(M$7=2005+OFFSET(COM_2012!$B$60,$AW45,SUMIF($B$10:$B$16,"NCAP_TLIFE",$AX$10:$AX$16)),0,""))</f>
        <v/>
      </c>
      <c r="N45" s="369" t="str">
        <f ca="1">IF($B45&lt;&gt;"PRC_RESID","",IF(N$7=2005+OFFSET(COM_2012!$B$60,$AW45,SUMIF($B$10:$B$16,"NCAP_TLIFE",$AX$10:$AX$16)),0,""))</f>
        <v/>
      </c>
      <c r="O45" s="658" t="str">
        <f ca="1">IF($B45&lt;&gt;"PRC_RESID","",IF(O$7=2005+OFFSET(COM_2012!$B$60,$AW45,SUMIF($B$10:$B$16,"NCAP_TLIFE",$AX$10:$AX$16)),0,""))</f>
        <v/>
      </c>
      <c r="P45" s="369" t="str">
        <f ca="1">IF($B45&lt;&gt;"PRC_RESID","",IF(P$7=2005+OFFSET(COM_2012!$B$60,$AW45,SUMIF($B$10:$B$16,"NCAP_TLIFE",$AX$10:$AX$16)),0,""))</f>
        <v/>
      </c>
      <c r="Q45" s="369" t="str">
        <f ca="1">IF($B45&lt;&gt;"PRC_RESID","",IF(Q$7=2005+OFFSET(COM_2012!$B$60,$AW45,SUMIF($B$10:$B$16,"NCAP_TLIFE",$AX$10:$AX$16)),0,""))</f>
        <v/>
      </c>
      <c r="R45" s="369" t="str">
        <f ca="1">IF($B45&lt;&gt;"PRC_RESID","",IF(R$7=2005+OFFSET(COM_2012!$B$60,$AW45,SUMIF($B$10:$B$16,"NCAP_TLIFE",$AX$10:$AX$16)),0,""))</f>
        <v/>
      </c>
      <c r="S45" s="369" t="str">
        <f ca="1">IF($B45&lt;&gt;"PRC_RESID","",IF(S$7=2005+OFFSET(COM_2012!$B$60,$AW45,SUMIF($B$10:$B$16,"NCAP_TLIFE",$AX$10:$AX$16)),0,""))</f>
        <v/>
      </c>
      <c r="T45" s="369" t="str">
        <f ca="1">IF($B45&lt;&gt;"PRC_RESID","",IF(T$7=2005+OFFSET(COM_2012!$B$60,$AW45,SUMIF($B$10:$B$16,"NCAP_TLIFE",$AX$10:$AX$16)),0,""))</f>
        <v/>
      </c>
      <c r="U45" s="369" t="str">
        <f ca="1">IF($B45&lt;&gt;"PRC_RESID","",IF(U$7=2005+OFFSET(COM_2012!$B$60,$AW45,SUMIF($B$10:$B$16,"NCAP_TLIFE",$AX$10:$AX$16)),0,""))</f>
        <v/>
      </c>
      <c r="V45" s="369" t="str">
        <f ca="1">IF($B45&lt;&gt;"PRC_RESID","",IF(V$7=2005+OFFSET(COM_2012!$B$60,$AW45,SUMIF($B$10:$B$16,"NCAP_TLIFE",$AX$10:$AX$16)),0,""))</f>
        <v/>
      </c>
      <c r="W45" s="369" t="str">
        <f ca="1">IF($B45&lt;&gt;"PRC_RESID","",IF(W$7=2005+OFFSET(COM_2012!$B$60,$AW45,SUMIF($B$10:$B$16,"NCAP_TLIFE",$AX$10:$AX$16)),0,""))</f>
        <v/>
      </c>
      <c r="X45" s="369" t="str">
        <f ca="1">IF($B45&lt;&gt;"PRC_RESID","",IF(X$7=2005+OFFSET(COM_2012!$B$60,$AW45,SUMIF($B$10:$B$16,"NCAP_TLIFE",$AX$10:$AX$16)),0,""))</f>
        <v/>
      </c>
      <c r="Y45" s="369" t="str">
        <f ca="1">IF($B45&lt;&gt;"PRC_RESID","",IF(Y$7=2005+OFFSET(COM_2012!$B$60,$AW45,SUMIF($B$10:$B$16,"NCAP_TLIFE",$AX$10:$AX$16)),0,""))</f>
        <v/>
      </c>
      <c r="Z45" s="369" t="str">
        <f ca="1">IF($B45&lt;&gt;"PRC_RESID","",IF(Z$7=2005+OFFSET(COM_2012!$B$60,$AW45,SUMIF($B$10:$B$16,"NCAP_TLIFE",$AX$10:$AX$16)),0,""))</f>
        <v/>
      </c>
      <c r="AA45" s="369" t="str">
        <f ca="1">IF($B45&lt;&gt;"PRC_RESID","",IF(AA$7=2005+OFFSET(COM_2012!$B$60,$AW45,SUMIF($B$10:$B$16,"NCAP_TLIFE",$AX$10:$AX$16)),0,""))</f>
        <v/>
      </c>
      <c r="AB45" s="369" t="str">
        <f ca="1">IF($B45&lt;&gt;"PRC_RESID","",IF(AB$7=2005+OFFSET(COM_2012!$B$60,$AW45,SUMIF($B$10:$B$16,"NCAP_TLIFE",$AX$10:$AX$16)),0,""))</f>
        <v/>
      </c>
      <c r="AC45" s="369" t="str">
        <f ca="1">IF($B45&lt;&gt;"PRC_RESID","",IF(AC$7=2005+OFFSET(COM_2012!$B$60,$AW45,SUMIF($B$10:$B$16,"NCAP_TLIFE",$AX$10:$AX$16)),0,""))</f>
        <v/>
      </c>
      <c r="AD45" s="369" t="str">
        <f ca="1">IF($B45&lt;&gt;"PRC_RESID","",IF(AD$7=2005+OFFSET(COM_2012!$B$60,$AW45,SUMIF($B$10:$B$16,"NCAP_TLIFE",$AX$10:$AX$16)),0,""))</f>
        <v/>
      </c>
      <c r="AE45" s="369" t="str">
        <f ca="1">IF($B45&lt;&gt;"PRC_RESID","",IF(AE$7=2005+OFFSET(COM_2012!$B$60,$AW45,SUMIF($B$10:$B$16,"NCAP_TLIFE",$AX$10:$AX$16)),0,""))</f>
        <v/>
      </c>
      <c r="AF45" s="369" t="str">
        <f ca="1">IF($B45&lt;&gt;"PRC_RESID","",IF(AF$7=2005+OFFSET(COM_2012!$B$60,$AW45,SUMIF($B$10:$B$16,"NCAP_TLIFE",$AX$10:$AX$16)),0,""))</f>
        <v/>
      </c>
      <c r="AG45" s="369" t="str">
        <f ca="1">IF($B45&lt;&gt;"PRC_RESID","",IF(AG$7=2005+OFFSET(COM_2012!$B$60,$AW45,SUMIF($B$10:$B$16,"NCAP_TLIFE",$AX$10:$AX$16)),0,""))</f>
        <v/>
      </c>
      <c r="AH45" s="369" t="str">
        <f ca="1">IF($B45&lt;&gt;"PRC_RESID","",IF(AH$7=2005+OFFSET(COM_2012!$B$60,$AW45,SUMIF($B$10:$B$16,"NCAP_TLIFE",$AX$10:$AX$16)),0,""))</f>
        <v/>
      </c>
      <c r="AI45" s="369" t="str">
        <f ca="1">IF($B45&lt;&gt;"PRC_RESID","",IF(AI$7=2005+OFFSET(COM_2012!$B$60,$AW45,SUMIF($B$10:$B$16,"NCAP_TLIFE",$AX$10:$AX$16)),0,""))</f>
        <v/>
      </c>
      <c r="AJ45" s="369" t="str">
        <f ca="1">IF($B45&lt;&gt;"PRC_RESID","",IF(AJ$7=2005+OFFSET(COM_2012!$B$60,$AW45,SUMIF($B$10:$B$16,"NCAP_TLIFE",$AX$10:$AX$16)),0,""))</f>
        <v/>
      </c>
      <c r="AK45" s="369" t="str">
        <f ca="1">IF($B45&lt;&gt;"PRC_RESID","",IF(AK$7=2005+OFFSET(COM_2012!$B$60,$AW45,SUMIF($B$10:$B$16,"NCAP_TLIFE",$AX$10:$AX$16)),0,""))</f>
        <v/>
      </c>
      <c r="AL45" s="369" t="str">
        <f ca="1">IF($B45&lt;&gt;"PRC_RESID","",IF(AL$7=2005+OFFSET(COM_2012!$B$60,$AW45,SUMIF($B$10:$B$16,"NCAP_TLIFE",$AX$10:$AX$16)),0,""))</f>
        <v/>
      </c>
      <c r="AM45" s="369" t="str">
        <f ca="1">IF($B45&lt;&gt;"PRC_RESID","",IF(AM$7=2005+OFFSET(COM_2012!$B$60,$AW45,SUMIF($B$10:$B$16,"NCAP_TLIFE",$AX$10:$AX$16)),0,""))</f>
        <v/>
      </c>
      <c r="AN45" s="369" t="str">
        <f ca="1">IF($B45&lt;&gt;"PRC_RESID","",IF(AN$7=2005+OFFSET(COM_2012!$B$60,$AW45,SUMIF($B$10:$B$16,"NCAP_TLIFE",$AX$10:$AX$16)),0,""))</f>
        <v/>
      </c>
      <c r="AO45" s="369" t="str">
        <f ca="1">IF($B45&lt;&gt;"PRC_RESID","",IF(AO$7=2005+OFFSET(COM_2012!$B$60,$AW45,SUMIF($B$10:$B$16,"NCAP_TLIFE",$AX$10:$AX$16)),0,""))</f>
        <v/>
      </c>
      <c r="AP45" s="369" t="str">
        <f ca="1">IF($B45&lt;&gt;"PRC_RESID","",IF(AP$7=2005+OFFSET(COM_2012!$B$60,$AW45,SUMIF($B$10:$B$16,"NCAP_TLIFE",$AX$10:$AX$16)),0,""))</f>
        <v/>
      </c>
      <c r="AQ45" s="369" t="str">
        <f ca="1">IF($B45&lt;&gt;"PRC_RESID","",IF(AQ$7=2005+OFFSET(COM_2012!$B$60,$AW45,SUMIF($B$10:$B$16,"NCAP_TLIFE",$AX$10:$AX$16)),0,""))</f>
        <v/>
      </c>
      <c r="AR45" s="369" t="str">
        <f ca="1">IF($B45&lt;&gt;"PRC_RESID","",IF(AR$7=2005+OFFSET(COM_2012!$B$60,$AW45,SUMIF($B$10:$B$16,"NCAP_TLIFE",$AX$10:$AX$16)),0,""))</f>
        <v/>
      </c>
      <c r="AS45" s="369" t="str">
        <f ca="1">IF($B45&lt;&gt;"PRC_RESID","",IF(AS$7=2005+OFFSET(COM_2012!$B$60,$AW45,SUMIF($B$10:$B$16,"NCAP_TLIFE",$AX$10:$AX$16)),0,""))</f>
        <v/>
      </c>
      <c r="AT45" s="369" t="str">
        <f ca="1">IF($B45&lt;&gt;"PRC_RESID","",IF(AT$7=2005+OFFSET(COM_2012!$B$60,$AW45,SUMIF($B$10:$B$16,"NCAP_TLIFE",$AX$10:$AX$16)),0,""))</f>
        <v/>
      </c>
      <c r="AU45" s="369" t="str">
        <f ca="1">IF($B45&lt;&gt;"PRC_RESID","",IF(AU$7=2005+OFFSET(COM_2012!$B$60,$AW45,SUMIF($B$10:$B$16,"NCAP_TLIFE",$AX$10:$AX$16)),0,""))</f>
        <v/>
      </c>
      <c r="AV45" s="304">
        <f>IF(AW44=COM_2012!$AI$121,AV44+1,AV44)</f>
        <v>1</v>
      </c>
      <c r="AW45" s="304">
        <f t="shared" si="5"/>
        <v>18</v>
      </c>
    </row>
    <row r="46" spans="1:49">
      <c r="A46" s="304" t="str">
        <f ca="1">IF(LEFT(OFFSET(COM_2012!$A$60,AW46,0),2)="\I","*","")</f>
        <v>*</v>
      </c>
      <c r="B46" s="369" t="str">
        <f t="shared" ca="1" si="2"/>
        <v/>
      </c>
      <c r="C46" s="369" t="str">
        <f ca="1">IF($A46="*","",OFFSET(COM_2012!$B$60,AW46,0))</f>
        <v/>
      </c>
      <c r="D46" s="369" t="str">
        <f t="shared" ca="1" si="3"/>
        <v/>
      </c>
      <c r="E46" s="369" t="str">
        <f t="shared" ca="1" si="4"/>
        <v/>
      </c>
      <c r="F46" s="369" t="str">
        <f t="shared" ca="1" si="4"/>
        <v/>
      </c>
      <c r="G46" s="369" t="str">
        <f t="shared" ca="1" si="4"/>
        <v/>
      </c>
      <c r="H46" s="369" t="str">
        <f t="shared" ca="1" si="4"/>
        <v/>
      </c>
      <c r="I46" s="370" t="str">
        <f t="shared" ca="1" si="4"/>
        <v/>
      </c>
      <c r="J46" s="391" t="str">
        <f ca="1">IF($A46="*","",OFFSET(COM_2012!$B$60,AW46,SUMIF($B$10:$B$16,B46,$AX$10:$AX$16)))</f>
        <v/>
      </c>
      <c r="K46" s="369" t="str">
        <f ca="1">IF($B46&lt;&gt;"PRC_RESID","",IF(K$7=2005+OFFSET(COM_2012!$B$60,$AW46,SUMIF($B$10:$B$16,"NCAP_TLIFE",$AX$10:$AX$16)),0,""))</f>
        <v/>
      </c>
      <c r="L46" s="369" t="str">
        <f ca="1">IF($B46&lt;&gt;"PRC_RESID","",IF(L$7=2005+OFFSET(COM_2012!$B$60,$AW46,SUMIF($B$10:$B$16,"NCAP_TLIFE",$AX$10:$AX$16)),0,""))</f>
        <v/>
      </c>
      <c r="M46" s="369" t="str">
        <f ca="1">IF($B46&lt;&gt;"PRC_RESID","",IF(M$7=2005+OFFSET(COM_2012!$B$60,$AW46,SUMIF($B$10:$B$16,"NCAP_TLIFE",$AX$10:$AX$16)),0,""))</f>
        <v/>
      </c>
      <c r="N46" s="369" t="str">
        <f ca="1">IF($B46&lt;&gt;"PRC_RESID","",IF(N$7=2005+OFFSET(COM_2012!$B$60,$AW46,SUMIF($B$10:$B$16,"NCAP_TLIFE",$AX$10:$AX$16)),0,""))</f>
        <v/>
      </c>
      <c r="O46" s="658" t="str">
        <f ca="1">IF($B46&lt;&gt;"PRC_RESID","",IF(O$7=2005+OFFSET(COM_2012!$B$60,$AW46,SUMIF($B$10:$B$16,"NCAP_TLIFE",$AX$10:$AX$16)),0,""))</f>
        <v/>
      </c>
      <c r="P46" s="369" t="str">
        <f ca="1">IF($B46&lt;&gt;"PRC_RESID","",IF(P$7=2005+OFFSET(COM_2012!$B$60,$AW46,SUMIF($B$10:$B$16,"NCAP_TLIFE",$AX$10:$AX$16)),0,""))</f>
        <v/>
      </c>
      <c r="Q46" s="369" t="str">
        <f ca="1">IF($B46&lt;&gt;"PRC_RESID","",IF(Q$7=2005+OFFSET(COM_2012!$B$60,$AW46,SUMIF($B$10:$B$16,"NCAP_TLIFE",$AX$10:$AX$16)),0,""))</f>
        <v/>
      </c>
      <c r="R46" s="369" t="str">
        <f ca="1">IF($B46&lt;&gt;"PRC_RESID","",IF(R$7=2005+OFFSET(COM_2012!$B$60,$AW46,SUMIF($B$10:$B$16,"NCAP_TLIFE",$AX$10:$AX$16)),0,""))</f>
        <v/>
      </c>
      <c r="S46" s="369" t="str">
        <f ca="1">IF($B46&lt;&gt;"PRC_RESID","",IF(S$7=2005+OFFSET(COM_2012!$B$60,$AW46,SUMIF($B$10:$B$16,"NCAP_TLIFE",$AX$10:$AX$16)),0,""))</f>
        <v/>
      </c>
      <c r="T46" s="369" t="str">
        <f ca="1">IF($B46&lt;&gt;"PRC_RESID","",IF(T$7=2005+OFFSET(COM_2012!$B$60,$AW46,SUMIF($B$10:$B$16,"NCAP_TLIFE",$AX$10:$AX$16)),0,""))</f>
        <v/>
      </c>
      <c r="U46" s="369" t="str">
        <f ca="1">IF($B46&lt;&gt;"PRC_RESID","",IF(U$7=2005+OFFSET(COM_2012!$B$60,$AW46,SUMIF($B$10:$B$16,"NCAP_TLIFE",$AX$10:$AX$16)),0,""))</f>
        <v/>
      </c>
      <c r="V46" s="369" t="str">
        <f ca="1">IF($B46&lt;&gt;"PRC_RESID","",IF(V$7=2005+OFFSET(COM_2012!$B$60,$AW46,SUMIF($B$10:$B$16,"NCAP_TLIFE",$AX$10:$AX$16)),0,""))</f>
        <v/>
      </c>
      <c r="W46" s="369" t="str">
        <f ca="1">IF($B46&lt;&gt;"PRC_RESID","",IF(W$7=2005+OFFSET(COM_2012!$B$60,$AW46,SUMIF($B$10:$B$16,"NCAP_TLIFE",$AX$10:$AX$16)),0,""))</f>
        <v/>
      </c>
      <c r="X46" s="369" t="str">
        <f ca="1">IF($B46&lt;&gt;"PRC_RESID","",IF(X$7=2005+OFFSET(COM_2012!$B$60,$AW46,SUMIF($B$10:$B$16,"NCAP_TLIFE",$AX$10:$AX$16)),0,""))</f>
        <v/>
      </c>
      <c r="Y46" s="369" t="str">
        <f ca="1">IF($B46&lt;&gt;"PRC_RESID","",IF(Y$7=2005+OFFSET(COM_2012!$B$60,$AW46,SUMIF($B$10:$B$16,"NCAP_TLIFE",$AX$10:$AX$16)),0,""))</f>
        <v/>
      </c>
      <c r="Z46" s="369" t="str">
        <f ca="1">IF($B46&lt;&gt;"PRC_RESID","",IF(Z$7=2005+OFFSET(COM_2012!$B$60,$AW46,SUMIF($B$10:$B$16,"NCAP_TLIFE",$AX$10:$AX$16)),0,""))</f>
        <v/>
      </c>
      <c r="AA46" s="369" t="str">
        <f ca="1">IF($B46&lt;&gt;"PRC_RESID","",IF(AA$7=2005+OFFSET(COM_2012!$B$60,$AW46,SUMIF($B$10:$B$16,"NCAP_TLIFE",$AX$10:$AX$16)),0,""))</f>
        <v/>
      </c>
      <c r="AB46" s="369" t="str">
        <f ca="1">IF($B46&lt;&gt;"PRC_RESID","",IF(AB$7=2005+OFFSET(COM_2012!$B$60,$AW46,SUMIF($B$10:$B$16,"NCAP_TLIFE",$AX$10:$AX$16)),0,""))</f>
        <v/>
      </c>
      <c r="AC46" s="369" t="str">
        <f ca="1">IF($B46&lt;&gt;"PRC_RESID","",IF(AC$7=2005+OFFSET(COM_2012!$B$60,$AW46,SUMIF($B$10:$B$16,"NCAP_TLIFE",$AX$10:$AX$16)),0,""))</f>
        <v/>
      </c>
      <c r="AD46" s="369" t="str">
        <f ca="1">IF($B46&lt;&gt;"PRC_RESID","",IF(AD$7=2005+OFFSET(COM_2012!$B$60,$AW46,SUMIF($B$10:$B$16,"NCAP_TLIFE",$AX$10:$AX$16)),0,""))</f>
        <v/>
      </c>
      <c r="AE46" s="369" t="str">
        <f ca="1">IF($B46&lt;&gt;"PRC_RESID","",IF(AE$7=2005+OFFSET(COM_2012!$B$60,$AW46,SUMIF($B$10:$B$16,"NCAP_TLIFE",$AX$10:$AX$16)),0,""))</f>
        <v/>
      </c>
      <c r="AF46" s="369" t="str">
        <f ca="1">IF($B46&lt;&gt;"PRC_RESID","",IF(AF$7=2005+OFFSET(COM_2012!$B$60,$AW46,SUMIF($B$10:$B$16,"NCAP_TLIFE",$AX$10:$AX$16)),0,""))</f>
        <v/>
      </c>
      <c r="AG46" s="369" t="str">
        <f ca="1">IF($B46&lt;&gt;"PRC_RESID","",IF(AG$7=2005+OFFSET(COM_2012!$B$60,$AW46,SUMIF($B$10:$B$16,"NCAP_TLIFE",$AX$10:$AX$16)),0,""))</f>
        <v/>
      </c>
      <c r="AH46" s="369" t="str">
        <f ca="1">IF($B46&lt;&gt;"PRC_RESID","",IF(AH$7=2005+OFFSET(COM_2012!$B$60,$AW46,SUMIF($B$10:$B$16,"NCAP_TLIFE",$AX$10:$AX$16)),0,""))</f>
        <v/>
      </c>
      <c r="AI46" s="369" t="str">
        <f ca="1">IF($B46&lt;&gt;"PRC_RESID","",IF(AI$7=2005+OFFSET(COM_2012!$B$60,$AW46,SUMIF($B$10:$B$16,"NCAP_TLIFE",$AX$10:$AX$16)),0,""))</f>
        <v/>
      </c>
      <c r="AJ46" s="369" t="str">
        <f ca="1">IF($B46&lt;&gt;"PRC_RESID","",IF(AJ$7=2005+OFFSET(COM_2012!$B$60,$AW46,SUMIF($B$10:$B$16,"NCAP_TLIFE",$AX$10:$AX$16)),0,""))</f>
        <v/>
      </c>
      <c r="AK46" s="369" t="str">
        <f ca="1">IF($B46&lt;&gt;"PRC_RESID","",IF(AK$7=2005+OFFSET(COM_2012!$B$60,$AW46,SUMIF($B$10:$B$16,"NCAP_TLIFE",$AX$10:$AX$16)),0,""))</f>
        <v/>
      </c>
      <c r="AL46" s="369" t="str">
        <f ca="1">IF($B46&lt;&gt;"PRC_RESID","",IF(AL$7=2005+OFFSET(COM_2012!$B$60,$AW46,SUMIF($B$10:$B$16,"NCAP_TLIFE",$AX$10:$AX$16)),0,""))</f>
        <v/>
      </c>
      <c r="AM46" s="369" t="str">
        <f ca="1">IF($B46&lt;&gt;"PRC_RESID","",IF(AM$7=2005+OFFSET(COM_2012!$B$60,$AW46,SUMIF($B$10:$B$16,"NCAP_TLIFE",$AX$10:$AX$16)),0,""))</f>
        <v/>
      </c>
      <c r="AN46" s="369" t="str">
        <f ca="1">IF($B46&lt;&gt;"PRC_RESID","",IF(AN$7=2005+OFFSET(COM_2012!$B$60,$AW46,SUMIF($B$10:$B$16,"NCAP_TLIFE",$AX$10:$AX$16)),0,""))</f>
        <v/>
      </c>
      <c r="AO46" s="369" t="str">
        <f ca="1">IF($B46&lt;&gt;"PRC_RESID","",IF(AO$7=2005+OFFSET(COM_2012!$B$60,$AW46,SUMIF($B$10:$B$16,"NCAP_TLIFE",$AX$10:$AX$16)),0,""))</f>
        <v/>
      </c>
      <c r="AP46" s="369" t="str">
        <f ca="1">IF($B46&lt;&gt;"PRC_RESID","",IF(AP$7=2005+OFFSET(COM_2012!$B$60,$AW46,SUMIF($B$10:$B$16,"NCAP_TLIFE",$AX$10:$AX$16)),0,""))</f>
        <v/>
      </c>
      <c r="AQ46" s="369" t="str">
        <f ca="1">IF($B46&lt;&gt;"PRC_RESID","",IF(AQ$7=2005+OFFSET(COM_2012!$B$60,$AW46,SUMIF($B$10:$B$16,"NCAP_TLIFE",$AX$10:$AX$16)),0,""))</f>
        <v/>
      </c>
      <c r="AR46" s="369" t="str">
        <f ca="1">IF($B46&lt;&gt;"PRC_RESID","",IF(AR$7=2005+OFFSET(COM_2012!$B$60,$AW46,SUMIF($B$10:$B$16,"NCAP_TLIFE",$AX$10:$AX$16)),0,""))</f>
        <v/>
      </c>
      <c r="AS46" s="369" t="str">
        <f ca="1">IF($B46&lt;&gt;"PRC_RESID","",IF(AS$7=2005+OFFSET(COM_2012!$B$60,$AW46,SUMIF($B$10:$B$16,"NCAP_TLIFE",$AX$10:$AX$16)),0,""))</f>
        <v/>
      </c>
      <c r="AT46" s="369" t="str">
        <f ca="1">IF($B46&lt;&gt;"PRC_RESID","",IF(AT$7=2005+OFFSET(COM_2012!$B$60,$AW46,SUMIF($B$10:$B$16,"NCAP_TLIFE",$AX$10:$AX$16)),0,""))</f>
        <v/>
      </c>
      <c r="AU46" s="369" t="str">
        <f ca="1">IF($B46&lt;&gt;"PRC_RESID","",IF(AU$7=2005+OFFSET(COM_2012!$B$60,$AW46,SUMIF($B$10:$B$16,"NCAP_TLIFE",$AX$10:$AX$16)),0,""))</f>
        <v/>
      </c>
      <c r="AV46" s="304">
        <f>IF(AW45=COM_2012!$AI$121,AV45+1,AV45)</f>
        <v>1</v>
      </c>
      <c r="AW46" s="304">
        <f t="shared" si="5"/>
        <v>19</v>
      </c>
    </row>
    <row r="47" spans="1:49">
      <c r="A47" s="304" t="str">
        <f ca="1">IF(LEFT(OFFSET(COM_2012!$A$60,AW47,0),2)="\I","*","")</f>
        <v>*</v>
      </c>
      <c r="B47" s="369" t="str">
        <f t="shared" ca="1" si="2"/>
        <v/>
      </c>
      <c r="C47" s="369" t="str">
        <f ca="1">IF($A47="*","",OFFSET(COM_2012!$B$60,AW47,0))</f>
        <v/>
      </c>
      <c r="D47" s="369" t="str">
        <f t="shared" ref="D47:I62" ca="1" si="6">IF($A47="*","",VLOOKUP($B47,$B$10:$I$16,D$9,FALSE))</f>
        <v/>
      </c>
      <c r="E47" s="369" t="str">
        <f t="shared" ca="1" si="6"/>
        <v/>
      </c>
      <c r="F47" s="369" t="str">
        <f t="shared" ca="1" si="6"/>
        <v/>
      </c>
      <c r="G47" s="369" t="str">
        <f t="shared" ca="1" si="6"/>
        <v/>
      </c>
      <c r="H47" s="369" t="str">
        <f t="shared" ca="1" si="6"/>
        <v/>
      </c>
      <c r="I47" s="370" t="str">
        <f t="shared" ca="1" si="6"/>
        <v/>
      </c>
      <c r="J47" s="391" t="str">
        <f ca="1">IF($A47="*","",OFFSET(COM_2012!$B$60,AW47,SUMIF($B$10:$B$16,B47,$AX$10:$AX$16)))</f>
        <v/>
      </c>
      <c r="K47" s="369" t="str">
        <f ca="1">IF($B47&lt;&gt;"PRC_RESID","",IF(K$7=2005+OFFSET(COM_2012!$B$60,$AW47,SUMIF($B$10:$B$16,"NCAP_TLIFE",$AX$10:$AX$16)),0,""))</f>
        <v/>
      </c>
      <c r="L47" s="369" t="str">
        <f ca="1">IF($B47&lt;&gt;"PRC_RESID","",IF(L$7=2005+OFFSET(COM_2012!$B$60,$AW47,SUMIF($B$10:$B$16,"NCAP_TLIFE",$AX$10:$AX$16)),0,""))</f>
        <v/>
      </c>
      <c r="M47" s="369" t="str">
        <f ca="1">IF($B47&lt;&gt;"PRC_RESID","",IF(M$7=2005+OFFSET(COM_2012!$B$60,$AW47,SUMIF($B$10:$B$16,"NCAP_TLIFE",$AX$10:$AX$16)),0,""))</f>
        <v/>
      </c>
      <c r="N47" s="369" t="str">
        <f ca="1">IF($B47&lt;&gt;"PRC_RESID","",IF(N$7=2005+OFFSET(COM_2012!$B$60,$AW47,SUMIF($B$10:$B$16,"NCAP_TLIFE",$AX$10:$AX$16)),0,""))</f>
        <v/>
      </c>
      <c r="O47" s="658" t="str">
        <f ca="1">IF($B47&lt;&gt;"PRC_RESID","",IF(O$7=2005+OFFSET(COM_2012!$B$60,$AW47,SUMIF($B$10:$B$16,"NCAP_TLIFE",$AX$10:$AX$16)),0,""))</f>
        <v/>
      </c>
      <c r="P47" s="369" t="str">
        <f ca="1">IF($B47&lt;&gt;"PRC_RESID","",IF(P$7=2005+OFFSET(COM_2012!$B$60,$AW47,SUMIF($B$10:$B$16,"NCAP_TLIFE",$AX$10:$AX$16)),0,""))</f>
        <v/>
      </c>
      <c r="Q47" s="369" t="str">
        <f ca="1">IF($B47&lt;&gt;"PRC_RESID","",IF(Q$7=2005+OFFSET(COM_2012!$B$60,$AW47,SUMIF($B$10:$B$16,"NCAP_TLIFE",$AX$10:$AX$16)),0,""))</f>
        <v/>
      </c>
      <c r="R47" s="369" t="str">
        <f ca="1">IF($B47&lt;&gt;"PRC_RESID","",IF(R$7=2005+OFFSET(COM_2012!$B$60,$AW47,SUMIF($B$10:$B$16,"NCAP_TLIFE",$AX$10:$AX$16)),0,""))</f>
        <v/>
      </c>
      <c r="S47" s="369" t="str">
        <f ca="1">IF($B47&lt;&gt;"PRC_RESID","",IF(S$7=2005+OFFSET(COM_2012!$B$60,$AW47,SUMIF($B$10:$B$16,"NCAP_TLIFE",$AX$10:$AX$16)),0,""))</f>
        <v/>
      </c>
      <c r="T47" s="369" t="str">
        <f ca="1">IF($B47&lt;&gt;"PRC_RESID","",IF(T$7=2005+OFFSET(COM_2012!$B$60,$AW47,SUMIF($B$10:$B$16,"NCAP_TLIFE",$AX$10:$AX$16)),0,""))</f>
        <v/>
      </c>
      <c r="U47" s="369" t="str">
        <f ca="1">IF($B47&lt;&gt;"PRC_RESID","",IF(U$7=2005+OFFSET(COM_2012!$B$60,$AW47,SUMIF($B$10:$B$16,"NCAP_TLIFE",$AX$10:$AX$16)),0,""))</f>
        <v/>
      </c>
      <c r="V47" s="369" t="str">
        <f ca="1">IF($B47&lt;&gt;"PRC_RESID","",IF(V$7=2005+OFFSET(COM_2012!$B$60,$AW47,SUMIF($B$10:$B$16,"NCAP_TLIFE",$AX$10:$AX$16)),0,""))</f>
        <v/>
      </c>
      <c r="W47" s="369" t="str">
        <f ca="1">IF($B47&lt;&gt;"PRC_RESID","",IF(W$7=2005+OFFSET(COM_2012!$B$60,$AW47,SUMIF($B$10:$B$16,"NCAP_TLIFE",$AX$10:$AX$16)),0,""))</f>
        <v/>
      </c>
      <c r="X47" s="369" t="str">
        <f ca="1">IF($B47&lt;&gt;"PRC_RESID","",IF(X$7=2005+OFFSET(COM_2012!$B$60,$AW47,SUMIF($B$10:$B$16,"NCAP_TLIFE",$AX$10:$AX$16)),0,""))</f>
        <v/>
      </c>
      <c r="Y47" s="369" t="str">
        <f ca="1">IF($B47&lt;&gt;"PRC_RESID","",IF(Y$7=2005+OFFSET(COM_2012!$B$60,$AW47,SUMIF($B$10:$B$16,"NCAP_TLIFE",$AX$10:$AX$16)),0,""))</f>
        <v/>
      </c>
      <c r="Z47" s="369" t="str">
        <f ca="1">IF($B47&lt;&gt;"PRC_RESID","",IF(Z$7=2005+OFFSET(COM_2012!$B$60,$AW47,SUMIF($B$10:$B$16,"NCAP_TLIFE",$AX$10:$AX$16)),0,""))</f>
        <v/>
      </c>
      <c r="AA47" s="369" t="str">
        <f ca="1">IF($B47&lt;&gt;"PRC_RESID","",IF(AA$7=2005+OFFSET(COM_2012!$B$60,$AW47,SUMIF($B$10:$B$16,"NCAP_TLIFE",$AX$10:$AX$16)),0,""))</f>
        <v/>
      </c>
      <c r="AB47" s="369" t="str">
        <f ca="1">IF($B47&lt;&gt;"PRC_RESID","",IF(AB$7=2005+OFFSET(COM_2012!$B$60,$AW47,SUMIF($B$10:$B$16,"NCAP_TLIFE",$AX$10:$AX$16)),0,""))</f>
        <v/>
      </c>
      <c r="AC47" s="369" t="str">
        <f ca="1">IF($B47&lt;&gt;"PRC_RESID","",IF(AC$7=2005+OFFSET(COM_2012!$B$60,$AW47,SUMIF($B$10:$B$16,"NCAP_TLIFE",$AX$10:$AX$16)),0,""))</f>
        <v/>
      </c>
      <c r="AD47" s="369" t="str">
        <f ca="1">IF($B47&lt;&gt;"PRC_RESID","",IF(AD$7=2005+OFFSET(COM_2012!$B$60,$AW47,SUMIF($B$10:$B$16,"NCAP_TLIFE",$AX$10:$AX$16)),0,""))</f>
        <v/>
      </c>
      <c r="AE47" s="369" t="str">
        <f ca="1">IF($B47&lt;&gt;"PRC_RESID","",IF(AE$7=2005+OFFSET(COM_2012!$B$60,$AW47,SUMIF($B$10:$B$16,"NCAP_TLIFE",$AX$10:$AX$16)),0,""))</f>
        <v/>
      </c>
      <c r="AF47" s="369" t="str">
        <f ca="1">IF($B47&lt;&gt;"PRC_RESID","",IF(AF$7=2005+OFFSET(COM_2012!$B$60,$AW47,SUMIF($B$10:$B$16,"NCAP_TLIFE",$AX$10:$AX$16)),0,""))</f>
        <v/>
      </c>
      <c r="AG47" s="369" t="str">
        <f ca="1">IF($B47&lt;&gt;"PRC_RESID","",IF(AG$7=2005+OFFSET(COM_2012!$B$60,$AW47,SUMIF($B$10:$B$16,"NCAP_TLIFE",$AX$10:$AX$16)),0,""))</f>
        <v/>
      </c>
      <c r="AH47" s="369" t="str">
        <f ca="1">IF($B47&lt;&gt;"PRC_RESID","",IF(AH$7=2005+OFFSET(COM_2012!$B$60,$AW47,SUMIF($B$10:$B$16,"NCAP_TLIFE",$AX$10:$AX$16)),0,""))</f>
        <v/>
      </c>
      <c r="AI47" s="369" t="str">
        <f ca="1">IF($B47&lt;&gt;"PRC_RESID","",IF(AI$7=2005+OFFSET(COM_2012!$B$60,$AW47,SUMIF($B$10:$B$16,"NCAP_TLIFE",$AX$10:$AX$16)),0,""))</f>
        <v/>
      </c>
      <c r="AJ47" s="369" t="str">
        <f ca="1">IF($B47&lt;&gt;"PRC_RESID","",IF(AJ$7=2005+OFFSET(COM_2012!$B$60,$AW47,SUMIF($B$10:$B$16,"NCAP_TLIFE",$AX$10:$AX$16)),0,""))</f>
        <v/>
      </c>
      <c r="AK47" s="369" t="str">
        <f ca="1">IF($B47&lt;&gt;"PRC_RESID","",IF(AK$7=2005+OFFSET(COM_2012!$B$60,$AW47,SUMIF($B$10:$B$16,"NCAP_TLIFE",$AX$10:$AX$16)),0,""))</f>
        <v/>
      </c>
      <c r="AL47" s="369" t="str">
        <f ca="1">IF($B47&lt;&gt;"PRC_RESID","",IF(AL$7=2005+OFFSET(COM_2012!$B$60,$AW47,SUMIF($B$10:$B$16,"NCAP_TLIFE",$AX$10:$AX$16)),0,""))</f>
        <v/>
      </c>
      <c r="AM47" s="369" t="str">
        <f ca="1">IF($B47&lt;&gt;"PRC_RESID","",IF(AM$7=2005+OFFSET(COM_2012!$B$60,$AW47,SUMIF($B$10:$B$16,"NCAP_TLIFE",$AX$10:$AX$16)),0,""))</f>
        <v/>
      </c>
      <c r="AN47" s="369" t="str">
        <f ca="1">IF($B47&lt;&gt;"PRC_RESID","",IF(AN$7=2005+OFFSET(COM_2012!$B$60,$AW47,SUMIF($B$10:$B$16,"NCAP_TLIFE",$AX$10:$AX$16)),0,""))</f>
        <v/>
      </c>
      <c r="AO47" s="369" t="str">
        <f ca="1">IF($B47&lt;&gt;"PRC_RESID","",IF(AO$7=2005+OFFSET(COM_2012!$B$60,$AW47,SUMIF($B$10:$B$16,"NCAP_TLIFE",$AX$10:$AX$16)),0,""))</f>
        <v/>
      </c>
      <c r="AP47" s="369" t="str">
        <f ca="1">IF($B47&lt;&gt;"PRC_RESID","",IF(AP$7=2005+OFFSET(COM_2012!$B$60,$AW47,SUMIF($B$10:$B$16,"NCAP_TLIFE",$AX$10:$AX$16)),0,""))</f>
        <v/>
      </c>
      <c r="AQ47" s="369" t="str">
        <f ca="1">IF($B47&lt;&gt;"PRC_RESID","",IF(AQ$7=2005+OFFSET(COM_2012!$B$60,$AW47,SUMIF($B$10:$B$16,"NCAP_TLIFE",$AX$10:$AX$16)),0,""))</f>
        <v/>
      </c>
      <c r="AR47" s="369" t="str">
        <f ca="1">IF($B47&lt;&gt;"PRC_RESID","",IF(AR$7=2005+OFFSET(COM_2012!$B$60,$AW47,SUMIF($B$10:$B$16,"NCAP_TLIFE",$AX$10:$AX$16)),0,""))</f>
        <v/>
      </c>
      <c r="AS47" s="369" t="str">
        <f ca="1">IF($B47&lt;&gt;"PRC_RESID","",IF(AS$7=2005+OFFSET(COM_2012!$B$60,$AW47,SUMIF($B$10:$B$16,"NCAP_TLIFE",$AX$10:$AX$16)),0,""))</f>
        <v/>
      </c>
      <c r="AT47" s="369" t="str">
        <f ca="1">IF($B47&lt;&gt;"PRC_RESID","",IF(AT$7=2005+OFFSET(COM_2012!$B$60,$AW47,SUMIF($B$10:$B$16,"NCAP_TLIFE",$AX$10:$AX$16)),0,""))</f>
        <v/>
      </c>
      <c r="AU47" s="369" t="str">
        <f ca="1">IF($B47&lt;&gt;"PRC_RESID","",IF(AU$7=2005+OFFSET(COM_2012!$B$60,$AW47,SUMIF($B$10:$B$16,"NCAP_TLIFE",$AX$10:$AX$16)),0,""))</f>
        <v/>
      </c>
      <c r="AV47" s="304">
        <f>IF(AW46=COM_2012!$AI$121,AV46+1,AV46)</f>
        <v>1</v>
      </c>
      <c r="AW47" s="304">
        <f t="shared" si="5"/>
        <v>20</v>
      </c>
    </row>
    <row r="48" spans="1:49">
      <c r="A48" s="304" t="str">
        <f ca="1">IF(LEFT(OFFSET(COM_2012!$A$60,AW48,0),2)="\I","*","")</f>
        <v/>
      </c>
      <c r="B48" s="369" t="str">
        <f t="shared" ca="1" si="2"/>
        <v>ACT_EFF</v>
      </c>
      <c r="C48" s="369" t="str">
        <f ca="1">IF($A48="*","",OFFSET(COM_2012!$B$60,AW48,0))</f>
        <v>CELELCCFL-E</v>
      </c>
      <c r="D48" s="369" t="str">
        <f t="shared" ca="1" si="6"/>
        <v>-</v>
      </c>
      <c r="E48" s="369" t="str">
        <f t="shared" ca="1" si="6"/>
        <v>ACTGRP</v>
      </c>
      <c r="F48" s="369" t="str">
        <f t="shared" ca="1" si="6"/>
        <v>-</v>
      </c>
      <c r="G48" s="369" t="str">
        <f t="shared" ca="1" si="6"/>
        <v>ANNUAL</v>
      </c>
      <c r="H48" s="369" t="str">
        <f t="shared" ca="1" si="6"/>
        <v>-</v>
      </c>
      <c r="I48" s="370">
        <f t="shared" ca="1" si="6"/>
        <v>0</v>
      </c>
      <c r="J48" s="391">
        <f ca="1">IF($A48="*","",OFFSET(COM_2012!$B$60,AW48,SUMIF($B$10:$B$16,B48,$AX$10:$AX$16)))</f>
        <v>4</v>
      </c>
      <c r="K48" s="369" t="str">
        <f ca="1">IF($B48&lt;&gt;"PRC_RESID","",IF(K$7=2005+OFFSET(COM_2012!$B$60,$AW48,SUMIF($B$10:$B$16,"NCAP_TLIFE",$AX$10:$AX$16)),0,""))</f>
        <v/>
      </c>
      <c r="L48" s="369" t="str">
        <f ca="1">IF($B48&lt;&gt;"PRC_RESID","",IF(L$7=2005+OFFSET(COM_2012!$B$60,$AW48,SUMIF($B$10:$B$16,"NCAP_TLIFE",$AX$10:$AX$16)),0,""))</f>
        <v/>
      </c>
      <c r="M48" s="369" t="str">
        <f ca="1">IF($B48&lt;&gt;"PRC_RESID","",IF(M$7=2005+OFFSET(COM_2012!$B$60,$AW48,SUMIF($B$10:$B$16,"NCAP_TLIFE",$AX$10:$AX$16)),0,""))</f>
        <v/>
      </c>
      <c r="N48" s="369" t="str">
        <f ca="1">IF($B48&lt;&gt;"PRC_RESID","",IF(N$7=2005+OFFSET(COM_2012!$B$60,$AW48,SUMIF($B$10:$B$16,"NCAP_TLIFE",$AX$10:$AX$16)),0,""))</f>
        <v/>
      </c>
      <c r="O48" s="658" t="str">
        <f ca="1">IF($B48&lt;&gt;"PRC_RESID","",IF(O$7=2005+OFFSET(COM_2012!$B$60,$AW48,SUMIF($B$10:$B$16,"NCAP_TLIFE",$AX$10:$AX$16)),0,""))</f>
        <v/>
      </c>
      <c r="P48" s="369" t="str">
        <f ca="1">IF($B48&lt;&gt;"PRC_RESID","",IF(P$7=2005+OFFSET(COM_2012!$B$60,$AW48,SUMIF($B$10:$B$16,"NCAP_TLIFE",$AX$10:$AX$16)),0,""))</f>
        <v/>
      </c>
      <c r="Q48" s="369" t="str">
        <f ca="1">IF($B48&lt;&gt;"PRC_RESID","",IF(Q$7=2005+OFFSET(COM_2012!$B$60,$AW48,SUMIF($B$10:$B$16,"NCAP_TLIFE",$AX$10:$AX$16)),0,""))</f>
        <v/>
      </c>
      <c r="R48" s="369" t="str">
        <f ca="1">IF($B48&lt;&gt;"PRC_RESID","",IF(R$7=2005+OFFSET(COM_2012!$B$60,$AW48,SUMIF($B$10:$B$16,"NCAP_TLIFE",$AX$10:$AX$16)),0,""))</f>
        <v/>
      </c>
      <c r="S48" s="369" t="str">
        <f ca="1">IF($B48&lt;&gt;"PRC_RESID","",IF(S$7=2005+OFFSET(COM_2012!$B$60,$AW48,SUMIF($B$10:$B$16,"NCAP_TLIFE",$AX$10:$AX$16)),0,""))</f>
        <v/>
      </c>
      <c r="T48" s="369" t="str">
        <f ca="1">IF($B48&lt;&gt;"PRC_RESID","",IF(T$7=2005+OFFSET(COM_2012!$B$60,$AW48,SUMIF($B$10:$B$16,"NCAP_TLIFE",$AX$10:$AX$16)),0,""))</f>
        <v/>
      </c>
      <c r="U48" s="369" t="str">
        <f ca="1">IF($B48&lt;&gt;"PRC_RESID","",IF(U$7=2005+OFFSET(COM_2012!$B$60,$AW48,SUMIF($B$10:$B$16,"NCAP_TLIFE",$AX$10:$AX$16)),0,""))</f>
        <v/>
      </c>
      <c r="V48" s="369" t="str">
        <f ca="1">IF($B48&lt;&gt;"PRC_RESID","",IF(V$7=2005+OFFSET(COM_2012!$B$60,$AW48,SUMIF($B$10:$B$16,"NCAP_TLIFE",$AX$10:$AX$16)),0,""))</f>
        <v/>
      </c>
      <c r="W48" s="369" t="str">
        <f ca="1">IF($B48&lt;&gt;"PRC_RESID","",IF(W$7=2005+OFFSET(COM_2012!$B$60,$AW48,SUMIF($B$10:$B$16,"NCAP_TLIFE",$AX$10:$AX$16)),0,""))</f>
        <v/>
      </c>
      <c r="X48" s="369" t="str">
        <f ca="1">IF($B48&lt;&gt;"PRC_RESID","",IF(X$7=2005+OFFSET(COM_2012!$B$60,$AW48,SUMIF($B$10:$B$16,"NCAP_TLIFE",$AX$10:$AX$16)),0,""))</f>
        <v/>
      </c>
      <c r="Y48" s="369" t="str">
        <f ca="1">IF($B48&lt;&gt;"PRC_RESID","",IF(Y$7=2005+OFFSET(COM_2012!$B$60,$AW48,SUMIF($B$10:$B$16,"NCAP_TLIFE",$AX$10:$AX$16)),0,""))</f>
        <v/>
      </c>
      <c r="Z48" s="369" t="str">
        <f ca="1">IF($B48&lt;&gt;"PRC_RESID","",IF(Z$7=2005+OFFSET(COM_2012!$B$60,$AW48,SUMIF($B$10:$B$16,"NCAP_TLIFE",$AX$10:$AX$16)),0,""))</f>
        <v/>
      </c>
      <c r="AA48" s="369" t="str">
        <f ca="1">IF($B48&lt;&gt;"PRC_RESID","",IF(AA$7=2005+OFFSET(COM_2012!$B$60,$AW48,SUMIF($B$10:$B$16,"NCAP_TLIFE",$AX$10:$AX$16)),0,""))</f>
        <v/>
      </c>
      <c r="AB48" s="369" t="str">
        <f ca="1">IF($B48&lt;&gt;"PRC_RESID","",IF(AB$7=2005+OFFSET(COM_2012!$B$60,$AW48,SUMIF($B$10:$B$16,"NCAP_TLIFE",$AX$10:$AX$16)),0,""))</f>
        <v/>
      </c>
      <c r="AC48" s="369" t="str">
        <f ca="1">IF($B48&lt;&gt;"PRC_RESID","",IF(AC$7=2005+OFFSET(COM_2012!$B$60,$AW48,SUMIF($B$10:$B$16,"NCAP_TLIFE",$AX$10:$AX$16)),0,""))</f>
        <v/>
      </c>
      <c r="AD48" s="369" t="str">
        <f ca="1">IF($B48&lt;&gt;"PRC_RESID","",IF(AD$7=2005+OFFSET(COM_2012!$B$60,$AW48,SUMIF($B$10:$B$16,"NCAP_TLIFE",$AX$10:$AX$16)),0,""))</f>
        <v/>
      </c>
      <c r="AE48" s="369" t="str">
        <f ca="1">IF($B48&lt;&gt;"PRC_RESID","",IF(AE$7=2005+OFFSET(COM_2012!$B$60,$AW48,SUMIF($B$10:$B$16,"NCAP_TLIFE",$AX$10:$AX$16)),0,""))</f>
        <v/>
      </c>
      <c r="AF48" s="369" t="str">
        <f ca="1">IF($B48&lt;&gt;"PRC_RESID","",IF(AF$7=2005+OFFSET(COM_2012!$B$60,$AW48,SUMIF($B$10:$B$16,"NCAP_TLIFE",$AX$10:$AX$16)),0,""))</f>
        <v/>
      </c>
      <c r="AG48" s="369" t="str">
        <f ca="1">IF($B48&lt;&gt;"PRC_RESID","",IF(AG$7=2005+OFFSET(COM_2012!$B$60,$AW48,SUMIF($B$10:$B$16,"NCAP_TLIFE",$AX$10:$AX$16)),0,""))</f>
        <v/>
      </c>
      <c r="AH48" s="369" t="str">
        <f ca="1">IF($B48&lt;&gt;"PRC_RESID","",IF(AH$7=2005+OFFSET(COM_2012!$B$60,$AW48,SUMIF($B$10:$B$16,"NCAP_TLIFE",$AX$10:$AX$16)),0,""))</f>
        <v/>
      </c>
      <c r="AI48" s="369" t="str">
        <f ca="1">IF($B48&lt;&gt;"PRC_RESID","",IF(AI$7=2005+OFFSET(COM_2012!$B$60,$AW48,SUMIF($B$10:$B$16,"NCAP_TLIFE",$AX$10:$AX$16)),0,""))</f>
        <v/>
      </c>
      <c r="AJ48" s="369" t="str">
        <f ca="1">IF($B48&lt;&gt;"PRC_RESID","",IF(AJ$7=2005+OFFSET(COM_2012!$B$60,$AW48,SUMIF($B$10:$B$16,"NCAP_TLIFE",$AX$10:$AX$16)),0,""))</f>
        <v/>
      </c>
      <c r="AK48" s="369" t="str">
        <f ca="1">IF($B48&lt;&gt;"PRC_RESID","",IF(AK$7=2005+OFFSET(COM_2012!$B$60,$AW48,SUMIF($B$10:$B$16,"NCAP_TLIFE",$AX$10:$AX$16)),0,""))</f>
        <v/>
      </c>
      <c r="AL48" s="369" t="str">
        <f ca="1">IF($B48&lt;&gt;"PRC_RESID","",IF(AL$7=2005+OFFSET(COM_2012!$B$60,$AW48,SUMIF($B$10:$B$16,"NCAP_TLIFE",$AX$10:$AX$16)),0,""))</f>
        <v/>
      </c>
      <c r="AM48" s="369" t="str">
        <f ca="1">IF($B48&lt;&gt;"PRC_RESID","",IF(AM$7=2005+OFFSET(COM_2012!$B$60,$AW48,SUMIF($B$10:$B$16,"NCAP_TLIFE",$AX$10:$AX$16)),0,""))</f>
        <v/>
      </c>
      <c r="AN48" s="369" t="str">
        <f ca="1">IF($B48&lt;&gt;"PRC_RESID","",IF(AN$7=2005+OFFSET(COM_2012!$B$60,$AW48,SUMIF($B$10:$B$16,"NCAP_TLIFE",$AX$10:$AX$16)),0,""))</f>
        <v/>
      </c>
      <c r="AO48" s="369" t="str">
        <f ca="1">IF($B48&lt;&gt;"PRC_RESID","",IF(AO$7=2005+OFFSET(COM_2012!$B$60,$AW48,SUMIF($B$10:$B$16,"NCAP_TLIFE",$AX$10:$AX$16)),0,""))</f>
        <v/>
      </c>
      <c r="AP48" s="369" t="str">
        <f ca="1">IF($B48&lt;&gt;"PRC_RESID","",IF(AP$7=2005+OFFSET(COM_2012!$B$60,$AW48,SUMIF($B$10:$B$16,"NCAP_TLIFE",$AX$10:$AX$16)),0,""))</f>
        <v/>
      </c>
      <c r="AQ48" s="369" t="str">
        <f ca="1">IF($B48&lt;&gt;"PRC_RESID","",IF(AQ$7=2005+OFFSET(COM_2012!$B$60,$AW48,SUMIF($B$10:$B$16,"NCAP_TLIFE",$AX$10:$AX$16)),0,""))</f>
        <v/>
      </c>
      <c r="AR48" s="369" t="str">
        <f ca="1">IF($B48&lt;&gt;"PRC_RESID","",IF(AR$7=2005+OFFSET(COM_2012!$B$60,$AW48,SUMIF($B$10:$B$16,"NCAP_TLIFE",$AX$10:$AX$16)),0,""))</f>
        <v/>
      </c>
      <c r="AS48" s="369" t="str">
        <f ca="1">IF($B48&lt;&gt;"PRC_RESID","",IF(AS$7=2005+OFFSET(COM_2012!$B$60,$AW48,SUMIF($B$10:$B$16,"NCAP_TLIFE",$AX$10:$AX$16)),0,""))</f>
        <v/>
      </c>
      <c r="AT48" s="369" t="str">
        <f ca="1">IF($B48&lt;&gt;"PRC_RESID","",IF(AT$7=2005+OFFSET(COM_2012!$B$60,$AW48,SUMIF($B$10:$B$16,"NCAP_TLIFE",$AX$10:$AX$16)),0,""))</f>
        <v/>
      </c>
      <c r="AU48" s="369" t="str">
        <f ca="1">IF($B48&lt;&gt;"PRC_RESID","",IF(AU$7=2005+OFFSET(COM_2012!$B$60,$AW48,SUMIF($B$10:$B$16,"NCAP_TLIFE",$AX$10:$AX$16)),0,""))</f>
        <v/>
      </c>
      <c r="AV48" s="304">
        <f>IF(AW47=COM_2012!$AI$121,AV47+1,AV47)</f>
        <v>1</v>
      </c>
      <c r="AW48" s="304">
        <f t="shared" si="5"/>
        <v>21</v>
      </c>
    </row>
    <row r="49" spans="1:49">
      <c r="A49" s="304" t="str">
        <f ca="1">IF(LEFT(OFFSET(COM_2012!$A$60,AW49,0),2)="\I","*","")</f>
        <v/>
      </c>
      <c r="B49" s="369" t="str">
        <f t="shared" ca="1" si="2"/>
        <v>ACT_EFF</v>
      </c>
      <c r="C49" s="369" t="str">
        <f ca="1">IF($A49="*","",OFFSET(COM_2012!$B$60,AW49,0))</f>
        <v>CELELCFLU-E</v>
      </c>
      <c r="D49" s="369" t="str">
        <f t="shared" ca="1" si="6"/>
        <v>-</v>
      </c>
      <c r="E49" s="369" t="str">
        <f t="shared" ca="1" si="6"/>
        <v>ACTGRP</v>
      </c>
      <c r="F49" s="369" t="str">
        <f t="shared" ca="1" si="6"/>
        <v>-</v>
      </c>
      <c r="G49" s="369" t="str">
        <f t="shared" ca="1" si="6"/>
        <v>ANNUAL</v>
      </c>
      <c r="H49" s="369" t="str">
        <f t="shared" ca="1" si="6"/>
        <v>-</v>
      </c>
      <c r="I49" s="370">
        <f t="shared" ca="1" si="6"/>
        <v>0</v>
      </c>
      <c r="J49" s="391">
        <f ca="1">IF($A49="*","",OFFSET(COM_2012!$B$60,AW49,SUMIF($B$10:$B$16,B49,$AX$10:$AX$16)))</f>
        <v>4.5</v>
      </c>
      <c r="K49" s="369" t="str">
        <f ca="1">IF($B49&lt;&gt;"PRC_RESID","",IF(K$7=2005+OFFSET(COM_2012!$B$60,$AW49,SUMIF($B$10:$B$16,"NCAP_TLIFE",$AX$10:$AX$16)),0,""))</f>
        <v/>
      </c>
      <c r="L49" s="369" t="str">
        <f ca="1">IF($B49&lt;&gt;"PRC_RESID","",IF(L$7=2005+OFFSET(COM_2012!$B$60,$AW49,SUMIF($B$10:$B$16,"NCAP_TLIFE",$AX$10:$AX$16)),0,""))</f>
        <v/>
      </c>
      <c r="M49" s="369" t="str">
        <f ca="1">IF($B49&lt;&gt;"PRC_RESID","",IF(M$7=2005+OFFSET(COM_2012!$B$60,$AW49,SUMIF($B$10:$B$16,"NCAP_TLIFE",$AX$10:$AX$16)),0,""))</f>
        <v/>
      </c>
      <c r="N49" s="369" t="str">
        <f ca="1">IF($B49&lt;&gt;"PRC_RESID","",IF(N$7=2005+OFFSET(COM_2012!$B$60,$AW49,SUMIF($B$10:$B$16,"NCAP_TLIFE",$AX$10:$AX$16)),0,""))</f>
        <v/>
      </c>
      <c r="O49" s="658" t="str">
        <f ca="1">IF($B49&lt;&gt;"PRC_RESID","",IF(O$7=2005+OFFSET(COM_2012!$B$60,$AW49,SUMIF($B$10:$B$16,"NCAP_TLIFE",$AX$10:$AX$16)),0,""))</f>
        <v/>
      </c>
      <c r="P49" s="369" t="str">
        <f ca="1">IF($B49&lt;&gt;"PRC_RESID","",IF(P$7=2005+OFFSET(COM_2012!$B$60,$AW49,SUMIF($B$10:$B$16,"NCAP_TLIFE",$AX$10:$AX$16)),0,""))</f>
        <v/>
      </c>
      <c r="Q49" s="369" t="str">
        <f ca="1">IF($B49&lt;&gt;"PRC_RESID","",IF(Q$7=2005+OFFSET(COM_2012!$B$60,$AW49,SUMIF($B$10:$B$16,"NCAP_TLIFE",$AX$10:$AX$16)),0,""))</f>
        <v/>
      </c>
      <c r="R49" s="369" t="str">
        <f ca="1">IF($B49&lt;&gt;"PRC_RESID","",IF(R$7=2005+OFFSET(COM_2012!$B$60,$AW49,SUMIF($B$10:$B$16,"NCAP_TLIFE",$AX$10:$AX$16)),0,""))</f>
        <v/>
      </c>
      <c r="S49" s="369" t="str">
        <f ca="1">IF($B49&lt;&gt;"PRC_RESID","",IF(S$7=2005+OFFSET(COM_2012!$B$60,$AW49,SUMIF($B$10:$B$16,"NCAP_TLIFE",$AX$10:$AX$16)),0,""))</f>
        <v/>
      </c>
      <c r="T49" s="369" t="str">
        <f ca="1">IF($B49&lt;&gt;"PRC_RESID","",IF(T$7=2005+OFFSET(COM_2012!$B$60,$AW49,SUMIF($B$10:$B$16,"NCAP_TLIFE",$AX$10:$AX$16)),0,""))</f>
        <v/>
      </c>
      <c r="U49" s="369" t="str">
        <f ca="1">IF($B49&lt;&gt;"PRC_RESID","",IF(U$7=2005+OFFSET(COM_2012!$B$60,$AW49,SUMIF($B$10:$B$16,"NCAP_TLIFE",$AX$10:$AX$16)),0,""))</f>
        <v/>
      </c>
      <c r="V49" s="369" t="str">
        <f ca="1">IF($B49&lt;&gt;"PRC_RESID","",IF(V$7=2005+OFFSET(COM_2012!$B$60,$AW49,SUMIF($B$10:$B$16,"NCAP_TLIFE",$AX$10:$AX$16)),0,""))</f>
        <v/>
      </c>
      <c r="W49" s="369" t="str">
        <f ca="1">IF($B49&lt;&gt;"PRC_RESID","",IF(W$7=2005+OFFSET(COM_2012!$B$60,$AW49,SUMIF($B$10:$B$16,"NCAP_TLIFE",$AX$10:$AX$16)),0,""))</f>
        <v/>
      </c>
      <c r="X49" s="369" t="str">
        <f ca="1">IF($B49&lt;&gt;"PRC_RESID","",IF(X$7=2005+OFFSET(COM_2012!$B$60,$AW49,SUMIF($B$10:$B$16,"NCAP_TLIFE",$AX$10:$AX$16)),0,""))</f>
        <v/>
      </c>
      <c r="Y49" s="369" t="str">
        <f ca="1">IF($B49&lt;&gt;"PRC_RESID","",IF(Y$7=2005+OFFSET(COM_2012!$B$60,$AW49,SUMIF($B$10:$B$16,"NCAP_TLIFE",$AX$10:$AX$16)),0,""))</f>
        <v/>
      </c>
      <c r="Z49" s="369" t="str">
        <f ca="1">IF($B49&lt;&gt;"PRC_RESID","",IF(Z$7=2005+OFFSET(COM_2012!$B$60,$AW49,SUMIF($B$10:$B$16,"NCAP_TLIFE",$AX$10:$AX$16)),0,""))</f>
        <v/>
      </c>
      <c r="AA49" s="369" t="str">
        <f ca="1">IF($B49&lt;&gt;"PRC_RESID","",IF(AA$7=2005+OFFSET(COM_2012!$B$60,$AW49,SUMIF($B$10:$B$16,"NCAP_TLIFE",$AX$10:$AX$16)),0,""))</f>
        <v/>
      </c>
      <c r="AB49" s="369" t="str">
        <f ca="1">IF($B49&lt;&gt;"PRC_RESID","",IF(AB$7=2005+OFFSET(COM_2012!$B$60,$AW49,SUMIF($B$10:$B$16,"NCAP_TLIFE",$AX$10:$AX$16)),0,""))</f>
        <v/>
      </c>
      <c r="AC49" s="369" t="str">
        <f ca="1">IF($B49&lt;&gt;"PRC_RESID","",IF(AC$7=2005+OFFSET(COM_2012!$B$60,$AW49,SUMIF($B$10:$B$16,"NCAP_TLIFE",$AX$10:$AX$16)),0,""))</f>
        <v/>
      </c>
      <c r="AD49" s="369" t="str">
        <f ca="1">IF($B49&lt;&gt;"PRC_RESID","",IF(AD$7=2005+OFFSET(COM_2012!$B$60,$AW49,SUMIF($B$10:$B$16,"NCAP_TLIFE",$AX$10:$AX$16)),0,""))</f>
        <v/>
      </c>
      <c r="AE49" s="369" t="str">
        <f ca="1">IF($B49&lt;&gt;"PRC_RESID","",IF(AE$7=2005+OFFSET(COM_2012!$B$60,$AW49,SUMIF($B$10:$B$16,"NCAP_TLIFE",$AX$10:$AX$16)),0,""))</f>
        <v/>
      </c>
      <c r="AF49" s="369" t="str">
        <f ca="1">IF($B49&lt;&gt;"PRC_RESID","",IF(AF$7=2005+OFFSET(COM_2012!$B$60,$AW49,SUMIF($B$10:$B$16,"NCAP_TLIFE",$AX$10:$AX$16)),0,""))</f>
        <v/>
      </c>
      <c r="AG49" s="369" t="str">
        <f ca="1">IF($B49&lt;&gt;"PRC_RESID","",IF(AG$7=2005+OFFSET(COM_2012!$B$60,$AW49,SUMIF($B$10:$B$16,"NCAP_TLIFE",$AX$10:$AX$16)),0,""))</f>
        <v/>
      </c>
      <c r="AH49" s="369" t="str">
        <f ca="1">IF($B49&lt;&gt;"PRC_RESID","",IF(AH$7=2005+OFFSET(COM_2012!$B$60,$AW49,SUMIF($B$10:$B$16,"NCAP_TLIFE",$AX$10:$AX$16)),0,""))</f>
        <v/>
      </c>
      <c r="AI49" s="369" t="str">
        <f ca="1">IF($B49&lt;&gt;"PRC_RESID","",IF(AI$7=2005+OFFSET(COM_2012!$B$60,$AW49,SUMIF($B$10:$B$16,"NCAP_TLIFE",$AX$10:$AX$16)),0,""))</f>
        <v/>
      </c>
      <c r="AJ49" s="369" t="str">
        <f ca="1">IF($B49&lt;&gt;"PRC_RESID","",IF(AJ$7=2005+OFFSET(COM_2012!$B$60,$AW49,SUMIF($B$10:$B$16,"NCAP_TLIFE",$AX$10:$AX$16)),0,""))</f>
        <v/>
      </c>
      <c r="AK49" s="369" t="str">
        <f ca="1">IF($B49&lt;&gt;"PRC_RESID","",IF(AK$7=2005+OFFSET(COM_2012!$B$60,$AW49,SUMIF($B$10:$B$16,"NCAP_TLIFE",$AX$10:$AX$16)),0,""))</f>
        <v/>
      </c>
      <c r="AL49" s="369" t="str">
        <f ca="1">IF($B49&lt;&gt;"PRC_RESID","",IF(AL$7=2005+OFFSET(COM_2012!$B$60,$AW49,SUMIF($B$10:$B$16,"NCAP_TLIFE",$AX$10:$AX$16)),0,""))</f>
        <v/>
      </c>
      <c r="AM49" s="369" t="str">
        <f ca="1">IF($B49&lt;&gt;"PRC_RESID","",IF(AM$7=2005+OFFSET(COM_2012!$B$60,$AW49,SUMIF($B$10:$B$16,"NCAP_TLIFE",$AX$10:$AX$16)),0,""))</f>
        <v/>
      </c>
      <c r="AN49" s="369" t="str">
        <f ca="1">IF($B49&lt;&gt;"PRC_RESID","",IF(AN$7=2005+OFFSET(COM_2012!$B$60,$AW49,SUMIF($B$10:$B$16,"NCAP_TLIFE",$AX$10:$AX$16)),0,""))</f>
        <v/>
      </c>
      <c r="AO49" s="369" t="str">
        <f ca="1">IF($B49&lt;&gt;"PRC_RESID","",IF(AO$7=2005+OFFSET(COM_2012!$B$60,$AW49,SUMIF($B$10:$B$16,"NCAP_TLIFE",$AX$10:$AX$16)),0,""))</f>
        <v/>
      </c>
      <c r="AP49" s="369" t="str">
        <f ca="1">IF($B49&lt;&gt;"PRC_RESID","",IF(AP$7=2005+OFFSET(COM_2012!$B$60,$AW49,SUMIF($B$10:$B$16,"NCAP_TLIFE",$AX$10:$AX$16)),0,""))</f>
        <v/>
      </c>
      <c r="AQ49" s="369" t="str">
        <f ca="1">IF($B49&lt;&gt;"PRC_RESID","",IF(AQ$7=2005+OFFSET(COM_2012!$B$60,$AW49,SUMIF($B$10:$B$16,"NCAP_TLIFE",$AX$10:$AX$16)),0,""))</f>
        <v/>
      </c>
      <c r="AR49" s="369" t="str">
        <f ca="1">IF($B49&lt;&gt;"PRC_RESID","",IF(AR$7=2005+OFFSET(COM_2012!$B$60,$AW49,SUMIF($B$10:$B$16,"NCAP_TLIFE",$AX$10:$AX$16)),0,""))</f>
        <v/>
      </c>
      <c r="AS49" s="369" t="str">
        <f ca="1">IF($B49&lt;&gt;"PRC_RESID","",IF(AS$7=2005+OFFSET(COM_2012!$B$60,$AW49,SUMIF($B$10:$B$16,"NCAP_TLIFE",$AX$10:$AX$16)),0,""))</f>
        <v/>
      </c>
      <c r="AT49" s="369" t="str">
        <f ca="1">IF($B49&lt;&gt;"PRC_RESID","",IF(AT$7=2005+OFFSET(COM_2012!$B$60,$AW49,SUMIF($B$10:$B$16,"NCAP_TLIFE",$AX$10:$AX$16)),0,""))</f>
        <v/>
      </c>
      <c r="AU49" s="369" t="str">
        <f ca="1">IF($B49&lt;&gt;"PRC_RESID","",IF(AU$7=2005+OFFSET(COM_2012!$B$60,$AW49,SUMIF($B$10:$B$16,"NCAP_TLIFE",$AX$10:$AX$16)),0,""))</f>
        <v/>
      </c>
      <c r="AV49" s="304">
        <f>IF(AW48=COM_2012!$AI$121,AV48+1,AV48)</f>
        <v>1</v>
      </c>
      <c r="AW49" s="304">
        <f t="shared" si="5"/>
        <v>22</v>
      </c>
    </row>
    <row r="50" spans="1:49">
      <c r="A50" s="304" t="str">
        <f ca="1">IF(LEFT(OFFSET(COM_2012!$A$60,AW50,0),2)="\I","*","")</f>
        <v/>
      </c>
      <c r="B50" s="369" t="str">
        <f t="shared" ca="1" si="2"/>
        <v>ACT_EFF</v>
      </c>
      <c r="C50" s="369" t="str">
        <f ca="1">IF($A50="*","",OFFSET(COM_2012!$B$60,AW50,0))</f>
        <v>CELELCHAL-E</v>
      </c>
      <c r="D50" s="369" t="str">
        <f t="shared" ca="1" si="6"/>
        <v>-</v>
      </c>
      <c r="E50" s="369" t="str">
        <f t="shared" ca="1" si="6"/>
        <v>ACTGRP</v>
      </c>
      <c r="F50" s="369" t="str">
        <f t="shared" ca="1" si="6"/>
        <v>-</v>
      </c>
      <c r="G50" s="369" t="str">
        <f t="shared" ca="1" si="6"/>
        <v>ANNUAL</v>
      </c>
      <c r="H50" s="369" t="str">
        <f t="shared" ca="1" si="6"/>
        <v>-</v>
      </c>
      <c r="I50" s="370">
        <f t="shared" ca="1" si="6"/>
        <v>0</v>
      </c>
      <c r="J50" s="391">
        <f ca="1">IF($A50="*","",OFFSET(COM_2012!$B$60,AW50,SUMIF($B$10:$B$16,B50,$AX$10:$AX$16)))</f>
        <v>2</v>
      </c>
      <c r="K50" s="369" t="str">
        <f ca="1">IF($B50&lt;&gt;"PRC_RESID","",IF(K$7=2005+OFFSET(COM_2012!$B$60,$AW50,SUMIF($B$10:$B$16,"NCAP_TLIFE",$AX$10:$AX$16)),0,""))</f>
        <v/>
      </c>
      <c r="L50" s="369" t="str">
        <f ca="1">IF($B50&lt;&gt;"PRC_RESID","",IF(L$7=2005+OFFSET(COM_2012!$B$60,$AW50,SUMIF($B$10:$B$16,"NCAP_TLIFE",$AX$10:$AX$16)),0,""))</f>
        <v/>
      </c>
      <c r="M50" s="369" t="str">
        <f ca="1">IF($B50&lt;&gt;"PRC_RESID","",IF(M$7=2005+OFFSET(COM_2012!$B$60,$AW50,SUMIF($B$10:$B$16,"NCAP_TLIFE",$AX$10:$AX$16)),0,""))</f>
        <v/>
      </c>
      <c r="N50" s="369" t="str">
        <f ca="1">IF($B50&lt;&gt;"PRC_RESID","",IF(N$7=2005+OFFSET(COM_2012!$B$60,$AW50,SUMIF($B$10:$B$16,"NCAP_TLIFE",$AX$10:$AX$16)),0,""))</f>
        <v/>
      </c>
      <c r="O50" s="658" t="str">
        <f ca="1">IF($B50&lt;&gt;"PRC_RESID","",IF(O$7=2005+OFFSET(COM_2012!$B$60,$AW50,SUMIF($B$10:$B$16,"NCAP_TLIFE",$AX$10:$AX$16)),0,""))</f>
        <v/>
      </c>
      <c r="P50" s="369" t="str">
        <f ca="1">IF($B50&lt;&gt;"PRC_RESID","",IF(P$7=2005+OFFSET(COM_2012!$B$60,$AW50,SUMIF($B$10:$B$16,"NCAP_TLIFE",$AX$10:$AX$16)),0,""))</f>
        <v/>
      </c>
      <c r="Q50" s="369" t="str">
        <f ca="1">IF($B50&lt;&gt;"PRC_RESID","",IF(Q$7=2005+OFFSET(COM_2012!$B$60,$AW50,SUMIF($B$10:$B$16,"NCAP_TLIFE",$AX$10:$AX$16)),0,""))</f>
        <v/>
      </c>
      <c r="R50" s="369" t="str">
        <f ca="1">IF($B50&lt;&gt;"PRC_RESID","",IF(R$7=2005+OFFSET(COM_2012!$B$60,$AW50,SUMIF($B$10:$B$16,"NCAP_TLIFE",$AX$10:$AX$16)),0,""))</f>
        <v/>
      </c>
      <c r="S50" s="369" t="str">
        <f ca="1">IF($B50&lt;&gt;"PRC_RESID","",IF(S$7=2005+OFFSET(COM_2012!$B$60,$AW50,SUMIF($B$10:$B$16,"NCAP_TLIFE",$AX$10:$AX$16)),0,""))</f>
        <v/>
      </c>
      <c r="T50" s="369" t="str">
        <f ca="1">IF($B50&lt;&gt;"PRC_RESID","",IF(T$7=2005+OFFSET(COM_2012!$B$60,$AW50,SUMIF($B$10:$B$16,"NCAP_TLIFE",$AX$10:$AX$16)),0,""))</f>
        <v/>
      </c>
      <c r="U50" s="369" t="str">
        <f ca="1">IF($B50&lt;&gt;"PRC_RESID","",IF(U$7=2005+OFFSET(COM_2012!$B$60,$AW50,SUMIF($B$10:$B$16,"NCAP_TLIFE",$AX$10:$AX$16)),0,""))</f>
        <v/>
      </c>
      <c r="V50" s="369" t="str">
        <f ca="1">IF($B50&lt;&gt;"PRC_RESID","",IF(V$7=2005+OFFSET(COM_2012!$B$60,$AW50,SUMIF($B$10:$B$16,"NCAP_TLIFE",$AX$10:$AX$16)),0,""))</f>
        <v/>
      </c>
      <c r="W50" s="369" t="str">
        <f ca="1">IF($B50&lt;&gt;"PRC_RESID","",IF(W$7=2005+OFFSET(COM_2012!$B$60,$AW50,SUMIF($B$10:$B$16,"NCAP_TLIFE",$AX$10:$AX$16)),0,""))</f>
        <v/>
      </c>
      <c r="X50" s="369" t="str">
        <f ca="1">IF($B50&lt;&gt;"PRC_RESID","",IF(X$7=2005+OFFSET(COM_2012!$B$60,$AW50,SUMIF($B$10:$B$16,"NCAP_TLIFE",$AX$10:$AX$16)),0,""))</f>
        <v/>
      </c>
      <c r="Y50" s="369" t="str">
        <f ca="1">IF($B50&lt;&gt;"PRC_RESID","",IF(Y$7=2005+OFFSET(COM_2012!$B$60,$AW50,SUMIF($B$10:$B$16,"NCAP_TLIFE",$AX$10:$AX$16)),0,""))</f>
        <v/>
      </c>
      <c r="Z50" s="369" t="str">
        <f ca="1">IF($B50&lt;&gt;"PRC_RESID","",IF(Z$7=2005+OFFSET(COM_2012!$B$60,$AW50,SUMIF($B$10:$B$16,"NCAP_TLIFE",$AX$10:$AX$16)),0,""))</f>
        <v/>
      </c>
      <c r="AA50" s="369" t="str">
        <f ca="1">IF($B50&lt;&gt;"PRC_RESID","",IF(AA$7=2005+OFFSET(COM_2012!$B$60,$AW50,SUMIF($B$10:$B$16,"NCAP_TLIFE",$AX$10:$AX$16)),0,""))</f>
        <v/>
      </c>
      <c r="AB50" s="369" t="str">
        <f ca="1">IF($B50&lt;&gt;"PRC_RESID","",IF(AB$7=2005+OFFSET(COM_2012!$B$60,$AW50,SUMIF($B$10:$B$16,"NCAP_TLIFE",$AX$10:$AX$16)),0,""))</f>
        <v/>
      </c>
      <c r="AC50" s="369" t="str">
        <f ca="1">IF($B50&lt;&gt;"PRC_RESID","",IF(AC$7=2005+OFFSET(COM_2012!$B$60,$AW50,SUMIF($B$10:$B$16,"NCAP_TLIFE",$AX$10:$AX$16)),0,""))</f>
        <v/>
      </c>
      <c r="AD50" s="369" t="str">
        <f ca="1">IF($B50&lt;&gt;"PRC_RESID","",IF(AD$7=2005+OFFSET(COM_2012!$B$60,$AW50,SUMIF($B$10:$B$16,"NCAP_TLIFE",$AX$10:$AX$16)),0,""))</f>
        <v/>
      </c>
      <c r="AE50" s="369" t="str">
        <f ca="1">IF($B50&lt;&gt;"PRC_RESID","",IF(AE$7=2005+OFFSET(COM_2012!$B$60,$AW50,SUMIF($B$10:$B$16,"NCAP_TLIFE",$AX$10:$AX$16)),0,""))</f>
        <v/>
      </c>
      <c r="AF50" s="369" t="str">
        <f ca="1">IF($B50&lt;&gt;"PRC_RESID","",IF(AF$7=2005+OFFSET(COM_2012!$B$60,$AW50,SUMIF($B$10:$B$16,"NCAP_TLIFE",$AX$10:$AX$16)),0,""))</f>
        <v/>
      </c>
      <c r="AG50" s="369" t="str">
        <f ca="1">IF($B50&lt;&gt;"PRC_RESID","",IF(AG$7=2005+OFFSET(COM_2012!$B$60,$AW50,SUMIF($B$10:$B$16,"NCAP_TLIFE",$AX$10:$AX$16)),0,""))</f>
        <v/>
      </c>
      <c r="AH50" s="369" t="str">
        <f ca="1">IF($B50&lt;&gt;"PRC_RESID","",IF(AH$7=2005+OFFSET(COM_2012!$B$60,$AW50,SUMIF($B$10:$B$16,"NCAP_TLIFE",$AX$10:$AX$16)),0,""))</f>
        <v/>
      </c>
      <c r="AI50" s="369" t="str">
        <f ca="1">IF($B50&lt;&gt;"PRC_RESID","",IF(AI$7=2005+OFFSET(COM_2012!$B$60,$AW50,SUMIF($B$10:$B$16,"NCAP_TLIFE",$AX$10:$AX$16)),0,""))</f>
        <v/>
      </c>
      <c r="AJ50" s="369" t="str">
        <f ca="1">IF($B50&lt;&gt;"PRC_RESID","",IF(AJ$7=2005+OFFSET(COM_2012!$B$60,$AW50,SUMIF($B$10:$B$16,"NCAP_TLIFE",$AX$10:$AX$16)),0,""))</f>
        <v/>
      </c>
      <c r="AK50" s="369" t="str">
        <f ca="1">IF($B50&lt;&gt;"PRC_RESID","",IF(AK$7=2005+OFFSET(COM_2012!$B$60,$AW50,SUMIF($B$10:$B$16,"NCAP_TLIFE",$AX$10:$AX$16)),0,""))</f>
        <v/>
      </c>
      <c r="AL50" s="369" t="str">
        <f ca="1">IF($B50&lt;&gt;"PRC_RESID","",IF(AL$7=2005+OFFSET(COM_2012!$B$60,$AW50,SUMIF($B$10:$B$16,"NCAP_TLIFE",$AX$10:$AX$16)),0,""))</f>
        <v/>
      </c>
      <c r="AM50" s="369" t="str">
        <f ca="1">IF($B50&lt;&gt;"PRC_RESID","",IF(AM$7=2005+OFFSET(COM_2012!$B$60,$AW50,SUMIF($B$10:$B$16,"NCAP_TLIFE",$AX$10:$AX$16)),0,""))</f>
        <v/>
      </c>
      <c r="AN50" s="369" t="str">
        <f ca="1">IF($B50&lt;&gt;"PRC_RESID","",IF(AN$7=2005+OFFSET(COM_2012!$B$60,$AW50,SUMIF($B$10:$B$16,"NCAP_TLIFE",$AX$10:$AX$16)),0,""))</f>
        <v/>
      </c>
      <c r="AO50" s="369" t="str">
        <f ca="1">IF($B50&lt;&gt;"PRC_RESID","",IF(AO$7=2005+OFFSET(COM_2012!$B$60,$AW50,SUMIF($B$10:$B$16,"NCAP_TLIFE",$AX$10:$AX$16)),0,""))</f>
        <v/>
      </c>
      <c r="AP50" s="369" t="str">
        <f ca="1">IF($B50&lt;&gt;"PRC_RESID","",IF(AP$7=2005+OFFSET(COM_2012!$B$60,$AW50,SUMIF($B$10:$B$16,"NCAP_TLIFE",$AX$10:$AX$16)),0,""))</f>
        <v/>
      </c>
      <c r="AQ50" s="369" t="str">
        <f ca="1">IF($B50&lt;&gt;"PRC_RESID","",IF(AQ$7=2005+OFFSET(COM_2012!$B$60,$AW50,SUMIF($B$10:$B$16,"NCAP_TLIFE",$AX$10:$AX$16)),0,""))</f>
        <v/>
      </c>
      <c r="AR50" s="369" t="str">
        <f ca="1">IF($B50&lt;&gt;"PRC_RESID","",IF(AR$7=2005+OFFSET(COM_2012!$B$60,$AW50,SUMIF($B$10:$B$16,"NCAP_TLIFE",$AX$10:$AX$16)),0,""))</f>
        <v/>
      </c>
      <c r="AS50" s="369" t="str">
        <f ca="1">IF($B50&lt;&gt;"PRC_RESID","",IF(AS$7=2005+OFFSET(COM_2012!$B$60,$AW50,SUMIF($B$10:$B$16,"NCAP_TLIFE",$AX$10:$AX$16)),0,""))</f>
        <v/>
      </c>
      <c r="AT50" s="369" t="str">
        <f ca="1">IF($B50&lt;&gt;"PRC_RESID","",IF(AT$7=2005+OFFSET(COM_2012!$B$60,$AW50,SUMIF($B$10:$B$16,"NCAP_TLIFE",$AX$10:$AX$16)),0,""))</f>
        <v/>
      </c>
      <c r="AU50" s="369" t="str">
        <f ca="1">IF($B50&lt;&gt;"PRC_RESID","",IF(AU$7=2005+OFFSET(COM_2012!$B$60,$AW50,SUMIF($B$10:$B$16,"NCAP_TLIFE",$AX$10:$AX$16)),0,""))</f>
        <v/>
      </c>
      <c r="AV50" s="304">
        <f>IF(AW49=COM_2012!$AI$121,AV49+1,AV49)</f>
        <v>1</v>
      </c>
      <c r="AW50" s="304">
        <f t="shared" si="5"/>
        <v>23</v>
      </c>
    </row>
    <row r="51" spans="1:49">
      <c r="A51" s="304" t="str">
        <f ca="1">IF(LEFT(OFFSET(COM_2012!$A$60,AW51,0),2)="\I","*","")</f>
        <v/>
      </c>
      <c r="B51" s="369" t="str">
        <f t="shared" ca="1" si="2"/>
        <v>ACT_EFF</v>
      </c>
      <c r="C51" s="369" t="str">
        <f ca="1">IF($A51="*","",OFFSET(COM_2012!$B$60,AW51,0))</f>
        <v>CELELCHID-E</v>
      </c>
      <c r="D51" s="369" t="str">
        <f t="shared" ca="1" si="6"/>
        <v>-</v>
      </c>
      <c r="E51" s="369" t="str">
        <f t="shared" ca="1" si="6"/>
        <v>ACTGRP</v>
      </c>
      <c r="F51" s="369" t="str">
        <f t="shared" ca="1" si="6"/>
        <v>-</v>
      </c>
      <c r="G51" s="369" t="str">
        <f t="shared" ca="1" si="6"/>
        <v>ANNUAL</v>
      </c>
      <c r="H51" s="369" t="str">
        <f t="shared" ca="1" si="6"/>
        <v>-</v>
      </c>
      <c r="I51" s="370">
        <f t="shared" ca="1" si="6"/>
        <v>0</v>
      </c>
      <c r="J51" s="391">
        <f ca="1">IF($A51="*","",OFFSET(COM_2012!$B$60,AW51,SUMIF($B$10:$B$16,B51,$AX$10:$AX$16)))</f>
        <v>7</v>
      </c>
      <c r="K51" s="369" t="str">
        <f ca="1">IF($B51&lt;&gt;"PRC_RESID","",IF(K$7=2005+OFFSET(COM_2012!$B$60,$AW51,SUMIF($B$10:$B$16,"NCAP_TLIFE",$AX$10:$AX$16)),0,""))</f>
        <v/>
      </c>
      <c r="L51" s="369" t="str">
        <f ca="1">IF($B51&lt;&gt;"PRC_RESID","",IF(L$7=2005+OFFSET(COM_2012!$B$60,$AW51,SUMIF($B$10:$B$16,"NCAP_TLIFE",$AX$10:$AX$16)),0,""))</f>
        <v/>
      </c>
      <c r="M51" s="369" t="str">
        <f ca="1">IF($B51&lt;&gt;"PRC_RESID","",IF(M$7=2005+OFFSET(COM_2012!$B$60,$AW51,SUMIF($B$10:$B$16,"NCAP_TLIFE",$AX$10:$AX$16)),0,""))</f>
        <v/>
      </c>
      <c r="N51" s="369" t="str">
        <f ca="1">IF($B51&lt;&gt;"PRC_RESID","",IF(N$7=2005+OFFSET(COM_2012!$B$60,$AW51,SUMIF($B$10:$B$16,"NCAP_TLIFE",$AX$10:$AX$16)),0,""))</f>
        <v/>
      </c>
      <c r="O51" s="658" t="str">
        <f ca="1">IF($B51&lt;&gt;"PRC_RESID","",IF(O$7=2005+OFFSET(COM_2012!$B$60,$AW51,SUMIF($B$10:$B$16,"NCAP_TLIFE",$AX$10:$AX$16)),0,""))</f>
        <v/>
      </c>
      <c r="P51" s="369" t="str">
        <f ca="1">IF($B51&lt;&gt;"PRC_RESID","",IF(P$7=2005+OFFSET(COM_2012!$B$60,$AW51,SUMIF($B$10:$B$16,"NCAP_TLIFE",$AX$10:$AX$16)),0,""))</f>
        <v/>
      </c>
      <c r="Q51" s="369" t="str">
        <f ca="1">IF($B51&lt;&gt;"PRC_RESID","",IF(Q$7=2005+OFFSET(COM_2012!$B$60,$AW51,SUMIF($B$10:$B$16,"NCAP_TLIFE",$AX$10:$AX$16)),0,""))</f>
        <v/>
      </c>
      <c r="R51" s="369" t="str">
        <f ca="1">IF($B51&lt;&gt;"PRC_RESID","",IF(R$7=2005+OFFSET(COM_2012!$B$60,$AW51,SUMIF($B$10:$B$16,"NCAP_TLIFE",$AX$10:$AX$16)),0,""))</f>
        <v/>
      </c>
      <c r="S51" s="369" t="str">
        <f ca="1">IF($B51&lt;&gt;"PRC_RESID","",IF(S$7=2005+OFFSET(COM_2012!$B$60,$AW51,SUMIF($B$10:$B$16,"NCAP_TLIFE",$AX$10:$AX$16)),0,""))</f>
        <v/>
      </c>
      <c r="T51" s="369" t="str">
        <f ca="1">IF($B51&lt;&gt;"PRC_RESID","",IF(T$7=2005+OFFSET(COM_2012!$B$60,$AW51,SUMIF($B$10:$B$16,"NCAP_TLIFE",$AX$10:$AX$16)),0,""))</f>
        <v/>
      </c>
      <c r="U51" s="369" t="str">
        <f ca="1">IF($B51&lt;&gt;"PRC_RESID","",IF(U$7=2005+OFFSET(COM_2012!$B$60,$AW51,SUMIF($B$10:$B$16,"NCAP_TLIFE",$AX$10:$AX$16)),0,""))</f>
        <v/>
      </c>
      <c r="V51" s="369" t="str">
        <f ca="1">IF($B51&lt;&gt;"PRC_RESID","",IF(V$7=2005+OFFSET(COM_2012!$B$60,$AW51,SUMIF($B$10:$B$16,"NCAP_TLIFE",$AX$10:$AX$16)),0,""))</f>
        <v/>
      </c>
      <c r="W51" s="369" t="str">
        <f ca="1">IF($B51&lt;&gt;"PRC_RESID","",IF(W$7=2005+OFFSET(COM_2012!$B$60,$AW51,SUMIF($B$10:$B$16,"NCAP_TLIFE",$AX$10:$AX$16)),0,""))</f>
        <v/>
      </c>
      <c r="X51" s="369" t="str">
        <f ca="1">IF($B51&lt;&gt;"PRC_RESID","",IF(X$7=2005+OFFSET(COM_2012!$B$60,$AW51,SUMIF($B$10:$B$16,"NCAP_TLIFE",$AX$10:$AX$16)),0,""))</f>
        <v/>
      </c>
      <c r="Y51" s="369" t="str">
        <f ca="1">IF($B51&lt;&gt;"PRC_RESID","",IF(Y$7=2005+OFFSET(COM_2012!$B$60,$AW51,SUMIF($B$10:$B$16,"NCAP_TLIFE",$AX$10:$AX$16)),0,""))</f>
        <v/>
      </c>
      <c r="Z51" s="369" t="str">
        <f ca="1">IF($B51&lt;&gt;"PRC_RESID","",IF(Z$7=2005+OFFSET(COM_2012!$B$60,$AW51,SUMIF($B$10:$B$16,"NCAP_TLIFE",$AX$10:$AX$16)),0,""))</f>
        <v/>
      </c>
      <c r="AA51" s="369" t="str">
        <f ca="1">IF($B51&lt;&gt;"PRC_RESID","",IF(AA$7=2005+OFFSET(COM_2012!$B$60,$AW51,SUMIF($B$10:$B$16,"NCAP_TLIFE",$AX$10:$AX$16)),0,""))</f>
        <v/>
      </c>
      <c r="AB51" s="369" t="str">
        <f ca="1">IF($B51&lt;&gt;"PRC_RESID","",IF(AB$7=2005+OFFSET(COM_2012!$B$60,$AW51,SUMIF($B$10:$B$16,"NCAP_TLIFE",$AX$10:$AX$16)),0,""))</f>
        <v/>
      </c>
      <c r="AC51" s="369" t="str">
        <f ca="1">IF($B51&lt;&gt;"PRC_RESID","",IF(AC$7=2005+OFFSET(COM_2012!$B$60,$AW51,SUMIF($B$10:$B$16,"NCAP_TLIFE",$AX$10:$AX$16)),0,""))</f>
        <v/>
      </c>
      <c r="AD51" s="369" t="str">
        <f ca="1">IF($B51&lt;&gt;"PRC_RESID","",IF(AD$7=2005+OFFSET(COM_2012!$B$60,$AW51,SUMIF($B$10:$B$16,"NCAP_TLIFE",$AX$10:$AX$16)),0,""))</f>
        <v/>
      </c>
      <c r="AE51" s="369" t="str">
        <f ca="1">IF($B51&lt;&gt;"PRC_RESID","",IF(AE$7=2005+OFFSET(COM_2012!$B$60,$AW51,SUMIF($B$10:$B$16,"NCAP_TLIFE",$AX$10:$AX$16)),0,""))</f>
        <v/>
      </c>
      <c r="AF51" s="369" t="str">
        <f ca="1">IF($B51&lt;&gt;"PRC_RESID","",IF(AF$7=2005+OFFSET(COM_2012!$B$60,$AW51,SUMIF($B$10:$B$16,"NCAP_TLIFE",$AX$10:$AX$16)),0,""))</f>
        <v/>
      </c>
      <c r="AG51" s="369" t="str">
        <f ca="1">IF($B51&lt;&gt;"PRC_RESID","",IF(AG$7=2005+OFFSET(COM_2012!$B$60,$AW51,SUMIF($B$10:$B$16,"NCAP_TLIFE",$AX$10:$AX$16)),0,""))</f>
        <v/>
      </c>
      <c r="AH51" s="369" t="str">
        <f ca="1">IF($B51&lt;&gt;"PRC_RESID","",IF(AH$7=2005+OFFSET(COM_2012!$B$60,$AW51,SUMIF($B$10:$B$16,"NCAP_TLIFE",$AX$10:$AX$16)),0,""))</f>
        <v/>
      </c>
      <c r="AI51" s="369" t="str">
        <f ca="1">IF($B51&lt;&gt;"PRC_RESID","",IF(AI$7=2005+OFFSET(COM_2012!$B$60,$AW51,SUMIF($B$10:$B$16,"NCAP_TLIFE",$AX$10:$AX$16)),0,""))</f>
        <v/>
      </c>
      <c r="AJ51" s="369" t="str">
        <f ca="1">IF($B51&lt;&gt;"PRC_RESID","",IF(AJ$7=2005+OFFSET(COM_2012!$B$60,$AW51,SUMIF($B$10:$B$16,"NCAP_TLIFE",$AX$10:$AX$16)),0,""))</f>
        <v/>
      </c>
      <c r="AK51" s="369" t="str">
        <f ca="1">IF($B51&lt;&gt;"PRC_RESID","",IF(AK$7=2005+OFFSET(COM_2012!$B$60,$AW51,SUMIF($B$10:$B$16,"NCAP_TLIFE",$AX$10:$AX$16)),0,""))</f>
        <v/>
      </c>
      <c r="AL51" s="369" t="str">
        <f ca="1">IF($B51&lt;&gt;"PRC_RESID","",IF(AL$7=2005+OFFSET(COM_2012!$B$60,$AW51,SUMIF($B$10:$B$16,"NCAP_TLIFE",$AX$10:$AX$16)),0,""))</f>
        <v/>
      </c>
      <c r="AM51" s="369" t="str">
        <f ca="1">IF($B51&lt;&gt;"PRC_RESID","",IF(AM$7=2005+OFFSET(COM_2012!$B$60,$AW51,SUMIF($B$10:$B$16,"NCAP_TLIFE",$AX$10:$AX$16)),0,""))</f>
        <v/>
      </c>
      <c r="AN51" s="369" t="str">
        <f ca="1">IF($B51&lt;&gt;"PRC_RESID","",IF(AN$7=2005+OFFSET(COM_2012!$B$60,$AW51,SUMIF($B$10:$B$16,"NCAP_TLIFE",$AX$10:$AX$16)),0,""))</f>
        <v/>
      </c>
      <c r="AO51" s="369" t="str">
        <f ca="1">IF($B51&lt;&gt;"PRC_RESID","",IF(AO$7=2005+OFFSET(COM_2012!$B$60,$AW51,SUMIF($B$10:$B$16,"NCAP_TLIFE",$AX$10:$AX$16)),0,""))</f>
        <v/>
      </c>
      <c r="AP51" s="369" t="str">
        <f ca="1">IF($B51&lt;&gt;"PRC_RESID","",IF(AP$7=2005+OFFSET(COM_2012!$B$60,$AW51,SUMIF($B$10:$B$16,"NCAP_TLIFE",$AX$10:$AX$16)),0,""))</f>
        <v/>
      </c>
      <c r="AQ51" s="369" t="str">
        <f ca="1">IF($B51&lt;&gt;"PRC_RESID","",IF(AQ$7=2005+OFFSET(COM_2012!$B$60,$AW51,SUMIF($B$10:$B$16,"NCAP_TLIFE",$AX$10:$AX$16)),0,""))</f>
        <v/>
      </c>
      <c r="AR51" s="369" t="str">
        <f ca="1">IF($B51&lt;&gt;"PRC_RESID","",IF(AR$7=2005+OFFSET(COM_2012!$B$60,$AW51,SUMIF($B$10:$B$16,"NCAP_TLIFE",$AX$10:$AX$16)),0,""))</f>
        <v/>
      </c>
      <c r="AS51" s="369" t="str">
        <f ca="1">IF($B51&lt;&gt;"PRC_RESID","",IF(AS$7=2005+OFFSET(COM_2012!$B$60,$AW51,SUMIF($B$10:$B$16,"NCAP_TLIFE",$AX$10:$AX$16)),0,""))</f>
        <v/>
      </c>
      <c r="AT51" s="369" t="str">
        <f ca="1">IF($B51&lt;&gt;"PRC_RESID","",IF(AT$7=2005+OFFSET(COM_2012!$B$60,$AW51,SUMIF($B$10:$B$16,"NCAP_TLIFE",$AX$10:$AX$16)),0,""))</f>
        <v/>
      </c>
      <c r="AU51" s="369" t="str">
        <f ca="1">IF($B51&lt;&gt;"PRC_RESID","",IF(AU$7=2005+OFFSET(COM_2012!$B$60,$AW51,SUMIF($B$10:$B$16,"NCAP_TLIFE",$AX$10:$AX$16)),0,""))</f>
        <v/>
      </c>
      <c r="AV51" s="304">
        <f>IF(AW50=COM_2012!$AI$121,AV50+1,AV50)</f>
        <v>1</v>
      </c>
      <c r="AW51" s="304">
        <f t="shared" si="5"/>
        <v>24</v>
      </c>
    </row>
    <row r="52" spans="1:49">
      <c r="A52" s="304" t="str">
        <f ca="1">IF(LEFT(OFFSET(COM_2012!$A$60,AW52,0),2)="\I","*","")</f>
        <v/>
      </c>
      <c r="B52" s="369" t="str">
        <f t="shared" ca="1" si="2"/>
        <v>ACT_EFF</v>
      </c>
      <c r="C52" s="369" t="str">
        <f ca="1">IF($A52="*","",OFFSET(COM_2012!$B$60,AW52,0))</f>
        <v>CELELCINC-E</v>
      </c>
      <c r="D52" s="369" t="str">
        <f t="shared" ca="1" si="6"/>
        <v>-</v>
      </c>
      <c r="E52" s="369" t="str">
        <f t="shared" ca="1" si="6"/>
        <v>ACTGRP</v>
      </c>
      <c r="F52" s="369" t="str">
        <f t="shared" ca="1" si="6"/>
        <v>-</v>
      </c>
      <c r="G52" s="369" t="str">
        <f t="shared" ca="1" si="6"/>
        <v>ANNUAL</v>
      </c>
      <c r="H52" s="369" t="str">
        <f t="shared" ca="1" si="6"/>
        <v>-</v>
      </c>
      <c r="I52" s="370">
        <f t="shared" ca="1" si="6"/>
        <v>0</v>
      </c>
      <c r="J52" s="391">
        <f ca="1">IF($A52="*","",OFFSET(COM_2012!$B$60,AW52,SUMIF($B$10:$B$16,B52,$AX$10:$AX$16)))</f>
        <v>1</v>
      </c>
      <c r="K52" s="369" t="str">
        <f ca="1">IF($B52&lt;&gt;"PRC_RESID","",IF(K$7=2005+OFFSET(COM_2012!$B$60,$AW52,SUMIF($B$10:$B$16,"NCAP_TLIFE",$AX$10:$AX$16)),0,""))</f>
        <v/>
      </c>
      <c r="L52" s="369" t="str">
        <f ca="1">IF($B52&lt;&gt;"PRC_RESID","",IF(L$7=2005+OFFSET(COM_2012!$B$60,$AW52,SUMIF($B$10:$B$16,"NCAP_TLIFE",$AX$10:$AX$16)),0,""))</f>
        <v/>
      </c>
      <c r="M52" s="369" t="str">
        <f ca="1">IF($B52&lt;&gt;"PRC_RESID","",IF(M$7=2005+OFFSET(COM_2012!$B$60,$AW52,SUMIF($B$10:$B$16,"NCAP_TLIFE",$AX$10:$AX$16)),0,""))</f>
        <v/>
      </c>
      <c r="N52" s="369" t="str">
        <f ca="1">IF($B52&lt;&gt;"PRC_RESID","",IF(N$7=2005+OFFSET(COM_2012!$B$60,$AW52,SUMIF($B$10:$B$16,"NCAP_TLIFE",$AX$10:$AX$16)),0,""))</f>
        <v/>
      </c>
      <c r="O52" s="658" t="str">
        <f ca="1">IF($B52&lt;&gt;"PRC_RESID","",IF(O$7=2005+OFFSET(COM_2012!$B$60,$AW52,SUMIF($B$10:$B$16,"NCAP_TLIFE",$AX$10:$AX$16)),0,""))</f>
        <v/>
      </c>
      <c r="P52" s="369" t="str">
        <f ca="1">IF($B52&lt;&gt;"PRC_RESID","",IF(P$7=2005+OFFSET(COM_2012!$B$60,$AW52,SUMIF($B$10:$B$16,"NCAP_TLIFE",$AX$10:$AX$16)),0,""))</f>
        <v/>
      </c>
      <c r="Q52" s="369" t="str">
        <f ca="1">IF($B52&lt;&gt;"PRC_RESID","",IF(Q$7=2005+OFFSET(COM_2012!$B$60,$AW52,SUMIF($B$10:$B$16,"NCAP_TLIFE",$AX$10:$AX$16)),0,""))</f>
        <v/>
      </c>
      <c r="R52" s="369" t="str">
        <f ca="1">IF($B52&lt;&gt;"PRC_RESID","",IF(R$7=2005+OFFSET(COM_2012!$B$60,$AW52,SUMIF($B$10:$B$16,"NCAP_TLIFE",$AX$10:$AX$16)),0,""))</f>
        <v/>
      </c>
      <c r="S52" s="369" t="str">
        <f ca="1">IF($B52&lt;&gt;"PRC_RESID","",IF(S$7=2005+OFFSET(COM_2012!$B$60,$AW52,SUMIF($B$10:$B$16,"NCAP_TLIFE",$AX$10:$AX$16)),0,""))</f>
        <v/>
      </c>
      <c r="T52" s="369" t="str">
        <f ca="1">IF($B52&lt;&gt;"PRC_RESID","",IF(T$7=2005+OFFSET(COM_2012!$B$60,$AW52,SUMIF($B$10:$B$16,"NCAP_TLIFE",$AX$10:$AX$16)),0,""))</f>
        <v/>
      </c>
      <c r="U52" s="369" t="str">
        <f ca="1">IF($B52&lt;&gt;"PRC_RESID","",IF(U$7=2005+OFFSET(COM_2012!$B$60,$AW52,SUMIF($B$10:$B$16,"NCAP_TLIFE",$AX$10:$AX$16)),0,""))</f>
        <v/>
      </c>
      <c r="V52" s="369" t="str">
        <f ca="1">IF($B52&lt;&gt;"PRC_RESID","",IF(V$7=2005+OFFSET(COM_2012!$B$60,$AW52,SUMIF($B$10:$B$16,"NCAP_TLIFE",$AX$10:$AX$16)),0,""))</f>
        <v/>
      </c>
      <c r="W52" s="369" t="str">
        <f ca="1">IF($B52&lt;&gt;"PRC_RESID","",IF(W$7=2005+OFFSET(COM_2012!$B$60,$AW52,SUMIF($B$10:$B$16,"NCAP_TLIFE",$AX$10:$AX$16)),0,""))</f>
        <v/>
      </c>
      <c r="X52" s="369" t="str">
        <f ca="1">IF($B52&lt;&gt;"PRC_RESID","",IF(X$7=2005+OFFSET(COM_2012!$B$60,$AW52,SUMIF($B$10:$B$16,"NCAP_TLIFE",$AX$10:$AX$16)),0,""))</f>
        <v/>
      </c>
      <c r="Y52" s="369" t="str">
        <f ca="1">IF($B52&lt;&gt;"PRC_RESID","",IF(Y$7=2005+OFFSET(COM_2012!$B$60,$AW52,SUMIF($B$10:$B$16,"NCAP_TLIFE",$AX$10:$AX$16)),0,""))</f>
        <v/>
      </c>
      <c r="Z52" s="369" t="str">
        <f ca="1">IF($B52&lt;&gt;"PRC_RESID","",IF(Z$7=2005+OFFSET(COM_2012!$B$60,$AW52,SUMIF($B$10:$B$16,"NCAP_TLIFE",$AX$10:$AX$16)),0,""))</f>
        <v/>
      </c>
      <c r="AA52" s="369" t="str">
        <f ca="1">IF($B52&lt;&gt;"PRC_RESID","",IF(AA$7=2005+OFFSET(COM_2012!$B$60,$AW52,SUMIF($B$10:$B$16,"NCAP_TLIFE",$AX$10:$AX$16)),0,""))</f>
        <v/>
      </c>
      <c r="AB52" s="369" t="str">
        <f ca="1">IF($B52&lt;&gt;"PRC_RESID","",IF(AB$7=2005+OFFSET(COM_2012!$B$60,$AW52,SUMIF($B$10:$B$16,"NCAP_TLIFE",$AX$10:$AX$16)),0,""))</f>
        <v/>
      </c>
      <c r="AC52" s="369" t="str">
        <f ca="1">IF($B52&lt;&gt;"PRC_RESID","",IF(AC$7=2005+OFFSET(COM_2012!$B$60,$AW52,SUMIF($B$10:$B$16,"NCAP_TLIFE",$AX$10:$AX$16)),0,""))</f>
        <v/>
      </c>
      <c r="AD52" s="369" t="str">
        <f ca="1">IF($B52&lt;&gt;"PRC_RESID","",IF(AD$7=2005+OFFSET(COM_2012!$B$60,$AW52,SUMIF($B$10:$B$16,"NCAP_TLIFE",$AX$10:$AX$16)),0,""))</f>
        <v/>
      </c>
      <c r="AE52" s="369" t="str">
        <f ca="1">IF($B52&lt;&gt;"PRC_RESID","",IF(AE$7=2005+OFFSET(COM_2012!$B$60,$AW52,SUMIF($B$10:$B$16,"NCAP_TLIFE",$AX$10:$AX$16)),0,""))</f>
        <v/>
      </c>
      <c r="AF52" s="369" t="str">
        <f ca="1">IF($B52&lt;&gt;"PRC_RESID","",IF(AF$7=2005+OFFSET(COM_2012!$B$60,$AW52,SUMIF($B$10:$B$16,"NCAP_TLIFE",$AX$10:$AX$16)),0,""))</f>
        <v/>
      </c>
      <c r="AG52" s="369" t="str">
        <f ca="1">IF($B52&lt;&gt;"PRC_RESID","",IF(AG$7=2005+OFFSET(COM_2012!$B$60,$AW52,SUMIF($B$10:$B$16,"NCAP_TLIFE",$AX$10:$AX$16)),0,""))</f>
        <v/>
      </c>
      <c r="AH52" s="369" t="str">
        <f ca="1">IF($B52&lt;&gt;"PRC_RESID","",IF(AH$7=2005+OFFSET(COM_2012!$B$60,$AW52,SUMIF($B$10:$B$16,"NCAP_TLIFE",$AX$10:$AX$16)),0,""))</f>
        <v/>
      </c>
      <c r="AI52" s="369" t="str">
        <f ca="1">IF($B52&lt;&gt;"PRC_RESID","",IF(AI$7=2005+OFFSET(COM_2012!$B$60,$AW52,SUMIF($B$10:$B$16,"NCAP_TLIFE",$AX$10:$AX$16)),0,""))</f>
        <v/>
      </c>
      <c r="AJ52" s="369" t="str">
        <f ca="1">IF($B52&lt;&gt;"PRC_RESID","",IF(AJ$7=2005+OFFSET(COM_2012!$B$60,$AW52,SUMIF($B$10:$B$16,"NCAP_TLIFE",$AX$10:$AX$16)),0,""))</f>
        <v/>
      </c>
      <c r="AK52" s="369" t="str">
        <f ca="1">IF($B52&lt;&gt;"PRC_RESID","",IF(AK$7=2005+OFFSET(COM_2012!$B$60,$AW52,SUMIF($B$10:$B$16,"NCAP_TLIFE",$AX$10:$AX$16)),0,""))</f>
        <v/>
      </c>
      <c r="AL52" s="369" t="str">
        <f ca="1">IF($B52&lt;&gt;"PRC_RESID","",IF(AL$7=2005+OFFSET(COM_2012!$B$60,$AW52,SUMIF($B$10:$B$16,"NCAP_TLIFE",$AX$10:$AX$16)),0,""))</f>
        <v/>
      </c>
      <c r="AM52" s="369" t="str">
        <f ca="1">IF($B52&lt;&gt;"PRC_RESID","",IF(AM$7=2005+OFFSET(COM_2012!$B$60,$AW52,SUMIF($B$10:$B$16,"NCAP_TLIFE",$AX$10:$AX$16)),0,""))</f>
        <v/>
      </c>
      <c r="AN52" s="369" t="str">
        <f ca="1">IF($B52&lt;&gt;"PRC_RESID","",IF(AN$7=2005+OFFSET(COM_2012!$B$60,$AW52,SUMIF($B$10:$B$16,"NCAP_TLIFE",$AX$10:$AX$16)),0,""))</f>
        <v/>
      </c>
      <c r="AO52" s="369" t="str">
        <f ca="1">IF($B52&lt;&gt;"PRC_RESID","",IF(AO$7=2005+OFFSET(COM_2012!$B$60,$AW52,SUMIF($B$10:$B$16,"NCAP_TLIFE",$AX$10:$AX$16)),0,""))</f>
        <v/>
      </c>
      <c r="AP52" s="369" t="str">
        <f ca="1">IF($B52&lt;&gt;"PRC_RESID","",IF(AP$7=2005+OFFSET(COM_2012!$B$60,$AW52,SUMIF($B$10:$B$16,"NCAP_TLIFE",$AX$10:$AX$16)),0,""))</f>
        <v/>
      </c>
      <c r="AQ52" s="369" t="str">
        <f ca="1">IF($B52&lt;&gt;"PRC_RESID","",IF(AQ$7=2005+OFFSET(COM_2012!$B$60,$AW52,SUMIF($B$10:$B$16,"NCAP_TLIFE",$AX$10:$AX$16)),0,""))</f>
        <v/>
      </c>
      <c r="AR52" s="369" t="str">
        <f ca="1">IF($B52&lt;&gt;"PRC_RESID","",IF(AR$7=2005+OFFSET(COM_2012!$B$60,$AW52,SUMIF($B$10:$B$16,"NCAP_TLIFE",$AX$10:$AX$16)),0,""))</f>
        <v/>
      </c>
      <c r="AS52" s="369" t="str">
        <f ca="1">IF($B52&lt;&gt;"PRC_RESID","",IF(AS$7=2005+OFFSET(COM_2012!$B$60,$AW52,SUMIF($B$10:$B$16,"NCAP_TLIFE",$AX$10:$AX$16)),0,""))</f>
        <v/>
      </c>
      <c r="AT52" s="369" t="str">
        <f ca="1">IF($B52&lt;&gt;"PRC_RESID","",IF(AT$7=2005+OFFSET(COM_2012!$B$60,$AW52,SUMIF($B$10:$B$16,"NCAP_TLIFE",$AX$10:$AX$16)),0,""))</f>
        <v/>
      </c>
      <c r="AU52" s="369" t="str">
        <f ca="1">IF($B52&lt;&gt;"PRC_RESID","",IF(AU$7=2005+OFFSET(COM_2012!$B$60,$AW52,SUMIF($B$10:$B$16,"NCAP_TLIFE",$AX$10:$AX$16)),0,""))</f>
        <v/>
      </c>
      <c r="AV52" s="304">
        <f>IF(AW51=COM_2012!$AI$121,AV51+1,AV51)</f>
        <v>1</v>
      </c>
      <c r="AW52" s="304">
        <f t="shared" si="5"/>
        <v>25</v>
      </c>
    </row>
    <row r="53" spans="1:49">
      <c r="A53" s="304" t="str">
        <f ca="1">IF(LEFT(OFFSET(COM_2012!$A$60,AW53,0),2)="\I","*","")</f>
        <v/>
      </c>
      <c r="B53" s="369" t="str">
        <f t="shared" ca="1" si="2"/>
        <v>ACT_EFF</v>
      </c>
      <c r="C53" s="369" t="str">
        <f ca="1">IF($A53="*","",OFFSET(COM_2012!$B$60,AW53,0))</f>
        <v>CELELCLED-N</v>
      </c>
      <c r="D53" s="369" t="str">
        <f t="shared" ca="1" si="6"/>
        <v>-</v>
      </c>
      <c r="E53" s="369" t="str">
        <f t="shared" ca="1" si="6"/>
        <v>ACTGRP</v>
      </c>
      <c r="F53" s="369" t="str">
        <f t="shared" ca="1" si="6"/>
        <v>-</v>
      </c>
      <c r="G53" s="369" t="str">
        <f t="shared" ca="1" si="6"/>
        <v>ANNUAL</v>
      </c>
      <c r="H53" s="369" t="str">
        <f t="shared" ca="1" si="6"/>
        <v>-</v>
      </c>
      <c r="I53" s="370">
        <f t="shared" ca="1" si="6"/>
        <v>0</v>
      </c>
      <c r="J53" s="391">
        <f ca="1">IF($A53="*","",OFFSET(COM_2012!$B$60,AW53,SUMIF($B$10:$B$16,B53,$AX$10:$AX$16)))</f>
        <v>9.8000000000000007</v>
      </c>
      <c r="K53" s="369" t="str">
        <f ca="1">IF($B53&lt;&gt;"PRC_RESID","",IF(K$7=2005+OFFSET(COM_2012!$B$60,$AW53,SUMIF($B$10:$B$16,"NCAP_TLIFE",$AX$10:$AX$16)),0,""))</f>
        <v/>
      </c>
      <c r="L53" s="369" t="str">
        <f ca="1">IF($B53&lt;&gt;"PRC_RESID","",IF(L$7=2005+OFFSET(COM_2012!$B$60,$AW53,SUMIF($B$10:$B$16,"NCAP_TLIFE",$AX$10:$AX$16)),0,""))</f>
        <v/>
      </c>
      <c r="M53" s="369" t="str">
        <f ca="1">IF($B53&lt;&gt;"PRC_RESID","",IF(M$7=2005+OFFSET(COM_2012!$B$60,$AW53,SUMIF($B$10:$B$16,"NCAP_TLIFE",$AX$10:$AX$16)),0,""))</f>
        <v/>
      </c>
      <c r="N53" s="369" t="str">
        <f ca="1">IF($B53&lt;&gt;"PRC_RESID","",IF(N$7=2005+OFFSET(COM_2012!$B$60,$AW53,SUMIF($B$10:$B$16,"NCAP_TLIFE",$AX$10:$AX$16)),0,""))</f>
        <v/>
      </c>
      <c r="O53" s="658" t="str">
        <f ca="1">IF($B53&lt;&gt;"PRC_RESID","",IF(O$7=2005+OFFSET(COM_2012!$B$60,$AW53,SUMIF($B$10:$B$16,"NCAP_TLIFE",$AX$10:$AX$16)),0,""))</f>
        <v/>
      </c>
      <c r="P53" s="369" t="str">
        <f ca="1">IF($B53&lt;&gt;"PRC_RESID","",IF(P$7=2005+OFFSET(COM_2012!$B$60,$AW53,SUMIF($B$10:$B$16,"NCAP_TLIFE",$AX$10:$AX$16)),0,""))</f>
        <v/>
      </c>
      <c r="Q53" s="369" t="str">
        <f ca="1">IF($B53&lt;&gt;"PRC_RESID","",IF(Q$7=2005+OFFSET(COM_2012!$B$60,$AW53,SUMIF($B$10:$B$16,"NCAP_TLIFE",$AX$10:$AX$16)),0,""))</f>
        <v/>
      </c>
      <c r="R53" s="369" t="str">
        <f ca="1">IF($B53&lt;&gt;"PRC_RESID","",IF(R$7=2005+OFFSET(COM_2012!$B$60,$AW53,SUMIF($B$10:$B$16,"NCAP_TLIFE",$AX$10:$AX$16)),0,""))</f>
        <v/>
      </c>
      <c r="S53" s="369" t="str">
        <f ca="1">IF($B53&lt;&gt;"PRC_RESID","",IF(S$7=2005+OFFSET(COM_2012!$B$60,$AW53,SUMIF($B$10:$B$16,"NCAP_TLIFE",$AX$10:$AX$16)),0,""))</f>
        <v/>
      </c>
      <c r="T53" s="369" t="str">
        <f ca="1">IF($B53&lt;&gt;"PRC_RESID","",IF(T$7=2005+OFFSET(COM_2012!$B$60,$AW53,SUMIF($B$10:$B$16,"NCAP_TLIFE",$AX$10:$AX$16)),0,""))</f>
        <v/>
      </c>
      <c r="U53" s="369" t="str">
        <f ca="1">IF($B53&lt;&gt;"PRC_RESID","",IF(U$7=2005+OFFSET(COM_2012!$B$60,$AW53,SUMIF($B$10:$B$16,"NCAP_TLIFE",$AX$10:$AX$16)),0,""))</f>
        <v/>
      </c>
      <c r="V53" s="369" t="str">
        <f ca="1">IF($B53&lt;&gt;"PRC_RESID","",IF(V$7=2005+OFFSET(COM_2012!$B$60,$AW53,SUMIF($B$10:$B$16,"NCAP_TLIFE",$AX$10:$AX$16)),0,""))</f>
        <v/>
      </c>
      <c r="W53" s="369" t="str">
        <f ca="1">IF($B53&lt;&gt;"PRC_RESID","",IF(W$7=2005+OFFSET(COM_2012!$B$60,$AW53,SUMIF($B$10:$B$16,"NCAP_TLIFE",$AX$10:$AX$16)),0,""))</f>
        <v/>
      </c>
      <c r="X53" s="369" t="str">
        <f ca="1">IF($B53&lt;&gt;"PRC_RESID","",IF(X$7=2005+OFFSET(COM_2012!$B$60,$AW53,SUMIF($B$10:$B$16,"NCAP_TLIFE",$AX$10:$AX$16)),0,""))</f>
        <v/>
      </c>
      <c r="Y53" s="369" t="str">
        <f ca="1">IF($B53&lt;&gt;"PRC_RESID","",IF(Y$7=2005+OFFSET(COM_2012!$B$60,$AW53,SUMIF($B$10:$B$16,"NCAP_TLIFE",$AX$10:$AX$16)),0,""))</f>
        <v/>
      </c>
      <c r="Z53" s="369" t="str">
        <f ca="1">IF($B53&lt;&gt;"PRC_RESID","",IF(Z$7=2005+OFFSET(COM_2012!$B$60,$AW53,SUMIF($B$10:$B$16,"NCAP_TLIFE",$AX$10:$AX$16)),0,""))</f>
        <v/>
      </c>
      <c r="AA53" s="369" t="str">
        <f ca="1">IF($B53&lt;&gt;"PRC_RESID","",IF(AA$7=2005+OFFSET(COM_2012!$B$60,$AW53,SUMIF($B$10:$B$16,"NCAP_TLIFE",$AX$10:$AX$16)),0,""))</f>
        <v/>
      </c>
      <c r="AB53" s="369" t="str">
        <f ca="1">IF($B53&lt;&gt;"PRC_RESID","",IF(AB$7=2005+OFFSET(COM_2012!$B$60,$AW53,SUMIF($B$10:$B$16,"NCAP_TLIFE",$AX$10:$AX$16)),0,""))</f>
        <v/>
      </c>
      <c r="AC53" s="369" t="str">
        <f ca="1">IF($B53&lt;&gt;"PRC_RESID","",IF(AC$7=2005+OFFSET(COM_2012!$B$60,$AW53,SUMIF($B$10:$B$16,"NCAP_TLIFE",$AX$10:$AX$16)),0,""))</f>
        <v/>
      </c>
      <c r="AD53" s="369" t="str">
        <f ca="1">IF($B53&lt;&gt;"PRC_RESID","",IF(AD$7=2005+OFFSET(COM_2012!$B$60,$AW53,SUMIF($B$10:$B$16,"NCAP_TLIFE",$AX$10:$AX$16)),0,""))</f>
        <v/>
      </c>
      <c r="AE53" s="369" t="str">
        <f ca="1">IF($B53&lt;&gt;"PRC_RESID","",IF(AE$7=2005+OFFSET(COM_2012!$B$60,$AW53,SUMIF($B$10:$B$16,"NCAP_TLIFE",$AX$10:$AX$16)),0,""))</f>
        <v/>
      </c>
      <c r="AF53" s="369" t="str">
        <f ca="1">IF($B53&lt;&gt;"PRC_RESID","",IF(AF$7=2005+OFFSET(COM_2012!$B$60,$AW53,SUMIF($B$10:$B$16,"NCAP_TLIFE",$AX$10:$AX$16)),0,""))</f>
        <v/>
      </c>
      <c r="AG53" s="369" t="str">
        <f ca="1">IF($B53&lt;&gt;"PRC_RESID","",IF(AG$7=2005+OFFSET(COM_2012!$B$60,$AW53,SUMIF($B$10:$B$16,"NCAP_TLIFE",$AX$10:$AX$16)),0,""))</f>
        <v/>
      </c>
      <c r="AH53" s="369" t="str">
        <f ca="1">IF($B53&lt;&gt;"PRC_RESID","",IF(AH$7=2005+OFFSET(COM_2012!$B$60,$AW53,SUMIF($B$10:$B$16,"NCAP_TLIFE",$AX$10:$AX$16)),0,""))</f>
        <v/>
      </c>
      <c r="AI53" s="369" t="str">
        <f ca="1">IF($B53&lt;&gt;"PRC_RESID","",IF(AI$7=2005+OFFSET(COM_2012!$B$60,$AW53,SUMIF($B$10:$B$16,"NCAP_TLIFE",$AX$10:$AX$16)),0,""))</f>
        <v/>
      </c>
      <c r="AJ53" s="369" t="str">
        <f ca="1">IF($B53&lt;&gt;"PRC_RESID","",IF(AJ$7=2005+OFFSET(COM_2012!$B$60,$AW53,SUMIF($B$10:$B$16,"NCAP_TLIFE",$AX$10:$AX$16)),0,""))</f>
        <v/>
      </c>
      <c r="AK53" s="369" t="str">
        <f ca="1">IF($B53&lt;&gt;"PRC_RESID","",IF(AK$7=2005+OFFSET(COM_2012!$B$60,$AW53,SUMIF($B$10:$B$16,"NCAP_TLIFE",$AX$10:$AX$16)),0,""))</f>
        <v/>
      </c>
      <c r="AL53" s="369" t="str">
        <f ca="1">IF($B53&lt;&gt;"PRC_RESID","",IF(AL$7=2005+OFFSET(COM_2012!$B$60,$AW53,SUMIF($B$10:$B$16,"NCAP_TLIFE",$AX$10:$AX$16)),0,""))</f>
        <v/>
      </c>
      <c r="AM53" s="369" t="str">
        <f ca="1">IF($B53&lt;&gt;"PRC_RESID","",IF(AM$7=2005+OFFSET(COM_2012!$B$60,$AW53,SUMIF($B$10:$B$16,"NCAP_TLIFE",$AX$10:$AX$16)),0,""))</f>
        <v/>
      </c>
      <c r="AN53" s="369" t="str">
        <f ca="1">IF($B53&lt;&gt;"PRC_RESID","",IF(AN$7=2005+OFFSET(COM_2012!$B$60,$AW53,SUMIF($B$10:$B$16,"NCAP_TLIFE",$AX$10:$AX$16)),0,""))</f>
        <v/>
      </c>
      <c r="AO53" s="369" t="str">
        <f ca="1">IF($B53&lt;&gt;"PRC_RESID","",IF(AO$7=2005+OFFSET(COM_2012!$B$60,$AW53,SUMIF($B$10:$B$16,"NCAP_TLIFE",$AX$10:$AX$16)),0,""))</f>
        <v/>
      </c>
      <c r="AP53" s="369" t="str">
        <f ca="1">IF($B53&lt;&gt;"PRC_RESID","",IF(AP$7=2005+OFFSET(COM_2012!$B$60,$AW53,SUMIF($B$10:$B$16,"NCAP_TLIFE",$AX$10:$AX$16)),0,""))</f>
        <v/>
      </c>
      <c r="AQ53" s="369" t="str">
        <f ca="1">IF($B53&lt;&gt;"PRC_RESID","",IF(AQ$7=2005+OFFSET(COM_2012!$B$60,$AW53,SUMIF($B$10:$B$16,"NCAP_TLIFE",$AX$10:$AX$16)),0,""))</f>
        <v/>
      </c>
      <c r="AR53" s="369" t="str">
        <f ca="1">IF($B53&lt;&gt;"PRC_RESID","",IF(AR$7=2005+OFFSET(COM_2012!$B$60,$AW53,SUMIF($B$10:$B$16,"NCAP_TLIFE",$AX$10:$AX$16)),0,""))</f>
        <v/>
      </c>
      <c r="AS53" s="369" t="str">
        <f ca="1">IF($B53&lt;&gt;"PRC_RESID","",IF(AS$7=2005+OFFSET(COM_2012!$B$60,$AW53,SUMIF($B$10:$B$16,"NCAP_TLIFE",$AX$10:$AX$16)),0,""))</f>
        <v/>
      </c>
      <c r="AT53" s="369" t="str">
        <f ca="1">IF($B53&lt;&gt;"PRC_RESID","",IF(AT$7=2005+OFFSET(COM_2012!$B$60,$AW53,SUMIF($B$10:$B$16,"NCAP_TLIFE",$AX$10:$AX$16)),0,""))</f>
        <v/>
      </c>
      <c r="AU53" s="369" t="str">
        <f ca="1">IF($B53&lt;&gt;"PRC_RESID","",IF(AU$7=2005+OFFSET(COM_2012!$B$60,$AW53,SUMIF($B$10:$B$16,"NCAP_TLIFE",$AX$10:$AX$16)),0,""))</f>
        <v/>
      </c>
      <c r="AV53" s="304">
        <f>IF(AW52=COM_2012!$AI$121,AV52+1,AV52)</f>
        <v>1</v>
      </c>
      <c r="AW53" s="304">
        <f t="shared" si="5"/>
        <v>26</v>
      </c>
    </row>
    <row r="54" spans="1:49">
      <c r="A54" s="304" t="str">
        <f ca="1">IF(LEFT(OFFSET(COM_2012!$A$60,AW54,0),2)="\I","*","")</f>
        <v>*</v>
      </c>
      <c r="B54" s="369" t="str">
        <f t="shared" ca="1" si="2"/>
        <v/>
      </c>
      <c r="C54" s="369" t="str">
        <f ca="1">IF($A54="*","",OFFSET(COM_2012!$B$60,AW54,0))</f>
        <v/>
      </c>
      <c r="D54" s="369" t="str">
        <f t="shared" ca="1" si="6"/>
        <v/>
      </c>
      <c r="E54" s="369" t="str">
        <f t="shared" ca="1" si="6"/>
        <v/>
      </c>
      <c r="F54" s="369" t="str">
        <f t="shared" ca="1" si="6"/>
        <v/>
      </c>
      <c r="G54" s="369" t="str">
        <f t="shared" ca="1" si="6"/>
        <v/>
      </c>
      <c r="H54" s="369" t="str">
        <f t="shared" ca="1" si="6"/>
        <v/>
      </c>
      <c r="I54" s="370" t="str">
        <f t="shared" ca="1" si="6"/>
        <v/>
      </c>
      <c r="J54" s="391" t="str">
        <f ca="1">IF($A54="*","",OFFSET(COM_2012!$B$60,AW54,SUMIF($B$10:$B$16,B54,$AX$10:$AX$16)))</f>
        <v/>
      </c>
      <c r="K54" s="369" t="str">
        <f ca="1">IF($B54&lt;&gt;"PRC_RESID","",IF(K$7=2005+OFFSET(COM_2012!$B$60,$AW54,SUMIF($B$10:$B$16,"NCAP_TLIFE",$AX$10:$AX$16)),0,""))</f>
        <v/>
      </c>
      <c r="L54" s="369" t="str">
        <f ca="1">IF($B54&lt;&gt;"PRC_RESID","",IF(L$7=2005+OFFSET(COM_2012!$B$60,$AW54,SUMIF($B$10:$B$16,"NCAP_TLIFE",$AX$10:$AX$16)),0,""))</f>
        <v/>
      </c>
      <c r="M54" s="369" t="str">
        <f ca="1">IF($B54&lt;&gt;"PRC_RESID","",IF(M$7=2005+OFFSET(COM_2012!$B$60,$AW54,SUMIF($B$10:$B$16,"NCAP_TLIFE",$AX$10:$AX$16)),0,""))</f>
        <v/>
      </c>
      <c r="N54" s="369" t="str">
        <f ca="1">IF($B54&lt;&gt;"PRC_RESID","",IF(N$7=2005+OFFSET(COM_2012!$B$60,$AW54,SUMIF($B$10:$B$16,"NCAP_TLIFE",$AX$10:$AX$16)),0,""))</f>
        <v/>
      </c>
      <c r="O54" s="658" t="str">
        <f ca="1">IF($B54&lt;&gt;"PRC_RESID","",IF(O$7=2005+OFFSET(COM_2012!$B$60,$AW54,SUMIF($B$10:$B$16,"NCAP_TLIFE",$AX$10:$AX$16)),0,""))</f>
        <v/>
      </c>
      <c r="P54" s="369" t="str">
        <f ca="1">IF($B54&lt;&gt;"PRC_RESID","",IF(P$7=2005+OFFSET(COM_2012!$B$60,$AW54,SUMIF($B$10:$B$16,"NCAP_TLIFE",$AX$10:$AX$16)),0,""))</f>
        <v/>
      </c>
      <c r="Q54" s="369" t="str">
        <f ca="1">IF($B54&lt;&gt;"PRC_RESID","",IF(Q$7=2005+OFFSET(COM_2012!$B$60,$AW54,SUMIF($B$10:$B$16,"NCAP_TLIFE",$AX$10:$AX$16)),0,""))</f>
        <v/>
      </c>
      <c r="R54" s="369" t="str">
        <f ca="1">IF($B54&lt;&gt;"PRC_RESID","",IF(R$7=2005+OFFSET(COM_2012!$B$60,$AW54,SUMIF($B$10:$B$16,"NCAP_TLIFE",$AX$10:$AX$16)),0,""))</f>
        <v/>
      </c>
      <c r="S54" s="369" t="str">
        <f ca="1">IF($B54&lt;&gt;"PRC_RESID","",IF(S$7=2005+OFFSET(COM_2012!$B$60,$AW54,SUMIF($B$10:$B$16,"NCAP_TLIFE",$AX$10:$AX$16)),0,""))</f>
        <v/>
      </c>
      <c r="T54" s="369" t="str">
        <f ca="1">IF($B54&lt;&gt;"PRC_RESID","",IF(T$7=2005+OFFSET(COM_2012!$B$60,$AW54,SUMIF($B$10:$B$16,"NCAP_TLIFE",$AX$10:$AX$16)),0,""))</f>
        <v/>
      </c>
      <c r="U54" s="369" t="str">
        <f ca="1">IF($B54&lt;&gt;"PRC_RESID","",IF(U$7=2005+OFFSET(COM_2012!$B$60,$AW54,SUMIF($B$10:$B$16,"NCAP_TLIFE",$AX$10:$AX$16)),0,""))</f>
        <v/>
      </c>
      <c r="V54" s="369" t="str">
        <f ca="1">IF($B54&lt;&gt;"PRC_RESID","",IF(V$7=2005+OFFSET(COM_2012!$B$60,$AW54,SUMIF($B$10:$B$16,"NCAP_TLIFE",$AX$10:$AX$16)),0,""))</f>
        <v/>
      </c>
      <c r="W54" s="369" t="str">
        <f ca="1">IF($B54&lt;&gt;"PRC_RESID","",IF(W$7=2005+OFFSET(COM_2012!$B$60,$AW54,SUMIF($B$10:$B$16,"NCAP_TLIFE",$AX$10:$AX$16)),0,""))</f>
        <v/>
      </c>
      <c r="X54" s="369" t="str">
        <f ca="1">IF($B54&lt;&gt;"PRC_RESID","",IF(X$7=2005+OFFSET(COM_2012!$B$60,$AW54,SUMIF($B$10:$B$16,"NCAP_TLIFE",$AX$10:$AX$16)),0,""))</f>
        <v/>
      </c>
      <c r="Y54" s="369" t="str">
        <f ca="1">IF($B54&lt;&gt;"PRC_RESID","",IF(Y$7=2005+OFFSET(COM_2012!$B$60,$AW54,SUMIF($B$10:$B$16,"NCAP_TLIFE",$AX$10:$AX$16)),0,""))</f>
        <v/>
      </c>
      <c r="Z54" s="369" t="str">
        <f ca="1">IF($B54&lt;&gt;"PRC_RESID","",IF(Z$7=2005+OFFSET(COM_2012!$B$60,$AW54,SUMIF($B$10:$B$16,"NCAP_TLIFE",$AX$10:$AX$16)),0,""))</f>
        <v/>
      </c>
      <c r="AA54" s="369" t="str">
        <f ca="1">IF($B54&lt;&gt;"PRC_RESID","",IF(AA$7=2005+OFFSET(COM_2012!$B$60,$AW54,SUMIF($B$10:$B$16,"NCAP_TLIFE",$AX$10:$AX$16)),0,""))</f>
        <v/>
      </c>
      <c r="AB54" s="369" t="str">
        <f ca="1">IF($B54&lt;&gt;"PRC_RESID","",IF(AB$7=2005+OFFSET(COM_2012!$B$60,$AW54,SUMIF($B$10:$B$16,"NCAP_TLIFE",$AX$10:$AX$16)),0,""))</f>
        <v/>
      </c>
      <c r="AC54" s="369" t="str">
        <f ca="1">IF($B54&lt;&gt;"PRC_RESID","",IF(AC$7=2005+OFFSET(COM_2012!$B$60,$AW54,SUMIF($B$10:$B$16,"NCAP_TLIFE",$AX$10:$AX$16)),0,""))</f>
        <v/>
      </c>
      <c r="AD54" s="369" t="str">
        <f ca="1">IF($B54&lt;&gt;"PRC_RESID","",IF(AD$7=2005+OFFSET(COM_2012!$B$60,$AW54,SUMIF($B$10:$B$16,"NCAP_TLIFE",$AX$10:$AX$16)),0,""))</f>
        <v/>
      </c>
      <c r="AE54" s="369" t="str">
        <f ca="1">IF($B54&lt;&gt;"PRC_RESID","",IF(AE$7=2005+OFFSET(COM_2012!$B$60,$AW54,SUMIF($B$10:$B$16,"NCAP_TLIFE",$AX$10:$AX$16)),0,""))</f>
        <v/>
      </c>
      <c r="AF54" s="369" t="str">
        <f ca="1">IF($B54&lt;&gt;"PRC_RESID","",IF(AF$7=2005+OFFSET(COM_2012!$B$60,$AW54,SUMIF($B$10:$B$16,"NCAP_TLIFE",$AX$10:$AX$16)),0,""))</f>
        <v/>
      </c>
      <c r="AG54" s="369" t="str">
        <f ca="1">IF($B54&lt;&gt;"PRC_RESID","",IF(AG$7=2005+OFFSET(COM_2012!$B$60,$AW54,SUMIF($B$10:$B$16,"NCAP_TLIFE",$AX$10:$AX$16)),0,""))</f>
        <v/>
      </c>
      <c r="AH54" s="369" t="str">
        <f ca="1">IF($B54&lt;&gt;"PRC_RESID","",IF(AH$7=2005+OFFSET(COM_2012!$B$60,$AW54,SUMIF($B$10:$B$16,"NCAP_TLIFE",$AX$10:$AX$16)),0,""))</f>
        <v/>
      </c>
      <c r="AI54" s="369" t="str">
        <f ca="1">IF($B54&lt;&gt;"PRC_RESID","",IF(AI$7=2005+OFFSET(COM_2012!$B$60,$AW54,SUMIF($B$10:$B$16,"NCAP_TLIFE",$AX$10:$AX$16)),0,""))</f>
        <v/>
      </c>
      <c r="AJ54" s="369" t="str">
        <f ca="1">IF($B54&lt;&gt;"PRC_RESID","",IF(AJ$7=2005+OFFSET(COM_2012!$B$60,$AW54,SUMIF($B$10:$B$16,"NCAP_TLIFE",$AX$10:$AX$16)),0,""))</f>
        <v/>
      </c>
      <c r="AK54" s="369" t="str">
        <f ca="1">IF($B54&lt;&gt;"PRC_RESID","",IF(AK$7=2005+OFFSET(COM_2012!$B$60,$AW54,SUMIF($B$10:$B$16,"NCAP_TLIFE",$AX$10:$AX$16)),0,""))</f>
        <v/>
      </c>
      <c r="AL54" s="369" t="str">
        <f ca="1">IF($B54&lt;&gt;"PRC_RESID","",IF(AL$7=2005+OFFSET(COM_2012!$B$60,$AW54,SUMIF($B$10:$B$16,"NCAP_TLIFE",$AX$10:$AX$16)),0,""))</f>
        <v/>
      </c>
      <c r="AM54" s="369" t="str">
        <f ca="1">IF($B54&lt;&gt;"PRC_RESID","",IF(AM$7=2005+OFFSET(COM_2012!$B$60,$AW54,SUMIF($B$10:$B$16,"NCAP_TLIFE",$AX$10:$AX$16)),0,""))</f>
        <v/>
      </c>
      <c r="AN54" s="369" t="str">
        <f ca="1">IF($B54&lt;&gt;"PRC_RESID","",IF(AN$7=2005+OFFSET(COM_2012!$B$60,$AW54,SUMIF($B$10:$B$16,"NCAP_TLIFE",$AX$10:$AX$16)),0,""))</f>
        <v/>
      </c>
      <c r="AO54" s="369" t="str">
        <f ca="1">IF($B54&lt;&gt;"PRC_RESID","",IF(AO$7=2005+OFFSET(COM_2012!$B$60,$AW54,SUMIF($B$10:$B$16,"NCAP_TLIFE",$AX$10:$AX$16)),0,""))</f>
        <v/>
      </c>
      <c r="AP54" s="369" t="str">
        <f ca="1">IF($B54&lt;&gt;"PRC_RESID","",IF(AP$7=2005+OFFSET(COM_2012!$B$60,$AW54,SUMIF($B$10:$B$16,"NCAP_TLIFE",$AX$10:$AX$16)),0,""))</f>
        <v/>
      </c>
      <c r="AQ54" s="369" t="str">
        <f ca="1">IF($B54&lt;&gt;"PRC_RESID","",IF(AQ$7=2005+OFFSET(COM_2012!$B$60,$AW54,SUMIF($B$10:$B$16,"NCAP_TLIFE",$AX$10:$AX$16)),0,""))</f>
        <v/>
      </c>
      <c r="AR54" s="369" t="str">
        <f ca="1">IF($B54&lt;&gt;"PRC_RESID","",IF(AR$7=2005+OFFSET(COM_2012!$B$60,$AW54,SUMIF($B$10:$B$16,"NCAP_TLIFE",$AX$10:$AX$16)),0,""))</f>
        <v/>
      </c>
      <c r="AS54" s="369" t="str">
        <f ca="1">IF($B54&lt;&gt;"PRC_RESID","",IF(AS$7=2005+OFFSET(COM_2012!$B$60,$AW54,SUMIF($B$10:$B$16,"NCAP_TLIFE",$AX$10:$AX$16)),0,""))</f>
        <v/>
      </c>
      <c r="AT54" s="369" t="str">
        <f ca="1">IF($B54&lt;&gt;"PRC_RESID","",IF(AT$7=2005+OFFSET(COM_2012!$B$60,$AW54,SUMIF($B$10:$B$16,"NCAP_TLIFE",$AX$10:$AX$16)),0,""))</f>
        <v/>
      </c>
      <c r="AU54" s="369" t="str">
        <f ca="1">IF($B54&lt;&gt;"PRC_RESID","",IF(AU$7=2005+OFFSET(COM_2012!$B$60,$AW54,SUMIF($B$10:$B$16,"NCAP_TLIFE",$AX$10:$AX$16)),0,""))</f>
        <v/>
      </c>
      <c r="AV54" s="304">
        <f>IF(AW53=COM_2012!$AI$121,AV53+1,AV53)</f>
        <v>1</v>
      </c>
      <c r="AW54" s="304">
        <f t="shared" si="5"/>
        <v>27</v>
      </c>
    </row>
    <row r="55" spans="1:49">
      <c r="A55" s="304" t="str">
        <f ca="1">IF(LEFT(OFFSET(COM_2012!$A$60,AW55,0),2)="\I","*","")</f>
        <v>*</v>
      </c>
      <c r="B55" s="369" t="str">
        <f t="shared" ca="1" si="2"/>
        <v/>
      </c>
      <c r="C55" s="369" t="str">
        <f ca="1">IF($A55="*","",OFFSET(COM_2012!$B$60,AW55,0))</f>
        <v/>
      </c>
      <c r="D55" s="369" t="str">
        <f t="shared" ca="1" si="6"/>
        <v/>
      </c>
      <c r="E55" s="369" t="str">
        <f t="shared" ca="1" si="6"/>
        <v/>
      </c>
      <c r="F55" s="369" t="str">
        <f t="shared" ca="1" si="6"/>
        <v/>
      </c>
      <c r="G55" s="369" t="str">
        <f t="shared" ca="1" si="6"/>
        <v/>
      </c>
      <c r="H55" s="369" t="str">
        <f t="shared" ca="1" si="6"/>
        <v/>
      </c>
      <c r="I55" s="370" t="str">
        <f t="shared" ca="1" si="6"/>
        <v/>
      </c>
      <c r="J55" s="391" t="str">
        <f ca="1">IF($A55="*","",OFFSET(COM_2012!$B$60,AW55,SUMIF($B$10:$B$16,B55,$AX$10:$AX$16)))</f>
        <v/>
      </c>
      <c r="K55" s="369" t="str">
        <f ca="1">IF($B55&lt;&gt;"PRC_RESID","",IF(K$7=2005+OFFSET(COM_2012!$B$60,$AW55,SUMIF($B$10:$B$16,"NCAP_TLIFE",$AX$10:$AX$16)),0,""))</f>
        <v/>
      </c>
      <c r="L55" s="369" t="str">
        <f ca="1">IF($B55&lt;&gt;"PRC_RESID","",IF(L$7=2005+OFFSET(COM_2012!$B$60,$AW55,SUMIF($B$10:$B$16,"NCAP_TLIFE",$AX$10:$AX$16)),0,""))</f>
        <v/>
      </c>
      <c r="M55" s="369" t="str">
        <f ca="1">IF($B55&lt;&gt;"PRC_RESID","",IF(M$7=2005+OFFSET(COM_2012!$B$60,$AW55,SUMIF($B$10:$B$16,"NCAP_TLIFE",$AX$10:$AX$16)),0,""))</f>
        <v/>
      </c>
      <c r="N55" s="369" t="str">
        <f ca="1">IF($B55&lt;&gt;"PRC_RESID","",IF(N$7=2005+OFFSET(COM_2012!$B$60,$AW55,SUMIF($B$10:$B$16,"NCAP_TLIFE",$AX$10:$AX$16)),0,""))</f>
        <v/>
      </c>
      <c r="O55" s="658" t="str">
        <f ca="1">IF($B55&lt;&gt;"PRC_RESID","",IF(O$7=2005+OFFSET(COM_2012!$B$60,$AW55,SUMIF($B$10:$B$16,"NCAP_TLIFE",$AX$10:$AX$16)),0,""))</f>
        <v/>
      </c>
      <c r="P55" s="369" t="str">
        <f ca="1">IF($B55&lt;&gt;"PRC_RESID","",IF(P$7=2005+OFFSET(COM_2012!$B$60,$AW55,SUMIF($B$10:$B$16,"NCAP_TLIFE",$AX$10:$AX$16)),0,""))</f>
        <v/>
      </c>
      <c r="Q55" s="369" t="str">
        <f ca="1">IF($B55&lt;&gt;"PRC_RESID","",IF(Q$7=2005+OFFSET(COM_2012!$B$60,$AW55,SUMIF($B$10:$B$16,"NCAP_TLIFE",$AX$10:$AX$16)),0,""))</f>
        <v/>
      </c>
      <c r="R55" s="369" t="str">
        <f ca="1">IF($B55&lt;&gt;"PRC_RESID","",IF(R$7=2005+OFFSET(COM_2012!$B$60,$AW55,SUMIF($B$10:$B$16,"NCAP_TLIFE",$AX$10:$AX$16)),0,""))</f>
        <v/>
      </c>
      <c r="S55" s="369" t="str">
        <f ca="1">IF($B55&lt;&gt;"PRC_RESID","",IF(S$7=2005+OFFSET(COM_2012!$B$60,$AW55,SUMIF($B$10:$B$16,"NCAP_TLIFE",$AX$10:$AX$16)),0,""))</f>
        <v/>
      </c>
      <c r="T55" s="369" t="str">
        <f ca="1">IF($B55&lt;&gt;"PRC_RESID","",IF(T$7=2005+OFFSET(COM_2012!$B$60,$AW55,SUMIF($B$10:$B$16,"NCAP_TLIFE",$AX$10:$AX$16)),0,""))</f>
        <v/>
      </c>
      <c r="U55" s="369" t="str">
        <f ca="1">IF($B55&lt;&gt;"PRC_RESID","",IF(U$7=2005+OFFSET(COM_2012!$B$60,$AW55,SUMIF($B$10:$B$16,"NCAP_TLIFE",$AX$10:$AX$16)),0,""))</f>
        <v/>
      </c>
      <c r="V55" s="369" t="str">
        <f ca="1">IF($B55&lt;&gt;"PRC_RESID","",IF(V$7=2005+OFFSET(COM_2012!$B$60,$AW55,SUMIF($B$10:$B$16,"NCAP_TLIFE",$AX$10:$AX$16)),0,""))</f>
        <v/>
      </c>
      <c r="W55" s="369" t="str">
        <f ca="1">IF($B55&lt;&gt;"PRC_RESID","",IF(W$7=2005+OFFSET(COM_2012!$B$60,$AW55,SUMIF($B$10:$B$16,"NCAP_TLIFE",$AX$10:$AX$16)),0,""))</f>
        <v/>
      </c>
      <c r="X55" s="369" t="str">
        <f ca="1">IF($B55&lt;&gt;"PRC_RESID","",IF(X$7=2005+OFFSET(COM_2012!$B$60,$AW55,SUMIF($B$10:$B$16,"NCAP_TLIFE",$AX$10:$AX$16)),0,""))</f>
        <v/>
      </c>
      <c r="Y55" s="369" t="str">
        <f ca="1">IF($B55&lt;&gt;"PRC_RESID","",IF(Y$7=2005+OFFSET(COM_2012!$B$60,$AW55,SUMIF($B$10:$B$16,"NCAP_TLIFE",$AX$10:$AX$16)),0,""))</f>
        <v/>
      </c>
      <c r="Z55" s="369" t="str">
        <f ca="1">IF($B55&lt;&gt;"PRC_RESID","",IF(Z$7=2005+OFFSET(COM_2012!$B$60,$AW55,SUMIF($B$10:$B$16,"NCAP_TLIFE",$AX$10:$AX$16)),0,""))</f>
        <v/>
      </c>
      <c r="AA55" s="369" t="str">
        <f ca="1">IF($B55&lt;&gt;"PRC_RESID","",IF(AA$7=2005+OFFSET(COM_2012!$B$60,$AW55,SUMIF($B$10:$B$16,"NCAP_TLIFE",$AX$10:$AX$16)),0,""))</f>
        <v/>
      </c>
      <c r="AB55" s="369" t="str">
        <f ca="1">IF($B55&lt;&gt;"PRC_RESID","",IF(AB$7=2005+OFFSET(COM_2012!$B$60,$AW55,SUMIF($B$10:$B$16,"NCAP_TLIFE",$AX$10:$AX$16)),0,""))</f>
        <v/>
      </c>
      <c r="AC55" s="369" t="str">
        <f ca="1">IF($B55&lt;&gt;"PRC_RESID","",IF(AC$7=2005+OFFSET(COM_2012!$B$60,$AW55,SUMIF($B$10:$B$16,"NCAP_TLIFE",$AX$10:$AX$16)),0,""))</f>
        <v/>
      </c>
      <c r="AD55" s="369" t="str">
        <f ca="1">IF($B55&lt;&gt;"PRC_RESID","",IF(AD$7=2005+OFFSET(COM_2012!$B$60,$AW55,SUMIF($B$10:$B$16,"NCAP_TLIFE",$AX$10:$AX$16)),0,""))</f>
        <v/>
      </c>
      <c r="AE55" s="369" t="str">
        <f ca="1">IF($B55&lt;&gt;"PRC_RESID","",IF(AE$7=2005+OFFSET(COM_2012!$B$60,$AW55,SUMIF($B$10:$B$16,"NCAP_TLIFE",$AX$10:$AX$16)),0,""))</f>
        <v/>
      </c>
      <c r="AF55" s="369" t="str">
        <f ca="1">IF($B55&lt;&gt;"PRC_RESID","",IF(AF$7=2005+OFFSET(COM_2012!$B$60,$AW55,SUMIF($B$10:$B$16,"NCAP_TLIFE",$AX$10:$AX$16)),0,""))</f>
        <v/>
      </c>
      <c r="AG55" s="369" t="str">
        <f ca="1">IF($B55&lt;&gt;"PRC_RESID","",IF(AG$7=2005+OFFSET(COM_2012!$B$60,$AW55,SUMIF($B$10:$B$16,"NCAP_TLIFE",$AX$10:$AX$16)),0,""))</f>
        <v/>
      </c>
      <c r="AH55" s="369" t="str">
        <f ca="1">IF($B55&lt;&gt;"PRC_RESID","",IF(AH$7=2005+OFFSET(COM_2012!$B$60,$AW55,SUMIF($B$10:$B$16,"NCAP_TLIFE",$AX$10:$AX$16)),0,""))</f>
        <v/>
      </c>
      <c r="AI55" s="369" t="str">
        <f ca="1">IF($B55&lt;&gt;"PRC_RESID","",IF(AI$7=2005+OFFSET(COM_2012!$B$60,$AW55,SUMIF($B$10:$B$16,"NCAP_TLIFE",$AX$10:$AX$16)),0,""))</f>
        <v/>
      </c>
      <c r="AJ55" s="369" t="str">
        <f ca="1">IF($B55&lt;&gt;"PRC_RESID","",IF(AJ$7=2005+OFFSET(COM_2012!$B$60,$AW55,SUMIF($B$10:$B$16,"NCAP_TLIFE",$AX$10:$AX$16)),0,""))</f>
        <v/>
      </c>
      <c r="AK55" s="369" t="str">
        <f ca="1">IF($B55&lt;&gt;"PRC_RESID","",IF(AK$7=2005+OFFSET(COM_2012!$B$60,$AW55,SUMIF($B$10:$B$16,"NCAP_TLIFE",$AX$10:$AX$16)),0,""))</f>
        <v/>
      </c>
      <c r="AL55" s="369" t="str">
        <f ca="1">IF($B55&lt;&gt;"PRC_RESID","",IF(AL$7=2005+OFFSET(COM_2012!$B$60,$AW55,SUMIF($B$10:$B$16,"NCAP_TLIFE",$AX$10:$AX$16)),0,""))</f>
        <v/>
      </c>
      <c r="AM55" s="369" t="str">
        <f ca="1">IF($B55&lt;&gt;"PRC_RESID","",IF(AM$7=2005+OFFSET(COM_2012!$B$60,$AW55,SUMIF($B$10:$B$16,"NCAP_TLIFE",$AX$10:$AX$16)),0,""))</f>
        <v/>
      </c>
      <c r="AN55" s="369" t="str">
        <f ca="1">IF($B55&lt;&gt;"PRC_RESID","",IF(AN$7=2005+OFFSET(COM_2012!$B$60,$AW55,SUMIF($B$10:$B$16,"NCAP_TLIFE",$AX$10:$AX$16)),0,""))</f>
        <v/>
      </c>
      <c r="AO55" s="369" t="str">
        <f ca="1">IF($B55&lt;&gt;"PRC_RESID","",IF(AO$7=2005+OFFSET(COM_2012!$B$60,$AW55,SUMIF($B$10:$B$16,"NCAP_TLIFE",$AX$10:$AX$16)),0,""))</f>
        <v/>
      </c>
      <c r="AP55" s="369" t="str">
        <f ca="1">IF($B55&lt;&gt;"PRC_RESID","",IF(AP$7=2005+OFFSET(COM_2012!$B$60,$AW55,SUMIF($B$10:$B$16,"NCAP_TLIFE",$AX$10:$AX$16)),0,""))</f>
        <v/>
      </c>
      <c r="AQ55" s="369" t="str">
        <f ca="1">IF($B55&lt;&gt;"PRC_RESID","",IF(AQ$7=2005+OFFSET(COM_2012!$B$60,$AW55,SUMIF($B$10:$B$16,"NCAP_TLIFE",$AX$10:$AX$16)),0,""))</f>
        <v/>
      </c>
      <c r="AR55" s="369" t="str">
        <f ca="1">IF($B55&lt;&gt;"PRC_RESID","",IF(AR$7=2005+OFFSET(COM_2012!$B$60,$AW55,SUMIF($B$10:$B$16,"NCAP_TLIFE",$AX$10:$AX$16)),0,""))</f>
        <v/>
      </c>
      <c r="AS55" s="369" t="str">
        <f ca="1">IF($B55&lt;&gt;"PRC_RESID","",IF(AS$7=2005+OFFSET(COM_2012!$B$60,$AW55,SUMIF($B$10:$B$16,"NCAP_TLIFE",$AX$10:$AX$16)),0,""))</f>
        <v/>
      </c>
      <c r="AT55" s="369" t="str">
        <f ca="1">IF($B55&lt;&gt;"PRC_RESID","",IF(AT$7=2005+OFFSET(COM_2012!$B$60,$AW55,SUMIF($B$10:$B$16,"NCAP_TLIFE",$AX$10:$AX$16)),0,""))</f>
        <v/>
      </c>
      <c r="AU55" s="369" t="str">
        <f ca="1">IF($B55&lt;&gt;"PRC_RESID","",IF(AU$7=2005+OFFSET(COM_2012!$B$60,$AW55,SUMIF($B$10:$B$16,"NCAP_TLIFE",$AX$10:$AX$16)),0,""))</f>
        <v/>
      </c>
      <c r="AV55" s="304">
        <f>IF(AW54=COM_2012!$AI$121,AV54+1,AV54)</f>
        <v>1</v>
      </c>
      <c r="AW55" s="304">
        <f t="shared" si="5"/>
        <v>28</v>
      </c>
    </row>
    <row r="56" spans="1:49">
      <c r="A56" s="304" t="str">
        <f ca="1">IF(LEFT(OFFSET(COM_2012!$A$60,AW56,0),2)="\I","*","")</f>
        <v/>
      </c>
      <c r="B56" s="369" t="str">
        <f t="shared" ca="1" si="2"/>
        <v>ACT_EFF</v>
      </c>
      <c r="C56" s="369" t="str">
        <f ca="1">IF($A56="*","",OFFSET(COM_2012!$B$60,AW56,0))</f>
        <v>CERELC-E</v>
      </c>
      <c r="D56" s="369" t="str">
        <f t="shared" ca="1" si="6"/>
        <v>-</v>
      </c>
      <c r="E56" s="369" t="str">
        <f t="shared" ca="1" si="6"/>
        <v>ACTGRP</v>
      </c>
      <c r="F56" s="369" t="str">
        <f t="shared" ca="1" si="6"/>
        <v>-</v>
      </c>
      <c r="G56" s="369" t="str">
        <f t="shared" ca="1" si="6"/>
        <v>ANNUAL</v>
      </c>
      <c r="H56" s="369" t="str">
        <f t="shared" ca="1" si="6"/>
        <v>-</v>
      </c>
      <c r="I56" s="370">
        <f t="shared" ca="1" si="6"/>
        <v>0</v>
      </c>
      <c r="J56" s="391">
        <f ca="1">IF($A56="*","",OFFSET(COM_2012!$B$60,AW56,SUMIF($B$10:$B$16,B56,$AX$10:$AX$16)))</f>
        <v>1</v>
      </c>
      <c r="K56" s="369" t="str">
        <f ca="1">IF($B56&lt;&gt;"PRC_RESID","",IF(K$7=2005+OFFSET(COM_2012!$B$60,$AW56,SUMIF($B$10:$B$16,"NCAP_TLIFE",$AX$10:$AX$16)),0,""))</f>
        <v/>
      </c>
      <c r="L56" s="369" t="str">
        <f ca="1">IF($B56&lt;&gt;"PRC_RESID","",IF(L$7=2005+OFFSET(COM_2012!$B$60,$AW56,SUMIF($B$10:$B$16,"NCAP_TLIFE",$AX$10:$AX$16)),0,""))</f>
        <v/>
      </c>
      <c r="M56" s="369" t="str">
        <f ca="1">IF($B56&lt;&gt;"PRC_RESID","",IF(M$7=2005+OFFSET(COM_2012!$B$60,$AW56,SUMIF($B$10:$B$16,"NCAP_TLIFE",$AX$10:$AX$16)),0,""))</f>
        <v/>
      </c>
      <c r="N56" s="369" t="str">
        <f ca="1">IF($B56&lt;&gt;"PRC_RESID","",IF(N$7=2005+OFFSET(COM_2012!$B$60,$AW56,SUMIF($B$10:$B$16,"NCAP_TLIFE",$AX$10:$AX$16)),0,""))</f>
        <v/>
      </c>
      <c r="O56" s="658" t="str">
        <f ca="1">IF($B56&lt;&gt;"PRC_RESID","",IF(O$7=2005+OFFSET(COM_2012!$B$60,$AW56,SUMIF($B$10:$B$16,"NCAP_TLIFE",$AX$10:$AX$16)),0,""))</f>
        <v/>
      </c>
      <c r="P56" s="369" t="str">
        <f ca="1">IF($B56&lt;&gt;"PRC_RESID","",IF(P$7=2005+OFFSET(COM_2012!$B$60,$AW56,SUMIF($B$10:$B$16,"NCAP_TLIFE",$AX$10:$AX$16)),0,""))</f>
        <v/>
      </c>
      <c r="Q56" s="369" t="str">
        <f ca="1">IF($B56&lt;&gt;"PRC_RESID","",IF(Q$7=2005+OFFSET(COM_2012!$B$60,$AW56,SUMIF($B$10:$B$16,"NCAP_TLIFE",$AX$10:$AX$16)),0,""))</f>
        <v/>
      </c>
      <c r="R56" s="369" t="str">
        <f ca="1">IF($B56&lt;&gt;"PRC_RESID","",IF(R$7=2005+OFFSET(COM_2012!$B$60,$AW56,SUMIF($B$10:$B$16,"NCAP_TLIFE",$AX$10:$AX$16)),0,""))</f>
        <v/>
      </c>
      <c r="S56" s="369" t="str">
        <f ca="1">IF($B56&lt;&gt;"PRC_RESID","",IF(S$7=2005+OFFSET(COM_2012!$B$60,$AW56,SUMIF($B$10:$B$16,"NCAP_TLIFE",$AX$10:$AX$16)),0,""))</f>
        <v/>
      </c>
      <c r="T56" s="369" t="str">
        <f ca="1">IF($B56&lt;&gt;"PRC_RESID","",IF(T$7=2005+OFFSET(COM_2012!$B$60,$AW56,SUMIF($B$10:$B$16,"NCAP_TLIFE",$AX$10:$AX$16)),0,""))</f>
        <v/>
      </c>
      <c r="U56" s="369" t="str">
        <f ca="1">IF($B56&lt;&gt;"PRC_RESID","",IF(U$7=2005+OFFSET(COM_2012!$B$60,$AW56,SUMIF($B$10:$B$16,"NCAP_TLIFE",$AX$10:$AX$16)),0,""))</f>
        <v/>
      </c>
      <c r="V56" s="369" t="str">
        <f ca="1">IF($B56&lt;&gt;"PRC_RESID","",IF(V$7=2005+OFFSET(COM_2012!$B$60,$AW56,SUMIF($B$10:$B$16,"NCAP_TLIFE",$AX$10:$AX$16)),0,""))</f>
        <v/>
      </c>
      <c r="W56" s="369" t="str">
        <f ca="1">IF($B56&lt;&gt;"PRC_RESID","",IF(W$7=2005+OFFSET(COM_2012!$B$60,$AW56,SUMIF($B$10:$B$16,"NCAP_TLIFE",$AX$10:$AX$16)),0,""))</f>
        <v/>
      </c>
      <c r="X56" s="369" t="str">
        <f ca="1">IF($B56&lt;&gt;"PRC_RESID","",IF(X$7=2005+OFFSET(COM_2012!$B$60,$AW56,SUMIF($B$10:$B$16,"NCAP_TLIFE",$AX$10:$AX$16)),0,""))</f>
        <v/>
      </c>
      <c r="Y56" s="369" t="str">
        <f ca="1">IF($B56&lt;&gt;"PRC_RESID","",IF(Y$7=2005+OFFSET(COM_2012!$B$60,$AW56,SUMIF($B$10:$B$16,"NCAP_TLIFE",$AX$10:$AX$16)),0,""))</f>
        <v/>
      </c>
      <c r="Z56" s="369" t="str">
        <f ca="1">IF($B56&lt;&gt;"PRC_RESID","",IF(Z$7=2005+OFFSET(COM_2012!$B$60,$AW56,SUMIF($B$10:$B$16,"NCAP_TLIFE",$AX$10:$AX$16)),0,""))</f>
        <v/>
      </c>
      <c r="AA56" s="369" t="str">
        <f ca="1">IF($B56&lt;&gt;"PRC_RESID","",IF(AA$7=2005+OFFSET(COM_2012!$B$60,$AW56,SUMIF($B$10:$B$16,"NCAP_TLIFE",$AX$10:$AX$16)),0,""))</f>
        <v/>
      </c>
      <c r="AB56" s="369" t="str">
        <f ca="1">IF($B56&lt;&gt;"PRC_RESID","",IF(AB$7=2005+OFFSET(COM_2012!$B$60,$AW56,SUMIF($B$10:$B$16,"NCAP_TLIFE",$AX$10:$AX$16)),0,""))</f>
        <v/>
      </c>
      <c r="AC56" s="369" t="str">
        <f ca="1">IF($B56&lt;&gt;"PRC_RESID","",IF(AC$7=2005+OFFSET(COM_2012!$B$60,$AW56,SUMIF($B$10:$B$16,"NCAP_TLIFE",$AX$10:$AX$16)),0,""))</f>
        <v/>
      </c>
      <c r="AD56" s="369" t="str">
        <f ca="1">IF($B56&lt;&gt;"PRC_RESID","",IF(AD$7=2005+OFFSET(COM_2012!$B$60,$AW56,SUMIF($B$10:$B$16,"NCAP_TLIFE",$AX$10:$AX$16)),0,""))</f>
        <v/>
      </c>
      <c r="AE56" s="369" t="str">
        <f ca="1">IF($B56&lt;&gt;"PRC_RESID","",IF(AE$7=2005+OFFSET(COM_2012!$B$60,$AW56,SUMIF($B$10:$B$16,"NCAP_TLIFE",$AX$10:$AX$16)),0,""))</f>
        <v/>
      </c>
      <c r="AF56" s="369" t="str">
        <f ca="1">IF($B56&lt;&gt;"PRC_RESID","",IF(AF$7=2005+OFFSET(COM_2012!$B$60,$AW56,SUMIF($B$10:$B$16,"NCAP_TLIFE",$AX$10:$AX$16)),0,""))</f>
        <v/>
      </c>
      <c r="AG56" s="369" t="str">
        <f ca="1">IF($B56&lt;&gt;"PRC_RESID","",IF(AG$7=2005+OFFSET(COM_2012!$B$60,$AW56,SUMIF($B$10:$B$16,"NCAP_TLIFE",$AX$10:$AX$16)),0,""))</f>
        <v/>
      </c>
      <c r="AH56" s="369" t="str">
        <f ca="1">IF($B56&lt;&gt;"PRC_RESID","",IF(AH$7=2005+OFFSET(COM_2012!$B$60,$AW56,SUMIF($B$10:$B$16,"NCAP_TLIFE",$AX$10:$AX$16)),0,""))</f>
        <v/>
      </c>
      <c r="AI56" s="369" t="str">
        <f ca="1">IF($B56&lt;&gt;"PRC_RESID","",IF(AI$7=2005+OFFSET(COM_2012!$B$60,$AW56,SUMIF($B$10:$B$16,"NCAP_TLIFE",$AX$10:$AX$16)),0,""))</f>
        <v/>
      </c>
      <c r="AJ56" s="369" t="str">
        <f ca="1">IF($B56&lt;&gt;"PRC_RESID","",IF(AJ$7=2005+OFFSET(COM_2012!$B$60,$AW56,SUMIF($B$10:$B$16,"NCAP_TLIFE",$AX$10:$AX$16)),0,""))</f>
        <v/>
      </c>
      <c r="AK56" s="369" t="str">
        <f ca="1">IF($B56&lt;&gt;"PRC_RESID","",IF(AK$7=2005+OFFSET(COM_2012!$B$60,$AW56,SUMIF($B$10:$B$16,"NCAP_TLIFE",$AX$10:$AX$16)),0,""))</f>
        <v/>
      </c>
      <c r="AL56" s="369" t="str">
        <f ca="1">IF($B56&lt;&gt;"PRC_RESID","",IF(AL$7=2005+OFFSET(COM_2012!$B$60,$AW56,SUMIF($B$10:$B$16,"NCAP_TLIFE",$AX$10:$AX$16)),0,""))</f>
        <v/>
      </c>
      <c r="AM56" s="369" t="str">
        <f ca="1">IF($B56&lt;&gt;"PRC_RESID","",IF(AM$7=2005+OFFSET(COM_2012!$B$60,$AW56,SUMIF($B$10:$B$16,"NCAP_TLIFE",$AX$10:$AX$16)),0,""))</f>
        <v/>
      </c>
      <c r="AN56" s="369" t="str">
        <f ca="1">IF($B56&lt;&gt;"PRC_RESID","",IF(AN$7=2005+OFFSET(COM_2012!$B$60,$AW56,SUMIF($B$10:$B$16,"NCAP_TLIFE",$AX$10:$AX$16)),0,""))</f>
        <v/>
      </c>
      <c r="AO56" s="369" t="str">
        <f ca="1">IF($B56&lt;&gt;"PRC_RESID","",IF(AO$7=2005+OFFSET(COM_2012!$B$60,$AW56,SUMIF($B$10:$B$16,"NCAP_TLIFE",$AX$10:$AX$16)),0,""))</f>
        <v/>
      </c>
      <c r="AP56" s="369" t="str">
        <f ca="1">IF($B56&lt;&gt;"PRC_RESID","",IF(AP$7=2005+OFFSET(COM_2012!$B$60,$AW56,SUMIF($B$10:$B$16,"NCAP_TLIFE",$AX$10:$AX$16)),0,""))</f>
        <v/>
      </c>
      <c r="AQ56" s="369" t="str">
        <f ca="1">IF($B56&lt;&gt;"PRC_RESID","",IF(AQ$7=2005+OFFSET(COM_2012!$B$60,$AW56,SUMIF($B$10:$B$16,"NCAP_TLIFE",$AX$10:$AX$16)),0,""))</f>
        <v/>
      </c>
      <c r="AR56" s="369" t="str">
        <f ca="1">IF($B56&lt;&gt;"PRC_RESID","",IF(AR$7=2005+OFFSET(COM_2012!$B$60,$AW56,SUMIF($B$10:$B$16,"NCAP_TLIFE",$AX$10:$AX$16)),0,""))</f>
        <v/>
      </c>
      <c r="AS56" s="369" t="str">
        <f ca="1">IF($B56&lt;&gt;"PRC_RESID","",IF(AS$7=2005+OFFSET(COM_2012!$B$60,$AW56,SUMIF($B$10:$B$16,"NCAP_TLIFE",$AX$10:$AX$16)),0,""))</f>
        <v/>
      </c>
      <c r="AT56" s="369" t="str">
        <f ca="1">IF($B56&lt;&gt;"PRC_RESID","",IF(AT$7=2005+OFFSET(COM_2012!$B$60,$AW56,SUMIF($B$10:$B$16,"NCAP_TLIFE",$AX$10:$AX$16)),0,""))</f>
        <v/>
      </c>
      <c r="AU56" s="369" t="str">
        <f ca="1">IF($B56&lt;&gt;"PRC_RESID","",IF(AU$7=2005+OFFSET(COM_2012!$B$60,$AW56,SUMIF($B$10:$B$16,"NCAP_TLIFE",$AX$10:$AX$16)),0,""))</f>
        <v/>
      </c>
      <c r="AV56" s="304">
        <f>IF(AW55=COM_2012!$AI$121,AV55+1,AV55)</f>
        <v>1</v>
      </c>
      <c r="AW56" s="304">
        <f t="shared" si="5"/>
        <v>29</v>
      </c>
    </row>
    <row r="57" spans="1:49">
      <c r="A57" s="304" t="str">
        <f ca="1">IF(LEFT(OFFSET(COM_2012!$A$60,AW57,0),2)="\I","*","")</f>
        <v/>
      </c>
      <c r="B57" s="369" t="str">
        <f t="shared" ca="1" si="2"/>
        <v>ACT_EFF</v>
      </c>
      <c r="C57" s="369" t="str">
        <f ca="1">IF($A57="*","",OFFSET(COM_2012!$B$60,AW57,0))</f>
        <v>CERELC-N</v>
      </c>
      <c r="D57" s="369" t="str">
        <f t="shared" ca="1" si="6"/>
        <v>-</v>
      </c>
      <c r="E57" s="369" t="str">
        <f t="shared" ca="1" si="6"/>
        <v>ACTGRP</v>
      </c>
      <c r="F57" s="369" t="str">
        <f t="shared" ca="1" si="6"/>
        <v>-</v>
      </c>
      <c r="G57" s="369" t="str">
        <f t="shared" ca="1" si="6"/>
        <v>ANNUAL</v>
      </c>
      <c r="H57" s="369" t="str">
        <f t="shared" ca="1" si="6"/>
        <v>-</v>
      </c>
      <c r="I57" s="370">
        <f t="shared" ca="1" si="6"/>
        <v>0</v>
      </c>
      <c r="J57" s="391">
        <f ca="1">IF($A57="*","",OFFSET(COM_2012!$B$60,AW57,SUMIF($B$10:$B$16,B57,$AX$10:$AX$16)))</f>
        <v>1.6655844155844155</v>
      </c>
      <c r="K57" s="369" t="str">
        <f ca="1">IF($B57&lt;&gt;"PRC_RESID","",IF(K$7=2005+OFFSET(COM_2012!$B$60,$AW57,SUMIF($B$10:$B$16,"NCAP_TLIFE",$AX$10:$AX$16)),0,""))</f>
        <v/>
      </c>
      <c r="L57" s="369" t="str">
        <f ca="1">IF($B57&lt;&gt;"PRC_RESID","",IF(L$7=2005+OFFSET(COM_2012!$B$60,$AW57,SUMIF($B$10:$B$16,"NCAP_TLIFE",$AX$10:$AX$16)),0,""))</f>
        <v/>
      </c>
      <c r="M57" s="369" t="str">
        <f ca="1">IF($B57&lt;&gt;"PRC_RESID","",IF(M$7=2005+OFFSET(COM_2012!$B$60,$AW57,SUMIF($B$10:$B$16,"NCAP_TLIFE",$AX$10:$AX$16)),0,""))</f>
        <v/>
      </c>
      <c r="N57" s="369" t="str">
        <f ca="1">IF($B57&lt;&gt;"PRC_RESID","",IF(N$7=2005+OFFSET(COM_2012!$B$60,$AW57,SUMIF($B$10:$B$16,"NCAP_TLIFE",$AX$10:$AX$16)),0,""))</f>
        <v/>
      </c>
      <c r="O57" s="658" t="str">
        <f ca="1">IF($B57&lt;&gt;"PRC_RESID","",IF(O$7=2005+OFFSET(COM_2012!$B$60,$AW57,SUMIF($B$10:$B$16,"NCAP_TLIFE",$AX$10:$AX$16)),0,""))</f>
        <v/>
      </c>
      <c r="P57" s="369" t="str">
        <f ca="1">IF($B57&lt;&gt;"PRC_RESID","",IF(P$7=2005+OFFSET(COM_2012!$B$60,$AW57,SUMIF($B$10:$B$16,"NCAP_TLIFE",$AX$10:$AX$16)),0,""))</f>
        <v/>
      </c>
      <c r="Q57" s="369" t="str">
        <f ca="1">IF($B57&lt;&gt;"PRC_RESID","",IF(Q$7=2005+OFFSET(COM_2012!$B$60,$AW57,SUMIF($B$10:$B$16,"NCAP_TLIFE",$AX$10:$AX$16)),0,""))</f>
        <v/>
      </c>
      <c r="R57" s="369" t="str">
        <f ca="1">IF($B57&lt;&gt;"PRC_RESID","",IF(R$7=2005+OFFSET(COM_2012!$B$60,$AW57,SUMIF($B$10:$B$16,"NCAP_TLIFE",$AX$10:$AX$16)),0,""))</f>
        <v/>
      </c>
      <c r="S57" s="369" t="str">
        <f ca="1">IF($B57&lt;&gt;"PRC_RESID","",IF(S$7=2005+OFFSET(COM_2012!$B$60,$AW57,SUMIF($B$10:$B$16,"NCAP_TLIFE",$AX$10:$AX$16)),0,""))</f>
        <v/>
      </c>
      <c r="T57" s="369" t="str">
        <f ca="1">IF($B57&lt;&gt;"PRC_RESID","",IF(T$7=2005+OFFSET(COM_2012!$B$60,$AW57,SUMIF($B$10:$B$16,"NCAP_TLIFE",$AX$10:$AX$16)),0,""))</f>
        <v/>
      </c>
      <c r="U57" s="369" t="str">
        <f ca="1">IF($B57&lt;&gt;"PRC_RESID","",IF(U$7=2005+OFFSET(COM_2012!$B$60,$AW57,SUMIF($B$10:$B$16,"NCAP_TLIFE",$AX$10:$AX$16)),0,""))</f>
        <v/>
      </c>
      <c r="V57" s="369" t="str">
        <f ca="1">IF($B57&lt;&gt;"PRC_RESID","",IF(V$7=2005+OFFSET(COM_2012!$B$60,$AW57,SUMIF($B$10:$B$16,"NCAP_TLIFE",$AX$10:$AX$16)),0,""))</f>
        <v/>
      </c>
      <c r="W57" s="369" t="str">
        <f ca="1">IF($B57&lt;&gt;"PRC_RESID","",IF(W$7=2005+OFFSET(COM_2012!$B$60,$AW57,SUMIF($B$10:$B$16,"NCAP_TLIFE",$AX$10:$AX$16)),0,""))</f>
        <v/>
      </c>
      <c r="X57" s="369" t="str">
        <f ca="1">IF($B57&lt;&gt;"PRC_RESID","",IF(X$7=2005+OFFSET(COM_2012!$B$60,$AW57,SUMIF($B$10:$B$16,"NCAP_TLIFE",$AX$10:$AX$16)),0,""))</f>
        <v/>
      </c>
      <c r="Y57" s="369" t="str">
        <f ca="1">IF($B57&lt;&gt;"PRC_RESID","",IF(Y$7=2005+OFFSET(COM_2012!$B$60,$AW57,SUMIF($B$10:$B$16,"NCAP_TLIFE",$AX$10:$AX$16)),0,""))</f>
        <v/>
      </c>
      <c r="Z57" s="369" t="str">
        <f ca="1">IF($B57&lt;&gt;"PRC_RESID","",IF(Z$7=2005+OFFSET(COM_2012!$B$60,$AW57,SUMIF($B$10:$B$16,"NCAP_TLIFE",$AX$10:$AX$16)),0,""))</f>
        <v/>
      </c>
      <c r="AA57" s="369" t="str">
        <f ca="1">IF($B57&lt;&gt;"PRC_RESID","",IF(AA$7=2005+OFFSET(COM_2012!$B$60,$AW57,SUMIF($B$10:$B$16,"NCAP_TLIFE",$AX$10:$AX$16)),0,""))</f>
        <v/>
      </c>
      <c r="AB57" s="369" t="str">
        <f ca="1">IF($B57&lt;&gt;"PRC_RESID","",IF(AB$7=2005+OFFSET(COM_2012!$B$60,$AW57,SUMIF($B$10:$B$16,"NCAP_TLIFE",$AX$10:$AX$16)),0,""))</f>
        <v/>
      </c>
      <c r="AC57" s="369" t="str">
        <f ca="1">IF($B57&lt;&gt;"PRC_RESID","",IF(AC$7=2005+OFFSET(COM_2012!$B$60,$AW57,SUMIF($B$10:$B$16,"NCAP_TLIFE",$AX$10:$AX$16)),0,""))</f>
        <v/>
      </c>
      <c r="AD57" s="369" t="str">
        <f ca="1">IF($B57&lt;&gt;"PRC_RESID","",IF(AD$7=2005+OFFSET(COM_2012!$B$60,$AW57,SUMIF($B$10:$B$16,"NCAP_TLIFE",$AX$10:$AX$16)),0,""))</f>
        <v/>
      </c>
      <c r="AE57" s="369" t="str">
        <f ca="1">IF($B57&lt;&gt;"PRC_RESID","",IF(AE$7=2005+OFFSET(COM_2012!$B$60,$AW57,SUMIF($B$10:$B$16,"NCAP_TLIFE",$AX$10:$AX$16)),0,""))</f>
        <v/>
      </c>
      <c r="AF57" s="369" t="str">
        <f ca="1">IF($B57&lt;&gt;"PRC_RESID","",IF(AF$7=2005+OFFSET(COM_2012!$B$60,$AW57,SUMIF($B$10:$B$16,"NCAP_TLIFE",$AX$10:$AX$16)),0,""))</f>
        <v/>
      </c>
      <c r="AG57" s="369" t="str">
        <f ca="1">IF($B57&lt;&gt;"PRC_RESID","",IF(AG$7=2005+OFFSET(COM_2012!$B$60,$AW57,SUMIF($B$10:$B$16,"NCAP_TLIFE",$AX$10:$AX$16)),0,""))</f>
        <v/>
      </c>
      <c r="AH57" s="369" t="str">
        <f ca="1">IF($B57&lt;&gt;"PRC_RESID","",IF(AH$7=2005+OFFSET(COM_2012!$B$60,$AW57,SUMIF($B$10:$B$16,"NCAP_TLIFE",$AX$10:$AX$16)),0,""))</f>
        <v/>
      </c>
      <c r="AI57" s="369" t="str">
        <f ca="1">IF($B57&lt;&gt;"PRC_RESID","",IF(AI$7=2005+OFFSET(COM_2012!$B$60,$AW57,SUMIF($B$10:$B$16,"NCAP_TLIFE",$AX$10:$AX$16)),0,""))</f>
        <v/>
      </c>
      <c r="AJ57" s="369" t="str">
        <f ca="1">IF($B57&lt;&gt;"PRC_RESID","",IF(AJ$7=2005+OFFSET(COM_2012!$B$60,$AW57,SUMIF($B$10:$B$16,"NCAP_TLIFE",$AX$10:$AX$16)),0,""))</f>
        <v/>
      </c>
      <c r="AK57" s="369" t="str">
        <f ca="1">IF($B57&lt;&gt;"PRC_RESID","",IF(AK$7=2005+OFFSET(COM_2012!$B$60,$AW57,SUMIF($B$10:$B$16,"NCAP_TLIFE",$AX$10:$AX$16)),0,""))</f>
        <v/>
      </c>
      <c r="AL57" s="369" t="str">
        <f ca="1">IF($B57&lt;&gt;"PRC_RESID","",IF(AL$7=2005+OFFSET(COM_2012!$B$60,$AW57,SUMIF($B$10:$B$16,"NCAP_TLIFE",$AX$10:$AX$16)),0,""))</f>
        <v/>
      </c>
      <c r="AM57" s="369" t="str">
        <f ca="1">IF($B57&lt;&gt;"PRC_RESID","",IF(AM$7=2005+OFFSET(COM_2012!$B$60,$AW57,SUMIF($B$10:$B$16,"NCAP_TLIFE",$AX$10:$AX$16)),0,""))</f>
        <v/>
      </c>
      <c r="AN57" s="369" t="str">
        <f ca="1">IF($B57&lt;&gt;"PRC_RESID","",IF(AN$7=2005+OFFSET(COM_2012!$B$60,$AW57,SUMIF($B$10:$B$16,"NCAP_TLIFE",$AX$10:$AX$16)),0,""))</f>
        <v/>
      </c>
      <c r="AO57" s="369" t="str">
        <f ca="1">IF($B57&lt;&gt;"PRC_RESID","",IF(AO$7=2005+OFFSET(COM_2012!$B$60,$AW57,SUMIF($B$10:$B$16,"NCAP_TLIFE",$AX$10:$AX$16)),0,""))</f>
        <v/>
      </c>
      <c r="AP57" s="369" t="str">
        <f ca="1">IF($B57&lt;&gt;"PRC_RESID","",IF(AP$7=2005+OFFSET(COM_2012!$B$60,$AW57,SUMIF($B$10:$B$16,"NCAP_TLIFE",$AX$10:$AX$16)),0,""))</f>
        <v/>
      </c>
      <c r="AQ57" s="369" t="str">
        <f ca="1">IF($B57&lt;&gt;"PRC_RESID","",IF(AQ$7=2005+OFFSET(COM_2012!$B$60,$AW57,SUMIF($B$10:$B$16,"NCAP_TLIFE",$AX$10:$AX$16)),0,""))</f>
        <v/>
      </c>
      <c r="AR57" s="369" t="str">
        <f ca="1">IF($B57&lt;&gt;"PRC_RESID","",IF(AR$7=2005+OFFSET(COM_2012!$B$60,$AW57,SUMIF($B$10:$B$16,"NCAP_TLIFE",$AX$10:$AX$16)),0,""))</f>
        <v/>
      </c>
      <c r="AS57" s="369" t="str">
        <f ca="1">IF($B57&lt;&gt;"PRC_RESID","",IF(AS$7=2005+OFFSET(COM_2012!$B$60,$AW57,SUMIF($B$10:$B$16,"NCAP_TLIFE",$AX$10:$AX$16)),0,""))</f>
        <v/>
      </c>
      <c r="AT57" s="369" t="str">
        <f ca="1">IF($B57&lt;&gt;"PRC_RESID","",IF(AT$7=2005+OFFSET(COM_2012!$B$60,$AW57,SUMIF($B$10:$B$16,"NCAP_TLIFE",$AX$10:$AX$16)),0,""))</f>
        <v/>
      </c>
      <c r="AU57" s="369" t="str">
        <f ca="1">IF($B57&lt;&gt;"PRC_RESID","",IF(AU$7=2005+OFFSET(COM_2012!$B$60,$AW57,SUMIF($B$10:$B$16,"NCAP_TLIFE",$AX$10:$AX$16)),0,""))</f>
        <v/>
      </c>
      <c r="AV57" s="304">
        <f>IF(AW56=COM_2012!$AI$121,AV56+1,AV56)</f>
        <v>1</v>
      </c>
      <c r="AW57" s="304">
        <f t="shared" si="5"/>
        <v>30</v>
      </c>
    </row>
    <row r="58" spans="1:49">
      <c r="A58" s="304" t="str">
        <f ca="1">IF(LEFT(OFFSET(COM_2012!$A$60,AW58,0),2)="\I","*","")</f>
        <v>*</v>
      </c>
      <c r="B58" s="369" t="str">
        <f t="shared" ca="1" si="2"/>
        <v/>
      </c>
      <c r="C58" s="369" t="str">
        <f ca="1">IF($A58="*","",OFFSET(COM_2012!$B$60,AW58,0))</f>
        <v/>
      </c>
      <c r="D58" s="369" t="str">
        <f t="shared" ca="1" si="6"/>
        <v/>
      </c>
      <c r="E58" s="369" t="str">
        <f t="shared" ca="1" si="6"/>
        <v/>
      </c>
      <c r="F58" s="369" t="str">
        <f t="shared" ca="1" si="6"/>
        <v/>
      </c>
      <c r="G58" s="369" t="str">
        <f t="shared" ca="1" si="6"/>
        <v/>
      </c>
      <c r="H58" s="369" t="str">
        <f t="shared" ca="1" si="6"/>
        <v/>
      </c>
      <c r="I58" s="370" t="str">
        <f t="shared" ca="1" si="6"/>
        <v/>
      </c>
      <c r="J58" s="391" t="str">
        <f ca="1">IF($A58="*","",OFFSET(COM_2012!$B$60,AW58,SUMIF($B$10:$B$16,B58,$AX$10:$AX$16)))</f>
        <v/>
      </c>
      <c r="K58" s="369" t="str">
        <f ca="1">IF($B58&lt;&gt;"PRC_RESID","",IF(K$7=2005+OFFSET(COM_2012!$B$60,$AW58,SUMIF($B$10:$B$16,"NCAP_TLIFE",$AX$10:$AX$16)),0,""))</f>
        <v/>
      </c>
      <c r="L58" s="369" t="str">
        <f ca="1">IF($B58&lt;&gt;"PRC_RESID","",IF(L$7=2005+OFFSET(COM_2012!$B$60,$AW58,SUMIF($B$10:$B$16,"NCAP_TLIFE",$AX$10:$AX$16)),0,""))</f>
        <v/>
      </c>
      <c r="M58" s="369" t="str">
        <f ca="1">IF($B58&lt;&gt;"PRC_RESID","",IF(M$7=2005+OFFSET(COM_2012!$B$60,$AW58,SUMIF($B$10:$B$16,"NCAP_TLIFE",$AX$10:$AX$16)),0,""))</f>
        <v/>
      </c>
      <c r="N58" s="369" t="str">
        <f ca="1">IF($B58&lt;&gt;"PRC_RESID","",IF(N$7=2005+OFFSET(COM_2012!$B$60,$AW58,SUMIF($B$10:$B$16,"NCAP_TLIFE",$AX$10:$AX$16)),0,""))</f>
        <v/>
      </c>
      <c r="O58" s="658" t="str">
        <f ca="1">IF($B58&lt;&gt;"PRC_RESID","",IF(O$7=2005+OFFSET(COM_2012!$B$60,$AW58,SUMIF($B$10:$B$16,"NCAP_TLIFE",$AX$10:$AX$16)),0,""))</f>
        <v/>
      </c>
      <c r="P58" s="369" t="str">
        <f ca="1">IF($B58&lt;&gt;"PRC_RESID","",IF(P$7=2005+OFFSET(COM_2012!$B$60,$AW58,SUMIF($B$10:$B$16,"NCAP_TLIFE",$AX$10:$AX$16)),0,""))</f>
        <v/>
      </c>
      <c r="Q58" s="369" t="str">
        <f ca="1">IF($B58&lt;&gt;"PRC_RESID","",IF(Q$7=2005+OFFSET(COM_2012!$B$60,$AW58,SUMIF($B$10:$B$16,"NCAP_TLIFE",$AX$10:$AX$16)),0,""))</f>
        <v/>
      </c>
      <c r="R58" s="369" t="str">
        <f ca="1">IF($B58&lt;&gt;"PRC_RESID","",IF(R$7=2005+OFFSET(COM_2012!$B$60,$AW58,SUMIF($B$10:$B$16,"NCAP_TLIFE",$AX$10:$AX$16)),0,""))</f>
        <v/>
      </c>
      <c r="S58" s="369" t="str">
        <f ca="1">IF($B58&lt;&gt;"PRC_RESID","",IF(S$7=2005+OFFSET(COM_2012!$B$60,$AW58,SUMIF($B$10:$B$16,"NCAP_TLIFE",$AX$10:$AX$16)),0,""))</f>
        <v/>
      </c>
      <c r="T58" s="369" t="str">
        <f ca="1">IF($B58&lt;&gt;"PRC_RESID","",IF(T$7=2005+OFFSET(COM_2012!$B$60,$AW58,SUMIF($B$10:$B$16,"NCAP_TLIFE",$AX$10:$AX$16)),0,""))</f>
        <v/>
      </c>
      <c r="U58" s="369" t="str">
        <f ca="1">IF($B58&lt;&gt;"PRC_RESID","",IF(U$7=2005+OFFSET(COM_2012!$B$60,$AW58,SUMIF($B$10:$B$16,"NCAP_TLIFE",$AX$10:$AX$16)),0,""))</f>
        <v/>
      </c>
      <c r="V58" s="369" t="str">
        <f ca="1">IF($B58&lt;&gt;"PRC_RESID","",IF(V$7=2005+OFFSET(COM_2012!$B$60,$AW58,SUMIF($B$10:$B$16,"NCAP_TLIFE",$AX$10:$AX$16)),0,""))</f>
        <v/>
      </c>
      <c r="W58" s="369" t="str">
        <f ca="1">IF($B58&lt;&gt;"PRC_RESID","",IF(W$7=2005+OFFSET(COM_2012!$B$60,$AW58,SUMIF($B$10:$B$16,"NCAP_TLIFE",$AX$10:$AX$16)),0,""))</f>
        <v/>
      </c>
      <c r="X58" s="369" t="str">
        <f ca="1">IF($B58&lt;&gt;"PRC_RESID","",IF(X$7=2005+OFFSET(COM_2012!$B$60,$AW58,SUMIF($B$10:$B$16,"NCAP_TLIFE",$AX$10:$AX$16)),0,""))</f>
        <v/>
      </c>
      <c r="Y58" s="369" t="str">
        <f ca="1">IF($B58&lt;&gt;"PRC_RESID","",IF(Y$7=2005+OFFSET(COM_2012!$B$60,$AW58,SUMIF($B$10:$B$16,"NCAP_TLIFE",$AX$10:$AX$16)),0,""))</f>
        <v/>
      </c>
      <c r="Z58" s="369" t="str">
        <f ca="1">IF($B58&lt;&gt;"PRC_RESID","",IF(Z$7=2005+OFFSET(COM_2012!$B$60,$AW58,SUMIF($B$10:$B$16,"NCAP_TLIFE",$AX$10:$AX$16)),0,""))</f>
        <v/>
      </c>
      <c r="AA58" s="369" t="str">
        <f ca="1">IF($B58&lt;&gt;"PRC_RESID","",IF(AA$7=2005+OFFSET(COM_2012!$B$60,$AW58,SUMIF($B$10:$B$16,"NCAP_TLIFE",$AX$10:$AX$16)),0,""))</f>
        <v/>
      </c>
      <c r="AB58" s="369" t="str">
        <f ca="1">IF($B58&lt;&gt;"PRC_RESID","",IF(AB$7=2005+OFFSET(COM_2012!$B$60,$AW58,SUMIF($B$10:$B$16,"NCAP_TLIFE",$AX$10:$AX$16)),0,""))</f>
        <v/>
      </c>
      <c r="AC58" s="369" t="str">
        <f ca="1">IF($B58&lt;&gt;"PRC_RESID","",IF(AC$7=2005+OFFSET(COM_2012!$B$60,$AW58,SUMIF($B$10:$B$16,"NCAP_TLIFE",$AX$10:$AX$16)),0,""))</f>
        <v/>
      </c>
      <c r="AD58" s="369" t="str">
        <f ca="1">IF($B58&lt;&gt;"PRC_RESID","",IF(AD$7=2005+OFFSET(COM_2012!$B$60,$AW58,SUMIF($B$10:$B$16,"NCAP_TLIFE",$AX$10:$AX$16)),0,""))</f>
        <v/>
      </c>
      <c r="AE58" s="369" t="str">
        <f ca="1">IF($B58&lt;&gt;"PRC_RESID","",IF(AE$7=2005+OFFSET(COM_2012!$B$60,$AW58,SUMIF($B$10:$B$16,"NCAP_TLIFE",$AX$10:$AX$16)),0,""))</f>
        <v/>
      </c>
      <c r="AF58" s="369" t="str">
        <f ca="1">IF($B58&lt;&gt;"PRC_RESID","",IF(AF$7=2005+OFFSET(COM_2012!$B$60,$AW58,SUMIF($B$10:$B$16,"NCAP_TLIFE",$AX$10:$AX$16)),0,""))</f>
        <v/>
      </c>
      <c r="AG58" s="369" t="str">
        <f ca="1">IF($B58&lt;&gt;"PRC_RESID","",IF(AG$7=2005+OFFSET(COM_2012!$B$60,$AW58,SUMIF($B$10:$B$16,"NCAP_TLIFE",$AX$10:$AX$16)),0,""))</f>
        <v/>
      </c>
      <c r="AH58" s="369" t="str">
        <f ca="1">IF($B58&lt;&gt;"PRC_RESID","",IF(AH$7=2005+OFFSET(COM_2012!$B$60,$AW58,SUMIF($B$10:$B$16,"NCAP_TLIFE",$AX$10:$AX$16)),0,""))</f>
        <v/>
      </c>
      <c r="AI58" s="369" t="str">
        <f ca="1">IF($B58&lt;&gt;"PRC_RESID","",IF(AI$7=2005+OFFSET(COM_2012!$B$60,$AW58,SUMIF($B$10:$B$16,"NCAP_TLIFE",$AX$10:$AX$16)),0,""))</f>
        <v/>
      </c>
      <c r="AJ58" s="369" t="str">
        <f ca="1">IF($B58&lt;&gt;"PRC_RESID","",IF(AJ$7=2005+OFFSET(COM_2012!$B$60,$AW58,SUMIF($B$10:$B$16,"NCAP_TLIFE",$AX$10:$AX$16)),0,""))</f>
        <v/>
      </c>
      <c r="AK58" s="369" t="str">
        <f ca="1">IF($B58&lt;&gt;"PRC_RESID","",IF(AK$7=2005+OFFSET(COM_2012!$B$60,$AW58,SUMIF($B$10:$B$16,"NCAP_TLIFE",$AX$10:$AX$16)),0,""))</f>
        <v/>
      </c>
      <c r="AL58" s="369" t="str">
        <f ca="1">IF($B58&lt;&gt;"PRC_RESID","",IF(AL$7=2005+OFFSET(COM_2012!$B$60,$AW58,SUMIF($B$10:$B$16,"NCAP_TLIFE",$AX$10:$AX$16)),0,""))</f>
        <v/>
      </c>
      <c r="AM58" s="369" t="str">
        <f ca="1">IF($B58&lt;&gt;"PRC_RESID","",IF(AM$7=2005+OFFSET(COM_2012!$B$60,$AW58,SUMIF($B$10:$B$16,"NCAP_TLIFE",$AX$10:$AX$16)),0,""))</f>
        <v/>
      </c>
      <c r="AN58" s="369" t="str">
        <f ca="1">IF($B58&lt;&gt;"PRC_RESID","",IF(AN$7=2005+OFFSET(COM_2012!$B$60,$AW58,SUMIF($B$10:$B$16,"NCAP_TLIFE",$AX$10:$AX$16)),0,""))</f>
        <v/>
      </c>
      <c r="AO58" s="369" t="str">
        <f ca="1">IF($B58&lt;&gt;"PRC_RESID","",IF(AO$7=2005+OFFSET(COM_2012!$B$60,$AW58,SUMIF($B$10:$B$16,"NCAP_TLIFE",$AX$10:$AX$16)),0,""))</f>
        <v/>
      </c>
      <c r="AP58" s="369" t="str">
        <f ca="1">IF($B58&lt;&gt;"PRC_RESID","",IF(AP$7=2005+OFFSET(COM_2012!$B$60,$AW58,SUMIF($B$10:$B$16,"NCAP_TLIFE",$AX$10:$AX$16)),0,""))</f>
        <v/>
      </c>
      <c r="AQ58" s="369" t="str">
        <f ca="1">IF($B58&lt;&gt;"PRC_RESID","",IF(AQ$7=2005+OFFSET(COM_2012!$B$60,$AW58,SUMIF($B$10:$B$16,"NCAP_TLIFE",$AX$10:$AX$16)),0,""))</f>
        <v/>
      </c>
      <c r="AR58" s="369" t="str">
        <f ca="1">IF($B58&lt;&gt;"PRC_RESID","",IF(AR$7=2005+OFFSET(COM_2012!$B$60,$AW58,SUMIF($B$10:$B$16,"NCAP_TLIFE",$AX$10:$AX$16)),0,""))</f>
        <v/>
      </c>
      <c r="AS58" s="369" t="str">
        <f ca="1">IF($B58&lt;&gt;"PRC_RESID","",IF(AS$7=2005+OFFSET(COM_2012!$B$60,$AW58,SUMIF($B$10:$B$16,"NCAP_TLIFE",$AX$10:$AX$16)),0,""))</f>
        <v/>
      </c>
      <c r="AT58" s="369" t="str">
        <f ca="1">IF($B58&lt;&gt;"PRC_RESID","",IF(AT$7=2005+OFFSET(COM_2012!$B$60,$AW58,SUMIF($B$10:$B$16,"NCAP_TLIFE",$AX$10:$AX$16)),0,""))</f>
        <v/>
      </c>
      <c r="AU58" s="369" t="str">
        <f ca="1">IF($B58&lt;&gt;"PRC_RESID","",IF(AU$7=2005+OFFSET(COM_2012!$B$60,$AW58,SUMIF($B$10:$B$16,"NCAP_TLIFE",$AX$10:$AX$16)),0,""))</f>
        <v/>
      </c>
      <c r="AV58" s="304">
        <f>IF(AW57=COM_2012!$AI$121,AV57+1,AV57)</f>
        <v>1</v>
      </c>
      <c r="AW58" s="304">
        <f t="shared" si="5"/>
        <v>31</v>
      </c>
    </row>
    <row r="59" spans="1:49">
      <c r="A59" s="304" t="str">
        <f ca="1">IF(LEFT(OFFSET(COM_2012!$A$60,AW59,0),2)="\I","*","")</f>
        <v>*</v>
      </c>
      <c r="B59" s="369" t="str">
        <f t="shared" ca="1" si="2"/>
        <v/>
      </c>
      <c r="C59" s="369" t="str">
        <f ca="1">IF($A59="*","",OFFSET(COM_2012!$B$60,AW59,0))</f>
        <v/>
      </c>
      <c r="D59" s="369" t="str">
        <f t="shared" ca="1" si="6"/>
        <v/>
      </c>
      <c r="E59" s="369" t="str">
        <f t="shared" ca="1" si="6"/>
        <v/>
      </c>
      <c r="F59" s="369" t="str">
        <f t="shared" ca="1" si="6"/>
        <v/>
      </c>
      <c r="G59" s="369" t="str">
        <f t="shared" ca="1" si="6"/>
        <v/>
      </c>
      <c r="H59" s="369" t="str">
        <f t="shared" ca="1" si="6"/>
        <v/>
      </c>
      <c r="I59" s="370" t="str">
        <f t="shared" ca="1" si="6"/>
        <v/>
      </c>
      <c r="J59" s="391" t="str">
        <f ca="1">IF($A59="*","",OFFSET(COM_2012!$B$60,AW59,SUMIF($B$10:$B$16,B59,$AX$10:$AX$16)))</f>
        <v/>
      </c>
      <c r="K59" s="369" t="str">
        <f ca="1">IF($B59&lt;&gt;"PRC_RESID","",IF(K$7=2005+OFFSET(COM_2012!$B$60,$AW59,SUMIF($B$10:$B$16,"NCAP_TLIFE",$AX$10:$AX$16)),0,""))</f>
        <v/>
      </c>
      <c r="L59" s="369" t="str">
        <f ca="1">IF($B59&lt;&gt;"PRC_RESID","",IF(L$7=2005+OFFSET(COM_2012!$B$60,$AW59,SUMIF($B$10:$B$16,"NCAP_TLIFE",$AX$10:$AX$16)),0,""))</f>
        <v/>
      </c>
      <c r="M59" s="369" t="str">
        <f ca="1">IF($B59&lt;&gt;"PRC_RESID","",IF(M$7=2005+OFFSET(COM_2012!$B$60,$AW59,SUMIF($B$10:$B$16,"NCAP_TLIFE",$AX$10:$AX$16)),0,""))</f>
        <v/>
      </c>
      <c r="N59" s="369" t="str">
        <f ca="1">IF($B59&lt;&gt;"PRC_RESID","",IF(N$7=2005+OFFSET(COM_2012!$B$60,$AW59,SUMIF($B$10:$B$16,"NCAP_TLIFE",$AX$10:$AX$16)),0,""))</f>
        <v/>
      </c>
      <c r="O59" s="658" t="str">
        <f ca="1">IF($B59&lt;&gt;"PRC_RESID","",IF(O$7=2005+OFFSET(COM_2012!$B$60,$AW59,SUMIF($B$10:$B$16,"NCAP_TLIFE",$AX$10:$AX$16)),0,""))</f>
        <v/>
      </c>
      <c r="P59" s="369" t="str">
        <f ca="1">IF($B59&lt;&gt;"PRC_RESID","",IF(P$7=2005+OFFSET(COM_2012!$B$60,$AW59,SUMIF($B$10:$B$16,"NCAP_TLIFE",$AX$10:$AX$16)),0,""))</f>
        <v/>
      </c>
      <c r="Q59" s="369" t="str">
        <f ca="1">IF($B59&lt;&gt;"PRC_RESID","",IF(Q$7=2005+OFFSET(COM_2012!$B$60,$AW59,SUMIF($B$10:$B$16,"NCAP_TLIFE",$AX$10:$AX$16)),0,""))</f>
        <v/>
      </c>
      <c r="R59" s="369" t="str">
        <f ca="1">IF($B59&lt;&gt;"PRC_RESID","",IF(R$7=2005+OFFSET(COM_2012!$B$60,$AW59,SUMIF($B$10:$B$16,"NCAP_TLIFE",$AX$10:$AX$16)),0,""))</f>
        <v/>
      </c>
      <c r="S59" s="369" t="str">
        <f ca="1">IF($B59&lt;&gt;"PRC_RESID","",IF(S$7=2005+OFFSET(COM_2012!$B$60,$AW59,SUMIF($B$10:$B$16,"NCAP_TLIFE",$AX$10:$AX$16)),0,""))</f>
        <v/>
      </c>
      <c r="T59" s="369" t="str">
        <f ca="1">IF($B59&lt;&gt;"PRC_RESID","",IF(T$7=2005+OFFSET(COM_2012!$B$60,$AW59,SUMIF($B$10:$B$16,"NCAP_TLIFE",$AX$10:$AX$16)),0,""))</f>
        <v/>
      </c>
      <c r="U59" s="369" t="str">
        <f ca="1">IF($B59&lt;&gt;"PRC_RESID","",IF(U$7=2005+OFFSET(COM_2012!$B$60,$AW59,SUMIF($B$10:$B$16,"NCAP_TLIFE",$AX$10:$AX$16)),0,""))</f>
        <v/>
      </c>
      <c r="V59" s="369" t="str">
        <f ca="1">IF($B59&lt;&gt;"PRC_RESID","",IF(V$7=2005+OFFSET(COM_2012!$B$60,$AW59,SUMIF($B$10:$B$16,"NCAP_TLIFE",$AX$10:$AX$16)),0,""))</f>
        <v/>
      </c>
      <c r="W59" s="369" t="str">
        <f ca="1">IF($B59&lt;&gt;"PRC_RESID","",IF(W$7=2005+OFFSET(COM_2012!$B$60,$AW59,SUMIF($B$10:$B$16,"NCAP_TLIFE",$AX$10:$AX$16)),0,""))</f>
        <v/>
      </c>
      <c r="X59" s="369" t="str">
        <f ca="1">IF($B59&lt;&gt;"PRC_RESID","",IF(X$7=2005+OFFSET(COM_2012!$B$60,$AW59,SUMIF($B$10:$B$16,"NCAP_TLIFE",$AX$10:$AX$16)),0,""))</f>
        <v/>
      </c>
      <c r="Y59" s="369" t="str">
        <f ca="1">IF($B59&lt;&gt;"PRC_RESID","",IF(Y$7=2005+OFFSET(COM_2012!$B$60,$AW59,SUMIF($B$10:$B$16,"NCAP_TLIFE",$AX$10:$AX$16)),0,""))</f>
        <v/>
      </c>
      <c r="Z59" s="369" t="str">
        <f ca="1">IF($B59&lt;&gt;"PRC_RESID","",IF(Z$7=2005+OFFSET(COM_2012!$B$60,$AW59,SUMIF($B$10:$B$16,"NCAP_TLIFE",$AX$10:$AX$16)),0,""))</f>
        <v/>
      </c>
      <c r="AA59" s="369" t="str">
        <f ca="1">IF($B59&lt;&gt;"PRC_RESID","",IF(AA$7=2005+OFFSET(COM_2012!$B$60,$AW59,SUMIF($B$10:$B$16,"NCAP_TLIFE",$AX$10:$AX$16)),0,""))</f>
        <v/>
      </c>
      <c r="AB59" s="369" t="str">
        <f ca="1">IF($B59&lt;&gt;"PRC_RESID","",IF(AB$7=2005+OFFSET(COM_2012!$B$60,$AW59,SUMIF($B$10:$B$16,"NCAP_TLIFE",$AX$10:$AX$16)),0,""))</f>
        <v/>
      </c>
      <c r="AC59" s="369" t="str">
        <f ca="1">IF($B59&lt;&gt;"PRC_RESID","",IF(AC$7=2005+OFFSET(COM_2012!$B$60,$AW59,SUMIF($B$10:$B$16,"NCAP_TLIFE",$AX$10:$AX$16)),0,""))</f>
        <v/>
      </c>
      <c r="AD59" s="369" t="str">
        <f ca="1">IF($B59&lt;&gt;"PRC_RESID","",IF(AD$7=2005+OFFSET(COM_2012!$B$60,$AW59,SUMIF($B$10:$B$16,"NCAP_TLIFE",$AX$10:$AX$16)),0,""))</f>
        <v/>
      </c>
      <c r="AE59" s="369" t="str">
        <f ca="1">IF($B59&lt;&gt;"PRC_RESID","",IF(AE$7=2005+OFFSET(COM_2012!$B$60,$AW59,SUMIF($B$10:$B$16,"NCAP_TLIFE",$AX$10:$AX$16)),0,""))</f>
        <v/>
      </c>
      <c r="AF59" s="369" t="str">
        <f ca="1">IF($B59&lt;&gt;"PRC_RESID","",IF(AF$7=2005+OFFSET(COM_2012!$B$60,$AW59,SUMIF($B$10:$B$16,"NCAP_TLIFE",$AX$10:$AX$16)),0,""))</f>
        <v/>
      </c>
      <c r="AG59" s="369" t="str">
        <f ca="1">IF($B59&lt;&gt;"PRC_RESID","",IF(AG$7=2005+OFFSET(COM_2012!$B$60,$AW59,SUMIF($B$10:$B$16,"NCAP_TLIFE",$AX$10:$AX$16)),0,""))</f>
        <v/>
      </c>
      <c r="AH59" s="369" t="str">
        <f ca="1">IF($B59&lt;&gt;"PRC_RESID","",IF(AH$7=2005+OFFSET(COM_2012!$B$60,$AW59,SUMIF($B$10:$B$16,"NCAP_TLIFE",$AX$10:$AX$16)),0,""))</f>
        <v/>
      </c>
      <c r="AI59" s="369" t="str">
        <f ca="1">IF($B59&lt;&gt;"PRC_RESID","",IF(AI$7=2005+OFFSET(COM_2012!$B$60,$AW59,SUMIF($B$10:$B$16,"NCAP_TLIFE",$AX$10:$AX$16)),0,""))</f>
        <v/>
      </c>
      <c r="AJ59" s="369" t="str">
        <f ca="1">IF($B59&lt;&gt;"PRC_RESID","",IF(AJ$7=2005+OFFSET(COM_2012!$B$60,$AW59,SUMIF($B$10:$B$16,"NCAP_TLIFE",$AX$10:$AX$16)),0,""))</f>
        <v/>
      </c>
      <c r="AK59" s="369" t="str">
        <f ca="1">IF($B59&lt;&gt;"PRC_RESID","",IF(AK$7=2005+OFFSET(COM_2012!$B$60,$AW59,SUMIF($B$10:$B$16,"NCAP_TLIFE",$AX$10:$AX$16)),0,""))</f>
        <v/>
      </c>
      <c r="AL59" s="369" t="str">
        <f ca="1">IF($B59&lt;&gt;"PRC_RESID","",IF(AL$7=2005+OFFSET(COM_2012!$B$60,$AW59,SUMIF($B$10:$B$16,"NCAP_TLIFE",$AX$10:$AX$16)),0,""))</f>
        <v/>
      </c>
      <c r="AM59" s="369" t="str">
        <f ca="1">IF($B59&lt;&gt;"PRC_RESID","",IF(AM$7=2005+OFFSET(COM_2012!$B$60,$AW59,SUMIF($B$10:$B$16,"NCAP_TLIFE",$AX$10:$AX$16)),0,""))</f>
        <v/>
      </c>
      <c r="AN59" s="369" t="str">
        <f ca="1">IF($B59&lt;&gt;"PRC_RESID","",IF(AN$7=2005+OFFSET(COM_2012!$B$60,$AW59,SUMIF($B$10:$B$16,"NCAP_TLIFE",$AX$10:$AX$16)),0,""))</f>
        <v/>
      </c>
      <c r="AO59" s="369" t="str">
        <f ca="1">IF($B59&lt;&gt;"PRC_RESID","",IF(AO$7=2005+OFFSET(COM_2012!$B$60,$AW59,SUMIF($B$10:$B$16,"NCAP_TLIFE",$AX$10:$AX$16)),0,""))</f>
        <v/>
      </c>
      <c r="AP59" s="369" t="str">
        <f ca="1">IF($B59&lt;&gt;"PRC_RESID","",IF(AP$7=2005+OFFSET(COM_2012!$B$60,$AW59,SUMIF($B$10:$B$16,"NCAP_TLIFE",$AX$10:$AX$16)),0,""))</f>
        <v/>
      </c>
      <c r="AQ59" s="369" t="str">
        <f ca="1">IF($B59&lt;&gt;"PRC_RESID","",IF(AQ$7=2005+OFFSET(COM_2012!$B$60,$AW59,SUMIF($B$10:$B$16,"NCAP_TLIFE",$AX$10:$AX$16)),0,""))</f>
        <v/>
      </c>
      <c r="AR59" s="369" t="str">
        <f ca="1">IF($B59&lt;&gt;"PRC_RESID","",IF(AR$7=2005+OFFSET(COM_2012!$B$60,$AW59,SUMIF($B$10:$B$16,"NCAP_TLIFE",$AX$10:$AX$16)),0,""))</f>
        <v/>
      </c>
      <c r="AS59" s="369" t="str">
        <f ca="1">IF($B59&lt;&gt;"PRC_RESID","",IF(AS$7=2005+OFFSET(COM_2012!$B$60,$AW59,SUMIF($B$10:$B$16,"NCAP_TLIFE",$AX$10:$AX$16)),0,""))</f>
        <v/>
      </c>
      <c r="AT59" s="369" t="str">
        <f ca="1">IF($B59&lt;&gt;"PRC_RESID","",IF(AT$7=2005+OFFSET(COM_2012!$B$60,$AW59,SUMIF($B$10:$B$16,"NCAP_TLIFE",$AX$10:$AX$16)),0,""))</f>
        <v/>
      </c>
      <c r="AU59" s="369" t="str">
        <f ca="1">IF($B59&lt;&gt;"PRC_RESID","",IF(AU$7=2005+OFFSET(COM_2012!$B$60,$AW59,SUMIF($B$10:$B$16,"NCAP_TLIFE",$AX$10:$AX$16)),0,""))</f>
        <v/>
      </c>
      <c r="AV59" s="304">
        <f>IF(AW58=COM_2012!$AI$121,AV58+1,AV58)</f>
        <v>1</v>
      </c>
      <c r="AW59" s="304">
        <f t="shared" si="5"/>
        <v>32</v>
      </c>
    </row>
    <row r="60" spans="1:49">
      <c r="A60" s="304" t="str">
        <f ca="1">IF(LEFT(OFFSET(COM_2012!$A$60,AW60,0),2)="\I","*","")</f>
        <v/>
      </c>
      <c r="B60" s="369" t="str">
        <f t="shared" ca="1" si="2"/>
        <v>ACT_EFF</v>
      </c>
      <c r="C60" s="369" t="str">
        <f ca="1">IF($A60="*","",OFFSET(COM_2012!$B$60,AW60,0))</f>
        <v>CEWELC-E</v>
      </c>
      <c r="D60" s="369" t="str">
        <f t="shared" ca="1" si="6"/>
        <v>-</v>
      </c>
      <c r="E60" s="369" t="str">
        <f t="shared" ca="1" si="6"/>
        <v>ACTGRP</v>
      </c>
      <c r="F60" s="369" t="str">
        <f t="shared" ca="1" si="6"/>
        <v>-</v>
      </c>
      <c r="G60" s="369" t="str">
        <f t="shared" ca="1" si="6"/>
        <v>ANNUAL</v>
      </c>
      <c r="H60" s="369" t="str">
        <f t="shared" ca="1" si="6"/>
        <v>-</v>
      </c>
      <c r="I60" s="370">
        <f t="shared" ca="1" si="6"/>
        <v>0</v>
      </c>
      <c r="J60" s="391">
        <f ca="1">IF($A60="*","",OFFSET(COM_2012!$B$60,AW60,SUMIF($B$10:$B$16,B60,$AX$10:$AX$16)))</f>
        <v>1</v>
      </c>
      <c r="K60" s="369" t="str">
        <f ca="1">IF($B60&lt;&gt;"PRC_RESID","",IF(K$7=2005+OFFSET(COM_2012!$B$60,$AW60,SUMIF($B$10:$B$16,"NCAP_TLIFE",$AX$10:$AX$16)),0,""))</f>
        <v/>
      </c>
      <c r="L60" s="369" t="str">
        <f ca="1">IF($B60&lt;&gt;"PRC_RESID","",IF(L$7=2005+OFFSET(COM_2012!$B$60,$AW60,SUMIF($B$10:$B$16,"NCAP_TLIFE",$AX$10:$AX$16)),0,""))</f>
        <v/>
      </c>
      <c r="M60" s="369" t="str">
        <f ca="1">IF($B60&lt;&gt;"PRC_RESID","",IF(M$7=2005+OFFSET(COM_2012!$B$60,$AW60,SUMIF($B$10:$B$16,"NCAP_TLIFE",$AX$10:$AX$16)),0,""))</f>
        <v/>
      </c>
      <c r="N60" s="369" t="str">
        <f ca="1">IF($B60&lt;&gt;"PRC_RESID","",IF(N$7=2005+OFFSET(COM_2012!$B$60,$AW60,SUMIF($B$10:$B$16,"NCAP_TLIFE",$AX$10:$AX$16)),0,""))</f>
        <v/>
      </c>
      <c r="O60" s="658" t="str">
        <f ca="1">IF($B60&lt;&gt;"PRC_RESID","",IF(O$7=2005+OFFSET(COM_2012!$B$60,$AW60,SUMIF($B$10:$B$16,"NCAP_TLIFE",$AX$10:$AX$16)),0,""))</f>
        <v/>
      </c>
      <c r="P60" s="369" t="str">
        <f ca="1">IF($B60&lt;&gt;"PRC_RESID","",IF(P$7=2005+OFFSET(COM_2012!$B$60,$AW60,SUMIF($B$10:$B$16,"NCAP_TLIFE",$AX$10:$AX$16)),0,""))</f>
        <v/>
      </c>
      <c r="Q60" s="369" t="str">
        <f ca="1">IF($B60&lt;&gt;"PRC_RESID","",IF(Q$7=2005+OFFSET(COM_2012!$B$60,$AW60,SUMIF($B$10:$B$16,"NCAP_TLIFE",$AX$10:$AX$16)),0,""))</f>
        <v/>
      </c>
      <c r="R60" s="369" t="str">
        <f ca="1">IF($B60&lt;&gt;"PRC_RESID","",IF(R$7=2005+OFFSET(COM_2012!$B$60,$AW60,SUMIF($B$10:$B$16,"NCAP_TLIFE",$AX$10:$AX$16)),0,""))</f>
        <v/>
      </c>
      <c r="S60" s="369" t="str">
        <f ca="1">IF($B60&lt;&gt;"PRC_RESID","",IF(S$7=2005+OFFSET(COM_2012!$B$60,$AW60,SUMIF($B$10:$B$16,"NCAP_TLIFE",$AX$10:$AX$16)),0,""))</f>
        <v/>
      </c>
      <c r="T60" s="369" t="str">
        <f ca="1">IF($B60&lt;&gt;"PRC_RESID","",IF(T$7=2005+OFFSET(COM_2012!$B$60,$AW60,SUMIF($B$10:$B$16,"NCAP_TLIFE",$AX$10:$AX$16)),0,""))</f>
        <v/>
      </c>
      <c r="U60" s="369" t="str">
        <f ca="1">IF($B60&lt;&gt;"PRC_RESID","",IF(U$7=2005+OFFSET(COM_2012!$B$60,$AW60,SUMIF($B$10:$B$16,"NCAP_TLIFE",$AX$10:$AX$16)),0,""))</f>
        <v/>
      </c>
      <c r="V60" s="369" t="str">
        <f ca="1">IF($B60&lt;&gt;"PRC_RESID","",IF(V$7=2005+OFFSET(COM_2012!$B$60,$AW60,SUMIF($B$10:$B$16,"NCAP_TLIFE",$AX$10:$AX$16)),0,""))</f>
        <v/>
      </c>
      <c r="W60" s="369" t="str">
        <f ca="1">IF($B60&lt;&gt;"PRC_RESID","",IF(W$7=2005+OFFSET(COM_2012!$B$60,$AW60,SUMIF($B$10:$B$16,"NCAP_TLIFE",$AX$10:$AX$16)),0,""))</f>
        <v/>
      </c>
      <c r="X60" s="369" t="str">
        <f ca="1">IF($B60&lt;&gt;"PRC_RESID","",IF(X$7=2005+OFFSET(COM_2012!$B$60,$AW60,SUMIF($B$10:$B$16,"NCAP_TLIFE",$AX$10:$AX$16)),0,""))</f>
        <v/>
      </c>
      <c r="Y60" s="369" t="str">
        <f ca="1">IF($B60&lt;&gt;"PRC_RESID","",IF(Y$7=2005+OFFSET(COM_2012!$B$60,$AW60,SUMIF($B$10:$B$16,"NCAP_TLIFE",$AX$10:$AX$16)),0,""))</f>
        <v/>
      </c>
      <c r="Z60" s="369" t="str">
        <f ca="1">IF($B60&lt;&gt;"PRC_RESID","",IF(Z$7=2005+OFFSET(COM_2012!$B$60,$AW60,SUMIF($B$10:$B$16,"NCAP_TLIFE",$AX$10:$AX$16)),0,""))</f>
        <v/>
      </c>
      <c r="AA60" s="369" t="str">
        <f ca="1">IF($B60&lt;&gt;"PRC_RESID","",IF(AA$7=2005+OFFSET(COM_2012!$B$60,$AW60,SUMIF($B$10:$B$16,"NCAP_TLIFE",$AX$10:$AX$16)),0,""))</f>
        <v/>
      </c>
      <c r="AB60" s="369" t="str">
        <f ca="1">IF($B60&lt;&gt;"PRC_RESID","",IF(AB$7=2005+OFFSET(COM_2012!$B$60,$AW60,SUMIF($B$10:$B$16,"NCAP_TLIFE",$AX$10:$AX$16)),0,""))</f>
        <v/>
      </c>
      <c r="AC60" s="369" t="str">
        <f ca="1">IF($B60&lt;&gt;"PRC_RESID","",IF(AC$7=2005+OFFSET(COM_2012!$B$60,$AW60,SUMIF($B$10:$B$16,"NCAP_TLIFE",$AX$10:$AX$16)),0,""))</f>
        <v/>
      </c>
      <c r="AD60" s="369" t="str">
        <f ca="1">IF($B60&lt;&gt;"PRC_RESID","",IF(AD$7=2005+OFFSET(COM_2012!$B$60,$AW60,SUMIF($B$10:$B$16,"NCAP_TLIFE",$AX$10:$AX$16)),0,""))</f>
        <v/>
      </c>
      <c r="AE60" s="369" t="str">
        <f ca="1">IF($B60&lt;&gt;"PRC_RESID","",IF(AE$7=2005+OFFSET(COM_2012!$B$60,$AW60,SUMIF($B$10:$B$16,"NCAP_TLIFE",$AX$10:$AX$16)),0,""))</f>
        <v/>
      </c>
      <c r="AF60" s="369" t="str">
        <f ca="1">IF($B60&lt;&gt;"PRC_RESID","",IF(AF$7=2005+OFFSET(COM_2012!$B$60,$AW60,SUMIF($B$10:$B$16,"NCAP_TLIFE",$AX$10:$AX$16)),0,""))</f>
        <v/>
      </c>
      <c r="AG60" s="369" t="str">
        <f ca="1">IF($B60&lt;&gt;"PRC_RESID","",IF(AG$7=2005+OFFSET(COM_2012!$B$60,$AW60,SUMIF($B$10:$B$16,"NCAP_TLIFE",$AX$10:$AX$16)),0,""))</f>
        <v/>
      </c>
      <c r="AH60" s="369" t="str">
        <f ca="1">IF($B60&lt;&gt;"PRC_RESID","",IF(AH$7=2005+OFFSET(COM_2012!$B$60,$AW60,SUMIF($B$10:$B$16,"NCAP_TLIFE",$AX$10:$AX$16)),0,""))</f>
        <v/>
      </c>
      <c r="AI60" s="369" t="str">
        <f ca="1">IF($B60&lt;&gt;"PRC_RESID","",IF(AI$7=2005+OFFSET(COM_2012!$B$60,$AW60,SUMIF($B$10:$B$16,"NCAP_TLIFE",$AX$10:$AX$16)),0,""))</f>
        <v/>
      </c>
      <c r="AJ60" s="369" t="str">
        <f ca="1">IF($B60&lt;&gt;"PRC_RESID","",IF(AJ$7=2005+OFFSET(COM_2012!$B$60,$AW60,SUMIF($B$10:$B$16,"NCAP_TLIFE",$AX$10:$AX$16)),0,""))</f>
        <v/>
      </c>
      <c r="AK60" s="369" t="str">
        <f ca="1">IF($B60&lt;&gt;"PRC_RESID","",IF(AK$7=2005+OFFSET(COM_2012!$B$60,$AW60,SUMIF($B$10:$B$16,"NCAP_TLIFE",$AX$10:$AX$16)),0,""))</f>
        <v/>
      </c>
      <c r="AL60" s="369" t="str">
        <f ca="1">IF($B60&lt;&gt;"PRC_RESID","",IF(AL$7=2005+OFFSET(COM_2012!$B$60,$AW60,SUMIF($B$10:$B$16,"NCAP_TLIFE",$AX$10:$AX$16)),0,""))</f>
        <v/>
      </c>
      <c r="AM60" s="369" t="str">
        <f ca="1">IF($B60&lt;&gt;"PRC_RESID","",IF(AM$7=2005+OFFSET(COM_2012!$B$60,$AW60,SUMIF($B$10:$B$16,"NCAP_TLIFE",$AX$10:$AX$16)),0,""))</f>
        <v/>
      </c>
      <c r="AN60" s="369" t="str">
        <f ca="1">IF($B60&lt;&gt;"PRC_RESID","",IF(AN$7=2005+OFFSET(COM_2012!$B$60,$AW60,SUMIF($B$10:$B$16,"NCAP_TLIFE",$AX$10:$AX$16)),0,""))</f>
        <v/>
      </c>
      <c r="AO60" s="369" t="str">
        <f ca="1">IF($B60&lt;&gt;"PRC_RESID","",IF(AO$7=2005+OFFSET(COM_2012!$B$60,$AW60,SUMIF($B$10:$B$16,"NCAP_TLIFE",$AX$10:$AX$16)),0,""))</f>
        <v/>
      </c>
      <c r="AP60" s="369" t="str">
        <f ca="1">IF($B60&lt;&gt;"PRC_RESID","",IF(AP$7=2005+OFFSET(COM_2012!$B$60,$AW60,SUMIF($B$10:$B$16,"NCAP_TLIFE",$AX$10:$AX$16)),0,""))</f>
        <v/>
      </c>
      <c r="AQ60" s="369" t="str">
        <f ca="1">IF($B60&lt;&gt;"PRC_RESID","",IF(AQ$7=2005+OFFSET(COM_2012!$B$60,$AW60,SUMIF($B$10:$B$16,"NCAP_TLIFE",$AX$10:$AX$16)),0,""))</f>
        <v/>
      </c>
      <c r="AR60" s="369" t="str">
        <f ca="1">IF($B60&lt;&gt;"PRC_RESID","",IF(AR$7=2005+OFFSET(COM_2012!$B$60,$AW60,SUMIF($B$10:$B$16,"NCAP_TLIFE",$AX$10:$AX$16)),0,""))</f>
        <v/>
      </c>
      <c r="AS60" s="369" t="str">
        <f ca="1">IF($B60&lt;&gt;"PRC_RESID","",IF(AS$7=2005+OFFSET(COM_2012!$B$60,$AW60,SUMIF($B$10:$B$16,"NCAP_TLIFE",$AX$10:$AX$16)),0,""))</f>
        <v/>
      </c>
      <c r="AT60" s="369" t="str">
        <f ca="1">IF($B60&lt;&gt;"PRC_RESID","",IF(AT$7=2005+OFFSET(COM_2012!$B$60,$AW60,SUMIF($B$10:$B$16,"NCAP_TLIFE",$AX$10:$AX$16)),0,""))</f>
        <v/>
      </c>
      <c r="AU60" s="369" t="str">
        <f ca="1">IF($B60&lt;&gt;"PRC_RESID","",IF(AU$7=2005+OFFSET(COM_2012!$B$60,$AW60,SUMIF($B$10:$B$16,"NCAP_TLIFE",$AX$10:$AX$16)),0,""))</f>
        <v/>
      </c>
      <c r="AV60" s="304">
        <f>IF(AW59=COM_2012!$AI$121,AV59+1,AV59)</f>
        <v>1</v>
      </c>
      <c r="AW60" s="304">
        <f t="shared" si="5"/>
        <v>33</v>
      </c>
    </row>
    <row r="61" spans="1:49">
      <c r="A61" s="304" t="str">
        <f ca="1">IF(LEFT(OFFSET(COM_2012!$A$60,AW61,0),2)="\I","*","")</f>
        <v/>
      </c>
      <c r="B61" s="369" t="str">
        <f t="shared" ca="1" si="2"/>
        <v>ACT_EFF</v>
      </c>
      <c r="C61" s="369" t="str">
        <f ca="1">IF($A61="*","",OFFSET(COM_2012!$B$60,AW61,0))</f>
        <v>CEWCOA-E</v>
      </c>
      <c r="D61" s="369" t="str">
        <f t="shared" ca="1" si="6"/>
        <v>-</v>
      </c>
      <c r="E61" s="369" t="str">
        <f t="shared" ca="1" si="6"/>
        <v>ACTGRP</v>
      </c>
      <c r="F61" s="369" t="str">
        <f t="shared" ca="1" si="6"/>
        <v>-</v>
      </c>
      <c r="G61" s="369" t="str">
        <f t="shared" ca="1" si="6"/>
        <v>ANNUAL</v>
      </c>
      <c r="H61" s="369" t="str">
        <f t="shared" ca="1" si="6"/>
        <v>-</v>
      </c>
      <c r="I61" s="370">
        <f t="shared" ca="1" si="6"/>
        <v>0</v>
      </c>
      <c r="J61" s="391">
        <f ca="1">IF($A61="*","",OFFSET(COM_2012!$B$60,AW61,SUMIF($B$10:$B$16,B61,$AX$10:$AX$16)))</f>
        <v>0.60000000000000009</v>
      </c>
      <c r="K61" s="369" t="str">
        <f ca="1">IF($B61&lt;&gt;"PRC_RESID","",IF(K$7=2005+OFFSET(COM_2012!$B$60,$AW61,SUMIF($B$10:$B$16,"NCAP_TLIFE",$AX$10:$AX$16)),0,""))</f>
        <v/>
      </c>
      <c r="L61" s="369" t="str">
        <f ca="1">IF($B61&lt;&gt;"PRC_RESID","",IF(L$7=2005+OFFSET(COM_2012!$B$60,$AW61,SUMIF($B$10:$B$16,"NCAP_TLIFE",$AX$10:$AX$16)),0,""))</f>
        <v/>
      </c>
      <c r="M61" s="369" t="str">
        <f ca="1">IF($B61&lt;&gt;"PRC_RESID","",IF(M$7=2005+OFFSET(COM_2012!$B$60,$AW61,SUMIF($B$10:$B$16,"NCAP_TLIFE",$AX$10:$AX$16)),0,""))</f>
        <v/>
      </c>
      <c r="N61" s="369" t="str">
        <f ca="1">IF($B61&lt;&gt;"PRC_RESID","",IF(N$7=2005+OFFSET(COM_2012!$B$60,$AW61,SUMIF($B$10:$B$16,"NCAP_TLIFE",$AX$10:$AX$16)),0,""))</f>
        <v/>
      </c>
      <c r="O61" s="658" t="str">
        <f ca="1">IF($B61&lt;&gt;"PRC_RESID","",IF(O$7=2005+OFFSET(COM_2012!$B$60,$AW61,SUMIF($B$10:$B$16,"NCAP_TLIFE",$AX$10:$AX$16)),0,""))</f>
        <v/>
      </c>
      <c r="P61" s="369" t="str">
        <f ca="1">IF($B61&lt;&gt;"PRC_RESID","",IF(P$7=2005+OFFSET(COM_2012!$B$60,$AW61,SUMIF($B$10:$B$16,"NCAP_TLIFE",$AX$10:$AX$16)),0,""))</f>
        <v/>
      </c>
      <c r="Q61" s="369" t="str">
        <f ca="1">IF($B61&lt;&gt;"PRC_RESID","",IF(Q$7=2005+OFFSET(COM_2012!$B$60,$AW61,SUMIF($B$10:$B$16,"NCAP_TLIFE",$AX$10:$AX$16)),0,""))</f>
        <v/>
      </c>
      <c r="R61" s="369" t="str">
        <f ca="1">IF($B61&lt;&gt;"PRC_RESID","",IF(R$7=2005+OFFSET(COM_2012!$B$60,$AW61,SUMIF($B$10:$B$16,"NCAP_TLIFE",$AX$10:$AX$16)),0,""))</f>
        <v/>
      </c>
      <c r="S61" s="369" t="str">
        <f ca="1">IF($B61&lt;&gt;"PRC_RESID","",IF(S$7=2005+OFFSET(COM_2012!$B$60,$AW61,SUMIF($B$10:$B$16,"NCAP_TLIFE",$AX$10:$AX$16)),0,""))</f>
        <v/>
      </c>
      <c r="T61" s="369" t="str">
        <f ca="1">IF($B61&lt;&gt;"PRC_RESID","",IF(T$7=2005+OFFSET(COM_2012!$B$60,$AW61,SUMIF($B$10:$B$16,"NCAP_TLIFE",$AX$10:$AX$16)),0,""))</f>
        <v/>
      </c>
      <c r="U61" s="369" t="str">
        <f ca="1">IF($B61&lt;&gt;"PRC_RESID","",IF(U$7=2005+OFFSET(COM_2012!$B$60,$AW61,SUMIF($B$10:$B$16,"NCAP_TLIFE",$AX$10:$AX$16)),0,""))</f>
        <v/>
      </c>
      <c r="V61" s="369" t="str">
        <f ca="1">IF($B61&lt;&gt;"PRC_RESID","",IF(V$7=2005+OFFSET(COM_2012!$B$60,$AW61,SUMIF($B$10:$B$16,"NCAP_TLIFE",$AX$10:$AX$16)),0,""))</f>
        <v/>
      </c>
      <c r="W61" s="369" t="str">
        <f ca="1">IF($B61&lt;&gt;"PRC_RESID","",IF(W$7=2005+OFFSET(COM_2012!$B$60,$AW61,SUMIF($B$10:$B$16,"NCAP_TLIFE",$AX$10:$AX$16)),0,""))</f>
        <v/>
      </c>
      <c r="X61" s="369" t="str">
        <f ca="1">IF($B61&lt;&gt;"PRC_RESID","",IF(X$7=2005+OFFSET(COM_2012!$B$60,$AW61,SUMIF($B$10:$B$16,"NCAP_TLIFE",$AX$10:$AX$16)),0,""))</f>
        <v/>
      </c>
      <c r="Y61" s="369" t="str">
        <f ca="1">IF($B61&lt;&gt;"PRC_RESID","",IF(Y$7=2005+OFFSET(COM_2012!$B$60,$AW61,SUMIF($B$10:$B$16,"NCAP_TLIFE",$AX$10:$AX$16)),0,""))</f>
        <v/>
      </c>
      <c r="Z61" s="369" t="str">
        <f ca="1">IF($B61&lt;&gt;"PRC_RESID","",IF(Z$7=2005+OFFSET(COM_2012!$B$60,$AW61,SUMIF($B$10:$B$16,"NCAP_TLIFE",$AX$10:$AX$16)),0,""))</f>
        <v/>
      </c>
      <c r="AA61" s="369" t="str">
        <f ca="1">IF($B61&lt;&gt;"PRC_RESID","",IF(AA$7=2005+OFFSET(COM_2012!$B$60,$AW61,SUMIF($B$10:$B$16,"NCAP_TLIFE",$AX$10:$AX$16)),0,""))</f>
        <v/>
      </c>
      <c r="AB61" s="369" t="str">
        <f ca="1">IF($B61&lt;&gt;"PRC_RESID","",IF(AB$7=2005+OFFSET(COM_2012!$B$60,$AW61,SUMIF($B$10:$B$16,"NCAP_TLIFE",$AX$10:$AX$16)),0,""))</f>
        <v/>
      </c>
      <c r="AC61" s="369" t="str">
        <f ca="1">IF($B61&lt;&gt;"PRC_RESID","",IF(AC$7=2005+OFFSET(COM_2012!$B$60,$AW61,SUMIF($B$10:$B$16,"NCAP_TLIFE",$AX$10:$AX$16)),0,""))</f>
        <v/>
      </c>
      <c r="AD61" s="369" t="str">
        <f ca="1">IF($B61&lt;&gt;"PRC_RESID","",IF(AD$7=2005+OFFSET(COM_2012!$B$60,$AW61,SUMIF($B$10:$B$16,"NCAP_TLIFE",$AX$10:$AX$16)),0,""))</f>
        <v/>
      </c>
      <c r="AE61" s="369" t="str">
        <f ca="1">IF($B61&lt;&gt;"PRC_RESID","",IF(AE$7=2005+OFFSET(COM_2012!$B$60,$AW61,SUMIF($B$10:$B$16,"NCAP_TLIFE",$AX$10:$AX$16)),0,""))</f>
        <v/>
      </c>
      <c r="AF61" s="369" t="str">
        <f ca="1">IF($B61&lt;&gt;"PRC_RESID","",IF(AF$7=2005+OFFSET(COM_2012!$B$60,$AW61,SUMIF($B$10:$B$16,"NCAP_TLIFE",$AX$10:$AX$16)),0,""))</f>
        <v/>
      </c>
      <c r="AG61" s="369" t="str">
        <f ca="1">IF($B61&lt;&gt;"PRC_RESID","",IF(AG$7=2005+OFFSET(COM_2012!$B$60,$AW61,SUMIF($B$10:$B$16,"NCAP_TLIFE",$AX$10:$AX$16)),0,""))</f>
        <v/>
      </c>
      <c r="AH61" s="369" t="str">
        <f ca="1">IF($B61&lt;&gt;"PRC_RESID","",IF(AH$7=2005+OFFSET(COM_2012!$B$60,$AW61,SUMIF($B$10:$B$16,"NCAP_TLIFE",$AX$10:$AX$16)),0,""))</f>
        <v/>
      </c>
      <c r="AI61" s="369" t="str">
        <f ca="1">IF($B61&lt;&gt;"PRC_RESID","",IF(AI$7=2005+OFFSET(COM_2012!$B$60,$AW61,SUMIF($B$10:$B$16,"NCAP_TLIFE",$AX$10:$AX$16)),0,""))</f>
        <v/>
      </c>
      <c r="AJ61" s="369" t="str">
        <f ca="1">IF($B61&lt;&gt;"PRC_RESID","",IF(AJ$7=2005+OFFSET(COM_2012!$B$60,$AW61,SUMIF($B$10:$B$16,"NCAP_TLIFE",$AX$10:$AX$16)),0,""))</f>
        <v/>
      </c>
      <c r="AK61" s="369" t="str">
        <f ca="1">IF($B61&lt;&gt;"PRC_RESID","",IF(AK$7=2005+OFFSET(COM_2012!$B$60,$AW61,SUMIF($B$10:$B$16,"NCAP_TLIFE",$AX$10:$AX$16)),0,""))</f>
        <v/>
      </c>
      <c r="AL61" s="369" t="str">
        <f ca="1">IF($B61&lt;&gt;"PRC_RESID","",IF(AL$7=2005+OFFSET(COM_2012!$B$60,$AW61,SUMIF($B$10:$B$16,"NCAP_TLIFE",$AX$10:$AX$16)),0,""))</f>
        <v/>
      </c>
      <c r="AM61" s="369" t="str">
        <f ca="1">IF($B61&lt;&gt;"PRC_RESID","",IF(AM$7=2005+OFFSET(COM_2012!$B$60,$AW61,SUMIF($B$10:$B$16,"NCAP_TLIFE",$AX$10:$AX$16)),0,""))</f>
        <v/>
      </c>
      <c r="AN61" s="369" t="str">
        <f ca="1">IF($B61&lt;&gt;"PRC_RESID","",IF(AN$7=2005+OFFSET(COM_2012!$B$60,$AW61,SUMIF($B$10:$B$16,"NCAP_TLIFE",$AX$10:$AX$16)),0,""))</f>
        <v/>
      </c>
      <c r="AO61" s="369" t="str">
        <f ca="1">IF($B61&lt;&gt;"PRC_RESID","",IF(AO$7=2005+OFFSET(COM_2012!$B$60,$AW61,SUMIF($B$10:$B$16,"NCAP_TLIFE",$AX$10:$AX$16)),0,""))</f>
        <v/>
      </c>
      <c r="AP61" s="369" t="str">
        <f ca="1">IF($B61&lt;&gt;"PRC_RESID","",IF(AP$7=2005+OFFSET(COM_2012!$B$60,$AW61,SUMIF($B$10:$B$16,"NCAP_TLIFE",$AX$10:$AX$16)),0,""))</f>
        <v/>
      </c>
      <c r="AQ61" s="369" t="str">
        <f ca="1">IF($B61&lt;&gt;"PRC_RESID","",IF(AQ$7=2005+OFFSET(COM_2012!$B$60,$AW61,SUMIF($B$10:$B$16,"NCAP_TLIFE",$AX$10:$AX$16)),0,""))</f>
        <v/>
      </c>
      <c r="AR61" s="369" t="str">
        <f ca="1">IF($B61&lt;&gt;"PRC_RESID","",IF(AR$7=2005+OFFSET(COM_2012!$B$60,$AW61,SUMIF($B$10:$B$16,"NCAP_TLIFE",$AX$10:$AX$16)),0,""))</f>
        <v/>
      </c>
      <c r="AS61" s="369" t="str">
        <f ca="1">IF($B61&lt;&gt;"PRC_RESID","",IF(AS$7=2005+OFFSET(COM_2012!$B$60,$AW61,SUMIF($B$10:$B$16,"NCAP_TLIFE",$AX$10:$AX$16)),0,""))</f>
        <v/>
      </c>
      <c r="AT61" s="369" t="str">
        <f ca="1">IF($B61&lt;&gt;"PRC_RESID","",IF(AT$7=2005+OFFSET(COM_2012!$B$60,$AW61,SUMIF($B$10:$B$16,"NCAP_TLIFE",$AX$10:$AX$16)),0,""))</f>
        <v/>
      </c>
      <c r="AU61" s="369" t="str">
        <f ca="1">IF($B61&lt;&gt;"PRC_RESID","",IF(AU$7=2005+OFFSET(COM_2012!$B$60,$AW61,SUMIF($B$10:$B$16,"NCAP_TLIFE",$AX$10:$AX$16)),0,""))</f>
        <v/>
      </c>
      <c r="AV61" s="304">
        <f>IF(AW60=COM_2012!$AI$121,AV60+1,AV60)</f>
        <v>1</v>
      </c>
      <c r="AW61" s="304">
        <f t="shared" si="5"/>
        <v>34</v>
      </c>
    </row>
    <row r="62" spans="1:49">
      <c r="A62" s="304" t="str">
        <f ca="1">IF(LEFT(OFFSET(COM_2012!$A$60,AW62,0),2)="\I","*","")</f>
        <v/>
      </c>
      <c r="B62" s="369" t="str">
        <f t="shared" ca="1" si="2"/>
        <v>ACT_EFF</v>
      </c>
      <c r="C62" s="369" t="str">
        <f ca="1">IF($A62="*","",OFFSET(COM_2012!$B$60,AW62,0))</f>
        <v>CEWOLP-E</v>
      </c>
      <c r="D62" s="369" t="str">
        <f t="shared" ca="1" si="6"/>
        <v>-</v>
      </c>
      <c r="E62" s="369" t="str">
        <f t="shared" ca="1" si="6"/>
        <v>ACTGRP</v>
      </c>
      <c r="F62" s="369" t="str">
        <f t="shared" ca="1" si="6"/>
        <v>-</v>
      </c>
      <c r="G62" s="369" t="str">
        <f t="shared" ca="1" si="6"/>
        <v>ANNUAL</v>
      </c>
      <c r="H62" s="369" t="str">
        <f t="shared" ca="1" si="6"/>
        <v>-</v>
      </c>
      <c r="I62" s="370">
        <f t="shared" ca="1" si="6"/>
        <v>0</v>
      </c>
      <c r="J62" s="391">
        <f ca="1">IF($A62="*","",OFFSET(COM_2012!$B$60,AW62,SUMIF($B$10:$B$16,B62,$AX$10:$AX$16)))</f>
        <v>0.68</v>
      </c>
      <c r="K62" s="369" t="str">
        <f ca="1">IF($B62&lt;&gt;"PRC_RESID","",IF(K$7=2005+OFFSET(COM_2012!$B$60,$AW62,SUMIF($B$10:$B$16,"NCAP_TLIFE",$AX$10:$AX$16)),0,""))</f>
        <v/>
      </c>
      <c r="L62" s="369" t="str">
        <f ca="1">IF($B62&lt;&gt;"PRC_RESID","",IF(L$7=2005+OFFSET(COM_2012!$B$60,$AW62,SUMIF($B$10:$B$16,"NCAP_TLIFE",$AX$10:$AX$16)),0,""))</f>
        <v/>
      </c>
      <c r="M62" s="369" t="str">
        <f ca="1">IF($B62&lt;&gt;"PRC_RESID","",IF(M$7=2005+OFFSET(COM_2012!$B$60,$AW62,SUMIF($B$10:$B$16,"NCAP_TLIFE",$AX$10:$AX$16)),0,""))</f>
        <v/>
      </c>
      <c r="N62" s="369" t="str">
        <f ca="1">IF($B62&lt;&gt;"PRC_RESID","",IF(N$7=2005+OFFSET(COM_2012!$B$60,$AW62,SUMIF($B$10:$B$16,"NCAP_TLIFE",$AX$10:$AX$16)),0,""))</f>
        <v/>
      </c>
      <c r="O62" s="658" t="str">
        <f ca="1">IF($B62&lt;&gt;"PRC_RESID","",IF(O$7=2005+OFFSET(COM_2012!$B$60,$AW62,SUMIF($B$10:$B$16,"NCAP_TLIFE",$AX$10:$AX$16)),0,""))</f>
        <v/>
      </c>
      <c r="P62" s="369" t="str">
        <f ca="1">IF($B62&lt;&gt;"PRC_RESID","",IF(P$7=2005+OFFSET(COM_2012!$B$60,$AW62,SUMIF($B$10:$B$16,"NCAP_TLIFE",$AX$10:$AX$16)),0,""))</f>
        <v/>
      </c>
      <c r="Q62" s="369" t="str">
        <f ca="1">IF($B62&lt;&gt;"PRC_RESID","",IF(Q$7=2005+OFFSET(COM_2012!$B$60,$AW62,SUMIF($B$10:$B$16,"NCAP_TLIFE",$AX$10:$AX$16)),0,""))</f>
        <v/>
      </c>
      <c r="R62" s="369" t="str">
        <f ca="1">IF($B62&lt;&gt;"PRC_RESID","",IF(R$7=2005+OFFSET(COM_2012!$B$60,$AW62,SUMIF($B$10:$B$16,"NCAP_TLIFE",$AX$10:$AX$16)),0,""))</f>
        <v/>
      </c>
      <c r="S62" s="369" t="str">
        <f ca="1">IF($B62&lt;&gt;"PRC_RESID","",IF(S$7=2005+OFFSET(COM_2012!$B$60,$AW62,SUMIF($B$10:$B$16,"NCAP_TLIFE",$AX$10:$AX$16)),0,""))</f>
        <v/>
      </c>
      <c r="T62" s="369" t="str">
        <f ca="1">IF($B62&lt;&gt;"PRC_RESID","",IF(T$7=2005+OFFSET(COM_2012!$B$60,$AW62,SUMIF($B$10:$B$16,"NCAP_TLIFE",$AX$10:$AX$16)),0,""))</f>
        <v/>
      </c>
      <c r="U62" s="369" t="str">
        <f ca="1">IF($B62&lt;&gt;"PRC_RESID","",IF(U$7=2005+OFFSET(COM_2012!$B$60,$AW62,SUMIF($B$10:$B$16,"NCAP_TLIFE",$AX$10:$AX$16)),0,""))</f>
        <v/>
      </c>
      <c r="V62" s="369" t="str">
        <f ca="1">IF($B62&lt;&gt;"PRC_RESID","",IF(V$7=2005+OFFSET(COM_2012!$B$60,$AW62,SUMIF($B$10:$B$16,"NCAP_TLIFE",$AX$10:$AX$16)),0,""))</f>
        <v/>
      </c>
      <c r="W62" s="369" t="str">
        <f ca="1">IF($B62&lt;&gt;"PRC_RESID","",IF(W$7=2005+OFFSET(COM_2012!$B$60,$AW62,SUMIF($B$10:$B$16,"NCAP_TLIFE",$AX$10:$AX$16)),0,""))</f>
        <v/>
      </c>
      <c r="X62" s="369" t="str">
        <f ca="1">IF($B62&lt;&gt;"PRC_RESID","",IF(X$7=2005+OFFSET(COM_2012!$B$60,$AW62,SUMIF($B$10:$B$16,"NCAP_TLIFE",$AX$10:$AX$16)),0,""))</f>
        <v/>
      </c>
      <c r="Y62" s="369" t="str">
        <f ca="1">IF($B62&lt;&gt;"PRC_RESID","",IF(Y$7=2005+OFFSET(COM_2012!$B$60,$AW62,SUMIF($B$10:$B$16,"NCAP_TLIFE",$AX$10:$AX$16)),0,""))</f>
        <v/>
      </c>
      <c r="Z62" s="369" t="str">
        <f ca="1">IF($B62&lt;&gt;"PRC_RESID","",IF(Z$7=2005+OFFSET(COM_2012!$B$60,$AW62,SUMIF($B$10:$B$16,"NCAP_TLIFE",$AX$10:$AX$16)),0,""))</f>
        <v/>
      </c>
      <c r="AA62" s="369" t="str">
        <f ca="1">IF($B62&lt;&gt;"PRC_RESID","",IF(AA$7=2005+OFFSET(COM_2012!$B$60,$AW62,SUMIF($B$10:$B$16,"NCAP_TLIFE",$AX$10:$AX$16)),0,""))</f>
        <v/>
      </c>
      <c r="AB62" s="369" t="str">
        <f ca="1">IF($B62&lt;&gt;"PRC_RESID","",IF(AB$7=2005+OFFSET(COM_2012!$B$60,$AW62,SUMIF($B$10:$B$16,"NCAP_TLIFE",$AX$10:$AX$16)),0,""))</f>
        <v/>
      </c>
      <c r="AC62" s="369" t="str">
        <f ca="1">IF($B62&lt;&gt;"PRC_RESID","",IF(AC$7=2005+OFFSET(COM_2012!$B$60,$AW62,SUMIF($B$10:$B$16,"NCAP_TLIFE",$AX$10:$AX$16)),0,""))</f>
        <v/>
      </c>
      <c r="AD62" s="369" t="str">
        <f ca="1">IF($B62&lt;&gt;"PRC_RESID","",IF(AD$7=2005+OFFSET(COM_2012!$B$60,$AW62,SUMIF($B$10:$B$16,"NCAP_TLIFE",$AX$10:$AX$16)),0,""))</f>
        <v/>
      </c>
      <c r="AE62" s="369" t="str">
        <f ca="1">IF($B62&lt;&gt;"PRC_RESID","",IF(AE$7=2005+OFFSET(COM_2012!$B$60,$AW62,SUMIF($B$10:$B$16,"NCAP_TLIFE",$AX$10:$AX$16)),0,""))</f>
        <v/>
      </c>
      <c r="AF62" s="369" t="str">
        <f ca="1">IF($B62&lt;&gt;"PRC_RESID","",IF(AF$7=2005+OFFSET(COM_2012!$B$60,$AW62,SUMIF($B$10:$B$16,"NCAP_TLIFE",$AX$10:$AX$16)),0,""))</f>
        <v/>
      </c>
      <c r="AG62" s="369" t="str">
        <f ca="1">IF($B62&lt;&gt;"PRC_RESID","",IF(AG$7=2005+OFFSET(COM_2012!$B$60,$AW62,SUMIF($B$10:$B$16,"NCAP_TLIFE",$AX$10:$AX$16)),0,""))</f>
        <v/>
      </c>
      <c r="AH62" s="369" t="str">
        <f ca="1">IF($B62&lt;&gt;"PRC_RESID","",IF(AH$7=2005+OFFSET(COM_2012!$B$60,$AW62,SUMIF($B$10:$B$16,"NCAP_TLIFE",$AX$10:$AX$16)),0,""))</f>
        <v/>
      </c>
      <c r="AI62" s="369" t="str">
        <f ca="1">IF($B62&lt;&gt;"PRC_RESID","",IF(AI$7=2005+OFFSET(COM_2012!$B$60,$AW62,SUMIF($B$10:$B$16,"NCAP_TLIFE",$AX$10:$AX$16)),0,""))</f>
        <v/>
      </c>
      <c r="AJ62" s="369" t="str">
        <f ca="1">IF($B62&lt;&gt;"PRC_RESID","",IF(AJ$7=2005+OFFSET(COM_2012!$B$60,$AW62,SUMIF($B$10:$B$16,"NCAP_TLIFE",$AX$10:$AX$16)),0,""))</f>
        <v/>
      </c>
      <c r="AK62" s="369" t="str">
        <f ca="1">IF($B62&lt;&gt;"PRC_RESID","",IF(AK$7=2005+OFFSET(COM_2012!$B$60,$AW62,SUMIF($B$10:$B$16,"NCAP_TLIFE",$AX$10:$AX$16)),0,""))</f>
        <v/>
      </c>
      <c r="AL62" s="369" t="str">
        <f ca="1">IF($B62&lt;&gt;"PRC_RESID","",IF(AL$7=2005+OFFSET(COM_2012!$B$60,$AW62,SUMIF($B$10:$B$16,"NCAP_TLIFE",$AX$10:$AX$16)),0,""))</f>
        <v/>
      </c>
      <c r="AM62" s="369" t="str">
        <f ca="1">IF($B62&lt;&gt;"PRC_RESID","",IF(AM$7=2005+OFFSET(COM_2012!$B$60,$AW62,SUMIF($B$10:$B$16,"NCAP_TLIFE",$AX$10:$AX$16)),0,""))</f>
        <v/>
      </c>
      <c r="AN62" s="369" t="str">
        <f ca="1">IF($B62&lt;&gt;"PRC_RESID","",IF(AN$7=2005+OFFSET(COM_2012!$B$60,$AW62,SUMIF($B$10:$B$16,"NCAP_TLIFE",$AX$10:$AX$16)),0,""))</f>
        <v/>
      </c>
      <c r="AO62" s="369" t="str">
        <f ca="1">IF($B62&lt;&gt;"PRC_RESID","",IF(AO$7=2005+OFFSET(COM_2012!$B$60,$AW62,SUMIF($B$10:$B$16,"NCAP_TLIFE",$AX$10:$AX$16)),0,""))</f>
        <v/>
      </c>
      <c r="AP62" s="369" t="str">
        <f ca="1">IF($B62&lt;&gt;"PRC_RESID","",IF(AP$7=2005+OFFSET(COM_2012!$B$60,$AW62,SUMIF($B$10:$B$16,"NCAP_TLIFE",$AX$10:$AX$16)),0,""))</f>
        <v/>
      </c>
      <c r="AQ62" s="369" t="str">
        <f ca="1">IF($B62&lt;&gt;"PRC_RESID","",IF(AQ$7=2005+OFFSET(COM_2012!$B$60,$AW62,SUMIF($B$10:$B$16,"NCAP_TLIFE",$AX$10:$AX$16)),0,""))</f>
        <v/>
      </c>
      <c r="AR62" s="369" t="str">
        <f ca="1">IF($B62&lt;&gt;"PRC_RESID","",IF(AR$7=2005+OFFSET(COM_2012!$B$60,$AW62,SUMIF($B$10:$B$16,"NCAP_TLIFE",$AX$10:$AX$16)),0,""))</f>
        <v/>
      </c>
      <c r="AS62" s="369" t="str">
        <f ca="1">IF($B62&lt;&gt;"PRC_RESID","",IF(AS$7=2005+OFFSET(COM_2012!$B$60,$AW62,SUMIF($B$10:$B$16,"NCAP_TLIFE",$AX$10:$AX$16)),0,""))</f>
        <v/>
      </c>
      <c r="AT62" s="369" t="str">
        <f ca="1">IF($B62&lt;&gt;"PRC_RESID","",IF(AT$7=2005+OFFSET(COM_2012!$B$60,$AW62,SUMIF($B$10:$B$16,"NCAP_TLIFE",$AX$10:$AX$16)),0,""))</f>
        <v/>
      </c>
      <c r="AU62" s="369" t="str">
        <f ca="1">IF($B62&lt;&gt;"PRC_RESID","",IF(AU$7=2005+OFFSET(COM_2012!$B$60,$AW62,SUMIF($B$10:$B$16,"NCAP_TLIFE",$AX$10:$AX$16)),0,""))</f>
        <v/>
      </c>
      <c r="AV62" s="304">
        <f>IF(AW61=COM_2012!$AI$121,AV61+1,AV61)</f>
        <v>1</v>
      </c>
      <c r="AW62" s="304">
        <f t="shared" si="5"/>
        <v>35</v>
      </c>
    </row>
    <row r="63" spans="1:49">
      <c r="A63" s="304" t="str">
        <f ca="1">IF(LEFT(OFFSET(COM_2012!$A$60,AW63,0),2)="\I","*","")</f>
        <v/>
      </c>
      <c r="B63" s="369" t="str">
        <f t="shared" ca="1" si="2"/>
        <v>ACT_EFF</v>
      </c>
      <c r="C63" s="369" t="str">
        <f ca="1">IF($A63="*","",OFFSET(COM_2012!$B$60,AW63,0))</f>
        <v>CEWGAS-E</v>
      </c>
      <c r="D63" s="369" t="str">
        <f t="shared" ref="D63:I78" ca="1" si="7">IF($A63="*","",VLOOKUP($B63,$B$10:$I$16,D$9,FALSE))</f>
        <v>-</v>
      </c>
      <c r="E63" s="369" t="str">
        <f t="shared" ca="1" si="7"/>
        <v>ACTGRP</v>
      </c>
      <c r="F63" s="369" t="str">
        <f t="shared" ca="1" si="7"/>
        <v>-</v>
      </c>
      <c r="G63" s="369" t="str">
        <f t="shared" ca="1" si="7"/>
        <v>ANNUAL</v>
      </c>
      <c r="H63" s="369" t="str">
        <f t="shared" ca="1" si="7"/>
        <v>-</v>
      </c>
      <c r="I63" s="370">
        <f t="shared" ca="1" si="7"/>
        <v>0</v>
      </c>
      <c r="J63" s="391">
        <f ca="1">IF($A63="*","",OFFSET(COM_2012!$B$60,AW63,SUMIF($B$10:$B$16,B63,$AX$10:$AX$16)))</f>
        <v>0.69</v>
      </c>
      <c r="K63" s="369" t="str">
        <f ca="1">IF($B63&lt;&gt;"PRC_RESID","",IF(K$7=2005+OFFSET(COM_2012!$B$60,$AW63,SUMIF($B$10:$B$16,"NCAP_TLIFE",$AX$10:$AX$16)),0,""))</f>
        <v/>
      </c>
      <c r="L63" s="369" t="str">
        <f ca="1">IF($B63&lt;&gt;"PRC_RESID","",IF(L$7=2005+OFFSET(COM_2012!$B$60,$AW63,SUMIF($B$10:$B$16,"NCAP_TLIFE",$AX$10:$AX$16)),0,""))</f>
        <v/>
      </c>
      <c r="M63" s="369" t="str">
        <f ca="1">IF($B63&lt;&gt;"PRC_RESID","",IF(M$7=2005+OFFSET(COM_2012!$B$60,$AW63,SUMIF($B$10:$B$16,"NCAP_TLIFE",$AX$10:$AX$16)),0,""))</f>
        <v/>
      </c>
      <c r="N63" s="369" t="str">
        <f ca="1">IF($B63&lt;&gt;"PRC_RESID","",IF(N$7=2005+OFFSET(COM_2012!$B$60,$AW63,SUMIF($B$10:$B$16,"NCAP_TLIFE",$AX$10:$AX$16)),0,""))</f>
        <v/>
      </c>
      <c r="O63" s="658" t="str">
        <f ca="1">IF($B63&lt;&gt;"PRC_RESID","",IF(O$7=2005+OFFSET(COM_2012!$B$60,$AW63,SUMIF($B$10:$B$16,"NCAP_TLIFE",$AX$10:$AX$16)),0,""))</f>
        <v/>
      </c>
      <c r="P63" s="369" t="str">
        <f ca="1">IF($B63&lt;&gt;"PRC_RESID","",IF(P$7=2005+OFFSET(COM_2012!$B$60,$AW63,SUMIF($B$10:$B$16,"NCAP_TLIFE",$AX$10:$AX$16)),0,""))</f>
        <v/>
      </c>
      <c r="Q63" s="369" t="str">
        <f ca="1">IF($B63&lt;&gt;"PRC_RESID","",IF(Q$7=2005+OFFSET(COM_2012!$B$60,$AW63,SUMIF($B$10:$B$16,"NCAP_TLIFE",$AX$10:$AX$16)),0,""))</f>
        <v/>
      </c>
      <c r="R63" s="369" t="str">
        <f ca="1">IF($B63&lt;&gt;"PRC_RESID","",IF(R$7=2005+OFFSET(COM_2012!$B$60,$AW63,SUMIF($B$10:$B$16,"NCAP_TLIFE",$AX$10:$AX$16)),0,""))</f>
        <v/>
      </c>
      <c r="S63" s="369" t="str">
        <f ca="1">IF($B63&lt;&gt;"PRC_RESID","",IF(S$7=2005+OFFSET(COM_2012!$B$60,$AW63,SUMIF($B$10:$B$16,"NCAP_TLIFE",$AX$10:$AX$16)),0,""))</f>
        <v/>
      </c>
      <c r="T63" s="369" t="str">
        <f ca="1">IF($B63&lt;&gt;"PRC_RESID","",IF(T$7=2005+OFFSET(COM_2012!$B$60,$AW63,SUMIF($B$10:$B$16,"NCAP_TLIFE",$AX$10:$AX$16)),0,""))</f>
        <v/>
      </c>
      <c r="U63" s="369" t="str">
        <f ca="1">IF($B63&lt;&gt;"PRC_RESID","",IF(U$7=2005+OFFSET(COM_2012!$B$60,$AW63,SUMIF($B$10:$B$16,"NCAP_TLIFE",$AX$10:$AX$16)),0,""))</f>
        <v/>
      </c>
      <c r="V63" s="369" t="str">
        <f ca="1">IF($B63&lt;&gt;"PRC_RESID","",IF(V$7=2005+OFFSET(COM_2012!$B$60,$AW63,SUMIF($B$10:$B$16,"NCAP_TLIFE",$AX$10:$AX$16)),0,""))</f>
        <v/>
      </c>
      <c r="W63" s="369" t="str">
        <f ca="1">IF($B63&lt;&gt;"PRC_RESID","",IF(W$7=2005+OFFSET(COM_2012!$B$60,$AW63,SUMIF($B$10:$B$16,"NCAP_TLIFE",$AX$10:$AX$16)),0,""))</f>
        <v/>
      </c>
      <c r="X63" s="369" t="str">
        <f ca="1">IF($B63&lt;&gt;"PRC_RESID","",IF(X$7=2005+OFFSET(COM_2012!$B$60,$AW63,SUMIF($B$10:$B$16,"NCAP_TLIFE",$AX$10:$AX$16)),0,""))</f>
        <v/>
      </c>
      <c r="Y63" s="369" t="str">
        <f ca="1">IF($B63&lt;&gt;"PRC_RESID","",IF(Y$7=2005+OFFSET(COM_2012!$B$60,$AW63,SUMIF($B$10:$B$16,"NCAP_TLIFE",$AX$10:$AX$16)),0,""))</f>
        <v/>
      </c>
      <c r="Z63" s="369" t="str">
        <f ca="1">IF($B63&lt;&gt;"PRC_RESID","",IF(Z$7=2005+OFFSET(COM_2012!$B$60,$AW63,SUMIF($B$10:$B$16,"NCAP_TLIFE",$AX$10:$AX$16)),0,""))</f>
        <v/>
      </c>
      <c r="AA63" s="369" t="str">
        <f ca="1">IF($B63&lt;&gt;"PRC_RESID","",IF(AA$7=2005+OFFSET(COM_2012!$B$60,$AW63,SUMIF($B$10:$B$16,"NCAP_TLIFE",$AX$10:$AX$16)),0,""))</f>
        <v/>
      </c>
      <c r="AB63" s="369" t="str">
        <f ca="1">IF($B63&lt;&gt;"PRC_RESID","",IF(AB$7=2005+OFFSET(COM_2012!$B$60,$AW63,SUMIF($B$10:$B$16,"NCAP_TLIFE",$AX$10:$AX$16)),0,""))</f>
        <v/>
      </c>
      <c r="AC63" s="369" t="str">
        <f ca="1">IF($B63&lt;&gt;"PRC_RESID","",IF(AC$7=2005+OFFSET(COM_2012!$B$60,$AW63,SUMIF($B$10:$B$16,"NCAP_TLIFE",$AX$10:$AX$16)),0,""))</f>
        <v/>
      </c>
      <c r="AD63" s="369" t="str">
        <f ca="1">IF($B63&lt;&gt;"PRC_RESID","",IF(AD$7=2005+OFFSET(COM_2012!$B$60,$AW63,SUMIF($B$10:$B$16,"NCAP_TLIFE",$AX$10:$AX$16)),0,""))</f>
        <v/>
      </c>
      <c r="AE63" s="369" t="str">
        <f ca="1">IF($B63&lt;&gt;"PRC_RESID","",IF(AE$7=2005+OFFSET(COM_2012!$B$60,$AW63,SUMIF($B$10:$B$16,"NCAP_TLIFE",$AX$10:$AX$16)),0,""))</f>
        <v/>
      </c>
      <c r="AF63" s="369" t="str">
        <f ca="1">IF($B63&lt;&gt;"PRC_RESID","",IF(AF$7=2005+OFFSET(COM_2012!$B$60,$AW63,SUMIF($B$10:$B$16,"NCAP_TLIFE",$AX$10:$AX$16)),0,""))</f>
        <v/>
      </c>
      <c r="AG63" s="369" t="str">
        <f ca="1">IF($B63&lt;&gt;"PRC_RESID","",IF(AG$7=2005+OFFSET(COM_2012!$B$60,$AW63,SUMIF($B$10:$B$16,"NCAP_TLIFE",$AX$10:$AX$16)),0,""))</f>
        <v/>
      </c>
      <c r="AH63" s="369" t="str">
        <f ca="1">IF($B63&lt;&gt;"PRC_RESID","",IF(AH$7=2005+OFFSET(COM_2012!$B$60,$AW63,SUMIF($B$10:$B$16,"NCAP_TLIFE",$AX$10:$AX$16)),0,""))</f>
        <v/>
      </c>
      <c r="AI63" s="369" t="str">
        <f ca="1">IF($B63&lt;&gt;"PRC_RESID","",IF(AI$7=2005+OFFSET(COM_2012!$B$60,$AW63,SUMIF($B$10:$B$16,"NCAP_TLIFE",$AX$10:$AX$16)),0,""))</f>
        <v/>
      </c>
      <c r="AJ63" s="369" t="str">
        <f ca="1">IF($B63&lt;&gt;"PRC_RESID","",IF(AJ$7=2005+OFFSET(COM_2012!$B$60,$AW63,SUMIF($B$10:$B$16,"NCAP_TLIFE",$AX$10:$AX$16)),0,""))</f>
        <v/>
      </c>
      <c r="AK63" s="369" t="str">
        <f ca="1">IF($B63&lt;&gt;"PRC_RESID","",IF(AK$7=2005+OFFSET(COM_2012!$B$60,$AW63,SUMIF($B$10:$B$16,"NCAP_TLIFE",$AX$10:$AX$16)),0,""))</f>
        <v/>
      </c>
      <c r="AL63" s="369" t="str">
        <f ca="1">IF($B63&lt;&gt;"PRC_RESID","",IF(AL$7=2005+OFFSET(COM_2012!$B$60,$AW63,SUMIF($B$10:$B$16,"NCAP_TLIFE",$AX$10:$AX$16)),0,""))</f>
        <v/>
      </c>
      <c r="AM63" s="369" t="str">
        <f ca="1">IF($B63&lt;&gt;"PRC_RESID","",IF(AM$7=2005+OFFSET(COM_2012!$B$60,$AW63,SUMIF($B$10:$B$16,"NCAP_TLIFE",$AX$10:$AX$16)),0,""))</f>
        <v/>
      </c>
      <c r="AN63" s="369" t="str">
        <f ca="1">IF($B63&lt;&gt;"PRC_RESID","",IF(AN$7=2005+OFFSET(COM_2012!$B$60,$AW63,SUMIF($B$10:$B$16,"NCAP_TLIFE",$AX$10:$AX$16)),0,""))</f>
        <v/>
      </c>
      <c r="AO63" s="369" t="str">
        <f ca="1">IF($B63&lt;&gt;"PRC_RESID","",IF(AO$7=2005+OFFSET(COM_2012!$B$60,$AW63,SUMIF($B$10:$B$16,"NCAP_TLIFE",$AX$10:$AX$16)),0,""))</f>
        <v/>
      </c>
      <c r="AP63" s="369" t="str">
        <f ca="1">IF($B63&lt;&gt;"PRC_RESID","",IF(AP$7=2005+OFFSET(COM_2012!$B$60,$AW63,SUMIF($B$10:$B$16,"NCAP_TLIFE",$AX$10:$AX$16)),0,""))</f>
        <v/>
      </c>
      <c r="AQ63" s="369" t="str">
        <f ca="1">IF($B63&lt;&gt;"PRC_RESID","",IF(AQ$7=2005+OFFSET(COM_2012!$B$60,$AW63,SUMIF($B$10:$B$16,"NCAP_TLIFE",$AX$10:$AX$16)),0,""))</f>
        <v/>
      </c>
      <c r="AR63" s="369" t="str">
        <f ca="1">IF($B63&lt;&gt;"PRC_RESID","",IF(AR$7=2005+OFFSET(COM_2012!$B$60,$AW63,SUMIF($B$10:$B$16,"NCAP_TLIFE",$AX$10:$AX$16)),0,""))</f>
        <v/>
      </c>
      <c r="AS63" s="369" t="str">
        <f ca="1">IF($B63&lt;&gt;"PRC_RESID","",IF(AS$7=2005+OFFSET(COM_2012!$B$60,$AW63,SUMIF($B$10:$B$16,"NCAP_TLIFE",$AX$10:$AX$16)),0,""))</f>
        <v/>
      </c>
      <c r="AT63" s="369" t="str">
        <f ca="1">IF($B63&lt;&gt;"PRC_RESID","",IF(AT$7=2005+OFFSET(COM_2012!$B$60,$AW63,SUMIF($B$10:$B$16,"NCAP_TLIFE",$AX$10:$AX$16)),0,""))</f>
        <v/>
      </c>
      <c r="AU63" s="369" t="str">
        <f ca="1">IF($B63&lt;&gt;"PRC_RESID","",IF(AU$7=2005+OFFSET(COM_2012!$B$60,$AW63,SUMIF($B$10:$B$16,"NCAP_TLIFE",$AX$10:$AX$16)),0,""))</f>
        <v/>
      </c>
      <c r="AV63" s="304">
        <f>IF(AW62=COM_2012!$AI$121,AV62+1,AV62)</f>
        <v>1</v>
      </c>
      <c r="AW63" s="304">
        <f t="shared" si="5"/>
        <v>36</v>
      </c>
    </row>
    <row r="64" spans="1:49">
      <c r="A64" s="304" t="str">
        <f ca="1">IF(LEFT(OFFSET(COM_2012!$A$60,AW64,0),2)="\I","*","")</f>
        <v/>
      </c>
      <c r="B64" s="369" t="str">
        <f t="shared" ca="1" si="2"/>
        <v>ACT_EFF</v>
      </c>
      <c r="C64" s="369" t="str">
        <f ca="1">IF($A64="*","",OFFSET(COM_2012!$B$60,AW64,0))</f>
        <v>CEWOKE-E</v>
      </c>
      <c r="D64" s="369" t="str">
        <f t="shared" ca="1" si="7"/>
        <v>-</v>
      </c>
      <c r="E64" s="369" t="str">
        <f t="shared" ca="1" si="7"/>
        <v>ACTGRP</v>
      </c>
      <c r="F64" s="369" t="str">
        <f t="shared" ca="1" si="7"/>
        <v>-</v>
      </c>
      <c r="G64" s="369" t="str">
        <f t="shared" ca="1" si="7"/>
        <v>ANNUAL</v>
      </c>
      <c r="H64" s="369" t="str">
        <f t="shared" ca="1" si="7"/>
        <v>-</v>
      </c>
      <c r="I64" s="370">
        <f t="shared" ca="1" si="7"/>
        <v>0</v>
      </c>
      <c r="J64" s="391">
        <f ca="1">IF($A64="*","",OFFSET(COM_2012!$B$60,AW64,SUMIF($B$10:$B$16,B64,$AX$10:$AX$16)))</f>
        <v>0.7</v>
      </c>
      <c r="K64" s="369" t="str">
        <f ca="1">IF($B64&lt;&gt;"PRC_RESID","",IF(K$7=2005+OFFSET(COM_2012!$B$60,$AW64,SUMIF($B$10:$B$16,"NCAP_TLIFE",$AX$10:$AX$16)),0,""))</f>
        <v/>
      </c>
      <c r="L64" s="369" t="str">
        <f ca="1">IF($B64&lt;&gt;"PRC_RESID","",IF(L$7=2005+OFFSET(COM_2012!$B$60,$AW64,SUMIF($B$10:$B$16,"NCAP_TLIFE",$AX$10:$AX$16)),0,""))</f>
        <v/>
      </c>
      <c r="M64" s="369" t="str">
        <f ca="1">IF($B64&lt;&gt;"PRC_RESID","",IF(M$7=2005+OFFSET(COM_2012!$B$60,$AW64,SUMIF($B$10:$B$16,"NCAP_TLIFE",$AX$10:$AX$16)),0,""))</f>
        <v/>
      </c>
      <c r="N64" s="369" t="str">
        <f ca="1">IF($B64&lt;&gt;"PRC_RESID","",IF(N$7=2005+OFFSET(COM_2012!$B$60,$AW64,SUMIF($B$10:$B$16,"NCAP_TLIFE",$AX$10:$AX$16)),0,""))</f>
        <v/>
      </c>
      <c r="O64" s="658" t="str">
        <f ca="1">IF($B64&lt;&gt;"PRC_RESID","",IF(O$7=2005+OFFSET(COM_2012!$B$60,$AW64,SUMIF($B$10:$B$16,"NCAP_TLIFE",$AX$10:$AX$16)),0,""))</f>
        <v/>
      </c>
      <c r="P64" s="369" t="str">
        <f ca="1">IF($B64&lt;&gt;"PRC_RESID","",IF(P$7=2005+OFFSET(COM_2012!$B$60,$AW64,SUMIF($B$10:$B$16,"NCAP_TLIFE",$AX$10:$AX$16)),0,""))</f>
        <v/>
      </c>
      <c r="Q64" s="369" t="str">
        <f ca="1">IF($B64&lt;&gt;"PRC_RESID","",IF(Q$7=2005+OFFSET(COM_2012!$B$60,$AW64,SUMIF($B$10:$B$16,"NCAP_TLIFE",$AX$10:$AX$16)),0,""))</f>
        <v/>
      </c>
      <c r="R64" s="369" t="str">
        <f ca="1">IF($B64&lt;&gt;"PRC_RESID","",IF(R$7=2005+OFFSET(COM_2012!$B$60,$AW64,SUMIF($B$10:$B$16,"NCAP_TLIFE",$AX$10:$AX$16)),0,""))</f>
        <v/>
      </c>
      <c r="S64" s="369" t="str">
        <f ca="1">IF($B64&lt;&gt;"PRC_RESID","",IF(S$7=2005+OFFSET(COM_2012!$B$60,$AW64,SUMIF($B$10:$B$16,"NCAP_TLIFE",$AX$10:$AX$16)),0,""))</f>
        <v/>
      </c>
      <c r="T64" s="369" t="str">
        <f ca="1">IF($B64&lt;&gt;"PRC_RESID","",IF(T$7=2005+OFFSET(COM_2012!$B$60,$AW64,SUMIF($B$10:$B$16,"NCAP_TLIFE",$AX$10:$AX$16)),0,""))</f>
        <v/>
      </c>
      <c r="U64" s="369" t="str">
        <f ca="1">IF($B64&lt;&gt;"PRC_RESID","",IF(U$7=2005+OFFSET(COM_2012!$B$60,$AW64,SUMIF($B$10:$B$16,"NCAP_TLIFE",$AX$10:$AX$16)),0,""))</f>
        <v/>
      </c>
      <c r="V64" s="369" t="str">
        <f ca="1">IF($B64&lt;&gt;"PRC_RESID","",IF(V$7=2005+OFFSET(COM_2012!$B$60,$AW64,SUMIF($B$10:$B$16,"NCAP_TLIFE",$AX$10:$AX$16)),0,""))</f>
        <v/>
      </c>
      <c r="W64" s="369" t="str">
        <f ca="1">IF($B64&lt;&gt;"PRC_RESID","",IF(W$7=2005+OFFSET(COM_2012!$B$60,$AW64,SUMIF($B$10:$B$16,"NCAP_TLIFE",$AX$10:$AX$16)),0,""))</f>
        <v/>
      </c>
      <c r="X64" s="369" t="str">
        <f ca="1">IF($B64&lt;&gt;"PRC_RESID","",IF(X$7=2005+OFFSET(COM_2012!$B$60,$AW64,SUMIF($B$10:$B$16,"NCAP_TLIFE",$AX$10:$AX$16)),0,""))</f>
        <v/>
      </c>
      <c r="Y64" s="369" t="str">
        <f ca="1">IF($B64&lt;&gt;"PRC_RESID","",IF(Y$7=2005+OFFSET(COM_2012!$B$60,$AW64,SUMIF($B$10:$B$16,"NCAP_TLIFE",$AX$10:$AX$16)),0,""))</f>
        <v/>
      </c>
      <c r="Z64" s="369" t="str">
        <f ca="1">IF($B64&lt;&gt;"PRC_RESID","",IF(Z$7=2005+OFFSET(COM_2012!$B$60,$AW64,SUMIF($B$10:$B$16,"NCAP_TLIFE",$AX$10:$AX$16)),0,""))</f>
        <v/>
      </c>
      <c r="AA64" s="369" t="str">
        <f ca="1">IF($B64&lt;&gt;"PRC_RESID","",IF(AA$7=2005+OFFSET(COM_2012!$B$60,$AW64,SUMIF($B$10:$B$16,"NCAP_TLIFE",$AX$10:$AX$16)),0,""))</f>
        <v/>
      </c>
      <c r="AB64" s="369" t="str">
        <f ca="1">IF($B64&lt;&gt;"PRC_RESID","",IF(AB$7=2005+OFFSET(COM_2012!$B$60,$AW64,SUMIF($B$10:$B$16,"NCAP_TLIFE",$AX$10:$AX$16)),0,""))</f>
        <v/>
      </c>
      <c r="AC64" s="369" t="str">
        <f ca="1">IF($B64&lt;&gt;"PRC_RESID","",IF(AC$7=2005+OFFSET(COM_2012!$B$60,$AW64,SUMIF($B$10:$B$16,"NCAP_TLIFE",$AX$10:$AX$16)),0,""))</f>
        <v/>
      </c>
      <c r="AD64" s="369" t="str">
        <f ca="1">IF($B64&lt;&gt;"PRC_RESID","",IF(AD$7=2005+OFFSET(COM_2012!$B$60,$AW64,SUMIF($B$10:$B$16,"NCAP_TLIFE",$AX$10:$AX$16)),0,""))</f>
        <v/>
      </c>
      <c r="AE64" s="369" t="str">
        <f ca="1">IF($B64&lt;&gt;"PRC_RESID","",IF(AE$7=2005+OFFSET(COM_2012!$B$60,$AW64,SUMIF($B$10:$B$16,"NCAP_TLIFE",$AX$10:$AX$16)),0,""))</f>
        <v/>
      </c>
      <c r="AF64" s="369" t="str">
        <f ca="1">IF($B64&lt;&gt;"PRC_RESID","",IF(AF$7=2005+OFFSET(COM_2012!$B$60,$AW64,SUMIF($B$10:$B$16,"NCAP_TLIFE",$AX$10:$AX$16)),0,""))</f>
        <v/>
      </c>
      <c r="AG64" s="369" t="str">
        <f ca="1">IF($B64&lt;&gt;"PRC_RESID","",IF(AG$7=2005+OFFSET(COM_2012!$B$60,$AW64,SUMIF($B$10:$B$16,"NCAP_TLIFE",$AX$10:$AX$16)),0,""))</f>
        <v/>
      </c>
      <c r="AH64" s="369" t="str">
        <f ca="1">IF($B64&lt;&gt;"PRC_RESID","",IF(AH$7=2005+OFFSET(COM_2012!$B$60,$AW64,SUMIF($B$10:$B$16,"NCAP_TLIFE",$AX$10:$AX$16)),0,""))</f>
        <v/>
      </c>
      <c r="AI64" s="369" t="str">
        <f ca="1">IF($B64&lt;&gt;"PRC_RESID","",IF(AI$7=2005+OFFSET(COM_2012!$B$60,$AW64,SUMIF($B$10:$B$16,"NCAP_TLIFE",$AX$10:$AX$16)),0,""))</f>
        <v/>
      </c>
      <c r="AJ64" s="369" t="str">
        <f ca="1">IF($B64&lt;&gt;"PRC_RESID","",IF(AJ$7=2005+OFFSET(COM_2012!$B$60,$AW64,SUMIF($B$10:$B$16,"NCAP_TLIFE",$AX$10:$AX$16)),0,""))</f>
        <v/>
      </c>
      <c r="AK64" s="369" t="str">
        <f ca="1">IF($B64&lt;&gt;"PRC_RESID","",IF(AK$7=2005+OFFSET(COM_2012!$B$60,$AW64,SUMIF($B$10:$B$16,"NCAP_TLIFE",$AX$10:$AX$16)),0,""))</f>
        <v/>
      </c>
      <c r="AL64" s="369" t="str">
        <f ca="1">IF($B64&lt;&gt;"PRC_RESID","",IF(AL$7=2005+OFFSET(COM_2012!$B$60,$AW64,SUMIF($B$10:$B$16,"NCAP_TLIFE",$AX$10:$AX$16)),0,""))</f>
        <v/>
      </c>
      <c r="AM64" s="369" t="str">
        <f ca="1">IF($B64&lt;&gt;"PRC_RESID","",IF(AM$7=2005+OFFSET(COM_2012!$B$60,$AW64,SUMIF($B$10:$B$16,"NCAP_TLIFE",$AX$10:$AX$16)),0,""))</f>
        <v/>
      </c>
      <c r="AN64" s="369" t="str">
        <f ca="1">IF($B64&lt;&gt;"PRC_RESID","",IF(AN$7=2005+OFFSET(COM_2012!$B$60,$AW64,SUMIF($B$10:$B$16,"NCAP_TLIFE",$AX$10:$AX$16)),0,""))</f>
        <v/>
      </c>
      <c r="AO64" s="369" t="str">
        <f ca="1">IF($B64&lt;&gt;"PRC_RESID","",IF(AO$7=2005+OFFSET(COM_2012!$B$60,$AW64,SUMIF($B$10:$B$16,"NCAP_TLIFE",$AX$10:$AX$16)),0,""))</f>
        <v/>
      </c>
      <c r="AP64" s="369" t="str">
        <f ca="1">IF($B64&lt;&gt;"PRC_RESID","",IF(AP$7=2005+OFFSET(COM_2012!$B$60,$AW64,SUMIF($B$10:$B$16,"NCAP_TLIFE",$AX$10:$AX$16)),0,""))</f>
        <v/>
      </c>
      <c r="AQ64" s="369" t="str">
        <f ca="1">IF($B64&lt;&gt;"PRC_RESID","",IF(AQ$7=2005+OFFSET(COM_2012!$B$60,$AW64,SUMIF($B$10:$B$16,"NCAP_TLIFE",$AX$10:$AX$16)),0,""))</f>
        <v/>
      </c>
      <c r="AR64" s="369" t="str">
        <f ca="1">IF($B64&lt;&gt;"PRC_RESID","",IF(AR$7=2005+OFFSET(COM_2012!$B$60,$AW64,SUMIF($B$10:$B$16,"NCAP_TLIFE",$AX$10:$AX$16)),0,""))</f>
        <v/>
      </c>
      <c r="AS64" s="369" t="str">
        <f ca="1">IF($B64&lt;&gt;"PRC_RESID","",IF(AS$7=2005+OFFSET(COM_2012!$B$60,$AW64,SUMIF($B$10:$B$16,"NCAP_TLIFE",$AX$10:$AX$16)),0,""))</f>
        <v/>
      </c>
      <c r="AT64" s="369" t="str">
        <f ca="1">IF($B64&lt;&gt;"PRC_RESID","",IF(AT$7=2005+OFFSET(COM_2012!$B$60,$AW64,SUMIF($B$10:$B$16,"NCAP_TLIFE",$AX$10:$AX$16)),0,""))</f>
        <v/>
      </c>
      <c r="AU64" s="369" t="str">
        <f ca="1">IF($B64&lt;&gt;"PRC_RESID","",IF(AU$7=2005+OFFSET(COM_2012!$B$60,$AW64,SUMIF($B$10:$B$16,"NCAP_TLIFE",$AX$10:$AX$16)),0,""))</f>
        <v/>
      </c>
      <c r="AV64" s="304">
        <f>IF(AW63=COM_2012!$AI$121,AV63+1,AV63)</f>
        <v>1</v>
      </c>
      <c r="AW64" s="304">
        <f t="shared" si="5"/>
        <v>37</v>
      </c>
    </row>
    <row r="65" spans="1:49">
      <c r="A65" s="304" t="str">
        <f ca="1">IF(LEFT(OFFSET(COM_2012!$A$60,AW65,0),2)="\I","*","")</f>
        <v/>
      </c>
      <c r="B65" s="369" t="str">
        <f t="shared" ca="1" si="2"/>
        <v>ACT_EFF</v>
      </c>
      <c r="C65" s="369" t="str">
        <f ca="1">IF($A65="*","",OFFSET(COM_2012!$B$60,AW65,0))</f>
        <v>CEWELC-N</v>
      </c>
      <c r="D65" s="369" t="str">
        <f t="shared" ca="1" si="7"/>
        <v>-</v>
      </c>
      <c r="E65" s="369" t="str">
        <f t="shared" ca="1" si="7"/>
        <v>ACTGRP</v>
      </c>
      <c r="F65" s="369" t="str">
        <f t="shared" ca="1" si="7"/>
        <v>-</v>
      </c>
      <c r="G65" s="369" t="str">
        <f t="shared" ca="1" si="7"/>
        <v>ANNUAL</v>
      </c>
      <c r="H65" s="369" t="str">
        <f t="shared" ca="1" si="7"/>
        <v>-</v>
      </c>
      <c r="I65" s="370">
        <f t="shared" ca="1" si="7"/>
        <v>0</v>
      </c>
      <c r="J65" s="391">
        <f ca="1">IF($A65="*","",OFFSET(COM_2012!$B$60,AW65,SUMIF($B$10:$B$16,B65,$AX$10:$AX$16)))</f>
        <v>1.0104166666666667</v>
      </c>
      <c r="K65" s="369" t="str">
        <f ca="1">IF($B65&lt;&gt;"PRC_RESID","",IF(K$7=2005+OFFSET(COM_2012!$B$60,$AW65,SUMIF($B$10:$B$16,"NCAP_TLIFE",$AX$10:$AX$16)),0,""))</f>
        <v/>
      </c>
      <c r="L65" s="369" t="str">
        <f ca="1">IF($B65&lt;&gt;"PRC_RESID","",IF(L$7=2005+OFFSET(COM_2012!$B$60,$AW65,SUMIF($B$10:$B$16,"NCAP_TLIFE",$AX$10:$AX$16)),0,""))</f>
        <v/>
      </c>
      <c r="M65" s="369" t="str">
        <f ca="1">IF($B65&lt;&gt;"PRC_RESID","",IF(M$7=2005+OFFSET(COM_2012!$B$60,$AW65,SUMIF($B$10:$B$16,"NCAP_TLIFE",$AX$10:$AX$16)),0,""))</f>
        <v/>
      </c>
      <c r="N65" s="369" t="str">
        <f ca="1">IF($B65&lt;&gt;"PRC_RESID","",IF(N$7=2005+OFFSET(COM_2012!$B$60,$AW65,SUMIF($B$10:$B$16,"NCAP_TLIFE",$AX$10:$AX$16)),0,""))</f>
        <v/>
      </c>
      <c r="O65" s="658" t="str">
        <f ca="1">IF($B65&lt;&gt;"PRC_RESID","",IF(O$7=2005+OFFSET(COM_2012!$B$60,$AW65,SUMIF($B$10:$B$16,"NCAP_TLIFE",$AX$10:$AX$16)),0,""))</f>
        <v/>
      </c>
      <c r="P65" s="369" t="str">
        <f ca="1">IF($B65&lt;&gt;"PRC_RESID","",IF(P$7=2005+OFFSET(COM_2012!$B$60,$AW65,SUMIF($B$10:$B$16,"NCAP_TLIFE",$AX$10:$AX$16)),0,""))</f>
        <v/>
      </c>
      <c r="Q65" s="369" t="str">
        <f ca="1">IF($B65&lt;&gt;"PRC_RESID","",IF(Q$7=2005+OFFSET(COM_2012!$B$60,$AW65,SUMIF($B$10:$B$16,"NCAP_TLIFE",$AX$10:$AX$16)),0,""))</f>
        <v/>
      </c>
      <c r="R65" s="369" t="str">
        <f ca="1">IF($B65&lt;&gt;"PRC_RESID","",IF(R$7=2005+OFFSET(COM_2012!$B$60,$AW65,SUMIF($B$10:$B$16,"NCAP_TLIFE",$AX$10:$AX$16)),0,""))</f>
        <v/>
      </c>
      <c r="S65" s="369" t="str">
        <f ca="1">IF($B65&lt;&gt;"PRC_RESID","",IF(S$7=2005+OFFSET(COM_2012!$B$60,$AW65,SUMIF($B$10:$B$16,"NCAP_TLIFE",$AX$10:$AX$16)),0,""))</f>
        <v/>
      </c>
      <c r="T65" s="369" t="str">
        <f ca="1">IF($B65&lt;&gt;"PRC_RESID","",IF(T$7=2005+OFFSET(COM_2012!$B$60,$AW65,SUMIF($B$10:$B$16,"NCAP_TLIFE",$AX$10:$AX$16)),0,""))</f>
        <v/>
      </c>
      <c r="U65" s="369" t="str">
        <f ca="1">IF($B65&lt;&gt;"PRC_RESID","",IF(U$7=2005+OFFSET(COM_2012!$B$60,$AW65,SUMIF($B$10:$B$16,"NCAP_TLIFE",$AX$10:$AX$16)),0,""))</f>
        <v/>
      </c>
      <c r="V65" s="369" t="str">
        <f ca="1">IF($B65&lt;&gt;"PRC_RESID","",IF(V$7=2005+OFFSET(COM_2012!$B$60,$AW65,SUMIF($B$10:$B$16,"NCAP_TLIFE",$AX$10:$AX$16)),0,""))</f>
        <v/>
      </c>
      <c r="W65" s="369" t="str">
        <f ca="1">IF($B65&lt;&gt;"PRC_RESID","",IF(W$7=2005+OFFSET(COM_2012!$B$60,$AW65,SUMIF($B$10:$B$16,"NCAP_TLIFE",$AX$10:$AX$16)),0,""))</f>
        <v/>
      </c>
      <c r="X65" s="369" t="str">
        <f ca="1">IF($B65&lt;&gt;"PRC_RESID","",IF(X$7=2005+OFFSET(COM_2012!$B$60,$AW65,SUMIF($B$10:$B$16,"NCAP_TLIFE",$AX$10:$AX$16)),0,""))</f>
        <v/>
      </c>
      <c r="Y65" s="369" t="str">
        <f ca="1">IF($B65&lt;&gt;"PRC_RESID","",IF(Y$7=2005+OFFSET(COM_2012!$B$60,$AW65,SUMIF($B$10:$B$16,"NCAP_TLIFE",$AX$10:$AX$16)),0,""))</f>
        <v/>
      </c>
      <c r="Z65" s="369" t="str">
        <f ca="1">IF($B65&lt;&gt;"PRC_RESID","",IF(Z$7=2005+OFFSET(COM_2012!$B$60,$AW65,SUMIF($B$10:$B$16,"NCAP_TLIFE",$AX$10:$AX$16)),0,""))</f>
        <v/>
      </c>
      <c r="AA65" s="369" t="str">
        <f ca="1">IF($B65&lt;&gt;"PRC_RESID","",IF(AA$7=2005+OFFSET(COM_2012!$B$60,$AW65,SUMIF($B$10:$B$16,"NCAP_TLIFE",$AX$10:$AX$16)),0,""))</f>
        <v/>
      </c>
      <c r="AB65" s="369" t="str">
        <f ca="1">IF($B65&lt;&gt;"PRC_RESID","",IF(AB$7=2005+OFFSET(COM_2012!$B$60,$AW65,SUMIF($B$10:$B$16,"NCAP_TLIFE",$AX$10:$AX$16)),0,""))</f>
        <v/>
      </c>
      <c r="AC65" s="369" t="str">
        <f ca="1">IF($B65&lt;&gt;"PRC_RESID","",IF(AC$7=2005+OFFSET(COM_2012!$B$60,$AW65,SUMIF($B$10:$B$16,"NCAP_TLIFE",$AX$10:$AX$16)),0,""))</f>
        <v/>
      </c>
      <c r="AD65" s="369" t="str">
        <f ca="1">IF($B65&lt;&gt;"PRC_RESID","",IF(AD$7=2005+OFFSET(COM_2012!$B$60,$AW65,SUMIF($B$10:$B$16,"NCAP_TLIFE",$AX$10:$AX$16)),0,""))</f>
        <v/>
      </c>
      <c r="AE65" s="369" t="str">
        <f ca="1">IF($B65&lt;&gt;"PRC_RESID","",IF(AE$7=2005+OFFSET(COM_2012!$B$60,$AW65,SUMIF($B$10:$B$16,"NCAP_TLIFE",$AX$10:$AX$16)),0,""))</f>
        <v/>
      </c>
      <c r="AF65" s="369" t="str">
        <f ca="1">IF($B65&lt;&gt;"PRC_RESID","",IF(AF$7=2005+OFFSET(COM_2012!$B$60,$AW65,SUMIF($B$10:$B$16,"NCAP_TLIFE",$AX$10:$AX$16)),0,""))</f>
        <v/>
      </c>
      <c r="AG65" s="369" t="str">
        <f ca="1">IF($B65&lt;&gt;"PRC_RESID","",IF(AG$7=2005+OFFSET(COM_2012!$B$60,$AW65,SUMIF($B$10:$B$16,"NCAP_TLIFE",$AX$10:$AX$16)),0,""))</f>
        <v/>
      </c>
      <c r="AH65" s="369" t="str">
        <f ca="1">IF($B65&lt;&gt;"PRC_RESID","",IF(AH$7=2005+OFFSET(COM_2012!$B$60,$AW65,SUMIF($B$10:$B$16,"NCAP_TLIFE",$AX$10:$AX$16)),0,""))</f>
        <v/>
      </c>
      <c r="AI65" s="369" t="str">
        <f ca="1">IF($B65&lt;&gt;"PRC_RESID","",IF(AI$7=2005+OFFSET(COM_2012!$B$60,$AW65,SUMIF($B$10:$B$16,"NCAP_TLIFE",$AX$10:$AX$16)),0,""))</f>
        <v/>
      </c>
      <c r="AJ65" s="369" t="str">
        <f ca="1">IF($B65&lt;&gt;"PRC_RESID","",IF(AJ$7=2005+OFFSET(COM_2012!$B$60,$AW65,SUMIF($B$10:$B$16,"NCAP_TLIFE",$AX$10:$AX$16)),0,""))</f>
        <v/>
      </c>
      <c r="AK65" s="369" t="str">
        <f ca="1">IF($B65&lt;&gt;"PRC_RESID","",IF(AK$7=2005+OFFSET(COM_2012!$B$60,$AW65,SUMIF($B$10:$B$16,"NCAP_TLIFE",$AX$10:$AX$16)),0,""))</f>
        <v/>
      </c>
      <c r="AL65" s="369" t="str">
        <f ca="1">IF($B65&lt;&gt;"PRC_RESID","",IF(AL$7=2005+OFFSET(COM_2012!$B$60,$AW65,SUMIF($B$10:$B$16,"NCAP_TLIFE",$AX$10:$AX$16)),0,""))</f>
        <v/>
      </c>
      <c r="AM65" s="369" t="str">
        <f ca="1">IF($B65&lt;&gt;"PRC_RESID","",IF(AM$7=2005+OFFSET(COM_2012!$B$60,$AW65,SUMIF($B$10:$B$16,"NCAP_TLIFE",$AX$10:$AX$16)),0,""))</f>
        <v/>
      </c>
      <c r="AN65" s="369" t="str">
        <f ca="1">IF($B65&lt;&gt;"PRC_RESID","",IF(AN$7=2005+OFFSET(COM_2012!$B$60,$AW65,SUMIF($B$10:$B$16,"NCAP_TLIFE",$AX$10:$AX$16)),0,""))</f>
        <v/>
      </c>
      <c r="AO65" s="369" t="str">
        <f ca="1">IF($B65&lt;&gt;"PRC_RESID","",IF(AO$7=2005+OFFSET(COM_2012!$B$60,$AW65,SUMIF($B$10:$B$16,"NCAP_TLIFE",$AX$10:$AX$16)),0,""))</f>
        <v/>
      </c>
      <c r="AP65" s="369" t="str">
        <f ca="1">IF($B65&lt;&gt;"PRC_RESID","",IF(AP$7=2005+OFFSET(COM_2012!$B$60,$AW65,SUMIF($B$10:$B$16,"NCAP_TLIFE",$AX$10:$AX$16)),0,""))</f>
        <v/>
      </c>
      <c r="AQ65" s="369" t="str">
        <f ca="1">IF($B65&lt;&gt;"PRC_RESID","",IF(AQ$7=2005+OFFSET(COM_2012!$B$60,$AW65,SUMIF($B$10:$B$16,"NCAP_TLIFE",$AX$10:$AX$16)),0,""))</f>
        <v/>
      </c>
      <c r="AR65" s="369" t="str">
        <f ca="1">IF($B65&lt;&gt;"PRC_RESID","",IF(AR$7=2005+OFFSET(COM_2012!$B$60,$AW65,SUMIF($B$10:$B$16,"NCAP_TLIFE",$AX$10:$AX$16)),0,""))</f>
        <v/>
      </c>
      <c r="AS65" s="369" t="str">
        <f ca="1">IF($B65&lt;&gt;"PRC_RESID","",IF(AS$7=2005+OFFSET(COM_2012!$B$60,$AW65,SUMIF($B$10:$B$16,"NCAP_TLIFE",$AX$10:$AX$16)),0,""))</f>
        <v/>
      </c>
      <c r="AT65" s="369" t="str">
        <f ca="1">IF($B65&lt;&gt;"PRC_RESID","",IF(AT$7=2005+OFFSET(COM_2012!$B$60,$AW65,SUMIF($B$10:$B$16,"NCAP_TLIFE",$AX$10:$AX$16)),0,""))</f>
        <v/>
      </c>
      <c r="AU65" s="369" t="str">
        <f ca="1">IF($B65&lt;&gt;"PRC_RESID","",IF(AU$7=2005+OFFSET(COM_2012!$B$60,$AW65,SUMIF($B$10:$B$16,"NCAP_TLIFE",$AX$10:$AX$16)),0,""))</f>
        <v/>
      </c>
      <c r="AV65" s="304">
        <f>IF(AW64=COM_2012!$AI$121,AV64+1,AV64)</f>
        <v>1</v>
      </c>
      <c r="AW65" s="304">
        <f t="shared" si="5"/>
        <v>38</v>
      </c>
    </row>
    <row r="66" spans="1:49">
      <c r="A66" s="304" t="str">
        <f ca="1">IF(LEFT(OFFSET(COM_2012!$A$60,AW66,0),2)="\I","*","")</f>
        <v/>
      </c>
      <c r="B66" s="369" t="str">
        <f t="shared" ca="1" si="2"/>
        <v>ACT_EFF</v>
      </c>
      <c r="C66" s="369" t="str">
        <f ca="1">IF($A66="*","",OFFSET(COM_2012!$B$60,AW66,0))</f>
        <v>CEWELCHP-N</v>
      </c>
      <c r="D66" s="369" t="str">
        <f t="shared" ca="1" si="7"/>
        <v>-</v>
      </c>
      <c r="E66" s="369" t="str">
        <f t="shared" ca="1" si="7"/>
        <v>ACTGRP</v>
      </c>
      <c r="F66" s="369" t="str">
        <f t="shared" ca="1" si="7"/>
        <v>-</v>
      </c>
      <c r="G66" s="369" t="str">
        <f t="shared" ca="1" si="7"/>
        <v>ANNUAL</v>
      </c>
      <c r="H66" s="369" t="str">
        <f t="shared" ca="1" si="7"/>
        <v>-</v>
      </c>
      <c r="I66" s="370">
        <f t="shared" ca="1" si="7"/>
        <v>0</v>
      </c>
      <c r="J66" s="391">
        <f ca="1">IF($A66="*","",OFFSET(COM_2012!$B$60,AW66,SUMIF($B$10:$B$16,B66,$AX$10:$AX$16)))</f>
        <v>2.2599999999999998</v>
      </c>
      <c r="K66" s="369" t="str">
        <f ca="1">IF($B66&lt;&gt;"PRC_RESID","",IF(K$7=2005+OFFSET(COM_2012!$B$60,$AW66,SUMIF($B$10:$B$16,"NCAP_TLIFE",$AX$10:$AX$16)),0,""))</f>
        <v/>
      </c>
      <c r="L66" s="369" t="str">
        <f ca="1">IF($B66&lt;&gt;"PRC_RESID","",IF(L$7=2005+OFFSET(COM_2012!$B$60,$AW66,SUMIF($B$10:$B$16,"NCAP_TLIFE",$AX$10:$AX$16)),0,""))</f>
        <v/>
      </c>
      <c r="M66" s="369" t="str">
        <f ca="1">IF($B66&lt;&gt;"PRC_RESID","",IF(M$7=2005+OFFSET(COM_2012!$B$60,$AW66,SUMIF($B$10:$B$16,"NCAP_TLIFE",$AX$10:$AX$16)),0,""))</f>
        <v/>
      </c>
      <c r="N66" s="369" t="str">
        <f ca="1">IF($B66&lt;&gt;"PRC_RESID","",IF(N$7=2005+OFFSET(COM_2012!$B$60,$AW66,SUMIF($B$10:$B$16,"NCAP_TLIFE",$AX$10:$AX$16)),0,""))</f>
        <v/>
      </c>
      <c r="O66" s="658" t="str">
        <f ca="1">IF($B66&lt;&gt;"PRC_RESID","",IF(O$7=2005+OFFSET(COM_2012!$B$60,$AW66,SUMIF($B$10:$B$16,"NCAP_TLIFE",$AX$10:$AX$16)),0,""))</f>
        <v/>
      </c>
      <c r="P66" s="369" t="str">
        <f ca="1">IF($B66&lt;&gt;"PRC_RESID","",IF(P$7=2005+OFFSET(COM_2012!$B$60,$AW66,SUMIF($B$10:$B$16,"NCAP_TLIFE",$AX$10:$AX$16)),0,""))</f>
        <v/>
      </c>
      <c r="Q66" s="369" t="str">
        <f ca="1">IF($B66&lt;&gt;"PRC_RESID","",IF(Q$7=2005+OFFSET(COM_2012!$B$60,$AW66,SUMIF($B$10:$B$16,"NCAP_TLIFE",$AX$10:$AX$16)),0,""))</f>
        <v/>
      </c>
      <c r="R66" s="369" t="str">
        <f ca="1">IF($B66&lt;&gt;"PRC_RESID","",IF(R$7=2005+OFFSET(COM_2012!$B$60,$AW66,SUMIF($B$10:$B$16,"NCAP_TLIFE",$AX$10:$AX$16)),0,""))</f>
        <v/>
      </c>
      <c r="S66" s="369" t="str">
        <f ca="1">IF($B66&lt;&gt;"PRC_RESID","",IF(S$7=2005+OFFSET(COM_2012!$B$60,$AW66,SUMIF($B$10:$B$16,"NCAP_TLIFE",$AX$10:$AX$16)),0,""))</f>
        <v/>
      </c>
      <c r="T66" s="369" t="str">
        <f ca="1">IF($B66&lt;&gt;"PRC_RESID","",IF(T$7=2005+OFFSET(COM_2012!$B$60,$AW66,SUMIF($B$10:$B$16,"NCAP_TLIFE",$AX$10:$AX$16)),0,""))</f>
        <v/>
      </c>
      <c r="U66" s="369" t="str">
        <f ca="1">IF($B66&lt;&gt;"PRC_RESID","",IF(U$7=2005+OFFSET(COM_2012!$B$60,$AW66,SUMIF($B$10:$B$16,"NCAP_TLIFE",$AX$10:$AX$16)),0,""))</f>
        <v/>
      </c>
      <c r="V66" s="369" t="str">
        <f ca="1">IF($B66&lt;&gt;"PRC_RESID","",IF(V$7=2005+OFFSET(COM_2012!$B$60,$AW66,SUMIF($B$10:$B$16,"NCAP_TLIFE",$AX$10:$AX$16)),0,""))</f>
        <v/>
      </c>
      <c r="W66" s="369" t="str">
        <f ca="1">IF($B66&lt;&gt;"PRC_RESID","",IF(W$7=2005+OFFSET(COM_2012!$B$60,$AW66,SUMIF($B$10:$B$16,"NCAP_TLIFE",$AX$10:$AX$16)),0,""))</f>
        <v/>
      </c>
      <c r="X66" s="369" t="str">
        <f ca="1">IF($B66&lt;&gt;"PRC_RESID","",IF(X$7=2005+OFFSET(COM_2012!$B$60,$AW66,SUMIF($B$10:$B$16,"NCAP_TLIFE",$AX$10:$AX$16)),0,""))</f>
        <v/>
      </c>
      <c r="Y66" s="369" t="str">
        <f ca="1">IF($B66&lt;&gt;"PRC_RESID","",IF(Y$7=2005+OFFSET(COM_2012!$B$60,$AW66,SUMIF($B$10:$B$16,"NCAP_TLIFE",$AX$10:$AX$16)),0,""))</f>
        <v/>
      </c>
      <c r="Z66" s="369" t="str">
        <f ca="1">IF($B66&lt;&gt;"PRC_RESID","",IF(Z$7=2005+OFFSET(COM_2012!$B$60,$AW66,SUMIF($B$10:$B$16,"NCAP_TLIFE",$AX$10:$AX$16)),0,""))</f>
        <v/>
      </c>
      <c r="AA66" s="369" t="str">
        <f ca="1">IF($B66&lt;&gt;"PRC_RESID","",IF(AA$7=2005+OFFSET(COM_2012!$B$60,$AW66,SUMIF($B$10:$B$16,"NCAP_TLIFE",$AX$10:$AX$16)),0,""))</f>
        <v/>
      </c>
      <c r="AB66" s="369" t="str">
        <f ca="1">IF($B66&lt;&gt;"PRC_RESID","",IF(AB$7=2005+OFFSET(COM_2012!$B$60,$AW66,SUMIF($B$10:$B$16,"NCAP_TLIFE",$AX$10:$AX$16)),0,""))</f>
        <v/>
      </c>
      <c r="AC66" s="369" t="str">
        <f ca="1">IF($B66&lt;&gt;"PRC_RESID","",IF(AC$7=2005+OFFSET(COM_2012!$B$60,$AW66,SUMIF($B$10:$B$16,"NCAP_TLIFE",$AX$10:$AX$16)),0,""))</f>
        <v/>
      </c>
      <c r="AD66" s="369" t="str">
        <f ca="1">IF($B66&lt;&gt;"PRC_RESID","",IF(AD$7=2005+OFFSET(COM_2012!$B$60,$AW66,SUMIF($B$10:$B$16,"NCAP_TLIFE",$AX$10:$AX$16)),0,""))</f>
        <v/>
      </c>
      <c r="AE66" s="369" t="str">
        <f ca="1">IF($B66&lt;&gt;"PRC_RESID","",IF(AE$7=2005+OFFSET(COM_2012!$B$60,$AW66,SUMIF($B$10:$B$16,"NCAP_TLIFE",$AX$10:$AX$16)),0,""))</f>
        <v/>
      </c>
      <c r="AF66" s="369" t="str">
        <f ca="1">IF($B66&lt;&gt;"PRC_RESID","",IF(AF$7=2005+OFFSET(COM_2012!$B$60,$AW66,SUMIF($B$10:$B$16,"NCAP_TLIFE",$AX$10:$AX$16)),0,""))</f>
        <v/>
      </c>
      <c r="AG66" s="369" t="str">
        <f ca="1">IF($B66&lt;&gt;"PRC_RESID","",IF(AG$7=2005+OFFSET(COM_2012!$B$60,$AW66,SUMIF($B$10:$B$16,"NCAP_TLIFE",$AX$10:$AX$16)),0,""))</f>
        <v/>
      </c>
      <c r="AH66" s="369" t="str">
        <f ca="1">IF($B66&lt;&gt;"PRC_RESID","",IF(AH$7=2005+OFFSET(COM_2012!$B$60,$AW66,SUMIF($B$10:$B$16,"NCAP_TLIFE",$AX$10:$AX$16)),0,""))</f>
        <v/>
      </c>
      <c r="AI66" s="369" t="str">
        <f ca="1">IF($B66&lt;&gt;"PRC_RESID","",IF(AI$7=2005+OFFSET(COM_2012!$B$60,$AW66,SUMIF($B$10:$B$16,"NCAP_TLIFE",$AX$10:$AX$16)),0,""))</f>
        <v/>
      </c>
      <c r="AJ66" s="369" t="str">
        <f ca="1">IF($B66&lt;&gt;"PRC_RESID","",IF(AJ$7=2005+OFFSET(COM_2012!$B$60,$AW66,SUMIF($B$10:$B$16,"NCAP_TLIFE",$AX$10:$AX$16)),0,""))</f>
        <v/>
      </c>
      <c r="AK66" s="369" t="str">
        <f ca="1">IF($B66&lt;&gt;"PRC_RESID","",IF(AK$7=2005+OFFSET(COM_2012!$B$60,$AW66,SUMIF($B$10:$B$16,"NCAP_TLIFE",$AX$10:$AX$16)),0,""))</f>
        <v/>
      </c>
      <c r="AL66" s="369" t="str">
        <f ca="1">IF($B66&lt;&gt;"PRC_RESID","",IF(AL$7=2005+OFFSET(COM_2012!$B$60,$AW66,SUMIF($B$10:$B$16,"NCAP_TLIFE",$AX$10:$AX$16)),0,""))</f>
        <v/>
      </c>
      <c r="AM66" s="369" t="str">
        <f ca="1">IF($B66&lt;&gt;"PRC_RESID","",IF(AM$7=2005+OFFSET(COM_2012!$B$60,$AW66,SUMIF($B$10:$B$16,"NCAP_TLIFE",$AX$10:$AX$16)),0,""))</f>
        <v/>
      </c>
      <c r="AN66" s="369" t="str">
        <f ca="1">IF($B66&lt;&gt;"PRC_RESID","",IF(AN$7=2005+OFFSET(COM_2012!$B$60,$AW66,SUMIF($B$10:$B$16,"NCAP_TLIFE",$AX$10:$AX$16)),0,""))</f>
        <v/>
      </c>
      <c r="AO66" s="369" t="str">
        <f ca="1">IF($B66&lt;&gt;"PRC_RESID","",IF(AO$7=2005+OFFSET(COM_2012!$B$60,$AW66,SUMIF($B$10:$B$16,"NCAP_TLIFE",$AX$10:$AX$16)),0,""))</f>
        <v/>
      </c>
      <c r="AP66" s="369" t="str">
        <f ca="1">IF($B66&lt;&gt;"PRC_RESID","",IF(AP$7=2005+OFFSET(COM_2012!$B$60,$AW66,SUMIF($B$10:$B$16,"NCAP_TLIFE",$AX$10:$AX$16)),0,""))</f>
        <v/>
      </c>
      <c r="AQ66" s="369" t="str">
        <f ca="1">IF($B66&lt;&gt;"PRC_RESID","",IF(AQ$7=2005+OFFSET(COM_2012!$B$60,$AW66,SUMIF($B$10:$B$16,"NCAP_TLIFE",$AX$10:$AX$16)),0,""))</f>
        <v/>
      </c>
      <c r="AR66" s="369" t="str">
        <f ca="1">IF($B66&lt;&gt;"PRC_RESID","",IF(AR$7=2005+OFFSET(COM_2012!$B$60,$AW66,SUMIF($B$10:$B$16,"NCAP_TLIFE",$AX$10:$AX$16)),0,""))</f>
        <v/>
      </c>
      <c r="AS66" s="369" t="str">
        <f ca="1">IF($B66&lt;&gt;"PRC_RESID","",IF(AS$7=2005+OFFSET(COM_2012!$B$60,$AW66,SUMIF($B$10:$B$16,"NCAP_TLIFE",$AX$10:$AX$16)),0,""))</f>
        <v/>
      </c>
      <c r="AT66" s="369" t="str">
        <f ca="1">IF($B66&lt;&gt;"PRC_RESID","",IF(AT$7=2005+OFFSET(COM_2012!$B$60,$AW66,SUMIF($B$10:$B$16,"NCAP_TLIFE",$AX$10:$AX$16)),0,""))</f>
        <v/>
      </c>
      <c r="AU66" s="369" t="str">
        <f ca="1">IF($B66&lt;&gt;"PRC_RESID","",IF(AU$7=2005+OFFSET(COM_2012!$B$60,$AW66,SUMIF($B$10:$B$16,"NCAP_TLIFE",$AX$10:$AX$16)),0,""))</f>
        <v/>
      </c>
      <c r="AV66" s="304">
        <f>IF(AW65=COM_2012!$AI$121,AV65+1,AV65)</f>
        <v>1</v>
      </c>
      <c r="AW66" s="304">
        <f t="shared" si="5"/>
        <v>39</v>
      </c>
    </row>
    <row r="67" spans="1:49">
      <c r="A67" s="304" t="str">
        <f ca="1">IF(LEFT(OFFSET(COM_2012!$A$60,AW67,0),2)="\I","*","")</f>
        <v>*</v>
      </c>
      <c r="B67" s="369" t="str">
        <f t="shared" ca="1" si="2"/>
        <v/>
      </c>
      <c r="C67" s="369" t="str">
        <f ca="1">IF($A67="*","",OFFSET(COM_2012!$B$60,AW67,0))</f>
        <v/>
      </c>
      <c r="D67" s="369" t="str">
        <f t="shared" ca="1" si="7"/>
        <v/>
      </c>
      <c r="E67" s="369" t="str">
        <f t="shared" ca="1" si="7"/>
        <v/>
      </c>
      <c r="F67" s="369" t="str">
        <f t="shared" ca="1" si="7"/>
        <v/>
      </c>
      <c r="G67" s="369" t="str">
        <f t="shared" ca="1" si="7"/>
        <v/>
      </c>
      <c r="H67" s="369" t="str">
        <f t="shared" ca="1" si="7"/>
        <v/>
      </c>
      <c r="I67" s="370" t="str">
        <f t="shared" ca="1" si="7"/>
        <v/>
      </c>
      <c r="J67" s="391" t="str">
        <f ca="1">IF($A67="*","",OFFSET(COM_2012!$B$60,AW67,SUMIF($B$10:$B$16,B67,$AX$10:$AX$16)))</f>
        <v/>
      </c>
      <c r="K67" s="369" t="str">
        <f ca="1">IF($B67&lt;&gt;"PRC_RESID","",IF(K$7=2005+OFFSET(COM_2012!$B$60,$AW67,SUMIF($B$10:$B$16,"NCAP_TLIFE",$AX$10:$AX$16)),0,""))</f>
        <v/>
      </c>
      <c r="L67" s="369" t="str">
        <f ca="1">IF($B67&lt;&gt;"PRC_RESID","",IF(L$7=2005+OFFSET(COM_2012!$B$60,$AW67,SUMIF($B$10:$B$16,"NCAP_TLIFE",$AX$10:$AX$16)),0,""))</f>
        <v/>
      </c>
      <c r="M67" s="369" t="str">
        <f ca="1">IF($B67&lt;&gt;"PRC_RESID","",IF(M$7=2005+OFFSET(COM_2012!$B$60,$AW67,SUMIF($B$10:$B$16,"NCAP_TLIFE",$AX$10:$AX$16)),0,""))</f>
        <v/>
      </c>
      <c r="N67" s="369" t="str">
        <f ca="1">IF($B67&lt;&gt;"PRC_RESID","",IF(N$7=2005+OFFSET(COM_2012!$B$60,$AW67,SUMIF($B$10:$B$16,"NCAP_TLIFE",$AX$10:$AX$16)),0,""))</f>
        <v/>
      </c>
      <c r="O67" s="658" t="str">
        <f ca="1">IF($B67&lt;&gt;"PRC_RESID","",IF(O$7=2005+OFFSET(COM_2012!$B$60,$AW67,SUMIF($B$10:$B$16,"NCAP_TLIFE",$AX$10:$AX$16)),0,""))</f>
        <v/>
      </c>
      <c r="P67" s="369" t="str">
        <f ca="1">IF($B67&lt;&gt;"PRC_RESID","",IF(P$7=2005+OFFSET(COM_2012!$B$60,$AW67,SUMIF($B$10:$B$16,"NCAP_TLIFE",$AX$10:$AX$16)),0,""))</f>
        <v/>
      </c>
      <c r="Q67" s="369" t="str">
        <f ca="1">IF($B67&lt;&gt;"PRC_RESID","",IF(Q$7=2005+OFFSET(COM_2012!$B$60,$AW67,SUMIF($B$10:$B$16,"NCAP_TLIFE",$AX$10:$AX$16)),0,""))</f>
        <v/>
      </c>
      <c r="R67" s="369" t="str">
        <f ca="1">IF($B67&lt;&gt;"PRC_RESID","",IF(R$7=2005+OFFSET(COM_2012!$B$60,$AW67,SUMIF($B$10:$B$16,"NCAP_TLIFE",$AX$10:$AX$16)),0,""))</f>
        <v/>
      </c>
      <c r="S67" s="369" t="str">
        <f ca="1">IF($B67&lt;&gt;"PRC_RESID","",IF(S$7=2005+OFFSET(COM_2012!$B$60,$AW67,SUMIF($B$10:$B$16,"NCAP_TLIFE",$AX$10:$AX$16)),0,""))</f>
        <v/>
      </c>
      <c r="T67" s="369" t="str">
        <f ca="1">IF($B67&lt;&gt;"PRC_RESID","",IF(T$7=2005+OFFSET(COM_2012!$B$60,$AW67,SUMIF($B$10:$B$16,"NCAP_TLIFE",$AX$10:$AX$16)),0,""))</f>
        <v/>
      </c>
      <c r="U67" s="369" t="str">
        <f ca="1">IF($B67&lt;&gt;"PRC_RESID","",IF(U$7=2005+OFFSET(COM_2012!$B$60,$AW67,SUMIF($B$10:$B$16,"NCAP_TLIFE",$AX$10:$AX$16)),0,""))</f>
        <v/>
      </c>
      <c r="V67" s="369" t="str">
        <f ca="1">IF($B67&lt;&gt;"PRC_RESID","",IF(V$7=2005+OFFSET(COM_2012!$B$60,$AW67,SUMIF($B$10:$B$16,"NCAP_TLIFE",$AX$10:$AX$16)),0,""))</f>
        <v/>
      </c>
      <c r="W67" s="369" t="str">
        <f ca="1">IF($B67&lt;&gt;"PRC_RESID","",IF(W$7=2005+OFFSET(COM_2012!$B$60,$AW67,SUMIF($B$10:$B$16,"NCAP_TLIFE",$AX$10:$AX$16)),0,""))</f>
        <v/>
      </c>
      <c r="X67" s="369" t="str">
        <f ca="1">IF($B67&lt;&gt;"PRC_RESID","",IF(X$7=2005+OFFSET(COM_2012!$B$60,$AW67,SUMIF($B$10:$B$16,"NCAP_TLIFE",$AX$10:$AX$16)),0,""))</f>
        <v/>
      </c>
      <c r="Y67" s="369" t="str">
        <f ca="1">IF($B67&lt;&gt;"PRC_RESID","",IF(Y$7=2005+OFFSET(COM_2012!$B$60,$AW67,SUMIF($B$10:$B$16,"NCAP_TLIFE",$AX$10:$AX$16)),0,""))</f>
        <v/>
      </c>
      <c r="Z67" s="369" t="str">
        <f ca="1">IF($B67&lt;&gt;"PRC_RESID","",IF(Z$7=2005+OFFSET(COM_2012!$B$60,$AW67,SUMIF($B$10:$B$16,"NCAP_TLIFE",$AX$10:$AX$16)),0,""))</f>
        <v/>
      </c>
      <c r="AA67" s="369" t="str">
        <f ca="1">IF($B67&lt;&gt;"PRC_RESID","",IF(AA$7=2005+OFFSET(COM_2012!$B$60,$AW67,SUMIF($B$10:$B$16,"NCAP_TLIFE",$AX$10:$AX$16)),0,""))</f>
        <v/>
      </c>
      <c r="AB67" s="369" t="str">
        <f ca="1">IF($B67&lt;&gt;"PRC_RESID","",IF(AB$7=2005+OFFSET(COM_2012!$B$60,$AW67,SUMIF($B$10:$B$16,"NCAP_TLIFE",$AX$10:$AX$16)),0,""))</f>
        <v/>
      </c>
      <c r="AC67" s="369" t="str">
        <f ca="1">IF($B67&lt;&gt;"PRC_RESID","",IF(AC$7=2005+OFFSET(COM_2012!$B$60,$AW67,SUMIF($B$10:$B$16,"NCAP_TLIFE",$AX$10:$AX$16)),0,""))</f>
        <v/>
      </c>
      <c r="AD67" s="369" t="str">
        <f ca="1">IF($B67&lt;&gt;"PRC_RESID","",IF(AD$7=2005+OFFSET(COM_2012!$B$60,$AW67,SUMIF($B$10:$B$16,"NCAP_TLIFE",$AX$10:$AX$16)),0,""))</f>
        <v/>
      </c>
      <c r="AE67" s="369" t="str">
        <f ca="1">IF($B67&lt;&gt;"PRC_RESID","",IF(AE$7=2005+OFFSET(COM_2012!$B$60,$AW67,SUMIF($B$10:$B$16,"NCAP_TLIFE",$AX$10:$AX$16)),0,""))</f>
        <v/>
      </c>
      <c r="AF67" s="369" t="str">
        <f ca="1">IF($B67&lt;&gt;"PRC_RESID","",IF(AF$7=2005+OFFSET(COM_2012!$B$60,$AW67,SUMIF($B$10:$B$16,"NCAP_TLIFE",$AX$10:$AX$16)),0,""))</f>
        <v/>
      </c>
      <c r="AG67" s="369" t="str">
        <f ca="1">IF($B67&lt;&gt;"PRC_RESID","",IF(AG$7=2005+OFFSET(COM_2012!$B$60,$AW67,SUMIF($B$10:$B$16,"NCAP_TLIFE",$AX$10:$AX$16)),0,""))</f>
        <v/>
      </c>
      <c r="AH67" s="369" t="str">
        <f ca="1">IF($B67&lt;&gt;"PRC_RESID","",IF(AH$7=2005+OFFSET(COM_2012!$B$60,$AW67,SUMIF($B$10:$B$16,"NCAP_TLIFE",$AX$10:$AX$16)),0,""))</f>
        <v/>
      </c>
      <c r="AI67" s="369" t="str">
        <f ca="1">IF($B67&lt;&gt;"PRC_RESID","",IF(AI$7=2005+OFFSET(COM_2012!$B$60,$AW67,SUMIF($B$10:$B$16,"NCAP_TLIFE",$AX$10:$AX$16)),0,""))</f>
        <v/>
      </c>
      <c r="AJ67" s="369" t="str">
        <f ca="1">IF($B67&lt;&gt;"PRC_RESID","",IF(AJ$7=2005+OFFSET(COM_2012!$B$60,$AW67,SUMIF($B$10:$B$16,"NCAP_TLIFE",$AX$10:$AX$16)),0,""))</f>
        <v/>
      </c>
      <c r="AK67" s="369" t="str">
        <f ca="1">IF($B67&lt;&gt;"PRC_RESID","",IF(AK$7=2005+OFFSET(COM_2012!$B$60,$AW67,SUMIF($B$10:$B$16,"NCAP_TLIFE",$AX$10:$AX$16)),0,""))</f>
        <v/>
      </c>
      <c r="AL67" s="369" t="str">
        <f ca="1">IF($B67&lt;&gt;"PRC_RESID","",IF(AL$7=2005+OFFSET(COM_2012!$B$60,$AW67,SUMIF($B$10:$B$16,"NCAP_TLIFE",$AX$10:$AX$16)),0,""))</f>
        <v/>
      </c>
      <c r="AM67" s="369" t="str">
        <f ca="1">IF($B67&lt;&gt;"PRC_RESID","",IF(AM$7=2005+OFFSET(COM_2012!$B$60,$AW67,SUMIF($B$10:$B$16,"NCAP_TLIFE",$AX$10:$AX$16)),0,""))</f>
        <v/>
      </c>
      <c r="AN67" s="369" t="str">
        <f ca="1">IF($B67&lt;&gt;"PRC_RESID","",IF(AN$7=2005+OFFSET(COM_2012!$B$60,$AW67,SUMIF($B$10:$B$16,"NCAP_TLIFE",$AX$10:$AX$16)),0,""))</f>
        <v/>
      </c>
      <c r="AO67" s="369" t="str">
        <f ca="1">IF($B67&lt;&gt;"PRC_RESID","",IF(AO$7=2005+OFFSET(COM_2012!$B$60,$AW67,SUMIF($B$10:$B$16,"NCAP_TLIFE",$AX$10:$AX$16)),0,""))</f>
        <v/>
      </c>
      <c r="AP67" s="369" t="str">
        <f ca="1">IF($B67&lt;&gt;"PRC_RESID","",IF(AP$7=2005+OFFSET(COM_2012!$B$60,$AW67,SUMIF($B$10:$B$16,"NCAP_TLIFE",$AX$10:$AX$16)),0,""))</f>
        <v/>
      </c>
      <c r="AQ67" s="369" t="str">
        <f ca="1">IF($B67&lt;&gt;"PRC_RESID","",IF(AQ$7=2005+OFFSET(COM_2012!$B$60,$AW67,SUMIF($B$10:$B$16,"NCAP_TLIFE",$AX$10:$AX$16)),0,""))</f>
        <v/>
      </c>
      <c r="AR67" s="369" t="str">
        <f ca="1">IF($B67&lt;&gt;"PRC_RESID","",IF(AR$7=2005+OFFSET(COM_2012!$B$60,$AW67,SUMIF($B$10:$B$16,"NCAP_TLIFE",$AX$10:$AX$16)),0,""))</f>
        <v/>
      </c>
      <c r="AS67" s="369" t="str">
        <f ca="1">IF($B67&lt;&gt;"PRC_RESID","",IF(AS$7=2005+OFFSET(COM_2012!$B$60,$AW67,SUMIF($B$10:$B$16,"NCAP_TLIFE",$AX$10:$AX$16)),0,""))</f>
        <v/>
      </c>
      <c r="AT67" s="369" t="str">
        <f ca="1">IF($B67&lt;&gt;"PRC_RESID","",IF(AT$7=2005+OFFSET(COM_2012!$B$60,$AW67,SUMIF($B$10:$B$16,"NCAP_TLIFE",$AX$10:$AX$16)),0,""))</f>
        <v/>
      </c>
      <c r="AU67" s="369" t="str">
        <f ca="1">IF($B67&lt;&gt;"PRC_RESID","",IF(AU$7=2005+OFFSET(COM_2012!$B$60,$AW67,SUMIF($B$10:$B$16,"NCAP_TLIFE",$AX$10:$AX$16)),0,""))</f>
        <v/>
      </c>
      <c r="AV67" s="304">
        <f>IF(AW66=COM_2012!$AI$121,AV66+1,AV66)</f>
        <v>1</v>
      </c>
      <c r="AW67" s="304">
        <f t="shared" si="5"/>
        <v>40</v>
      </c>
    </row>
    <row r="68" spans="1:49">
      <c r="A68" s="304" t="str">
        <f ca="1">IF(LEFT(OFFSET(COM_2012!$A$60,AW68,0),2)="\I","*","")</f>
        <v>*</v>
      </c>
      <c r="B68" s="369" t="str">
        <f t="shared" ca="1" si="2"/>
        <v/>
      </c>
      <c r="C68" s="369" t="str">
        <f ca="1">IF($A68="*","",OFFSET(COM_2012!$B$60,AW68,0))</f>
        <v/>
      </c>
      <c r="D68" s="369" t="str">
        <f t="shared" ca="1" si="7"/>
        <v/>
      </c>
      <c r="E68" s="369" t="str">
        <f t="shared" ca="1" si="7"/>
        <v/>
      </c>
      <c r="F68" s="369" t="str">
        <f t="shared" ca="1" si="7"/>
        <v/>
      </c>
      <c r="G68" s="369" t="str">
        <f t="shared" ca="1" si="7"/>
        <v/>
      </c>
      <c r="H68" s="369" t="str">
        <f t="shared" ca="1" si="7"/>
        <v/>
      </c>
      <c r="I68" s="370" t="str">
        <f t="shared" ca="1" si="7"/>
        <v/>
      </c>
      <c r="J68" s="391" t="str">
        <f ca="1">IF($A68="*","",OFFSET(COM_2012!$B$60,AW68,SUMIF($B$10:$B$16,B68,$AX$10:$AX$16)))</f>
        <v/>
      </c>
      <c r="K68" s="369" t="str">
        <f ca="1">IF($B68&lt;&gt;"PRC_RESID","",IF(K$7=2005+OFFSET(COM_2012!$B$60,$AW68,SUMIF($B$10:$B$16,"NCAP_TLIFE",$AX$10:$AX$16)),0,""))</f>
        <v/>
      </c>
      <c r="L68" s="369" t="str">
        <f ca="1">IF($B68&lt;&gt;"PRC_RESID","",IF(L$7=2005+OFFSET(COM_2012!$B$60,$AW68,SUMIF($B$10:$B$16,"NCAP_TLIFE",$AX$10:$AX$16)),0,""))</f>
        <v/>
      </c>
      <c r="M68" s="369" t="str">
        <f ca="1">IF($B68&lt;&gt;"PRC_RESID","",IF(M$7=2005+OFFSET(COM_2012!$B$60,$AW68,SUMIF($B$10:$B$16,"NCAP_TLIFE",$AX$10:$AX$16)),0,""))</f>
        <v/>
      </c>
      <c r="N68" s="369" t="str">
        <f ca="1">IF($B68&lt;&gt;"PRC_RESID","",IF(N$7=2005+OFFSET(COM_2012!$B$60,$AW68,SUMIF($B$10:$B$16,"NCAP_TLIFE",$AX$10:$AX$16)),0,""))</f>
        <v/>
      </c>
      <c r="O68" s="658" t="str">
        <f ca="1">IF($B68&lt;&gt;"PRC_RESID","",IF(O$7=2005+OFFSET(COM_2012!$B$60,$AW68,SUMIF($B$10:$B$16,"NCAP_TLIFE",$AX$10:$AX$16)),0,""))</f>
        <v/>
      </c>
      <c r="P68" s="369" t="str">
        <f ca="1">IF($B68&lt;&gt;"PRC_RESID","",IF(P$7=2005+OFFSET(COM_2012!$B$60,$AW68,SUMIF($B$10:$B$16,"NCAP_TLIFE",$AX$10:$AX$16)),0,""))</f>
        <v/>
      </c>
      <c r="Q68" s="369" t="str">
        <f ca="1">IF($B68&lt;&gt;"PRC_RESID","",IF(Q$7=2005+OFFSET(COM_2012!$B$60,$AW68,SUMIF($B$10:$B$16,"NCAP_TLIFE",$AX$10:$AX$16)),0,""))</f>
        <v/>
      </c>
      <c r="R68" s="369" t="str">
        <f ca="1">IF($B68&lt;&gt;"PRC_RESID","",IF(R$7=2005+OFFSET(COM_2012!$B$60,$AW68,SUMIF($B$10:$B$16,"NCAP_TLIFE",$AX$10:$AX$16)),0,""))</f>
        <v/>
      </c>
      <c r="S68" s="369" t="str">
        <f ca="1">IF($B68&lt;&gt;"PRC_RESID","",IF(S$7=2005+OFFSET(COM_2012!$B$60,$AW68,SUMIF($B$10:$B$16,"NCAP_TLIFE",$AX$10:$AX$16)),0,""))</f>
        <v/>
      </c>
      <c r="T68" s="369" t="str">
        <f ca="1">IF($B68&lt;&gt;"PRC_RESID","",IF(T$7=2005+OFFSET(COM_2012!$B$60,$AW68,SUMIF($B$10:$B$16,"NCAP_TLIFE",$AX$10:$AX$16)),0,""))</f>
        <v/>
      </c>
      <c r="U68" s="369" t="str">
        <f ca="1">IF($B68&lt;&gt;"PRC_RESID","",IF(U$7=2005+OFFSET(COM_2012!$B$60,$AW68,SUMIF($B$10:$B$16,"NCAP_TLIFE",$AX$10:$AX$16)),0,""))</f>
        <v/>
      </c>
      <c r="V68" s="369" t="str">
        <f ca="1">IF($B68&lt;&gt;"PRC_RESID","",IF(V$7=2005+OFFSET(COM_2012!$B$60,$AW68,SUMIF($B$10:$B$16,"NCAP_TLIFE",$AX$10:$AX$16)),0,""))</f>
        <v/>
      </c>
      <c r="W68" s="369" t="str">
        <f ca="1">IF($B68&lt;&gt;"PRC_RESID","",IF(W$7=2005+OFFSET(COM_2012!$B$60,$AW68,SUMIF($B$10:$B$16,"NCAP_TLIFE",$AX$10:$AX$16)),0,""))</f>
        <v/>
      </c>
      <c r="X68" s="369" t="str">
        <f ca="1">IF($B68&lt;&gt;"PRC_RESID","",IF(X$7=2005+OFFSET(COM_2012!$B$60,$AW68,SUMIF($B$10:$B$16,"NCAP_TLIFE",$AX$10:$AX$16)),0,""))</f>
        <v/>
      </c>
      <c r="Y68" s="369" t="str">
        <f ca="1">IF($B68&lt;&gt;"PRC_RESID","",IF(Y$7=2005+OFFSET(COM_2012!$B$60,$AW68,SUMIF($B$10:$B$16,"NCAP_TLIFE",$AX$10:$AX$16)),0,""))</f>
        <v/>
      </c>
      <c r="Z68" s="369" t="str">
        <f ca="1">IF($B68&lt;&gt;"PRC_RESID","",IF(Z$7=2005+OFFSET(COM_2012!$B$60,$AW68,SUMIF($B$10:$B$16,"NCAP_TLIFE",$AX$10:$AX$16)),0,""))</f>
        <v/>
      </c>
      <c r="AA68" s="369" t="str">
        <f ca="1">IF($B68&lt;&gt;"PRC_RESID","",IF(AA$7=2005+OFFSET(COM_2012!$B$60,$AW68,SUMIF($B$10:$B$16,"NCAP_TLIFE",$AX$10:$AX$16)),0,""))</f>
        <v/>
      </c>
      <c r="AB68" s="369" t="str">
        <f ca="1">IF($B68&lt;&gt;"PRC_RESID","",IF(AB$7=2005+OFFSET(COM_2012!$B$60,$AW68,SUMIF($B$10:$B$16,"NCAP_TLIFE",$AX$10:$AX$16)),0,""))</f>
        <v/>
      </c>
      <c r="AC68" s="369" t="str">
        <f ca="1">IF($B68&lt;&gt;"PRC_RESID","",IF(AC$7=2005+OFFSET(COM_2012!$B$60,$AW68,SUMIF($B$10:$B$16,"NCAP_TLIFE",$AX$10:$AX$16)),0,""))</f>
        <v/>
      </c>
      <c r="AD68" s="369" t="str">
        <f ca="1">IF($B68&lt;&gt;"PRC_RESID","",IF(AD$7=2005+OFFSET(COM_2012!$B$60,$AW68,SUMIF($B$10:$B$16,"NCAP_TLIFE",$AX$10:$AX$16)),0,""))</f>
        <v/>
      </c>
      <c r="AE68" s="369" t="str">
        <f ca="1">IF($B68&lt;&gt;"PRC_RESID","",IF(AE$7=2005+OFFSET(COM_2012!$B$60,$AW68,SUMIF($B$10:$B$16,"NCAP_TLIFE",$AX$10:$AX$16)),0,""))</f>
        <v/>
      </c>
      <c r="AF68" s="369" t="str">
        <f ca="1">IF($B68&lt;&gt;"PRC_RESID","",IF(AF$7=2005+OFFSET(COM_2012!$B$60,$AW68,SUMIF($B$10:$B$16,"NCAP_TLIFE",$AX$10:$AX$16)),0,""))</f>
        <v/>
      </c>
      <c r="AG68" s="369" t="str">
        <f ca="1">IF($B68&lt;&gt;"PRC_RESID","",IF(AG$7=2005+OFFSET(COM_2012!$B$60,$AW68,SUMIF($B$10:$B$16,"NCAP_TLIFE",$AX$10:$AX$16)),0,""))</f>
        <v/>
      </c>
      <c r="AH68" s="369" t="str">
        <f ca="1">IF($B68&lt;&gt;"PRC_RESID","",IF(AH$7=2005+OFFSET(COM_2012!$B$60,$AW68,SUMIF($B$10:$B$16,"NCAP_TLIFE",$AX$10:$AX$16)),0,""))</f>
        <v/>
      </c>
      <c r="AI68" s="369" t="str">
        <f ca="1">IF($B68&lt;&gt;"PRC_RESID","",IF(AI$7=2005+OFFSET(COM_2012!$B$60,$AW68,SUMIF($B$10:$B$16,"NCAP_TLIFE",$AX$10:$AX$16)),0,""))</f>
        <v/>
      </c>
      <c r="AJ68" s="369" t="str">
        <f ca="1">IF($B68&lt;&gt;"PRC_RESID","",IF(AJ$7=2005+OFFSET(COM_2012!$B$60,$AW68,SUMIF($B$10:$B$16,"NCAP_TLIFE",$AX$10:$AX$16)),0,""))</f>
        <v/>
      </c>
      <c r="AK68" s="369" t="str">
        <f ca="1">IF($B68&lt;&gt;"PRC_RESID","",IF(AK$7=2005+OFFSET(COM_2012!$B$60,$AW68,SUMIF($B$10:$B$16,"NCAP_TLIFE",$AX$10:$AX$16)),0,""))</f>
        <v/>
      </c>
      <c r="AL68" s="369" t="str">
        <f ca="1">IF($B68&lt;&gt;"PRC_RESID","",IF(AL$7=2005+OFFSET(COM_2012!$B$60,$AW68,SUMIF($B$10:$B$16,"NCAP_TLIFE",$AX$10:$AX$16)),0,""))</f>
        <v/>
      </c>
      <c r="AM68" s="369" t="str">
        <f ca="1">IF($B68&lt;&gt;"PRC_RESID","",IF(AM$7=2005+OFFSET(COM_2012!$B$60,$AW68,SUMIF($B$10:$B$16,"NCAP_TLIFE",$AX$10:$AX$16)),0,""))</f>
        <v/>
      </c>
      <c r="AN68" s="369" t="str">
        <f ca="1">IF($B68&lt;&gt;"PRC_RESID","",IF(AN$7=2005+OFFSET(COM_2012!$B$60,$AW68,SUMIF($B$10:$B$16,"NCAP_TLIFE",$AX$10:$AX$16)),0,""))</f>
        <v/>
      </c>
      <c r="AO68" s="369" t="str">
        <f ca="1">IF($B68&lt;&gt;"PRC_RESID","",IF(AO$7=2005+OFFSET(COM_2012!$B$60,$AW68,SUMIF($B$10:$B$16,"NCAP_TLIFE",$AX$10:$AX$16)),0,""))</f>
        <v/>
      </c>
      <c r="AP68" s="369" t="str">
        <f ca="1">IF($B68&lt;&gt;"PRC_RESID","",IF(AP$7=2005+OFFSET(COM_2012!$B$60,$AW68,SUMIF($B$10:$B$16,"NCAP_TLIFE",$AX$10:$AX$16)),0,""))</f>
        <v/>
      </c>
      <c r="AQ68" s="369" t="str">
        <f ca="1">IF($B68&lt;&gt;"PRC_RESID","",IF(AQ$7=2005+OFFSET(COM_2012!$B$60,$AW68,SUMIF($B$10:$B$16,"NCAP_TLIFE",$AX$10:$AX$16)),0,""))</f>
        <v/>
      </c>
      <c r="AR68" s="369" t="str">
        <f ca="1">IF($B68&lt;&gt;"PRC_RESID","",IF(AR$7=2005+OFFSET(COM_2012!$B$60,$AW68,SUMIF($B$10:$B$16,"NCAP_TLIFE",$AX$10:$AX$16)),0,""))</f>
        <v/>
      </c>
      <c r="AS68" s="369" t="str">
        <f ca="1">IF($B68&lt;&gt;"PRC_RESID","",IF(AS$7=2005+OFFSET(COM_2012!$B$60,$AW68,SUMIF($B$10:$B$16,"NCAP_TLIFE",$AX$10:$AX$16)),0,""))</f>
        <v/>
      </c>
      <c r="AT68" s="369" t="str">
        <f ca="1">IF($B68&lt;&gt;"PRC_RESID","",IF(AT$7=2005+OFFSET(COM_2012!$B$60,$AW68,SUMIF($B$10:$B$16,"NCAP_TLIFE",$AX$10:$AX$16)),0,""))</f>
        <v/>
      </c>
      <c r="AU68" s="369" t="str">
        <f ca="1">IF($B68&lt;&gt;"PRC_RESID","",IF(AU$7=2005+OFFSET(COM_2012!$B$60,$AW68,SUMIF($B$10:$B$16,"NCAP_TLIFE",$AX$10:$AX$16)),0,""))</f>
        <v/>
      </c>
      <c r="AV68" s="304">
        <f>IF(AW67=COM_2012!$AI$121,AV67+1,AV67)</f>
        <v>1</v>
      </c>
      <c r="AW68" s="304">
        <f t="shared" si="5"/>
        <v>41</v>
      </c>
    </row>
    <row r="69" spans="1:49">
      <c r="A69" s="304" t="str">
        <f ca="1">IF(LEFT(OFFSET(COM_2012!$A$60,AW69,0),2)="\I","*","")</f>
        <v/>
      </c>
      <c r="B69" s="369" t="str">
        <f t="shared" ca="1" si="2"/>
        <v>ACT_EFF</v>
      </c>
      <c r="C69" s="369" t="str">
        <f ca="1">IF($A69="*","",OFFSET(COM_2012!$B$60,AW69,0))</f>
        <v>CEGELCINC-E</v>
      </c>
      <c r="D69" s="369" t="str">
        <f t="shared" ca="1" si="7"/>
        <v>-</v>
      </c>
      <c r="E69" s="369" t="str">
        <f t="shared" ca="1" si="7"/>
        <v>ACTGRP</v>
      </c>
      <c r="F69" s="369" t="str">
        <f t="shared" ca="1" si="7"/>
        <v>-</v>
      </c>
      <c r="G69" s="369" t="str">
        <f t="shared" ca="1" si="7"/>
        <v>ANNUAL</v>
      </c>
      <c r="H69" s="369" t="str">
        <f t="shared" ca="1" si="7"/>
        <v>-</v>
      </c>
      <c r="I69" s="370">
        <f t="shared" ca="1" si="7"/>
        <v>0</v>
      </c>
      <c r="J69" s="391">
        <f ca="1">IF($A69="*","",OFFSET(COM_2012!$B$60,AW69,SUMIF($B$10:$B$16,B69,$AX$10:$AX$16)))</f>
        <v>1</v>
      </c>
      <c r="K69" s="369" t="str">
        <f ca="1">IF($B69&lt;&gt;"PRC_RESID","",IF(K$7=2005+OFFSET(COM_2012!$B$60,$AW69,SUMIF($B$10:$B$16,"NCAP_TLIFE",$AX$10:$AX$16)),0,""))</f>
        <v/>
      </c>
      <c r="L69" s="369" t="str">
        <f ca="1">IF($B69&lt;&gt;"PRC_RESID","",IF(L$7=2005+OFFSET(COM_2012!$B$60,$AW69,SUMIF($B$10:$B$16,"NCAP_TLIFE",$AX$10:$AX$16)),0,""))</f>
        <v/>
      </c>
      <c r="M69" s="369" t="str">
        <f ca="1">IF($B69&lt;&gt;"PRC_RESID","",IF(M$7=2005+OFFSET(COM_2012!$B$60,$AW69,SUMIF($B$10:$B$16,"NCAP_TLIFE",$AX$10:$AX$16)),0,""))</f>
        <v/>
      </c>
      <c r="N69" s="369" t="str">
        <f ca="1">IF($B69&lt;&gt;"PRC_RESID","",IF(N$7=2005+OFFSET(COM_2012!$B$60,$AW69,SUMIF($B$10:$B$16,"NCAP_TLIFE",$AX$10:$AX$16)),0,""))</f>
        <v/>
      </c>
      <c r="O69" s="658" t="str">
        <f ca="1">IF($B69&lt;&gt;"PRC_RESID","",IF(O$7=2005+OFFSET(COM_2012!$B$60,$AW69,SUMIF($B$10:$B$16,"NCAP_TLIFE",$AX$10:$AX$16)),0,""))</f>
        <v/>
      </c>
      <c r="P69" s="369" t="str">
        <f ca="1">IF($B69&lt;&gt;"PRC_RESID","",IF(P$7=2005+OFFSET(COM_2012!$B$60,$AW69,SUMIF($B$10:$B$16,"NCAP_TLIFE",$AX$10:$AX$16)),0,""))</f>
        <v/>
      </c>
      <c r="Q69" s="369" t="str">
        <f ca="1">IF($B69&lt;&gt;"PRC_RESID","",IF(Q$7=2005+OFFSET(COM_2012!$B$60,$AW69,SUMIF($B$10:$B$16,"NCAP_TLIFE",$AX$10:$AX$16)),0,""))</f>
        <v/>
      </c>
      <c r="R69" s="369" t="str">
        <f ca="1">IF($B69&lt;&gt;"PRC_RESID","",IF(R$7=2005+OFFSET(COM_2012!$B$60,$AW69,SUMIF($B$10:$B$16,"NCAP_TLIFE",$AX$10:$AX$16)),0,""))</f>
        <v/>
      </c>
      <c r="S69" s="369" t="str">
        <f ca="1">IF($B69&lt;&gt;"PRC_RESID","",IF(S$7=2005+OFFSET(COM_2012!$B$60,$AW69,SUMIF($B$10:$B$16,"NCAP_TLIFE",$AX$10:$AX$16)),0,""))</f>
        <v/>
      </c>
      <c r="T69" s="369" t="str">
        <f ca="1">IF($B69&lt;&gt;"PRC_RESID","",IF(T$7=2005+OFFSET(COM_2012!$B$60,$AW69,SUMIF($B$10:$B$16,"NCAP_TLIFE",$AX$10:$AX$16)),0,""))</f>
        <v/>
      </c>
      <c r="U69" s="369" t="str">
        <f ca="1">IF($B69&lt;&gt;"PRC_RESID","",IF(U$7=2005+OFFSET(COM_2012!$B$60,$AW69,SUMIF($B$10:$B$16,"NCAP_TLIFE",$AX$10:$AX$16)),0,""))</f>
        <v/>
      </c>
      <c r="V69" s="369" t="str">
        <f ca="1">IF($B69&lt;&gt;"PRC_RESID","",IF(V$7=2005+OFFSET(COM_2012!$B$60,$AW69,SUMIF($B$10:$B$16,"NCAP_TLIFE",$AX$10:$AX$16)),0,""))</f>
        <v/>
      </c>
      <c r="W69" s="369" t="str">
        <f ca="1">IF($B69&lt;&gt;"PRC_RESID","",IF(W$7=2005+OFFSET(COM_2012!$B$60,$AW69,SUMIF($B$10:$B$16,"NCAP_TLIFE",$AX$10:$AX$16)),0,""))</f>
        <v/>
      </c>
      <c r="X69" s="369" t="str">
        <f ca="1">IF($B69&lt;&gt;"PRC_RESID","",IF(X$7=2005+OFFSET(COM_2012!$B$60,$AW69,SUMIF($B$10:$B$16,"NCAP_TLIFE",$AX$10:$AX$16)),0,""))</f>
        <v/>
      </c>
      <c r="Y69" s="369" t="str">
        <f ca="1">IF($B69&lt;&gt;"PRC_RESID","",IF(Y$7=2005+OFFSET(COM_2012!$B$60,$AW69,SUMIF($B$10:$B$16,"NCAP_TLIFE",$AX$10:$AX$16)),0,""))</f>
        <v/>
      </c>
      <c r="Z69" s="369" t="str">
        <f ca="1">IF($B69&lt;&gt;"PRC_RESID","",IF(Z$7=2005+OFFSET(COM_2012!$B$60,$AW69,SUMIF($B$10:$B$16,"NCAP_TLIFE",$AX$10:$AX$16)),0,""))</f>
        <v/>
      </c>
      <c r="AA69" s="369" t="str">
        <f ca="1">IF($B69&lt;&gt;"PRC_RESID","",IF(AA$7=2005+OFFSET(COM_2012!$B$60,$AW69,SUMIF($B$10:$B$16,"NCAP_TLIFE",$AX$10:$AX$16)),0,""))</f>
        <v/>
      </c>
      <c r="AB69" s="369" t="str">
        <f ca="1">IF($B69&lt;&gt;"PRC_RESID","",IF(AB$7=2005+OFFSET(COM_2012!$B$60,$AW69,SUMIF($B$10:$B$16,"NCAP_TLIFE",$AX$10:$AX$16)),0,""))</f>
        <v/>
      </c>
      <c r="AC69" s="369" t="str">
        <f ca="1">IF($B69&lt;&gt;"PRC_RESID","",IF(AC$7=2005+OFFSET(COM_2012!$B$60,$AW69,SUMIF($B$10:$B$16,"NCAP_TLIFE",$AX$10:$AX$16)),0,""))</f>
        <v/>
      </c>
      <c r="AD69" s="369" t="str">
        <f ca="1">IF($B69&lt;&gt;"PRC_RESID","",IF(AD$7=2005+OFFSET(COM_2012!$B$60,$AW69,SUMIF($B$10:$B$16,"NCAP_TLIFE",$AX$10:$AX$16)),0,""))</f>
        <v/>
      </c>
      <c r="AE69" s="369" t="str">
        <f ca="1">IF($B69&lt;&gt;"PRC_RESID","",IF(AE$7=2005+OFFSET(COM_2012!$B$60,$AW69,SUMIF($B$10:$B$16,"NCAP_TLIFE",$AX$10:$AX$16)),0,""))</f>
        <v/>
      </c>
      <c r="AF69" s="369" t="str">
        <f ca="1">IF($B69&lt;&gt;"PRC_RESID","",IF(AF$7=2005+OFFSET(COM_2012!$B$60,$AW69,SUMIF($B$10:$B$16,"NCAP_TLIFE",$AX$10:$AX$16)),0,""))</f>
        <v/>
      </c>
      <c r="AG69" s="369" t="str">
        <f ca="1">IF($B69&lt;&gt;"PRC_RESID","",IF(AG$7=2005+OFFSET(COM_2012!$B$60,$AW69,SUMIF($B$10:$B$16,"NCAP_TLIFE",$AX$10:$AX$16)),0,""))</f>
        <v/>
      </c>
      <c r="AH69" s="369" t="str">
        <f ca="1">IF($B69&lt;&gt;"PRC_RESID","",IF(AH$7=2005+OFFSET(COM_2012!$B$60,$AW69,SUMIF($B$10:$B$16,"NCAP_TLIFE",$AX$10:$AX$16)),0,""))</f>
        <v/>
      </c>
      <c r="AI69" s="369" t="str">
        <f ca="1">IF($B69&lt;&gt;"PRC_RESID","",IF(AI$7=2005+OFFSET(COM_2012!$B$60,$AW69,SUMIF($B$10:$B$16,"NCAP_TLIFE",$AX$10:$AX$16)),0,""))</f>
        <v/>
      </c>
      <c r="AJ69" s="369" t="str">
        <f ca="1">IF($B69&lt;&gt;"PRC_RESID","",IF(AJ$7=2005+OFFSET(COM_2012!$B$60,$AW69,SUMIF($B$10:$B$16,"NCAP_TLIFE",$AX$10:$AX$16)),0,""))</f>
        <v/>
      </c>
      <c r="AK69" s="369" t="str">
        <f ca="1">IF($B69&lt;&gt;"PRC_RESID","",IF(AK$7=2005+OFFSET(COM_2012!$B$60,$AW69,SUMIF($B$10:$B$16,"NCAP_TLIFE",$AX$10:$AX$16)),0,""))</f>
        <v/>
      </c>
      <c r="AL69" s="369" t="str">
        <f ca="1">IF($B69&lt;&gt;"PRC_RESID","",IF(AL$7=2005+OFFSET(COM_2012!$B$60,$AW69,SUMIF($B$10:$B$16,"NCAP_TLIFE",$AX$10:$AX$16)),0,""))</f>
        <v/>
      </c>
      <c r="AM69" s="369" t="str">
        <f ca="1">IF($B69&lt;&gt;"PRC_RESID","",IF(AM$7=2005+OFFSET(COM_2012!$B$60,$AW69,SUMIF($B$10:$B$16,"NCAP_TLIFE",$AX$10:$AX$16)),0,""))</f>
        <v/>
      </c>
      <c r="AN69" s="369" t="str">
        <f ca="1">IF($B69&lt;&gt;"PRC_RESID","",IF(AN$7=2005+OFFSET(COM_2012!$B$60,$AW69,SUMIF($B$10:$B$16,"NCAP_TLIFE",$AX$10:$AX$16)),0,""))</f>
        <v/>
      </c>
      <c r="AO69" s="369" t="str">
        <f ca="1">IF($B69&lt;&gt;"PRC_RESID","",IF(AO$7=2005+OFFSET(COM_2012!$B$60,$AW69,SUMIF($B$10:$B$16,"NCAP_TLIFE",$AX$10:$AX$16)),0,""))</f>
        <v/>
      </c>
      <c r="AP69" s="369" t="str">
        <f ca="1">IF($B69&lt;&gt;"PRC_RESID","",IF(AP$7=2005+OFFSET(COM_2012!$B$60,$AW69,SUMIF($B$10:$B$16,"NCAP_TLIFE",$AX$10:$AX$16)),0,""))</f>
        <v/>
      </c>
      <c r="AQ69" s="369" t="str">
        <f ca="1">IF($B69&lt;&gt;"PRC_RESID","",IF(AQ$7=2005+OFFSET(COM_2012!$B$60,$AW69,SUMIF($B$10:$B$16,"NCAP_TLIFE",$AX$10:$AX$16)),0,""))</f>
        <v/>
      </c>
      <c r="AR69" s="369" t="str">
        <f ca="1">IF($B69&lt;&gt;"PRC_RESID","",IF(AR$7=2005+OFFSET(COM_2012!$B$60,$AW69,SUMIF($B$10:$B$16,"NCAP_TLIFE",$AX$10:$AX$16)),0,""))</f>
        <v/>
      </c>
      <c r="AS69" s="369" t="str">
        <f ca="1">IF($B69&lt;&gt;"PRC_RESID","",IF(AS$7=2005+OFFSET(COM_2012!$B$60,$AW69,SUMIF($B$10:$B$16,"NCAP_TLIFE",$AX$10:$AX$16)),0,""))</f>
        <v/>
      </c>
      <c r="AT69" s="369" t="str">
        <f ca="1">IF($B69&lt;&gt;"PRC_RESID","",IF(AT$7=2005+OFFSET(COM_2012!$B$60,$AW69,SUMIF($B$10:$B$16,"NCAP_TLIFE",$AX$10:$AX$16)),0,""))</f>
        <v/>
      </c>
      <c r="AU69" s="369" t="str">
        <f ca="1">IF($B69&lt;&gt;"PRC_RESID","",IF(AU$7=2005+OFFSET(COM_2012!$B$60,$AW69,SUMIF($B$10:$B$16,"NCAP_TLIFE",$AX$10:$AX$16)),0,""))</f>
        <v/>
      </c>
      <c r="AV69" s="304">
        <f>IF(AW68=COM_2012!$AI$121,AV68+1,AV68)</f>
        <v>1</v>
      </c>
      <c r="AW69" s="304">
        <f t="shared" si="5"/>
        <v>42</v>
      </c>
    </row>
    <row r="70" spans="1:49">
      <c r="A70" s="304" t="str">
        <f ca="1">IF(LEFT(OFFSET(COM_2012!$A$60,AW70,0),2)="\I","*","")</f>
        <v/>
      </c>
      <c r="B70" s="369" t="str">
        <f t="shared" ca="1" si="2"/>
        <v>ACT_EFF</v>
      </c>
      <c r="C70" s="369" t="str">
        <f ca="1">IF($A70="*","",OFFSET(COM_2012!$B$60,AW70,0))</f>
        <v>CEGELCHAL-E</v>
      </c>
      <c r="D70" s="369" t="str">
        <f t="shared" ca="1" si="7"/>
        <v>-</v>
      </c>
      <c r="E70" s="369" t="str">
        <f t="shared" ca="1" si="7"/>
        <v>ACTGRP</v>
      </c>
      <c r="F70" s="369" t="str">
        <f t="shared" ca="1" si="7"/>
        <v>-</v>
      </c>
      <c r="G70" s="369" t="str">
        <f t="shared" ca="1" si="7"/>
        <v>ANNUAL</v>
      </c>
      <c r="H70" s="369" t="str">
        <f t="shared" ca="1" si="7"/>
        <v>-</v>
      </c>
      <c r="I70" s="370">
        <f t="shared" ca="1" si="7"/>
        <v>0</v>
      </c>
      <c r="J70" s="391">
        <f ca="1">IF($A70="*","",OFFSET(COM_2012!$B$60,AW70,SUMIF($B$10:$B$16,B70,$AX$10:$AX$16)))</f>
        <v>2</v>
      </c>
      <c r="K70" s="369" t="str">
        <f ca="1">IF($B70&lt;&gt;"PRC_RESID","",IF(K$7=2005+OFFSET(COM_2012!$B$60,$AW70,SUMIF($B$10:$B$16,"NCAP_TLIFE",$AX$10:$AX$16)),0,""))</f>
        <v/>
      </c>
      <c r="L70" s="369" t="str">
        <f ca="1">IF($B70&lt;&gt;"PRC_RESID","",IF(L$7=2005+OFFSET(COM_2012!$B$60,$AW70,SUMIF($B$10:$B$16,"NCAP_TLIFE",$AX$10:$AX$16)),0,""))</f>
        <v/>
      </c>
      <c r="M70" s="369" t="str">
        <f ca="1">IF($B70&lt;&gt;"PRC_RESID","",IF(M$7=2005+OFFSET(COM_2012!$B$60,$AW70,SUMIF($B$10:$B$16,"NCAP_TLIFE",$AX$10:$AX$16)),0,""))</f>
        <v/>
      </c>
      <c r="N70" s="369" t="str">
        <f ca="1">IF($B70&lt;&gt;"PRC_RESID","",IF(N$7=2005+OFFSET(COM_2012!$B$60,$AW70,SUMIF($B$10:$B$16,"NCAP_TLIFE",$AX$10:$AX$16)),0,""))</f>
        <v/>
      </c>
      <c r="O70" s="658" t="str">
        <f ca="1">IF($B70&lt;&gt;"PRC_RESID","",IF(O$7=2005+OFFSET(COM_2012!$B$60,$AW70,SUMIF($B$10:$B$16,"NCAP_TLIFE",$AX$10:$AX$16)),0,""))</f>
        <v/>
      </c>
      <c r="P70" s="369" t="str">
        <f ca="1">IF($B70&lt;&gt;"PRC_RESID","",IF(P$7=2005+OFFSET(COM_2012!$B$60,$AW70,SUMIF($B$10:$B$16,"NCAP_TLIFE",$AX$10:$AX$16)),0,""))</f>
        <v/>
      </c>
      <c r="Q70" s="369" t="str">
        <f ca="1">IF($B70&lt;&gt;"PRC_RESID","",IF(Q$7=2005+OFFSET(COM_2012!$B$60,$AW70,SUMIF($B$10:$B$16,"NCAP_TLIFE",$AX$10:$AX$16)),0,""))</f>
        <v/>
      </c>
      <c r="R70" s="369" t="str">
        <f ca="1">IF($B70&lt;&gt;"PRC_RESID","",IF(R$7=2005+OFFSET(COM_2012!$B$60,$AW70,SUMIF($B$10:$B$16,"NCAP_TLIFE",$AX$10:$AX$16)),0,""))</f>
        <v/>
      </c>
      <c r="S70" s="369" t="str">
        <f ca="1">IF($B70&lt;&gt;"PRC_RESID","",IF(S$7=2005+OFFSET(COM_2012!$B$60,$AW70,SUMIF($B$10:$B$16,"NCAP_TLIFE",$AX$10:$AX$16)),0,""))</f>
        <v/>
      </c>
      <c r="T70" s="369" t="str">
        <f ca="1">IF($B70&lt;&gt;"PRC_RESID","",IF(T$7=2005+OFFSET(COM_2012!$B$60,$AW70,SUMIF($B$10:$B$16,"NCAP_TLIFE",$AX$10:$AX$16)),0,""))</f>
        <v/>
      </c>
      <c r="U70" s="369" t="str">
        <f ca="1">IF($B70&lt;&gt;"PRC_RESID","",IF(U$7=2005+OFFSET(COM_2012!$B$60,$AW70,SUMIF($B$10:$B$16,"NCAP_TLIFE",$AX$10:$AX$16)),0,""))</f>
        <v/>
      </c>
      <c r="V70" s="369" t="str">
        <f ca="1">IF($B70&lt;&gt;"PRC_RESID","",IF(V$7=2005+OFFSET(COM_2012!$B$60,$AW70,SUMIF($B$10:$B$16,"NCAP_TLIFE",$AX$10:$AX$16)),0,""))</f>
        <v/>
      </c>
      <c r="W70" s="369" t="str">
        <f ca="1">IF($B70&lt;&gt;"PRC_RESID","",IF(W$7=2005+OFFSET(COM_2012!$B$60,$AW70,SUMIF($B$10:$B$16,"NCAP_TLIFE",$AX$10:$AX$16)),0,""))</f>
        <v/>
      </c>
      <c r="X70" s="369" t="str">
        <f ca="1">IF($B70&lt;&gt;"PRC_RESID","",IF(X$7=2005+OFFSET(COM_2012!$B$60,$AW70,SUMIF($B$10:$B$16,"NCAP_TLIFE",$AX$10:$AX$16)),0,""))</f>
        <v/>
      </c>
      <c r="Y70" s="369" t="str">
        <f ca="1">IF($B70&lt;&gt;"PRC_RESID","",IF(Y$7=2005+OFFSET(COM_2012!$B$60,$AW70,SUMIF($B$10:$B$16,"NCAP_TLIFE",$AX$10:$AX$16)),0,""))</f>
        <v/>
      </c>
      <c r="Z70" s="369" t="str">
        <f ca="1">IF($B70&lt;&gt;"PRC_RESID","",IF(Z$7=2005+OFFSET(COM_2012!$B$60,$AW70,SUMIF($B$10:$B$16,"NCAP_TLIFE",$AX$10:$AX$16)),0,""))</f>
        <v/>
      </c>
      <c r="AA70" s="369" t="str">
        <f ca="1">IF($B70&lt;&gt;"PRC_RESID","",IF(AA$7=2005+OFFSET(COM_2012!$B$60,$AW70,SUMIF($B$10:$B$16,"NCAP_TLIFE",$AX$10:$AX$16)),0,""))</f>
        <v/>
      </c>
      <c r="AB70" s="369" t="str">
        <f ca="1">IF($B70&lt;&gt;"PRC_RESID","",IF(AB$7=2005+OFFSET(COM_2012!$B$60,$AW70,SUMIF($B$10:$B$16,"NCAP_TLIFE",$AX$10:$AX$16)),0,""))</f>
        <v/>
      </c>
      <c r="AC70" s="369" t="str">
        <f ca="1">IF($B70&lt;&gt;"PRC_RESID","",IF(AC$7=2005+OFFSET(COM_2012!$B$60,$AW70,SUMIF($B$10:$B$16,"NCAP_TLIFE",$AX$10:$AX$16)),0,""))</f>
        <v/>
      </c>
      <c r="AD70" s="369" t="str">
        <f ca="1">IF($B70&lt;&gt;"PRC_RESID","",IF(AD$7=2005+OFFSET(COM_2012!$B$60,$AW70,SUMIF($B$10:$B$16,"NCAP_TLIFE",$AX$10:$AX$16)),0,""))</f>
        <v/>
      </c>
      <c r="AE70" s="369" t="str">
        <f ca="1">IF($B70&lt;&gt;"PRC_RESID","",IF(AE$7=2005+OFFSET(COM_2012!$B$60,$AW70,SUMIF($B$10:$B$16,"NCAP_TLIFE",$AX$10:$AX$16)),0,""))</f>
        <v/>
      </c>
      <c r="AF70" s="369" t="str">
        <f ca="1">IF($B70&lt;&gt;"PRC_RESID","",IF(AF$7=2005+OFFSET(COM_2012!$B$60,$AW70,SUMIF($B$10:$B$16,"NCAP_TLIFE",$AX$10:$AX$16)),0,""))</f>
        <v/>
      </c>
      <c r="AG70" s="369" t="str">
        <f ca="1">IF($B70&lt;&gt;"PRC_RESID","",IF(AG$7=2005+OFFSET(COM_2012!$B$60,$AW70,SUMIF($B$10:$B$16,"NCAP_TLIFE",$AX$10:$AX$16)),0,""))</f>
        <v/>
      </c>
      <c r="AH70" s="369" t="str">
        <f ca="1">IF($B70&lt;&gt;"PRC_RESID","",IF(AH$7=2005+OFFSET(COM_2012!$B$60,$AW70,SUMIF($B$10:$B$16,"NCAP_TLIFE",$AX$10:$AX$16)),0,""))</f>
        <v/>
      </c>
      <c r="AI70" s="369" t="str">
        <f ca="1">IF($B70&lt;&gt;"PRC_RESID","",IF(AI$7=2005+OFFSET(COM_2012!$B$60,$AW70,SUMIF($B$10:$B$16,"NCAP_TLIFE",$AX$10:$AX$16)),0,""))</f>
        <v/>
      </c>
      <c r="AJ70" s="369" t="str">
        <f ca="1">IF($B70&lt;&gt;"PRC_RESID","",IF(AJ$7=2005+OFFSET(COM_2012!$B$60,$AW70,SUMIF($B$10:$B$16,"NCAP_TLIFE",$AX$10:$AX$16)),0,""))</f>
        <v/>
      </c>
      <c r="AK70" s="369" t="str">
        <f ca="1">IF($B70&lt;&gt;"PRC_RESID","",IF(AK$7=2005+OFFSET(COM_2012!$B$60,$AW70,SUMIF($B$10:$B$16,"NCAP_TLIFE",$AX$10:$AX$16)),0,""))</f>
        <v/>
      </c>
      <c r="AL70" s="369" t="str">
        <f ca="1">IF($B70&lt;&gt;"PRC_RESID","",IF(AL$7=2005+OFFSET(COM_2012!$B$60,$AW70,SUMIF($B$10:$B$16,"NCAP_TLIFE",$AX$10:$AX$16)),0,""))</f>
        <v/>
      </c>
      <c r="AM70" s="369" t="str">
        <f ca="1">IF($B70&lt;&gt;"PRC_RESID","",IF(AM$7=2005+OFFSET(COM_2012!$B$60,$AW70,SUMIF($B$10:$B$16,"NCAP_TLIFE",$AX$10:$AX$16)),0,""))</f>
        <v/>
      </c>
      <c r="AN70" s="369" t="str">
        <f ca="1">IF($B70&lt;&gt;"PRC_RESID","",IF(AN$7=2005+OFFSET(COM_2012!$B$60,$AW70,SUMIF($B$10:$B$16,"NCAP_TLIFE",$AX$10:$AX$16)),0,""))</f>
        <v/>
      </c>
      <c r="AO70" s="369" t="str">
        <f ca="1">IF($B70&lt;&gt;"PRC_RESID","",IF(AO$7=2005+OFFSET(COM_2012!$B$60,$AW70,SUMIF($B$10:$B$16,"NCAP_TLIFE",$AX$10:$AX$16)),0,""))</f>
        <v/>
      </c>
      <c r="AP70" s="369" t="str">
        <f ca="1">IF($B70&lt;&gt;"PRC_RESID","",IF(AP$7=2005+OFFSET(COM_2012!$B$60,$AW70,SUMIF($B$10:$B$16,"NCAP_TLIFE",$AX$10:$AX$16)),0,""))</f>
        <v/>
      </c>
      <c r="AQ70" s="369" t="str">
        <f ca="1">IF($B70&lt;&gt;"PRC_RESID","",IF(AQ$7=2005+OFFSET(COM_2012!$B$60,$AW70,SUMIF($B$10:$B$16,"NCAP_TLIFE",$AX$10:$AX$16)),0,""))</f>
        <v/>
      </c>
      <c r="AR70" s="369" t="str">
        <f ca="1">IF($B70&lt;&gt;"PRC_RESID","",IF(AR$7=2005+OFFSET(COM_2012!$B$60,$AW70,SUMIF($B$10:$B$16,"NCAP_TLIFE",$AX$10:$AX$16)),0,""))</f>
        <v/>
      </c>
      <c r="AS70" s="369" t="str">
        <f ca="1">IF($B70&lt;&gt;"PRC_RESID","",IF(AS$7=2005+OFFSET(COM_2012!$B$60,$AW70,SUMIF($B$10:$B$16,"NCAP_TLIFE",$AX$10:$AX$16)),0,""))</f>
        <v/>
      </c>
      <c r="AT70" s="369" t="str">
        <f ca="1">IF($B70&lt;&gt;"PRC_RESID","",IF(AT$7=2005+OFFSET(COM_2012!$B$60,$AW70,SUMIF($B$10:$B$16,"NCAP_TLIFE",$AX$10:$AX$16)),0,""))</f>
        <v/>
      </c>
      <c r="AU70" s="369" t="str">
        <f ca="1">IF($B70&lt;&gt;"PRC_RESID","",IF(AU$7=2005+OFFSET(COM_2012!$B$60,$AW70,SUMIF($B$10:$B$16,"NCAP_TLIFE",$AX$10:$AX$16)),0,""))</f>
        <v/>
      </c>
      <c r="AV70" s="304">
        <f>IF(AW69=COM_2012!$AI$121,AV69+1,AV69)</f>
        <v>1</v>
      </c>
      <c r="AW70" s="304">
        <f t="shared" si="5"/>
        <v>43</v>
      </c>
    </row>
    <row r="71" spans="1:49">
      <c r="A71" s="304" t="str">
        <f ca="1">IF(LEFT(OFFSET(COM_2012!$A$60,AW71,0),2)="\I","*","")</f>
        <v/>
      </c>
      <c r="B71" s="369" t="str">
        <f t="shared" ca="1" si="2"/>
        <v>ACT_EFF</v>
      </c>
      <c r="C71" s="369" t="str">
        <f ca="1">IF($A71="*","",OFFSET(COM_2012!$B$60,AW71,0))</f>
        <v>CEGELCHPM-E</v>
      </c>
      <c r="D71" s="369" t="str">
        <f t="shared" ca="1" si="7"/>
        <v>-</v>
      </c>
      <c r="E71" s="369" t="str">
        <f t="shared" ca="1" si="7"/>
        <v>ACTGRP</v>
      </c>
      <c r="F71" s="369" t="str">
        <f t="shared" ca="1" si="7"/>
        <v>-</v>
      </c>
      <c r="G71" s="369" t="str">
        <f t="shared" ca="1" si="7"/>
        <v>ANNUAL</v>
      </c>
      <c r="H71" s="369" t="str">
        <f t="shared" ca="1" si="7"/>
        <v>-</v>
      </c>
      <c r="I71" s="370">
        <f t="shared" ca="1" si="7"/>
        <v>0</v>
      </c>
      <c r="J71" s="391">
        <f ca="1">IF($A71="*","",OFFSET(COM_2012!$B$60,AW71,SUMIF($B$10:$B$16,B71,$AX$10:$AX$16)))</f>
        <v>2.4</v>
      </c>
      <c r="K71" s="369" t="str">
        <f ca="1">IF($B71&lt;&gt;"PRC_RESID","",IF(K$7=2005+OFFSET(COM_2012!$B$60,$AW71,SUMIF($B$10:$B$16,"NCAP_TLIFE",$AX$10:$AX$16)),0,""))</f>
        <v/>
      </c>
      <c r="L71" s="369" t="str">
        <f ca="1">IF($B71&lt;&gt;"PRC_RESID","",IF(L$7=2005+OFFSET(COM_2012!$B$60,$AW71,SUMIF($B$10:$B$16,"NCAP_TLIFE",$AX$10:$AX$16)),0,""))</f>
        <v/>
      </c>
      <c r="M71" s="369" t="str">
        <f ca="1">IF($B71&lt;&gt;"PRC_RESID","",IF(M$7=2005+OFFSET(COM_2012!$B$60,$AW71,SUMIF($B$10:$B$16,"NCAP_TLIFE",$AX$10:$AX$16)),0,""))</f>
        <v/>
      </c>
      <c r="N71" s="369" t="str">
        <f ca="1">IF($B71&lt;&gt;"PRC_RESID","",IF(N$7=2005+OFFSET(COM_2012!$B$60,$AW71,SUMIF($B$10:$B$16,"NCAP_TLIFE",$AX$10:$AX$16)),0,""))</f>
        <v/>
      </c>
      <c r="O71" s="658" t="str">
        <f ca="1">IF($B71&lt;&gt;"PRC_RESID","",IF(O$7=2005+OFFSET(COM_2012!$B$60,$AW71,SUMIF($B$10:$B$16,"NCAP_TLIFE",$AX$10:$AX$16)),0,""))</f>
        <v/>
      </c>
      <c r="P71" s="369" t="str">
        <f ca="1">IF($B71&lt;&gt;"PRC_RESID","",IF(P$7=2005+OFFSET(COM_2012!$B$60,$AW71,SUMIF($B$10:$B$16,"NCAP_TLIFE",$AX$10:$AX$16)),0,""))</f>
        <v/>
      </c>
      <c r="Q71" s="369" t="str">
        <f ca="1">IF($B71&lt;&gt;"PRC_RESID","",IF(Q$7=2005+OFFSET(COM_2012!$B$60,$AW71,SUMIF($B$10:$B$16,"NCAP_TLIFE",$AX$10:$AX$16)),0,""))</f>
        <v/>
      </c>
      <c r="R71" s="369" t="str">
        <f ca="1">IF($B71&lt;&gt;"PRC_RESID","",IF(R$7=2005+OFFSET(COM_2012!$B$60,$AW71,SUMIF($B$10:$B$16,"NCAP_TLIFE",$AX$10:$AX$16)),0,""))</f>
        <v/>
      </c>
      <c r="S71" s="369" t="str">
        <f ca="1">IF($B71&lt;&gt;"PRC_RESID","",IF(S$7=2005+OFFSET(COM_2012!$B$60,$AW71,SUMIF($B$10:$B$16,"NCAP_TLIFE",$AX$10:$AX$16)),0,""))</f>
        <v/>
      </c>
      <c r="T71" s="369" t="str">
        <f ca="1">IF($B71&lt;&gt;"PRC_RESID","",IF(T$7=2005+OFFSET(COM_2012!$B$60,$AW71,SUMIF($B$10:$B$16,"NCAP_TLIFE",$AX$10:$AX$16)),0,""))</f>
        <v/>
      </c>
      <c r="U71" s="369" t="str">
        <f ca="1">IF($B71&lt;&gt;"PRC_RESID","",IF(U$7=2005+OFFSET(COM_2012!$B$60,$AW71,SUMIF($B$10:$B$16,"NCAP_TLIFE",$AX$10:$AX$16)),0,""))</f>
        <v/>
      </c>
      <c r="V71" s="369" t="str">
        <f ca="1">IF($B71&lt;&gt;"PRC_RESID","",IF(V$7=2005+OFFSET(COM_2012!$B$60,$AW71,SUMIF($B$10:$B$16,"NCAP_TLIFE",$AX$10:$AX$16)),0,""))</f>
        <v/>
      </c>
      <c r="W71" s="369" t="str">
        <f ca="1">IF($B71&lt;&gt;"PRC_RESID","",IF(W$7=2005+OFFSET(COM_2012!$B$60,$AW71,SUMIF($B$10:$B$16,"NCAP_TLIFE",$AX$10:$AX$16)),0,""))</f>
        <v/>
      </c>
      <c r="X71" s="369" t="str">
        <f ca="1">IF($B71&lt;&gt;"PRC_RESID","",IF(X$7=2005+OFFSET(COM_2012!$B$60,$AW71,SUMIF($B$10:$B$16,"NCAP_TLIFE",$AX$10:$AX$16)),0,""))</f>
        <v/>
      </c>
      <c r="Y71" s="369" t="str">
        <f ca="1">IF($B71&lt;&gt;"PRC_RESID","",IF(Y$7=2005+OFFSET(COM_2012!$B$60,$AW71,SUMIF($B$10:$B$16,"NCAP_TLIFE",$AX$10:$AX$16)),0,""))</f>
        <v/>
      </c>
      <c r="Z71" s="369" t="str">
        <f ca="1">IF($B71&lt;&gt;"PRC_RESID","",IF(Z$7=2005+OFFSET(COM_2012!$B$60,$AW71,SUMIF($B$10:$B$16,"NCAP_TLIFE",$AX$10:$AX$16)),0,""))</f>
        <v/>
      </c>
      <c r="AA71" s="369" t="str">
        <f ca="1">IF($B71&lt;&gt;"PRC_RESID","",IF(AA$7=2005+OFFSET(COM_2012!$B$60,$AW71,SUMIF($B$10:$B$16,"NCAP_TLIFE",$AX$10:$AX$16)),0,""))</f>
        <v/>
      </c>
      <c r="AB71" s="369" t="str">
        <f ca="1">IF($B71&lt;&gt;"PRC_RESID","",IF(AB$7=2005+OFFSET(COM_2012!$B$60,$AW71,SUMIF($B$10:$B$16,"NCAP_TLIFE",$AX$10:$AX$16)),0,""))</f>
        <v/>
      </c>
      <c r="AC71" s="369" t="str">
        <f ca="1">IF($B71&lt;&gt;"PRC_RESID","",IF(AC$7=2005+OFFSET(COM_2012!$B$60,$AW71,SUMIF($B$10:$B$16,"NCAP_TLIFE",$AX$10:$AX$16)),0,""))</f>
        <v/>
      </c>
      <c r="AD71" s="369" t="str">
        <f ca="1">IF($B71&lt;&gt;"PRC_RESID","",IF(AD$7=2005+OFFSET(COM_2012!$B$60,$AW71,SUMIF($B$10:$B$16,"NCAP_TLIFE",$AX$10:$AX$16)),0,""))</f>
        <v/>
      </c>
      <c r="AE71" s="369" t="str">
        <f ca="1">IF($B71&lt;&gt;"PRC_RESID","",IF(AE$7=2005+OFFSET(COM_2012!$B$60,$AW71,SUMIF($B$10:$B$16,"NCAP_TLIFE",$AX$10:$AX$16)),0,""))</f>
        <v/>
      </c>
      <c r="AF71" s="369" t="str">
        <f ca="1">IF($B71&lt;&gt;"PRC_RESID","",IF(AF$7=2005+OFFSET(COM_2012!$B$60,$AW71,SUMIF($B$10:$B$16,"NCAP_TLIFE",$AX$10:$AX$16)),0,""))</f>
        <v/>
      </c>
      <c r="AG71" s="369" t="str">
        <f ca="1">IF($B71&lt;&gt;"PRC_RESID","",IF(AG$7=2005+OFFSET(COM_2012!$B$60,$AW71,SUMIF($B$10:$B$16,"NCAP_TLIFE",$AX$10:$AX$16)),0,""))</f>
        <v/>
      </c>
      <c r="AH71" s="369" t="str">
        <f ca="1">IF($B71&lt;&gt;"PRC_RESID","",IF(AH$7=2005+OFFSET(COM_2012!$B$60,$AW71,SUMIF($B$10:$B$16,"NCAP_TLIFE",$AX$10:$AX$16)),0,""))</f>
        <v/>
      </c>
      <c r="AI71" s="369" t="str">
        <f ca="1">IF($B71&lt;&gt;"PRC_RESID","",IF(AI$7=2005+OFFSET(COM_2012!$B$60,$AW71,SUMIF($B$10:$B$16,"NCAP_TLIFE",$AX$10:$AX$16)),0,""))</f>
        <v/>
      </c>
      <c r="AJ71" s="369" t="str">
        <f ca="1">IF($B71&lt;&gt;"PRC_RESID","",IF(AJ$7=2005+OFFSET(COM_2012!$B$60,$AW71,SUMIF($B$10:$B$16,"NCAP_TLIFE",$AX$10:$AX$16)),0,""))</f>
        <v/>
      </c>
      <c r="AK71" s="369" t="str">
        <f ca="1">IF($B71&lt;&gt;"PRC_RESID","",IF(AK$7=2005+OFFSET(COM_2012!$B$60,$AW71,SUMIF($B$10:$B$16,"NCAP_TLIFE",$AX$10:$AX$16)),0,""))</f>
        <v/>
      </c>
      <c r="AL71" s="369" t="str">
        <f ca="1">IF($B71&lt;&gt;"PRC_RESID","",IF(AL$7=2005+OFFSET(COM_2012!$B$60,$AW71,SUMIF($B$10:$B$16,"NCAP_TLIFE",$AX$10:$AX$16)),0,""))</f>
        <v/>
      </c>
      <c r="AM71" s="369" t="str">
        <f ca="1">IF($B71&lt;&gt;"PRC_RESID","",IF(AM$7=2005+OFFSET(COM_2012!$B$60,$AW71,SUMIF($B$10:$B$16,"NCAP_TLIFE",$AX$10:$AX$16)),0,""))</f>
        <v/>
      </c>
      <c r="AN71" s="369" t="str">
        <f ca="1">IF($B71&lt;&gt;"PRC_RESID","",IF(AN$7=2005+OFFSET(COM_2012!$B$60,$AW71,SUMIF($B$10:$B$16,"NCAP_TLIFE",$AX$10:$AX$16)),0,""))</f>
        <v/>
      </c>
      <c r="AO71" s="369" t="str">
        <f ca="1">IF($B71&lt;&gt;"PRC_RESID","",IF(AO$7=2005+OFFSET(COM_2012!$B$60,$AW71,SUMIF($B$10:$B$16,"NCAP_TLIFE",$AX$10:$AX$16)),0,""))</f>
        <v/>
      </c>
      <c r="AP71" s="369" t="str">
        <f ca="1">IF($B71&lt;&gt;"PRC_RESID","",IF(AP$7=2005+OFFSET(COM_2012!$B$60,$AW71,SUMIF($B$10:$B$16,"NCAP_TLIFE",$AX$10:$AX$16)),0,""))</f>
        <v/>
      </c>
      <c r="AQ71" s="369" t="str">
        <f ca="1">IF($B71&lt;&gt;"PRC_RESID","",IF(AQ$7=2005+OFFSET(COM_2012!$B$60,$AW71,SUMIF($B$10:$B$16,"NCAP_TLIFE",$AX$10:$AX$16)),0,""))</f>
        <v/>
      </c>
      <c r="AR71" s="369" t="str">
        <f ca="1">IF($B71&lt;&gt;"PRC_RESID","",IF(AR$7=2005+OFFSET(COM_2012!$B$60,$AW71,SUMIF($B$10:$B$16,"NCAP_TLIFE",$AX$10:$AX$16)),0,""))</f>
        <v/>
      </c>
      <c r="AS71" s="369" t="str">
        <f ca="1">IF($B71&lt;&gt;"PRC_RESID","",IF(AS$7=2005+OFFSET(COM_2012!$B$60,$AW71,SUMIF($B$10:$B$16,"NCAP_TLIFE",$AX$10:$AX$16)),0,""))</f>
        <v/>
      </c>
      <c r="AT71" s="369" t="str">
        <f ca="1">IF($B71&lt;&gt;"PRC_RESID","",IF(AT$7=2005+OFFSET(COM_2012!$B$60,$AW71,SUMIF($B$10:$B$16,"NCAP_TLIFE",$AX$10:$AX$16)),0,""))</f>
        <v/>
      </c>
      <c r="AU71" s="369" t="str">
        <f ca="1">IF($B71&lt;&gt;"PRC_RESID","",IF(AU$7=2005+OFFSET(COM_2012!$B$60,$AW71,SUMIF($B$10:$B$16,"NCAP_TLIFE",$AX$10:$AX$16)),0,""))</f>
        <v/>
      </c>
      <c r="AV71" s="304">
        <f>IF(AW70=COM_2012!$AI$121,AV70+1,AV70)</f>
        <v>1</v>
      </c>
      <c r="AW71" s="304">
        <f t="shared" si="5"/>
        <v>44</v>
      </c>
    </row>
    <row r="72" spans="1:49">
      <c r="A72" s="304" t="str">
        <f ca="1">IF(LEFT(OFFSET(COM_2012!$A$60,AW72,0),2)="\I","*","")</f>
        <v/>
      </c>
      <c r="B72" s="369" t="str">
        <f t="shared" ca="1" si="2"/>
        <v>ACT_EFF</v>
      </c>
      <c r="C72" s="369" t="str">
        <f ca="1">IF($A72="*","",OFFSET(COM_2012!$B$60,AW72,0))</f>
        <v>CEGELCHPS-E</v>
      </c>
      <c r="D72" s="369" t="str">
        <f t="shared" ca="1" si="7"/>
        <v>-</v>
      </c>
      <c r="E72" s="369" t="str">
        <f t="shared" ca="1" si="7"/>
        <v>ACTGRP</v>
      </c>
      <c r="F72" s="369" t="str">
        <f t="shared" ca="1" si="7"/>
        <v>-</v>
      </c>
      <c r="G72" s="369" t="str">
        <f t="shared" ca="1" si="7"/>
        <v>ANNUAL</v>
      </c>
      <c r="H72" s="369" t="str">
        <f t="shared" ca="1" si="7"/>
        <v>-</v>
      </c>
      <c r="I72" s="370">
        <f t="shared" ca="1" si="7"/>
        <v>0</v>
      </c>
      <c r="J72" s="391">
        <f ca="1">IF($A72="*","",OFFSET(COM_2012!$B$60,AW72,SUMIF($B$10:$B$16,B72,$AX$10:$AX$16)))</f>
        <v>6.5</v>
      </c>
      <c r="K72" s="369" t="str">
        <f ca="1">IF($B72&lt;&gt;"PRC_RESID","",IF(K$7=2005+OFFSET(COM_2012!$B$60,$AW72,SUMIF($B$10:$B$16,"NCAP_TLIFE",$AX$10:$AX$16)),0,""))</f>
        <v/>
      </c>
      <c r="L72" s="369" t="str">
        <f ca="1">IF($B72&lt;&gt;"PRC_RESID","",IF(L$7=2005+OFFSET(COM_2012!$B$60,$AW72,SUMIF($B$10:$B$16,"NCAP_TLIFE",$AX$10:$AX$16)),0,""))</f>
        <v/>
      </c>
      <c r="M72" s="369" t="str">
        <f ca="1">IF($B72&lt;&gt;"PRC_RESID","",IF(M$7=2005+OFFSET(COM_2012!$B$60,$AW72,SUMIF($B$10:$B$16,"NCAP_TLIFE",$AX$10:$AX$16)),0,""))</f>
        <v/>
      </c>
      <c r="N72" s="369" t="str">
        <f ca="1">IF($B72&lt;&gt;"PRC_RESID","",IF(N$7=2005+OFFSET(COM_2012!$B$60,$AW72,SUMIF($B$10:$B$16,"NCAP_TLIFE",$AX$10:$AX$16)),0,""))</f>
        <v/>
      </c>
      <c r="O72" s="658" t="str">
        <f ca="1">IF($B72&lt;&gt;"PRC_RESID","",IF(O$7=2005+OFFSET(COM_2012!$B$60,$AW72,SUMIF($B$10:$B$16,"NCAP_TLIFE",$AX$10:$AX$16)),0,""))</f>
        <v/>
      </c>
      <c r="P72" s="369" t="str">
        <f ca="1">IF($B72&lt;&gt;"PRC_RESID","",IF(P$7=2005+OFFSET(COM_2012!$B$60,$AW72,SUMIF($B$10:$B$16,"NCAP_TLIFE",$AX$10:$AX$16)),0,""))</f>
        <v/>
      </c>
      <c r="Q72" s="369" t="str">
        <f ca="1">IF($B72&lt;&gt;"PRC_RESID","",IF(Q$7=2005+OFFSET(COM_2012!$B$60,$AW72,SUMIF($B$10:$B$16,"NCAP_TLIFE",$AX$10:$AX$16)),0,""))</f>
        <v/>
      </c>
      <c r="R72" s="369" t="str">
        <f ca="1">IF($B72&lt;&gt;"PRC_RESID","",IF(R$7=2005+OFFSET(COM_2012!$B$60,$AW72,SUMIF($B$10:$B$16,"NCAP_TLIFE",$AX$10:$AX$16)),0,""))</f>
        <v/>
      </c>
      <c r="S72" s="369" t="str">
        <f ca="1">IF($B72&lt;&gt;"PRC_RESID","",IF(S$7=2005+OFFSET(COM_2012!$B$60,$AW72,SUMIF($B$10:$B$16,"NCAP_TLIFE",$AX$10:$AX$16)),0,""))</f>
        <v/>
      </c>
      <c r="T72" s="369" t="str">
        <f ca="1">IF($B72&lt;&gt;"PRC_RESID","",IF(T$7=2005+OFFSET(COM_2012!$B$60,$AW72,SUMIF($B$10:$B$16,"NCAP_TLIFE",$AX$10:$AX$16)),0,""))</f>
        <v/>
      </c>
      <c r="U72" s="369" t="str">
        <f ca="1">IF($B72&lt;&gt;"PRC_RESID","",IF(U$7=2005+OFFSET(COM_2012!$B$60,$AW72,SUMIF($B$10:$B$16,"NCAP_TLIFE",$AX$10:$AX$16)),0,""))</f>
        <v/>
      </c>
      <c r="V72" s="369" t="str">
        <f ca="1">IF($B72&lt;&gt;"PRC_RESID","",IF(V$7=2005+OFFSET(COM_2012!$B$60,$AW72,SUMIF($B$10:$B$16,"NCAP_TLIFE",$AX$10:$AX$16)),0,""))</f>
        <v/>
      </c>
      <c r="W72" s="369" t="str">
        <f ca="1">IF($B72&lt;&gt;"PRC_RESID","",IF(W$7=2005+OFFSET(COM_2012!$B$60,$AW72,SUMIF($B$10:$B$16,"NCAP_TLIFE",$AX$10:$AX$16)),0,""))</f>
        <v/>
      </c>
      <c r="X72" s="369" t="str">
        <f ca="1">IF($B72&lt;&gt;"PRC_RESID","",IF(X$7=2005+OFFSET(COM_2012!$B$60,$AW72,SUMIF($B$10:$B$16,"NCAP_TLIFE",$AX$10:$AX$16)),0,""))</f>
        <v/>
      </c>
      <c r="Y72" s="369" t="str">
        <f ca="1">IF($B72&lt;&gt;"PRC_RESID","",IF(Y$7=2005+OFFSET(COM_2012!$B$60,$AW72,SUMIF($B$10:$B$16,"NCAP_TLIFE",$AX$10:$AX$16)),0,""))</f>
        <v/>
      </c>
      <c r="Z72" s="369" t="str">
        <f ca="1">IF($B72&lt;&gt;"PRC_RESID","",IF(Z$7=2005+OFFSET(COM_2012!$B$60,$AW72,SUMIF($B$10:$B$16,"NCAP_TLIFE",$AX$10:$AX$16)),0,""))</f>
        <v/>
      </c>
      <c r="AA72" s="369" t="str">
        <f ca="1">IF($B72&lt;&gt;"PRC_RESID","",IF(AA$7=2005+OFFSET(COM_2012!$B$60,$AW72,SUMIF($B$10:$B$16,"NCAP_TLIFE",$AX$10:$AX$16)),0,""))</f>
        <v/>
      </c>
      <c r="AB72" s="369" t="str">
        <f ca="1">IF($B72&lt;&gt;"PRC_RESID","",IF(AB$7=2005+OFFSET(COM_2012!$B$60,$AW72,SUMIF($B$10:$B$16,"NCAP_TLIFE",$AX$10:$AX$16)),0,""))</f>
        <v/>
      </c>
      <c r="AC72" s="369" t="str">
        <f ca="1">IF($B72&lt;&gt;"PRC_RESID","",IF(AC$7=2005+OFFSET(COM_2012!$B$60,$AW72,SUMIF($B$10:$B$16,"NCAP_TLIFE",$AX$10:$AX$16)),0,""))</f>
        <v/>
      </c>
      <c r="AD72" s="369" t="str">
        <f ca="1">IF($B72&lt;&gt;"PRC_RESID","",IF(AD$7=2005+OFFSET(COM_2012!$B$60,$AW72,SUMIF($B$10:$B$16,"NCAP_TLIFE",$AX$10:$AX$16)),0,""))</f>
        <v/>
      </c>
      <c r="AE72" s="369" t="str">
        <f ca="1">IF($B72&lt;&gt;"PRC_RESID","",IF(AE$7=2005+OFFSET(COM_2012!$B$60,$AW72,SUMIF($B$10:$B$16,"NCAP_TLIFE",$AX$10:$AX$16)),0,""))</f>
        <v/>
      </c>
      <c r="AF72" s="369" t="str">
        <f ca="1">IF($B72&lt;&gt;"PRC_RESID","",IF(AF$7=2005+OFFSET(COM_2012!$B$60,$AW72,SUMIF($B$10:$B$16,"NCAP_TLIFE",$AX$10:$AX$16)),0,""))</f>
        <v/>
      </c>
      <c r="AG72" s="369" t="str">
        <f ca="1">IF($B72&lt;&gt;"PRC_RESID","",IF(AG$7=2005+OFFSET(COM_2012!$B$60,$AW72,SUMIF($B$10:$B$16,"NCAP_TLIFE",$AX$10:$AX$16)),0,""))</f>
        <v/>
      </c>
      <c r="AH72" s="369" t="str">
        <f ca="1">IF($B72&lt;&gt;"PRC_RESID","",IF(AH$7=2005+OFFSET(COM_2012!$B$60,$AW72,SUMIF($B$10:$B$16,"NCAP_TLIFE",$AX$10:$AX$16)),0,""))</f>
        <v/>
      </c>
      <c r="AI72" s="369" t="str">
        <f ca="1">IF($B72&lt;&gt;"PRC_RESID","",IF(AI$7=2005+OFFSET(COM_2012!$B$60,$AW72,SUMIF($B$10:$B$16,"NCAP_TLIFE",$AX$10:$AX$16)),0,""))</f>
        <v/>
      </c>
      <c r="AJ72" s="369" t="str">
        <f ca="1">IF($B72&lt;&gt;"PRC_RESID","",IF(AJ$7=2005+OFFSET(COM_2012!$B$60,$AW72,SUMIF($B$10:$B$16,"NCAP_TLIFE",$AX$10:$AX$16)),0,""))</f>
        <v/>
      </c>
      <c r="AK72" s="369" t="str">
        <f ca="1">IF($B72&lt;&gt;"PRC_RESID","",IF(AK$7=2005+OFFSET(COM_2012!$B$60,$AW72,SUMIF($B$10:$B$16,"NCAP_TLIFE",$AX$10:$AX$16)),0,""))</f>
        <v/>
      </c>
      <c r="AL72" s="369" t="str">
        <f ca="1">IF($B72&lt;&gt;"PRC_RESID","",IF(AL$7=2005+OFFSET(COM_2012!$B$60,$AW72,SUMIF($B$10:$B$16,"NCAP_TLIFE",$AX$10:$AX$16)),0,""))</f>
        <v/>
      </c>
      <c r="AM72" s="369" t="str">
        <f ca="1">IF($B72&lt;&gt;"PRC_RESID","",IF(AM$7=2005+OFFSET(COM_2012!$B$60,$AW72,SUMIF($B$10:$B$16,"NCAP_TLIFE",$AX$10:$AX$16)),0,""))</f>
        <v/>
      </c>
      <c r="AN72" s="369" t="str">
        <f ca="1">IF($B72&lt;&gt;"PRC_RESID","",IF(AN$7=2005+OFFSET(COM_2012!$B$60,$AW72,SUMIF($B$10:$B$16,"NCAP_TLIFE",$AX$10:$AX$16)),0,""))</f>
        <v/>
      </c>
      <c r="AO72" s="369" t="str">
        <f ca="1">IF($B72&lt;&gt;"PRC_RESID","",IF(AO$7=2005+OFFSET(COM_2012!$B$60,$AW72,SUMIF($B$10:$B$16,"NCAP_TLIFE",$AX$10:$AX$16)),0,""))</f>
        <v/>
      </c>
      <c r="AP72" s="369" t="str">
        <f ca="1">IF($B72&lt;&gt;"PRC_RESID","",IF(AP$7=2005+OFFSET(COM_2012!$B$60,$AW72,SUMIF($B$10:$B$16,"NCAP_TLIFE",$AX$10:$AX$16)),0,""))</f>
        <v/>
      </c>
      <c r="AQ72" s="369" t="str">
        <f ca="1">IF($B72&lt;&gt;"PRC_RESID","",IF(AQ$7=2005+OFFSET(COM_2012!$B$60,$AW72,SUMIF($B$10:$B$16,"NCAP_TLIFE",$AX$10:$AX$16)),0,""))</f>
        <v/>
      </c>
      <c r="AR72" s="369" t="str">
        <f ca="1">IF($B72&lt;&gt;"PRC_RESID","",IF(AR$7=2005+OFFSET(COM_2012!$B$60,$AW72,SUMIF($B$10:$B$16,"NCAP_TLIFE",$AX$10:$AX$16)),0,""))</f>
        <v/>
      </c>
      <c r="AS72" s="369" t="str">
        <f ca="1">IF($B72&lt;&gt;"PRC_RESID","",IF(AS$7=2005+OFFSET(COM_2012!$B$60,$AW72,SUMIF($B$10:$B$16,"NCAP_TLIFE",$AX$10:$AX$16)),0,""))</f>
        <v/>
      </c>
      <c r="AT72" s="369" t="str">
        <f ca="1">IF($B72&lt;&gt;"PRC_RESID","",IF(AT$7=2005+OFFSET(COM_2012!$B$60,$AW72,SUMIF($B$10:$B$16,"NCAP_TLIFE",$AX$10:$AX$16)),0,""))</f>
        <v/>
      </c>
      <c r="AU72" s="369" t="str">
        <f ca="1">IF($B72&lt;&gt;"PRC_RESID","",IF(AU$7=2005+OFFSET(COM_2012!$B$60,$AW72,SUMIF($B$10:$B$16,"NCAP_TLIFE",$AX$10:$AX$16)),0,""))</f>
        <v/>
      </c>
      <c r="AV72" s="304">
        <f>IF(AW71=COM_2012!$AI$121,AV71+1,AV71)</f>
        <v>1</v>
      </c>
      <c r="AW72" s="304">
        <f t="shared" si="5"/>
        <v>45</v>
      </c>
    </row>
    <row r="73" spans="1:49">
      <c r="A73" s="304" t="str">
        <f ca="1">IF(LEFT(OFFSET(COM_2012!$A$60,AW73,0),2)="\I","*","")</f>
        <v/>
      </c>
      <c r="B73" s="369" t="str">
        <f t="shared" ca="1" si="2"/>
        <v>ACT_EFF</v>
      </c>
      <c r="C73" s="369" t="str">
        <f ca="1">IF($A73="*","",OFFSET(COM_2012!$B$60,AW73,0))</f>
        <v>CEGELCMHL-E</v>
      </c>
      <c r="D73" s="369" t="str">
        <f t="shared" ca="1" si="7"/>
        <v>-</v>
      </c>
      <c r="E73" s="369" t="str">
        <f t="shared" ca="1" si="7"/>
        <v>ACTGRP</v>
      </c>
      <c r="F73" s="369" t="str">
        <f t="shared" ca="1" si="7"/>
        <v>-</v>
      </c>
      <c r="G73" s="369" t="str">
        <f t="shared" ca="1" si="7"/>
        <v>ANNUAL</v>
      </c>
      <c r="H73" s="369" t="str">
        <f t="shared" ca="1" si="7"/>
        <v>-</v>
      </c>
      <c r="I73" s="370">
        <f t="shared" ca="1" si="7"/>
        <v>0</v>
      </c>
      <c r="J73" s="391">
        <f ca="1">IF($A73="*","",OFFSET(COM_2012!$B$60,AW73,SUMIF($B$10:$B$16,B73,$AX$10:$AX$16)))</f>
        <v>5</v>
      </c>
      <c r="K73" s="369" t="str">
        <f ca="1">IF($B73&lt;&gt;"PRC_RESID","",IF(K$7=2005+OFFSET(COM_2012!$B$60,$AW73,SUMIF($B$10:$B$16,"NCAP_TLIFE",$AX$10:$AX$16)),0,""))</f>
        <v/>
      </c>
      <c r="L73" s="369" t="str">
        <f ca="1">IF($B73&lt;&gt;"PRC_RESID","",IF(L$7=2005+OFFSET(COM_2012!$B$60,$AW73,SUMIF($B$10:$B$16,"NCAP_TLIFE",$AX$10:$AX$16)),0,""))</f>
        <v/>
      </c>
      <c r="M73" s="369" t="str">
        <f ca="1">IF($B73&lt;&gt;"PRC_RESID","",IF(M$7=2005+OFFSET(COM_2012!$B$60,$AW73,SUMIF($B$10:$B$16,"NCAP_TLIFE",$AX$10:$AX$16)),0,""))</f>
        <v/>
      </c>
      <c r="N73" s="369" t="str">
        <f ca="1">IF($B73&lt;&gt;"PRC_RESID","",IF(N$7=2005+OFFSET(COM_2012!$B$60,$AW73,SUMIF($B$10:$B$16,"NCAP_TLIFE",$AX$10:$AX$16)),0,""))</f>
        <v/>
      </c>
      <c r="O73" s="658" t="str">
        <f ca="1">IF($B73&lt;&gt;"PRC_RESID","",IF(O$7=2005+OFFSET(COM_2012!$B$60,$AW73,SUMIF($B$10:$B$16,"NCAP_TLIFE",$AX$10:$AX$16)),0,""))</f>
        <v/>
      </c>
      <c r="P73" s="369" t="str">
        <f ca="1">IF($B73&lt;&gt;"PRC_RESID","",IF(P$7=2005+OFFSET(COM_2012!$B$60,$AW73,SUMIF($B$10:$B$16,"NCAP_TLIFE",$AX$10:$AX$16)),0,""))</f>
        <v/>
      </c>
      <c r="Q73" s="369" t="str">
        <f ca="1">IF($B73&lt;&gt;"PRC_RESID","",IF(Q$7=2005+OFFSET(COM_2012!$B$60,$AW73,SUMIF($B$10:$B$16,"NCAP_TLIFE",$AX$10:$AX$16)),0,""))</f>
        <v/>
      </c>
      <c r="R73" s="369" t="str">
        <f ca="1">IF($B73&lt;&gt;"PRC_RESID","",IF(R$7=2005+OFFSET(COM_2012!$B$60,$AW73,SUMIF($B$10:$B$16,"NCAP_TLIFE",$AX$10:$AX$16)),0,""))</f>
        <v/>
      </c>
      <c r="S73" s="369" t="str">
        <f ca="1">IF($B73&lt;&gt;"PRC_RESID","",IF(S$7=2005+OFFSET(COM_2012!$B$60,$AW73,SUMIF($B$10:$B$16,"NCAP_TLIFE",$AX$10:$AX$16)),0,""))</f>
        <v/>
      </c>
      <c r="T73" s="369" t="str">
        <f ca="1">IF($B73&lt;&gt;"PRC_RESID","",IF(T$7=2005+OFFSET(COM_2012!$B$60,$AW73,SUMIF($B$10:$B$16,"NCAP_TLIFE",$AX$10:$AX$16)),0,""))</f>
        <v/>
      </c>
      <c r="U73" s="369" t="str">
        <f ca="1">IF($B73&lt;&gt;"PRC_RESID","",IF(U$7=2005+OFFSET(COM_2012!$B$60,$AW73,SUMIF($B$10:$B$16,"NCAP_TLIFE",$AX$10:$AX$16)),0,""))</f>
        <v/>
      </c>
      <c r="V73" s="369" t="str">
        <f ca="1">IF($B73&lt;&gt;"PRC_RESID","",IF(V$7=2005+OFFSET(COM_2012!$B$60,$AW73,SUMIF($B$10:$B$16,"NCAP_TLIFE",$AX$10:$AX$16)),0,""))</f>
        <v/>
      </c>
      <c r="W73" s="369" t="str">
        <f ca="1">IF($B73&lt;&gt;"PRC_RESID","",IF(W$7=2005+OFFSET(COM_2012!$B$60,$AW73,SUMIF($B$10:$B$16,"NCAP_TLIFE",$AX$10:$AX$16)),0,""))</f>
        <v/>
      </c>
      <c r="X73" s="369" t="str">
        <f ca="1">IF($B73&lt;&gt;"PRC_RESID","",IF(X$7=2005+OFFSET(COM_2012!$B$60,$AW73,SUMIF($B$10:$B$16,"NCAP_TLIFE",$AX$10:$AX$16)),0,""))</f>
        <v/>
      </c>
      <c r="Y73" s="369" t="str">
        <f ca="1">IF($B73&lt;&gt;"PRC_RESID","",IF(Y$7=2005+OFFSET(COM_2012!$B$60,$AW73,SUMIF($B$10:$B$16,"NCAP_TLIFE",$AX$10:$AX$16)),0,""))</f>
        <v/>
      </c>
      <c r="Z73" s="369" t="str">
        <f ca="1">IF($B73&lt;&gt;"PRC_RESID","",IF(Z$7=2005+OFFSET(COM_2012!$B$60,$AW73,SUMIF($B$10:$B$16,"NCAP_TLIFE",$AX$10:$AX$16)),0,""))</f>
        <v/>
      </c>
      <c r="AA73" s="369" t="str">
        <f ca="1">IF($B73&lt;&gt;"PRC_RESID","",IF(AA$7=2005+OFFSET(COM_2012!$B$60,$AW73,SUMIF($B$10:$B$16,"NCAP_TLIFE",$AX$10:$AX$16)),0,""))</f>
        <v/>
      </c>
      <c r="AB73" s="369" t="str">
        <f ca="1">IF($B73&lt;&gt;"PRC_RESID","",IF(AB$7=2005+OFFSET(COM_2012!$B$60,$AW73,SUMIF($B$10:$B$16,"NCAP_TLIFE",$AX$10:$AX$16)),0,""))</f>
        <v/>
      </c>
      <c r="AC73" s="369" t="str">
        <f ca="1">IF($B73&lt;&gt;"PRC_RESID","",IF(AC$7=2005+OFFSET(COM_2012!$B$60,$AW73,SUMIF($B$10:$B$16,"NCAP_TLIFE",$AX$10:$AX$16)),0,""))</f>
        <v/>
      </c>
      <c r="AD73" s="369" t="str">
        <f ca="1">IF($B73&lt;&gt;"PRC_RESID","",IF(AD$7=2005+OFFSET(COM_2012!$B$60,$AW73,SUMIF($B$10:$B$16,"NCAP_TLIFE",$AX$10:$AX$16)),0,""))</f>
        <v/>
      </c>
      <c r="AE73" s="369" t="str">
        <f ca="1">IF($B73&lt;&gt;"PRC_RESID","",IF(AE$7=2005+OFFSET(COM_2012!$B$60,$AW73,SUMIF($B$10:$B$16,"NCAP_TLIFE",$AX$10:$AX$16)),0,""))</f>
        <v/>
      </c>
      <c r="AF73" s="369" t="str">
        <f ca="1">IF($B73&lt;&gt;"PRC_RESID","",IF(AF$7=2005+OFFSET(COM_2012!$B$60,$AW73,SUMIF($B$10:$B$16,"NCAP_TLIFE",$AX$10:$AX$16)),0,""))</f>
        <v/>
      </c>
      <c r="AG73" s="369" t="str">
        <f ca="1">IF($B73&lt;&gt;"PRC_RESID","",IF(AG$7=2005+OFFSET(COM_2012!$B$60,$AW73,SUMIF($B$10:$B$16,"NCAP_TLIFE",$AX$10:$AX$16)),0,""))</f>
        <v/>
      </c>
      <c r="AH73" s="369" t="str">
        <f ca="1">IF($B73&lt;&gt;"PRC_RESID","",IF(AH$7=2005+OFFSET(COM_2012!$B$60,$AW73,SUMIF($B$10:$B$16,"NCAP_TLIFE",$AX$10:$AX$16)),0,""))</f>
        <v/>
      </c>
      <c r="AI73" s="369" t="str">
        <f ca="1">IF($B73&lt;&gt;"PRC_RESID","",IF(AI$7=2005+OFFSET(COM_2012!$B$60,$AW73,SUMIF($B$10:$B$16,"NCAP_TLIFE",$AX$10:$AX$16)),0,""))</f>
        <v/>
      </c>
      <c r="AJ73" s="369" t="str">
        <f ca="1">IF($B73&lt;&gt;"PRC_RESID","",IF(AJ$7=2005+OFFSET(COM_2012!$B$60,$AW73,SUMIF($B$10:$B$16,"NCAP_TLIFE",$AX$10:$AX$16)),0,""))</f>
        <v/>
      </c>
      <c r="AK73" s="369" t="str">
        <f ca="1">IF($B73&lt;&gt;"PRC_RESID","",IF(AK$7=2005+OFFSET(COM_2012!$B$60,$AW73,SUMIF($B$10:$B$16,"NCAP_TLIFE",$AX$10:$AX$16)),0,""))</f>
        <v/>
      </c>
      <c r="AL73" s="369" t="str">
        <f ca="1">IF($B73&lt;&gt;"PRC_RESID","",IF(AL$7=2005+OFFSET(COM_2012!$B$60,$AW73,SUMIF($B$10:$B$16,"NCAP_TLIFE",$AX$10:$AX$16)),0,""))</f>
        <v/>
      </c>
      <c r="AM73" s="369" t="str">
        <f ca="1">IF($B73&lt;&gt;"PRC_RESID","",IF(AM$7=2005+OFFSET(COM_2012!$B$60,$AW73,SUMIF($B$10:$B$16,"NCAP_TLIFE",$AX$10:$AX$16)),0,""))</f>
        <v/>
      </c>
      <c r="AN73" s="369" t="str">
        <f ca="1">IF($B73&lt;&gt;"PRC_RESID","",IF(AN$7=2005+OFFSET(COM_2012!$B$60,$AW73,SUMIF($B$10:$B$16,"NCAP_TLIFE",$AX$10:$AX$16)),0,""))</f>
        <v/>
      </c>
      <c r="AO73" s="369" t="str">
        <f ca="1">IF($B73&lt;&gt;"PRC_RESID","",IF(AO$7=2005+OFFSET(COM_2012!$B$60,$AW73,SUMIF($B$10:$B$16,"NCAP_TLIFE",$AX$10:$AX$16)),0,""))</f>
        <v/>
      </c>
      <c r="AP73" s="369" t="str">
        <f ca="1">IF($B73&lt;&gt;"PRC_RESID","",IF(AP$7=2005+OFFSET(COM_2012!$B$60,$AW73,SUMIF($B$10:$B$16,"NCAP_TLIFE",$AX$10:$AX$16)),0,""))</f>
        <v/>
      </c>
      <c r="AQ73" s="369" t="str">
        <f ca="1">IF($B73&lt;&gt;"PRC_RESID","",IF(AQ$7=2005+OFFSET(COM_2012!$B$60,$AW73,SUMIF($B$10:$B$16,"NCAP_TLIFE",$AX$10:$AX$16)),0,""))</f>
        <v/>
      </c>
      <c r="AR73" s="369" t="str">
        <f ca="1">IF($B73&lt;&gt;"PRC_RESID","",IF(AR$7=2005+OFFSET(COM_2012!$B$60,$AW73,SUMIF($B$10:$B$16,"NCAP_TLIFE",$AX$10:$AX$16)),0,""))</f>
        <v/>
      </c>
      <c r="AS73" s="369" t="str">
        <f ca="1">IF($B73&lt;&gt;"PRC_RESID","",IF(AS$7=2005+OFFSET(COM_2012!$B$60,$AW73,SUMIF($B$10:$B$16,"NCAP_TLIFE",$AX$10:$AX$16)),0,""))</f>
        <v/>
      </c>
      <c r="AT73" s="369" t="str">
        <f ca="1">IF($B73&lt;&gt;"PRC_RESID","",IF(AT$7=2005+OFFSET(COM_2012!$B$60,$AW73,SUMIF($B$10:$B$16,"NCAP_TLIFE",$AX$10:$AX$16)),0,""))</f>
        <v/>
      </c>
      <c r="AU73" s="369" t="str">
        <f ca="1">IF($B73&lt;&gt;"PRC_RESID","",IF(AU$7=2005+OFFSET(COM_2012!$B$60,$AW73,SUMIF($B$10:$B$16,"NCAP_TLIFE",$AX$10:$AX$16)),0,""))</f>
        <v/>
      </c>
      <c r="AV73" s="304">
        <f>IF(AW72=COM_2012!$AI$121,AV72+1,AV72)</f>
        <v>1</v>
      </c>
      <c r="AW73" s="304">
        <f t="shared" si="5"/>
        <v>46</v>
      </c>
    </row>
    <row r="74" spans="1:49">
      <c r="A74" s="304" t="str">
        <f ca="1">IF(LEFT(OFFSET(COM_2012!$A$60,AW74,0),2)="\I","*","")</f>
        <v/>
      </c>
      <c r="B74" s="369" t="str">
        <f t="shared" ca="1" si="2"/>
        <v>ACT_EFF</v>
      </c>
      <c r="C74" s="369" t="str">
        <f ca="1">IF($A74="*","",OFFSET(COM_2012!$B$60,AW74,0))</f>
        <v>CEGELCLED-N</v>
      </c>
      <c r="D74" s="369" t="str">
        <f t="shared" ca="1" si="7"/>
        <v>-</v>
      </c>
      <c r="E74" s="369" t="str">
        <f t="shared" ca="1" si="7"/>
        <v>ACTGRP</v>
      </c>
      <c r="F74" s="369" t="str">
        <f t="shared" ca="1" si="7"/>
        <v>-</v>
      </c>
      <c r="G74" s="369" t="str">
        <f t="shared" ca="1" si="7"/>
        <v>ANNUAL</v>
      </c>
      <c r="H74" s="369" t="str">
        <f t="shared" ca="1" si="7"/>
        <v>-</v>
      </c>
      <c r="I74" s="370">
        <f t="shared" ca="1" si="7"/>
        <v>0</v>
      </c>
      <c r="J74" s="391">
        <f ca="1">IF($A74="*","",OFFSET(COM_2012!$B$60,AW74,SUMIF($B$10:$B$16,B74,$AX$10:$AX$16)))</f>
        <v>9.8000000000000007</v>
      </c>
      <c r="K74" s="369" t="str">
        <f ca="1">IF($B74&lt;&gt;"PRC_RESID","",IF(K$7=2005+OFFSET(COM_2012!$B$60,$AW74,SUMIF($B$10:$B$16,"NCAP_TLIFE",$AX$10:$AX$16)),0,""))</f>
        <v/>
      </c>
      <c r="L74" s="369" t="str">
        <f ca="1">IF($B74&lt;&gt;"PRC_RESID","",IF(L$7=2005+OFFSET(COM_2012!$B$60,$AW74,SUMIF($B$10:$B$16,"NCAP_TLIFE",$AX$10:$AX$16)),0,""))</f>
        <v/>
      </c>
      <c r="M74" s="369" t="str">
        <f ca="1">IF($B74&lt;&gt;"PRC_RESID","",IF(M$7=2005+OFFSET(COM_2012!$B$60,$AW74,SUMIF($B$10:$B$16,"NCAP_TLIFE",$AX$10:$AX$16)),0,""))</f>
        <v/>
      </c>
      <c r="N74" s="369" t="str">
        <f ca="1">IF($B74&lt;&gt;"PRC_RESID","",IF(N$7=2005+OFFSET(COM_2012!$B$60,$AW74,SUMIF($B$10:$B$16,"NCAP_TLIFE",$AX$10:$AX$16)),0,""))</f>
        <v/>
      </c>
      <c r="O74" s="658" t="str">
        <f ca="1">IF($B74&lt;&gt;"PRC_RESID","",IF(O$7=2005+OFFSET(COM_2012!$B$60,$AW74,SUMIF($B$10:$B$16,"NCAP_TLIFE",$AX$10:$AX$16)),0,""))</f>
        <v/>
      </c>
      <c r="P74" s="369" t="str">
        <f ca="1">IF($B74&lt;&gt;"PRC_RESID","",IF(P$7=2005+OFFSET(COM_2012!$B$60,$AW74,SUMIF($B$10:$B$16,"NCAP_TLIFE",$AX$10:$AX$16)),0,""))</f>
        <v/>
      </c>
      <c r="Q74" s="369" t="str">
        <f ca="1">IF($B74&lt;&gt;"PRC_RESID","",IF(Q$7=2005+OFFSET(COM_2012!$B$60,$AW74,SUMIF($B$10:$B$16,"NCAP_TLIFE",$AX$10:$AX$16)),0,""))</f>
        <v/>
      </c>
      <c r="R74" s="369" t="str">
        <f ca="1">IF($B74&lt;&gt;"PRC_RESID","",IF(R$7=2005+OFFSET(COM_2012!$B$60,$AW74,SUMIF($B$10:$B$16,"NCAP_TLIFE",$AX$10:$AX$16)),0,""))</f>
        <v/>
      </c>
      <c r="S74" s="369" t="str">
        <f ca="1">IF($B74&lt;&gt;"PRC_RESID","",IF(S$7=2005+OFFSET(COM_2012!$B$60,$AW74,SUMIF($B$10:$B$16,"NCAP_TLIFE",$AX$10:$AX$16)),0,""))</f>
        <v/>
      </c>
      <c r="T74" s="369" t="str">
        <f ca="1">IF($B74&lt;&gt;"PRC_RESID","",IF(T$7=2005+OFFSET(COM_2012!$B$60,$AW74,SUMIF($B$10:$B$16,"NCAP_TLIFE",$AX$10:$AX$16)),0,""))</f>
        <v/>
      </c>
      <c r="U74" s="369" t="str">
        <f ca="1">IF($B74&lt;&gt;"PRC_RESID","",IF(U$7=2005+OFFSET(COM_2012!$B$60,$AW74,SUMIF($B$10:$B$16,"NCAP_TLIFE",$AX$10:$AX$16)),0,""))</f>
        <v/>
      </c>
      <c r="V74" s="369" t="str">
        <f ca="1">IF($B74&lt;&gt;"PRC_RESID","",IF(V$7=2005+OFFSET(COM_2012!$B$60,$AW74,SUMIF($B$10:$B$16,"NCAP_TLIFE",$AX$10:$AX$16)),0,""))</f>
        <v/>
      </c>
      <c r="W74" s="369" t="str">
        <f ca="1">IF($B74&lt;&gt;"PRC_RESID","",IF(W$7=2005+OFFSET(COM_2012!$B$60,$AW74,SUMIF($B$10:$B$16,"NCAP_TLIFE",$AX$10:$AX$16)),0,""))</f>
        <v/>
      </c>
      <c r="X74" s="369" t="str">
        <f ca="1">IF($B74&lt;&gt;"PRC_RESID","",IF(X$7=2005+OFFSET(COM_2012!$B$60,$AW74,SUMIF($B$10:$B$16,"NCAP_TLIFE",$AX$10:$AX$16)),0,""))</f>
        <v/>
      </c>
      <c r="Y74" s="369" t="str">
        <f ca="1">IF($B74&lt;&gt;"PRC_RESID","",IF(Y$7=2005+OFFSET(COM_2012!$B$60,$AW74,SUMIF($B$10:$B$16,"NCAP_TLIFE",$AX$10:$AX$16)),0,""))</f>
        <v/>
      </c>
      <c r="Z74" s="369" t="str">
        <f ca="1">IF($B74&lt;&gt;"PRC_RESID","",IF(Z$7=2005+OFFSET(COM_2012!$B$60,$AW74,SUMIF($B$10:$B$16,"NCAP_TLIFE",$AX$10:$AX$16)),0,""))</f>
        <v/>
      </c>
      <c r="AA74" s="369" t="str">
        <f ca="1">IF($B74&lt;&gt;"PRC_RESID","",IF(AA$7=2005+OFFSET(COM_2012!$B$60,$AW74,SUMIF($B$10:$B$16,"NCAP_TLIFE",$AX$10:$AX$16)),0,""))</f>
        <v/>
      </c>
      <c r="AB74" s="369" t="str">
        <f ca="1">IF($B74&lt;&gt;"PRC_RESID","",IF(AB$7=2005+OFFSET(COM_2012!$B$60,$AW74,SUMIF($B$10:$B$16,"NCAP_TLIFE",$AX$10:$AX$16)),0,""))</f>
        <v/>
      </c>
      <c r="AC74" s="369" t="str">
        <f ca="1">IF($B74&lt;&gt;"PRC_RESID","",IF(AC$7=2005+OFFSET(COM_2012!$B$60,$AW74,SUMIF($B$10:$B$16,"NCAP_TLIFE",$AX$10:$AX$16)),0,""))</f>
        <v/>
      </c>
      <c r="AD74" s="369" t="str">
        <f ca="1">IF($B74&lt;&gt;"PRC_RESID","",IF(AD$7=2005+OFFSET(COM_2012!$B$60,$AW74,SUMIF($B$10:$B$16,"NCAP_TLIFE",$AX$10:$AX$16)),0,""))</f>
        <v/>
      </c>
      <c r="AE74" s="369" t="str">
        <f ca="1">IF($B74&lt;&gt;"PRC_RESID","",IF(AE$7=2005+OFFSET(COM_2012!$B$60,$AW74,SUMIF($B$10:$B$16,"NCAP_TLIFE",$AX$10:$AX$16)),0,""))</f>
        <v/>
      </c>
      <c r="AF74" s="369" t="str">
        <f ca="1">IF($B74&lt;&gt;"PRC_RESID","",IF(AF$7=2005+OFFSET(COM_2012!$B$60,$AW74,SUMIF($B$10:$B$16,"NCAP_TLIFE",$AX$10:$AX$16)),0,""))</f>
        <v/>
      </c>
      <c r="AG74" s="369" t="str">
        <f ca="1">IF($B74&lt;&gt;"PRC_RESID","",IF(AG$7=2005+OFFSET(COM_2012!$B$60,$AW74,SUMIF($B$10:$B$16,"NCAP_TLIFE",$AX$10:$AX$16)),0,""))</f>
        <v/>
      </c>
      <c r="AH74" s="369" t="str">
        <f ca="1">IF($B74&lt;&gt;"PRC_RESID","",IF(AH$7=2005+OFFSET(COM_2012!$B$60,$AW74,SUMIF($B$10:$B$16,"NCAP_TLIFE",$AX$10:$AX$16)),0,""))</f>
        <v/>
      </c>
      <c r="AI74" s="369" t="str">
        <f ca="1">IF($B74&lt;&gt;"PRC_RESID","",IF(AI$7=2005+OFFSET(COM_2012!$B$60,$AW74,SUMIF($B$10:$B$16,"NCAP_TLIFE",$AX$10:$AX$16)),0,""))</f>
        <v/>
      </c>
      <c r="AJ74" s="369" t="str">
        <f ca="1">IF($B74&lt;&gt;"PRC_RESID","",IF(AJ$7=2005+OFFSET(COM_2012!$B$60,$AW74,SUMIF($B$10:$B$16,"NCAP_TLIFE",$AX$10:$AX$16)),0,""))</f>
        <v/>
      </c>
      <c r="AK74" s="369" t="str">
        <f ca="1">IF($B74&lt;&gt;"PRC_RESID","",IF(AK$7=2005+OFFSET(COM_2012!$B$60,$AW74,SUMIF($B$10:$B$16,"NCAP_TLIFE",$AX$10:$AX$16)),0,""))</f>
        <v/>
      </c>
      <c r="AL74" s="369" t="str">
        <f ca="1">IF($B74&lt;&gt;"PRC_RESID","",IF(AL$7=2005+OFFSET(COM_2012!$B$60,$AW74,SUMIF($B$10:$B$16,"NCAP_TLIFE",$AX$10:$AX$16)),0,""))</f>
        <v/>
      </c>
      <c r="AM74" s="369" t="str">
        <f ca="1">IF($B74&lt;&gt;"PRC_RESID","",IF(AM$7=2005+OFFSET(COM_2012!$B$60,$AW74,SUMIF($B$10:$B$16,"NCAP_TLIFE",$AX$10:$AX$16)),0,""))</f>
        <v/>
      </c>
      <c r="AN74" s="369" t="str">
        <f ca="1">IF($B74&lt;&gt;"PRC_RESID","",IF(AN$7=2005+OFFSET(COM_2012!$B$60,$AW74,SUMIF($B$10:$B$16,"NCAP_TLIFE",$AX$10:$AX$16)),0,""))</f>
        <v/>
      </c>
      <c r="AO74" s="369" t="str">
        <f ca="1">IF($B74&lt;&gt;"PRC_RESID","",IF(AO$7=2005+OFFSET(COM_2012!$B$60,$AW74,SUMIF($B$10:$B$16,"NCAP_TLIFE",$AX$10:$AX$16)),0,""))</f>
        <v/>
      </c>
      <c r="AP74" s="369" t="str">
        <f ca="1">IF($B74&lt;&gt;"PRC_RESID","",IF(AP$7=2005+OFFSET(COM_2012!$B$60,$AW74,SUMIF($B$10:$B$16,"NCAP_TLIFE",$AX$10:$AX$16)),0,""))</f>
        <v/>
      </c>
      <c r="AQ74" s="369" t="str">
        <f ca="1">IF($B74&lt;&gt;"PRC_RESID","",IF(AQ$7=2005+OFFSET(COM_2012!$B$60,$AW74,SUMIF($B$10:$B$16,"NCAP_TLIFE",$AX$10:$AX$16)),0,""))</f>
        <v/>
      </c>
      <c r="AR74" s="369" t="str">
        <f ca="1">IF($B74&lt;&gt;"PRC_RESID","",IF(AR$7=2005+OFFSET(COM_2012!$B$60,$AW74,SUMIF($B$10:$B$16,"NCAP_TLIFE",$AX$10:$AX$16)),0,""))</f>
        <v/>
      </c>
      <c r="AS74" s="369" t="str">
        <f ca="1">IF($B74&lt;&gt;"PRC_RESID","",IF(AS$7=2005+OFFSET(COM_2012!$B$60,$AW74,SUMIF($B$10:$B$16,"NCAP_TLIFE",$AX$10:$AX$16)),0,""))</f>
        <v/>
      </c>
      <c r="AT74" s="369" t="str">
        <f ca="1">IF($B74&lt;&gt;"PRC_RESID","",IF(AT$7=2005+OFFSET(COM_2012!$B$60,$AW74,SUMIF($B$10:$B$16,"NCAP_TLIFE",$AX$10:$AX$16)),0,""))</f>
        <v/>
      </c>
      <c r="AU74" s="369" t="str">
        <f ca="1">IF($B74&lt;&gt;"PRC_RESID","",IF(AU$7=2005+OFFSET(COM_2012!$B$60,$AW74,SUMIF($B$10:$B$16,"NCAP_TLIFE",$AX$10:$AX$16)),0,""))</f>
        <v/>
      </c>
      <c r="AV74" s="304">
        <f>IF(AW73=COM_2012!$AI$121,AV73+1,AV73)</f>
        <v>1</v>
      </c>
      <c r="AW74" s="304">
        <f t="shared" si="5"/>
        <v>47</v>
      </c>
    </row>
    <row r="75" spans="1:49">
      <c r="A75" s="304" t="str">
        <f ca="1">IF(LEFT(OFFSET(COM_2012!$A$60,AW75,0),2)="\I","*","")</f>
        <v>*</v>
      </c>
      <c r="B75" s="369" t="str">
        <f t="shared" ca="1" si="2"/>
        <v/>
      </c>
      <c r="C75" s="369" t="str">
        <f ca="1">IF($A75="*","",OFFSET(COM_2012!$B$60,AW75,0))</f>
        <v/>
      </c>
      <c r="D75" s="369" t="str">
        <f t="shared" ca="1" si="7"/>
        <v/>
      </c>
      <c r="E75" s="369" t="str">
        <f t="shared" ca="1" si="7"/>
        <v/>
      </c>
      <c r="F75" s="369" t="str">
        <f t="shared" ca="1" si="7"/>
        <v/>
      </c>
      <c r="G75" s="369" t="str">
        <f t="shared" ca="1" si="7"/>
        <v/>
      </c>
      <c r="H75" s="369" t="str">
        <f t="shared" ca="1" si="7"/>
        <v/>
      </c>
      <c r="I75" s="370" t="str">
        <f t="shared" ca="1" si="7"/>
        <v/>
      </c>
      <c r="J75" s="391" t="str">
        <f ca="1">IF($A75="*","",OFFSET(COM_2012!$B$60,AW75,SUMIF($B$10:$B$16,B75,$AX$10:$AX$16)))</f>
        <v/>
      </c>
      <c r="K75" s="369" t="str">
        <f ca="1">IF($B75&lt;&gt;"PRC_RESID","",IF(K$7=2005+OFFSET(COM_2012!$B$60,$AW75,SUMIF($B$10:$B$16,"NCAP_TLIFE",$AX$10:$AX$16)),0,""))</f>
        <v/>
      </c>
      <c r="L75" s="369" t="str">
        <f ca="1">IF($B75&lt;&gt;"PRC_RESID","",IF(L$7=2005+OFFSET(COM_2012!$B$60,$AW75,SUMIF($B$10:$B$16,"NCAP_TLIFE",$AX$10:$AX$16)),0,""))</f>
        <v/>
      </c>
      <c r="M75" s="369" t="str">
        <f ca="1">IF($B75&lt;&gt;"PRC_RESID","",IF(M$7=2005+OFFSET(COM_2012!$B$60,$AW75,SUMIF($B$10:$B$16,"NCAP_TLIFE",$AX$10:$AX$16)),0,""))</f>
        <v/>
      </c>
      <c r="N75" s="369" t="str">
        <f ca="1">IF($B75&lt;&gt;"PRC_RESID","",IF(N$7=2005+OFFSET(COM_2012!$B$60,$AW75,SUMIF($B$10:$B$16,"NCAP_TLIFE",$AX$10:$AX$16)),0,""))</f>
        <v/>
      </c>
      <c r="O75" s="658" t="str">
        <f ca="1">IF($B75&lt;&gt;"PRC_RESID","",IF(O$7=2005+OFFSET(COM_2012!$B$60,$AW75,SUMIF($B$10:$B$16,"NCAP_TLIFE",$AX$10:$AX$16)),0,""))</f>
        <v/>
      </c>
      <c r="P75" s="369" t="str">
        <f ca="1">IF($B75&lt;&gt;"PRC_RESID","",IF(P$7=2005+OFFSET(COM_2012!$B$60,$AW75,SUMIF($B$10:$B$16,"NCAP_TLIFE",$AX$10:$AX$16)),0,""))</f>
        <v/>
      </c>
      <c r="Q75" s="369" t="str">
        <f ca="1">IF($B75&lt;&gt;"PRC_RESID","",IF(Q$7=2005+OFFSET(COM_2012!$B$60,$AW75,SUMIF($B$10:$B$16,"NCAP_TLIFE",$AX$10:$AX$16)),0,""))</f>
        <v/>
      </c>
      <c r="R75" s="369" t="str">
        <f ca="1">IF($B75&lt;&gt;"PRC_RESID","",IF(R$7=2005+OFFSET(COM_2012!$B$60,$AW75,SUMIF($B$10:$B$16,"NCAP_TLIFE",$AX$10:$AX$16)),0,""))</f>
        <v/>
      </c>
      <c r="S75" s="369" t="str">
        <f ca="1">IF($B75&lt;&gt;"PRC_RESID","",IF(S$7=2005+OFFSET(COM_2012!$B$60,$AW75,SUMIF($B$10:$B$16,"NCAP_TLIFE",$AX$10:$AX$16)),0,""))</f>
        <v/>
      </c>
      <c r="T75" s="369" t="str">
        <f ca="1">IF($B75&lt;&gt;"PRC_RESID","",IF(T$7=2005+OFFSET(COM_2012!$B$60,$AW75,SUMIF($B$10:$B$16,"NCAP_TLIFE",$AX$10:$AX$16)),0,""))</f>
        <v/>
      </c>
      <c r="U75" s="369" t="str">
        <f ca="1">IF($B75&lt;&gt;"PRC_RESID","",IF(U$7=2005+OFFSET(COM_2012!$B$60,$AW75,SUMIF($B$10:$B$16,"NCAP_TLIFE",$AX$10:$AX$16)),0,""))</f>
        <v/>
      </c>
      <c r="V75" s="369" t="str">
        <f ca="1">IF($B75&lt;&gt;"PRC_RESID","",IF(V$7=2005+OFFSET(COM_2012!$B$60,$AW75,SUMIF($B$10:$B$16,"NCAP_TLIFE",$AX$10:$AX$16)),0,""))</f>
        <v/>
      </c>
      <c r="W75" s="369" t="str">
        <f ca="1">IF($B75&lt;&gt;"PRC_RESID","",IF(W$7=2005+OFFSET(COM_2012!$B$60,$AW75,SUMIF($B$10:$B$16,"NCAP_TLIFE",$AX$10:$AX$16)),0,""))</f>
        <v/>
      </c>
      <c r="X75" s="369" t="str">
        <f ca="1">IF($B75&lt;&gt;"PRC_RESID","",IF(X$7=2005+OFFSET(COM_2012!$B$60,$AW75,SUMIF($B$10:$B$16,"NCAP_TLIFE",$AX$10:$AX$16)),0,""))</f>
        <v/>
      </c>
      <c r="Y75" s="369" t="str">
        <f ca="1">IF($B75&lt;&gt;"PRC_RESID","",IF(Y$7=2005+OFFSET(COM_2012!$B$60,$AW75,SUMIF($B$10:$B$16,"NCAP_TLIFE",$AX$10:$AX$16)),0,""))</f>
        <v/>
      </c>
      <c r="Z75" s="369" t="str">
        <f ca="1">IF($B75&lt;&gt;"PRC_RESID","",IF(Z$7=2005+OFFSET(COM_2012!$B$60,$AW75,SUMIF($B$10:$B$16,"NCAP_TLIFE",$AX$10:$AX$16)),0,""))</f>
        <v/>
      </c>
      <c r="AA75" s="369" t="str">
        <f ca="1">IF($B75&lt;&gt;"PRC_RESID","",IF(AA$7=2005+OFFSET(COM_2012!$B$60,$AW75,SUMIF($B$10:$B$16,"NCAP_TLIFE",$AX$10:$AX$16)),0,""))</f>
        <v/>
      </c>
      <c r="AB75" s="369" t="str">
        <f ca="1">IF($B75&lt;&gt;"PRC_RESID","",IF(AB$7=2005+OFFSET(COM_2012!$B$60,$AW75,SUMIF($B$10:$B$16,"NCAP_TLIFE",$AX$10:$AX$16)),0,""))</f>
        <v/>
      </c>
      <c r="AC75" s="369" t="str">
        <f ca="1">IF($B75&lt;&gt;"PRC_RESID","",IF(AC$7=2005+OFFSET(COM_2012!$B$60,$AW75,SUMIF($B$10:$B$16,"NCAP_TLIFE",$AX$10:$AX$16)),0,""))</f>
        <v/>
      </c>
      <c r="AD75" s="369" t="str">
        <f ca="1">IF($B75&lt;&gt;"PRC_RESID","",IF(AD$7=2005+OFFSET(COM_2012!$B$60,$AW75,SUMIF($B$10:$B$16,"NCAP_TLIFE",$AX$10:$AX$16)),0,""))</f>
        <v/>
      </c>
      <c r="AE75" s="369" t="str">
        <f ca="1">IF($B75&lt;&gt;"PRC_RESID","",IF(AE$7=2005+OFFSET(COM_2012!$B$60,$AW75,SUMIF($B$10:$B$16,"NCAP_TLIFE",$AX$10:$AX$16)),0,""))</f>
        <v/>
      </c>
      <c r="AF75" s="369" t="str">
        <f ca="1">IF($B75&lt;&gt;"PRC_RESID","",IF(AF$7=2005+OFFSET(COM_2012!$B$60,$AW75,SUMIF($B$10:$B$16,"NCAP_TLIFE",$AX$10:$AX$16)),0,""))</f>
        <v/>
      </c>
      <c r="AG75" s="369" t="str">
        <f ca="1">IF($B75&lt;&gt;"PRC_RESID","",IF(AG$7=2005+OFFSET(COM_2012!$B$60,$AW75,SUMIF($B$10:$B$16,"NCAP_TLIFE",$AX$10:$AX$16)),0,""))</f>
        <v/>
      </c>
      <c r="AH75" s="369" t="str">
        <f ca="1">IF($B75&lt;&gt;"PRC_RESID","",IF(AH$7=2005+OFFSET(COM_2012!$B$60,$AW75,SUMIF($B$10:$B$16,"NCAP_TLIFE",$AX$10:$AX$16)),0,""))</f>
        <v/>
      </c>
      <c r="AI75" s="369" t="str">
        <f ca="1">IF($B75&lt;&gt;"PRC_RESID","",IF(AI$7=2005+OFFSET(COM_2012!$B$60,$AW75,SUMIF($B$10:$B$16,"NCAP_TLIFE",$AX$10:$AX$16)),0,""))</f>
        <v/>
      </c>
      <c r="AJ75" s="369" t="str">
        <f ca="1">IF($B75&lt;&gt;"PRC_RESID","",IF(AJ$7=2005+OFFSET(COM_2012!$B$60,$AW75,SUMIF($B$10:$B$16,"NCAP_TLIFE",$AX$10:$AX$16)),0,""))</f>
        <v/>
      </c>
      <c r="AK75" s="369" t="str">
        <f ca="1">IF($B75&lt;&gt;"PRC_RESID","",IF(AK$7=2005+OFFSET(COM_2012!$B$60,$AW75,SUMIF($B$10:$B$16,"NCAP_TLIFE",$AX$10:$AX$16)),0,""))</f>
        <v/>
      </c>
      <c r="AL75" s="369" t="str">
        <f ca="1">IF($B75&lt;&gt;"PRC_RESID","",IF(AL$7=2005+OFFSET(COM_2012!$B$60,$AW75,SUMIF($B$10:$B$16,"NCAP_TLIFE",$AX$10:$AX$16)),0,""))</f>
        <v/>
      </c>
      <c r="AM75" s="369" t="str">
        <f ca="1">IF($B75&lt;&gt;"PRC_RESID","",IF(AM$7=2005+OFFSET(COM_2012!$B$60,$AW75,SUMIF($B$10:$B$16,"NCAP_TLIFE",$AX$10:$AX$16)),0,""))</f>
        <v/>
      </c>
      <c r="AN75" s="369" t="str">
        <f ca="1">IF($B75&lt;&gt;"PRC_RESID","",IF(AN$7=2005+OFFSET(COM_2012!$B$60,$AW75,SUMIF($B$10:$B$16,"NCAP_TLIFE",$AX$10:$AX$16)),0,""))</f>
        <v/>
      </c>
      <c r="AO75" s="369" t="str">
        <f ca="1">IF($B75&lt;&gt;"PRC_RESID","",IF(AO$7=2005+OFFSET(COM_2012!$B$60,$AW75,SUMIF($B$10:$B$16,"NCAP_TLIFE",$AX$10:$AX$16)),0,""))</f>
        <v/>
      </c>
      <c r="AP75" s="369" t="str">
        <f ca="1">IF($B75&lt;&gt;"PRC_RESID","",IF(AP$7=2005+OFFSET(COM_2012!$B$60,$AW75,SUMIF($B$10:$B$16,"NCAP_TLIFE",$AX$10:$AX$16)),0,""))</f>
        <v/>
      </c>
      <c r="AQ75" s="369" t="str">
        <f ca="1">IF($B75&lt;&gt;"PRC_RESID","",IF(AQ$7=2005+OFFSET(COM_2012!$B$60,$AW75,SUMIF($B$10:$B$16,"NCAP_TLIFE",$AX$10:$AX$16)),0,""))</f>
        <v/>
      </c>
      <c r="AR75" s="369" t="str">
        <f ca="1">IF($B75&lt;&gt;"PRC_RESID","",IF(AR$7=2005+OFFSET(COM_2012!$B$60,$AW75,SUMIF($B$10:$B$16,"NCAP_TLIFE",$AX$10:$AX$16)),0,""))</f>
        <v/>
      </c>
      <c r="AS75" s="369" t="str">
        <f ca="1">IF($B75&lt;&gt;"PRC_RESID","",IF(AS$7=2005+OFFSET(COM_2012!$B$60,$AW75,SUMIF($B$10:$B$16,"NCAP_TLIFE",$AX$10:$AX$16)),0,""))</f>
        <v/>
      </c>
      <c r="AT75" s="369" t="str">
        <f ca="1">IF($B75&lt;&gt;"PRC_RESID","",IF(AT$7=2005+OFFSET(COM_2012!$B$60,$AW75,SUMIF($B$10:$B$16,"NCAP_TLIFE",$AX$10:$AX$16)),0,""))</f>
        <v/>
      </c>
      <c r="AU75" s="369" t="str">
        <f ca="1">IF($B75&lt;&gt;"PRC_RESID","",IF(AU$7=2005+OFFSET(COM_2012!$B$60,$AW75,SUMIF($B$10:$B$16,"NCAP_TLIFE",$AX$10:$AX$16)),0,""))</f>
        <v/>
      </c>
      <c r="AV75" s="304">
        <f>IF(AW74=COM_2012!$AI$121,AV74+1,AV74)</f>
        <v>1</v>
      </c>
      <c r="AW75" s="304">
        <f t="shared" si="5"/>
        <v>48</v>
      </c>
    </row>
    <row r="76" spans="1:49">
      <c r="A76" s="304" t="str">
        <f ca="1">IF(LEFT(OFFSET(COM_2012!$A$60,AW76,0),2)="\I","*","")</f>
        <v>*</v>
      </c>
      <c r="B76" s="369" t="str">
        <f t="shared" ca="1" si="2"/>
        <v/>
      </c>
      <c r="C76" s="369" t="str">
        <f ca="1">IF($A76="*","",OFFSET(COM_2012!$B$60,AW76,0))</f>
        <v/>
      </c>
      <c r="D76" s="369" t="str">
        <f t="shared" ca="1" si="7"/>
        <v/>
      </c>
      <c r="E76" s="369" t="str">
        <f t="shared" ca="1" si="7"/>
        <v/>
      </c>
      <c r="F76" s="369" t="str">
        <f t="shared" ca="1" si="7"/>
        <v/>
      </c>
      <c r="G76" s="369" t="str">
        <f t="shared" ca="1" si="7"/>
        <v/>
      </c>
      <c r="H76" s="369" t="str">
        <f t="shared" ca="1" si="7"/>
        <v/>
      </c>
      <c r="I76" s="370" t="str">
        <f t="shared" ca="1" si="7"/>
        <v/>
      </c>
      <c r="J76" s="391" t="str">
        <f ca="1">IF($A76="*","",OFFSET(COM_2012!$B$60,AW76,SUMIF($B$10:$B$16,B76,$AX$10:$AX$16)))</f>
        <v/>
      </c>
      <c r="K76" s="369" t="str">
        <f ca="1">IF($B76&lt;&gt;"PRC_RESID","",IF(K$7=2005+OFFSET(COM_2012!$B$60,$AW76,SUMIF($B$10:$B$16,"NCAP_TLIFE",$AX$10:$AX$16)),0,""))</f>
        <v/>
      </c>
      <c r="L76" s="369" t="str">
        <f ca="1">IF($B76&lt;&gt;"PRC_RESID","",IF(L$7=2005+OFFSET(COM_2012!$B$60,$AW76,SUMIF($B$10:$B$16,"NCAP_TLIFE",$AX$10:$AX$16)),0,""))</f>
        <v/>
      </c>
      <c r="M76" s="369" t="str">
        <f ca="1">IF($B76&lt;&gt;"PRC_RESID","",IF(M$7=2005+OFFSET(COM_2012!$B$60,$AW76,SUMIF($B$10:$B$16,"NCAP_TLIFE",$AX$10:$AX$16)),0,""))</f>
        <v/>
      </c>
      <c r="N76" s="369" t="str">
        <f ca="1">IF($B76&lt;&gt;"PRC_RESID","",IF(N$7=2005+OFFSET(COM_2012!$B$60,$AW76,SUMIF($B$10:$B$16,"NCAP_TLIFE",$AX$10:$AX$16)),0,""))</f>
        <v/>
      </c>
      <c r="O76" s="658" t="str">
        <f ca="1">IF($B76&lt;&gt;"PRC_RESID","",IF(O$7=2005+OFFSET(COM_2012!$B$60,$AW76,SUMIF($B$10:$B$16,"NCAP_TLIFE",$AX$10:$AX$16)),0,""))</f>
        <v/>
      </c>
      <c r="P76" s="369" t="str">
        <f ca="1">IF($B76&lt;&gt;"PRC_RESID","",IF(P$7=2005+OFFSET(COM_2012!$B$60,$AW76,SUMIF($B$10:$B$16,"NCAP_TLIFE",$AX$10:$AX$16)),0,""))</f>
        <v/>
      </c>
      <c r="Q76" s="369" t="str">
        <f ca="1">IF($B76&lt;&gt;"PRC_RESID","",IF(Q$7=2005+OFFSET(COM_2012!$B$60,$AW76,SUMIF($B$10:$B$16,"NCAP_TLIFE",$AX$10:$AX$16)),0,""))</f>
        <v/>
      </c>
      <c r="R76" s="369" t="str">
        <f ca="1">IF($B76&lt;&gt;"PRC_RESID","",IF(R$7=2005+OFFSET(COM_2012!$B$60,$AW76,SUMIF($B$10:$B$16,"NCAP_TLIFE",$AX$10:$AX$16)),0,""))</f>
        <v/>
      </c>
      <c r="S76" s="369" t="str">
        <f ca="1">IF($B76&lt;&gt;"PRC_RESID","",IF(S$7=2005+OFFSET(COM_2012!$B$60,$AW76,SUMIF($B$10:$B$16,"NCAP_TLIFE",$AX$10:$AX$16)),0,""))</f>
        <v/>
      </c>
      <c r="T76" s="369" t="str">
        <f ca="1">IF($B76&lt;&gt;"PRC_RESID","",IF(T$7=2005+OFFSET(COM_2012!$B$60,$AW76,SUMIF($B$10:$B$16,"NCAP_TLIFE",$AX$10:$AX$16)),0,""))</f>
        <v/>
      </c>
      <c r="U76" s="369" t="str">
        <f ca="1">IF($B76&lt;&gt;"PRC_RESID","",IF(U$7=2005+OFFSET(COM_2012!$B$60,$AW76,SUMIF($B$10:$B$16,"NCAP_TLIFE",$AX$10:$AX$16)),0,""))</f>
        <v/>
      </c>
      <c r="V76" s="369" t="str">
        <f ca="1">IF($B76&lt;&gt;"PRC_RESID","",IF(V$7=2005+OFFSET(COM_2012!$B$60,$AW76,SUMIF($B$10:$B$16,"NCAP_TLIFE",$AX$10:$AX$16)),0,""))</f>
        <v/>
      </c>
      <c r="W76" s="369" t="str">
        <f ca="1">IF($B76&lt;&gt;"PRC_RESID","",IF(W$7=2005+OFFSET(COM_2012!$B$60,$AW76,SUMIF($B$10:$B$16,"NCAP_TLIFE",$AX$10:$AX$16)),0,""))</f>
        <v/>
      </c>
      <c r="X76" s="369" t="str">
        <f ca="1">IF($B76&lt;&gt;"PRC_RESID","",IF(X$7=2005+OFFSET(COM_2012!$B$60,$AW76,SUMIF($B$10:$B$16,"NCAP_TLIFE",$AX$10:$AX$16)),0,""))</f>
        <v/>
      </c>
      <c r="Y76" s="369" t="str">
        <f ca="1">IF($B76&lt;&gt;"PRC_RESID","",IF(Y$7=2005+OFFSET(COM_2012!$B$60,$AW76,SUMIF($B$10:$B$16,"NCAP_TLIFE",$AX$10:$AX$16)),0,""))</f>
        <v/>
      </c>
      <c r="Z76" s="369" t="str">
        <f ca="1">IF($B76&lt;&gt;"PRC_RESID","",IF(Z$7=2005+OFFSET(COM_2012!$B$60,$AW76,SUMIF($B$10:$B$16,"NCAP_TLIFE",$AX$10:$AX$16)),0,""))</f>
        <v/>
      </c>
      <c r="AA76" s="369" t="str">
        <f ca="1">IF($B76&lt;&gt;"PRC_RESID","",IF(AA$7=2005+OFFSET(COM_2012!$B$60,$AW76,SUMIF($B$10:$B$16,"NCAP_TLIFE",$AX$10:$AX$16)),0,""))</f>
        <v/>
      </c>
      <c r="AB76" s="369" t="str">
        <f ca="1">IF($B76&lt;&gt;"PRC_RESID","",IF(AB$7=2005+OFFSET(COM_2012!$B$60,$AW76,SUMIF($B$10:$B$16,"NCAP_TLIFE",$AX$10:$AX$16)),0,""))</f>
        <v/>
      </c>
      <c r="AC76" s="369" t="str">
        <f ca="1">IF($B76&lt;&gt;"PRC_RESID","",IF(AC$7=2005+OFFSET(COM_2012!$B$60,$AW76,SUMIF($B$10:$B$16,"NCAP_TLIFE",$AX$10:$AX$16)),0,""))</f>
        <v/>
      </c>
      <c r="AD76" s="369" t="str">
        <f ca="1">IF($B76&lt;&gt;"PRC_RESID","",IF(AD$7=2005+OFFSET(COM_2012!$B$60,$AW76,SUMIF($B$10:$B$16,"NCAP_TLIFE",$AX$10:$AX$16)),0,""))</f>
        <v/>
      </c>
      <c r="AE76" s="369" t="str">
        <f ca="1">IF($B76&lt;&gt;"PRC_RESID","",IF(AE$7=2005+OFFSET(COM_2012!$B$60,$AW76,SUMIF($B$10:$B$16,"NCAP_TLIFE",$AX$10:$AX$16)),0,""))</f>
        <v/>
      </c>
      <c r="AF76" s="369" t="str">
        <f ca="1">IF($B76&lt;&gt;"PRC_RESID","",IF(AF$7=2005+OFFSET(COM_2012!$B$60,$AW76,SUMIF($B$10:$B$16,"NCAP_TLIFE",$AX$10:$AX$16)),0,""))</f>
        <v/>
      </c>
      <c r="AG76" s="369" t="str">
        <f ca="1">IF($B76&lt;&gt;"PRC_RESID","",IF(AG$7=2005+OFFSET(COM_2012!$B$60,$AW76,SUMIF($B$10:$B$16,"NCAP_TLIFE",$AX$10:$AX$16)),0,""))</f>
        <v/>
      </c>
      <c r="AH76" s="369" t="str">
        <f ca="1">IF($B76&lt;&gt;"PRC_RESID","",IF(AH$7=2005+OFFSET(COM_2012!$B$60,$AW76,SUMIF($B$10:$B$16,"NCAP_TLIFE",$AX$10:$AX$16)),0,""))</f>
        <v/>
      </c>
      <c r="AI76" s="369" t="str">
        <f ca="1">IF($B76&lt;&gt;"PRC_RESID","",IF(AI$7=2005+OFFSET(COM_2012!$B$60,$AW76,SUMIF($B$10:$B$16,"NCAP_TLIFE",$AX$10:$AX$16)),0,""))</f>
        <v/>
      </c>
      <c r="AJ76" s="369" t="str">
        <f ca="1">IF($B76&lt;&gt;"PRC_RESID","",IF(AJ$7=2005+OFFSET(COM_2012!$B$60,$AW76,SUMIF($B$10:$B$16,"NCAP_TLIFE",$AX$10:$AX$16)),0,""))</f>
        <v/>
      </c>
      <c r="AK76" s="369" t="str">
        <f ca="1">IF($B76&lt;&gt;"PRC_RESID","",IF(AK$7=2005+OFFSET(COM_2012!$B$60,$AW76,SUMIF($B$10:$B$16,"NCAP_TLIFE",$AX$10:$AX$16)),0,""))</f>
        <v/>
      </c>
      <c r="AL76" s="369" t="str">
        <f ca="1">IF($B76&lt;&gt;"PRC_RESID","",IF(AL$7=2005+OFFSET(COM_2012!$B$60,$AW76,SUMIF($B$10:$B$16,"NCAP_TLIFE",$AX$10:$AX$16)),0,""))</f>
        <v/>
      </c>
      <c r="AM76" s="369" t="str">
        <f ca="1">IF($B76&lt;&gt;"PRC_RESID","",IF(AM$7=2005+OFFSET(COM_2012!$B$60,$AW76,SUMIF($B$10:$B$16,"NCAP_TLIFE",$AX$10:$AX$16)),0,""))</f>
        <v/>
      </c>
      <c r="AN76" s="369" t="str">
        <f ca="1">IF($B76&lt;&gt;"PRC_RESID","",IF(AN$7=2005+OFFSET(COM_2012!$B$60,$AW76,SUMIF($B$10:$B$16,"NCAP_TLIFE",$AX$10:$AX$16)),0,""))</f>
        <v/>
      </c>
      <c r="AO76" s="369" t="str">
        <f ca="1">IF($B76&lt;&gt;"PRC_RESID","",IF(AO$7=2005+OFFSET(COM_2012!$B$60,$AW76,SUMIF($B$10:$B$16,"NCAP_TLIFE",$AX$10:$AX$16)),0,""))</f>
        <v/>
      </c>
      <c r="AP76" s="369" t="str">
        <f ca="1">IF($B76&lt;&gt;"PRC_RESID","",IF(AP$7=2005+OFFSET(COM_2012!$B$60,$AW76,SUMIF($B$10:$B$16,"NCAP_TLIFE",$AX$10:$AX$16)),0,""))</f>
        <v/>
      </c>
      <c r="AQ76" s="369" t="str">
        <f ca="1">IF($B76&lt;&gt;"PRC_RESID","",IF(AQ$7=2005+OFFSET(COM_2012!$B$60,$AW76,SUMIF($B$10:$B$16,"NCAP_TLIFE",$AX$10:$AX$16)),0,""))</f>
        <v/>
      </c>
      <c r="AR76" s="369" t="str">
        <f ca="1">IF($B76&lt;&gt;"PRC_RESID","",IF(AR$7=2005+OFFSET(COM_2012!$B$60,$AW76,SUMIF($B$10:$B$16,"NCAP_TLIFE",$AX$10:$AX$16)),0,""))</f>
        <v/>
      </c>
      <c r="AS76" s="369" t="str">
        <f ca="1">IF($B76&lt;&gt;"PRC_RESID","",IF(AS$7=2005+OFFSET(COM_2012!$B$60,$AW76,SUMIF($B$10:$B$16,"NCAP_TLIFE",$AX$10:$AX$16)),0,""))</f>
        <v/>
      </c>
      <c r="AT76" s="369" t="str">
        <f ca="1">IF($B76&lt;&gt;"PRC_RESID","",IF(AT$7=2005+OFFSET(COM_2012!$B$60,$AW76,SUMIF($B$10:$B$16,"NCAP_TLIFE",$AX$10:$AX$16)),0,""))</f>
        <v/>
      </c>
      <c r="AU76" s="369" t="str">
        <f ca="1">IF($B76&lt;&gt;"PRC_RESID","",IF(AU$7=2005+OFFSET(COM_2012!$B$60,$AW76,SUMIF($B$10:$B$16,"NCAP_TLIFE",$AX$10:$AX$16)),0,""))</f>
        <v/>
      </c>
      <c r="AV76" s="304">
        <f>IF(AW75=COM_2012!$AI$121,AV75+1,AV75)</f>
        <v>1</v>
      </c>
      <c r="AW76" s="304">
        <f t="shared" si="5"/>
        <v>49</v>
      </c>
    </row>
    <row r="77" spans="1:49">
      <c r="A77" s="304" t="str">
        <f ca="1">IF(LEFT(OFFSET(COM_2012!$A$60,AW77,0),2)="\I","*","")</f>
        <v/>
      </c>
      <c r="B77" s="369" t="str">
        <f t="shared" ca="1" si="2"/>
        <v>ACT_EFF</v>
      </c>
      <c r="C77" s="369" t="str">
        <f ca="1">IF($A77="*","",OFFSET(COM_2012!$B$60,AW77,0))</f>
        <v>CETELC-E</v>
      </c>
      <c r="D77" s="369" t="str">
        <f t="shared" ca="1" si="7"/>
        <v>-</v>
      </c>
      <c r="E77" s="369" t="str">
        <f t="shared" ca="1" si="7"/>
        <v>ACTGRP</v>
      </c>
      <c r="F77" s="369" t="str">
        <f t="shared" ca="1" si="7"/>
        <v>-</v>
      </c>
      <c r="G77" s="369" t="str">
        <f t="shared" ca="1" si="7"/>
        <v>ANNUAL</v>
      </c>
      <c r="H77" s="369" t="str">
        <f t="shared" ca="1" si="7"/>
        <v>-</v>
      </c>
      <c r="I77" s="370">
        <f t="shared" ca="1" si="7"/>
        <v>0</v>
      </c>
      <c r="J77" s="391">
        <f ca="1">IF($A77="*","",OFFSET(COM_2012!$B$60,AW77,SUMIF($B$10:$B$16,B77,$AX$10:$AX$16)))</f>
        <v>1</v>
      </c>
      <c r="K77" s="369" t="str">
        <f ca="1">IF($B77&lt;&gt;"PRC_RESID","",IF(K$7=2005+OFFSET(COM_2012!$B$60,$AW77,SUMIF($B$10:$B$16,"NCAP_TLIFE",$AX$10:$AX$16)),0,""))</f>
        <v/>
      </c>
      <c r="L77" s="369" t="str">
        <f ca="1">IF($B77&lt;&gt;"PRC_RESID","",IF(L$7=2005+OFFSET(COM_2012!$B$60,$AW77,SUMIF($B$10:$B$16,"NCAP_TLIFE",$AX$10:$AX$16)),0,""))</f>
        <v/>
      </c>
      <c r="M77" s="369" t="str">
        <f ca="1">IF($B77&lt;&gt;"PRC_RESID","",IF(M$7=2005+OFFSET(COM_2012!$B$60,$AW77,SUMIF($B$10:$B$16,"NCAP_TLIFE",$AX$10:$AX$16)),0,""))</f>
        <v/>
      </c>
      <c r="N77" s="369" t="str">
        <f ca="1">IF($B77&lt;&gt;"PRC_RESID","",IF(N$7=2005+OFFSET(COM_2012!$B$60,$AW77,SUMIF($B$10:$B$16,"NCAP_TLIFE",$AX$10:$AX$16)),0,""))</f>
        <v/>
      </c>
      <c r="O77" s="658" t="str">
        <f ca="1">IF($B77&lt;&gt;"PRC_RESID","",IF(O$7=2005+OFFSET(COM_2012!$B$60,$AW77,SUMIF($B$10:$B$16,"NCAP_TLIFE",$AX$10:$AX$16)),0,""))</f>
        <v/>
      </c>
      <c r="P77" s="369" t="str">
        <f ca="1">IF($B77&lt;&gt;"PRC_RESID","",IF(P$7=2005+OFFSET(COM_2012!$B$60,$AW77,SUMIF($B$10:$B$16,"NCAP_TLIFE",$AX$10:$AX$16)),0,""))</f>
        <v/>
      </c>
      <c r="Q77" s="369" t="str">
        <f ca="1">IF($B77&lt;&gt;"PRC_RESID","",IF(Q$7=2005+OFFSET(COM_2012!$B$60,$AW77,SUMIF($B$10:$B$16,"NCAP_TLIFE",$AX$10:$AX$16)),0,""))</f>
        <v/>
      </c>
      <c r="R77" s="369" t="str">
        <f ca="1">IF($B77&lt;&gt;"PRC_RESID","",IF(R$7=2005+OFFSET(COM_2012!$B$60,$AW77,SUMIF($B$10:$B$16,"NCAP_TLIFE",$AX$10:$AX$16)),0,""))</f>
        <v/>
      </c>
      <c r="S77" s="369" t="str">
        <f ca="1">IF($B77&lt;&gt;"PRC_RESID","",IF(S$7=2005+OFFSET(COM_2012!$B$60,$AW77,SUMIF($B$10:$B$16,"NCAP_TLIFE",$AX$10:$AX$16)),0,""))</f>
        <v/>
      </c>
      <c r="T77" s="369" t="str">
        <f ca="1">IF($B77&lt;&gt;"PRC_RESID","",IF(T$7=2005+OFFSET(COM_2012!$B$60,$AW77,SUMIF($B$10:$B$16,"NCAP_TLIFE",$AX$10:$AX$16)),0,""))</f>
        <v/>
      </c>
      <c r="U77" s="369" t="str">
        <f ca="1">IF($B77&lt;&gt;"PRC_RESID","",IF(U$7=2005+OFFSET(COM_2012!$B$60,$AW77,SUMIF($B$10:$B$16,"NCAP_TLIFE",$AX$10:$AX$16)),0,""))</f>
        <v/>
      </c>
      <c r="V77" s="369" t="str">
        <f ca="1">IF($B77&lt;&gt;"PRC_RESID","",IF(V$7=2005+OFFSET(COM_2012!$B$60,$AW77,SUMIF($B$10:$B$16,"NCAP_TLIFE",$AX$10:$AX$16)),0,""))</f>
        <v/>
      </c>
      <c r="W77" s="369" t="str">
        <f ca="1">IF($B77&lt;&gt;"PRC_RESID","",IF(W$7=2005+OFFSET(COM_2012!$B$60,$AW77,SUMIF($B$10:$B$16,"NCAP_TLIFE",$AX$10:$AX$16)),0,""))</f>
        <v/>
      </c>
      <c r="X77" s="369" t="str">
        <f ca="1">IF($B77&lt;&gt;"PRC_RESID","",IF(X$7=2005+OFFSET(COM_2012!$B$60,$AW77,SUMIF($B$10:$B$16,"NCAP_TLIFE",$AX$10:$AX$16)),0,""))</f>
        <v/>
      </c>
      <c r="Y77" s="369" t="str">
        <f ca="1">IF($B77&lt;&gt;"PRC_RESID","",IF(Y$7=2005+OFFSET(COM_2012!$B$60,$AW77,SUMIF($B$10:$B$16,"NCAP_TLIFE",$AX$10:$AX$16)),0,""))</f>
        <v/>
      </c>
      <c r="Z77" s="369" t="str">
        <f ca="1">IF($B77&lt;&gt;"PRC_RESID","",IF(Z$7=2005+OFFSET(COM_2012!$B$60,$AW77,SUMIF($B$10:$B$16,"NCAP_TLIFE",$AX$10:$AX$16)),0,""))</f>
        <v/>
      </c>
      <c r="AA77" s="369" t="str">
        <f ca="1">IF($B77&lt;&gt;"PRC_RESID","",IF(AA$7=2005+OFFSET(COM_2012!$B$60,$AW77,SUMIF($B$10:$B$16,"NCAP_TLIFE",$AX$10:$AX$16)),0,""))</f>
        <v/>
      </c>
      <c r="AB77" s="369" t="str">
        <f ca="1">IF($B77&lt;&gt;"PRC_RESID","",IF(AB$7=2005+OFFSET(COM_2012!$B$60,$AW77,SUMIF($B$10:$B$16,"NCAP_TLIFE",$AX$10:$AX$16)),0,""))</f>
        <v/>
      </c>
      <c r="AC77" s="369" t="str">
        <f ca="1">IF($B77&lt;&gt;"PRC_RESID","",IF(AC$7=2005+OFFSET(COM_2012!$B$60,$AW77,SUMIF($B$10:$B$16,"NCAP_TLIFE",$AX$10:$AX$16)),0,""))</f>
        <v/>
      </c>
      <c r="AD77" s="369" t="str">
        <f ca="1">IF($B77&lt;&gt;"PRC_RESID","",IF(AD$7=2005+OFFSET(COM_2012!$B$60,$AW77,SUMIF($B$10:$B$16,"NCAP_TLIFE",$AX$10:$AX$16)),0,""))</f>
        <v/>
      </c>
      <c r="AE77" s="369" t="str">
        <f ca="1">IF($B77&lt;&gt;"PRC_RESID","",IF(AE$7=2005+OFFSET(COM_2012!$B$60,$AW77,SUMIF($B$10:$B$16,"NCAP_TLIFE",$AX$10:$AX$16)),0,""))</f>
        <v/>
      </c>
      <c r="AF77" s="369" t="str">
        <f ca="1">IF($B77&lt;&gt;"PRC_RESID","",IF(AF$7=2005+OFFSET(COM_2012!$B$60,$AW77,SUMIF($B$10:$B$16,"NCAP_TLIFE",$AX$10:$AX$16)),0,""))</f>
        <v/>
      </c>
      <c r="AG77" s="369" t="str">
        <f ca="1">IF($B77&lt;&gt;"PRC_RESID","",IF(AG$7=2005+OFFSET(COM_2012!$B$60,$AW77,SUMIF($B$10:$B$16,"NCAP_TLIFE",$AX$10:$AX$16)),0,""))</f>
        <v/>
      </c>
      <c r="AH77" s="369" t="str">
        <f ca="1">IF($B77&lt;&gt;"PRC_RESID","",IF(AH$7=2005+OFFSET(COM_2012!$B$60,$AW77,SUMIF($B$10:$B$16,"NCAP_TLIFE",$AX$10:$AX$16)),0,""))</f>
        <v/>
      </c>
      <c r="AI77" s="369" t="str">
        <f ca="1">IF($B77&lt;&gt;"PRC_RESID","",IF(AI$7=2005+OFFSET(COM_2012!$B$60,$AW77,SUMIF($B$10:$B$16,"NCAP_TLIFE",$AX$10:$AX$16)),0,""))</f>
        <v/>
      </c>
      <c r="AJ77" s="369" t="str">
        <f ca="1">IF($B77&lt;&gt;"PRC_RESID","",IF(AJ$7=2005+OFFSET(COM_2012!$B$60,$AW77,SUMIF($B$10:$B$16,"NCAP_TLIFE",$AX$10:$AX$16)),0,""))</f>
        <v/>
      </c>
      <c r="AK77" s="369" t="str">
        <f ca="1">IF($B77&lt;&gt;"PRC_RESID","",IF(AK$7=2005+OFFSET(COM_2012!$B$60,$AW77,SUMIF($B$10:$B$16,"NCAP_TLIFE",$AX$10:$AX$16)),0,""))</f>
        <v/>
      </c>
      <c r="AL77" s="369" t="str">
        <f ca="1">IF($B77&lt;&gt;"PRC_RESID","",IF(AL$7=2005+OFFSET(COM_2012!$B$60,$AW77,SUMIF($B$10:$B$16,"NCAP_TLIFE",$AX$10:$AX$16)),0,""))</f>
        <v/>
      </c>
      <c r="AM77" s="369" t="str">
        <f ca="1">IF($B77&lt;&gt;"PRC_RESID","",IF(AM$7=2005+OFFSET(COM_2012!$B$60,$AW77,SUMIF($B$10:$B$16,"NCAP_TLIFE",$AX$10:$AX$16)),0,""))</f>
        <v/>
      </c>
      <c r="AN77" s="369" t="str">
        <f ca="1">IF($B77&lt;&gt;"PRC_RESID","",IF(AN$7=2005+OFFSET(COM_2012!$B$60,$AW77,SUMIF($B$10:$B$16,"NCAP_TLIFE",$AX$10:$AX$16)),0,""))</f>
        <v/>
      </c>
      <c r="AO77" s="369" t="str">
        <f ca="1">IF($B77&lt;&gt;"PRC_RESID","",IF(AO$7=2005+OFFSET(COM_2012!$B$60,$AW77,SUMIF($B$10:$B$16,"NCAP_TLIFE",$AX$10:$AX$16)),0,""))</f>
        <v/>
      </c>
      <c r="AP77" s="369" t="str">
        <f ca="1">IF($B77&lt;&gt;"PRC_RESID","",IF(AP$7=2005+OFFSET(COM_2012!$B$60,$AW77,SUMIF($B$10:$B$16,"NCAP_TLIFE",$AX$10:$AX$16)),0,""))</f>
        <v/>
      </c>
      <c r="AQ77" s="369" t="str">
        <f ca="1">IF($B77&lt;&gt;"PRC_RESID","",IF(AQ$7=2005+OFFSET(COM_2012!$B$60,$AW77,SUMIF($B$10:$B$16,"NCAP_TLIFE",$AX$10:$AX$16)),0,""))</f>
        <v/>
      </c>
      <c r="AR77" s="369" t="str">
        <f ca="1">IF($B77&lt;&gt;"PRC_RESID","",IF(AR$7=2005+OFFSET(COM_2012!$B$60,$AW77,SUMIF($B$10:$B$16,"NCAP_TLIFE",$AX$10:$AX$16)),0,""))</f>
        <v/>
      </c>
      <c r="AS77" s="369" t="str">
        <f ca="1">IF($B77&lt;&gt;"PRC_RESID","",IF(AS$7=2005+OFFSET(COM_2012!$B$60,$AW77,SUMIF($B$10:$B$16,"NCAP_TLIFE",$AX$10:$AX$16)),0,""))</f>
        <v/>
      </c>
      <c r="AT77" s="369" t="str">
        <f ca="1">IF($B77&lt;&gt;"PRC_RESID","",IF(AT$7=2005+OFFSET(COM_2012!$B$60,$AW77,SUMIF($B$10:$B$16,"NCAP_TLIFE",$AX$10:$AX$16)),0,""))</f>
        <v/>
      </c>
      <c r="AU77" s="369" t="str">
        <f ca="1">IF($B77&lt;&gt;"PRC_RESID","",IF(AU$7=2005+OFFSET(COM_2012!$B$60,$AW77,SUMIF($B$10:$B$16,"NCAP_TLIFE",$AX$10:$AX$16)),0,""))</f>
        <v/>
      </c>
      <c r="AV77" s="304">
        <f>IF(AW76=COM_2012!$AI$121,AV76+1,AV76)</f>
        <v>1</v>
      </c>
      <c r="AW77" s="304">
        <f t="shared" si="5"/>
        <v>50</v>
      </c>
    </row>
    <row r="78" spans="1:49">
      <c r="A78" s="304" t="str">
        <f ca="1">IF(LEFT(OFFSET(COM_2012!$A$60,AW78,0),2)="\I","*","")</f>
        <v>*</v>
      </c>
      <c r="B78" s="369" t="str">
        <f t="shared" ca="1" si="2"/>
        <v/>
      </c>
      <c r="C78" s="369" t="str">
        <f ca="1">IF($A78="*","",OFFSET(COM_2012!$B$60,AW78,0))</f>
        <v/>
      </c>
      <c r="D78" s="369" t="str">
        <f t="shared" ca="1" si="7"/>
        <v/>
      </c>
      <c r="E78" s="369" t="str">
        <f t="shared" ca="1" si="7"/>
        <v/>
      </c>
      <c r="F78" s="369" t="str">
        <f t="shared" ca="1" si="7"/>
        <v/>
      </c>
      <c r="G78" s="369" t="str">
        <f t="shared" ca="1" si="7"/>
        <v/>
      </c>
      <c r="H78" s="369" t="str">
        <f t="shared" ca="1" si="7"/>
        <v/>
      </c>
      <c r="I78" s="370" t="str">
        <f t="shared" ca="1" si="7"/>
        <v/>
      </c>
      <c r="J78" s="391" t="str">
        <f ca="1">IF($A78="*","",OFFSET(COM_2012!$B$60,AW78,SUMIF($B$10:$B$16,B78,$AX$10:$AX$16)))</f>
        <v/>
      </c>
      <c r="K78" s="369" t="str">
        <f ca="1">IF($B78&lt;&gt;"PRC_RESID","",IF(K$7=2005+OFFSET(COM_2012!$B$60,$AW78,SUMIF($B$10:$B$16,"NCAP_TLIFE",$AX$10:$AX$16)),0,""))</f>
        <v/>
      </c>
      <c r="L78" s="369" t="str">
        <f ca="1">IF($B78&lt;&gt;"PRC_RESID","",IF(L$7=2005+OFFSET(COM_2012!$B$60,$AW78,SUMIF($B$10:$B$16,"NCAP_TLIFE",$AX$10:$AX$16)),0,""))</f>
        <v/>
      </c>
      <c r="M78" s="369" t="str">
        <f ca="1">IF($B78&lt;&gt;"PRC_RESID","",IF(M$7=2005+OFFSET(COM_2012!$B$60,$AW78,SUMIF($B$10:$B$16,"NCAP_TLIFE",$AX$10:$AX$16)),0,""))</f>
        <v/>
      </c>
      <c r="N78" s="369" t="str">
        <f ca="1">IF($B78&lt;&gt;"PRC_RESID","",IF(N$7=2005+OFFSET(COM_2012!$B$60,$AW78,SUMIF($B$10:$B$16,"NCAP_TLIFE",$AX$10:$AX$16)),0,""))</f>
        <v/>
      </c>
      <c r="O78" s="658" t="str">
        <f ca="1">IF($B78&lt;&gt;"PRC_RESID","",IF(O$7=2005+OFFSET(COM_2012!$B$60,$AW78,SUMIF($B$10:$B$16,"NCAP_TLIFE",$AX$10:$AX$16)),0,""))</f>
        <v/>
      </c>
      <c r="P78" s="369" t="str">
        <f ca="1">IF($B78&lt;&gt;"PRC_RESID","",IF(P$7=2005+OFFSET(COM_2012!$B$60,$AW78,SUMIF($B$10:$B$16,"NCAP_TLIFE",$AX$10:$AX$16)),0,""))</f>
        <v/>
      </c>
      <c r="Q78" s="369" t="str">
        <f ca="1">IF($B78&lt;&gt;"PRC_RESID","",IF(Q$7=2005+OFFSET(COM_2012!$B$60,$AW78,SUMIF($B$10:$B$16,"NCAP_TLIFE",$AX$10:$AX$16)),0,""))</f>
        <v/>
      </c>
      <c r="R78" s="369" t="str">
        <f ca="1">IF($B78&lt;&gt;"PRC_RESID","",IF(R$7=2005+OFFSET(COM_2012!$B$60,$AW78,SUMIF($B$10:$B$16,"NCAP_TLIFE",$AX$10:$AX$16)),0,""))</f>
        <v/>
      </c>
      <c r="S78" s="369" t="str">
        <f ca="1">IF($B78&lt;&gt;"PRC_RESID","",IF(S$7=2005+OFFSET(COM_2012!$B$60,$AW78,SUMIF($B$10:$B$16,"NCAP_TLIFE",$AX$10:$AX$16)),0,""))</f>
        <v/>
      </c>
      <c r="T78" s="369" t="str">
        <f ca="1">IF($B78&lt;&gt;"PRC_RESID","",IF(T$7=2005+OFFSET(COM_2012!$B$60,$AW78,SUMIF($B$10:$B$16,"NCAP_TLIFE",$AX$10:$AX$16)),0,""))</f>
        <v/>
      </c>
      <c r="U78" s="369" t="str">
        <f ca="1">IF($B78&lt;&gt;"PRC_RESID","",IF(U$7=2005+OFFSET(COM_2012!$B$60,$AW78,SUMIF($B$10:$B$16,"NCAP_TLIFE",$AX$10:$AX$16)),0,""))</f>
        <v/>
      </c>
      <c r="V78" s="369" t="str">
        <f ca="1">IF($B78&lt;&gt;"PRC_RESID","",IF(V$7=2005+OFFSET(COM_2012!$B$60,$AW78,SUMIF($B$10:$B$16,"NCAP_TLIFE",$AX$10:$AX$16)),0,""))</f>
        <v/>
      </c>
      <c r="W78" s="369" t="str">
        <f ca="1">IF($B78&lt;&gt;"PRC_RESID","",IF(W$7=2005+OFFSET(COM_2012!$B$60,$AW78,SUMIF($B$10:$B$16,"NCAP_TLIFE",$AX$10:$AX$16)),0,""))</f>
        <v/>
      </c>
      <c r="X78" s="369" t="str">
        <f ca="1">IF($B78&lt;&gt;"PRC_RESID","",IF(X$7=2005+OFFSET(COM_2012!$B$60,$AW78,SUMIF($B$10:$B$16,"NCAP_TLIFE",$AX$10:$AX$16)),0,""))</f>
        <v/>
      </c>
      <c r="Y78" s="369" t="str">
        <f ca="1">IF($B78&lt;&gt;"PRC_RESID","",IF(Y$7=2005+OFFSET(COM_2012!$B$60,$AW78,SUMIF($B$10:$B$16,"NCAP_TLIFE",$AX$10:$AX$16)),0,""))</f>
        <v/>
      </c>
      <c r="Z78" s="369" t="str">
        <f ca="1">IF($B78&lt;&gt;"PRC_RESID","",IF(Z$7=2005+OFFSET(COM_2012!$B$60,$AW78,SUMIF($B$10:$B$16,"NCAP_TLIFE",$AX$10:$AX$16)),0,""))</f>
        <v/>
      </c>
      <c r="AA78" s="369" t="str">
        <f ca="1">IF($B78&lt;&gt;"PRC_RESID","",IF(AA$7=2005+OFFSET(COM_2012!$B$60,$AW78,SUMIF($B$10:$B$16,"NCAP_TLIFE",$AX$10:$AX$16)),0,""))</f>
        <v/>
      </c>
      <c r="AB78" s="369" t="str">
        <f ca="1">IF($B78&lt;&gt;"PRC_RESID","",IF(AB$7=2005+OFFSET(COM_2012!$B$60,$AW78,SUMIF($B$10:$B$16,"NCAP_TLIFE",$AX$10:$AX$16)),0,""))</f>
        <v/>
      </c>
      <c r="AC78" s="369" t="str">
        <f ca="1">IF($B78&lt;&gt;"PRC_RESID","",IF(AC$7=2005+OFFSET(COM_2012!$B$60,$AW78,SUMIF($B$10:$B$16,"NCAP_TLIFE",$AX$10:$AX$16)),0,""))</f>
        <v/>
      </c>
      <c r="AD78" s="369" t="str">
        <f ca="1">IF($B78&lt;&gt;"PRC_RESID","",IF(AD$7=2005+OFFSET(COM_2012!$B$60,$AW78,SUMIF($B$10:$B$16,"NCAP_TLIFE",$AX$10:$AX$16)),0,""))</f>
        <v/>
      </c>
      <c r="AE78" s="369" t="str">
        <f ca="1">IF($B78&lt;&gt;"PRC_RESID","",IF(AE$7=2005+OFFSET(COM_2012!$B$60,$AW78,SUMIF($B$10:$B$16,"NCAP_TLIFE",$AX$10:$AX$16)),0,""))</f>
        <v/>
      </c>
      <c r="AF78" s="369" t="str">
        <f ca="1">IF($B78&lt;&gt;"PRC_RESID","",IF(AF$7=2005+OFFSET(COM_2012!$B$60,$AW78,SUMIF($B$10:$B$16,"NCAP_TLIFE",$AX$10:$AX$16)),0,""))</f>
        <v/>
      </c>
      <c r="AG78" s="369" t="str">
        <f ca="1">IF($B78&lt;&gt;"PRC_RESID","",IF(AG$7=2005+OFFSET(COM_2012!$B$60,$AW78,SUMIF($B$10:$B$16,"NCAP_TLIFE",$AX$10:$AX$16)),0,""))</f>
        <v/>
      </c>
      <c r="AH78" s="369" t="str">
        <f ca="1">IF($B78&lt;&gt;"PRC_RESID","",IF(AH$7=2005+OFFSET(COM_2012!$B$60,$AW78,SUMIF($B$10:$B$16,"NCAP_TLIFE",$AX$10:$AX$16)),0,""))</f>
        <v/>
      </c>
      <c r="AI78" s="369" t="str">
        <f ca="1">IF($B78&lt;&gt;"PRC_RESID","",IF(AI$7=2005+OFFSET(COM_2012!$B$60,$AW78,SUMIF($B$10:$B$16,"NCAP_TLIFE",$AX$10:$AX$16)),0,""))</f>
        <v/>
      </c>
      <c r="AJ78" s="369" t="str">
        <f ca="1">IF($B78&lt;&gt;"PRC_RESID","",IF(AJ$7=2005+OFFSET(COM_2012!$B$60,$AW78,SUMIF($B$10:$B$16,"NCAP_TLIFE",$AX$10:$AX$16)),0,""))</f>
        <v/>
      </c>
      <c r="AK78" s="369" t="str">
        <f ca="1">IF($B78&lt;&gt;"PRC_RESID","",IF(AK$7=2005+OFFSET(COM_2012!$B$60,$AW78,SUMIF($B$10:$B$16,"NCAP_TLIFE",$AX$10:$AX$16)),0,""))</f>
        <v/>
      </c>
      <c r="AL78" s="369" t="str">
        <f ca="1">IF($B78&lt;&gt;"PRC_RESID","",IF(AL$7=2005+OFFSET(COM_2012!$B$60,$AW78,SUMIF($B$10:$B$16,"NCAP_TLIFE",$AX$10:$AX$16)),0,""))</f>
        <v/>
      </c>
      <c r="AM78" s="369" t="str">
        <f ca="1">IF($B78&lt;&gt;"PRC_RESID","",IF(AM$7=2005+OFFSET(COM_2012!$B$60,$AW78,SUMIF($B$10:$B$16,"NCAP_TLIFE",$AX$10:$AX$16)),0,""))</f>
        <v/>
      </c>
      <c r="AN78" s="369" t="str">
        <f ca="1">IF($B78&lt;&gt;"PRC_RESID","",IF(AN$7=2005+OFFSET(COM_2012!$B$60,$AW78,SUMIF($B$10:$B$16,"NCAP_TLIFE",$AX$10:$AX$16)),0,""))</f>
        <v/>
      </c>
      <c r="AO78" s="369" t="str">
        <f ca="1">IF($B78&lt;&gt;"PRC_RESID","",IF(AO$7=2005+OFFSET(COM_2012!$B$60,$AW78,SUMIF($B$10:$B$16,"NCAP_TLIFE",$AX$10:$AX$16)),0,""))</f>
        <v/>
      </c>
      <c r="AP78" s="369" t="str">
        <f ca="1">IF($B78&lt;&gt;"PRC_RESID","",IF(AP$7=2005+OFFSET(COM_2012!$B$60,$AW78,SUMIF($B$10:$B$16,"NCAP_TLIFE",$AX$10:$AX$16)),0,""))</f>
        <v/>
      </c>
      <c r="AQ78" s="369" t="str">
        <f ca="1">IF($B78&lt;&gt;"PRC_RESID","",IF(AQ$7=2005+OFFSET(COM_2012!$B$60,$AW78,SUMIF($B$10:$B$16,"NCAP_TLIFE",$AX$10:$AX$16)),0,""))</f>
        <v/>
      </c>
      <c r="AR78" s="369" t="str">
        <f ca="1">IF($B78&lt;&gt;"PRC_RESID","",IF(AR$7=2005+OFFSET(COM_2012!$B$60,$AW78,SUMIF($B$10:$B$16,"NCAP_TLIFE",$AX$10:$AX$16)),0,""))</f>
        <v/>
      </c>
      <c r="AS78" s="369" t="str">
        <f ca="1">IF($B78&lt;&gt;"PRC_RESID","",IF(AS$7=2005+OFFSET(COM_2012!$B$60,$AW78,SUMIF($B$10:$B$16,"NCAP_TLIFE",$AX$10:$AX$16)),0,""))</f>
        <v/>
      </c>
      <c r="AT78" s="369" t="str">
        <f ca="1">IF($B78&lt;&gt;"PRC_RESID","",IF(AT$7=2005+OFFSET(COM_2012!$B$60,$AW78,SUMIF($B$10:$B$16,"NCAP_TLIFE",$AX$10:$AX$16)),0,""))</f>
        <v/>
      </c>
      <c r="AU78" s="369" t="str">
        <f ca="1">IF($B78&lt;&gt;"PRC_RESID","",IF(AU$7=2005+OFFSET(COM_2012!$B$60,$AW78,SUMIF($B$10:$B$16,"NCAP_TLIFE",$AX$10:$AX$16)),0,""))</f>
        <v/>
      </c>
      <c r="AV78" s="304">
        <f>IF(AW77=COM_2012!$AI$121,AV77+1,AV77)</f>
        <v>1</v>
      </c>
      <c r="AW78" s="304">
        <f t="shared" si="5"/>
        <v>51</v>
      </c>
    </row>
    <row r="79" spans="1:49">
      <c r="A79" s="304" t="str">
        <f ca="1">IF(LEFT(OFFSET(COM_2012!$A$60,AW79,0),2)="\I","*","")</f>
        <v>*</v>
      </c>
      <c r="B79" s="369" t="str">
        <f t="shared" ca="1" si="2"/>
        <v/>
      </c>
      <c r="C79" s="369" t="str">
        <f ca="1">IF($A79="*","",OFFSET(COM_2012!$B$60,AW79,0))</f>
        <v/>
      </c>
      <c r="D79" s="369" t="str">
        <f t="shared" ref="D79:I94" ca="1" si="8">IF($A79="*","",VLOOKUP($B79,$B$10:$I$16,D$9,FALSE))</f>
        <v/>
      </c>
      <c r="E79" s="369" t="str">
        <f t="shared" ca="1" si="8"/>
        <v/>
      </c>
      <c r="F79" s="369" t="str">
        <f t="shared" ca="1" si="8"/>
        <v/>
      </c>
      <c r="G79" s="369" t="str">
        <f t="shared" ca="1" si="8"/>
        <v/>
      </c>
      <c r="H79" s="369" t="str">
        <f t="shared" ca="1" si="8"/>
        <v/>
      </c>
      <c r="I79" s="370" t="str">
        <f t="shared" ca="1" si="8"/>
        <v/>
      </c>
      <c r="J79" s="391" t="str">
        <f ca="1">IF($A79="*","",OFFSET(COM_2012!$B$60,AW79,SUMIF($B$10:$B$16,B79,$AX$10:$AX$16)))</f>
        <v/>
      </c>
      <c r="K79" s="369" t="str">
        <f ca="1">IF($B79&lt;&gt;"PRC_RESID","",IF(K$7=2005+OFFSET(COM_2012!$B$60,$AW79,SUMIF($B$10:$B$16,"NCAP_TLIFE",$AX$10:$AX$16)),0,""))</f>
        <v/>
      </c>
      <c r="L79" s="369" t="str">
        <f ca="1">IF($B79&lt;&gt;"PRC_RESID","",IF(L$7=2005+OFFSET(COM_2012!$B$60,$AW79,SUMIF($B$10:$B$16,"NCAP_TLIFE",$AX$10:$AX$16)),0,""))</f>
        <v/>
      </c>
      <c r="M79" s="369" t="str">
        <f ca="1">IF($B79&lt;&gt;"PRC_RESID","",IF(M$7=2005+OFFSET(COM_2012!$B$60,$AW79,SUMIF($B$10:$B$16,"NCAP_TLIFE",$AX$10:$AX$16)),0,""))</f>
        <v/>
      </c>
      <c r="N79" s="369" t="str">
        <f ca="1">IF($B79&lt;&gt;"PRC_RESID","",IF(N$7=2005+OFFSET(COM_2012!$B$60,$AW79,SUMIF($B$10:$B$16,"NCAP_TLIFE",$AX$10:$AX$16)),0,""))</f>
        <v/>
      </c>
      <c r="O79" s="658" t="str">
        <f ca="1">IF($B79&lt;&gt;"PRC_RESID","",IF(O$7=2005+OFFSET(COM_2012!$B$60,$AW79,SUMIF($B$10:$B$16,"NCAP_TLIFE",$AX$10:$AX$16)),0,""))</f>
        <v/>
      </c>
      <c r="P79" s="369" t="str">
        <f ca="1">IF($B79&lt;&gt;"PRC_RESID","",IF(P$7=2005+OFFSET(COM_2012!$B$60,$AW79,SUMIF($B$10:$B$16,"NCAP_TLIFE",$AX$10:$AX$16)),0,""))</f>
        <v/>
      </c>
      <c r="Q79" s="369" t="str">
        <f ca="1">IF($B79&lt;&gt;"PRC_RESID","",IF(Q$7=2005+OFFSET(COM_2012!$B$60,$AW79,SUMIF($B$10:$B$16,"NCAP_TLIFE",$AX$10:$AX$16)),0,""))</f>
        <v/>
      </c>
      <c r="R79" s="369" t="str">
        <f ca="1">IF($B79&lt;&gt;"PRC_RESID","",IF(R$7=2005+OFFSET(COM_2012!$B$60,$AW79,SUMIF($B$10:$B$16,"NCAP_TLIFE",$AX$10:$AX$16)),0,""))</f>
        <v/>
      </c>
      <c r="S79" s="369" t="str">
        <f ca="1">IF($B79&lt;&gt;"PRC_RESID","",IF(S$7=2005+OFFSET(COM_2012!$B$60,$AW79,SUMIF($B$10:$B$16,"NCAP_TLIFE",$AX$10:$AX$16)),0,""))</f>
        <v/>
      </c>
      <c r="T79" s="369" t="str">
        <f ca="1">IF($B79&lt;&gt;"PRC_RESID","",IF(T$7=2005+OFFSET(COM_2012!$B$60,$AW79,SUMIF($B$10:$B$16,"NCAP_TLIFE",$AX$10:$AX$16)),0,""))</f>
        <v/>
      </c>
      <c r="U79" s="369" t="str">
        <f ca="1">IF($B79&lt;&gt;"PRC_RESID","",IF(U$7=2005+OFFSET(COM_2012!$B$60,$AW79,SUMIF($B$10:$B$16,"NCAP_TLIFE",$AX$10:$AX$16)),0,""))</f>
        <v/>
      </c>
      <c r="V79" s="369" t="str">
        <f ca="1">IF($B79&lt;&gt;"PRC_RESID","",IF(V$7=2005+OFFSET(COM_2012!$B$60,$AW79,SUMIF($B$10:$B$16,"NCAP_TLIFE",$AX$10:$AX$16)),0,""))</f>
        <v/>
      </c>
      <c r="W79" s="369" t="str">
        <f ca="1">IF($B79&lt;&gt;"PRC_RESID","",IF(W$7=2005+OFFSET(COM_2012!$B$60,$AW79,SUMIF($B$10:$B$16,"NCAP_TLIFE",$AX$10:$AX$16)),0,""))</f>
        <v/>
      </c>
      <c r="X79" s="369" t="str">
        <f ca="1">IF($B79&lt;&gt;"PRC_RESID","",IF(X$7=2005+OFFSET(COM_2012!$B$60,$AW79,SUMIF($B$10:$B$16,"NCAP_TLIFE",$AX$10:$AX$16)),0,""))</f>
        <v/>
      </c>
      <c r="Y79" s="369" t="str">
        <f ca="1">IF($B79&lt;&gt;"PRC_RESID","",IF(Y$7=2005+OFFSET(COM_2012!$B$60,$AW79,SUMIF($B$10:$B$16,"NCAP_TLIFE",$AX$10:$AX$16)),0,""))</f>
        <v/>
      </c>
      <c r="Z79" s="369" t="str">
        <f ca="1">IF($B79&lt;&gt;"PRC_RESID","",IF(Z$7=2005+OFFSET(COM_2012!$B$60,$AW79,SUMIF($B$10:$B$16,"NCAP_TLIFE",$AX$10:$AX$16)),0,""))</f>
        <v/>
      </c>
      <c r="AA79" s="369" t="str">
        <f ca="1">IF($B79&lt;&gt;"PRC_RESID","",IF(AA$7=2005+OFFSET(COM_2012!$B$60,$AW79,SUMIF($B$10:$B$16,"NCAP_TLIFE",$AX$10:$AX$16)),0,""))</f>
        <v/>
      </c>
      <c r="AB79" s="369" t="str">
        <f ca="1">IF($B79&lt;&gt;"PRC_RESID","",IF(AB$7=2005+OFFSET(COM_2012!$B$60,$AW79,SUMIF($B$10:$B$16,"NCAP_TLIFE",$AX$10:$AX$16)),0,""))</f>
        <v/>
      </c>
      <c r="AC79" s="369" t="str">
        <f ca="1">IF($B79&lt;&gt;"PRC_RESID","",IF(AC$7=2005+OFFSET(COM_2012!$B$60,$AW79,SUMIF($B$10:$B$16,"NCAP_TLIFE",$AX$10:$AX$16)),0,""))</f>
        <v/>
      </c>
      <c r="AD79" s="369" t="str">
        <f ca="1">IF($B79&lt;&gt;"PRC_RESID","",IF(AD$7=2005+OFFSET(COM_2012!$B$60,$AW79,SUMIF($B$10:$B$16,"NCAP_TLIFE",$AX$10:$AX$16)),0,""))</f>
        <v/>
      </c>
      <c r="AE79" s="369" t="str">
        <f ca="1">IF($B79&lt;&gt;"PRC_RESID","",IF(AE$7=2005+OFFSET(COM_2012!$B$60,$AW79,SUMIF($B$10:$B$16,"NCAP_TLIFE",$AX$10:$AX$16)),0,""))</f>
        <v/>
      </c>
      <c r="AF79" s="369" t="str">
        <f ca="1">IF($B79&lt;&gt;"PRC_RESID","",IF(AF$7=2005+OFFSET(COM_2012!$B$60,$AW79,SUMIF($B$10:$B$16,"NCAP_TLIFE",$AX$10:$AX$16)),0,""))</f>
        <v/>
      </c>
      <c r="AG79" s="369" t="str">
        <f ca="1">IF($B79&lt;&gt;"PRC_RESID","",IF(AG$7=2005+OFFSET(COM_2012!$B$60,$AW79,SUMIF($B$10:$B$16,"NCAP_TLIFE",$AX$10:$AX$16)),0,""))</f>
        <v/>
      </c>
      <c r="AH79" s="369" t="str">
        <f ca="1">IF($B79&lt;&gt;"PRC_RESID","",IF(AH$7=2005+OFFSET(COM_2012!$B$60,$AW79,SUMIF($B$10:$B$16,"NCAP_TLIFE",$AX$10:$AX$16)),0,""))</f>
        <v/>
      </c>
      <c r="AI79" s="369" t="str">
        <f ca="1">IF($B79&lt;&gt;"PRC_RESID","",IF(AI$7=2005+OFFSET(COM_2012!$B$60,$AW79,SUMIF($B$10:$B$16,"NCAP_TLIFE",$AX$10:$AX$16)),0,""))</f>
        <v/>
      </c>
      <c r="AJ79" s="369" t="str">
        <f ca="1">IF($B79&lt;&gt;"PRC_RESID","",IF(AJ$7=2005+OFFSET(COM_2012!$B$60,$AW79,SUMIF($B$10:$B$16,"NCAP_TLIFE",$AX$10:$AX$16)),0,""))</f>
        <v/>
      </c>
      <c r="AK79" s="369" t="str">
        <f ca="1">IF($B79&lt;&gt;"PRC_RESID","",IF(AK$7=2005+OFFSET(COM_2012!$B$60,$AW79,SUMIF($B$10:$B$16,"NCAP_TLIFE",$AX$10:$AX$16)),0,""))</f>
        <v/>
      </c>
      <c r="AL79" s="369" t="str">
        <f ca="1">IF($B79&lt;&gt;"PRC_RESID","",IF(AL$7=2005+OFFSET(COM_2012!$B$60,$AW79,SUMIF($B$10:$B$16,"NCAP_TLIFE",$AX$10:$AX$16)),0,""))</f>
        <v/>
      </c>
      <c r="AM79" s="369" t="str">
        <f ca="1">IF($B79&lt;&gt;"PRC_RESID","",IF(AM$7=2005+OFFSET(COM_2012!$B$60,$AW79,SUMIF($B$10:$B$16,"NCAP_TLIFE",$AX$10:$AX$16)),0,""))</f>
        <v/>
      </c>
      <c r="AN79" s="369" t="str">
        <f ca="1">IF($B79&lt;&gt;"PRC_RESID","",IF(AN$7=2005+OFFSET(COM_2012!$B$60,$AW79,SUMIF($B$10:$B$16,"NCAP_TLIFE",$AX$10:$AX$16)),0,""))</f>
        <v/>
      </c>
      <c r="AO79" s="369" t="str">
        <f ca="1">IF($B79&lt;&gt;"PRC_RESID","",IF(AO$7=2005+OFFSET(COM_2012!$B$60,$AW79,SUMIF($B$10:$B$16,"NCAP_TLIFE",$AX$10:$AX$16)),0,""))</f>
        <v/>
      </c>
      <c r="AP79" s="369" t="str">
        <f ca="1">IF($B79&lt;&gt;"PRC_RESID","",IF(AP$7=2005+OFFSET(COM_2012!$B$60,$AW79,SUMIF($B$10:$B$16,"NCAP_TLIFE",$AX$10:$AX$16)),0,""))</f>
        <v/>
      </c>
      <c r="AQ79" s="369" t="str">
        <f ca="1">IF($B79&lt;&gt;"PRC_RESID","",IF(AQ$7=2005+OFFSET(COM_2012!$B$60,$AW79,SUMIF($B$10:$B$16,"NCAP_TLIFE",$AX$10:$AX$16)),0,""))</f>
        <v/>
      </c>
      <c r="AR79" s="369" t="str">
        <f ca="1">IF($B79&lt;&gt;"PRC_RESID","",IF(AR$7=2005+OFFSET(COM_2012!$B$60,$AW79,SUMIF($B$10:$B$16,"NCAP_TLIFE",$AX$10:$AX$16)),0,""))</f>
        <v/>
      </c>
      <c r="AS79" s="369" t="str">
        <f ca="1">IF($B79&lt;&gt;"PRC_RESID","",IF(AS$7=2005+OFFSET(COM_2012!$B$60,$AW79,SUMIF($B$10:$B$16,"NCAP_TLIFE",$AX$10:$AX$16)),0,""))</f>
        <v/>
      </c>
      <c r="AT79" s="369" t="str">
        <f ca="1">IF($B79&lt;&gt;"PRC_RESID","",IF(AT$7=2005+OFFSET(COM_2012!$B$60,$AW79,SUMIF($B$10:$B$16,"NCAP_TLIFE",$AX$10:$AX$16)),0,""))</f>
        <v/>
      </c>
      <c r="AU79" s="369" t="str">
        <f ca="1">IF($B79&lt;&gt;"PRC_RESID","",IF(AU$7=2005+OFFSET(COM_2012!$B$60,$AW79,SUMIF($B$10:$B$16,"NCAP_TLIFE",$AX$10:$AX$16)),0,""))</f>
        <v/>
      </c>
      <c r="AV79" s="304">
        <f>IF(AW78=COM_2012!$AI$121,AV78+1,AV78)</f>
        <v>1</v>
      </c>
      <c r="AW79" s="304">
        <f t="shared" si="5"/>
        <v>52</v>
      </c>
    </row>
    <row r="80" spans="1:49">
      <c r="A80" s="304" t="str">
        <f ca="1">IF(LEFT(OFFSET(COM_2012!$A$60,AW80,0),2)="\I","*","")</f>
        <v/>
      </c>
      <c r="B80" s="369" t="str">
        <f t="shared" ref="B80:B81" ca="1" si="9">IF(A80="*","",VLOOKUP("*"&amp;AV80,$A$9:$B$16,2,FALSE))</f>
        <v>ACT_EFF</v>
      </c>
      <c r="C80" s="369" t="str">
        <f ca="1">IF($A80="*","",OFFSET(COM_2012!$B$60,AW80,0))</f>
        <v>CEOCOA-E</v>
      </c>
      <c r="D80" s="369" t="str">
        <f t="shared" ca="1" si="8"/>
        <v>-</v>
      </c>
      <c r="E80" s="369" t="str">
        <f t="shared" ca="1" si="8"/>
        <v>ACTGRP</v>
      </c>
      <c r="F80" s="369" t="str">
        <f t="shared" ca="1" si="8"/>
        <v>-</v>
      </c>
      <c r="G80" s="369" t="str">
        <f t="shared" ca="1" si="8"/>
        <v>ANNUAL</v>
      </c>
      <c r="H80" s="369" t="str">
        <f t="shared" ca="1" si="8"/>
        <v>-</v>
      </c>
      <c r="I80" s="370">
        <f t="shared" ca="1" si="8"/>
        <v>0</v>
      </c>
      <c r="J80" s="391">
        <f ca="1">IF($A80="*","",OFFSET(COM_2012!$B$60,AW80,SUMIF($B$10:$B$16,B80,$AX$10:$AX$16)))</f>
        <v>1</v>
      </c>
      <c r="K80" s="369" t="str">
        <f ca="1">IF($B80&lt;&gt;"PRC_RESID","",IF(K$7=2005+OFFSET(COM_2012!$B$60,$AW80,SUMIF($B$10:$B$16,"NCAP_TLIFE",$AX$10:$AX$16)),0,""))</f>
        <v/>
      </c>
      <c r="L80" s="369" t="str">
        <f ca="1">IF($B80&lt;&gt;"PRC_RESID","",IF(L$7=2005+OFFSET(COM_2012!$B$60,$AW80,SUMIF($B$10:$B$16,"NCAP_TLIFE",$AX$10:$AX$16)),0,""))</f>
        <v/>
      </c>
      <c r="M80" s="369" t="str">
        <f ca="1">IF($B80&lt;&gt;"PRC_RESID","",IF(M$7=2005+OFFSET(COM_2012!$B$60,$AW80,SUMIF($B$10:$B$16,"NCAP_TLIFE",$AX$10:$AX$16)),0,""))</f>
        <v/>
      </c>
      <c r="N80" s="369" t="str">
        <f ca="1">IF($B80&lt;&gt;"PRC_RESID","",IF(N$7=2005+OFFSET(COM_2012!$B$60,$AW80,SUMIF($B$10:$B$16,"NCAP_TLIFE",$AX$10:$AX$16)),0,""))</f>
        <v/>
      </c>
      <c r="O80" s="658" t="str">
        <f ca="1">IF($B80&lt;&gt;"PRC_RESID","",IF(O$7=2005+OFFSET(COM_2012!$B$60,$AW80,SUMIF($B$10:$B$16,"NCAP_TLIFE",$AX$10:$AX$16)),0,""))</f>
        <v/>
      </c>
      <c r="P80" s="369" t="str">
        <f ca="1">IF($B80&lt;&gt;"PRC_RESID","",IF(P$7=2005+OFFSET(COM_2012!$B$60,$AW80,SUMIF($B$10:$B$16,"NCAP_TLIFE",$AX$10:$AX$16)),0,""))</f>
        <v/>
      </c>
      <c r="Q80" s="369" t="str">
        <f ca="1">IF($B80&lt;&gt;"PRC_RESID","",IF(Q$7=2005+OFFSET(COM_2012!$B$60,$AW80,SUMIF($B$10:$B$16,"NCAP_TLIFE",$AX$10:$AX$16)),0,""))</f>
        <v/>
      </c>
      <c r="R80" s="369" t="str">
        <f ca="1">IF($B80&lt;&gt;"PRC_RESID","",IF(R$7=2005+OFFSET(COM_2012!$B$60,$AW80,SUMIF($B$10:$B$16,"NCAP_TLIFE",$AX$10:$AX$16)),0,""))</f>
        <v/>
      </c>
      <c r="S80" s="369" t="str">
        <f ca="1">IF($B80&lt;&gt;"PRC_RESID","",IF(S$7=2005+OFFSET(COM_2012!$B$60,$AW80,SUMIF($B$10:$B$16,"NCAP_TLIFE",$AX$10:$AX$16)),0,""))</f>
        <v/>
      </c>
      <c r="T80" s="369" t="str">
        <f ca="1">IF($B80&lt;&gt;"PRC_RESID","",IF(T$7=2005+OFFSET(COM_2012!$B$60,$AW80,SUMIF($B$10:$B$16,"NCAP_TLIFE",$AX$10:$AX$16)),0,""))</f>
        <v/>
      </c>
      <c r="U80" s="369" t="str">
        <f ca="1">IF($B80&lt;&gt;"PRC_RESID","",IF(U$7=2005+OFFSET(COM_2012!$B$60,$AW80,SUMIF($B$10:$B$16,"NCAP_TLIFE",$AX$10:$AX$16)),0,""))</f>
        <v/>
      </c>
      <c r="V80" s="369" t="str">
        <f ca="1">IF($B80&lt;&gt;"PRC_RESID","",IF(V$7=2005+OFFSET(COM_2012!$B$60,$AW80,SUMIF($B$10:$B$16,"NCAP_TLIFE",$AX$10:$AX$16)),0,""))</f>
        <v/>
      </c>
      <c r="W80" s="369" t="str">
        <f ca="1">IF($B80&lt;&gt;"PRC_RESID","",IF(W$7=2005+OFFSET(COM_2012!$B$60,$AW80,SUMIF($B$10:$B$16,"NCAP_TLIFE",$AX$10:$AX$16)),0,""))</f>
        <v/>
      </c>
      <c r="X80" s="369" t="str">
        <f ca="1">IF($B80&lt;&gt;"PRC_RESID","",IF(X$7=2005+OFFSET(COM_2012!$B$60,$AW80,SUMIF($B$10:$B$16,"NCAP_TLIFE",$AX$10:$AX$16)),0,""))</f>
        <v/>
      </c>
      <c r="Y80" s="369" t="str">
        <f ca="1">IF($B80&lt;&gt;"PRC_RESID","",IF(Y$7=2005+OFFSET(COM_2012!$B$60,$AW80,SUMIF($B$10:$B$16,"NCAP_TLIFE",$AX$10:$AX$16)),0,""))</f>
        <v/>
      </c>
      <c r="Z80" s="369" t="str">
        <f ca="1">IF($B80&lt;&gt;"PRC_RESID","",IF(Z$7=2005+OFFSET(COM_2012!$B$60,$AW80,SUMIF($B$10:$B$16,"NCAP_TLIFE",$AX$10:$AX$16)),0,""))</f>
        <v/>
      </c>
      <c r="AA80" s="369" t="str">
        <f ca="1">IF($B80&lt;&gt;"PRC_RESID","",IF(AA$7=2005+OFFSET(COM_2012!$B$60,$AW80,SUMIF($B$10:$B$16,"NCAP_TLIFE",$AX$10:$AX$16)),0,""))</f>
        <v/>
      </c>
      <c r="AB80" s="369" t="str">
        <f ca="1">IF($B80&lt;&gt;"PRC_RESID","",IF(AB$7=2005+OFFSET(COM_2012!$B$60,$AW80,SUMIF($B$10:$B$16,"NCAP_TLIFE",$AX$10:$AX$16)),0,""))</f>
        <v/>
      </c>
      <c r="AC80" s="369" t="str">
        <f ca="1">IF($B80&lt;&gt;"PRC_RESID","",IF(AC$7=2005+OFFSET(COM_2012!$B$60,$AW80,SUMIF($B$10:$B$16,"NCAP_TLIFE",$AX$10:$AX$16)),0,""))</f>
        <v/>
      </c>
      <c r="AD80" s="369" t="str">
        <f ca="1">IF($B80&lt;&gt;"PRC_RESID","",IF(AD$7=2005+OFFSET(COM_2012!$B$60,$AW80,SUMIF($B$10:$B$16,"NCAP_TLIFE",$AX$10:$AX$16)),0,""))</f>
        <v/>
      </c>
      <c r="AE80" s="369" t="str">
        <f ca="1">IF($B80&lt;&gt;"PRC_RESID","",IF(AE$7=2005+OFFSET(COM_2012!$B$60,$AW80,SUMIF($B$10:$B$16,"NCAP_TLIFE",$AX$10:$AX$16)),0,""))</f>
        <v/>
      </c>
      <c r="AF80" s="369" t="str">
        <f ca="1">IF($B80&lt;&gt;"PRC_RESID","",IF(AF$7=2005+OFFSET(COM_2012!$B$60,$AW80,SUMIF($B$10:$B$16,"NCAP_TLIFE",$AX$10:$AX$16)),0,""))</f>
        <v/>
      </c>
      <c r="AG80" s="369" t="str">
        <f ca="1">IF($B80&lt;&gt;"PRC_RESID","",IF(AG$7=2005+OFFSET(COM_2012!$B$60,$AW80,SUMIF($B$10:$B$16,"NCAP_TLIFE",$AX$10:$AX$16)),0,""))</f>
        <v/>
      </c>
      <c r="AH80" s="369" t="str">
        <f ca="1">IF($B80&lt;&gt;"PRC_RESID","",IF(AH$7=2005+OFFSET(COM_2012!$B$60,$AW80,SUMIF($B$10:$B$16,"NCAP_TLIFE",$AX$10:$AX$16)),0,""))</f>
        <v/>
      </c>
      <c r="AI80" s="369" t="str">
        <f ca="1">IF($B80&lt;&gt;"PRC_RESID","",IF(AI$7=2005+OFFSET(COM_2012!$B$60,$AW80,SUMIF($B$10:$B$16,"NCAP_TLIFE",$AX$10:$AX$16)),0,""))</f>
        <v/>
      </c>
      <c r="AJ80" s="369" t="str">
        <f ca="1">IF($B80&lt;&gt;"PRC_RESID","",IF(AJ$7=2005+OFFSET(COM_2012!$B$60,$AW80,SUMIF($B$10:$B$16,"NCAP_TLIFE",$AX$10:$AX$16)),0,""))</f>
        <v/>
      </c>
      <c r="AK80" s="369" t="str">
        <f ca="1">IF($B80&lt;&gt;"PRC_RESID","",IF(AK$7=2005+OFFSET(COM_2012!$B$60,$AW80,SUMIF($B$10:$B$16,"NCAP_TLIFE",$AX$10:$AX$16)),0,""))</f>
        <v/>
      </c>
      <c r="AL80" s="369" t="str">
        <f ca="1">IF($B80&lt;&gt;"PRC_RESID","",IF(AL$7=2005+OFFSET(COM_2012!$B$60,$AW80,SUMIF($B$10:$B$16,"NCAP_TLIFE",$AX$10:$AX$16)),0,""))</f>
        <v/>
      </c>
      <c r="AM80" s="369" t="str">
        <f ca="1">IF($B80&lt;&gt;"PRC_RESID","",IF(AM$7=2005+OFFSET(COM_2012!$B$60,$AW80,SUMIF($B$10:$B$16,"NCAP_TLIFE",$AX$10:$AX$16)),0,""))</f>
        <v/>
      </c>
      <c r="AN80" s="369" t="str">
        <f ca="1">IF($B80&lt;&gt;"PRC_RESID","",IF(AN$7=2005+OFFSET(COM_2012!$B$60,$AW80,SUMIF($B$10:$B$16,"NCAP_TLIFE",$AX$10:$AX$16)),0,""))</f>
        <v/>
      </c>
      <c r="AO80" s="369" t="str">
        <f ca="1">IF($B80&lt;&gt;"PRC_RESID","",IF(AO$7=2005+OFFSET(COM_2012!$B$60,$AW80,SUMIF($B$10:$B$16,"NCAP_TLIFE",$AX$10:$AX$16)),0,""))</f>
        <v/>
      </c>
      <c r="AP80" s="369" t="str">
        <f ca="1">IF($B80&lt;&gt;"PRC_RESID","",IF(AP$7=2005+OFFSET(COM_2012!$B$60,$AW80,SUMIF($B$10:$B$16,"NCAP_TLIFE",$AX$10:$AX$16)),0,""))</f>
        <v/>
      </c>
      <c r="AQ80" s="369" t="str">
        <f ca="1">IF($B80&lt;&gt;"PRC_RESID","",IF(AQ$7=2005+OFFSET(COM_2012!$B$60,$AW80,SUMIF($B$10:$B$16,"NCAP_TLIFE",$AX$10:$AX$16)),0,""))</f>
        <v/>
      </c>
      <c r="AR80" s="369" t="str">
        <f ca="1">IF($B80&lt;&gt;"PRC_RESID","",IF(AR$7=2005+OFFSET(COM_2012!$B$60,$AW80,SUMIF($B$10:$B$16,"NCAP_TLIFE",$AX$10:$AX$16)),0,""))</f>
        <v/>
      </c>
      <c r="AS80" s="369" t="str">
        <f ca="1">IF($B80&lt;&gt;"PRC_RESID","",IF(AS$7=2005+OFFSET(COM_2012!$B$60,$AW80,SUMIF($B$10:$B$16,"NCAP_TLIFE",$AX$10:$AX$16)),0,""))</f>
        <v/>
      </c>
      <c r="AT80" s="369" t="str">
        <f ca="1">IF($B80&lt;&gt;"PRC_RESID","",IF(AT$7=2005+OFFSET(COM_2012!$B$60,$AW80,SUMIF($B$10:$B$16,"NCAP_TLIFE",$AX$10:$AX$16)),0,""))</f>
        <v/>
      </c>
      <c r="AU80" s="369" t="str">
        <f ca="1">IF($B80&lt;&gt;"PRC_RESID","",IF(AU$7=2005+OFFSET(COM_2012!$B$60,$AW80,SUMIF($B$10:$B$16,"NCAP_TLIFE",$AX$10:$AX$16)),0,""))</f>
        <v/>
      </c>
      <c r="AV80" s="304">
        <f>IF(AW79=COM_2012!$AI$121,AV79+1,AV79)</f>
        <v>1</v>
      </c>
      <c r="AW80" s="304">
        <f t="shared" si="5"/>
        <v>53</v>
      </c>
    </row>
    <row r="81" spans="1:49">
      <c r="A81" s="304" t="str">
        <f ca="1">IF(LEFT(OFFSET(COM_2012!$A$60,AW81,0),2)="\I","*","")</f>
        <v/>
      </c>
      <c r="B81" s="369" t="str">
        <f t="shared" ca="1" si="9"/>
        <v>ACT_EFF</v>
      </c>
      <c r="C81" s="369" t="str">
        <f ca="1">IF($A81="*","",OFFSET(COM_2012!$B$60,AW81,0))</f>
        <v>CEOODS-E</v>
      </c>
      <c r="D81" s="369" t="str">
        <f t="shared" ca="1" si="8"/>
        <v>-</v>
      </c>
      <c r="E81" s="369" t="str">
        <f t="shared" ca="1" si="8"/>
        <v>ACTGRP</v>
      </c>
      <c r="F81" s="369" t="str">
        <f t="shared" ca="1" si="8"/>
        <v>-</v>
      </c>
      <c r="G81" s="369" t="str">
        <f t="shared" ca="1" si="8"/>
        <v>ANNUAL</v>
      </c>
      <c r="H81" s="369" t="str">
        <f t="shared" ca="1" si="8"/>
        <v>-</v>
      </c>
      <c r="I81" s="370">
        <f t="shared" ca="1" si="8"/>
        <v>0</v>
      </c>
      <c r="J81" s="391">
        <f ca="1">IF($A81="*","",OFFSET(COM_2012!$B$60,AW81,SUMIF($B$10:$B$16,B81,$AX$10:$AX$16)))</f>
        <v>0.9</v>
      </c>
      <c r="K81" s="369" t="str">
        <f ca="1">IF($B81&lt;&gt;"PRC_RESID","",IF(K$7=2005+OFFSET(COM_2012!$B$60,$AW81,SUMIF($B$10:$B$16,"NCAP_TLIFE",$AX$10:$AX$16)),0,""))</f>
        <v/>
      </c>
      <c r="L81" s="369" t="str">
        <f ca="1">IF($B81&lt;&gt;"PRC_RESID","",IF(L$7=2005+OFFSET(COM_2012!$B$60,$AW81,SUMIF($B$10:$B$16,"NCAP_TLIFE",$AX$10:$AX$16)),0,""))</f>
        <v/>
      </c>
      <c r="M81" s="369" t="str">
        <f ca="1">IF($B81&lt;&gt;"PRC_RESID","",IF(M$7=2005+OFFSET(COM_2012!$B$60,$AW81,SUMIF($B$10:$B$16,"NCAP_TLIFE",$AX$10:$AX$16)),0,""))</f>
        <v/>
      </c>
      <c r="N81" s="369" t="str">
        <f ca="1">IF($B81&lt;&gt;"PRC_RESID","",IF(N$7=2005+OFFSET(COM_2012!$B$60,$AW81,SUMIF($B$10:$B$16,"NCAP_TLIFE",$AX$10:$AX$16)),0,""))</f>
        <v/>
      </c>
      <c r="O81" s="658" t="str">
        <f ca="1">IF($B81&lt;&gt;"PRC_RESID","",IF(O$7=2005+OFFSET(COM_2012!$B$60,$AW81,SUMIF($B$10:$B$16,"NCAP_TLIFE",$AX$10:$AX$16)),0,""))</f>
        <v/>
      </c>
      <c r="P81" s="369" t="str">
        <f ca="1">IF($B81&lt;&gt;"PRC_RESID","",IF(P$7=2005+OFFSET(COM_2012!$B$60,$AW81,SUMIF($B$10:$B$16,"NCAP_TLIFE",$AX$10:$AX$16)),0,""))</f>
        <v/>
      </c>
      <c r="Q81" s="369" t="str">
        <f ca="1">IF($B81&lt;&gt;"PRC_RESID","",IF(Q$7=2005+OFFSET(COM_2012!$B$60,$AW81,SUMIF($B$10:$B$16,"NCAP_TLIFE",$AX$10:$AX$16)),0,""))</f>
        <v/>
      </c>
      <c r="R81" s="369" t="str">
        <f ca="1">IF($B81&lt;&gt;"PRC_RESID","",IF(R$7=2005+OFFSET(COM_2012!$B$60,$AW81,SUMIF($B$10:$B$16,"NCAP_TLIFE",$AX$10:$AX$16)),0,""))</f>
        <v/>
      </c>
      <c r="S81" s="369" t="str">
        <f ca="1">IF($B81&lt;&gt;"PRC_RESID","",IF(S$7=2005+OFFSET(COM_2012!$B$60,$AW81,SUMIF($B$10:$B$16,"NCAP_TLIFE",$AX$10:$AX$16)),0,""))</f>
        <v/>
      </c>
      <c r="T81" s="369" t="str">
        <f ca="1">IF($B81&lt;&gt;"PRC_RESID","",IF(T$7=2005+OFFSET(COM_2012!$B$60,$AW81,SUMIF($B$10:$B$16,"NCAP_TLIFE",$AX$10:$AX$16)),0,""))</f>
        <v/>
      </c>
      <c r="U81" s="369" t="str">
        <f ca="1">IF($B81&lt;&gt;"PRC_RESID","",IF(U$7=2005+OFFSET(COM_2012!$B$60,$AW81,SUMIF($B$10:$B$16,"NCAP_TLIFE",$AX$10:$AX$16)),0,""))</f>
        <v/>
      </c>
      <c r="V81" s="369" t="str">
        <f ca="1">IF($B81&lt;&gt;"PRC_RESID","",IF(V$7=2005+OFFSET(COM_2012!$B$60,$AW81,SUMIF($B$10:$B$16,"NCAP_TLIFE",$AX$10:$AX$16)),0,""))</f>
        <v/>
      </c>
      <c r="W81" s="369" t="str">
        <f ca="1">IF($B81&lt;&gt;"PRC_RESID","",IF(W$7=2005+OFFSET(COM_2012!$B$60,$AW81,SUMIF($B$10:$B$16,"NCAP_TLIFE",$AX$10:$AX$16)),0,""))</f>
        <v/>
      </c>
      <c r="X81" s="369" t="str">
        <f ca="1">IF($B81&lt;&gt;"PRC_RESID","",IF(X$7=2005+OFFSET(COM_2012!$B$60,$AW81,SUMIF($B$10:$B$16,"NCAP_TLIFE",$AX$10:$AX$16)),0,""))</f>
        <v/>
      </c>
      <c r="Y81" s="369" t="str">
        <f ca="1">IF($B81&lt;&gt;"PRC_RESID","",IF(Y$7=2005+OFFSET(COM_2012!$B$60,$AW81,SUMIF($B$10:$B$16,"NCAP_TLIFE",$AX$10:$AX$16)),0,""))</f>
        <v/>
      </c>
      <c r="Z81" s="369" t="str">
        <f ca="1">IF($B81&lt;&gt;"PRC_RESID","",IF(Z$7=2005+OFFSET(COM_2012!$B$60,$AW81,SUMIF($B$10:$B$16,"NCAP_TLIFE",$AX$10:$AX$16)),0,""))</f>
        <v/>
      </c>
      <c r="AA81" s="369" t="str">
        <f ca="1">IF($B81&lt;&gt;"PRC_RESID","",IF(AA$7=2005+OFFSET(COM_2012!$B$60,$AW81,SUMIF($B$10:$B$16,"NCAP_TLIFE",$AX$10:$AX$16)),0,""))</f>
        <v/>
      </c>
      <c r="AB81" s="369" t="str">
        <f ca="1">IF($B81&lt;&gt;"PRC_RESID","",IF(AB$7=2005+OFFSET(COM_2012!$B$60,$AW81,SUMIF($B$10:$B$16,"NCAP_TLIFE",$AX$10:$AX$16)),0,""))</f>
        <v/>
      </c>
      <c r="AC81" s="369" t="str">
        <f ca="1">IF($B81&lt;&gt;"PRC_RESID","",IF(AC$7=2005+OFFSET(COM_2012!$B$60,$AW81,SUMIF($B$10:$B$16,"NCAP_TLIFE",$AX$10:$AX$16)),0,""))</f>
        <v/>
      </c>
      <c r="AD81" s="369" t="str">
        <f ca="1">IF($B81&lt;&gt;"PRC_RESID","",IF(AD$7=2005+OFFSET(COM_2012!$B$60,$AW81,SUMIF($B$10:$B$16,"NCAP_TLIFE",$AX$10:$AX$16)),0,""))</f>
        <v/>
      </c>
      <c r="AE81" s="369" t="str">
        <f ca="1">IF($B81&lt;&gt;"PRC_RESID","",IF(AE$7=2005+OFFSET(COM_2012!$B$60,$AW81,SUMIF($B$10:$B$16,"NCAP_TLIFE",$AX$10:$AX$16)),0,""))</f>
        <v/>
      </c>
      <c r="AF81" s="369" t="str">
        <f ca="1">IF($B81&lt;&gt;"PRC_RESID","",IF(AF$7=2005+OFFSET(COM_2012!$B$60,$AW81,SUMIF($B$10:$B$16,"NCAP_TLIFE",$AX$10:$AX$16)),0,""))</f>
        <v/>
      </c>
      <c r="AG81" s="369" t="str">
        <f ca="1">IF($B81&lt;&gt;"PRC_RESID","",IF(AG$7=2005+OFFSET(COM_2012!$B$60,$AW81,SUMIF($B$10:$B$16,"NCAP_TLIFE",$AX$10:$AX$16)),0,""))</f>
        <v/>
      </c>
      <c r="AH81" s="369" t="str">
        <f ca="1">IF($B81&lt;&gt;"PRC_RESID","",IF(AH$7=2005+OFFSET(COM_2012!$B$60,$AW81,SUMIF($B$10:$B$16,"NCAP_TLIFE",$AX$10:$AX$16)),0,""))</f>
        <v/>
      </c>
      <c r="AI81" s="369" t="str">
        <f ca="1">IF($B81&lt;&gt;"PRC_RESID","",IF(AI$7=2005+OFFSET(COM_2012!$B$60,$AW81,SUMIF($B$10:$B$16,"NCAP_TLIFE",$AX$10:$AX$16)),0,""))</f>
        <v/>
      </c>
      <c r="AJ81" s="369" t="str">
        <f ca="1">IF($B81&lt;&gt;"PRC_RESID","",IF(AJ$7=2005+OFFSET(COM_2012!$B$60,$AW81,SUMIF($B$10:$B$16,"NCAP_TLIFE",$AX$10:$AX$16)),0,""))</f>
        <v/>
      </c>
      <c r="AK81" s="369" t="str">
        <f ca="1">IF($B81&lt;&gt;"PRC_RESID","",IF(AK$7=2005+OFFSET(COM_2012!$B$60,$AW81,SUMIF($B$10:$B$16,"NCAP_TLIFE",$AX$10:$AX$16)),0,""))</f>
        <v/>
      </c>
      <c r="AL81" s="369" t="str">
        <f ca="1">IF($B81&lt;&gt;"PRC_RESID","",IF(AL$7=2005+OFFSET(COM_2012!$B$60,$AW81,SUMIF($B$10:$B$16,"NCAP_TLIFE",$AX$10:$AX$16)),0,""))</f>
        <v/>
      </c>
      <c r="AM81" s="369" t="str">
        <f ca="1">IF($B81&lt;&gt;"PRC_RESID","",IF(AM$7=2005+OFFSET(COM_2012!$B$60,$AW81,SUMIF($B$10:$B$16,"NCAP_TLIFE",$AX$10:$AX$16)),0,""))</f>
        <v/>
      </c>
      <c r="AN81" s="369" t="str">
        <f ca="1">IF($B81&lt;&gt;"PRC_RESID","",IF(AN$7=2005+OFFSET(COM_2012!$B$60,$AW81,SUMIF($B$10:$B$16,"NCAP_TLIFE",$AX$10:$AX$16)),0,""))</f>
        <v/>
      </c>
      <c r="AO81" s="369" t="str">
        <f ca="1">IF($B81&lt;&gt;"PRC_RESID","",IF(AO$7=2005+OFFSET(COM_2012!$B$60,$AW81,SUMIF($B$10:$B$16,"NCAP_TLIFE",$AX$10:$AX$16)),0,""))</f>
        <v/>
      </c>
      <c r="AP81" s="369" t="str">
        <f ca="1">IF($B81&lt;&gt;"PRC_RESID","",IF(AP$7=2005+OFFSET(COM_2012!$B$60,$AW81,SUMIF($B$10:$B$16,"NCAP_TLIFE",$AX$10:$AX$16)),0,""))</f>
        <v/>
      </c>
      <c r="AQ81" s="369" t="str">
        <f ca="1">IF($B81&lt;&gt;"PRC_RESID","",IF(AQ$7=2005+OFFSET(COM_2012!$B$60,$AW81,SUMIF($B$10:$B$16,"NCAP_TLIFE",$AX$10:$AX$16)),0,""))</f>
        <v/>
      </c>
      <c r="AR81" s="369" t="str">
        <f ca="1">IF($B81&lt;&gt;"PRC_RESID","",IF(AR$7=2005+OFFSET(COM_2012!$B$60,$AW81,SUMIF($B$10:$B$16,"NCAP_TLIFE",$AX$10:$AX$16)),0,""))</f>
        <v/>
      </c>
      <c r="AS81" s="369" t="str">
        <f ca="1">IF($B81&lt;&gt;"PRC_RESID","",IF(AS$7=2005+OFFSET(COM_2012!$B$60,$AW81,SUMIF($B$10:$B$16,"NCAP_TLIFE",$AX$10:$AX$16)),0,""))</f>
        <v/>
      </c>
      <c r="AT81" s="369" t="str">
        <f ca="1">IF($B81&lt;&gt;"PRC_RESID","",IF(AT$7=2005+OFFSET(COM_2012!$B$60,$AW81,SUMIF($B$10:$B$16,"NCAP_TLIFE",$AX$10:$AX$16)),0,""))</f>
        <v/>
      </c>
      <c r="AU81" s="369" t="str">
        <f ca="1">IF($B81&lt;&gt;"PRC_RESID","",IF(AU$7=2005+OFFSET(COM_2012!$B$60,$AW81,SUMIF($B$10:$B$16,"NCAP_TLIFE",$AX$10:$AX$16)),0,""))</f>
        <v/>
      </c>
      <c r="AV81" s="304">
        <f>IF(AW80=COM_2012!$AI$121,AV80+1,AV80)</f>
        <v>1</v>
      </c>
      <c r="AW81" s="304">
        <f t="shared" si="5"/>
        <v>54</v>
      </c>
    </row>
    <row r="82" spans="1:49">
      <c r="A82" s="304" t="str">
        <f ca="1">IF(LEFT(OFFSET(COM_2012!$A$60,AW82,0),2)="\I","*","")</f>
        <v/>
      </c>
      <c r="B82" s="369" t="str">
        <f t="shared" ca="1" si="2"/>
        <v>ACT_EFF</v>
      </c>
      <c r="C82" s="369" t="str">
        <f ca="1">IF($A82="*","",OFFSET(COM_2012!$B$60,AW82,0))</f>
        <v>CEOELC-E</v>
      </c>
      <c r="D82" s="369" t="str">
        <f t="shared" ca="1" si="8"/>
        <v>-</v>
      </c>
      <c r="E82" s="369" t="str">
        <f t="shared" ca="1" si="8"/>
        <v>ACTGRP</v>
      </c>
      <c r="F82" s="369" t="str">
        <f t="shared" ca="1" si="8"/>
        <v>-</v>
      </c>
      <c r="G82" s="369" t="str">
        <f t="shared" ca="1" si="8"/>
        <v>ANNUAL</v>
      </c>
      <c r="H82" s="369" t="str">
        <f t="shared" ca="1" si="8"/>
        <v>-</v>
      </c>
      <c r="I82" s="370">
        <f t="shared" ca="1" si="8"/>
        <v>0</v>
      </c>
      <c r="J82" s="391">
        <f ca="1">IF($A82="*","",OFFSET(COM_2012!$B$60,AW82,SUMIF($B$10:$B$16,B82,$AX$10:$AX$16)))</f>
        <v>0.75</v>
      </c>
      <c r="K82" s="369" t="str">
        <f ca="1">IF($B82&lt;&gt;"PRC_RESID","",IF(K$7=2005+OFFSET(COM_2012!$B$60,$AW82,SUMIF($B$10:$B$16,"NCAP_TLIFE",$AX$10:$AX$16)),0,""))</f>
        <v/>
      </c>
      <c r="L82" s="369" t="str">
        <f ca="1">IF($B82&lt;&gt;"PRC_RESID","",IF(L$7=2005+OFFSET(COM_2012!$B$60,$AW82,SUMIF($B$10:$B$16,"NCAP_TLIFE",$AX$10:$AX$16)),0,""))</f>
        <v/>
      </c>
      <c r="M82" s="369" t="str">
        <f ca="1">IF($B82&lt;&gt;"PRC_RESID","",IF(M$7=2005+OFFSET(COM_2012!$B$60,$AW82,SUMIF($B$10:$B$16,"NCAP_TLIFE",$AX$10:$AX$16)),0,""))</f>
        <v/>
      </c>
      <c r="N82" s="369" t="str">
        <f ca="1">IF($B82&lt;&gt;"PRC_RESID","",IF(N$7=2005+OFFSET(COM_2012!$B$60,$AW82,SUMIF($B$10:$B$16,"NCAP_TLIFE",$AX$10:$AX$16)),0,""))</f>
        <v/>
      </c>
      <c r="O82" s="658" t="str">
        <f ca="1">IF($B82&lt;&gt;"PRC_RESID","",IF(O$7=2005+OFFSET(COM_2012!$B$60,$AW82,SUMIF($B$10:$B$16,"NCAP_TLIFE",$AX$10:$AX$16)),0,""))</f>
        <v/>
      </c>
      <c r="P82" s="369" t="str">
        <f ca="1">IF($B82&lt;&gt;"PRC_RESID","",IF(P$7=2005+OFFSET(COM_2012!$B$60,$AW82,SUMIF($B$10:$B$16,"NCAP_TLIFE",$AX$10:$AX$16)),0,""))</f>
        <v/>
      </c>
      <c r="Q82" s="369" t="str">
        <f ca="1">IF($B82&lt;&gt;"PRC_RESID","",IF(Q$7=2005+OFFSET(COM_2012!$B$60,$AW82,SUMIF($B$10:$B$16,"NCAP_TLIFE",$AX$10:$AX$16)),0,""))</f>
        <v/>
      </c>
      <c r="R82" s="369" t="str">
        <f ca="1">IF($B82&lt;&gt;"PRC_RESID","",IF(R$7=2005+OFFSET(COM_2012!$B$60,$AW82,SUMIF($B$10:$B$16,"NCAP_TLIFE",$AX$10:$AX$16)),0,""))</f>
        <v/>
      </c>
      <c r="S82" s="369" t="str">
        <f ca="1">IF($B82&lt;&gt;"PRC_RESID","",IF(S$7=2005+OFFSET(COM_2012!$B$60,$AW82,SUMIF($B$10:$B$16,"NCAP_TLIFE",$AX$10:$AX$16)),0,""))</f>
        <v/>
      </c>
      <c r="T82" s="369" t="str">
        <f ca="1">IF($B82&lt;&gt;"PRC_RESID","",IF(T$7=2005+OFFSET(COM_2012!$B$60,$AW82,SUMIF($B$10:$B$16,"NCAP_TLIFE",$AX$10:$AX$16)),0,""))</f>
        <v/>
      </c>
      <c r="U82" s="369" t="str">
        <f ca="1">IF($B82&lt;&gt;"PRC_RESID","",IF(U$7=2005+OFFSET(COM_2012!$B$60,$AW82,SUMIF($B$10:$B$16,"NCAP_TLIFE",$AX$10:$AX$16)),0,""))</f>
        <v/>
      </c>
      <c r="V82" s="369" t="str">
        <f ca="1">IF($B82&lt;&gt;"PRC_RESID","",IF(V$7=2005+OFFSET(COM_2012!$B$60,$AW82,SUMIF($B$10:$B$16,"NCAP_TLIFE",$AX$10:$AX$16)),0,""))</f>
        <v/>
      </c>
      <c r="W82" s="369" t="str">
        <f ca="1">IF($B82&lt;&gt;"PRC_RESID","",IF(W$7=2005+OFFSET(COM_2012!$B$60,$AW82,SUMIF($B$10:$B$16,"NCAP_TLIFE",$AX$10:$AX$16)),0,""))</f>
        <v/>
      </c>
      <c r="X82" s="369" t="str">
        <f ca="1">IF($B82&lt;&gt;"PRC_RESID","",IF(X$7=2005+OFFSET(COM_2012!$B$60,$AW82,SUMIF($B$10:$B$16,"NCAP_TLIFE",$AX$10:$AX$16)),0,""))</f>
        <v/>
      </c>
      <c r="Y82" s="369" t="str">
        <f ca="1">IF($B82&lt;&gt;"PRC_RESID","",IF(Y$7=2005+OFFSET(COM_2012!$B$60,$AW82,SUMIF($B$10:$B$16,"NCAP_TLIFE",$AX$10:$AX$16)),0,""))</f>
        <v/>
      </c>
      <c r="Z82" s="369" t="str">
        <f ca="1">IF($B82&lt;&gt;"PRC_RESID","",IF(Z$7=2005+OFFSET(COM_2012!$B$60,$AW82,SUMIF($B$10:$B$16,"NCAP_TLIFE",$AX$10:$AX$16)),0,""))</f>
        <v/>
      </c>
      <c r="AA82" s="369" t="str">
        <f ca="1">IF($B82&lt;&gt;"PRC_RESID","",IF(AA$7=2005+OFFSET(COM_2012!$B$60,$AW82,SUMIF($B$10:$B$16,"NCAP_TLIFE",$AX$10:$AX$16)),0,""))</f>
        <v/>
      </c>
      <c r="AB82" s="369" t="str">
        <f ca="1">IF($B82&lt;&gt;"PRC_RESID","",IF(AB$7=2005+OFFSET(COM_2012!$B$60,$AW82,SUMIF($B$10:$B$16,"NCAP_TLIFE",$AX$10:$AX$16)),0,""))</f>
        <v/>
      </c>
      <c r="AC82" s="369" t="str">
        <f ca="1">IF($B82&lt;&gt;"PRC_RESID","",IF(AC$7=2005+OFFSET(COM_2012!$B$60,$AW82,SUMIF($B$10:$B$16,"NCAP_TLIFE",$AX$10:$AX$16)),0,""))</f>
        <v/>
      </c>
      <c r="AD82" s="369" t="str">
        <f ca="1">IF($B82&lt;&gt;"PRC_RESID","",IF(AD$7=2005+OFFSET(COM_2012!$B$60,$AW82,SUMIF($B$10:$B$16,"NCAP_TLIFE",$AX$10:$AX$16)),0,""))</f>
        <v/>
      </c>
      <c r="AE82" s="369" t="str">
        <f ca="1">IF($B82&lt;&gt;"PRC_RESID","",IF(AE$7=2005+OFFSET(COM_2012!$B$60,$AW82,SUMIF($B$10:$B$16,"NCAP_TLIFE",$AX$10:$AX$16)),0,""))</f>
        <v/>
      </c>
      <c r="AF82" s="369" t="str">
        <f ca="1">IF($B82&lt;&gt;"PRC_RESID","",IF(AF$7=2005+OFFSET(COM_2012!$B$60,$AW82,SUMIF($B$10:$B$16,"NCAP_TLIFE",$AX$10:$AX$16)),0,""))</f>
        <v/>
      </c>
      <c r="AG82" s="369" t="str">
        <f ca="1">IF($B82&lt;&gt;"PRC_RESID","",IF(AG$7=2005+OFFSET(COM_2012!$B$60,$AW82,SUMIF($B$10:$B$16,"NCAP_TLIFE",$AX$10:$AX$16)),0,""))</f>
        <v/>
      </c>
      <c r="AH82" s="369" t="str">
        <f ca="1">IF($B82&lt;&gt;"PRC_RESID","",IF(AH$7=2005+OFFSET(COM_2012!$B$60,$AW82,SUMIF($B$10:$B$16,"NCAP_TLIFE",$AX$10:$AX$16)),0,""))</f>
        <v/>
      </c>
      <c r="AI82" s="369" t="str">
        <f ca="1">IF($B82&lt;&gt;"PRC_RESID","",IF(AI$7=2005+OFFSET(COM_2012!$B$60,$AW82,SUMIF($B$10:$B$16,"NCAP_TLIFE",$AX$10:$AX$16)),0,""))</f>
        <v/>
      </c>
      <c r="AJ82" s="369" t="str">
        <f ca="1">IF($B82&lt;&gt;"PRC_RESID","",IF(AJ$7=2005+OFFSET(COM_2012!$B$60,$AW82,SUMIF($B$10:$B$16,"NCAP_TLIFE",$AX$10:$AX$16)),0,""))</f>
        <v/>
      </c>
      <c r="AK82" s="369" t="str">
        <f ca="1">IF($B82&lt;&gt;"PRC_RESID","",IF(AK$7=2005+OFFSET(COM_2012!$B$60,$AW82,SUMIF($B$10:$B$16,"NCAP_TLIFE",$AX$10:$AX$16)),0,""))</f>
        <v/>
      </c>
      <c r="AL82" s="369" t="str">
        <f ca="1">IF($B82&lt;&gt;"PRC_RESID","",IF(AL$7=2005+OFFSET(COM_2012!$B$60,$AW82,SUMIF($B$10:$B$16,"NCAP_TLIFE",$AX$10:$AX$16)),0,""))</f>
        <v/>
      </c>
      <c r="AM82" s="369" t="str">
        <f ca="1">IF($B82&lt;&gt;"PRC_RESID","",IF(AM$7=2005+OFFSET(COM_2012!$B$60,$AW82,SUMIF($B$10:$B$16,"NCAP_TLIFE",$AX$10:$AX$16)),0,""))</f>
        <v/>
      </c>
      <c r="AN82" s="369" t="str">
        <f ca="1">IF($B82&lt;&gt;"PRC_RESID","",IF(AN$7=2005+OFFSET(COM_2012!$B$60,$AW82,SUMIF($B$10:$B$16,"NCAP_TLIFE",$AX$10:$AX$16)),0,""))</f>
        <v/>
      </c>
      <c r="AO82" s="369" t="str">
        <f ca="1">IF($B82&lt;&gt;"PRC_RESID","",IF(AO$7=2005+OFFSET(COM_2012!$B$60,$AW82,SUMIF($B$10:$B$16,"NCAP_TLIFE",$AX$10:$AX$16)),0,""))</f>
        <v/>
      </c>
      <c r="AP82" s="369" t="str">
        <f ca="1">IF($B82&lt;&gt;"PRC_RESID","",IF(AP$7=2005+OFFSET(COM_2012!$B$60,$AW82,SUMIF($B$10:$B$16,"NCAP_TLIFE",$AX$10:$AX$16)),0,""))</f>
        <v/>
      </c>
      <c r="AQ82" s="369" t="str">
        <f ca="1">IF($B82&lt;&gt;"PRC_RESID","",IF(AQ$7=2005+OFFSET(COM_2012!$B$60,$AW82,SUMIF($B$10:$B$16,"NCAP_TLIFE",$AX$10:$AX$16)),0,""))</f>
        <v/>
      </c>
      <c r="AR82" s="369" t="str">
        <f ca="1">IF($B82&lt;&gt;"PRC_RESID","",IF(AR$7=2005+OFFSET(COM_2012!$B$60,$AW82,SUMIF($B$10:$B$16,"NCAP_TLIFE",$AX$10:$AX$16)),0,""))</f>
        <v/>
      </c>
      <c r="AS82" s="369" t="str">
        <f ca="1">IF($B82&lt;&gt;"PRC_RESID","",IF(AS$7=2005+OFFSET(COM_2012!$B$60,$AW82,SUMIF($B$10:$B$16,"NCAP_TLIFE",$AX$10:$AX$16)),0,""))</f>
        <v/>
      </c>
      <c r="AT82" s="369" t="str">
        <f ca="1">IF($B82&lt;&gt;"PRC_RESID","",IF(AT$7=2005+OFFSET(COM_2012!$B$60,$AW82,SUMIF($B$10:$B$16,"NCAP_TLIFE",$AX$10:$AX$16)),0,""))</f>
        <v/>
      </c>
      <c r="AU82" s="369" t="str">
        <f ca="1">IF($B82&lt;&gt;"PRC_RESID","",IF(AU$7=2005+OFFSET(COM_2012!$B$60,$AW82,SUMIF($B$10:$B$16,"NCAP_TLIFE",$AX$10:$AX$16)),0,""))</f>
        <v/>
      </c>
      <c r="AV82" s="304">
        <f>IF(AW81=COM_2012!$AI$121,AV81+1,AV81)</f>
        <v>1</v>
      </c>
      <c r="AW82" s="304">
        <f t="shared" si="5"/>
        <v>55</v>
      </c>
    </row>
    <row r="83" spans="1:49">
      <c r="A83" s="304" t="str">
        <f ca="1">IF(LEFT(OFFSET(COM_2012!$A$60,AW83,0),2)="\I","*","")</f>
        <v/>
      </c>
      <c r="B83" s="369" t="str">
        <f t="shared" ca="1" si="2"/>
        <v>ACT_EFF</v>
      </c>
      <c r="C83" s="369" t="str">
        <f ca="1">IF($A83="*","",OFFSET(COM_2012!$B$60,AW83,0))</f>
        <v>CEOGAS-E</v>
      </c>
      <c r="D83" s="369" t="str">
        <f t="shared" ca="1" si="8"/>
        <v>-</v>
      </c>
      <c r="E83" s="369" t="str">
        <f t="shared" ca="1" si="8"/>
        <v>ACTGRP</v>
      </c>
      <c r="F83" s="369" t="str">
        <f t="shared" ca="1" si="8"/>
        <v>-</v>
      </c>
      <c r="G83" s="369" t="str">
        <f t="shared" ca="1" si="8"/>
        <v>ANNUAL</v>
      </c>
      <c r="H83" s="369" t="str">
        <f t="shared" ca="1" si="8"/>
        <v>-</v>
      </c>
      <c r="I83" s="370">
        <f t="shared" ca="1" si="8"/>
        <v>0</v>
      </c>
      <c r="J83" s="391">
        <f ca="1">IF($A83="*","",OFFSET(COM_2012!$B$60,AW83,SUMIF($B$10:$B$16,B83,$AX$10:$AX$16)))</f>
        <v>1</v>
      </c>
      <c r="K83" s="369" t="str">
        <f ca="1">IF($B83&lt;&gt;"PRC_RESID","",IF(K$7=2005+OFFSET(COM_2012!$B$60,$AW83,SUMIF($B$10:$B$16,"NCAP_TLIFE",$AX$10:$AX$16)),0,""))</f>
        <v/>
      </c>
      <c r="L83" s="369" t="str">
        <f ca="1">IF($B83&lt;&gt;"PRC_RESID","",IF(L$7=2005+OFFSET(COM_2012!$B$60,$AW83,SUMIF($B$10:$B$16,"NCAP_TLIFE",$AX$10:$AX$16)),0,""))</f>
        <v/>
      </c>
      <c r="M83" s="369" t="str">
        <f ca="1">IF($B83&lt;&gt;"PRC_RESID","",IF(M$7=2005+OFFSET(COM_2012!$B$60,$AW83,SUMIF($B$10:$B$16,"NCAP_TLIFE",$AX$10:$AX$16)),0,""))</f>
        <v/>
      </c>
      <c r="N83" s="369" t="str">
        <f ca="1">IF($B83&lt;&gt;"PRC_RESID","",IF(N$7=2005+OFFSET(COM_2012!$B$60,$AW83,SUMIF($B$10:$B$16,"NCAP_TLIFE",$AX$10:$AX$16)),0,""))</f>
        <v/>
      </c>
      <c r="O83" s="658" t="str">
        <f ca="1">IF($B83&lt;&gt;"PRC_RESID","",IF(O$7=2005+OFFSET(COM_2012!$B$60,$AW83,SUMIF($B$10:$B$16,"NCAP_TLIFE",$AX$10:$AX$16)),0,""))</f>
        <v/>
      </c>
      <c r="P83" s="369" t="str">
        <f ca="1">IF($B83&lt;&gt;"PRC_RESID","",IF(P$7=2005+OFFSET(COM_2012!$B$60,$AW83,SUMIF($B$10:$B$16,"NCAP_TLIFE",$AX$10:$AX$16)),0,""))</f>
        <v/>
      </c>
      <c r="Q83" s="369" t="str">
        <f ca="1">IF($B83&lt;&gt;"PRC_RESID","",IF(Q$7=2005+OFFSET(COM_2012!$B$60,$AW83,SUMIF($B$10:$B$16,"NCAP_TLIFE",$AX$10:$AX$16)),0,""))</f>
        <v/>
      </c>
      <c r="R83" s="369" t="str">
        <f ca="1">IF($B83&lt;&gt;"PRC_RESID","",IF(R$7=2005+OFFSET(COM_2012!$B$60,$AW83,SUMIF($B$10:$B$16,"NCAP_TLIFE",$AX$10:$AX$16)),0,""))</f>
        <v/>
      </c>
      <c r="S83" s="369" t="str">
        <f ca="1">IF($B83&lt;&gt;"PRC_RESID","",IF(S$7=2005+OFFSET(COM_2012!$B$60,$AW83,SUMIF($B$10:$B$16,"NCAP_TLIFE",$AX$10:$AX$16)),0,""))</f>
        <v/>
      </c>
      <c r="T83" s="369" t="str">
        <f ca="1">IF($B83&lt;&gt;"PRC_RESID","",IF(T$7=2005+OFFSET(COM_2012!$B$60,$AW83,SUMIF($B$10:$B$16,"NCAP_TLIFE",$AX$10:$AX$16)),0,""))</f>
        <v/>
      </c>
      <c r="U83" s="369" t="str">
        <f ca="1">IF($B83&lt;&gt;"PRC_RESID","",IF(U$7=2005+OFFSET(COM_2012!$B$60,$AW83,SUMIF($B$10:$B$16,"NCAP_TLIFE",$AX$10:$AX$16)),0,""))</f>
        <v/>
      </c>
      <c r="V83" s="369" t="str">
        <f ca="1">IF($B83&lt;&gt;"PRC_RESID","",IF(V$7=2005+OFFSET(COM_2012!$B$60,$AW83,SUMIF($B$10:$B$16,"NCAP_TLIFE",$AX$10:$AX$16)),0,""))</f>
        <v/>
      </c>
      <c r="W83" s="369" t="str">
        <f ca="1">IF($B83&lt;&gt;"PRC_RESID","",IF(W$7=2005+OFFSET(COM_2012!$B$60,$AW83,SUMIF($B$10:$B$16,"NCAP_TLIFE",$AX$10:$AX$16)),0,""))</f>
        <v/>
      </c>
      <c r="X83" s="369" t="str">
        <f ca="1">IF($B83&lt;&gt;"PRC_RESID","",IF(X$7=2005+OFFSET(COM_2012!$B$60,$AW83,SUMIF($B$10:$B$16,"NCAP_TLIFE",$AX$10:$AX$16)),0,""))</f>
        <v/>
      </c>
      <c r="Y83" s="369" t="str">
        <f ca="1">IF($B83&lt;&gt;"PRC_RESID","",IF(Y$7=2005+OFFSET(COM_2012!$B$60,$AW83,SUMIF($B$10:$B$16,"NCAP_TLIFE",$AX$10:$AX$16)),0,""))</f>
        <v/>
      </c>
      <c r="Z83" s="369" t="str">
        <f ca="1">IF($B83&lt;&gt;"PRC_RESID","",IF(Z$7=2005+OFFSET(COM_2012!$B$60,$AW83,SUMIF($B$10:$B$16,"NCAP_TLIFE",$AX$10:$AX$16)),0,""))</f>
        <v/>
      </c>
      <c r="AA83" s="369" t="str">
        <f ca="1">IF($B83&lt;&gt;"PRC_RESID","",IF(AA$7=2005+OFFSET(COM_2012!$B$60,$AW83,SUMIF($B$10:$B$16,"NCAP_TLIFE",$AX$10:$AX$16)),0,""))</f>
        <v/>
      </c>
      <c r="AB83" s="369" t="str">
        <f ca="1">IF($B83&lt;&gt;"PRC_RESID","",IF(AB$7=2005+OFFSET(COM_2012!$B$60,$AW83,SUMIF($B$10:$B$16,"NCAP_TLIFE",$AX$10:$AX$16)),0,""))</f>
        <v/>
      </c>
      <c r="AC83" s="369" t="str">
        <f ca="1">IF($B83&lt;&gt;"PRC_RESID","",IF(AC$7=2005+OFFSET(COM_2012!$B$60,$AW83,SUMIF($B$10:$B$16,"NCAP_TLIFE",$AX$10:$AX$16)),0,""))</f>
        <v/>
      </c>
      <c r="AD83" s="369" t="str">
        <f ca="1">IF($B83&lt;&gt;"PRC_RESID","",IF(AD$7=2005+OFFSET(COM_2012!$B$60,$AW83,SUMIF($B$10:$B$16,"NCAP_TLIFE",$AX$10:$AX$16)),0,""))</f>
        <v/>
      </c>
      <c r="AE83" s="369" t="str">
        <f ca="1">IF($B83&lt;&gt;"PRC_RESID","",IF(AE$7=2005+OFFSET(COM_2012!$B$60,$AW83,SUMIF($B$10:$B$16,"NCAP_TLIFE",$AX$10:$AX$16)),0,""))</f>
        <v/>
      </c>
      <c r="AF83" s="369" t="str">
        <f ca="1">IF($B83&lt;&gt;"PRC_RESID","",IF(AF$7=2005+OFFSET(COM_2012!$B$60,$AW83,SUMIF($B$10:$B$16,"NCAP_TLIFE",$AX$10:$AX$16)),0,""))</f>
        <v/>
      </c>
      <c r="AG83" s="369" t="str">
        <f ca="1">IF($B83&lt;&gt;"PRC_RESID","",IF(AG$7=2005+OFFSET(COM_2012!$B$60,$AW83,SUMIF($B$10:$B$16,"NCAP_TLIFE",$AX$10:$AX$16)),0,""))</f>
        <v/>
      </c>
      <c r="AH83" s="369" t="str">
        <f ca="1">IF($B83&lt;&gt;"PRC_RESID","",IF(AH$7=2005+OFFSET(COM_2012!$B$60,$AW83,SUMIF($B$10:$B$16,"NCAP_TLIFE",$AX$10:$AX$16)),0,""))</f>
        <v/>
      </c>
      <c r="AI83" s="369" t="str">
        <f ca="1">IF($B83&lt;&gt;"PRC_RESID","",IF(AI$7=2005+OFFSET(COM_2012!$B$60,$AW83,SUMIF($B$10:$B$16,"NCAP_TLIFE",$AX$10:$AX$16)),0,""))</f>
        <v/>
      </c>
      <c r="AJ83" s="369" t="str">
        <f ca="1">IF($B83&lt;&gt;"PRC_RESID","",IF(AJ$7=2005+OFFSET(COM_2012!$B$60,$AW83,SUMIF($B$10:$B$16,"NCAP_TLIFE",$AX$10:$AX$16)),0,""))</f>
        <v/>
      </c>
      <c r="AK83" s="369" t="str">
        <f ca="1">IF($B83&lt;&gt;"PRC_RESID","",IF(AK$7=2005+OFFSET(COM_2012!$B$60,$AW83,SUMIF($B$10:$B$16,"NCAP_TLIFE",$AX$10:$AX$16)),0,""))</f>
        <v/>
      </c>
      <c r="AL83" s="369" t="str">
        <f ca="1">IF($B83&lt;&gt;"PRC_RESID","",IF(AL$7=2005+OFFSET(COM_2012!$B$60,$AW83,SUMIF($B$10:$B$16,"NCAP_TLIFE",$AX$10:$AX$16)),0,""))</f>
        <v/>
      </c>
      <c r="AM83" s="369" t="str">
        <f ca="1">IF($B83&lt;&gt;"PRC_RESID","",IF(AM$7=2005+OFFSET(COM_2012!$B$60,$AW83,SUMIF($B$10:$B$16,"NCAP_TLIFE",$AX$10:$AX$16)),0,""))</f>
        <v/>
      </c>
      <c r="AN83" s="369" t="str">
        <f ca="1">IF($B83&lt;&gt;"PRC_RESID","",IF(AN$7=2005+OFFSET(COM_2012!$B$60,$AW83,SUMIF($B$10:$B$16,"NCAP_TLIFE",$AX$10:$AX$16)),0,""))</f>
        <v/>
      </c>
      <c r="AO83" s="369" t="str">
        <f ca="1">IF($B83&lt;&gt;"PRC_RESID","",IF(AO$7=2005+OFFSET(COM_2012!$B$60,$AW83,SUMIF($B$10:$B$16,"NCAP_TLIFE",$AX$10:$AX$16)),0,""))</f>
        <v/>
      </c>
      <c r="AP83" s="369" t="str">
        <f ca="1">IF($B83&lt;&gt;"PRC_RESID","",IF(AP$7=2005+OFFSET(COM_2012!$B$60,$AW83,SUMIF($B$10:$B$16,"NCAP_TLIFE",$AX$10:$AX$16)),0,""))</f>
        <v/>
      </c>
      <c r="AQ83" s="369" t="str">
        <f ca="1">IF($B83&lt;&gt;"PRC_RESID","",IF(AQ$7=2005+OFFSET(COM_2012!$B$60,$AW83,SUMIF($B$10:$B$16,"NCAP_TLIFE",$AX$10:$AX$16)),0,""))</f>
        <v/>
      </c>
      <c r="AR83" s="369" t="str">
        <f ca="1">IF($B83&lt;&gt;"PRC_RESID","",IF(AR$7=2005+OFFSET(COM_2012!$B$60,$AW83,SUMIF($B$10:$B$16,"NCAP_TLIFE",$AX$10:$AX$16)),0,""))</f>
        <v/>
      </c>
      <c r="AS83" s="369" t="str">
        <f ca="1">IF($B83&lt;&gt;"PRC_RESID","",IF(AS$7=2005+OFFSET(COM_2012!$B$60,$AW83,SUMIF($B$10:$B$16,"NCAP_TLIFE",$AX$10:$AX$16)),0,""))</f>
        <v/>
      </c>
      <c r="AT83" s="369" t="str">
        <f ca="1">IF($B83&lt;&gt;"PRC_RESID","",IF(AT$7=2005+OFFSET(COM_2012!$B$60,$AW83,SUMIF($B$10:$B$16,"NCAP_TLIFE",$AX$10:$AX$16)),0,""))</f>
        <v/>
      </c>
      <c r="AU83" s="369" t="str">
        <f ca="1">IF($B83&lt;&gt;"PRC_RESID","",IF(AU$7=2005+OFFSET(COM_2012!$B$60,$AW83,SUMIF($B$10:$B$16,"NCAP_TLIFE",$AX$10:$AX$16)),0,""))</f>
        <v/>
      </c>
      <c r="AV83" s="304">
        <f>IF(AW82=COM_2012!$AI$121,AV82+1,AV82)</f>
        <v>1</v>
      </c>
      <c r="AW83" s="304">
        <f t="shared" si="5"/>
        <v>56</v>
      </c>
    </row>
    <row r="84" spans="1:49">
      <c r="A84" s="304" t="str">
        <f ca="1">IF(LEFT(OFFSET(COM_2012!$A$60,AW84,0),2)="\I","*","")</f>
        <v/>
      </c>
      <c r="B84" s="369" t="str">
        <f t="shared" ca="1" si="2"/>
        <v>ACT_EFF</v>
      </c>
      <c r="C84" s="369" t="str">
        <f ca="1">IF($A84="*","",OFFSET(COM_2012!$B$60,AW84,0))</f>
        <v>CEOOGS-E</v>
      </c>
      <c r="D84" s="369" t="str">
        <f t="shared" ca="1" si="8"/>
        <v>-</v>
      </c>
      <c r="E84" s="369" t="str">
        <f t="shared" ca="1" si="8"/>
        <v>ACTGRP</v>
      </c>
      <c r="F84" s="369" t="str">
        <f t="shared" ca="1" si="8"/>
        <v>-</v>
      </c>
      <c r="G84" s="369" t="str">
        <f t="shared" ca="1" si="8"/>
        <v>ANNUAL</v>
      </c>
      <c r="H84" s="369" t="str">
        <f t="shared" ca="1" si="8"/>
        <v>-</v>
      </c>
      <c r="I84" s="370">
        <f t="shared" ca="1" si="8"/>
        <v>0</v>
      </c>
      <c r="J84" s="391">
        <f ca="1">IF($A84="*","",OFFSET(COM_2012!$B$60,AW84,SUMIF($B$10:$B$16,B84,$AX$10:$AX$16)))</f>
        <v>1</v>
      </c>
      <c r="K84" s="369" t="str">
        <f ca="1">IF($B84&lt;&gt;"PRC_RESID","",IF(K$7=2005+OFFSET(COM_2012!$B$60,$AW84,SUMIF($B$10:$B$16,"NCAP_TLIFE",$AX$10:$AX$16)),0,""))</f>
        <v/>
      </c>
      <c r="L84" s="369" t="str">
        <f ca="1">IF($B84&lt;&gt;"PRC_RESID","",IF(L$7=2005+OFFSET(COM_2012!$B$60,$AW84,SUMIF($B$10:$B$16,"NCAP_TLIFE",$AX$10:$AX$16)),0,""))</f>
        <v/>
      </c>
      <c r="M84" s="369" t="str">
        <f ca="1">IF($B84&lt;&gt;"PRC_RESID","",IF(M$7=2005+OFFSET(COM_2012!$B$60,$AW84,SUMIF($B$10:$B$16,"NCAP_TLIFE",$AX$10:$AX$16)),0,""))</f>
        <v/>
      </c>
      <c r="N84" s="369" t="str">
        <f ca="1">IF($B84&lt;&gt;"PRC_RESID","",IF(N$7=2005+OFFSET(COM_2012!$B$60,$AW84,SUMIF($B$10:$B$16,"NCAP_TLIFE",$AX$10:$AX$16)),0,""))</f>
        <v/>
      </c>
      <c r="O84" s="658" t="str">
        <f ca="1">IF($B84&lt;&gt;"PRC_RESID","",IF(O$7=2005+OFFSET(COM_2012!$B$60,$AW84,SUMIF($B$10:$B$16,"NCAP_TLIFE",$AX$10:$AX$16)),0,""))</f>
        <v/>
      </c>
      <c r="P84" s="369" t="str">
        <f ca="1">IF($B84&lt;&gt;"PRC_RESID","",IF(P$7=2005+OFFSET(COM_2012!$B$60,$AW84,SUMIF($B$10:$B$16,"NCAP_TLIFE",$AX$10:$AX$16)),0,""))</f>
        <v/>
      </c>
      <c r="Q84" s="369" t="str">
        <f ca="1">IF($B84&lt;&gt;"PRC_RESID","",IF(Q$7=2005+OFFSET(COM_2012!$B$60,$AW84,SUMIF($B$10:$B$16,"NCAP_TLIFE",$AX$10:$AX$16)),0,""))</f>
        <v/>
      </c>
      <c r="R84" s="369" t="str">
        <f ca="1">IF($B84&lt;&gt;"PRC_RESID","",IF(R$7=2005+OFFSET(COM_2012!$B$60,$AW84,SUMIF($B$10:$B$16,"NCAP_TLIFE",$AX$10:$AX$16)),0,""))</f>
        <v/>
      </c>
      <c r="S84" s="369" t="str">
        <f ca="1">IF($B84&lt;&gt;"PRC_RESID","",IF(S$7=2005+OFFSET(COM_2012!$B$60,$AW84,SUMIF($B$10:$B$16,"NCAP_TLIFE",$AX$10:$AX$16)),0,""))</f>
        <v/>
      </c>
      <c r="T84" s="369" t="str">
        <f ca="1">IF($B84&lt;&gt;"PRC_RESID","",IF(T$7=2005+OFFSET(COM_2012!$B$60,$AW84,SUMIF($B$10:$B$16,"NCAP_TLIFE",$AX$10:$AX$16)),0,""))</f>
        <v/>
      </c>
      <c r="U84" s="369" t="str">
        <f ca="1">IF($B84&lt;&gt;"PRC_RESID","",IF(U$7=2005+OFFSET(COM_2012!$B$60,$AW84,SUMIF($B$10:$B$16,"NCAP_TLIFE",$AX$10:$AX$16)),0,""))</f>
        <v/>
      </c>
      <c r="V84" s="369" t="str">
        <f ca="1">IF($B84&lt;&gt;"PRC_RESID","",IF(V$7=2005+OFFSET(COM_2012!$B$60,$AW84,SUMIF($B$10:$B$16,"NCAP_TLIFE",$AX$10:$AX$16)),0,""))</f>
        <v/>
      </c>
      <c r="W84" s="369" t="str">
        <f ca="1">IF($B84&lt;&gt;"PRC_RESID","",IF(W$7=2005+OFFSET(COM_2012!$B$60,$AW84,SUMIF($B$10:$B$16,"NCAP_TLIFE",$AX$10:$AX$16)),0,""))</f>
        <v/>
      </c>
      <c r="X84" s="369" t="str">
        <f ca="1">IF($B84&lt;&gt;"PRC_RESID","",IF(X$7=2005+OFFSET(COM_2012!$B$60,$AW84,SUMIF($B$10:$B$16,"NCAP_TLIFE",$AX$10:$AX$16)),0,""))</f>
        <v/>
      </c>
      <c r="Y84" s="369" t="str">
        <f ca="1">IF($B84&lt;&gt;"PRC_RESID","",IF(Y$7=2005+OFFSET(COM_2012!$B$60,$AW84,SUMIF($B$10:$B$16,"NCAP_TLIFE",$AX$10:$AX$16)),0,""))</f>
        <v/>
      </c>
      <c r="Z84" s="369" t="str">
        <f ca="1">IF($B84&lt;&gt;"PRC_RESID","",IF(Z$7=2005+OFFSET(COM_2012!$B$60,$AW84,SUMIF($B$10:$B$16,"NCAP_TLIFE",$AX$10:$AX$16)),0,""))</f>
        <v/>
      </c>
      <c r="AA84" s="369" t="str">
        <f ca="1">IF($B84&lt;&gt;"PRC_RESID","",IF(AA$7=2005+OFFSET(COM_2012!$B$60,$AW84,SUMIF($B$10:$B$16,"NCAP_TLIFE",$AX$10:$AX$16)),0,""))</f>
        <v/>
      </c>
      <c r="AB84" s="369" t="str">
        <f ca="1">IF($B84&lt;&gt;"PRC_RESID","",IF(AB$7=2005+OFFSET(COM_2012!$B$60,$AW84,SUMIF($B$10:$B$16,"NCAP_TLIFE",$AX$10:$AX$16)),0,""))</f>
        <v/>
      </c>
      <c r="AC84" s="369" t="str">
        <f ca="1">IF($B84&lt;&gt;"PRC_RESID","",IF(AC$7=2005+OFFSET(COM_2012!$B$60,$AW84,SUMIF($B$10:$B$16,"NCAP_TLIFE",$AX$10:$AX$16)),0,""))</f>
        <v/>
      </c>
      <c r="AD84" s="369" t="str">
        <f ca="1">IF($B84&lt;&gt;"PRC_RESID","",IF(AD$7=2005+OFFSET(COM_2012!$B$60,$AW84,SUMIF($B$10:$B$16,"NCAP_TLIFE",$AX$10:$AX$16)),0,""))</f>
        <v/>
      </c>
      <c r="AE84" s="369" t="str">
        <f ca="1">IF($B84&lt;&gt;"PRC_RESID","",IF(AE$7=2005+OFFSET(COM_2012!$B$60,$AW84,SUMIF($B$10:$B$16,"NCAP_TLIFE",$AX$10:$AX$16)),0,""))</f>
        <v/>
      </c>
      <c r="AF84" s="369" t="str">
        <f ca="1">IF($B84&lt;&gt;"PRC_RESID","",IF(AF$7=2005+OFFSET(COM_2012!$B$60,$AW84,SUMIF($B$10:$B$16,"NCAP_TLIFE",$AX$10:$AX$16)),0,""))</f>
        <v/>
      </c>
      <c r="AG84" s="369" t="str">
        <f ca="1">IF($B84&lt;&gt;"PRC_RESID","",IF(AG$7=2005+OFFSET(COM_2012!$B$60,$AW84,SUMIF($B$10:$B$16,"NCAP_TLIFE",$AX$10:$AX$16)),0,""))</f>
        <v/>
      </c>
      <c r="AH84" s="369" t="str">
        <f ca="1">IF($B84&lt;&gt;"PRC_RESID","",IF(AH$7=2005+OFFSET(COM_2012!$B$60,$AW84,SUMIF($B$10:$B$16,"NCAP_TLIFE",$AX$10:$AX$16)),0,""))</f>
        <v/>
      </c>
      <c r="AI84" s="369" t="str">
        <f ca="1">IF($B84&lt;&gt;"PRC_RESID","",IF(AI$7=2005+OFFSET(COM_2012!$B$60,$AW84,SUMIF($B$10:$B$16,"NCAP_TLIFE",$AX$10:$AX$16)),0,""))</f>
        <v/>
      </c>
      <c r="AJ84" s="369" t="str">
        <f ca="1">IF($B84&lt;&gt;"PRC_RESID","",IF(AJ$7=2005+OFFSET(COM_2012!$B$60,$AW84,SUMIF($B$10:$B$16,"NCAP_TLIFE",$AX$10:$AX$16)),0,""))</f>
        <v/>
      </c>
      <c r="AK84" s="369" t="str">
        <f ca="1">IF($B84&lt;&gt;"PRC_RESID","",IF(AK$7=2005+OFFSET(COM_2012!$B$60,$AW84,SUMIF($B$10:$B$16,"NCAP_TLIFE",$AX$10:$AX$16)),0,""))</f>
        <v/>
      </c>
      <c r="AL84" s="369" t="str">
        <f ca="1">IF($B84&lt;&gt;"PRC_RESID","",IF(AL$7=2005+OFFSET(COM_2012!$B$60,$AW84,SUMIF($B$10:$B$16,"NCAP_TLIFE",$AX$10:$AX$16)),0,""))</f>
        <v/>
      </c>
      <c r="AM84" s="369" t="str">
        <f ca="1">IF($B84&lt;&gt;"PRC_RESID","",IF(AM$7=2005+OFFSET(COM_2012!$B$60,$AW84,SUMIF($B$10:$B$16,"NCAP_TLIFE",$AX$10:$AX$16)),0,""))</f>
        <v/>
      </c>
      <c r="AN84" s="369" t="str">
        <f ca="1">IF($B84&lt;&gt;"PRC_RESID","",IF(AN$7=2005+OFFSET(COM_2012!$B$60,$AW84,SUMIF($B$10:$B$16,"NCAP_TLIFE",$AX$10:$AX$16)),0,""))</f>
        <v/>
      </c>
      <c r="AO84" s="369" t="str">
        <f ca="1">IF($B84&lt;&gt;"PRC_RESID","",IF(AO$7=2005+OFFSET(COM_2012!$B$60,$AW84,SUMIF($B$10:$B$16,"NCAP_TLIFE",$AX$10:$AX$16)),0,""))</f>
        <v/>
      </c>
      <c r="AP84" s="369" t="str">
        <f ca="1">IF($B84&lt;&gt;"PRC_RESID","",IF(AP$7=2005+OFFSET(COM_2012!$B$60,$AW84,SUMIF($B$10:$B$16,"NCAP_TLIFE",$AX$10:$AX$16)),0,""))</f>
        <v/>
      </c>
      <c r="AQ84" s="369" t="str">
        <f ca="1">IF($B84&lt;&gt;"PRC_RESID","",IF(AQ$7=2005+OFFSET(COM_2012!$B$60,$AW84,SUMIF($B$10:$B$16,"NCAP_TLIFE",$AX$10:$AX$16)),0,""))</f>
        <v/>
      </c>
      <c r="AR84" s="369" t="str">
        <f ca="1">IF($B84&lt;&gt;"PRC_RESID","",IF(AR$7=2005+OFFSET(COM_2012!$B$60,$AW84,SUMIF($B$10:$B$16,"NCAP_TLIFE",$AX$10:$AX$16)),0,""))</f>
        <v/>
      </c>
      <c r="AS84" s="369" t="str">
        <f ca="1">IF($B84&lt;&gt;"PRC_RESID","",IF(AS$7=2005+OFFSET(COM_2012!$B$60,$AW84,SUMIF($B$10:$B$16,"NCAP_TLIFE",$AX$10:$AX$16)),0,""))</f>
        <v/>
      </c>
      <c r="AT84" s="369" t="str">
        <f ca="1">IF($B84&lt;&gt;"PRC_RESID","",IF(AT$7=2005+OFFSET(COM_2012!$B$60,$AW84,SUMIF($B$10:$B$16,"NCAP_TLIFE",$AX$10:$AX$16)),0,""))</f>
        <v/>
      </c>
      <c r="AU84" s="369" t="str">
        <f ca="1">IF($B84&lt;&gt;"PRC_RESID","",IF(AU$7=2005+OFFSET(COM_2012!$B$60,$AW84,SUMIF($B$10:$B$16,"NCAP_TLIFE",$AX$10:$AX$16)),0,""))</f>
        <v/>
      </c>
      <c r="AV84" s="304">
        <f>IF(AW83=COM_2012!$AI$121,AV83+1,AV83)</f>
        <v>1</v>
      </c>
      <c r="AW84" s="304">
        <f t="shared" si="5"/>
        <v>57</v>
      </c>
    </row>
    <row r="85" spans="1:49">
      <c r="A85" s="304" t="str">
        <f ca="1">IF(LEFT(OFFSET(COM_2012!$A$60,AW85,0),2)="\I","*","")</f>
        <v/>
      </c>
      <c r="B85" s="369" t="str">
        <f t="shared" ca="1" si="2"/>
        <v>ACT_EFF</v>
      </c>
      <c r="C85" s="369" t="str">
        <f ca="1">IF($A85="*","",OFFSET(COM_2012!$B$60,AW85,0))</f>
        <v>CEOOHF-E</v>
      </c>
      <c r="D85" s="369" t="str">
        <f t="shared" ca="1" si="8"/>
        <v>-</v>
      </c>
      <c r="E85" s="369" t="str">
        <f t="shared" ca="1" si="8"/>
        <v>ACTGRP</v>
      </c>
      <c r="F85" s="369" t="str">
        <f t="shared" ca="1" si="8"/>
        <v>-</v>
      </c>
      <c r="G85" s="369" t="str">
        <f t="shared" ca="1" si="8"/>
        <v>ANNUAL</v>
      </c>
      <c r="H85" s="369" t="str">
        <f t="shared" ca="1" si="8"/>
        <v>-</v>
      </c>
      <c r="I85" s="370">
        <f t="shared" ca="1" si="8"/>
        <v>0</v>
      </c>
      <c r="J85" s="391">
        <f ca="1">IF($A85="*","",OFFSET(COM_2012!$B$60,AW85,SUMIF($B$10:$B$16,B85,$AX$10:$AX$16)))</f>
        <v>1</v>
      </c>
      <c r="K85" s="369" t="str">
        <f ca="1">IF($B85&lt;&gt;"PRC_RESID","",IF(K$7=2005+OFFSET(COM_2012!$B$60,$AW85,SUMIF($B$10:$B$16,"NCAP_TLIFE",$AX$10:$AX$16)),0,""))</f>
        <v/>
      </c>
      <c r="L85" s="369" t="str">
        <f ca="1">IF($B85&lt;&gt;"PRC_RESID","",IF(L$7=2005+OFFSET(COM_2012!$B$60,$AW85,SUMIF($B$10:$B$16,"NCAP_TLIFE",$AX$10:$AX$16)),0,""))</f>
        <v/>
      </c>
      <c r="M85" s="369" t="str">
        <f ca="1">IF($B85&lt;&gt;"PRC_RESID","",IF(M$7=2005+OFFSET(COM_2012!$B$60,$AW85,SUMIF($B$10:$B$16,"NCAP_TLIFE",$AX$10:$AX$16)),0,""))</f>
        <v/>
      </c>
      <c r="N85" s="369" t="str">
        <f ca="1">IF($B85&lt;&gt;"PRC_RESID","",IF(N$7=2005+OFFSET(COM_2012!$B$60,$AW85,SUMIF($B$10:$B$16,"NCAP_TLIFE",$AX$10:$AX$16)),0,""))</f>
        <v/>
      </c>
      <c r="O85" s="658" t="str">
        <f ca="1">IF($B85&lt;&gt;"PRC_RESID","",IF(O$7=2005+OFFSET(COM_2012!$B$60,$AW85,SUMIF($B$10:$B$16,"NCAP_TLIFE",$AX$10:$AX$16)),0,""))</f>
        <v/>
      </c>
      <c r="P85" s="369" t="str">
        <f ca="1">IF($B85&lt;&gt;"PRC_RESID","",IF(P$7=2005+OFFSET(COM_2012!$B$60,$AW85,SUMIF($B$10:$B$16,"NCAP_TLIFE",$AX$10:$AX$16)),0,""))</f>
        <v/>
      </c>
      <c r="Q85" s="369" t="str">
        <f ca="1">IF($B85&lt;&gt;"PRC_RESID","",IF(Q$7=2005+OFFSET(COM_2012!$B$60,$AW85,SUMIF($B$10:$B$16,"NCAP_TLIFE",$AX$10:$AX$16)),0,""))</f>
        <v/>
      </c>
      <c r="R85" s="369" t="str">
        <f ca="1">IF($B85&lt;&gt;"PRC_RESID","",IF(R$7=2005+OFFSET(COM_2012!$B$60,$AW85,SUMIF($B$10:$B$16,"NCAP_TLIFE",$AX$10:$AX$16)),0,""))</f>
        <v/>
      </c>
      <c r="S85" s="369" t="str">
        <f ca="1">IF($B85&lt;&gt;"PRC_RESID","",IF(S$7=2005+OFFSET(COM_2012!$B$60,$AW85,SUMIF($B$10:$B$16,"NCAP_TLIFE",$AX$10:$AX$16)),0,""))</f>
        <v/>
      </c>
      <c r="T85" s="369" t="str">
        <f ca="1">IF($B85&lt;&gt;"PRC_RESID","",IF(T$7=2005+OFFSET(COM_2012!$B$60,$AW85,SUMIF($B$10:$B$16,"NCAP_TLIFE",$AX$10:$AX$16)),0,""))</f>
        <v/>
      </c>
      <c r="U85" s="369" t="str">
        <f ca="1">IF($B85&lt;&gt;"PRC_RESID","",IF(U$7=2005+OFFSET(COM_2012!$B$60,$AW85,SUMIF($B$10:$B$16,"NCAP_TLIFE",$AX$10:$AX$16)),0,""))</f>
        <v/>
      </c>
      <c r="V85" s="369" t="str">
        <f ca="1">IF($B85&lt;&gt;"PRC_RESID","",IF(V$7=2005+OFFSET(COM_2012!$B$60,$AW85,SUMIF($B$10:$B$16,"NCAP_TLIFE",$AX$10:$AX$16)),0,""))</f>
        <v/>
      </c>
      <c r="W85" s="369" t="str">
        <f ca="1">IF($B85&lt;&gt;"PRC_RESID","",IF(W$7=2005+OFFSET(COM_2012!$B$60,$AW85,SUMIF($B$10:$B$16,"NCAP_TLIFE",$AX$10:$AX$16)),0,""))</f>
        <v/>
      </c>
      <c r="X85" s="369" t="str">
        <f ca="1">IF($B85&lt;&gt;"PRC_RESID","",IF(X$7=2005+OFFSET(COM_2012!$B$60,$AW85,SUMIF($B$10:$B$16,"NCAP_TLIFE",$AX$10:$AX$16)),0,""))</f>
        <v/>
      </c>
      <c r="Y85" s="369" t="str">
        <f ca="1">IF($B85&lt;&gt;"PRC_RESID","",IF(Y$7=2005+OFFSET(COM_2012!$B$60,$AW85,SUMIF($B$10:$B$16,"NCAP_TLIFE",$AX$10:$AX$16)),0,""))</f>
        <v/>
      </c>
      <c r="Z85" s="369" t="str">
        <f ca="1">IF($B85&lt;&gt;"PRC_RESID","",IF(Z$7=2005+OFFSET(COM_2012!$B$60,$AW85,SUMIF($B$10:$B$16,"NCAP_TLIFE",$AX$10:$AX$16)),0,""))</f>
        <v/>
      </c>
      <c r="AA85" s="369" t="str">
        <f ca="1">IF($B85&lt;&gt;"PRC_RESID","",IF(AA$7=2005+OFFSET(COM_2012!$B$60,$AW85,SUMIF($B$10:$B$16,"NCAP_TLIFE",$AX$10:$AX$16)),0,""))</f>
        <v/>
      </c>
      <c r="AB85" s="369" t="str">
        <f ca="1">IF($B85&lt;&gt;"PRC_RESID","",IF(AB$7=2005+OFFSET(COM_2012!$B$60,$AW85,SUMIF($B$10:$B$16,"NCAP_TLIFE",$AX$10:$AX$16)),0,""))</f>
        <v/>
      </c>
      <c r="AC85" s="369" t="str">
        <f ca="1">IF($B85&lt;&gt;"PRC_RESID","",IF(AC$7=2005+OFFSET(COM_2012!$B$60,$AW85,SUMIF($B$10:$B$16,"NCAP_TLIFE",$AX$10:$AX$16)),0,""))</f>
        <v/>
      </c>
      <c r="AD85" s="369" t="str">
        <f ca="1">IF($B85&lt;&gt;"PRC_RESID","",IF(AD$7=2005+OFFSET(COM_2012!$B$60,$AW85,SUMIF($B$10:$B$16,"NCAP_TLIFE",$AX$10:$AX$16)),0,""))</f>
        <v/>
      </c>
      <c r="AE85" s="369" t="str">
        <f ca="1">IF($B85&lt;&gt;"PRC_RESID","",IF(AE$7=2005+OFFSET(COM_2012!$B$60,$AW85,SUMIF($B$10:$B$16,"NCAP_TLIFE",$AX$10:$AX$16)),0,""))</f>
        <v/>
      </c>
      <c r="AF85" s="369" t="str">
        <f ca="1">IF($B85&lt;&gt;"PRC_RESID","",IF(AF$7=2005+OFFSET(COM_2012!$B$60,$AW85,SUMIF($B$10:$B$16,"NCAP_TLIFE",$AX$10:$AX$16)),0,""))</f>
        <v/>
      </c>
      <c r="AG85" s="369" t="str">
        <f ca="1">IF($B85&lt;&gt;"PRC_RESID","",IF(AG$7=2005+OFFSET(COM_2012!$B$60,$AW85,SUMIF($B$10:$B$16,"NCAP_TLIFE",$AX$10:$AX$16)),0,""))</f>
        <v/>
      </c>
      <c r="AH85" s="369" t="str">
        <f ca="1">IF($B85&lt;&gt;"PRC_RESID","",IF(AH$7=2005+OFFSET(COM_2012!$B$60,$AW85,SUMIF($B$10:$B$16,"NCAP_TLIFE",$AX$10:$AX$16)),0,""))</f>
        <v/>
      </c>
      <c r="AI85" s="369" t="str">
        <f ca="1">IF($B85&lt;&gt;"PRC_RESID","",IF(AI$7=2005+OFFSET(COM_2012!$B$60,$AW85,SUMIF($B$10:$B$16,"NCAP_TLIFE",$AX$10:$AX$16)),0,""))</f>
        <v/>
      </c>
      <c r="AJ85" s="369" t="str">
        <f ca="1">IF($B85&lt;&gt;"PRC_RESID","",IF(AJ$7=2005+OFFSET(COM_2012!$B$60,$AW85,SUMIF($B$10:$B$16,"NCAP_TLIFE",$AX$10:$AX$16)),0,""))</f>
        <v/>
      </c>
      <c r="AK85" s="369" t="str">
        <f ca="1">IF($B85&lt;&gt;"PRC_RESID","",IF(AK$7=2005+OFFSET(COM_2012!$B$60,$AW85,SUMIF($B$10:$B$16,"NCAP_TLIFE",$AX$10:$AX$16)),0,""))</f>
        <v/>
      </c>
      <c r="AL85" s="369" t="str">
        <f ca="1">IF($B85&lt;&gt;"PRC_RESID","",IF(AL$7=2005+OFFSET(COM_2012!$B$60,$AW85,SUMIF($B$10:$B$16,"NCAP_TLIFE",$AX$10:$AX$16)),0,""))</f>
        <v/>
      </c>
      <c r="AM85" s="369" t="str">
        <f ca="1">IF($B85&lt;&gt;"PRC_RESID","",IF(AM$7=2005+OFFSET(COM_2012!$B$60,$AW85,SUMIF($B$10:$B$16,"NCAP_TLIFE",$AX$10:$AX$16)),0,""))</f>
        <v/>
      </c>
      <c r="AN85" s="369" t="str">
        <f ca="1">IF($B85&lt;&gt;"PRC_RESID","",IF(AN$7=2005+OFFSET(COM_2012!$B$60,$AW85,SUMIF($B$10:$B$16,"NCAP_TLIFE",$AX$10:$AX$16)),0,""))</f>
        <v/>
      </c>
      <c r="AO85" s="369" t="str">
        <f ca="1">IF($B85&lt;&gt;"PRC_RESID","",IF(AO$7=2005+OFFSET(COM_2012!$B$60,$AW85,SUMIF($B$10:$B$16,"NCAP_TLIFE",$AX$10:$AX$16)),0,""))</f>
        <v/>
      </c>
      <c r="AP85" s="369" t="str">
        <f ca="1">IF($B85&lt;&gt;"PRC_RESID","",IF(AP$7=2005+OFFSET(COM_2012!$B$60,$AW85,SUMIF($B$10:$B$16,"NCAP_TLIFE",$AX$10:$AX$16)),0,""))</f>
        <v/>
      </c>
      <c r="AQ85" s="369" t="str">
        <f ca="1">IF($B85&lt;&gt;"PRC_RESID","",IF(AQ$7=2005+OFFSET(COM_2012!$B$60,$AW85,SUMIF($B$10:$B$16,"NCAP_TLIFE",$AX$10:$AX$16)),0,""))</f>
        <v/>
      </c>
      <c r="AR85" s="369" t="str">
        <f ca="1">IF($B85&lt;&gt;"PRC_RESID","",IF(AR$7=2005+OFFSET(COM_2012!$B$60,$AW85,SUMIF($B$10:$B$16,"NCAP_TLIFE",$AX$10:$AX$16)),0,""))</f>
        <v/>
      </c>
      <c r="AS85" s="369" t="str">
        <f ca="1">IF($B85&lt;&gt;"PRC_RESID","",IF(AS$7=2005+OFFSET(COM_2012!$B$60,$AW85,SUMIF($B$10:$B$16,"NCAP_TLIFE",$AX$10:$AX$16)),0,""))</f>
        <v/>
      </c>
      <c r="AT85" s="369" t="str">
        <f ca="1">IF($B85&lt;&gt;"PRC_RESID","",IF(AT$7=2005+OFFSET(COM_2012!$B$60,$AW85,SUMIF($B$10:$B$16,"NCAP_TLIFE",$AX$10:$AX$16)),0,""))</f>
        <v/>
      </c>
      <c r="AU85" s="369" t="str">
        <f ca="1">IF($B85&lt;&gt;"PRC_RESID","",IF(AU$7=2005+OFFSET(COM_2012!$B$60,$AW85,SUMIF($B$10:$B$16,"NCAP_TLIFE",$AX$10:$AX$16)),0,""))</f>
        <v/>
      </c>
      <c r="AV85" s="304">
        <f>IF(AW84=COM_2012!$AI$121,AV84+1,AV84)</f>
        <v>1</v>
      </c>
      <c r="AW85" s="304">
        <f t="shared" si="5"/>
        <v>58</v>
      </c>
    </row>
    <row r="86" spans="1:49">
      <c r="A86" s="304" t="str">
        <f ca="1">IF(LEFT(OFFSET(COM_2012!$A$60,AW86,0),2)="\I","*","")</f>
        <v/>
      </c>
      <c r="B86" s="369" t="str">
        <f t="shared" ca="1" si="2"/>
        <v>ACT_EFF</v>
      </c>
      <c r="C86" s="369" t="str">
        <f ca="1">IF($A86="*","",OFFSET(COM_2012!$B$60,AW86,0))</f>
        <v>CEOOKE-E</v>
      </c>
      <c r="D86" s="369" t="str">
        <f t="shared" ca="1" si="8"/>
        <v>-</v>
      </c>
      <c r="E86" s="369" t="str">
        <f t="shared" ca="1" si="8"/>
        <v>ACTGRP</v>
      </c>
      <c r="F86" s="369" t="str">
        <f t="shared" ca="1" si="8"/>
        <v>-</v>
      </c>
      <c r="G86" s="369" t="str">
        <f t="shared" ca="1" si="8"/>
        <v>ANNUAL</v>
      </c>
      <c r="H86" s="369" t="str">
        <f t="shared" ca="1" si="8"/>
        <v>-</v>
      </c>
      <c r="I86" s="370">
        <f t="shared" ca="1" si="8"/>
        <v>0</v>
      </c>
      <c r="J86" s="391">
        <f ca="1">IF($A86="*","",OFFSET(COM_2012!$B$60,AW86,SUMIF($B$10:$B$16,B86,$AX$10:$AX$16)))</f>
        <v>1</v>
      </c>
      <c r="K86" s="369" t="str">
        <f ca="1">IF($B86&lt;&gt;"PRC_RESID","",IF(K$7=2005+OFFSET(COM_2012!$B$60,$AW86,SUMIF($B$10:$B$16,"NCAP_TLIFE",$AX$10:$AX$16)),0,""))</f>
        <v/>
      </c>
      <c r="L86" s="369" t="str">
        <f ca="1">IF($B86&lt;&gt;"PRC_RESID","",IF(L$7=2005+OFFSET(COM_2012!$B$60,$AW86,SUMIF($B$10:$B$16,"NCAP_TLIFE",$AX$10:$AX$16)),0,""))</f>
        <v/>
      </c>
      <c r="M86" s="369" t="str">
        <f ca="1">IF($B86&lt;&gt;"PRC_RESID","",IF(M$7=2005+OFFSET(COM_2012!$B$60,$AW86,SUMIF($B$10:$B$16,"NCAP_TLIFE",$AX$10:$AX$16)),0,""))</f>
        <v/>
      </c>
      <c r="N86" s="369" t="str">
        <f ca="1">IF($B86&lt;&gt;"PRC_RESID","",IF(N$7=2005+OFFSET(COM_2012!$B$60,$AW86,SUMIF($B$10:$B$16,"NCAP_TLIFE",$AX$10:$AX$16)),0,""))</f>
        <v/>
      </c>
      <c r="O86" s="658" t="str">
        <f ca="1">IF($B86&lt;&gt;"PRC_RESID","",IF(O$7=2005+OFFSET(COM_2012!$B$60,$AW86,SUMIF($B$10:$B$16,"NCAP_TLIFE",$AX$10:$AX$16)),0,""))</f>
        <v/>
      </c>
      <c r="P86" s="369" t="str">
        <f ca="1">IF($B86&lt;&gt;"PRC_RESID","",IF(P$7=2005+OFFSET(COM_2012!$B$60,$AW86,SUMIF($B$10:$B$16,"NCAP_TLIFE",$AX$10:$AX$16)),0,""))</f>
        <v/>
      </c>
      <c r="Q86" s="369" t="str">
        <f ca="1">IF($B86&lt;&gt;"PRC_RESID","",IF(Q$7=2005+OFFSET(COM_2012!$B$60,$AW86,SUMIF($B$10:$B$16,"NCAP_TLIFE",$AX$10:$AX$16)),0,""))</f>
        <v/>
      </c>
      <c r="R86" s="369" t="str">
        <f ca="1">IF($B86&lt;&gt;"PRC_RESID","",IF(R$7=2005+OFFSET(COM_2012!$B$60,$AW86,SUMIF($B$10:$B$16,"NCAP_TLIFE",$AX$10:$AX$16)),0,""))</f>
        <v/>
      </c>
      <c r="S86" s="369" t="str">
        <f ca="1">IF($B86&lt;&gt;"PRC_RESID","",IF(S$7=2005+OFFSET(COM_2012!$B$60,$AW86,SUMIF($B$10:$B$16,"NCAP_TLIFE",$AX$10:$AX$16)),0,""))</f>
        <v/>
      </c>
      <c r="T86" s="369" t="str">
        <f ca="1">IF($B86&lt;&gt;"PRC_RESID","",IF(T$7=2005+OFFSET(COM_2012!$B$60,$AW86,SUMIF($B$10:$B$16,"NCAP_TLIFE",$AX$10:$AX$16)),0,""))</f>
        <v/>
      </c>
      <c r="U86" s="369" t="str">
        <f ca="1">IF($B86&lt;&gt;"PRC_RESID","",IF(U$7=2005+OFFSET(COM_2012!$B$60,$AW86,SUMIF($B$10:$B$16,"NCAP_TLIFE",$AX$10:$AX$16)),0,""))</f>
        <v/>
      </c>
      <c r="V86" s="369" t="str">
        <f ca="1">IF($B86&lt;&gt;"PRC_RESID","",IF(V$7=2005+OFFSET(COM_2012!$B$60,$AW86,SUMIF($B$10:$B$16,"NCAP_TLIFE",$AX$10:$AX$16)),0,""))</f>
        <v/>
      </c>
      <c r="W86" s="369" t="str">
        <f ca="1">IF($B86&lt;&gt;"PRC_RESID","",IF(W$7=2005+OFFSET(COM_2012!$B$60,$AW86,SUMIF($B$10:$B$16,"NCAP_TLIFE",$AX$10:$AX$16)),0,""))</f>
        <v/>
      </c>
      <c r="X86" s="369" t="str">
        <f ca="1">IF($B86&lt;&gt;"PRC_RESID","",IF(X$7=2005+OFFSET(COM_2012!$B$60,$AW86,SUMIF($B$10:$B$16,"NCAP_TLIFE",$AX$10:$AX$16)),0,""))</f>
        <v/>
      </c>
      <c r="Y86" s="369" t="str">
        <f ca="1">IF($B86&lt;&gt;"PRC_RESID","",IF(Y$7=2005+OFFSET(COM_2012!$B$60,$AW86,SUMIF($B$10:$B$16,"NCAP_TLIFE",$AX$10:$AX$16)),0,""))</f>
        <v/>
      </c>
      <c r="Z86" s="369" t="str">
        <f ca="1">IF($B86&lt;&gt;"PRC_RESID","",IF(Z$7=2005+OFFSET(COM_2012!$B$60,$AW86,SUMIF($B$10:$B$16,"NCAP_TLIFE",$AX$10:$AX$16)),0,""))</f>
        <v/>
      </c>
      <c r="AA86" s="369" t="str">
        <f ca="1">IF($B86&lt;&gt;"PRC_RESID","",IF(AA$7=2005+OFFSET(COM_2012!$B$60,$AW86,SUMIF($B$10:$B$16,"NCAP_TLIFE",$AX$10:$AX$16)),0,""))</f>
        <v/>
      </c>
      <c r="AB86" s="369" t="str">
        <f ca="1">IF($B86&lt;&gt;"PRC_RESID","",IF(AB$7=2005+OFFSET(COM_2012!$B$60,$AW86,SUMIF($B$10:$B$16,"NCAP_TLIFE",$AX$10:$AX$16)),0,""))</f>
        <v/>
      </c>
      <c r="AC86" s="369" t="str">
        <f ca="1">IF($B86&lt;&gt;"PRC_RESID","",IF(AC$7=2005+OFFSET(COM_2012!$B$60,$AW86,SUMIF($B$10:$B$16,"NCAP_TLIFE",$AX$10:$AX$16)),0,""))</f>
        <v/>
      </c>
      <c r="AD86" s="369" t="str">
        <f ca="1">IF($B86&lt;&gt;"PRC_RESID","",IF(AD$7=2005+OFFSET(COM_2012!$B$60,$AW86,SUMIF($B$10:$B$16,"NCAP_TLIFE",$AX$10:$AX$16)),0,""))</f>
        <v/>
      </c>
      <c r="AE86" s="369" t="str">
        <f ca="1">IF($B86&lt;&gt;"PRC_RESID","",IF(AE$7=2005+OFFSET(COM_2012!$B$60,$AW86,SUMIF($B$10:$B$16,"NCAP_TLIFE",$AX$10:$AX$16)),0,""))</f>
        <v/>
      </c>
      <c r="AF86" s="369" t="str">
        <f ca="1">IF($B86&lt;&gt;"PRC_RESID","",IF(AF$7=2005+OFFSET(COM_2012!$B$60,$AW86,SUMIF($B$10:$B$16,"NCAP_TLIFE",$AX$10:$AX$16)),0,""))</f>
        <v/>
      </c>
      <c r="AG86" s="369" t="str">
        <f ca="1">IF($B86&lt;&gt;"PRC_RESID","",IF(AG$7=2005+OFFSET(COM_2012!$B$60,$AW86,SUMIF($B$10:$B$16,"NCAP_TLIFE",$AX$10:$AX$16)),0,""))</f>
        <v/>
      </c>
      <c r="AH86" s="369" t="str">
        <f ca="1">IF($B86&lt;&gt;"PRC_RESID","",IF(AH$7=2005+OFFSET(COM_2012!$B$60,$AW86,SUMIF($B$10:$B$16,"NCAP_TLIFE",$AX$10:$AX$16)),0,""))</f>
        <v/>
      </c>
      <c r="AI86" s="369" t="str">
        <f ca="1">IF($B86&lt;&gt;"PRC_RESID","",IF(AI$7=2005+OFFSET(COM_2012!$B$60,$AW86,SUMIF($B$10:$B$16,"NCAP_TLIFE",$AX$10:$AX$16)),0,""))</f>
        <v/>
      </c>
      <c r="AJ86" s="369" t="str">
        <f ca="1">IF($B86&lt;&gt;"PRC_RESID","",IF(AJ$7=2005+OFFSET(COM_2012!$B$60,$AW86,SUMIF($B$10:$B$16,"NCAP_TLIFE",$AX$10:$AX$16)),0,""))</f>
        <v/>
      </c>
      <c r="AK86" s="369" t="str">
        <f ca="1">IF($B86&lt;&gt;"PRC_RESID","",IF(AK$7=2005+OFFSET(COM_2012!$B$60,$AW86,SUMIF($B$10:$B$16,"NCAP_TLIFE",$AX$10:$AX$16)),0,""))</f>
        <v/>
      </c>
      <c r="AL86" s="369" t="str">
        <f ca="1">IF($B86&lt;&gt;"PRC_RESID","",IF(AL$7=2005+OFFSET(COM_2012!$B$60,$AW86,SUMIF($B$10:$B$16,"NCAP_TLIFE",$AX$10:$AX$16)),0,""))</f>
        <v/>
      </c>
      <c r="AM86" s="369" t="str">
        <f ca="1">IF($B86&lt;&gt;"PRC_RESID","",IF(AM$7=2005+OFFSET(COM_2012!$B$60,$AW86,SUMIF($B$10:$B$16,"NCAP_TLIFE",$AX$10:$AX$16)),0,""))</f>
        <v/>
      </c>
      <c r="AN86" s="369" t="str">
        <f ca="1">IF($B86&lt;&gt;"PRC_RESID","",IF(AN$7=2005+OFFSET(COM_2012!$B$60,$AW86,SUMIF($B$10:$B$16,"NCAP_TLIFE",$AX$10:$AX$16)),0,""))</f>
        <v/>
      </c>
      <c r="AO86" s="369" t="str">
        <f ca="1">IF($B86&lt;&gt;"PRC_RESID","",IF(AO$7=2005+OFFSET(COM_2012!$B$60,$AW86,SUMIF($B$10:$B$16,"NCAP_TLIFE",$AX$10:$AX$16)),0,""))</f>
        <v/>
      </c>
      <c r="AP86" s="369" t="str">
        <f ca="1">IF($B86&lt;&gt;"PRC_RESID","",IF(AP$7=2005+OFFSET(COM_2012!$B$60,$AW86,SUMIF($B$10:$B$16,"NCAP_TLIFE",$AX$10:$AX$16)),0,""))</f>
        <v/>
      </c>
      <c r="AQ86" s="369" t="str">
        <f ca="1">IF($B86&lt;&gt;"PRC_RESID","",IF(AQ$7=2005+OFFSET(COM_2012!$B$60,$AW86,SUMIF($B$10:$B$16,"NCAP_TLIFE",$AX$10:$AX$16)),0,""))</f>
        <v/>
      </c>
      <c r="AR86" s="369" t="str">
        <f ca="1">IF($B86&lt;&gt;"PRC_RESID","",IF(AR$7=2005+OFFSET(COM_2012!$B$60,$AW86,SUMIF($B$10:$B$16,"NCAP_TLIFE",$AX$10:$AX$16)),0,""))</f>
        <v/>
      </c>
      <c r="AS86" s="369" t="str">
        <f ca="1">IF($B86&lt;&gt;"PRC_RESID","",IF(AS$7=2005+OFFSET(COM_2012!$B$60,$AW86,SUMIF($B$10:$B$16,"NCAP_TLIFE",$AX$10:$AX$16)),0,""))</f>
        <v/>
      </c>
      <c r="AT86" s="369" t="str">
        <f ca="1">IF($B86&lt;&gt;"PRC_RESID","",IF(AT$7=2005+OFFSET(COM_2012!$B$60,$AW86,SUMIF($B$10:$B$16,"NCAP_TLIFE",$AX$10:$AX$16)),0,""))</f>
        <v/>
      </c>
      <c r="AU86" s="369" t="str">
        <f ca="1">IF($B86&lt;&gt;"PRC_RESID","",IF(AU$7=2005+OFFSET(COM_2012!$B$60,$AW86,SUMIF($B$10:$B$16,"NCAP_TLIFE",$AX$10:$AX$16)),0,""))</f>
        <v/>
      </c>
      <c r="AV86" s="304">
        <f>IF(AW85=COM_2012!$AI$121,AV85+1,AV85)</f>
        <v>1</v>
      </c>
      <c r="AW86" s="304">
        <f t="shared" si="5"/>
        <v>59</v>
      </c>
    </row>
    <row r="87" spans="1:49">
      <c r="A87" s="304" t="str">
        <f ca="1">IF(LEFT(OFFSET(COM_2012!$A$60,AW87,0),2)="\I","*","")</f>
        <v>*</v>
      </c>
      <c r="B87" s="369" t="str">
        <f t="shared" ca="1" si="2"/>
        <v/>
      </c>
      <c r="C87" s="369" t="str">
        <f ca="1">IF($A87="*","",OFFSET(COM_2012!$B$60,AW87,0))</f>
        <v/>
      </c>
      <c r="D87" s="369" t="str">
        <f t="shared" ca="1" si="8"/>
        <v/>
      </c>
      <c r="E87" s="369" t="str">
        <f t="shared" ca="1" si="8"/>
        <v/>
      </c>
      <c r="F87" s="369" t="str">
        <f t="shared" ca="1" si="8"/>
        <v/>
      </c>
      <c r="G87" s="369" t="str">
        <f t="shared" ca="1" si="8"/>
        <v/>
      </c>
      <c r="H87" s="369" t="str">
        <f t="shared" ca="1" si="8"/>
        <v/>
      </c>
      <c r="I87" s="370" t="str">
        <f t="shared" ca="1" si="8"/>
        <v/>
      </c>
      <c r="J87" s="391" t="str">
        <f ca="1">IF($A87="*","",OFFSET(COM_2012!$B$60,AW87,SUMIF($B$10:$B$16,B87,$AX$10:$AX$16)))</f>
        <v/>
      </c>
      <c r="K87" s="369" t="str">
        <f ca="1">IF($B87&lt;&gt;"PRC_RESID","",IF(K$7=2005+OFFSET(COM_2012!$B$60,$AW87,SUMIF($B$10:$B$16,"NCAP_TLIFE",$AX$10:$AX$16)),0,""))</f>
        <v/>
      </c>
      <c r="L87" s="369" t="str">
        <f ca="1">IF($B87&lt;&gt;"PRC_RESID","",IF(L$7=2005+OFFSET(COM_2012!$B$60,$AW87,SUMIF($B$10:$B$16,"NCAP_TLIFE",$AX$10:$AX$16)),0,""))</f>
        <v/>
      </c>
      <c r="M87" s="369" t="str">
        <f ca="1">IF($B87&lt;&gt;"PRC_RESID","",IF(M$7=2005+OFFSET(COM_2012!$B$60,$AW87,SUMIF($B$10:$B$16,"NCAP_TLIFE",$AX$10:$AX$16)),0,""))</f>
        <v/>
      </c>
      <c r="N87" s="369" t="str">
        <f ca="1">IF($B87&lt;&gt;"PRC_RESID","",IF(N$7=2005+OFFSET(COM_2012!$B$60,$AW87,SUMIF($B$10:$B$16,"NCAP_TLIFE",$AX$10:$AX$16)),0,""))</f>
        <v/>
      </c>
      <c r="O87" s="658" t="str">
        <f ca="1">IF($B87&lt;&gt;"PRC_RESID","",IF(O$7=2005+OFFSET(COM_2012!$B$60,$AW87,SUMIF($B$10:$B$16,"NCAP_TLIFE",$AX$10:$AX$16)),0,""))</f>
        <v/>
      </c>
      <c r="P87" s="369" t="str">
        <f ca="1">IF($B87&lt;&gt;"PRC_RESID","",IF(P$7=2005+OFFSET(COM_2012!$B$60,$AW87,SUMIF($B$10:$B$16,"NCAP_TLIFE",$AX$10:$AX$16)),0,""))</f>
        <v/>
      </c>
      <c r="Q87" s="369" t="str">
        <f ca="1">IF($B87&lt;&gt;"PRC_RESID","",IF(Q$7=2005+OFFSET(COM_2012!$B$60,$AW87,SUMIF($B$10:$B$16,"NCAP_TLIFE",$AX$10:$AX$16)),0,""))</f>
        <v/>
      </c>
      <c r="R87" s="369" t="str">
        <f ca="1">IF($B87&lt;&gt;"PRC_RESID","",IF(R$7=2005+OFFSET(COM_2012!$B$60,$AW87,SUMIF($B$10:$B$16,"NCAP_TLIFE",$AX$10:$AX$16)),0,""))</f>
        <v/>
      </c>
      <c r="S87" s="369" t="str">
        <f ca="1">IF($B87&lt;&gt;"PRC_RESID","",IF(S$7=2005+OFFSET(COM_2012!$B$60,$AW87,SUMIF($B$10:$B$16,"NCAP_TLIFE",$AX$10:$AX$16)),0,""))</f>
        <v/>
      </c>
      <c r="T87" s="369" t="str">
        <f ca="1">IF($B87&lt;&gt;"PRC_RESID","",IF(T$7=2005+OFFSET(COM_2012!$B$60,$AW87,SUMIF($B$10:$B$16,"NCAP_TLIFE",$AX$10:$AX$16)),0,""))</f>
        <v/>
      </c>
      <c r="U87" s="369" t="str">
        <f ca="1">IF($B87&lt;&gt;"PRC_RESID","",IF(U$7=2005+OFFSET(COM_2012!$B$60,$AW87,SUMIF($B$10:$B$16,"NCAP_TLIFE",$AX$10:$AX$16)),0,""))</f>
        <v/>
      </c>
      <c r="V87" s="369" t="str">
        <f ca="1">IF($B87&lt;&gt;"PRC_RESID","",IF(V$7=2005+OFFSET(COM_2012!$B$60,$AW87,SUMIF($B$10:$B$16,"NCAP_TLIFE",$AX$10:$AX$16)),0,""))</f>
        <v/>
      </c>
      <c r="W87" s="369" t="str">
        <f ca="1">IF($B87&lt;&gt;"PRC_RESID","",IF(W$7=2005+OFFSET(COM_2012!$B$60,$AW87,SUMIF($B$10:$B$16,"NCAP_TLIFE",$AX$10:$AX$16)),0,""))</f>
        <v/>
      </c>
      <c r="X87" s="369" t="str">
        <f ca="1">IF($B87&lt;&gt;"PRC_RESID","",IF(X$7=2005+OFFSET(COM_2012!$B$60,$AW87,SUMIF($B$10:$B$16,"NCAP_TLIFE",$AX$10:$AX$16)),0,""))</f>
        <v/>
      </c>
      <c r="Y87" s="369" t="str">
        <f ca="1">IF($B87&lt;&gt;"PRC_RESID","",IF(Y$7=2005+OFFSET(COM_2012!$B$60,$AW87,SUMIF($B$10:$B$16,"NCAP_TLIFE",$AX$10:$AX$16)),0,""))</f>
        <v/>
      </c>
      <c r="Z87" s="369" t="str">
        <f ca="1">IF($B87&lt;&gt;"PRC_RESID","",IF(Z$7=2005+OFFSET(COM_2012!$B$60,$AW87,SUMIF($B$10:$B$16,"NCAP_TLIFE",$AX$10:$AX$16)),0,""))</f>
        <v/>
      </c>
      <c r="AA87" s="369" t="str">
        <f ca="1">IF($B87&lt;&gt;"PRC_RESID","",IF(AA$7=2005+OFFSET(COM_2012!$B$60,$AW87,SUMIF($B$10:$B$16,"NCAP_TLIFE",$AX$10:$AX$16)),0,""))</f>
        <v/>
      </c>
      <c r="AB87" s="369" t="str">
        <f ca="1">IF($B87&lt;&gt;"PRC_RESID","",IF(AB$7=2005+OFFSET(COM_2012!$B$60,$AW87,SUMIF($B$10:$B$16,"NCAP_TLIFE",$AX$10:$AX$16)),0,""))</f>
        <v/>
      </c>
      <c r="AC87" s="369" t="str">
        <f ca="1">IF($B87&lt;&gt;"PRC_RESID","",IF(AC$7=2005+OFFSET(COM_2012!$B$60,$AW87,SUMIF($B$10:$B$16,"NCAP_TLIFE",$AX$10:$AX$16)),0,""))</f>
        <v/>
      </c>
      <c r="AD87" s="369" t="str">
        <f ca="1">IF($B87&lt;&gt;"PRC_RESID","",IF(AD$7=2005+OFFSET(COM_2012!$B$60,$AW87,SUMIF($B$10:$B$16,"NCAP_TLIFE",$AX$10:$AX$16)),0,""))</f>
        <v/>
      </c>
      <c r="AE87" s="369" t="str">
        <f ca="1">IF($B87&lt;&gt;"PRC_RESID","",IF(AE$7=2005+OFFSET(COM_2012!$B$60,$AW87,SUMIF($B$10:$B$16,"NCAP_TLIFE",$AX$10:$AX$16)),0,""))</f>
        <v/>
      </c>
      <c r="AF87" s="369" t="str">
        <f ca="1">IF($B87&lt;&gt;"PRC_RESID","",IF(AF$7=2005+OFFSET(COM_2012!$B$60,$AW87,SUMIF($B$10:$B$16,"NCAP_TLIFE",$AX$10:$AX$16)),0,""))</f>
        <v/>
      </c>
      <c r="AG87" s="369" t="str">
        <f ca="1">IF($B87&lt;&gt;"PRC_RESID","",IF(AG$7=2005+OFFSET(COM_2012!$B$60,$AW87,SUMIF($B$10:$B$16,"NCAP_TLIFE",$AX$10:$AX$16)),0,""))</f>
        <v/>
      </c>
      <c r="AH87" s="369" t="str">
        <f ca="1">IF($B87&lt;&gt;"PRC_RESID","",IF(AH$7=2005+OFFSET(COM_2012!$B$60,$AW87,SUMIF($B$10:$B$16,"NCAP_TLIFE",$AX$10:$AX$16)),0,""))</f>
        <v/>
      </c>
      <c r="AI87" s="369" t="str">
        <f ca="1">IF($B87&lt;&gt;"PRC_RESID","",IF(AI$7=2005+OFFSET(COM_2012!$B$60,$AW87,SUMIF($B$10:$B$16,"NCAP_TLIFE",$AX$10:$AX$16)),0,""))</f>
        <v/>
      </c>
      <c r="AJ87" s="369" t="str">
        <f ca="1">IF($B87&lt;&gt;"PRC_RESID","",IF(AJ$7=2005+OFFSET(COM_2012!$B$60,$AW87,SUMIF($B$10:$B$16,"NCAP_TLIFE",$AX$10:$AX$16)),0,""))</f>
        <v/>
      </c>
      <c r="AK87" s="369" t="str">
        <f ca="1">IF($B87&lt;&gt;"PRC_RESID","",IF(AK$7=2005+OFFSET(COM_2012!$B$60,$AW87,SUMIF($B$10:$B$16,"NCAP_TLIFE",$AX$10:$AX$16)),0,""))</f>
        <v/>
      </c>
      <c r="AL87" s="369" t="str">
        <f ca="1">IF($B87&lt;&gt;"PRC_RESID","",IF(AL$7=2005+OFFSET(COM_2012!$B$60,$AW87,SUMIF($B$10:$B$16,"NCAP_TLIFE",$AX$10:$AX$16)),0,""))</f>
        <v/>
      </c>
      <c r="AM87" s="369" t="str">
        <f ca="1">IF($B87&lt;&gt;"PRC_RESID","",IF(AM$7=2005+OFFSET(COM_2012!$B$60,$AW87,SUMIF($B$10:$B$16,"NCAP_TLIFE",$AX$10:$AX$16)),0,""))</f>
        <v/>
      </c>
      <c r="AN87" s="369" t="str">
        <f ca="1">IF($B87&lt;&gt;"PRC_RESID","",IF(AN$7=2005+OFFSET(COM_2012!$B$60,$AW87,SUMIF($B$10:$B$16,"NCAP_TLIFE",$AX$10:$AX$16)),0,""))</f>
        <v/>
      </c>
      <c r="AO87" s="369" t="str">
        <f ca="1">IF($B87&lt;&gt;"PRC_RESID","",IF(AO$7=2005+OFFSET(COM_2012!$B$60,$AW87,SUMIF($B$10:$B$16,"NCAP_TLIFE",$AX$10:$AX$16)),0,""))</f>
        <v/>
      </c>
      <c r="AP87" s="369" t="str">
        <f ca="1">IF($B87&lt;&gt;"PRC_RESID","",IF(AP$7=2005+OFFSET(COM_2012!$B$60,$AW87,SUMIF($B$10:$B$16,"NCAP_TLIFE",$AX$10:$AX$16)),0,""))</f>
        <v/>
      </c>
      <c r="AQ87" s="369" t="str">
        <f ca="1">IF($B87&lt;&gt;"PRC_RESID","",IF(AQ$7=2005+OFFSET(COM_2012!$B$60,$AW87,SUMIF($B$10:$B$16,"NCAP_TLIFE",$AX$10:$AX$16)),0,""))</f>
        <v/>
      </c>
      <c r="AR87" s="369" t="str">
        <f ca="1">IF($B87&lt;&gt;"PRC_RESID","",IF(AR$7=2005+OFFSET(COM_2012!$B$60,$AW87,SUMIF($B$10:$B$16,"NCAP_TLIFE",$AX$10:$AX$16)),0,""))</f>
        <v/>
      </c>
      <c r="AS87" s="369" t="str">
        <f ca="1">IF($B87&lt;&gt;"PRC_RESID","",IF(AS$7=2005+OFFSET(COM_2012!$B$60,$AW87,SUMIF($B$10:$B$16,"NCAP_TLIFE",$AX$10:$AX$16)),0,""))</f>
        <v/>
      </c>
      <c r="AT87" s="369" t="str">
        <f ca="1">IF($B87&lt;&gt;"PRC_RESID","",IF(AT$7=2005+OFFSET(COM_2012!$B$60,$AW87,SUMIF($B$10:$B$16,"NCAP_TLIFE",$AX$10:$AX$16)),0,""))</f>
        <v/>
      </c>
      <c r="AU87" s="369" t="str">
        <f ca="1">IF($B87&lt;&gt;"PRC_RESID","",IF(AU$7=2005+OFFSET(COM_2012!$B$60,$AW87,SUMIF($B$10:$B$16,"NCAP_TLIFE",$AX$10:$AX$16)),0,""))</f>
        <v/>
      </c>
      <c r="AV87" s="304">
        <f>IF(AW86=COM_2012!$AI$121,AV86+1,AV86)</f>
        <v>1</v>
      </c>
      <c r="AW87" s="304">
        <f t="shared" si="5"/>
        <v>60</v>
      </c>
    </row>
    <row r="88" spans="1:49">
      <c r="A88" s="304" t="str">
        <f ca="1">IF(LEFT(OFFSET(COM_2012!$A$60,AW88,0),2)="\I","*","")</f>
        <v>*</v>
      </c>
      <c r="B88" s="369" t="str">
        <f t="shared" ca="1" si="2"/>
        <v/>
      </c>
      <c r="C88" s="369" t="str">
        <f ca="1">IF($A88="*","",OFFSET(COM_2012!$B$60,AW88,0))</f>
        <v/>
      </c>
      <c r="D88" s="369" t="str">
        <f t="shared" ca="1" si="8"/>
        <v/>
      </c>
      <c r="E88" s="369" t="str">
        <f t="shared" ca="1" si="8"/>
        <v/>
      </c>
      <c r="F88" s="369" t="str">
        <f t="shared" ca="1" si="8"/>
        <v/>
      </c>
      <c r="G88" s="369" t="str">
        <f t="shared" ca="1" si="8"/>
        <v/>
      </c>
      <c r="H88" s="369" t="str">
        <f t="shared" ca="1" si="8"/>
        <v/>
      </c>
      <c r="I88" s="370" t="str">
        <f t="shared" ca="1" si="8"/>
        <v/>
      </c>
      <c r="J88" s="391" t="str">
        <f ca="1">IF($A88="*","",OFFSET(COM_2012!$B$60,AW88,SUMIF($B$10:$B$16,B88,$AX$10:$AX$16)))</f>
        <v/>
      </c>
      <c r="K88" s="369" t="str">
        <f ca="1">IF($B88&lt;&gt;"PRC_RESID","",IF(K$7=2005+OFFSET(COM_2012!$B$60,$AW88,SUMIF($B$10:$B$16,"NCAP_TLIFE",$AX$10:$AX$16)),0,""))</f>
        <v/>
      </c>
      <c r="L88" s="369" t="str">
        <f ca="1">IF($B88&lt;&gt;"PRC_RESID","",IF(L$7=2005+OFFSET(COM_2012!$B$60,$AW88,SUMIF($B$10:$B$16,"NCAP_TLIFE",$AX$10:$AX$16)),0,""))</f>
        <v/>
      </c>
      <c r="M88" s="369" t="str">
        <f ca="1">IF($B88&lt;&gt;"PRC_RESID","",IF(M$7=2005+OFFSET(COM_2012!$B$60,$AW88,SUMIF($B$10:$B$16,"NCAP_TLIFE",$AX$10:$AX$16)),0,""))</f>
        <v/>
      </c>
      <c r="N88" s="369" t="str">
        <f ca="1">IF($B88&lt;&gt;"PRC_RESID","",IF(N$7=2005+OFFSET(COM_2012!$B$60,$AW88,SUMIF($B$10:$B$16,"NCAP_TLIFE",$AX$10:$AX$16)),0,""))</f>
        <v/>
      </c>
      <c r="O88" s="658" t="str">
        <f ca="1">IF($B88&lt;&gt;"PRC_RESID","",IF(O$7=2005+OFFSET(COM_2012!$B$60,$AW88,SUMIF($B$10:$B$16,"NCAP_TLIFE",$AX$10:$AX$16)),0,""))</f>
        <v/>
      </c>
      <c r="P88" s="369" t="str">
        <f ca="1">IF($B88&lt;&gt;"PRC_RESID","",IF(P$7=2005+OFFSET(COM_2012!$B$60,$AW88,SUMIF($B$10:$B$16,"NCAP_TLIFE",$AX$10:$AX$16)),0,""))</f>
        <v/>
      </c>
      <c r="Q88" s="369" t="str">
        <f ca="1">IF($B88&lt;&gt;"PRC_RESID","",IF(Q$7=2005+OFFSET(COM_2012!$B$60,$AW88,SUMIF($B$10:$B$16,"NCAP_TLIFE",$AX$10:$AX$16)),0,""))</f>
        <v/>
      </c>
      <c r="R88" s="369" t="str">
        <f ca="1">IF($B88&lt;&gt;"PRC_RESID","",IF(R$7=2005+OFFSET(COM_2012!$B$60,$AW88,SUMIF($B$10:$B$16,"NCAP_TLIFE",$AX$10:$AX$16)),0,""))</f>
        <v/>
      </c>
      <c r="S88" s="369" t="str">
        <f ca="1">IF($B88&lt;&gt;"PRC_RESID","",IF(S$7=2005+OFFSET(COM_2012!$B$60,$AW88,SUMIF($B$10:$B$16,"NCAP_TLIFE",$AX$10:$AX$16)),0,""))</f>
        <v/>
      </c>
      <c r="T88" s="369" t="str">
        <f ca="1">IF($B88&lt;&gt;"PRC_RESID","",IF(T$7=2005+OFFSET(COM_2012!$B$60,$AW88,SUMIF($B$10:$B$16,"NCAP_TLIFE",$AX$10:$AX$16)),0,""))</f>
        <v/>
      </c>
      <c r="U88" s="369" t="str">
        <f ca="1">IF($B88&lt;&gt;"PRC_RESID","",IF(U$7=2005+OFFSET(COM_2012!$B$60,$AW88,SUMIF($B$10:$B$16,"NCAP_TLIFE",$AX$10:$AX$16)),0,""))</f>
        <v/>
      </c>
      <c r="V88" s="369" t="str">
        <f ca="1">IF($B88&lt;&gt;"PRC_RESID","",IF(V$7=2005+OFFSET(COM_2012!$B$60,$AW88,SUMIF($B$10:$B$16,"NCAP_TLIFE",$AX$10:$AX$16)),0,""))</f>
        <v/>
      </c>
      <c r="W88" s="369" t="str">
        <f ca="1">IF($B88&lt;&gt;"PRC_RESID","",IF(W$7=2005+OFFSET(COM_2012!$B$60,$AW88,SUMIF($B$10:$B$16,"NCAP_TLIFE",$AX$10:$AX$16)),0,""))</f>
        <v/>
      </c>
      <c r="X88" s="369" t="str">
        <f ca="1">IF($B88&lt;&gt;"PRC_RESID","",IF(X$7=2005+OFFSET(COM_2012!$B$60,$AW88,SUMIF($B$10:$B$16,"NCAP_TLIFE",$AX$10:$AX$16)),0,""))</f>
        <v/>
      </c>
      <c r="Y88" s="369" t="str">
        <f ca="1">IF($B88&lt;&gt;"PRC_RESID","",IF(Y$7=2005+OFFSET(COM_2012!$B$60,$AW88,SUMIF($B$10:$B$16,"NCAP_TLIFE",$AX$10:$AX$16)),0,""))</f>
        <v/>
      </c>
      <c r="Z88" s="369" t="str">
        <f ca="1">IF($B88&lt;&gt;"PRC_RESID","",IF(Z$7=2005+OFFSET(COM_2012!$B$60,$AW88,SUMIF($B$10:$B$16,"NCAP_TLIFE",$AX$10:$AX$16)),0,""))</f>
        <v/>
      </c>
      <c r="AA88" s="369" t="str">
        <f ca="1">IF($B88&lt;&gt;"PRC_RESID","",IF(AA$7=2005+OFFSET(COM_2012!$B$60,$AW88,SUMIF($B$10:$B$16,"NCAP_TLIFE",$AX$10:$AX$16)),0,""))</f>
        <v/>
      </c>
      <c r="AB88" s="369" t="str">
        <f ca="1">IF($B88&lt;&gt;"PRC_RESID","",IF(AB$7=2005+OFFSET(COM_2012!$B$60,$AW88,SUMIF($B$10:$B$16,"NCAP_TLIFE",$AX$10:$AX$16)),0,""))</f>
        <v/>
      </c>
      <c r="AC88" s="369" t="str">
        <f ca="1">IF($B88&lt;&gt;"PRC_RESID","",IF(AC$7=2005+OFFSET(COM_2012!$B$60,$AW88,SUMIF($B$10:$B$16,"NCAP_TLIFE",$AX$10:$AX$16)),0,""))</f>
        <v/>
      </c>
      <c r="AD88" s="369" t="str">
        <f ca="1">IF($B88&lt;&gt;"PRC_RESID","",IF(AD$7=2005+OFFSET(COM_2012!$B$60,$AW88,SUMIF($B$10:$B$16,"NCAP_TLIFE",$AX$10:$AX$16)),0,""))</f>
        <v/>
      </c>
      <c r="AE88" s="369" t="str">
        <f ca="1">IF($B88&lt;&gt;"PRC_RESID","",IF(AE$7=2005+OFFSET(COM_2012!$B$60,$AW88,SUMIF($B$10:$B$16,"NCAP_TLIFE",$AX$10:$AX$16)),0,""))</f>
        <v/>
      </c>
      <c r="AF88" s="369" t="str">
        <f ca="1">IF($B88&lt;&gt;"PRC_RESID","",IF(AF$7=2005+OFFSET(COM_2012!$B$60,$AW88,SUMIF($B$10:$B$16,"NCAP_TLIFE",$AX$10:$AX$16)),0,""))</f>
        <v/>
      </c>
      <c r="AG88" s="369" t="str">
        <f ca="1">IF($B88&lt;&gt;"PRC_RESID","",IF(AG$7=2005+OFFSET(COM_2012!$B$60,$AW88,SUMIF($B$10:$B$16,"NCAP_TLIFE",$AX$10:$AX$16)),0,""))</f>
        <v/>
      </c>
      <c r="AH88" s="369" t="str">
        <f ca="1">IF($B88&lt;&gt;"PRC_RESID","",IF(AH$7=2005+OFFSET(COM_2012!$B$60,$AW88,SUMIF($B$10:$B$16,"NCAP_TLIFE",$AX$10:$AX$16)),0,""))</f>
        <v/>
      </c>
      <c r="AI88" s="369" t="str">
        <f ca="1">IF($B88&lt;&gt;"PRC_RESID","",IF(AI$7=2005+OFFSET(COM_2012!$B$60,$AW88,SUMIF($B$10:$B$16,"NCAP_TLIFE",$AX$10:$AX$16)),0,""))</f>
        <v/>
      </c>
      <c r="AJ88" s="369" t="str">
        <f ca="1">IF($B88&lt;&gt;"PRC_RESID","",IF(AJ$7=2005+OFFSET(COM_2012!$B$60,$AW88,SUMIF($B$10:$B$16,"NCAP_TLIFE",$AX$10:$AX$16)),0,""))</f>
        <v/>
      </c>
      <c r="AK88" s="369" t="str">
        <f ca="1">IF($B88&lt;&gt;"PRC_RESID","",IF(AK$7=2005+OFFSET(COM_2012!$B$60,$AW88,SUMIF($B$10:$B$16,"NCAP_TLIFE",$AX$10:$AX$16)),0,""))</f>
        <v/>
      </c>
      <c r="AL88" s="369" t="str">
        <f ca="1">IF($B88&lt;&gt;"PRC_RESID","",IF(AL$7=2005+OFFSET(COM_2012!$B$60,$AW88,SUMIF($B$10:$B$16,"NCAP_TLIFE",$AX$10:$AX$16)),0,""))</f>
        <v/>
      </c>
      <c r="AM88" s="369" t="str">
        <f ca="1">IF($B88&lt;&gt;"PRC_RESID","",IF(AM$7=2005+OFFSET(COM_2012!$B$60,$AW88,SUMIF($B$10:$B$16,"NCAP_TLIFE",$AX$10:$AX$16)),0,""))</f>
        <v/>
      </c>
      <c r="AN88" s="369" t="str">
        <f ca="1">IF($B88&lt;&gt;"PRC_RESID","",IF(AN$7=2005+OFFSET(COM_2012!$B$60,$AW88,SUMIF($B$10:$B$16,"NCAP_TLIFE",$AX$10:$AX$16)),0,""))</f>
        <v/>
      </c>
      <c r="AO88" s="369" t="str">
        <f ca="1">IF($B88&lt;&gt;"PRC_RESID","",IF(AO$7=2005+OFFSET(COM_2012!$B$60,$AW88,SUMIF($B$10:$B$16,"NCAP_TLIFE",$AX$10:$AX$16)),0,""))</f>
        <v/>
      </c>
      <c r="AP88" s="369" t="str">
        <f ca="1">IF($B88&lt;&gt;"PRC_RESID","",IF(AP$7=2005+OFFSET(COM_2012!$B$60,$AW88,SUMIF($B$10:$B$16,"NCAP_TLIFE",$AX$10:$AX$16)),0,""))</f>
        <v/>
      </c>
      <c r="AQ88" s="369" t="str">
        <f ca="1">IF($B88&lt;&gt;"PRC_RESID","",IF(AQ$7=2005+OFFSET(COM_2012!$B$60,$AW88,SUMIF($B$10:$B$16,"NCAP_TLIFE",$AX$10:$AX$16)),0,""))</f>
        <v/>
      </c>
      <c r="AR88" s="369" t="str">
        <f ca="1">IF($B88&lt;&gt;"PRC_RESID","",IF(AR$7=2005+OFFSET(COM_2012!$B$60,$AW88,SUMIF($B$10:$B$16,"NCAP_TLIFE",$AX$10:$AX$16)),0,""))</f>
        <v/>
      </c>
      <c r="AS88" s="369" t="str">
        <f ca="1">IF($B88&lt;&gt;"PRC_RESID","",IF(AS$7=2005+OFFSET(COM_2012!$B$60,$AW88,SUMIF($B$10:$B$16,"NCAP_TLIFE",$AX$10:$AX$16)),0,""))</f>
        <v/>
      </c>
      <c r="AT88" s="369" t="str">
        <f ca="1">IF($B88&lt;&gt;"PRC_RESID","",IF(AT$7=2005+OFFSET(COM_2012!$B$60,$AW88,SUMIF($B$10:$B$16,"NCAP_TLIFE",$AX$10:$AX$16)),0,""))</f>
        <v/>
      </c>
      <c r="AU88" s="369" t="str">
        <f ca="1">IF($B88&lt;&gt;"PRC_RESID","",IF(AU$7=2005+OFFSET(COM_2012!$B$60,$AW88,SUMIF($B$10:$B$16,"NCAP_TLIFE",$AX$10:$AX$16)),0,""))</f>
        <v/>
      </c>
      <c r="AV88" s="304">
        <f>IF(AW87=COM_2012!$AI$121,AV87+1,AV87)</f>
        <v>1</v>
      </c>
      <c r="AW88" s="304">
        <f t="shared" si="5"/>
        <v>61</v>
      </c>
    </row>
    <row r="89" spans="1:49">
      <c r="A89" s="304" t="str">
        <f ca="1">IF(LEFT(OFFSET(COM_2012!$A$60,AW89,0),2)="\I","*","")</f>
        <v/>
      </c>
      <c r="B89" s="369" t="str">
        <f t="shared" ca="1" si="2"/>
        <v>NCAP_BND</v>
      </c>
      <c r="C89" s="369" t="str">
        <f ca="1">IF($A89="*","",OFFSET(COM_2012!$B$60,AW89,0))</f>
        <v>CECELCCHIL-E</v>
      </c>
      <c r="D89" s="369" t="str">
        <f t="shared" ca="1" si="8"/>
        <v>-</v>
      </c>
      <c r="E89" s="369" t="str">
        <f t="shared" ca="1" si="8"/>
        <v>-</v>
      </c>
      <c r="F89" s="369" t="str">
        <f t="shared" ca="1" si="8"/>
        <v>-</v>
      </c>
      <c r="G89" s="369" t="str">
        <f t="shared" ca="1" si="8"/>
        <v>-</v>
      </c>
      <c r="H89" s="369" t="str">
        <f t="shared" ca="1" si="8"/>
        <v>UP</v>
      </c>
      <c r="I89" s="370">
        <f t="shared" ca="1" si="8"/>
        <v>0</v>
      </c>
      <c r="J89" s="391">
        <f ca="1">IF($A89="*","",OFFSET(COM_2012!$B$60,AW89,SUMIF($B$10:$B$16,B89,$AX$10:$AX$16)))</f>
        <v>0</v>
      </c>
      <c r="K89" s="369" t="str">
        <f ca="1">IF($B89&lt;&gt;"PRC_RESID","",IF(K$7=2005+OFFSET(COM_2012!$B$60,$AW89,SUMIF($B$10:$B$16,"NCAP_TLIFE",$AX$10:$AX$16)),0,""))</f>
        <v/>
      </c>
      <c r="L89" s="369" t="str">
        <f ca="1">IF($B89&lt;&gt;"PRC_RESID","",IF(L$7=2005+OFFSET(COM_2012!$B$60,$AW89,SUMIF($B$10:$B$16,"NCAP_TLIFE",$AX$10:$AX$16)),0,""))</f>
        <v/>
      </c>
      <c r="M89" s="369" t="str">
        <f ca="1">IF($B89&lt;&gt;"PRC_RESID","",IF(M$7=2005+OFFSET(COM_2012!$B$60,$AW89,SUMIF($B$10:$B$16,"NCAP_TLIFE",$AX$10:$AX$16)),0,""))</f>
        <v/>
      </c>
      <c r="N89" s="369" t="str">
        <f ca="1">IF($B89&lt;&gt;"PRC_RESID","",IF(N$7=2005+OFFSET(COM_2012!$B$60,$AW89,SUMIF($B$10:$B$16,"NCAP_TLIFE",$AX$10:$AX$16)),0,""))</f>
        <v/>
      </c>
      <c r="O89" s="658" t="str">
        <f ca="1">IF($B89&lt;&gt;"PRC_RESID","",IF(O$7=2005+OFFSET(COM_2012!$B$60,$AW89,SUMIF($B$10:$B$16,"NCAP_TLIFE",$AX$10:$AX$16)),0,""))</f>
        <v/>
      </c>
      <c r="P89" s="369" t="str">
        <f ca="1">IF($B89&lt;&gt;"PRC_RESID","",IF(P$7=2005+OFFSET(COM_2012!$B$60,$AW89,SUMIF($B$10:$B$16,"NCAP_TLIFE",$AX$10:$AX$16)),0,""))</f>
        <v/>
      </c>
      <c r="Q89" s="369" t="str">
        <f ca="1">IF($B89&lt;&gt;"PRC_RESID","",IF(Q$7=2005+OFFSET(COM_2012!$B$60,$AW89,SUMIF($B$10:$B$16,"NCAP_TLIFE",$AX$10:$AX$16)),0,""))</f>
        <v/>
      </c>
      <c r="R89" s="369" t="str">
        <f ca="1">IF($B89&lt;&gt;"PRC_RESID","",IF(R$7=2005+OFFSET(COM_2012!$B$60,$AW89,SUMIF($B$10:$B$16,"NCAP_TLIFE",$AX$10:$AX$16)),0,""))</f>
        <v/>
      </c>
      <c r="S89" s="369" t="str">
        <f ca="1">IF($B89&lt;&gt;"PRC_RESID","",IF(S$7=2005+OFFSET(COM_2012!$B$60,$AW89,SUMIF($B$10:$B$16,"NCAP_TLIFE",$AX$10:$AX$16)),0,""))</f>
        <v/>
      </c>
      <c r="T89" s="369" t="str">
        <f ca="1">IF($B89&lt;&gt;"PRC_RESID","",IF(T$7=2005+OFFSET(COM_2012!$B$60,$AW89,SUMIF($B$10:$B$16,"NCAP_TLIFE",$AX$10:$AX$16)),0,""))</f>
        <v/>
      </c>
      <c r="U89" s="369" t="str">
        <f ca="1">IF($B89&lt;&gt;"PRC_RESID","",IF(U$7=2005+OFFSET(COM_2012!$B$60,$AW89,SUMIF($B$10:$B$16,"NCAP_TLIFE",$AX$10:$AX$16)),0,""))</f>
        <v/>
      </c>
      <c r="V89" s="369" t="str">
        <f ca="1">IF($B89&lt;&gt;"PRC_RESID","",IF(V$7=2005+OFFSET(COM_2012!$B$60,$AW89,SUMIF($B$10:$B$16,"NCAP_TLIFE",$AX$10:$AX$16)),0,""))</f>
        <v/>
      </c>
      <c r="W89" s="369" t="str">
        <f ca="1">IF($B89&lt;&gt;"PRC_RESID","",IF(W$7=2005+OFFSET(COM_2012!$B$60,$AW89,SUMIF($B$10:$B$16,"NCAP_TLIFE",$AX$10:$AX$16)),0,""))</f>
        <v/>
      </c>
      <c r="X89" s="369" t="str">
        <f ca="1">IF($B89&lt;&gt;"PRC_RESID","",IF(X$7=2005+OFFSET(COM_2012!$B$60,$AW89,SUMIF($B$10:$B$16,"NCAP_TLIFE",$AX$10:$AX$16)),0,""))</f>
        <v/>
      </c>
      <c r="Y89" s="369" t="str">
        <f ca="1">IF($B89&lt;&gt;"PRC_RESID","",IF(Y$7=2005+OFFSET(COM_2012!$B$60,$AW89,SUMIF($B$10:$B$16,"NCAP_TLIFE",$AX$10:$AX$16)),0,""))</f>
        <v/>
      </c>
      <c r="Z89" s="369" t="str">
        <f ca="1">IF($B89&lt;&gt;"PRC_RESID","",IF(Z$7=2005+OFFSET(COM_2012!$B$60,$AW89,SUMIF($B$10:$B$16,"NCAP_TLIFE",$AX$10:$AX$16)),0,""))</f>
        <v/>
      </c>
      <c r="AA89" s="369" t="str">
        <f ca="1">IF($B89&lt;&gt;"PRC_RESID","",IF(AA$7=2005+OFFSET(COM_2012!$B$60,$AW89,SUMIF($B$10:$B$16,"NCAP_TLIFE",$AX$10:$AX$16)),0,""))</f>
        <v/>
      </c>
      <c r="AB89" s="369" t="str">
        <f ca="1">IF($B89&lt;&gt;"PRC_RESID","",IF(AB$7=2005+OFFSET(COM_2012!$B$60,$AW89,SUMIF($B$10:$B$16,"NCAP_TLIFE",$AX$10:$AX$16)),0,""))</f>
        <v/>
      </c>
      <c r="AC89" s="369" t="str">
        <f ca="1">IF($B89&lt;&gt;"PRC_RESID","",IF(AC$7=2005+OFFSET(COM_2012!$B$60,$AW89,SUMIF($B$10:$B$16,"NCAP_TLIFE",$AX$10:$AX$16)),0,""))</f>
        <v/>
      </c>
      <c r="AD89" s="369" t="str">
        <f ca="1">IF($B89&lt;&gt;"PRC_RESID","",IF(AD$7=2005+OFFSET(COM_2012!$B$60,$AW89,SUMIF($B$10:$B$16,"NCAP_TLIFE",$AX$10:$AX$16)),0,""))</f>
        <v/>
      </c>
      <c r="AE89" s="369" t="str">
        <f ca="1">IF($B89&lt;&gt;"PRC_RESID","",IF(AE$7=2005+OFFSET(COM_2012!$B$60,$AW89,SUMIF($B$10:$B$16,"NCAP_TLIFE",$AX$10:$AX$16)),0,""))</f>
        <v/>
      </c>
      <c r="AF89" s="369" t="str">
        <f ca="1">IF($B89&lt;&gt;"PRC_RESID","",IF(AF$7=2005+OFFSET(COM_2012!$B$60,$AW89,SUMIF($B$10:$B$16,"NCAP_TLIFE",$AX$10:$AX$16)),0,""))</f>
        <v/>
      </c>
      <c r="AG89" s="369" t="str">
        <f ca="1">IF($B89&lt;&gt;"PRC_RESID","",IF(AG$7=2005+OFFSET(COM_2012!$B$60,$AW89,SUMIF($B$10:$B$16,"NCAP_TLIFE",$AX$10:$AX$16)),0,""))</f>
        <v/>
      </c>
      <c r="AH89" s="369" t="str">
        <f ca="1">IF($B89&lt;&gt;"PRC_RESID","",IF(AH$7=2005+OFFSET(COM_2012!$B$60,$AW89,SUMIF($B$10:$B$16,"NCAP_TLIFE",$AX$10:$AX$16)),0,""))</f>
        <v/>
      </c>
      <c r="AI89" s="369" t="str">
        <f ca="1">IF($B89&lt;&gt;"PRC_RESID","",IF(AI$7=2005+OFFSET(COM_2012!$B$60,$AW89,SUMIF($B$10:$B$16,"NCAP_TLIFE",$AX$10:$AX$16)),0,""))</f>
        <v/>
      </c>
      <c r="AJ89" s="369" t="str">
        <f ca="1">IF($B89&lt;&gt;"PRC_RESID","",IF(AJ$7=2005+OFFSET(COM_2012!$B$60,$AW89,SUMIF($B$10:$B$16,"NCAP_TLIFE",$AX$10:$AX$16)),0,""))</f>
        <v/>
      </c>
      <c r="AK89" s="369" t="str">
        <f ca="1">IF($B89&lt;&gt;"PRC_RESID","",IF(AK$7=2005+OFFSET(COM_2012!$B$60,$AW89,SUMIF($B$10:$B$16,"NCAP_TLIFE",$AX$10:$AX$16)),0,""))</f>
        <v/>
      </c>
      <c r="AL89" s="369" t="str">
        <f ca="1">IF($B89&lt;&gt;"PRC_RESID","",IF(AL$7=2005+OFFSET(COM_2012!$B$60,$AW89,SUMIF($B$10:$B$16,"NCAP_TLIFE",$AX$10:$AX$16)),0,""))</f>
        <v/>
      </c>
      <c r="AM89" s="369" t="str">
        <f ca="1">IF($B89&lt;&gt;"PRC_RESID","",IF(AM$7=2005+OFFSET(COM_2012!$B$60,$AW89,SUMIF($B$10:$B$16,"NCAP_TLIFE",$AX$10:$AX$16)),0,""))</f>
        <v/>
      </c>
      <c r="AN89" s="369" t="str">
        <f ca="1">IF($B89&lt;&gt;"PRC_RESID","",IF(AN$7=2005+OFFSET(COM_2012!$B$60,$AW89,SUMIF($B$10:$B$16,"NCAP_TLIFE",$AX$10:$AX$16)),0,""))</f>
        <v/>
      </c>
      <c r="AO89" s="369" t="str">
        <f ca="1">IF($B89&lt;&gt;"PRC_RESID","",IF(AO$7=2005+OFFSET(COM_2012!$B$60,$AW89,SUMIF($B$10:$B$16,"NCAP_TLIFE",$AX$10:$AX$16)),0,""))</f>
        <v/>
      </c>
      <c r="AP89" s="369" t="str">
        <f ca="1">IF($B89&lt;&gt;"PRC_RESID","",IF(AP$7=2005+OFFSET(COM_2012!$B$60,$AW89,SUMIF($B$10:$B$16,"NCAP_TLIFE",$AX$10:$AX$16)),0,""))</f>
        <v/>
      </c>
      <c r="AQ89" s="369" t="str">
        <f ca="1">IF($B89&lt;&gt;"PRC_RESID","",IF(AQ$7=2005+OFFSET(COM_2012!$B$60,$AW89,SUMIF($B$10:$B$16,"NCAP_TLIFE",$AX$10:$AX$16)),0,""))</f>
        <v/>
      </c>
      <c r="AR89" s="369" t="str">
        <f ca="1">IF($B89&lt;&gt;"PRC_RESID","",IF(AR$7=2005+OFFSET(COM_2012!$B$60,$AW89,SUMIF($B$10:$B$16,"NCAP_TLIFE",$AX$10:$AX$16)),0,""))</f>
        <v/>
      </c>
      <c r="AS89" s="369" t="str">
        <f ca="1">IF($B89&lt;&gt;"PRC_RESID","",IF(AS$7=2005+OFFSET(COM_2012!$B$60,$AW89,SUMIF($B$10:$B$16,"NCAP_TLIFE",$AX$10:$AX$16)),0,""))</f>
        <v/>
      </c>
      <c r="AT89" s="369" t="str">
        <f ca="1">IF($B89&lt;&gt;"PRC_RESID","",IF(AT$7=2005+OFFSET(COM_2012!$B$60,$AW89,SUMIF($B$10:$B$16,"NCAP_TLIFE",$AX$10:$AX$16)),0,""))</f>
        <v/>
      </c>
      <c r="AU89" s="369" t="str">
        <f ca="1">IF($B89&lt;&gt;"PRC_RESID","",IF(AU$7=2005+OFFSET(COM_2012!$B$60,$AW89,SUMIF($B$10:$B$16,"NCAP_TLIFE",$AX$10:$AX$16)),0,""))</f>
        <v/>
      </c>
      <c r="AV89" s="304">
        <f>IF(AW88=COM_2012!$AI$121,AV88+1,AV88)</f>
        <v>2</v>
      </c>
      <c r="AW89" s="304">
        <f t="shared" si="5"/>
        <v>1</v>
      </c>
    </row>
    <row r="90" spans="1:49">
      <c r="A90" s="304" t="str">
        <f ca="1">IF(LEFT(OFFSET(COM_2012!$A$60,AW90,0),2)="\I","*","")</f>
        <v/>
      </c>
      <c r="B90" s="369" t="str">
        <f t="shared" ca="1" si="2"/>
        <v>NCAP_BND</v>
      </c>
      <c r="C90" s="369" t="str">
        <f ca="1">IF($A90="*","",OFFSET(COM_2012!$B$60,AW90,0))</f>
        <v>CECELCCEN-E</v>
      </c>
      <c r="D90" s="369" t="str">
        <f t="shared" ca="1" si="8"/>
        <v>-</v>
      </c>
      <c r="E90" s="369" t="str">
        <f t="shared" ca="1" si="8"/>
        <v>-</v>
      </c>
      <c r="F90" s="369" t="str">
        <f t="shared" ca="1" si="8"/>
        <v>-</v>
      </c>
      <c r="G90" s="369" t="str">
        <f t="shared" ca="1" si="8"/>
        <v>-</v>
      </c>
      <c r="H90" s="369" t="str">
        <f t="shared" ca="1" si="8"/>
        <v>UP</v>
      </c>
      <c r="I90" s="370">
        <f t="shared" ca="1" si="8"/>
        <v>0</v>
      </c>
      <c r="J90" s="391">
        <f ca="1">IF($A90="*","",OFFSET(COM_2012!$B$60,AW90,SUMIF($B$10:$B$16,B90,$AX$10:$AX$16)))</f>
        <v>0</v>
      </c>
      <c r="K90" s="369" t="str">
        <f ca="1">IF($B90&lt;&gt;"PRC_RESID","",IF(K$7=2005+OFFSET(COM_2012!$B$60,$AW90,SUMIF($B$10:$B$16,"NCAP_TLIFE",$AX$10:$AX$16)),0,""))</f>
        <v/>
      </c>
      <c r="L90" s="369" t="str">
        <f ca="1">IF($B90&lt;&gt;"PRC_RESID","",IF(L$7=2005+OFFSET(COM_2012!$B$60,$AW90,SUMIF($B$10:$B$16,"NCAP_TLIFE",$AX$10:$AX$16)),0,""))</f>
        <v/>
      </c>
      <c r="M90" s="369" t="str">
        <f ca="1">IF($B90&lt;&gt;"PRC_RESID","",IF(M$7=2005+OFFSET(COM_2012!$B$60,$AW90,SUMIF($B$10:$B$16,"NCAP_TLIFE",$AX$10:$AX$16)),0,""))</f>
        <v/>
      </c>
      <c r="N90" s="369" t="str">
        <f ca="1">IF($B90&lt;&gt;"PRC_RESID","",IF(N$7=2005+OFFSET(COM_2012!$B$60,$AW90,SUMIF($B$10:$B$16,"NCAP_TLIFE",$AX$10:$AX$16)),0,""))</f>
        <v/>
      </c>
      <c r="O90" s="658" t="str">
        <f ca="1">IF($B90&lt;&gt;"PRC_RESID","",IF(O$7=2005+OFFSET(COM_2012!$B$60,$AW90,SUMIF($B$10:$B$16,"NCAP_TLIFE",$AX$10:$AX$16)),0,""))</f>
        <v/>
      </c>
      <c r="P90" s="369" t="str">
        <f ca="1">IF($B90&lt;&gt;"PRC_RESID","",IF(P$7=2005+OFFSET(COM_2012!$B$60,$AW90,SUMIF($B$10:$B$16,"NCAP_TLIFE",$AX$10:$AX$16)),0,""))</f>
        <v/>
      </c>
      <c r="Q90" s="369" t="str">
        <f ca="1">IF($B90&lt;&gt;"PRC_RESID","",IF(Q$7=2005+OFFSET(COM_2012!$B$60,$AW90,SUMIF($B$10:$B$16,"NCAP_TLIFE",$AX$10:$AX$16)),0,""))</f>
        <v/>
      </c>
      <c r="R90" s="369" t="str">
        <f ca="1">IF($B90&lt;&gt;"PRC_RESID","",IF(R$7=2005+OFFSET(COM_2012!$B$60,$AW90,SUMIF($B$10:$B$16,"NCAP_TLIFE",$AX$10:$AX$16)),0,""))</f>
        <v/>
      </c>
      <c r="S90" s="369" t="str">
        <f ca="1">IF($B90&lt;&gt;"PRC_RESID","",IF(S$7=2005+OFFSET(COM_2012!$B$60,$AW90,SUMIF($B$10:$B$16,"NCAP_TLIFE",$AX$10:$AX$16)),0,""))</f>
        <v/>
      </c>
      <c r="T90" s="369" t="str">
        <f ca="1">IF($B90&lt;&gt;"PRC_RESID","",IF(T$7=2005+OFFSET(COM_2012!$B$60,$AW90,SUMIF($B$10:$B$16,"NCAP_TLIFE",$AX$10:$AX$16)),0,""))</f>
        <v/>
      </c>
      <c r="U90" s="369" t="str">
        <f ca="1">IF($B90&lt;&gt;"PRC_RESID","",IF(U$7=2005+OFFSET(COM_2012!$B$60,$AW90,SUMIF($B$10:$B$16,"NCAP_TLIFE",$AX$10:$AX$16)),0,""))</f>
        <v/>
      </c>
      <c r="V90" s="369" t="str">
        <f ca="1">IF($B90&lt;&gt;"PRC_RESID","",IF(V$7=2005+OFFSET(COM_2012!$B$60,$AW90,SUMIF($B$10:$B$16,"NCAP_TLIFE",$AX$10:$AX$16)),0,""))</f>
        <v/>
      </c>
      <c r="W90" s="369" t="str">
        <f ca="1">IF($B90&lt;&gt;"PRC_RESID","",IF(W$7=2005+OFFSET(COM_2012!$B$60,$AW90,SUMIF($B$10:$B$16,"NCAP_TLIFE",$AX$10:$AX$16)),0,""))</f>
        <v/>
      </c>
      <c r="X90" s="369" t="str">
        <f ca="1">IF($B90&lt;&gt;"PRC_RESID","",IF(X$7=2005+OFFSET(COM_2012!$B$60,$AW90,SUMIF($B$10:$B$16,"NCAP_TLIFE",$AX$10:$AX$16)),0,""))</f>
        <v/>
      </c>
      <c r="Y90" s="369" t="str">
        <f ca="1">IF($B90&lt;&gt;"PRC_RESID","",IF(Y$7=2005+OFFSET(COM_2012!$B$60,$AW90,SUMIF($B$10:$B$16,"NCAP_TLIFE",$AX$10:$AX$16)),0,""))</f>
        <v/>
      </c>
      <c r="Z90" s="369" t="str">
        <f ca="1">IF($B90&lt;&gt;"PRC_RESID","",IF(Z$7=2005+OFFSET(COM_2012!$B$60,$AW90,SUMIF($B$10:$B$16,"NCAP_TLIFE",$AX$10:$AX$16)),0,""))</f>
        <v/>
      </c>
      <c r="AA90" s="369" t="str">
        <f ca="1">IF($B90&lt;&gt;"PRC_RESID","",IF(AA$7=2005+OFFSET(COM_2012!$B$60,$AW90,SUMIF($B$10:$B$16,"NCAP_TLIFE",$AX$10:$AX$16)),0,""))</f>
        <v/>
      </c>
      <c r="AB90" s="369" t="str">
        <f ca="1">IF($B90&lt;&gt;"PRC_RESID","",IF(AB$7=2005+OFFSET(COM_2012!$B$60,$AW90,SUMIF($B$10:$B$16,"NCAP_TLIFE",$AX$10:$AX$16)),0,""))</f>
        <v/>
      </c>
      <c r="AC90" s="369" t="str">
        <f ca="1">IF($B90&lt;&gt;"PRC_RESID","",IF(AC$7=2005+OFFSET(COM_2012!$B$60,$AW90,SUMIF($B$10:$B$16,"NCAP_TLIFE",$AX$10:$AX$16)),0,""))</f>
        <v/>
      </c>
      <c r="AD90" s="369" t="str">
        <f ca="1">IF($B90&lt;&gt;"PRC_RESID","",IF(AD$7=2005+OFFSET(COM_2012!$B$60,$AW90,SUMIF($B$10:$B$16,"NCAP_TLIFE",$AX$10:$AX$16)),0,""))</f>
        <v/>
      </c>
      <c r="AE90" s="369" t="str">
        <f ca="1">IF($B90&lt;&gt;"PRC_RESID","",IF(AE$7=2005+OFFSET(COM_2012!$B$60,$AW90,SUMIF($B$10:$B$16,"NCAP_TLIFE",$AX$10:$AX$16)),0,""))</f>
        <v/>
      </c>
      <c r="AF90" s="369" t="str">
        <f ca="1">IF($B90&lt;&gt;"PRC_RESID","",IF(AF$7=2005+OFFSET(COM_2012!$B$60,$AW90,SUMIF($B$10:$B$16,"NCAP_TLIFE",$AX$10:$AX$16)),0,""))</f>
        <v/>
      </c>
      <c r="AG90" s="369" t="str">
        <f ca="1">IF($B90&lt;&gt;"PRC_RESID","",IF(AG$7=2005+OFFSET(COM_2012!$B$60,$AW90,SUMIF($B$10:$B$16,"NCAP_TLIFE",$AX$10:$AX$16)),0,""))</f>
        <v/>
      </c>
      <c r="AH90" s="369" t="str">
        <f ca="1">IF($B90&lt;&gt;"PRC_RESID","",IF(AH$7=2005+OFFSET(COM_2012!$B$60,$AW90,SUMIF($B$10:$B$16,"NCAP_TLIFE",$AX$10:$AX$16)),0,""))</f>
        <v/>
      </c>
      <c r="AI90" s="369" t="str">
        <f ca="1">IF($B90&lt;&gt;"PRC_RESID","",IF(AI$7=2005+OFFSET(COM_2012!$B$60,$AW90,SUMIF($B$10:$B$16,"NCAP_TLIFE",$AX$10:$AX$16)),0,""))</f>
        <v/>
      </c>
      <c r="AJ90" s="369" t="str">
        <f ca="1">IF($B90&lt;&gt;"PRC_RESID","",IF(AJ$7=2005+OFFSET(COM_2012!$B$60,$AW90,SUMIF($B$10:$B$16,"NCAP_TLIFE",$AX$10:$AX$16)),0,""))</f>
        <v/>
      </c>
      <c r="AK90" s="369" t="str">
        <f ca="1">IF($B90&lt;&gt;"PRC_RESID","",IF(AK$7=2005+OFFSET(COM_2012!$B$60,$AW90,SUMIF($B$10:$B$16,"NCAP_TLIFE",$AX$10:$AX$16)),0,""))</f>
        <v/>
      </c>
      <c r="AL90" s="369" t="str">
        <f ca="1">IF($B90&lt;&gt;"PRC_RESID","",IF(AL$7=2005+OFFSET(COM_2012!$B$60,$AW90,SUMIF($B$10:$B$16,"NCAP_TLIFE",$AX$10:$AX$16)),0,""))</f>
        <v/>
      </c>
      <c r="AM90" s="369" t="str">
        <f ca="1">IF($B90&lt;&gt;"PRC_RESID","",IF(AM$7=2005+OFFSET(COM_2012!$B$60,$AW90,SUMIF($B$10:$B$16,"NCAP_TLIFE",$AX$10:$AX$16)),0,""))</f>
        <v/>
      </c>
      <c r="AN90" s="369" t="str">
        <f ca="1">IF($B90&lt;&gt;"PRC_RESID","",IF(AN$7=2005+OFFSET(COM_2012!$B$60,$AW90,SUMIF($B$10:$B$16,"NCAP_TLIFE",$AX$10:$AX$16)),0,""))</f>
        <v/>
      </c>
      <c r="AO90" s="369" t="str">
        <f ca="1">IF($B90&lt;&gt;"PRC_RESID","",IF(AO$7=2005+OFFSET(COM_2012!$B$60,$AW90,SUMIF($B$10:$B$16,"NCAP_TLIFE",$AX$10:$AX$16)),0,""))</f>
        <v/>
      </c>
      <c r="AP90" s="369" t="str">
        <f ca="1">IF($B90&lt;&gt;"PRC_RESID","",IF(AP$7=2005+OFFSET(COM_2012!$B$60,$AW90,SUMIF($B$10:$B$16,"NCAP_TLIFE",$AX$10:$AX$16)),0,""))</f>
        <v/>
      </c>
      <c r="AQ90" s="369" t="str">
        <f ca="1">IF($B90&lt;&gt;"PRC_RESID","",IF(AQ$7=2005+OFFSET(COM_2012!$B$60,$AW90,SUMIF($B$10:$B$16,"NCAP_TLIFE",$AX$10:$AX$16)),0,""))</f>
        <v/>
      </c>
      <c r="AR90" s="369" t="str">
        <f ca="1">IF($B90&lt;&gt;"PRC_RESID","",IF(AR$7=2005+OFFSET(COM_2012!$B$60,$AW90,SUMIF($B$10:$B$16,"NCAP_TLIFE",$AX$10:$AX$16)),0,""))</f>
        <v/>
      </c>
      <c r="AS90" s="369" t="str">
        <f ca="1">IF($B90&lt;&gt;"PRC_RESID","",IF(AS$7=2005+OFFSET(COM_2012!$B$60,$AW90,SUMIF($B$10:$B$16,"NCAP_TLIFE",$AX$10:$AX$16)),0,""))</f>
        <v/>
      </c>
      <c r="AT90" s="369" t="str">
        <f ca="1">IF($B90&lt;&gt;"PRC_RESID","",IF(AT$7=2005+OFFSET(COM_2012!$B$60,$AW90,SUMIF($B$10:$B$16,"NCAP_TLIFE",$AX$10:$AX$16)),0,""))</f>
        <v/>
      </c>
      <c r="AU90" s="369" t="str">
        <f ca="1">IF($B90&lt;&gt;"PRC_RESID","",IF(AU$7=2005+OFFSET(COM_2012!$B$60,$AW90,SUMIF($B$10:$B$16,"NCAP_TLIFE",$AX$10:$AX$16)),0,""))</f>
        <v/>
      </c>
      <c r="AV90" s="304">
        <f>IF(AW89=COM_2012!$AI$121,AV89+1,AV89)</f>
        <v>2</v>
      </c>
      <c r="AW90" s="304">
        <f t="shared" si="5"/>
        <v>2</v>
      </c>
    </row>
    <row r="91" spans="1:49">
      <c r="A91" s="304" t="str">
        <f ca="1">IF(LEFT(OFFSET(COM_2012!$A$60,AW91,0),2)="\I","*","")</f>
        <v/>
      </c>
      <c r="B91" s="369" t="str">
        <f t="shared" ca="1" si="2"/>
        <v>NCAP_BND</v>
      </c>
      <c r="C91" s="369" t="str">
        <f ca="1">IF($A91="*","",OFFSET(COM_2012!$B$60,AW91,0))</f>
        <v>CECELCHP-E</v>
      </c>
      <c r="D91" s="369" t="str">
        <f t="shared" ca="1" si="8"/>
        <v>-</v>
      </c>
      <c r="E91" s="369" t="str">
        <f t="shared" ca="1" si="8"/>
        <v>-</v>
      </c>
      <c r="F91" s="369" t="str">
        <f t="shared" ca="1" si="8"/>
        <v>-</v>
      </c>
      <c r="G91" s="369" t="str">
        <f t="shared" ca="1" si="8"/>
        <v>-</v>
      </c>
      <c r="H91" s="369" t="str">
        <f t="shared" ca="1" si="8"/>
        <v>UP</v>
      </c>
      <c r="I91" s="370">
        <f t="shared" ca="1" si="8"/>
        <v>0</v>
      </c>
      <c r="J91" s="391">
        <f ca="1">IF($A91="*","",OFFSET(COM_2012!$B$60,AW91,SUMIF($B$10:$B$16,B91,$AX$10:$AX$16)))</f>
        <v>0</v>
      </c>
      <c r="K91" s="369" t="str">
        <f ca="1">IF($B91&lt;&gt;"PRC_RESID","",IF(K$7=2005+OFFSET(COM_2012!$B$60,$AW91,SUMIF($B$10:$B$16,"NCAP_TLIFE",$AX$10:$AX$16)),0,""))</f>
        <v/>
      </c>
      <c r="L91" s="369" t="str">
        <f ca="1">IF($B91&lt;&gt;"PRC_RESID","",IF(L$7=2005+OFFSET(COM_2012!$B$60,$AW91,SUMIF($B$10:$B$16,"NCAP_TLIFE",$AX$10:$AX$16)),0,""))</f>
        <v/>
      </c>
      <c r="M91" s="369" t="str">
        <f ca="1">IF($B91&lt;&gt;"PRC_RESID","",IF(M$7=2005+OFFSET(COM_2012!$B$60,$AW91,SUMIF($B$10:$B$16,"NCAP_TLIFE",$AX$10:$AX$16)),0,""))</f>
        <v/>
      </c>
      <c r="N91" s="369" t="str">
        <f ca="1">IF($B91&lt;&gt;"PRC_RESID","",IF(N$7=2005+OFFSET(COM_2012!$B$60,$AW91,SUMIF($B$10:$B$16,"NCAP_TLIFE",$AX$10:$AX$16)),0,""))</f>
        <v/>
      </c>
      <c r="O91" s="658" t="str">
        <f ca="1">IF($B91&lt;&gt;"PRC_RESID","",IF(O$7=2005+OFFSET(COM_2012!$B$60,$AW91,SUMIF($B$10:$B$16,"NCAP_TLIFE",$AX$10:$AX$16)),0,""))</f>
        <v/>
      </c>
      <c r="P91" s="369" t="str">
        <f ca="1">IF($B91&lt;&gt;"PRC_RESID","",IF(P$7=2005+OFFSET(COM_2012!$B$60,$AW91,SUMIF($B$10:$B$16,"NCAP_TLIFE",$AX$10:$AX$16)),0,""))</f>
        <v/>
      </c>
      <c r="Q91" s="369" t="str">
        <f ca="1">IF($B91&lt;&gt;"PRC_RESID","",IF(Q$7=2005+OFFSET(COM_2012!$B$60,$AW91,SUMIF($B$10:$B$16,"NCAP_TLIFE",$AX$10:$AX$16)),0,""))</f>
        <v/>
      </c>
      <c r="R91" s="369" t="str">
        <f ca="1">IF($B91&lt;&gt;"PRC_RESID","",IF(R$7=2005+OFFSET(COM_2012!$B$60,$AW91,SUMIF($B$10:$B$16,"NCAP_TLIFE",$AX$10:$AX$16)),0,""))</f>
        <v/>
      </c>
      <c r="S91" s="369" t="str">
        <f ca="1">IF($B91&lt;&gt;"PRC_RESID","",IF(S$7=2005+OFFSET(COM_2012!$B$60,$AW91,SUMIF($B$10:$B$16,"NCAP_TLIFE",$AX$10:$AX$16)),0,""))</f>
        <v/>
      </c>
      <c r="T91" s="369" t="str">
        <f ca="1">IF($B91&lt;&gt;"PRC_RESID","",IF(T$7=2005+OFFSET(COM_2012!$B$60,$AW91,SUMIF($B$10:$B$16,"NCAP_TLIFE",$AX$10:$AX$16)),0,""))</f>
        <v/>
      </c>
      <c r="U91" s="369" t="str">
        <f ca="1">IF($B91&lt;&gt;"PRC_RESID","",IF(U$7=2005+OFFSET(COM_2012!$B$60,$AW91,SUMIF($B$10:$B$16,"NCAP_TLIFE",$AX$10:$AX$16)),0,""))</f>
        <v/>
      </c>
      <c r="V91" s="369" t="str">
        <f ca="1">IF($B91&lt;&gt;"PRC_RESID","",IF(V$7=2005+OFFSET(COM_2012!$B$60,$AW91,SUMIF($B$10:$B$16,"NCAP_TLIFE",$AX$10:$AX$16)),0,""))</f>
        <v/>
      </c>
      <c r="W91" s="369" t="str">
        <f ca="1">IF($B91&lt;&gt;"PRC_RESID","",IF(W$7=2005+OFFSET(COM_2012!$B$60,$AW91,SUMIF($B$10:$B$16,"NCAP_TLIFE",$AX$10:$AX$16)),0,""))</f>
        <v/>
      </c>
      <c r="X91" s="369" t="str">
        <f ca="1">IF($B91&lt;&gt;"PRC_RESID","",IF(X$7=2005+OFFSET(COM_2012!$B$60,$AW91,SUMIF($B$10:$B$16,"NCAP_TLIFE",$AX$10:$AX$16)),0,""))</f>
        <v/>
      </c>
      <c r="Y91" s="369" t="str">
        <f ca="1">IF($B91&lt;&gt;"PRC_RESID","",IF(Y$7=2005+OFFSET(COM_2012!$B$60,$AW91,SUMIF($B$10:$B$16,"NCAP_TLIFE",$AX$10:$AX$16)),0,""))</f>
        <v/>
      </c>
      <c r="Z91" s="369" t="str">
        <f ca="1">IF($B91&lt;&gt;"PRC_RESID","",IF(Z$7=2005+OFFSET(COM_2012!$B$60,$AW91,SUMIF($B$10:$B$16,"NCAP_TLIFE",$AX$10:$AX$16)),0,""))</f>
        <v/>
      </c>
      <c r="AA91" s="369" t="str">
        <f ca="1">IF($B91&lt;&gt;"PRC_RESID","",IF(AA$7=2005+OFFSET(COM_2012!$B$60,$AW91,SUMIF($B$10:$B$16,"NCAP_TLIFE",$AX$10:$AX$16)),0,""))</f>
        <v/>
      </c>
      <c r="AB91" s="369" t="str">
        <f ca="1">IF($B91&lt;&gt;"PRC_RESID","",IF(AB$7=2005+OFFSET(COM_2012!$B$60,$AW91,SUMIF($B$10:$B$16,"NCAP_TLIFE",$AX$10:$AX$16)),0,""))</f>
        <v/>
      </c>
      <c r="AC91" s="369" t="str">
        <f ca="1">IF($B91&lt;&gt;"PRC_RESID","",IF(AC$7=2005+OFFSET(COM_2012!$B$60,$AW91,SUMIF($B$10:$B$16,"NCAP_TLIFE",$AX$10:$AX$16)),0,""))</f>
        <v/>
      </c>
      <c r="AD91" s="369" t="str">
        <f ca="1">IF($B91&lt;&gt;"PRC_RESID","",IF(AD$7=2005+OFFSET(COM_2012!$B$60,$AW91,SUMIF($B$10:$B$16,"NCAP_TLIFE",$AX$10:$AX$16)),0,""))</f>
        <v/>
      </c>
      <c r="AE91" s="369" t="str">
        <f ca="1">IF($B91&lt;&gt;"PRC_RESID","",IF(AE$7=2005+OFFSET(COM_2012!$B$60,$AW91,SUMIF($B$10:$B$16,"NCAP_TLIFE",$AX$10:$AX$16)),0,""))</f>
        <v/>
      </c>
      <c r="AF91" s="369" t="str">
        <f ca="1">IF($B91&lt;&gt;"PRC_RESID","",IF(AF$7=2005+OFFSET(COM_2012!$B$60,$AW91,SUMIF($B$10:$B$16,"NCAP_TLIFE",$AX$10:$AX$16)),0,""))</f>
        <v/>
      </c>
      <c r="AG91" s="369" t="str">
        <f ca="1">IF($B91&lt;&gt;"PRC_RESID","",IF(AG$7=2005+OFFSET(COM_2012!$B$60,$AW91,SUMIF($B$10:$B$16,"NCAP_TLIFE",$AX$10:$AX$16)),0,""))</f>
        <v/>
      </c>
      <c r="AH91" s="369" t="str">
        <f ca="1">IF($B91&lt;&gt;"PRC_RESID","",IF(AH$7=2005+OFFSET(COM_2012!$B$60,$AW91,SUMIF($B$10:$B$16,"NCAP_TLIFE",$AX$10:$AX$16)),0,""))</f>
        <v/>
      </c>
      <c r="AI91" s="369" t="str">
        <f ca="1">IF($B91&lt;&gt;"PRC_RESID","",IF(AI$7=2005+OFFSET(COM_2012!$B$60,$AW91,SUMIF($B$10:$B$16,"NCAP_TLIFE",$AX$10:$AX$16)),0,""))</f>
        <v/>
      </c>
      <c r="AJ91" s="369" t="str">
        <f ca="1">IF($B91&lt;&gt;"PRC_RESID","",IF(AJ$7=2005+OFFSET(COM_2012!$B$60,$AW91,SUMIF($B$10:$B$16,"NCAP_TLIFE",$AX$10:$AX$16)),0,""))</f>
        <v/>
      </c>
      <c r="AK91" s="369" t="str">
        <f ca="1">IF($B91&lt;&gt;"PRC_RESID","",IF(AK$7=2005+OFFSET(COM_2012!$B$60,$AW91,SUMIF($B$10:$B$16,"NCAP_TLIFE",$AX$10:$AX$16)),0,""))</f>
        <v/>
      </c>
      <c r="AL91" s="369" t="str">
        <f ca="1">IF($B91&lt;&gt;"PRC_RESID","",IF(AL$7=2005+OFFSET(COM_2012!$B$60,$AW91,SUMIF($B$10:$B$16,"NCAP_TLIFE",$AX$10:$AX$16)),0,""))</f>
        <v/>
      </c>
      <c r="AM91" s="369" t="str">
        <f ca="1">IF($B91&lt;&gt;"PRC_RESID","",IF(AM$7=2005+OFFSET(COM_2012!$B$60,$AW91,SUMIF($B$10:$B$16,"NCAP_TLIFE",$AX$10:$AX$16)),0,""))</f>
        <v/>
      </c>
      <c r="AN91" s="369" t="str">
        <f ca="1">IF($B91&lt;&gt;"PRC_RESID","",IF(AN$7=2005+OFFSET(COM_2012!$B$60,$AW91,SUMIF($B$10:$B$16,"NCAP_TLIFE",$AX$10:$AX$16)),0,""))</f>
        <v/>
      </c>
      <c r="AO91" s="369" t="str">
        <f ca="1">IF($B91&lt;&gt;"PRC_RESID","",IF(AO$7=2005+OFFSET(COM_2012!$B$60,$AW91,SUMIF($B$10:$B$16,"NCAP_TLIFE",$AX$10:$AX$16)),0,""))</f>
        <v/>
      </c>
      <c r="AP91" s="369" t="str">
        <f ca="1">IF($B91&lt;&gt;"PRC_RESID","",IF(AP$7=2005+OFFSET(COM_2012!$B$60,$AW91,SUMIF($B$10:$B$16,"NCAP_TLIFE",$AX$10:$AX$16)),0,""))</f>
        <v/>
      </c>
      <c r="AQ91" s="369" t="str">
        <f ca="1">IF($B91&lt;&gt;"PRC_RESID","",IF(AQ$7=2005+OFFSET(COM_2012!$B$60,$AW91,SUMIF($B$10:$B$16,"NCAP_TLIFE",$AX$10:$AX$16)),0,""))</f>
        <v/>
      </c>
      <c r="AR91" s="369" t="str">
        <f ca="1">IF($B91&lt;&gt;"PRC_RESID","",IF(AR$7=2005+OFFSET(COM_2012!$B$60,$AW91,SUMIF($B$10:$B$16,"NCAP_TLIFE",$AX$10:$AX$16)),0,""))</f>
        <v/>
      </c>
      <c r="AS91" s="369" t="str">
        <f ca="1">IF($B91&lt;&gt;"PRC_RESID","",IF(AS$7=2005+OFFSET(COM_2012!$B$60,$AW91,SUMIF($B$10:$B$16,"NCAP_TLIFE",$AX$10:$AX$16)),0,""))</f>
        <v/>
      </c>
      <c r="AT91" s="369" t="str">
        <f ca="1">IF($B91&lt;&gt;"PRC_RESID","",IF(AT$7=2005+OFFSET(COM_2012!$B$60,$AW91,SUMIF($B$10:$B$16,"NCAP_TLIFE",$AX$10:$AX$16)),0,""))</f>
        <v/>
      </c>
      <c r="AU91" s="369" t="str">
        <f ca="1">IF($B91&lt;&gt;"PRC_RESID","",IF(AU$7=2005+OFFSET(COM_2012!$B$60,$AW91,SUMIF($B$10:$B$16,"NCAP_TLIFE",$AX$10:$AX$16)),0,""))</f>
        <v/>
      </c>
      <c r="AV91" s="304">
        <f>IF(AW90=COM_2012!$AI$121,AV90+1,AV90)</f>
        <v>2</v>
      </c>
      <c r="AW91" s="304">
        <f t="shared" si="5"/>
        <v>3</v>
      </c>
    </row>
    <row r="92" spans="1:49">
      <c r="A92" s="304" t="str">
        <f ca="1">IF(LEFT(OFFSET(COM_2012!$A$60,AW92,0),2)="\I","*","")</f>
        <v/>
      </c>
      <c r="B92" s="369" t="str">
        <f t="shared" ref="B92:B155" ca="1" si="10">IF(A92="*","",VLOOKUP("*"&amp;AV92,$A$9:$B$16,2,FALSE))</f>
        <v>NCAP_BND</v>
      </c>
      <c r="C92" s="369" t="str">
        <f ca="1">IF($A92="*","",OFFSET(COM_2012!$B$60,AW92,0))</f>
        <v>CECELCROOM-E</v>
      </c>
      <c r="D92" s="369" t="str">
        <f t="shared" ca="1" si="8"/>
        <v>-</v>
      </c>
      <c r="E92" s="369" t="str">
        <f t="shared" ca="1" si="8"/>
        <v>-</v>
      </c>
      <c r="F92" s="369" t="str">
        <f t="shared" ca="1" si="8"/>
        <v>-</v>
      </c>
      <c r="G92" s="369" t="str">
        <f t="shared" ca="1" si="8"/>
        <v>-</v>
      </c>
      <c r="H92" s="369" t="str">
        <f t="shared" ca="1" si="8"/>
        <v>UP</v>
      </c>
      <c r="I92" s="370">
        <f t="shared" ca="1" si="8"/>
        <v>0</v>
      </c>
      <c r="J92" s="391">
        <f ca="1">IF($A92="*","",OFFSET(COM_2012!$B$60,AW92,SUMIF($B$10:$B$16,B92,$AX$10:$AX$16)))</f>
        <v>0</v>
      </c>
      <c r="K92" s="369" t="str">
        <f ca="1">IF($B92&lt;&gt;"PRC_RESID","",IF(K$7=2005+OFFSET(COM_2012!$B$60,$AW92,SUMIF($B$10:$B$16,"NCAP_TLIFE",$AX$10:$AX$16)),0,""))</f>
        <v/>
      </c>
      <c r="L92" s="369" t="str">
        <f ca="1">IF($B92&lt;&gt;"PRC_RESID","",IF(L$7=2005+OFFSET(COM_2012!$B$60,$AW92,SUMIF($B$10:$B$16,"NCAP_TLIFE",$AX$10:$AX$16)),0,""))</f>
        <v/>
      </c>
      <c r="M92" s="369" t="str">
        <f ca="1">IF($B92&lt;&gt;"PRC_RESID","",IF(M$7=2005+OFFSET(COM_2012!$B$60,$AW92,SUMIF($B$10:$B$16,"NCAP_TLIFE",$AX$10:$AX$16)),0,""))</f>
        <v/>
      </c>
      <c r="N92" s="369" t="str">
        <f ca="1">IF($B92&lt;&gt;"PRC_RESID","",IF(N$7=2005+OFFSET(COM_2012!$B$60,$AW92,SUMIF($B$10:$B$16,"NCAP_TLIFE",$AX$10:$AX$16)),0,""))</f>
        <v/>
      </c>
      <c r="O92" s="658" t="str">
        <f ca="1">IF($B92&lt;&gt;"PRC_RESID","",IF(O$7=2005+OFFSET(COM_2012!$B$60,$AW92,SUMIF($B$10:$B$16,"NCAP_TLIFE",$AX$10:$AX$16)),0,""))</f>
        <v/>
      </c>
      <c r="P92" s="369" t="str">
        <f ca="1">IF($B92&lt;&gt;"PRC_RESID","",IF(P$7=2005+OFFSET(COM_2012!$B$60,$AW92,SUMIF($B$10:$B$16,"NCAP_TLIFE",$AX$10:$AX$16)),0,""))</f>
        <v/>
      </c>
      <c r="Q92" s="369" t="str">
        <f ca="1">IF($B92&lt;&gt;"PRC_RESID","",IF(Q$7=2005+OFFSET(COM_2012!$B$60,$AW92,SUMIF($B$10:$B$16,"NCAP_TLIFE",$AX$10:$AX$16)),0,""))</f>
        <v/>
      </c>
      <c r="R92" s="369" t="str">
        <f ca="1">IF($B92&lt;&gt;"PRC_RESID","",IF(R$7=2005+OFFSET(COM_2012!$B$60,$AW92,SUMIF($B$10:$B$16,"NCAP_TLIFE",$AX$10:$AX$16)),0,""))</f>
        <v/>
      </c>
      <c r="S92" s="369" t="str">
        <f ca="1">IF($B92&lt;&gt;"PRC_RESID","",IF(S$7=2005+OFFSET(COM_2012!$B$60,$AW92,SUMIF($B$10:$B$16,"NCAP_TLIFE",$AX$10:$AX$16)),0,""))</f>
        <v/>
      </c>
      <c r="T92" s="369" t="str">
        <f ca="1">IF($B92&lt;&gt;"PRC_RESID","",IF(T$7=2005+OFFSET(COM_2012!$B$60,$AW92,SUMIF($B$10:$B$16,"NCAP_TLIFE",$AX$10:$AX$16)),0,""))</f>
        <v/>
      </c>
      <c r="U92" s="369" t="str">
        <f ca="1">IF($B92&lt;&gt;"PRC_RESID","",IF(U$7=2005+OFFSET(COM_2012!$B$60,$AW92,SUMIF($B$10:$B$16,"NCAP_TLIFE",$AX$10:$AX$16)),0,""))</f>
        <v/>
      </c>
      <c r="V92" s="369" t="str">
        <f ca="1">IF($B92&lt;&gt;"PRC_RESID","",IF(V$7=2005+OFFSET(COM_2012!$B$60,$AW92,SUMIF($B$10:$B$16,"NCAP_TLIFE",$AX$10:$AX$16)),0,""))</f>
        <v/>
      </c>
      <c r="W92" s="369" t="str">
        <f ca="1">IF($B92&lt;&gt;"PRC_RESID","",IF(W$7=2005+OFFSET(COM_2012!$B$60,$AW92,SUMIF($B$10:$B$16,"NCAP_TLIFE",$AX$10:$AX$16)),0,""))</f>
        <v/>
      </c>
      <c r="X92" s="369" t="str">
        <f ca="1">IF($B92&lt;&gt;"PRC_RESID","",IF(X$7=2005+OFFSET(COM_2012!$B$60,$AW92,SUMIF($B$10:$B$16,"NCAP_TLIFE",$AX$10:$AX$16)),0,""))</f>
        <v/>
      </c>
      <c r="Y92" s="369" t="str">
        <f ca="1">IF($B92&lt;&gt;"PRC_RESID","",IF(Y$7=2005+OFFSET(COM_2012!$B$60,$AW92,SUMIF($B$10:$B$16,"NCAP_TLIFE",$AX$10:$AX$16)),0,""))</f>
        <v/>
      </c>
      <c r="Z92" s="369" t="str">
        <f ca="1">IF($B92&lt;&gt;"PRC_RESID","",IF(Z$7=2005+OFFSET(COM_2012!$B$60,$AW92,SUMIF($B$10:$B$16,"NCAP_TLIFE",$AX$10:$AX$16)),0,""))</f>
        <v/>
      </c>
      <c r="AA92" s="369" t="str">
        <f ca="1">IF($B92&lt;&gt;"PRC_RESID","",IF(AA$7=2005+OFFSET(COM_2012!$B$60,$AW92,SUMIF($B$10:$B$16,"NCAP_TLIFE",$AX$10:$AX$16)),0,""))</f>
        <v/>
      </c>
      <c r="AB92" s="369" t="str">
        <f ca="1">IF($B92&lt;&gt;"PRC_RESID","",IF(AB$7=2005+OFFSET(COM_2012!$B$60,$AW92,SUMIF($B$10:$B$16,"NCAP_TLIFE",$AX$10:$AX$16)),0,""))</f>
        <v/>
      </c>
      <c r="AC92" s="369" t="str">
        <f ca="1">IF($B92&lt;&gt;"PRC_RESID","",IF(AC$7=2005+OFFSET(COM_2012!$B$60,$AW92,SUMIF($B$10:$B$16,"NCAP_TLIFE",$AX$10:$AX$16)),0,""))</f>
        <v/>
      </c>
      <c r="AD92" s="369" t="str">
        <f ca="1">IF($B92&lt;&gt;"PRC_RESID","",IF(AD$7=2005+OFFSET(COM_2012!$B$60,$AW92,SUMIF($B$10:$B$16,"NCAP_TLIFE",$AX$10:$AX$16)),0,""))</f>
        <v/>
      </c>
      <c r="AE92" s="369" t="str">
        <f ca="1">IF($B92&lt;&gt;"PRC_RESID","",IF(AE$7=2005+OFFSET(COM_2012!$B$60,$AW92,SUMIF($B$10:$B$16,"NCAP_TLIFE",$AX$10:$AX$16)),0,""))</f>
        <v/>
      </c>
      <c r="AF92" s="369" t="str">
        <f ca="1">IF($B92&lt;&gt;"PRC_RESID","",IF(AF$7=2005+OFFSET(COM_2012!$B$60,$AW92,SUMIF($B$10:$B$16,"NCAP_TLIFE",$AX$10:$AX$16)),0,""))</f>
        <v/>
      </c>
      <c r="AG92" s="369" t="str">
        <f ca="1">IF($B92&lt;&gt;"PRC_RESID","",IF(AG$7=2005+OFFSET(COM_2012!$B$60,$AW92,SUMIF($B$10:$B$16,"NCAP_TLIFE",$AX$10:$AX$16)),0,""))</f>
        <v/>
      </c>
      <c r="AH92" s="369" t="str">
        <f ca="1">IF($B92&lt;&gt;"PRC_RESID","",IF(AH$7=2005+OFFSET(COM_2012!$B$60,$AW92,SUMIF($B$10:$B$16,"NCAP_TLIFE",$AX$10:$AX$16)),0,""))</f>
        <v/>
      </c>
      <c r="AI92" s="369" t="str">
        <f ca="1">IF($B92&lt;&gt;"PRC_RESID","",IF(AI$7=2005+OFFSET(COM_2012!$B$60,$AW92,SUMIF($B$10:$B$16,"NCAP_TLIFE",$AX$10:$AX$16)),0,""))</f>
        <v/>
      </c>
      <c r="AJ92" s="369" t="str">
        <f ca="1">IF($B92&lt;&gt;"PRC_RESID","",IF(AJ$7=2005+OFFSET(COM_2012!$B$60,$AW92,SUMIF($B$10:$B$16,"NCAP_TLIFE",$AX$10:$AX$16)),0,""))</f>
        <v/>
      </c>
      <c r="AK92" s="369" t="str">
        <f ca="1">IF($B92&lt;&gt;"PRC_RESID","",IF(AK$7=2005+OFFSET(COM_2012!$B$60,$AW92,SUMIF($B$10:$B$16,"NCAP_TLIFE",$AX$10:$AX$16)),0,""))</f>
        <v/>
      </c>
      <c r="AL92" s="369" t="str">
        <f ca="1">IF($B92&lt;&gt;"PRC_RESID","",IF(AL$7=2005+OFFSET(COM_2012!$B$60,$AW92,SUMIF($B$10:$B$16,"NCAP_TLIFE",$AX$10:$AX$16)),0,""))</f>
        <v/>
      </c>
      <c r="AM92" s="369" t="str">
        <f ca="1">IF($B92&lt;&gt;"PRC_RESID","",IF(AM$7=2005+OFFSET(COM_2012!$B$60,$AW92,SUMIF($B$10:$B$16,"NCAP_TLIFE",$AX$10:$AX$16)),0,""))</f>
        <v/>
      </c>
      <c r="AN92" s="369" t="str">
        <f ca="1">IF($B92&lt;&gt;"PRC_RESID","",IF(AN$7=2005+OFFSET(COM_2012!$B$60,$AW92,SUMIF($B$10:$B$16,"NCAP_TLIFE",$AX$10:$AX$16)),0,""))</f>
        <v/>
      </c>
      <c r="AO92" s="369" t="str">
        <f ca="1">IF($B92&lt;&gt;"PRC_RESID","",IF(AO$7=2005+OFFSET(COM_2012!$B$60,$AW92,SUMIF($B$10:$B$16,"NCAP_TLIFE",$AX$10:$AX$16)),0,""))</f>
        <v/>
      </c>
      <c r="AP92" s="369" t="str">
        <f ca="1">IF($B92&lt;&gt;"PRC_RESID","",IF(AP$7=2005+OFFSET(COM_2012!$B$60,$AW92,SUMIF($B$10:$B$16,"NCAP_TLIFE",$AX$10:$AX$16)),0,""))</f>
        <v/>
      </c>
      <c r="AQ92" s="369" t="str">
        <f ca="1">IF($B92&lt;&gt;"PRC_RESID","",IF(AQ$7=2005+OFFSET(COM_2012!$B$60,$AW92,SUMIF($B$10:$B$16,"NCAP_TLIFE",$AX$10:$AX$16)),0,""))</f>
        <v/>
      </c>
      <c r="AR92" s="369" t="str">
        <f ca="1">IF($B92&lt;&gt;"PRC_RESID","",IF(AR$7=2005+OFFSET(COM_2012!$B$60,$AW92,SUMIF($B$10:$B$16,"NCAP_TLIFE",$AX$10:$AX$16)),0,""))</f>
        <v/>
      </c>
      <c r="AS92" s="369" t="str">
        <f ca="1">IF($B92&lt;&gt;"PRC_RESID","",IF(AS$7=2005+OFFSET(COM_2012!$B$60,$AW92,SUMIF($B$10:$B$16,"NCAP_TLIFE",$AX$10:$AX$16)),0,""))</f>
        <v/>
      </c>
      <c r="AT92" s="369" t="str">
        <f ca="1">IF($B92&lt;&gt;"PRC_RESID","",IF(AT$7=2005+OFFSET(COM_2012!$B$60,$AW92,SUMIF($B$10:$B$16,"NCAP_TLIFE",$AX$10:$AX$16)),0,""))</f>
        <v/>
      </c>
      <c r="AU92" s="369" t="str">
        <f ca="1">IF($B92&lt;&gt;"PRC_RESID","",IF(AU$7=2005+OFFSET(COM_2012!$B$60,$AW92,SUMIF($B$10:$B$16,"NCAP_TLIFE",$AX$10:$AX$16)),0,""))</f>
        <v/>
      </c>
      <c r="AV92" s="304">
        <f>IF(AW91=COM_2012!$AI$121,AV91+1,AV91)</f>
        <v>2</v>
      </c>
      <c r="AW92" s="304">
        <f t="shared" si="5"/>
        <v>4</v>
      </c>
    </row>
    <row r="93" spans="1:49">
      <c r="A93" s="304" t="str">
        <f ca="1">IF(LEFT(OFFSET(COM_2012!$A$60,AW93,0),2)="\I","*","")</f>
        <v/>
      </c>
      <c r="B93" s="369" t="str">
        <f t="shared" ca="1" si="10"/>
        <v>NCAP_BND</v>
      </c>
      <c r="C93" s="369" t="str">
        <f ca="1">IF($A93="*","",OFFSET(COM_2012!$B$60,AW93,0))</f>
        <v>CECELCCEN-N</v>
      </c>
      <c r="D93" s="369" t="str">
        <f t="shared" ca="1" si="8"/>
        <v>-</v>
      </c>
      <c r="E93" s="369" t="str">
        <f t="shared" ca="1" si="8"/>
        <v>-</v>
      </c>
      <c r="F93" s="369" t="str">
        <f t="shared" ca="1" si="8"/>
        <v>-</v>
      </c>
      <c r="G93" s="369" t="str">
        <f t="shared" ca="1" si="8"/>
        <v>-</v>
      </c>
      <c r="H93" s="369" t="str">
        <f t="shared" ca="1" si="8"/>
        <v>UP</v>
      </c>
      <c r="I93" s="370">
        <f t="shared" ca="1" si="8"/>
        <v>0</v>
      </c>
      <c r="J93" s="391">
        <f ca="1">IF($A93="*","",OFFSET(COM_2012!$B$60,AW93,SUMIF($B$10:$B$16,B93,$AX$10:$AX$16)))</f>
        <v>0</v>
      </c>
      <c r="K93" s="369" t="str">
        <f ca="1">IF($B93&lt;&gt;"PRC_RESID","",IF(K$7=2005+OFFSET(COM_2012!$B$60,$AW93,SUMIF($B$10:$B$16,"NCAP_TLIFE",$AX$10:$AX$16)),0,""))</f>
        <v/>
      </c>
      <c r="L93" s="369" t="str">
        <f ca="1">IF($B93&lt;&gt;"PRC_RESID","",IF(L$7=2005+OFFSET(COM_2012!$B$60,$AW93,SUMIF($B$10:$B$16,"NCAP_TLIFE",$AX$10:$AX$16)),0,""))</f>
        <v/>
      </c>
      <c r="M93" s="369" t="str">
        <f ca="1">IF($B93&lt;&gt;"PRC_RESID","",IF(M$7=2005+OFFSET(COM_2012!$B$60,$AW93,SUMIF($B$10:$B$16,"NCAP_TLIFE",$AX$10:$AX$16)),0,""))</f>
        <v/>
      </c>
      <c r="N93" s="369" t="str">
        <f ca="1">IF($B93&lt;&gt;"PRC_RESID","",IF(N$7=2005+OFFSET(COM_2012!$B$60,$AW93,SUMIF($B$10:$B$16,"NCAP_TLIFE",$AX$10:$AX$16)),0,""))</f>
        <v/>
      </c>
      <c r="O93" s="658" t="str">
        <f ca="1">IF($B93&lt;&gt;"PRC_RESID","",IF(O$7=2005+OFFSET(COM_2012!$B$60,$AW93,SUMIF($B$10:$B$16,"NCAP_TLIFE",$AX$10:$AX$16)),0,""))</f>
        <v/>
      </c>
      <c r="P93" s="369" t="str">
        <f ca="1">IF($B93&lt;&gt;"PRC_RESID","",IF(P$7=2005+OFFSET(COM_2012!$B$60,$AW93,SUMIF($B$10:$B$16,"NCAP_TLIFE",$AX$10:$AX$16)),0,""))</f>
        <v/>
      </c>
      <c r="Q93" s="369" t="str">
        <f ca="1">IF($B93&lt;&gt;"PRC_RESID","",IF(Q$7=2005+OFFSET(COM_2012!$B$60,$AW93,SUMIF($B$10:$B$16,"NCAP_TLIFE",$AX$10:$AX$16)),0,""))</f>
        <v/>
      </c>
      <c r="R93" s="369" t="str">
        <f ca="1">IF($B93&lt;&gt;"PRC_RESID","",IF(R$7=2005+OFFSET(COM_2012!$B$60,$AW93,SUMIF($B$10:$B$16,"NCAP_TLIFE",$AX$10:$AX$16)),0,""))</f>
        <v/>
      </c>
      <c r="S93" s="369" t="str">
        <f ca="1">IF($B93&lt;&gt;"PRC_RESID","",IF(S$7=2005+OFFSET(COM_2012!$B$60,$AW93,SUMIF($B$10:$B$16,"NCAP_TLIFE",$AX$10:$AX$16)),0,""))</f>
        <v/>
      </c>
      <c r="T93" s="369" t="str">
        <f ca="1">IF($B93&lt;&gt;"PRC_RESID","",IF(T$7=2005+OFFSET(COM_2012!$B$60,$AW93,SUMIF($B$10:$B$16,"NCAP_TLIFE",$AX$10:$AX$16)),0,""))</f>
        <v/>
      </c>
      <c r="U93" s="369" t="str">
        <f ca="1">IF($B93&lt;&gt;"PRC_RESID","",IF(U$7=2005+OFFSET(COM_2012!$B$60,$AW93,SUMIF($B$10:$B$16,"NCAP_TLIFE",$AX$10:$AX$16)),0,""))</f>
        <v/>
      </c>
      <c r="V93" s="369" t="str">
        <f ca="1">IF($B93&lt;&gt;"PRC_RESID","",IF(V$7=2005+OFFSET(COM_2012!$B$60,$AW93,SUMIF($B$10:$B$16,"NCAP_TLIFE",$AX$10:$AX$16)),0,""))</f>
        <v/>
      </c>
      <c r="W93" s="369" t="str">
        <f ca="1">IF($B93&lt;&gt;"PRC_RESID","",IF(W$7=2005+OFFSET(COM_2012!$B$60,$AW93,SUMIF($B$10:$B$16,"NCAP_TLIFE",$AX$10:$AX$16)),0,""))</f>
        <v/>
      </c>
      <c r="X93" s="369" t="str">
        <f ca="1">IF($B93&lt;&gt;"PRC_RESID","",IF(X$7=2005+OFFSET(COM_2012!$B$60,$AW93,SUMIF($B$10:$B$16,"NCAP_TLIFE",$AX$10:$AX$16)),0,""))</f>
        <v/>
      </c>
      <c r="Y93" s="369" t="str">
        <f ca="1">IF($B93&lt;&gt;"PRC_RESID","",IF(Y$7=2005+OFFSET(COM_2012!$B$60,$AW93,SUMIF($B$10:$B$16,"NCAP_TLIFE",$AX$10:$AX$16)),0,""))</f>
        <v/>
      </c>
      <c r="Z93" s="369" t="str">
        <f ca="1">IF($B93&lt;&gt;"PRC_RESID","",IF(Z$7=2005+OFFSET(COM_2012!$B$60,$AW93,SUMIF($B$10:$B$16,"NCAP_TLIFE",$AX$10:$AX$16)),0,""))</f>
        <v/>
      </c>
      <c r="AA93" s="369" t="str">
        <f ca="1">IF($B93&lt;&gt;"PRC_RESID","",IF(AA$7=2005+OFFSET(COM_2012!$B$60,$AW93,SUMIF($B$10:$B$16,"NCAP_TLIFE",$AX$10:$AX$16)),0,""))</f>
        <v/>
      </c>
      <c r="AB93" s="369" t="str">
        <f ca="1">IF($B93&lt;&gt;"PRC_RESID","",IF(AB$7=2005+OFFSET(COM_2012!$B$60,$AW93,SUMIF($B$10:$B$16,"NCAP_TLIFE",$AX$10:$AX$16)),0,""))</f>
        <v/>
      </c>
      <c r="AC93" s="369" t="str">
        <f ca="1">IF($B93&lt;&gt;"PRC_RESID","",IF(AC$7=2005+OFFSET(COM_2012!$B$60,$AW93,SUMIF($B$10:$B$16,"NCAP_TLIFE",$AX$10:$AX$16)),0,""))</f>
        <v/>
      </c>
      <c r="AD93" s="369" t="str">
        <f ca="1">IF($B93&lt;&gt;"PRC_RESID","",IF(AD$7=2005+OFFSET(COM_2012!$B$60,$AW93,SUMIF($B$10:$B$16,"NCAP_TLIFE",$AX$10:$AX$16)),0,""))</f>
        <v/>
      </c>
      <c r="AE93" s="369" t="str">
        <f ca="1">IF($B93&lt;&gt;"PRC_RESID","",IF(AE$7=2005+OFFSET(COM_2012!$B$60,$AW93,SUMIF($B$10:$B$16,"NCAP_TLIFE",$AX$10:$AX$16)),0,""))</f>
        <v/>
      </c>
      <c r="AF93" s="369" t="str">
        <f ca="1">IF($B93&lt;&gt;"PRC_RESID","",IF(AF$7=2005+OFFSET(COM_2012!$B$60,$AW93,SUMIF($B$10:$B$16,"NCAP_TLIFE",$AX$10:$AX$16)),0,""))</f>
        <v/>
      </c>
      <c r="AG93" s="369" t="str">
        <f ca="1">IF($B93&lt;&gt;"PRC_RESID","",IF(AG$7=2005+OFFSET(COM_2012!$B$60,$AW93,SUMIF($B$10:$B$16,"NCAP_TLIFE",$AX$10:$AX$16)),0,""))</f>
        <v/>
      </c>
      <c r="AH93" s="369" t="str">
        <f ca="1">IF($B93&lt;&gt;"PRC_RESID","",IF(AH$7=2005+OFFSET(COM_2012!$B$60,$AW93,SUMIF($B$10:$B$16,"NCAP_TLIFE",$AX$10:$AX$16)),0,""))</f>
        <v/>
      </c>
      <c r="AI93" s="369" t="str">
        <f ca="1">IF($B93&lt;&gt;"PRC_RESID","",IF(AI$7=2005+OFFSET(COM_2012!$B$60,$AW93,SUMIF($B$10:$B$16,"NCAP_TLIFE",$AX$10:$AX$16)),0,""))</f>
        <v/>
      </c>
      <c r="AJ93" s="369" t="str">
        <f ca="1">IF($B93&lt;&gt;"PRC_RESID","",IF(AJ$7=2005+OFFSET(COM_2012!$B$60,$AW93,SUMIF($B$10:$B$16,"NCAP_TLIFE",$AX$10:$AX$16)),0,""))</f>
        <v/>
      </c>
      <c r="AK93" s="369" t="str">
        <f ca="1">IF($B93&lt;&gt;"PRC_RESID","",IF(AK$7=2005+OFFSET(COM_2012!$B$60,$AW93,SUMIF($B$10:$B$16,"NCAP_TLIFE",$AX$10:$AX$16)),0,""))</f>
        <v/>
      </c>
      <c r="AL93" s="369" t="str">
        <f ca="1">IF($B93&lt;&gt;"PRC_RESID","",IF(AL$7=2005+OFFSET(COM_2012!$B$60,$AW93,SUMIF($B$10:$B$16,"NCAP_TLIFE",$AX$10:$AX$16)),0,""))</f>
        <v/>
      </c>
      <c r="AM93" s="369" t="str">
        <f ca="1">IF($B93&lt;&gt;"PRC_RESID","",IF(AM$7=2005+OFFSET(COM_2012!$B$60,$AW93,SUMIF($B$10:$B$16,"NCAP_TLIFE",$AX$10:$AX$16)),0,""))</f>
        <v/>
      </c>
      <c r="AN93" s="369" t="str">
        <f ca="1">IF($B93&lt;&gt;"PRC_RESID","",IF(AN$7=2005+OFFSET(COM_2012!$B$60,$AW93,SUMIF($B$10:$B$16,"NCAP_TLIFE",$AX$10:$AX$16)),0,""))</f>
        <v/>
      </c>
      <c r="AO93" s="369" t="str">
        <f ca="1">IF($B93&lt;&gt;"PRC_RESID","",IF(AO$7=2005+OFFSET(COM_2012!$B$60,$AW93,SUMIF($B$10:$B$16,"NCAP_TLIFE",$AX$10:$AX$16)),0,""))</f>
        <v/>
      </c>
      <c r="AP93" s="369" t="str">
        <f ca="1">IF($B93&lt;&gt;"PRC_RESID","",IF(AP$7=2005+OFFSET(COM_2012!$B$60,$AW93,SUMIF($B$10:$B$16,"NCAP_TLIFE",$AX$10:$AX$16)),0,""))</f>
        <v/>
      </c>
      <c r="AQ93" s="369" t="str">
        <f ca="1">IF($B93&lt;&gt;"PRC_RESID","",IF(AQ$7=2005+OFFSET(COM_2012!$B$60,$AW93,SUMIF($B$10:$B$16,"NCAP_TLIFE",$AX$10:$AX$16)),0,""))</f>
        <v/>
      </c>
      <c r="AR93" s="369" t="str">
        <f ca="1">IF($B93&lt;&gt;"PRC_RESID","",IF(AR$7=2005+OFFSET(COM_2012!$B$60,$AW93,SUMIF($B$10:$B$16,"NCAP_TLIFE",$AX$10:$AX$16)),0,""))</f>
        <v/>
      </c>
      <c r="AS93" s="369" t="str">
        <f ca="1">IF($B93&lt;&gt;"PRC_RESID","",IF(AS$7=2005+OFFSET(COM_2012!$B$60,$AW93,SUMIF($B$10:$B$16,"NCAP_TLIFE",$AX$10:$AX$16)),0,""))</f>
        <v/>
      </c>
      <c r="AT93" s="369" t="str">
        <f ca="1">IF($B93&lt;&gt;"PRC_RESID","",IF(AT$7=2005+OFFSET(COM_2012!$B$60,$AW93,SUMIF($B$10:$B$16,"NCAP_TLIFE",$AX$10:$AX$16)),0,""))</f>
        <v/>
      </c>
      <c r="AU93" s="369" t="str">
        <f ca="1">IF($B93&lt;&gt;"PRC_RESID","",IF(AU$7=2005+OFFSET(COM_2012!$B$60,$AW93,SUMIF($B$10:$B$16,"NCAP_TLIFE",$AX$10:$AX$16)),0,""))</f>
        <v/>
      </c>
      <c r="AV93" s="304">
        <f>IF(AW92=COM_2012!$AI$121,AV92+1,AV92)</f>
        <v>2</v>
      </c>
      <c r="AW93" s="304">
        <f t="shared" si="5"/>
        <v>5</v>
      </c>
    </row>
    <row r="94" spans="1:49">
      <c r="A94" s="304" t="str">
        <f ca="1">IF(LEFT(OFFSET(COM_2012!$A$60,AW94,0),2)="\I","*","")</f>
        <v/>
      </c>
      <c r="B94" s="369" t="str">
        <f t="shared" ca="1" si="10"/>
        <v>NCAP_BND</v>
      </c>
      <c r="C94" s="369" t="str">
        <f ca="1">IF($A94="*","",OFFSET(COM_2012!$B$60,AW94,0))</f>
        <v>CECELCHP-N</v>
      </c>
      <c r="D94" s="369" t="str">
        <f t="shared" ca="1" si="8"/>
        <v>-</v>
      </c>
      <c r="E94" s="369" t="str">
        <f t="shared" ca="1" si="8"/>
        <v>-</v>
      </c>
      <c r="F94" s="369" t="str">
        <f t="shared" ca="1" si="8"/>
        <v>-</v>
      </c>
      <c r="G94" s="369" t="str">
        <f t="shared" ca="1" si="8"/>
        <v>-</v>
      </c>
      <c r="H94" s="369" t="str">
        <f t="shared" ca="1" si="8"/>
        <v>UP</v>
      </c>
      <c r="I94" s="370">
        <f t="shared" ca="1" si="8"/>
        <v>0</v>
      </c>
      <c r="J94" s="391">
        <f ca="1">IF($A94="*","",OFFSET(COM_2012!$B$60,AW94,SUMIF($B$10:$B$16,B94,$AX$10:$AX$16)))</f>
        <v>0</v>
      </c>
      <c r="K94" s="369" t="str">
        <f ca="1">IF($B94&lt;&gt;"PRC_RESID","",IF(K$7=2005+OFFSET(COM_2012!$B$60,$AW94,SUMIF($B$10:$B$16,"NCAP_TLIFE",$AX$10:$AX$16)),0,""))</f>
        <v/>
      </c>
      <c r="L94" s="369" t="str">
        <f ca="1">IF($B94&lt;&gt;"PRC_RESID","",IF(L$7=2005+OFFSET(COM_2012!$B$60,$AW94,SUMIF($B$10:$B$16,"NCAP_TLIFE",$AX$10:$AX$16)),0,""))</f>
        <v/>
      </c>
      <c r="M94" s="369" t="str">
        <f ca="1">IF($B94&lt;&gt;"PRC_RESID","",IF(M$7=2005+OFFSET(COM_2012!$B$60,$AW94,SUMIF($B$10:$B$16,"NCAP_TLIFE",$AX$10:$AX$16)),0,""))</f>
        <v/>
      </c>
      <c r="N94" s="369" t="str">
        <f ca="1">IF($B94&lt;&gt;"PRC_RESID","",IF(N$7=2005+OFFSET(COM_2012!$B$60,$AW94,SUMIF($B$10:$B$16,"NCAP_TLIFE",$AX$10:$AX$16)),0,""))</f>
        <v/>
      </c>
      <c r="O94" s="658" t="str">
        <f ca="1">IF($B94&lt;&gt;"PRC_RESID","",IF(O$7=2005+OFFSET(COM_2012!$B$60,$AW94,SUMIF($B$10:$B$16,"NCAP_TLIFE",$AX$10:$AX$16)),0,""))</f>
        <v/>
      </c>
      <c r="P94" s="369" t="str">
        <f ca="1">IF($B94&lt;&gt;"PRC_RESID","",IF(P$7=2005+OFFSET(COM_2012!$B$60,$AW94,SUMIF($B$10:$B$16,"NCAP_TLIFE",$AX$10:$AX$16)),0,""))</f>
        <v/>
      </c>
      <c r="Q94" s="369" t="str">
        <f ca="1">IF($B94&lt;&gt;"PRC_RESID","",IF(Q$7=2005+OFFSET(COM_2012!$B$60,$AW94,SUMIF($B$10:$B$16,"NCAP_TLIFE",$AX$10:$AX$16)),0,""))</f>
        <v/>
      </c>
      <c r="R94" s="369" t="str">
        <f ca="1">IF($B94&lt;&gt;"PRC_RESID","",IF(R$7=2005+OFFSET(COM_2012!$B$60,$AW94,SUMIF($B$10:$B$16,"NCAP_TLIFE",$AX$10:$AX$16)),0,""))</f>
        <v/>
      </c>
      <c r="S94" s="369" t="str">
        <f ca="1">IF($B94&lt;&gt;"PRC_RESID","",IF(S$7=2005+OFFSET(COM_2012!$B$60,$AW94,SUMIF($B$10:$B$16,"NCAP_TLIFE",$AX$10:$AX$16)),0,""))</f>
        <v/>
      </c>
      <c r="T94" s="369" t="str">
        <f ca="1">IF($B94&lt;&gt;"PRC_RESID","",IF(T$7=2005+OFFSET(COM_2012!$B$60,$AW94,SUMIF($B$10:$B$16,"NCAP_TLIFE",$AX$10:$AX$16)),0,""))</f>
        <v/>
      </c>
      <c r="U94" s="369" t="str">
        <f ca="1">IF($B94&lt;&gt;"PRC_RESID","",IF(U$7=2005+OFFSET(COM_2012!$B$60,$AW94,SUMIF($B$10:$B$16,"NCAP_TLIFE",$AX$10:$AX$16)),0,""))</f>
        <v/>
      </c>
      <c r="V94" s="369" t="str">
        <f ca="1">IF($B94&lt;&gt;"PRC_RESID","",IF(V$7=2005+OFFSET(COM_2012!$B$60,$AW94,SUMIF($B$10:$B$16,"NCAP_TLIFE",$AX$10:$AX$16)),0,""))</f>
        <v/>
      </c>
      <c r="W94" s="369" t="str">
        <f ca="1">IF($B94&lt;&gt;"PRC_RESID","",IF(W$7=2005+OFFSET(COM_2012!$B$60,$AW94,SUMIF($B$10:$B$16,"NCAP_TLIFE",$AX$10:$AX$16)),0,""))</f>
        <v/>
      </c>
      <c r="X94" s="369" t="str">
        <f ca="1">IF($B94&lt;&gt;"PRC_RESID","",IF(X$7=2005+OFFSET(COM_2012!$B$60,$AW94,SUMIF($B$10:$B$16,"NCAP_TLIFE",$AX$10:$AX$16)),0,""))</f>
        <v/>
      </c>
      <c r="Y94" s="369" t="str">
        <f ca="1">IF($B94&lt;&gt;"PRC_RESID","",IF(Y$7=2005+OFFSET(COM_2012!$B$60,$AW94,SUMIF($B$10:$B$16,"NCAP_TLIFE",$AX$10:$AX$16)),0,""))</f>
        <v/>
      </c>
      <c r="Z94" s="369" t="str">
        <f ca="1">IF($B94&lt;&gt;"PRC_RESID","",IF(Z$7=2005+OFFSET(COM_2012!$B$60,$AW94,SUMIF($B$10:$B$16,"NCAP_TLIFE",$AX$10:$AX$16)),0,""))</f>
        <v/>
      </c>
      <c r="AA94" s="369" t="str">
        <f ca="1">IF($B94&lt;&gt;"PRC_RESID","",IF(AA$7=2005+OFFSET(COM_2012!$B$60,$AW94,SUMIF($B$10:$B$16,"NCAP_TLIFE",$AX$10:$AX$16)),0,""))</f>
        <v/>
      </c>
      <c r="AB94" s="369" t="str">
        <f ca="1">IF($B94&lt;&gt;"PRC_RESID","",IF(AB$7=2005+OFFSET(COM_2012!$B$60,$AW94,SUMIF($B$10:$B$16,"NCAP_TLIFE",$AX$10:$AX$16)),0,""))</f>
        <v/>
      </c>
      <c r="AC94" s="369" t="str">
        <f ca="1">IF($B94&lt;&gt;"PRC_RESID","",IF(AC$7=2005+OFFSET(COM_2012!$B$60,$AW94,SUMIF($B$10:$B$16,"NCAP_TLIFE",$AX$10:$AX$16)),0,""))</f>
        <v/>
      </c>
      <c r="AD94" s="369" t="str">
        <f ca="1">IF($B94&lt;&gt;"PRC_RESID","",IF(AD$7=2005+OFFSET(COM_2012!$B$60,$AW94,SUMIF($B$10:$B$16,"NCAP_TLIFE",$AX$10:$AX$16)),0,""))</f>
        <v/>
      </c>
      <c r="AE94" s="369" t="str">
        <f ca="1">IF($B94&lt;&gt;"PRC_RESID","",IF(AE$7=2005+OFFSET(COM_2012!$B$60,$AW94,SUMIF($B$10:$B$16,"NCAP_TLIFE",$AX$10:$AX$16)),0,""))</f>
        <v/>
      </c>
      <c r="AF94" s="369" t="str">
        <f ca="1">IF($B94&lt;&gt;"PRC_RESID","",IF(AF$7=2005+OFFSET(COM_2012!$B$60,$AW94,SUMIF($B$10:$B$16,"NCAP_TLIFE",$AX$10:$AX$16)),0,""))</f>
        <v/>
      </c>
      <c r="AG94" s="369" t="str">
        <f ca="1">IF($B94&lt;&gt;"PRC_RESID","",IF(AG$7=2005+OFFSET(COM_2012!$B$60,$AW94,SUMIF($B$10:$B$16,"NCAP_TLIFE",$AX$10:$AX$16)),0,""))</f>
        <v/>
      </c>
      <c r="AH94" s="369" t="str">
        <f ca="1">IF($B94&lt;&gt;"PRC_RESID","",IF(AH$7=2005+OFFSET(COM_2012!$B$60,$AW94,SUMIF($B$10:$B$16,"NCAP_TLIFE",$AX$10:$AX$16)),0,""))</f>
        <v/>
      </c>
      <c r="AI94" s="369" t="str">
        <f ca="1">IF($B94&lt;&gt;"PRC_RESID","",IF(AI$7=2005+OFFSET(COM_2012!$B$60,$AW94,SUMIF($B$10:$B$16,"NCAP_TLIFE",$AX$10:$AX$16)),0,""))</f>
        <v/>
      </c>
      <c r="AJ94" s="369" t="str">
        <f ca="1">IF($B94&lt;&gt;"PRC_RESID","",IF(AJ$7=2005+OFFSET(COM_2012!$B$60,$AW94,SUMIF($B$10:$B$16,"NCAP_TLIFE",$AX$10:$AX$16)),0,""))</f>
        <v/>
      </c>
      <c r="AK94" s="369" t="str">
        <f ca="1">IF($B94&lt;&gt;"PRC_RESID","",IF(AK$7=2005+OFFSET(COM_2012!$B$60,$AW94,SUMIF($B$10:$B$16,"NCAP_TLIFE",$AX$10:$AX$16)),0,""))</f>
        <v/>
      </c>
      <c r="AL94" s="369" t="str">
        <f ca="1">IF($B94&lt;&gt;"PRC_RESID","",IF(AL$7=2005+OFFSET(COM_2012!$B$60,$AW94,SUMIF($B$10:$B$16,"NCAP_TLIFE",$AX$10:$AX$16)),0,""))</f>
        <v/>
      </c>
      <c r="AM94" s="369" t="str">
        <f ca="1">IF($B94&lt;&gt;"PRC_RESID","",IF(AM$7=2005+OFFSET(COM_2012!$B$60,$AW94,SUMIF($B$10:$B$16,"NCAP_TLIFE",$AX$10:$AX$16)),0,""))</f>
        <v/>
      </c>
      <c r="AN94" s="369" t="str">
        <f ca="1">IF($B94&lt;&gt;"PRC_RESID","",IF(AN$7=2005+OFFSET(COM_2012!$B$60,$AW94,SUMIF($B$10:$B$16,"NCAP_TLIFE",$AX$10:$AX$16)),0,""))</f>
        <v/>
      </c>
      <c r="AO94" s="369" t="str">
        <f ca="1">IF($B94&lt;&gt;"PRC_RESID","",IF(AO$7=2005+OFFSET(COM_2012!$B$60,$AW94,SUMIF($B$10:$B$16,"NCAP_TLIFE",$AX$10:$AX$16)),0,""))</f>
        <v/>
      </c>
      <c r="AP94" s="369" t="str">
        <f ca="1">IF($B94&lt;&gt;"PRC_RESID","",IF(AP$7=2005+OFFSET(COM_2012!$B$60,$AW94,SUMIF($B$10:$B$16,"NCAP_TLIFE",$AX$10:$AX$16)),0,""))</f>
        <v/>
      </c>
      <c r="AQ94" s="369" t="str">
        <f ca="1">IF($B94&lt;&gt;"PRC_RESID","",IF(AQ$7=2005+OFFSET(COM_2012!$B$60,$AW94,SUMIF($B$10:$B$16,"NCAP_TLIFE",$AX$10:$AX$16)),0,""))</f>
        <v/>
      </c>
      <c r="AR94" s="369" t="str">
        <f ca="1">IF($B94&lt;&gt;"PRC_RESID","",IF(AR$7=2005+OFFSET(COM_2012!$B$60,$AW94,SUMIF($B$10:$B$16,"NCAP_TLIFE",$AX$10:$AX$16)),0,""))</f>
        <v/>
      </c>
      <c r="AS94" s="369" t="str">
        <f ca="1">IF($B94&lt;&gt;"PRC_RESID","",IF(AS$7=2005+OFFSET(COM_2012!$B$60,$AW94,SUMIF($B$10:$B$16,"NCAP_TLIFE",$AX$10:$AX$16)),0,""))</f>
        <v/>
      </c>
      <c r="AT94" s="369" t="str">
        <f ca="1">IF($B94&lt;&gt;"PRC_RESID","",IF(AT$7=2005+OFFSET(COM_2012!$B$60,$AW94,SUMIF($B$10:$B$16,"NCAP_TLIFE",$AX$10:$AX$16)),0,""))</f>
        <v/>
      </c>
      <c r="AU94" s="369" t="str">
        <f ca="1">IF($B94&lt;&gt;"PRC_RESID","",IF(AU$7=2005+OFFSET(COM_2012!$B$60,$AW94,SUMIF($B$10:$B$16,"NCAP_TLIFE",$AX$10:$AX$16)),0,""))</f>
        <v/>
      </c>
      <c r="AV94" s="304">
        <f>IF(AW93=COM_2012!$AI$121,AV93+1,AV93)</f>
        <v>2</v>
      </c>
      <c r="AW94" s="304">
        <f t="shared" si="5"/>
        <v>6</v>
      </c>
    </row>
    <row r="95" spans="1:49">
      <c r="A95" s="304" t="str">
        <f ca="1">IF(LEFT(OFFSET(COM_2012!$A$60,AW95,0),2)="\I","*","")</f>
        <v>*</v>
      </c>
      <c r="B95" s="369" t="str">
        <f t="shared" ca="1" si="10"/>
        <v/>
      </c>
      <c r="C95" s="369" t="str">
        <f ca="1">IF($A95="*","",OFFSET(COM_2012!$B$60,AW95,0))</f>
        <v/>
      </c>
      <c r="D95" s="369" t="str">
        <f t="shared" ref="D95:I113" ca="1" si="11">IF($A95="*","",VLOOKUP($B95,$B$10:$I$16,D$9,FALSE))</f>
        <v/>
      </c>
      <c r="E95" s="369" t="str">
        <f t="shared" ca="1" si="11"/>
        <v/>
      </c>
      <c r="F95" s="369" t="str">
        <f t="shared" ca="1" si="11"/>
        <v/>
      </c>
      <c r="G95" s="369" t="str">
        <f t="shared" ca="1" si="11"/>
        <v/>
      </c>
      <c r="H95" s="369" t="str">
        <f t="shared" ca="1" si="11"/>
        <v/>
      </c>
      <c r="I95" s="370" t="str">
        <f t="shared" ca="1" si="11"/>
        <v/>
      </c>
      <c r="J95" s="391" t="str">
        <f ca="1">IF($A95="*","",OFFSET(COM_2012!$B$60,AW95,SUMIF($B$10:$B$16,B95,$AX$10:$AX$16)))</f>
        <v/>
      </c>
      <c r="K95" s="369" t="str">
        <f ca="1">IF($B95&lt;&gt;"PRC_RESID","",IF(K$7=2005+OFFSET(COM_2012!$B$60,$AW95,SUMIF($B$10:$B$16,"NCAP_TLIFE",$AX$10:$AX$16)),0,""))</f>
        <v/>
      </c>
      <c r="L95" s="369" t="str">
        <f ca="1">IF($B95&lt;&gt;"PRC_RESID","",IF(L$7=2005+OFFSET(COM_2012!$B$60,$AW95,SUMIF($B$10:$B$16,"NCAP_TLIFE",$AX$10:$AX$16)),0,""))</f>
        <v/>
      </c>
      <c r="M95" s="369" t="str">
        <f ca="1">IF($B95&lt;&gt;"PRC_RESID","",IF(M$7=2005+OFFSET(COM_2012!$B$60,$AW95,SUMIF($B$10:$B$16,"NCAP_TLIFE",$AX$10:$AX$16)),0,""))</f>
        <v/>
      </c>
      <c r="N95" s="369" t="str">
        <f ca="1">IF($B95&lt;&gt;"PRC_RESID","",IF(N$7=2005+OFFSET(COM_2012!$B$60,$AW95,SUMIF($B$10:$B$16,"NCAP_TLIFE",$AX$10:$AX$16)),0,""))</f>
        <v/>
      </c>
      <c r="O95" s="658" t="str">
        <f ca="1">IF($B95&lt;&gt;"PRC_RESID","",IF(O$7=2005+OFFSET(COM_2012!$B$60,$AW95,SUMIF($B$10:$B$16,"NCAP_TLIFE",$AX$10:$AX$16)),0,""))</f>
        <v/>
      </c>
      <c r="P95" s="369" t="str">
        <f ca="1">IF($B95&lt;&gt;"PRC_RESID","",IF(P$7=2005+OFFSET(COM_2012!$B$60,$AW95,SUMIF($B$10:$B$16,"NCAP_TLIFE",$AX$10:$AX$16)),0,""))</f>
        <v/>
      </c>
      <c r="Q95" s="369" t="str">
        <f ca="1">IF($B95&lt;&gt;"PRC_RESID","",IF(Q$7=2005+OFFSET(COM_2012!$B$60,$AW95,SUMIF($B$10:$B$16,"NCAP_TLIFE",$AX$10:$AX$16)),0,""))</f>
        <v/>
      </c>
      <c r="R95" s="369" t="str">
        <f ca="1">IF($B95&lt;&gt;"PRC_RESID","",IF(R$7=2005+OFFSET(COM_2012!$B$60,$AW95,SUMIF($B$10:$B$16,"NCAP_TLIFE",$AX$10:$AX$16)),0,""))</f>
        <v/>
      </c>
      <c r="S95" s="369" t="str">
        <f ca="1">IF($B95&lt;&gt;"PRC_RESID","",IF(S$7=2005+OFFSET(COM_2012!$B$60,$AW95,SUMIF($B$10:$B$16,"NCAP_TLIFE",$AX$10:$AX$16)),0,""))</f>
        <v/>
      </c>
      <c r="T95" s="369" t="str">
        <f ca="1">IF($B95&lt;&gt;"PRC_RESID","",IF(T$7=2005+OFFSET(COM_2012!$B$60,$AW95,SUMIF($B$10:$B$16,"NCAP_TLIFE",$AX$10:$AX$16)),0,""))</f>
        <v/>
      </c>
      <c r="U95" s="369" t="str">
        <f ca="1">IF($B95&lt;&gt;"PRC_RESID","",IF(U$7=2005+OFFSET(COM_2012!$B$60,$AW95,SUMIF($B$10:$B$16,"NCAP_TLIFE",$AX$10:$AX$16)),0,""))</f>
        <v/>
      </c>
      <c r="V95" s="369" t="str">
        <f ca="1">IF($B95&lt;&gt;"PRC_RESID","",IF(V$7=2005+OFFSET(COM_2012!$B$60,$AW95,SUMIF($B$10:$B$16,"NCAP_TLIFE",$AX$10:$AX$16)),0,""))</f>
        <v/>
      </c>
      <c r="W95" s="369" t="str">
        <f ca="1">IF($B95&lt;&gt;"PRC_RESID","",IF(W$7=2005+OFFSET(COM_2012!$B$60,$AW95,SUMIF($B$10:$B$16,"NCAP_TLIFE",$AX$10:$AX$16)),0,""))</f>
        <v/>
      </c>
      <c r="X95" s="369" t="str">
        <f ca="1">IF($B95&lt;&gt;"PRC_RESID","",IF(X$7=2005+OFFSET(COM_2012!$B$60,$AW95,SUMIF($B$10:$B$16,"NCAP_TLIFE",$AX$10:$AX$16)),0,""))</f>
        <v/>
      </c>
      <c r="Y95" s="369" t="str">
        <f ca="1">IF($B95&lt;&gt;"PRC_RESID","",IF(Y$7=2005+OFFSET(COM_2012!$B$60,$AW95,SUMIF($B$10:$B$16,"NCAP_TLIFE",$AX$10:$AX$16)),0,""))</f>
        <v/>
      </c>
      <c r="Z95" s="369" t="str">
        <f ca="1">IF($B95&lt;&gt;"PRC_RESID","",IF(Z$7=2005+OFFSET(COM_2012!$B$60,$AW95,SUMIF($B$10:$B$16,"NCAP_TLIFE",$AX$10:$AX$16)),0,""))</f>
        <v/>
      </c>
      <c r="AA95" s="369" t="str">
        <f ca="1">IF($B95&lt;&gt;"PRC_RESID","",IF(AA$7=2005+OFFSET(COM_2012!$B$60,$AW95,SUMIF($B$10:$B$16,"NCAP_TLIFE",$AX$10:$AX$16)),0,""))</f>
        <v/>
      </c>
      <c r="AB95" s="369" t="str">
        <f ca="1">IF($B95&lt;&gt;"PRC_RESID","",IF(AB$7=2005+OFFSET(COM_2012!$B$60,$AW95,SUMIF($B$10:$B$16,"NCAP_TLIFE",$AX$10:$AX$16)),0,""))</f>
        <v/>
      </c>
      <c r="AC95" s="369" t="str">
        <f ca="1">IF($B95&lt;&gt;"PRC_RESID","",IF(AC$7=2005+OFFSET(COM_2012!$B$60,$AW95,SUMIF($B$10:$B$16,"NCAP_TLIFE",$AX$10:$AX$16)),0,""))</f>
        <v/>
      </c>
      <c r="AD95" s="369" t="str">
        <f ca="1">IF($B95&lt;&gt;"PRC_RESID","",IF(AD$7=2005+OFFSET(COM_2012!$B$60,$AW95,SUMIF($B$10:$B$16,"NCAP_TLIFE",$AX$10:$AX$16)),0,""))</f>
        <v/>
      </c>
      <c r="AE95" s="369" t="str">
        <f ca="1">IF($B95&lt;&gt;"PRC_RESID","",IF(AE$7=2005+OFFSET(COM_2012!$B$60,$AW95,SUMIF($B$10:$B$16,"NCAP_TLIFE",$AX$10:$AX$16)),0,""))</f>
        <v/>
      </c>
      <c r="AF95" s="369" t="str">
        <f ca="1">IF($B95&lt;&gt;"PRC_RESID","",IF(AF$7=2005+OFFSET(COM_2012!$B$60,$AW95,SUMIF($B$10:$B$16,"NCAP_TLIFE",$AX$10:$AX$16)),0,""))</f>
        <v/>
      </c>
      <c r="AG95" s="369" t="str">
        <f ca="1">IF($B95&lt;&gt;"PRC_RESID","",IF(AG$7=2005+OFFSET(COM_2012!$B$60,$AW95,SUMIF($B$10:$B$16,"NCAP_TLIFE",$AX$10:$AX$16)),0,""))</f>
        <v/>
      </c>
      <c r="AH95" s="369" t="str">
        <f ca="1">IF($B95&lt;&gt;"PRC_RESID","",IF(AH$7=2005+OFFSET(COM_2012!$B$60,$AW95,SUMIF($B$10:$B$16,"NCAP_TLIFE",$AX$10:$AX$16)),0,""))</f>
        <v/>
      </c>
      <c r="AI95" s="369" t="str">
        <f ca="1">IF($B95&lt;&gt;"PRC_RESID","",IF(AI$7=2005+OFFSET(COM_2012!$B$60,$AW95,SUMIF($B$10:$B$16,"NCAP_TLIFE",$AX$10:$AX$16)),0,""))</f>
        <v/>
      </c>
      <c r="AJ95" s="369" t="str">
        <f ca="1">IF($B95&lt;&gt;"PRC_RESID","",IF(AJ$7=2005+OFFSET(COM_2012!$B$60,$AW95,SUMIF($B$10:$B$16,"NCAP_TLIFE",$AX$10:$AX$16)),0,""))</f>
        <v/>
      </c>
      <c r="AK95" s="369" t="str">
        <f ca="1">IF($B95&lt;&gt;"PRC_RESID","",IF(AK$7=2005+OFFSET(COM_2012!$B$60,$AW95,SUMIF($B$10:$B$16,"NCAP_TLIFE",$AX$10:$AX$16)),0,""))</f>
        <v/>
      </c>
      <c r="AL95" s="369" t="str">
        <f ca="1">IF($B95&lt;&gt;"PRC_RESID","",IF(AL$7=2005+OFFSET(COM_2012!$B$60,$AW95,SUMIF($B$10:$B$16,"NCAP_TLIFE",$AX$10:$AX$16)),0,""))</f>
        <v/>
      </c>
      <c r="AM95" s="369" t="str">
        <f ca="1">IF($B95&lt;&gt;"PRC_RESID","",IF(AM$7=2005+OFFSET(COM_2012!$B$60,$AW95,SUMIF($B$10:$B$16,"NCAP_TLIFE",$AX$10:$AX$16)),0,""))</f>
        <v/>
      </c>
      <c r="AN95" s="369" t="str">
        <f ca="1">IF($B95&lt;&gt;"PRC_RESID","",IF(AN$7=2005+OFFSET(COM_2012!$B$60,$AW95,SUMIF($B$10:$B$16,"NCAP_TLIFE",$AX$10:$AX$16)),0,""))</f>
        <v/>
      </c>
      <c r="AO95" s="369" t="str">
        <f ca="1">IF($B95&lt;&gt;"PRC_RESID","",IF(AO$7=2005+OFFSET(COM_2012!$B$60,$AW95,SUMIF($B$10:$B$16,"NCAP_TLIFE",$AX$10:$AX$16)),0,""))</f>
        <v/>
      </c>
      <c r="AP95" s="369" t="str">
        <f ca="1">IF($B95&lt;&gt;"PRC_RESID","",IF(AP$7=2005+OFFSET(COM_2012!$B$60,$AW95,SUMIF($B$10:$B$16,"NCAP_TLIFE",$AX$10:$AX$16)),0,""))</f>
        <v/>
      </c>
      <c r="AQ95" s="369" t="str">
        <f ca="1">IF($B95&lt;&gt;"PRC_RESID","",IF(AQ$7=2005+OFFSET(COM_2012!$B$60,$AW95,SUMIF($B$10:$B$16,"NCAP_TLIFE",$AX$10:$AX$16)),0,""))</f>
        <v/>
      </c>
      <c r="AR95" s="369" t="str">
        <f ca="1">IF($B95&lt;&gt;"PRC_RESID","",IF(AR$7=2005+OFFSET(COM_2012!$B$60,$AW95,SUMIF($B$10:$B$16,"NCAP_TLIFE",$AX$10:$AX$16)),0,""))</f>
        <v/>
      </c>
      <c r="AS95" s="369" t="str">
        <f ca="1">IF($B95&lt;&gt;"PRC_RESID","",IF(AS$7=2005+OFFSET(COM_2012!$B$60,$AW95,SUMIF($B$10:$B$16,"NCAP_TLIFE",$AX$10:$AX$16)),0,""))</f>
        <v/>
      </c>
      <c r="AT95" s="369" t="str">
        <f ca="1">IF($B95&lt;&gt;"PRC_RESID","",IF(AT$7=2005+OFFSET(COM_2012!$B$60,$AW95,SUMIF($B$10:$B$16,"NCAP_TLIFE",$AX$10:$AX$16)),0,""))</f>
        <v/>
      </c>
      <c r="AU95" s="369" t="str">
        <f ca="1">IF($B95&lt;&gt;"PRC_RESID","",IF(AU$7=2005+OFFSET(COM_2012!$B$60,$AW95,SUMIF($B$10:$B$16,"NCAP_TLIFE",$AX$10:$AX$16)),0,""))</f>
        <v/>
      </c>
      <c r="AV95" s="304">
        <f>IF(AW94=COM_2012!$AI$121,AV94+1,AV94)</f>
        <v>2</v>
      </c>
      <c r="AW95" s="304">
        <f t="shared" si="5"/>
        <v>7</v>
      </c>
    </row>
    <row r="96" spans="1:49">
      <c r="A96" s="304" t="str">
        <f ca="1">IF(LEFT(OFFSET(COM_2012!$A$60,AW96,0),2)="\I","*","")</f>
        <v>*</v>
      </c>
      <c r="B96" s="369" t="str">
        <f t="shared" ca="1" si="10"/>
        <v/>
      </c>
      <c r="C96" s="369" t="str">
        <f ca="1">IF($A96="*","",OFFSET(COM_2012!$B$60,AW96,0))</f>
        <v/>
      </c>
      <c r="D96" s="369" t="str">
        <f t="shared" ca="1" si="11"/>
        <v/>
      </c>
      <c r="E96" s="369" t="str">
        <f t="shared" ca="1" si="11"/>
        <v/>
      </c>
      <c r="F96" s="369" t="str">
        <f t="shared" ca="1" si="11"/>
        <v/>
      </c>
      <c r="G96" s="369" t="str">
        <f t="shared" ca="1" si="11"/>
        <v/>
      </c>
      <c r="H96" s="369" t="str">
        <f t="shared" ca="1" si="11"/>
        <v/>
      </c>
      <c r="I96" s="370" t="str">
        <f t="shared" ca="1" si="11"/>
        <v/>
      </c>
      <c r="J96" s="391" t="str">
        <f ca="1">IF($A96="*","",OFFSET(COM_2012!$B$60,AW96,SUMIF($B$10:$B$16,B96,$AX$10:$AX$16)))</f>
        <v/>
      </c>
      <c r="K96" s="369" t="str">
        <f ca="1">IF($B96&lt;&gt;"PRC_RESID","",IF(K$7=2005+OFFSET(COM_2012!$B$60,$AW96,SUMIF($B$10:$B$16,"NCAP_TLIFE",$AX$10:$AX$16)),0,""))</f>
        <v/>
      </c>
      <c r="L96" s="369" t="str">
        <f ca="1">IF($B96&lt;&gt;"PRC_RESID","",IF(L$7=2005+OFFSET(COM_2012!$B$60,$AW96,SUMIF($B$10:$B$16,"NCAP_TLIFE",$AX$10:$AX$16)),0,""))</f>
        <v/>
      </c>
      <c r="M96" s="369" t="str">
        <f ca="1">IF($B96&lt;&gt;"PRC_RESID","",IF(M$7=2005+OFFSET(COM_2012!$B$60,$AW96,SUMIF($B$10:$B$16,"NCAP_TLIFE",$AX$10:$AX$16)),0,""))</f>
        <v/>
      </c>
      <c r="N96" s="369" t="str">
        <f ca="1">IF($B96&lt;&gt;"PRC_RESID","",IF(N$7=2005+OFFSET(COM_2012!$B$60,$AW96,SUMIF($B$10:$B$16,"NCAP_TLIFE",$AX$10:$AX$16)),0,""))</f>
        <v/>
      </c>
      <c r="O96" s="658" t="str">
        <f ca="1">IF($B96&lt;&gt;"PRC_RESID","",IF(O$7=2005+OFFSET(COM_2012!$B$60,$AW96,SUMIF($B$10:$B$16,"NCAP_TLIFE",$AX$10:$AX$16)),0,""))</f>
        <v/>
      </c>
      <c r="P96" s="369" t="str">
        <f ca="1">IF($B96&lt;&gt;"PRC_RESID","",IF(P$7=2005+OFFSET(COM_2012!$B$60,$AW96,SUMIF($B$10:$B$16,"NCAP_TLIFE",$AX$10:$AX$16)),0,""))</f>
        <v/>
      </c>
      <c r="Q96" s="369" t="str">
        <f ca="1">IF($B96&lt;&gt;"PRC_RESID","",IF(Q$7=2005+OFFSET(COM_2012!$B$60,$AW96,SUMIF($B$10:$B$16,"NCAP_TLIFE",$AX$10:$AX$16)),0,""))</f>
        <v/>
      </c>
      <c r="R96" s="369" t="str">
        <f ca="1">IF($B96&lt;&gt;"PRC_RESID","",IF(R$7=2005+OFFSET(COM_2012!$B$60,$AW96,SUMIF($B$10:$B$16,"NCAP_TLIFE",$AX$10:$AX$16)),0,""))</f>
        <v/>
      </c>
      <c r="S96" s="369" t="str">
        <f ca="1">IF($B96&lt;&gt;"PRC_RESID","",IF(S$7=2005+OFFSET(COM_2012!$B$60,$AW96,SUMIF($B$10:$B$16,"NCAP_TLIFE",$AX$10:$AX$16)),0,""))</f>
        <v/>
      </c>
      <c r="T96" s="369" t="str">
        <f ca="1">IF($B96&lt;&gt;"PRC_RESID","",IF(T$7=2005+OFFSET(COM_2012!$B$60,$AW96,SUMIF($B$10:$B$16,"NCAP_TLIFE",$AX$10:$AX$16)),0,""))</f>
        <v/>
      </c>
      <c r="U96" s="369" t="str">
        <f ca="1">IF($B96&lt;&gt;"PRC_RESID","",IF(U$7=2005+OFFSET(COM_2012!$B$60,$AW96,SUMIF($B$10:$B$16,"NCAP_TLIFE",$AX$10:$AX$16)),0,""))</f>
        <v/>
      </c>
      <c r="V96" s="369" t="str">
        <f ca="1">IF($B96&lt;&gt;"PRC_RESID","",IF(V$7=2005+OFFSET(COM_2012!$B$60,$AW96,SUMIF($B$10:$B$16,"NCAP_TLIFE",$AX$10:$AX$16)),0,""))</f>
        <v/>
      </c>
      <c r="W96" s="369" t="str">
        <f ca="1">IF($B96&lt;&gt;"PRC_RESID","",IF(W$7=2005+OFFSET(COM_2012!$B$60,$AW96,SUMIF($B$10:$B$16,"NCAP_TLIFE",$AX$10:$AX$16)),0,""))</f>
        <v/>
      </c>
      <c r="X96" s="369" t="str">
        <f ca="1">IF($B96&lt;&gt;"PRC_RESID","",IF(X$7=2005+OFFSET(COM_2012!$B$60,$AW96,SUMIF($B$10:$B$16,"NCAP_TLIFE",$AX$10:$AX$16)),0,""))</f>
        <v/>
      </c>
      <c r="Y96" s="369" t="str">
        <f ca="1">IF($B96&lt;&gt;"PRC_RESID","",IF(Y$7=2005+OFFSET(COM_2012!$B$60,$AW96,SUMIF($B$10:$B$16,"NCAP_TLIFE",$AX$10:$AX$16)),0,""))</f>
        <v/>
      </c>
      <c r="Z96" s="369" t="str">
        <f ca="1">IF($B96&lt;&gt;"PRC_RESID","",IF(Z$7=2005+OFFSET(COM_2012!$B$60,$AW96,SUMIF($B$10:$B$16,"NCAP_TLIFE",$AX$10:$AX$16)),0,""))</f>
        <v/>
      </c>
      <c r="AA96" s="369" t="str">
        <f ca="1">IF($B96&lt;&gt;"PRC_RESID","",IF(AA$7=2005+OFFSET(COM_2012!$B$60,$AW96,SUMIF($B$10:$B$16,"NCAP_TLIFE",$AX$10:$AX$16)),0,""))</f>
        <v/>
      </c>
      <c r="AB96" s="369" t="str">
        <f ca="1">IF($B96&lt;&gt;"PRC_RESID","",IF(AB$7=2005+OFFSET(COM_2012!$B$60,$AW96,SUMIF($B$10:$B$16,"NCAP_TLIFE",$AX$10:$AX$16)),0,""))</f>
        <v/>
      </c>
      <c r="AC96" s="369" t="str">
        <f ca="1">IF($B96&lt;&gt;"PRC_RESID","",IF(AC$7=2005+OFFSET(COM_2012!$B$60,$AW96,SUMIF($B$10:$B$16,"NCAP_TLIFE",$AX$10:$AX$16)),0,""))</f>
        <v/>
      </c>
      <c r="AD96" s="369" t="str">
        <f ca="1">IF($B96&lt;&gt;"PRC_RESID","",IF(AD$7=2005+OFFSET(COM_2012!$B$60,$AW96,SUMIF($B$10:$B$16,"NCAP_TLIFE",$AX$10:$AX$16)),0,""))</f>
        <v/>
      </c>
      <c r="AE96" s="369" t="str">
        <f ca="1">IF($B96&lt;&gt;"PRC_RESID","",IF(AE$7=2005+OFFSET(COM_2012!$B$60,$AW96,SUMIF($B$10:$B$16,"NCAP_TLIFE",$AX$10:$AX$16)),0,""))</f>
        <v/>
      </c>
      <c r="AF96" s="369" t="str">
        <f ca="1">IF($B96&lt;&gt;"PRC_RESID","",IF(AF$7=2005+OFFSET(COM_2012!$B$60,$AW96,SUMIF($B$10:$B$16,"NCAP_TLIFE",$AX$10:$AX$16)),0,""))</f>
        <v/>
      </c>
      <c r="AG96" s="369" t="str">
        <f ca="1">IF($B96&lt;&gt;"PRC_RESID","",IF(AG$7=2005+OFFSET(COM_2012!$B$60,$AW96,SUMIF($B$10:$B$16,"NCAP_TLIFE",$AX$10:$AX$16)),0,""))</f>
        <v/>
      </c>
      <c r="AH96" s="369" t="str">
        <f ca="1">IF($B96&lt;&gt;"PRC_RESID","",IF(AH$7=2005+OFFSET(COM_2012!$B$60,$AW96,SUMIF($B$10:$B$16,"NCAP_TLIFE",$AX$10:$AX$16)),0,""))</f>
        <v/>
      </c>
      <c r="AI96" s="369" t="str">
        <f ca="1">IF($B96&lt;&gt;"PRC_RESID","",IF(AI$7=2005+OFFSET(COM_2012!$B$60,$AW96,SUMIF($B$10:$B$16,"NCAP_TLIFE",$AX$10:$AX$16)),0,""))</f>
        <v/>
      </c>
      <c r="AJ96" s="369" t="str">
        <f ca="1">IF($B96&lt;&gt;"PRC_RESID","",IF(AJ$7=2005+OFFSET(COM_2012!$B$60,$AW96,SUMIF($B$10:$B$16,"NCAP_TLIFE",$AX$10:$AX$16)),0,""))</f>
        <v/>
      </c>
      <c r="AK96" s="369" t="str">
        <f ca="1">IF($B96&lt;&gt;"PRC_RESID","",IF(AK$7=2005+OFFSET(COM_2012!$B$60,$AW96,SUMIF($B$10:$B$16,"NCAP_TLIFE",$AX$10:$AX$16)),0,""))</f>
        <v/>
      </c>
      <c r="AL96" s="369" t="str">
        <f ca="1">IF($B96&lt;&gt;"PRC_RESID","",IF(AL$7=2005+OFFSET(COM_2012!$B$60,$AW96,SUMIF($B$10:$B$16,"NCAP_TLIFE",$AX$10:$AX$16)),0,""))</f>
        <v/>
      </c>
      <c r="AM96" s="369" t="str">
        <f ca="1">IF($B96&lt;&gt;"PRC_RESID","",IF(AM$7=2005+OFFSET(COM_2012!$B$60,$AW96,SUMIF($B$10:$B$16,"NCAP_TLIFE",$AX$10:$AX$16)),0,""))</f>
        <v/>
      </c>
      <c r="AN96" s="369" t="str">
        <f ca="1">IF($B96&lt;&gt;"PRC_RESID","",IF(AN$7=2005+OFFSET(COM_2012!$B$60,$AW96,SUMIF($B$10:$B$16,"NCAP_TLIFE",$AX$10:$AX$16)),0,""))</f>
        <v/>
      </c>
      <c r="AO96" s="369" t="str">
        <f ca="1">IF($B96&lt;&gt;"PRC_RESID","",IF(AO$7=2005+OFFSET(COM_2012!$B$60,$AW96,SUMIF($B$10:$B$16,"NCAP_TLIFE",$AX$10:$AX$16)),0,""))</f>
        <v/>
      </c>
      <c r="AP96" s="369" t="str">
        <f ca="1">IF($B96&lt;&gt;"PRC_RESID","",IF(AP$7=2005+OFFSET(COM_2012!$B$60,$AW96,SUMIF($B$10:$B$16,"NCAP_TLIFE",$AX$10:$AX$16)),0,""))</f>
        <v/>
      </c>
      <c r="AQ96" s="369" t="str">
        <f ca="1">IF($B96&lt;&gt;"PRC_RESID","",IF(AQ$7=2005+OFFSET(COM_2012!$B$60,$AW96,SUMIF($B$10:$B$16,"NCAP_TLIFE",$AX$10:$AX$16)),0,""))</f>
        <v/>
      </c>
      <c r="AR96" s="369" t="str">
        <f ca="1">IF($B96&lt;&gt;"PRC_RESID","",IF(AR$7=2005+OFFSET(COM_2012!$B$60,$AW96,SUMIF($B$10:$B$16,"NCAP_TLIFE",$AX$10:$AX$16)),0,""))</f>
        <v/>
      </c>
      <c r="AS96" s="369" t="str">
        <f ca="1">IF($B96&lt;&gt;"PRC_RESID","",IF(AS$7=2005+OFFSET(COM_2012!$B$60,$AW96,SUMIF($B$10:$B$16,"NCAP_TLIFE",$AX$10:$AX$16)),0,""))</f>
        <v/>
      </c>
      <c r="AT96" s="369" t="str">
        <f ca="1">IF($B96&lt;&gt;"PRC_RESID","",IF(AT$7=2005+OFFSET(COM_2012!$B$60,$AW96,SUMIF($B$10:$B$16,"NCAP_TLIFE",$AX$10:$AX$16)),0,""))</f>
        <v/>
      </c>
      <c r="AU96" s="369" t="str">
        <f ca="1">IF($B96&lt;&gt;"PRC_RESID","",IF(AU$7=2005+OFFSET(COM_2012!$B$60,$AW96,SUMIF($B$10:$B$16,"NCAP_TLIFE",$AX$10:$AX$16)),0,""))</f>
        <v/>
      </c>
      <c r="AV96" s="304">
        <f>IF(AW95=COM_2012!$AI$121,AV95+1,AV95)</f>
        <v>2</v>
      </c>
      <c r="AW96" s="304">
        <f t="shared" ref="AW96:AW159" si="12">IF(AV96=AV95,AW95+1,1)</f>
        <v>8</v>
      </c>
    </row>
    <row r="97" spans="1:49">
      <c r="A97" s="304" t="str">
        <f ca="1">IF(LEFT(OFFSET(COM_2012!$A$60,AW97,0),2)="\I","*","")</f>
        <v/>
      </c>
      <c r="B97" s="369" t="str">
        <f t="shared" ca="1" si="10"/>
        <v>NCAP_BND</v>
      </c>
      <c r="C97" s="369" t="str">
        <f ca="1">IF($A97="*","",OFFSET(COM_2012!$B$60,AW97,0))</f>
        <v>CEHCOA-E</v>
      </c>
      <c r="D97" s="369" t="str">
        <f t="shared" ca="1" si="11"/>
        <v>-</v>
      </c>
      <c r="E97" s="369" t="str">
        <f t="shared" ca="1" si="11"/>
        <v>-</v>
      </c>
      <c r="F97" s="369" t="str">
        <f t="shared" ca="1" si="11"/>
        <v>-</v>
      </c>
      <c r="G97" s="369" t="str">
        <f t="shared" ca="1" si="11"/>
        <v>-</v>
      </c>
      <c r="H97" s="369" t="str">
        <f t="shared" ca="1" si="11"/>
        <v>UP</v>
      </c>
      <c r="I97" s="370">
        <f t="shared" ca="1" si="11"/>
        <v>0</v>
      </c>
      <c r="J97" s="391">
        <f ca="1">IF($A97="*","",OFFSET(COM_2012!$B$60,AW97,SUMIF($B$10:$B$16,B97,$AX$10:$AX$16)))</f>
        <v>0</v>
      </c>
      <c r="K97" s="369" t="str">
        <f ca="1">IF($B97&lt;&gt;"PRC_RESID","",IF(K$7=2005+OFFSET(COM_2012!$B$60,$AW97,SUMIF($B$10:$B$16,"NCAP_TLIFE",$AX$10:$AX$16)),0,""))</f>
        <v/>
      </c>
      <c r="L97" s="369" t="str">
        <f ca="1">IF($B97&lt;&gt;"PRC_RESID","",IF(L$7=2005+OFFSET(COM_2012!$B$60,$AW97,SUMIF($B$10:$B$16,"NCAP_TLIFE",$AX$10:$AX$16)),0,""))</f>
        <v/>
      </c>
      <c r="M97" s="369" t="str">
        <f ca="1">IF($B97&lt;&gt;"PRC_RESID","",IF(M$7=2005+OFFSET(COM_2012!$B$60,$AW97,SUMIF($B$10:$B$16,"NCAP_TLIFE",$AX$10:$AX$16)),0,""))</f>
        <v/>
      </c>
      <c r="N97" s="369" t="str">
        <f ca="1">IF($B97&lt;&gt;"PRC_RESID","",IF(N$7=2005+OFFSET(COM_2012!$B$60,$AW97,SUMIF($B$10:$B$16,"NCAP_TLIFE",$AX$10:$AX$16)),0,""))</f>
        <v/>
      </c>
      <c r="O97" s="658" t="str">
        <f ca="1">IF($B97&lt;&gt;"PRC_RESID","",IF(O$7=2005+OFFSET(COM_2012!$B$60,$AW97,SUMIF($B$10:$B$16,"NCAP_TLIFE",$AX$10:$AX$16)),0,""))</f>
        <v/>
      </c>
      <c r="P97" s="369" t="str">
        <f ca="1">IF($B97&lt;&gt;"PRC_RESID","",IF(P$7=2005+OFFSET(COM_2012!$B$60,$AW97,SUMIF($B$10:$B$16,"NCAP_TLIFE",$AX$10:$AX$16)),0,""))</f>
        <v/>
      </c>
      <c r="Q97" s="369" t="str">
        <f ca="1">IF($B97&lt;&gt;"PRC_RESID","",IF(Q$7=2005+OFFSET(COM_2012!$B$60,$AW97,SUMIF($B$10:$B$16,"NCAP_TLIFE",$AX$10:$AX$16)),0,""))</f>
        <v/>
      </c>
      <c r="R97" s="369" t="str">
        <f ca="1">IF($B97&lt;&gt;"PRC_RESID","",IF(R$7=2005+OFFSET(COM_2012!$B$60,$AW97,SUMIF($B$10:$B$16,"NCAP_TLIFE",$AX$10:$AX$16)),0,""))</f>
        <v/>
      </c>
      <c r="S97" s="369" t="str">
        <f ca="1">IF($B97&lt;&gt;"PRC_RESID","",IF(S$7=2005+OFFSET(COM_2012!$B$60,$AW97,SUMIF($B$10:$B$16,"NCAP_TLIFE",$AX$10:$AX$16)),0,""))</f>
        <v/>
      </c>
      <c r="T97" s="369" t="str">
        <f ca="1">IF($B97&lt;&gt;"PRC_RESID","",IF(T$7=2005+OFFSET(COM_2012!$B$60,$AW97,SUMIF($B$10:$B$16,"NCAP_TLIFE",$AX$10:$AX$16)),0,""))</f>
        <v/>
      </c>
      <c r="U97" s="369" t="str">
        <f ca="1">IF($B97&lt;&gt;"PRC_RESID","",IF(U$7=2005+OFFSET(COM_2012!$B$60,$AW97,SUMIF($B$10:$B$16,"NCAP_TLIFE",$AX$10:$AX$16)),0,""))</f>
        <v/>
      </c>
      <c r="V97" s="369" t="str">
        <f ca="1">IF($B97&lt;&gt;"PRC_RESID","",IF(V$7=2005+OFFSET(COM_2012!$B$60,$AW97,SUMIF($B$10:$B$16,"NCAP_TLIFE",$AX$10:$AX$16)),0,""))</f>
        <v/>
      </c>
      <c r="W97" s="369" t="str">
        <f ca="1">IF($B97&lt;&gt;"PRC_RESID","",IF(W$7=2005+OFFSET(COM_2012!$B$60,$AW97,SUMIF($B$10:$B$16,"NCAP_TLIFE",$AX$10:$AX$16)),0,""))</f>
        <v/>
      </c>
      <c r="X97" s="369" t="str">
        <f ca="1">IF($B97&lt;&gt;"PRC_RESID","",IF(X$7=2005+OFFSET(COM_2012!$B$60,$AW97,SUMIF($B$10:$B$16,"NCAP_TLIFE",$AX$10:$AX$16)),0,""))</f>
        <v/>
      </c>
      <c r="Y97" s="369" t="str">
        <f ca="1">IF($B97&lt;&gt;"PRC_RESID","",IF(Y$7=2005+OFFSET(COM_2012!$B$60,$AW97,SUMIF($B$10:$B$16,"NCAP_TLIFE",$AX$10:$AX$16)),0,""))</f>
        <v/>
      </c>
      <c r="Z97" s="369" t="str">
        <f ca="1">IF($B97&lt;&gt;"PRC_RESID","",IF(Z$7=2005+OFFSET(COM_2012!$B$60,$AW97,SUMIF($B$10:$B$16,"NCAP_TLIFE",$AX$10:$AX$16)),0,""))</f>
        <v/>
      </c>
      <c r="AA97" s="369" t="str">
        <f ca="1">IF($B97&lt;&gt;"PRC_RESID","",IF(AA$7=2005+OFFSET(COM_2012!$B$60,$AW97,SUMIF($B$10:$B$16,"NCAP_TLIFE",$AX$10:$AX$16)),0,""))</f>
        <v/>
      </c>
      <c r="AB97" s="369" t="str">
        <f ca="1">IF($B97&lt;&gt;"PRC_RESID","",IF(AB$7=2005+OFFSET(COM_2012!$B$60,$AW97,SUMIF($B$10:$B$16,"NCAP_TLIFE",$AX$10:$AX$16)),0,""))</f>
        <v/>
      </c>
      <c r="AC97" s="369" t="str">
        <f ca="1">IF($B97&lt;&gt;"PRC_RESID","",IF(AC$7=2005+OFFSET(COM_2012!$B$60,$AW97,SUMIF($B$10:$B$16,"NCAP_TLIFE",$AX$10:$AX$16)),0,""))</f>
        <v/>
      </c>
      <c r="AD97" s="369" t="str">
        <f ca="1">IF($B97&lt;&gt;"PRC_RESID","",IF(AD$7=2005+OFFSET(COM_2012!$B$60,$AW97,SUMIF($B$10:$B$16,"NCAP_TLIFE",$AX$10:$AX$16)),0,""))</f>
        <v/>
      </c>
      <c r="AE97" s="369" t="str">
        <f ca="1">IF($B97&lt;&gt;"PRC_RESID","",IF(AE$7=2005+OFFSET(COM_2012!$B$60,$AW97,SUMIF($B$10:$B$16,"NCAP_TLIFE",$AX$10:$AX$16)),0,""))</f>
        <v/>
      </c>
      <c r="AF97" s="369" t="str">
        <f ca="1">IF($B97&lt;&gt;"PRC_RESID","",IF(AF$7=2005+OFFSET(COM_2012!$B$60,$AW97,SUMIF($B$10:$B$16,"NCAP_TLIFE",$AX$10:$AX$16)),0,""))</f>
        <v/>
      </c>
      <c r="AG97" s="369" t="str">
        <f ca="1">IF($B97&lt;&gt;"PRC_RESID","",IF(AG$7=2005+OFFSET(COM_2012!$B$60,$AW97,SUMIF($B$10:$B$16,"NCAP_TLIFE",$AX$10:$AX$16)),0,""))</f>
        <v/>
      </c>
      <c r="AH97" s="369" t="str">
        <f ca="1">IF($B97&lt;&gt;"PRC_RESID","",IF(AH$7=2005+OFFSET(COM_2012!$B$60,$AW97,SUMIF($B$10:$B$16,"NCAP_TLIFE",$AX$10:$AX$16)),0,""))</f>
        <v/>
      </c>
      <c r="AI97" s="369" t="str">
        <f ca="1">IF($B97&lt;&gt;"PRC_RESID","",IF(AI$7=2005+OFFSET(COM_2012!$B$60,$AW97,SUMIF($B$10:$B$16,"NCAP_TLIFE",$AX$10:$AX$16)),0,""))</f>
        <v/>
      </c>
      <c r="AJ97" s="369" t="str">
        <f ca="1">IF($B97&lt;&gt;"PRC_RESID","",IF(AJ$7=2005+OFFSET(COM_2012!$B$60,$AW97,SUMIF($B$10:$B$16,"NCAP_TLIFE",$AX$10:$AX$16)),0,""))</f>
        <v/>
      </c>
      <c r="AK97" s="369" t="str">
        <f ca="1">IF($B97&lt;&gt;"PRC_RESID","",IF(AK$7=2005+OFFSET(COM_2012!$B$60,$AW97,SUMIF($B$10:$B$16,"NCAP_TLIFE",$AX$10:$AX$16)),0,""))</f>
        <v/>
      </c>
      <c r="AL97" s="369" t="str">
        <f ca="1">IF($B97&lt;&gt;"PRC_RESID","",IF(AL$7=2005+OFFSET(COM_2012!$B$60,$AW97,SUMIF($B$10:$B$16,"NCAP_TLIFE",$AX$10:$AX$16)),0,""))</f>
        <v/>
      </c>
      <c r="AM97" s="369" t="str">
        <f ca="1">IF($B97&lt;&gt;"PRC_RESID","",IF(AM$7=2005+OFFSET(COM_2012!$B$60,$AW97,SUMIF($B$10:$B$16,"NCAP_TLIFE",$AX$10:$AX$16)),0,""))</f>
        <v/>
      </c>
      <c r="AN97" s="369" t="str">
        <f ca="1">IF($B97&lt;&gt;"PRC_RESID","",IF(AN$7=2005+OFFSET(COM_2012!$B$60,$AW97,SUMIF($B$10:$B$16,"NCAP_TLIFE",$AX$10:$AX$16)),0,""))</f>
        <v/>
      </c>
      <c r="AO97" s="369" t="str">
        <f ca="1">IF($B97&lt;&gt;"PRC_RESID","",IF(AO$7=2005+OFFSET(COM_2012!$B$60,$AW97,SUMIF($B$10:$B$16,"NCAP_TLIFE",$AX$10:$AX$16)),0,""))</f>
        <v/>
      </c>
      <c r="AP97" s="369" t="str">
        <f ca="1">IF($B97&lt;&gt;"PRC_RESID","",IF(AP$7=2005+OFFSET(COM_2012!$B$60,$AW97,SUMIF($B$10:$B$16,"NCAP_TLIFE",$AX$10:$AX$16)),0,""))</f>
        <v/>
      </c>
      <c r="AQ97" s="369" t="str">
        <f ca="1">IF($B97&lt;&gt;"PRC_RESID","",IF(AQ$7=2005+OFFSET(COM_2012!$B$60,$AW97,SUMIF($B$10:$B$16,"NCAP_TLIFE",$AX$10:$AX$16)),0,""))</f>
        <v/>
      </c>
      <c r="AR97" s="369" t="str">
        <f ca="1">IF($B97&lt;&gt;"PRC_RESID","",IF(AR$7=2005+OFFSET(COM_2012!$B$60,$AW97,SUMIF($B$10:$B$16,"NCAP_TLIFE",$AX$10:$AX$16)),0,""))</f>
        <v/>
      </c>
      <c r="AS97" s="369" t="str">
        <f ca="1">IF($B97&lt;&gt;"PRC_RESID","",IF(AS$7=2005+OFFSET(COM_2012!$B$60,$AW97,SUMIF($B$10:$B$16,"NCAP_TLIFE",$AX$10:$AX$16)),0,""))</f>
        <v/>
      </c>
      <c r="AT97" s="369" t="str">
        <f ca="1">IF($B97&lt;&gt;"PRC_RESID","",IF(AT$7=2005+OFFSET(COM_2012!$B$60,$AW97,SUMIF($B$10:$B$16,"NCAP_TLIFE",$AX$10:$AX$16)),0,""))</f>
        <v/>
      </c>
      <c r="AU97" s="369" t="str">
        <f ca="1">IF($B97&lt;&gt;"PRC_RESID","",IF(AU$7=2005+OFFSET(COM_2012!$B$60,$AW97,SUMIF($B$10:$B$16,"NCAP_TLIFE",$AX$10:$AX$16)),0,""))</f>
        <v/>
      </c>
      <c r="AV97" s="304">
        <f>IF(AW96=COM_2012!$AI$121,AV96+1,AV96)</f>
        <v>2</v>
      </c>
      <c r="AW97" s="304">
        <f t="shared" si="12"/>
        <v>9</v>
      </c>
    </row>
    <row r="98" spans="1:49">
      <c r="A98" s="304" t="str">
        <f ca="1">IF(LEFT(OFFSET(COM_2012!$A$60,AW98,0),2)="\I","*","")</f>
        <v/>
      </c>
      <c r="B98" s="369" t="str">
        <f t="shared" ca="1" si="10"/>
        <v>NCAP_BND</v>
      </c>
      <c r="C98" s="369" t="str">
        <f ca="1">IF($A98="*","",OFFSET(COM_2012!$B$60,AW98,0))</f>
        <v>CEHELC-E</v>
      </c>
      <c r="D98" s="369" t="str">
        <f t="shared" ca="1" si="11"/>
        <v>-</v>
      </c>
      <c r="E98" s="369" t="str">
        <f t="shared" ca="1" si="11"/>
        <v>-</v>
      </c>
      <c r="F98" s="369" t="str">
        <f t="shared" ca="1" si="11"/>
        <v>-</v>
      </c>
      <c r="G98" s="369" t="str">
        <f t="shared" ca="1" si="11"/>
        <v>-</v>
      </c>
      <c r="H98" s="369" t="str">
        <f t="shared" ca="1" si="11"/>
        <v>UP</v>
      </c>
      <c r="I98" s="370">
        <f t="shared" ca="1" si="11"/>
        <v>0</v>
      </c>
      <c r="J98" s="391">
        <f ca="1">IF($A98="*","",OFFSET(COM_2012!$B$60,AW98,SUMIF($B$10:$B$16,B98,$AX$10:$AX$16)))</f>
        <v>0</v>
      </c>
      <c r="K98" s="369" t="str">
        <f ca="1">IF($B98&lt;&gt;"PRC_RESID","",IF(K$7=2005+OFFSET(COM_2012!$B$60,$AW98,SUMIF($B$10:$B$16,"NCAP_TLIFE",$AX$10:$AX$16)),0,""))</f>
        <v/>
      </c>
      <c r="L98" s="369" t="str">
        <f ca="1">IF($B98&lt;&gt;"PRC_RESID","",IF(L$7=2005+OFFSET(COM_2012!$B$60,$AW98,SUMIF($B$10:$B$16,"NCAP_TLIFE",$AX$10:$AX$16)),0,""))</f>
        <v/>
      </c>
      <c r="M98" s="369" t="str">
        <f ca="1">IF($B98&lt;&gt;"PRC_RESID","",IF(M$7=2005+OFFSET(COM_2012!$B$60,$AW98,SUMIF($B$10:$B$16,"NCAP_TLIFE",$AX$10:$AX$16)),0,""))</f>
        <v/>
      </c>
      <c r="N98" s="369" t="str">
        <f ca="1">IF($B98&lt;&gt;"PRC_RESID","",IF(N$7=2005+OFFSET(COM_2012!$B$60,$AW98,SUMIF($B$10:$B$16,"NCAP_TLIFE",$AX$10:$AX$16)),0,""))</f>
        <v/>
      </c>
      <c r="O98" s="658" t="str">
        <f ca="1">IF($B98&lt;&gt;"PRC_RESID","",IF(O$7=2005+OFFSET(COM_2012!$B$60,$AW98,SUMIF($B$10:$B$16,"NCAP_TLIFE",$AX$10:$AX$16)),0,""))</f>
        <v/>
      </c>
      <c r="P98" s="369" t="str">
        <f ca="1">IF($B98&lt;&gt;"PRC_RESID","",IF(P$7=2005+OFFSET(COM_2012!$B$60,$AW98,SUMIF($B$10:$B$16,"NCAP_TLIFE",$AX$10:$AX$16)),0,""))</f>
        <v/>
      </c>
      <c r="Q98" s="369" t="str">
        <f ca="1">IF($B98&lt;&gt;"PRC_RESID","",IF(Q$7=2005+OFFSET(COM_2012!$B$60,$AW98,SUMIF($B$10:$B$16,"NCAP_TLIFE",$AX$10:$AX$16)),0,""))</f>
        <v/>
      </c>
      <c r="R98" s="369" t="str">
        <f ca="1">IF($B98&lt;&gt;"PRC_RESID","",IF(R$7=2005+OFFSET(COM_2012!$B$60,$AW98,SUMIF($B$10:$B$16,"NCAP_TLIFE",$AX$10:$AX$16)),0,""))</f>
        <v/>
      </c>
      <c r="S98" s="369" t="str">
        <f ca="1">IF($B98&lt;&gt;"PRC_RESID","",IF(S$7=2005+OFFSET(COM_2012!$B$60,$AW98,SUMIF($B$10:$B$16,"NCAP_TLIFE",$AX$10:$AX$16)),0,""))</f>
        <v/>
      </c>
      <c r="T98" s="369" t="str">
        <f ca="1">IF($B98&lt;&gt;"PRC_RESID","",IF(T$7=2005+OFFSET(COM_2012!$B$60,$AW98,SUMIF($B$10:$B$16,"NCAP_TLIFE",$AX$10:$AX$16)),0,""))</f>
        <v/>
      </c>
      <c r="U98" s="369" t="str">
        <f ca="1">IF($B98&lt;&gt;"PRC_RESID","",IF(U$7=2005+OFFSET(COM_2012!$B$60,$AW98,SUMIF($B$10:$B$16,"NCAP_TLIFE",$AX$10:$AX$16)),0,""))</f>
        <v/>
      </c>
      <c r="V98" s="369" t="str">
        <f ca="1">IF($B98&lt;&gt;"PRC_RESID","",IF(V$7=2005+OFFSET(COM_2012!$B$60,$AW98,SUMIF($B$10:$B$16,"NCAP_TLIFE",$AX$10:$AX$16)),0,""))</f>
        <v/>
      </c>
      <c r="W98" s="369" t="str">
        <f ca="1">IF($B98&lt;&gt;"PRC_RESID","",IF(W$7=2005+OFFSET(COM_2012!$B$60,$AW98,SUMIF($B$10:$B$16,"NCAP_TLIFE",$AX$10:$AX$16)),0,""))</f>
        <v/>
      </c>
      <c r="X98" s="369" t="str">
        <f ca="1">IF($B98&lt;&gt;"PRC_RESID","",IF(X$7=2005+OFFSET(COM_2012!$B$60,$AW98,SUMIF($B$10:$B$16,"NCAP_TLIFE",$AX$10:$AX$16)),0,""))</f>
        <v/>
      </c>
      <c r="Y98" s="369" t="str">
        <f ca="1">IF($B98&lt;&gt;"PRC_RESID","",IF(Y$7=2005+OFFSET(COM_2012!$B$60,$AW98,SUMIF($B$10:$B$16,"NCAP_TLIFE",$AX$10:$AX$16)),0,""))</f>
        <v/>
      </c>
      <c r="Z98" s="369" t="str">
        <f ca="1">IF($B98&lt;&gt;"PRC_RESID","",IF(Z$7=2005+OFFSET(COM_2012!$B$60,$AW98,SUMIF($B$10:$B$16,"NCAP_TLIFE",$AX$10:$AX$16)),0,""))</f>
        <v/>
      </c>
      <c r="AA98" s="369" t="str">
        <f ca="1">IF($B98&lt;&gt;"PRC_RESID","",IF(AA$7=2005+OFFSET(COM_2012!$B$60,$AW98,SUMIF($B$10:$B$16,"NCAP_TLIFE",$AX$10:$AX$16)),0,""))</f>
        <v/>
      </c>
      <c r="AB98" s="369" t="str">
        <f ca="1">IF($B98&lt;&gt;"PRC_RESID","",IF(AB$7=2005+OFFSET(COM_2012!$B$60,$AW98,SUMIF($B$10:$B$16,"NCAP_TLIFE",$AX$10:$AX$16)),0,""))</f>
        <v/>
      </c>
      <c r="AC98" s="369" t="str">
        <f ca="1">IF($B98&lt;&gt;"PRC_RESID","",IF(AC$7=2005+OFFSET(COM_2012!$B$60,$AW98,SUMIF($B$10:$B$16,"NCAP_TLIFE",$AX$10:$AX$16)),0,""))</f>
        <v/>
      </c>
      <c r="AD98" s="369" t="str">
        <f ca="1">IF($B98&lt;&gt;"PRC_RESID","",IF(AD$7=2005+OFFSET(COM_2012!$B$60,$AW98,SUMIF($B$10:$B$16,"NCAP_TLIFE",$AX$10:$AX$16)),0,""))</f>
        <v/>
      </c>
      <c r="AE98" s="369" t="str">
        <f ca="1">IF($B98&lt;&gt;"PRC_RESID","",IF(AE$7=2005+OFFSET(COM_2012!$B$60,$AW98,SUMIF($B$10:$B$16,"NCAP_TLIFE",$AX$10:$AX$16)),0,""))</f>
        <v/>
      </c>
      <c r="AF98" s="369" t="str">
        <f ca="1">IF($B98&lt;&gt;"PRC_RESID","",IF(AF$7=2005+OFFSET(COM_2012!$B$60,$AW98,SUMIF($B$10:$B$16,"NCAP_TLIFE",$AX$10:$AX$16)),0,""))</f>
        <v/>
      </c>
      <c r="AG98" s="369" t="str">
        <f ca="1">IF($B98&lt;&gt;"PRC_RESID","",IF(AG$7=2005+OFFSET(COM_2012!$B$60,$AW98,SUMIF($B$10:$B$16,"NCAP_TLIFE",$AX$10:$AX$16)),0,""))</f>
        <v/>
      </c>
      <c r="AH98" s="369" t="str">
        <f ca="1">IF($B98&lt;&gt;"PRC_RESID","",IF(AH$7=2005+OFFSET(COM_2012!$B$60,$AW98,SUMIF($B$10:$B$16,"NCAP_TLIFE",$AX$10:$AX$16)),0,""))</f>
        <v/>
      </c>
      <c r="AI98" s="369" t="str">
        <f ca="1">IF($B98&lt;&gt;"PRC_RESID","",IF(AI$7=2005+OFFSET(COM_2012!$B$60,$AW98,SUMIF($B$10:$B$16,"NCAP_TLIFE",$AX$10:$AX$16)),0,""))</f>
        <v/>
      </c>
      <c r="AJ98" s="369" t="str">
        <f ca="1">IF($B98&lt;&gt;"PRC_RESID","",IF(AJ$7=2005+OFFSET(COM_2012!$B$60,$AW98,SUMIF($B$10:$B$16,"NCAP_TLIFE",$AX$10:$AX$16)),0,""))</f>
        <v/>
      </c>
      <c r="AK98" s="369" t="str">
        <f ca="1">IF($B98&lt;&gt;"PRC_RESID","",IF(AK$7=2005+OFFSET(COM_2012!$B$60,$AW98,SUMIF($B$10:$B$16,"NCAP_TLIFE",$AX$10:$AX$16)),0,""))</f>
        <v/>
      </c>
      <c r="AL98" s="369" t="str">
        <f ca="1">IF($B98&lt;&gt;"PRC_RESID","",IF(AL$7=2005+OFFSET(COM_2012!$B$60,$AW98,SUMIF($B$10:$B$16,"NCAP_TLIFE",$AX$10:$AX$16)),0,""))</f>
        <v/>
      </c>
      <c r="AM98" s="369" t="str">
        <f ca="1">IF($B98&lt;&gt;"PRC_RESID","",IF(AM$7=2005+OFFSET(COM_2012!$B$60,$AW98,SUMIF($B$10:$B$16,"NCAP_TLIFE",$AX$10:$AX$16)),0,""))</f>
        <v/>
      </c>
      <c r="AN98" s="369" t="str">
        <f ca="1">IF($B98&lt;&gt;"PRC_RESID","",IF(AN$7=2005+OFFSET(COM_2012!$B$60,$AW98,SUMIF($B$10:$B$16,"NCAP_TLIFE",$AX$10:$AX$16)),0,""))</f>
        <v/>
      </c>
      <c r="AO98" s="369" t="str">
        <f ca="1">IF($B98&lt;&gt;"PRC_RESID","",IF(AO$7=2005+OFFSET(COM_2012!$B$60,$AW98,SUMIF($B$10:$B$16,"NCAP_TLIFE",$AX$10:$AX$16)),0,""))</f>
        <v/>
      </c>
      <c r="AP98" s="369" t="str">
        <f ca="1">IF($B98&lt;&gt;"PRC_RESID","",IF(AP$7=2005+OFFSET(COM_2012!$B$60,$AW98,SUMIF($B$10:$B$16,"NCAP_TLIFE",$AX$10:$AX$16)),0,""))</f>
        <v/>
      </c>
      <c r="AQ98" s="369" t="str">
        <f ca="1">IF($B98&lt;&gt;"PRC_RESID","",IF(AQ$7=2005+OFFSET(COM_2012!$B$60,$AW98,SUMIF($B$10:$B$16,"NCAP_TLIFE",$AX$10:$AX$16)),0,""))</f>
        <v/>
      </c>
      <c r="AR98" s="369" t="str">
        <f ca="1">IF($B98&lt;&gt;"PRC_RESID","",IF(AR$7=2005+OFFSET(COM_2012!$B$60,$AW98,SUMIF($B$10:$B$16,"NCAP_TLIFE",$AX$10:$AX$16)),0,""))</f>
        <v/>
      </c>
      <c r="AS98" s="369" t="str">
        <f ca="1">IF($B98&lt;&gt;"PRC_RESID","",IF(AS$7=2005+OFFSET(COM_2012!$B$60,$AW98,SUMIF($B$10:$B$16,"NCAP_TLIFE",$AX$10:$AX$16)),0,""))</f>
        <v/>
      </c>
      <c r="AT98" s="369" t="str">
        <f ca="1">IF($B98&lt;&gt;"PRC_RESID","",IF(AT$7=2005+OFFSET(COM_2012!$B$60,$AW98,SUMIF($B$10:$B$16,"NCAP_TLIFE",$AX$10:$AX$16)),0,""))</f>
        <v/>
      </c>
      <c r="AU98" s="369" t="str">
        <f ca="1">IF($B98&lt;&gt;"PRC_RESID","",IF(AU$7=2005+OFFSET(COM_2012!$B$60,$AW98,SUMIF($B$10:$B$16,"NCAP_TLIFE",$AX$10:$AX$16)),0,""))</f>
        <v/>
      </c>
      <c r="AV98" s="304">
        <f>IF(AW97=COM_2012!$AI$121,AV97+1,AV97)</f>
        <v>2</v>
      </c>
      <c r="AW98" s="304">
        <f t="shared" si="12"/>
        <v>10</v>
      </c>
    </row>
    <row r="99" spans="1:49">
      <c r="A99" s="304" t="str">
        <f ca="1">IF(LEFT(OFFSET(COM_2012!$A$60,AW99,0),2)="\I","*","")</f>
        <v/>
      </c>
      <c r="B99" s="369" t="str">
        <f t="shared" ca="1" si="10"/>
        <v>NCAP_BND</v>
      </c>
      <c r="C99" s="369" t="str">
        <f ca="1">IF($A99="*","",OFFSET(COM_2012!$B$60,AW99,0))</f>
        <v>CEHGAS-E</v>
      </c>
      <c r="D99" s="369" t="str">
        <f t="shared" ca="1" si="11"/>
        <v>-</v>
      </c>
      <c r="E99" s="369" t="str">
        <f t="shared" ca="1" si="11"/>
        <v>-</v>
      </c>
      <c r="F99" s="369" t="str">
        <f t="shared" ca="1" si="11"/>
        <v>-</v>
      </c>
      <c r="G99" s="369" t="str">
        <f t="shared" ca="1" si="11"/>
        <v>-</v>
      </c>
      <c r="H99" s="369" t="str">
        <f t="shared" ca="1" si="11"/>
        <v>UP</v>
      </c>
      <c r="I99" s="370">
        <f t="shared" ca="1" si="11"/>
        <v>0</v>
      </c>
      <c r="J99" s="391">
        <f ca="1">IF($A99="*","",OFFSET(COM_2012!$B$60,AW99,SUMIF($B$10:$B$16,B99,$AX$10:$AX$16)))</f>
        <v>0</v>
      </c>
      <c r="K99" s="369" t="str">
        <f ca="1">IF($B99&lt;&gt;"PRC_RESID","",IF(K$7=2005+OFFSET(COM_2012!$B$60,$AW99,SUMIF($B$10:$B$16,"NCAP_TLIFE",$AX$10:$AX$16)),0,""))</f>
        <v/>
      </c>
      <c r="L99" s="369" t="str">
        <f ca="1">IF($B99&lt;&gt;"PRC_RESID","",IF(L$7=2005+OFFSET(COM_2012!$B$60,$AW99,SUMIF($B$10:$B$16,"NCAP_TLIFE",$AX$10:$AX$16)),0,""))</f>
        <v/>
      </c>
      <c r="M99" s="369" t="str">
        <f ca="1">IF($B99&lt;&gt;"PRC_RESID","",IF(M$7=2005+OFFSET(COM_2012!$B$60,$AW99,SUMIF($B$10:$B$16,"NCAP_TLIFE",$AX$10:$AX$16)),0,""))</f>
        <v/>
      </c>
      <c r="N99" s="369" t="str">
        <f ca="1">IF($B99&lt;&gt;"PRC_RESID","",IF(N$7=2005+OFFSET(COM_2012!$B$60,$AW99,SUMIF($B$10:$B$16,"NCAP_TLIFE",$AX$10:$AX$16)),0,""))</f>
        <v/>
      </c>
      <c r="O99" s="658" t="str">
        <f ca="1">IF($B99&lt;&gt;"PRC_RESID","",IF(O$7=2005+OFFSET(COM_2012!$B$60,$AW99,SUMIF($B$10:$B$16,"NCAP_TLIFE",$AX$10:$AX$16)),0,""))</f>
        <v/>
      </c>
      <c r="P99" s="369" t="str">
        <f ca="1">IF($B99&lt;&gt;"PRC_RESID","",IF(P$7=2005+OFFSET(COM_2012!$B$60,$AW99,SUMIF($B$10:$B$16,"NCAP_TLIFE",$AX$10:$AX$16)),0,""))</f>
        <v/>
      </c>
      <c r="Q99" s="369" t="str">
        <f ca="1">IF($B99&lt;&gt;"PRC_RESID","",IF(Q$7=2005+OFFSET(COM_2012!$B$60,$AW99,SUMIF($B$10:$B$16,"NCAP_TLIFE",$AX$10:$AX$16)),0,""))</f>
        <v/>
      </c>
      <c r="R99" s="369" t="str">
        <f ca="1">IF($B99&lt;&gt;"PRC_RESID","",IF(R$7=2005+OFFSET(COM_2012!$B$60,$AW99,SUMIF($B$10:$B$16,"NCAP_TLIFE",$AX$10:$AX$16)),0,""))</f>
        <v/>
      </c>
      <c r="S99" s="369" t="str">
        <f ca="1">IF($B99&lt;&gt;"PRC_RESID","",IF(S$7=2005+OFFSET(COM_2012!$B$60,$AW99,SUMIF($B$10:$B$16,"NCAP_TLIFE",$AX$10:$AX$16)),0,""))</f>
        <v/>
      </c>
      <c r="T99" s="369" t="str">
        <f ca="1">IF($B99&lt;&gt;"PRC_RESID","",IF(T$7=2005+OFFSET(COM_2012!$B$60,$AW99,SUMIF($B$10:$B$16,"NCAP_TLIFE",$AX$10:$AX$16)),0,""))</f>
        <v/>
      </c>
      <c r="U99" s="369" t="str">
        <f ca="1">IF($B99&lt;&gt;"PRC_RESID","",IF(U$7=2005+OFFSET(COM_2012!$B$60,$AW99,SUMIF($B$10:$B$16,"NCAP_TLIFE",$AX$10:$AX$16)),0,""))</f>
        <v/>
      </c>
      <c r="V99" s="369" t="str">
        <f ca="1">IF($B99&lt;&gt;"PRC_RESID","",IF(V$7=2005+OFFSET(COM_2012!$B$60,$AW99,SUMIF($B$10:$B$16,"NCAP_TLIFE",$AX$10:$AX$16)),0,""))</f>
        <v/>
      </c>
      <c r="W99" s="369" t="str">
        <f ca="1">IF($B99&lt;&gt;"PRC_RESID","",IF(W$7=2005+OFFSET(COM_2012!$B$60,$AW99,SUMIF($B$10:$B$16,"NCAP_TLIFE",$AX$10:$AX$16)),0,""))</f>
        <v/>
      </c>
      <c r="X99" s="369" t="str">
        <f ca="1">IF($B99&lt;&gt;"PRC_RESID","",IF(X$7=2005+OFFSET(COM_2012!$B$60,$AW99,SUMIF($B$10:$B$16,"NCAP_TLIFE",$AX$10:$AX$16)),0,""))</f>
        <v/>
      </c>
      <c r="Y99" s="369" t="str">
        <f ca="1">IF($B99&lt;&gt;"PRC_RESID","",IF(Y$7=2005+OFFSET(COM_2012!$B$60,$AW99,SUMIF($B$10:$B$16,"NCAP_TLIFE",$AX$10:$AX$16)),0,""))</f>
        <v/>
      </c>
      <c r="Z99" s="369" t="str">
        <f ca="1">IF($B99&lt;&gt;"PRC_RESID","",IF(Z$7=2005+OFFSET(COM_2012!$B$60,$AW99,SUMIF($B$10:$B$16,"NCAP_TLIFE",$AX$10:$AX$16)),0,""))</f>
        <v/>
      </c>
      <c r="AA99" s="369" t="str">
        <f ca="1">IF($B99&lt;&gt;"PRC_RESID","",IF(AA$7=2005+OFFSET(COM_2012!$B$60,$AW99,SUMIF($B$10:$B$16,"NCAP_TLIFE",$AX$10:$AX$16)),0,""))</f>
        <v/>
      </c>
      <c r="AB99" s="369" t="str">
        <f ca="1">IF($B99&lt;&gt;"PRC_RESID","",IF(AB$7=2005+OFFSET(COM_2012!$B$60,$AW99,SUMIF($B$10:$B$16,"NCAP_TLIFE",$AX$10:$AX$16)),0,""))</f>
        <v/>
      </c>
      <c r="AC99" s="369" t="str">
        <f ca="1">IF($B99&lt;&gt;"PRC_RESID","",IF(AC$7=2005+OFFSET(COM_2012!$B$60,$AW99,SUMIF($B$10:$B$16,"NCAP_TLIFE",$AX$10:$AX$16)),0,""))</f>
        <v/>
      </c>
      <c r="AD99" s="369" t="str">
        <f ca="1">IF($B99&lt;&gt;"PRC_RESID","",IF(AD$7=2005+OFFSET(COM_2012!$B$60,$AW99,SUMIF($B$10:$B$16,"NCAP_TLIFE",$AX$10:$AX$16)),0,""))</f>
        <v/>
      </c>
      <c r="AE99" s="369" t="str">
        <f ca="1">IF($B99&lt;&gt;"PRC_RESID","",IF(AE$7=2005+OFFSET(COM_2012!$B$60,$AW99,SUMIF($B$10:$B$16,"NCAP_TLIFE",$AX$10:$AX$16)),0,""))</f>
        <v/>
      </c>
      <c r="AF99" s="369" t="str">
        <f ca="1">IF($B99&lt;&gt;"PRC_RESID","",IF(AF$7=2005+OFFSET(COM_2012!$B$60,$AW99,SUMIF($B$10:$B$16,"NCAP_TLIFE",$AX$10:$AX$16)),0,""))</f>
        <v/>
      </c>
      <c r="AG99" s="369" t="str">
        <f ca="1">IF($B99&lt;&gt;"PRC_RESID","",IF(AG$7=2005+OFFSET(COM_2012!$B$60,$AW99,SUMIF($B$10:$B$16,"NCAP_TLIFE",$AX$10:$AX$16)),0,""))</f>
        <v/>
      </c>
      <c r="AH99" s="369" t="str">
        <f ca="1">IF($B99&lt;&gt;"PRC_RESID","",IF(AH$7=2005+OFFSET(COM_2012!$B$60,$AW99,SUMIF($B$10:$B$16,"NCAP_TLIFE",$AX$10:$AX$16)),0,""))</f>
        <v/>
      </c>
      <c r="AI99" s="369" t="str">
        <f ca="1">IF($B99&lt;&gt;"PRC_RESID","",IF(AI$7=2005+OFFSET(COM_2012!$B$60,$AW99,SUMIF($B$10:$B$16,"NCAP_TLIFE",$AX$10:$AX$16)),0,""))</f>
        <v/>
      </c>
      <c r="AJ99" s="369" t="str">
        <f ca="1">IF($B99&lt;&gt;"PRC_RESID","",IF(AJ$7=2005+OFFSET(COM_2012!$B$60,$AW99,SUMIF($B$10:$B$16,"NCAP_TLIFE",$AX$10:$AX$16)),0,""))</f>
        <v/>
      </c>
      <c r="AK99" s="369" t="str">
        <f ca="1">IF($B99&lt;&gt;"PRC_RESID","",IF(AK$7=2005+OFFSET(COM_2012!$B$60,$AW99,SUMIF($B$10:$B$16,"NCAP_TLIFE",$AX$10:$AX$16)),0,""))</f>
        <v/>
      </c>
      <c r="AL99" s="369" t="str">
        <f ca="1">IF($B99&lt;&gt;"PRC_RESID","",IF(AL$7=2005+OFFSET(COM_2012!$B$60,$AW99,SUMIF($B$10:$B$16,"NCAP_TLIFE",$AX$10:$AX$16)),0,""))</f>
        <v/>
      </c>
      <c r="AM99" s="369" t="str">
        <f ca="1">IF($B99&lt;&gt;"PRC_RESID","",IF(AM$7=2005+OFFSET(COM_2012!$B$60,$AW99,SUMIF($B$10:$B$16,"NCAP_TLIFE",$AX$10:$AX$16)),0,""))</f>
        <v/>
      </c>
      <c r="AN99" s="369" t="str">
        <f ca="1">IF($B99&lt;&gt;"PRC_RESID","",IF(AN$7=2005+OFFSET(COM_2012!$B$60,$AW99,SUMIF($B$10:$B$16,"NCAP_TLIFE",$AX$10:$AX$16)),0,""))</f>
        <v/>
      </c>
      <c r="AO99" s="369" t="str">
        <f ca="1">IF($B99&lt;&gt;"PRC_RESID","",IF(AO$7=2005+OFFSET(COM_2012!$B$60,$AW99,SUMIF($B$10:$B$16,"NCAP_TLIFE",$AX$10:$AX$16)),0,""))</f>
        <v/>
      </c>
      <c r="AP99" s="369" t="str">
        <f ca="1">IF($B99&lt;&gt;"PRC_RESID","",IF(AP$7=2005+OFFSET(COM_2012!$B$60,$AW99,SUMIF($B$10:$B$16,"NCAP_TLIFE",$AX$10:$AX$16)),0,""))</f>
        <v/>
      </c>
      <c r="AQ99" s="369" t="str">
        <f ca="1">IF($B99&lt;&gt;"PRC_RESID","",IF(AQ$7=2005+OFFSET(COM_2012!$B$60,$AW99,SUMIF($B$10:$B$16,"NCAP_TLIFE",$AX$10:$AX$16)),0,""))</f>
        <v/>
      </c>
      <c r="AR99" s="369" t="str">
        <f ca="1">IF($B99&lt;&gt;"PRC_RESID","",IF(AR$7=2005+OFFSET(COM_2012!$B$60,$AW99,SUMIF($B$10:$B$16,"NCAP_TLIFE",$AX$10:$AX$16)),0,""))</f>
        <v/>
      </c>
      <c r="AS99" s="369" t="str">
        <f ca="1">IF($B99&lt;&gt;"PRC_RESID","",IF(AS$7=2005+OFFSET(COM_2012!$B$60,$AW99,SUMIF($B$10:$B$16,"NCAP_TLIFE",$AX$10:$AX$16)),0,""))</f>
        <v/>
      </c>
      <c r="AT99" s="369" t="str">
        <f ca="1">IF($B99&lt;&gt;"PRC_RESID","",IF(AT$7=2005+OFFSET(COM_2012!$B$60,$AW99,SUMIF($B$10:$B$16,"NCAP_TLIFE",$AX$10:$AX$16)),0,""))</f>
        <v/>
      </c>
      <c r="AU99" s="369" t="str">
        <f ca="1">IF($B99&lt;&gt;"PRC_RESID","",IF(AU$7=2005+OFFSET(COM_2012!$B$60,$AW99,SUMIF($B$10:$B$16,"NCAP_TLIFE",$AX$10:$AX$16)),0,""))</f>
        <v/>
      </c>
      <c r="AV99" s="304">
        <f>IF(AW98=COM_2012!$AI$121,AV98+1,AV98)</f>
        <v>2</v>
      </c>
      <c r="AW99" s="304">
        <f t="shared" si="12"/>
        <v>11</v>
      </c>
    </row>
    <row r="100" spans="1:49">
      <c r="A100" s="304" t="str">
        <f ca="1">IF(LEFT(OFFSET(COM_2012!$A$60,AW100,0),2)="\I","*","")</f>
        <v/>
      </c>
      <c r="B100" s="369" t="str">
        <f t="shared" ca="1" si="10"/>
        <v>NCAP_BND</v>
      </c>
      <c r="C100" s="369" t="str">
        <f ca="1">IF($A100="*","",OFFSET(COM_2012!$B$60,AW100,0))</f>
        <v>CEHELC-N</v>
      </c>
      <c r="D100" s="369" t="str">
        <f t="shared" ca="1" si="11"/>
        <v>-</v>
      </c>
      <c r="E100" s="369" t="str">
        <f t="shared" ca="1" si="11"/>
        <v>-</v>
      </c>
      <c r="F100" s="369" t="str">
        <f t="shared" ca="1" si="11"/>
        <v>-</v>
      </c>
      <c r="G100" s="369" t="str">
        <f t="shared" ca="1" si="11"/>
        <v>-</v>
      </c>
      <c r="H100" s="369" t="str">
        <f t="shared" ca="1" si="11"/>
        <v>UP</v>
      </c>
      <c r="I100" s="370">
        <f t="shared" ca="1" si="11"/>
        <v>0</v>
      </c>
      <c r="J100" s="391">
        <f ca="1">IF($A100="*","",OFFSET(COM_2012!$B$60,AW100,SUMIF($B$10:$B$16,B100,$AX$10:$AX$16)))</f>
        <v>0</v>
      </c>
      <c r="K100" s="369" t="str">
        <f ca="1">IF($B100&lt;&gt;"PRC_RESID","",IF(K$7=2005+OFFSET(COM_2012!$B$60,$AW100,SUMIF($B$10:$B$16,"NCAP_TLIFE",$AX$10:$AX$16)),0,""))</f>
        <v/>
      </c>
      <c r="L100" s="369" t="str">
        <f ca="1">IF($B100&lt;&gt;"PRC_RESID","",IF(L$7=2005+OFFSET(COM_2012!$B$60,$AW100,SUMIF($B$10:$B$16,"NCAP_TLIFE",$AX$10:$AX$16)),0,""))</f>
        <v/>
      </c>
      <c r="M100" s="369" t="str">
        <f ca="1">IF($B100&lt;&gt;"PRC_RESID","",IF(M$7=2005+OFFSET(COM_2012!$B$60,$AW100,SUMIF($B$10:$B$16,"NCAP_TLIFE",$AX$10:$AX$16)),0,""))</f>
        <v/>
      </c>
      <c r="N100" s="369" t="str">
        <f ca="1">IF($B100&lt;&gt;"PRC_RESID","",IF(N$7=2005+OFFSET(COM_2012!$B$60,$AW100,SUMIF($B$10:$B$16,"NCAP_TLIFE",$AX$10:$AX$16)),0,""))</f>
        <v/>
      </c>
      <c r="O100" s="658" t="str">
        <f ca="1">IF($B100&lt;&gt;"PRC_RESID","",IF(O$7=2005+OFFSET(COM_2012!$B$60,$AW100,SUMIF($B$10:$B$16,"NCAP_TLIFE",$AX$10:$AX$16)),0,""))</f>
        <v/>
      </c>
      <c r="P100" s="369" t="str">
        <f ca="1">IF($B100&lt;&gt;"PRC_RESID","",IF(P$7=2005+OFFSET(COM_2012!$B$60,$AW100,SUMIF($B$10:$B$16,"NCAP_TLIFE",$AX$10:$AX$16)),0,""))</f>
        <v/>
      </c>
      <c r="Q100" s="369" t="str">
        <f ca="1">IF($B100&lt;&gt;"PRC_RESID","",IF(Q$7=2005+OFFSET(COM_2012!$B$60,$AW100,SUMIF($B$10:$B$16,"NCAP_TLIFE",$AX$10:$AX$16)),0,""))</f>
        <v/>
      </c>
      <c r="R100" s="369" t="str">
        <f ca="1">IF($B100&lt;&gt;"PRC_RESID","",IF(R$7=2005+OFFSET(COM_2012!$B$60,$AW100,SUMIF($B$10:$B$16,"NCAP_TLIFE",$AX$10:$AX$16)),0,""))</f>
        <v/>
      </c>
      <c r="S100" s="369" t="str">
        <f ca="1">IF($B100&lt;&gt;"PRC_RESID","",IF(S$7=2005+OFFSET(COM_2012!$B$60,$AW100,SUMIF($B$10:$B$16,"NCAP_TLIFE",$AX$10:$AX$16)),0,""))</f>
        <v/>
      </c>
      <c r="T100" s="369" t="str">
        <f ca="1">IF($B100&lt;&gt;"PRC_RESID","",IF(T$7=2005+OFFSET(COM_2012!$B$60,$AW100,SUMIF($B$10:$B$16,"NCAP_TLIFE",$AX$10:$AX$16)),0,""))</f>
        <v/>
      </c>
      <c r="U100" s="369" t="str">
        <f ca="1">IF($B100&lt;&gt;"PRC_RESID","",IF(U$7=2005+OFFSET(COM_2012!$B$60,$AW100,SUMIF($B$10:$B$16,"NCAP_TLIFE",$AX$10:$AX$16)),0,""))</f>
        <v/>
      </c>
      <c r="V100" s="369" t="str">
        <f ca="1">IF($B100&lt;&gt;"PRC_RESID","",IF(V$7=2005+OFFSET(COM_2012!$B$60,$AW100,SUMIF($B$10:$B$16,"NCAP_TLIFE",$AX$10:$AX$16)),0,""))</f>
        <v/>
      </c>
      <c r="W100" s="369" t="str">
        <f ca="1">IF($B100&lt;&gt;"PRC_RESID","",IF(W$7=2005+OFFSET(COM_2012!$B$60,$AW100,SUMIF($B$10:$B$16,"NCAP_TLIFE",$AX$10:$AX$16)),0,""))</f>
        <v/>
      </c>
      <c r="X100" s="369" t="str">
        <f ca="1">IF($B100&lt;&gt;"PRC_RESID","",IF(X$7=2005+OFFSET(COM_2012!$B$60,$AW100,SUMIF($B$10:$B$16,"NCAP_TLIFE",$AX$10:$AX$16)),0,""))</f>
        <v/>
      </c>
      <c r="Y100" s="369" t="str">
        <f ca="1">IF($B100&lt;&gt;"PRC_RESID","",IF(Y$7=2005+OFFSET(COM_2012!$B$60,$AW100,SUMIF($B$10:$B$16,"NCAP_TLIFE",$AX$10:$AX$16)),0,""))</f>
        <v/>
      </c>
      <c r="Z100" s="369" t="str">
        <f ca="1">IF($B100&lt;&gt;"PRC_RESID","",IF(Z$7=2005+OFFSET(COM_2012!$B$60,$AW100,SUMIF($B$10:$B$16,"NCAP_TLIFE",$AX$10:$AX$16)),0,""))</f>
        <v/>
      </c>
      <c r="AA100" s="369" t="str">
        <f ca="1">IF($B100&lt;&gt;"PRC_RESID","",IF(AA$7=2005+OFFSET(COM_2012!$B$60,$AW100,SUMIF($B$10:$B$16,"NCAP_TLIFE",$AX$10:$AX$16)),0,""))</f>
        <v/>
      </c>
      <c r="AB100" s="369" t="str">
        <f ca="1">IF($B100&lt;&gt;"PRC_RESID","",IF(AB$7=2005+OFFSET(COM_2012!$B$60,$AW100,SUMIF($B$10:$B$16,"NCAP_TLIFE",$AX$10:$AX$16)),0,""))</f>
        <v/>
      </c>
      <c r="AC100" s="369" t="str">
        <f ca="1">IF($B100&lt;&gt;"PRC_RESID","",IF(AC$7=2005+OFFSET(COM_2012!$B$60,$AW100,SUMIF($B$10:$B$16,"NCAP_TLIFE",$AX$10:$AX$16)),0,""))</f>
        <v/>
      </c>
      <c r="AD100" s="369" t="str">
        <f ca="1">IF($B100&lt;&gt;"PRC_RESID","",IF(AD$7=2005+OFFSET(COM_2012!$B$60,$AW100,SUMIF($B$10:$B$16,"NCAP_TLIFE",$AX$10:$AX$16)),0,""))</f>
        <v/>
      </c>
      <c r="AE100" s="369" t="str">
        <f ca="1">IF($B100&lt;&gt;"PRC_RESID","",IF(AE$7=2005+OFFSET(COM_2012!$B$60,$AW100,SUMIF($B$10:$B$16,"NCAP_TLIFE",$AX$10:$AX$16)),0,""))</f>
        <v/>
      </c>
      <c r="AF100" s="369" t="str">
        <f ca="1">IF($B100&lt;&gt;"PRC_RESID","",IF(AF$7=2005+OFFSET(COM_2012!$B$60,$AW100,SUMIF($B$10:$B$16,"NCAP_TLIFE",$AX$10:$AX$16)),0,""))</f>
        <v/>
      </c>
      <c r="AG100" s="369" t="str">
        <f ca="1">IF($B100&lt;&gt;"PRC_RESID","",IF(AG$7=2005+OFFSET(COM_2012!$B$60,$AW100,SUMIF($B$10:$B$16,"NCAP_TLIFE",$AX$10:$AX$16)),0,""))</f>
        <v/>
      </c>
      <c r="AH100" s="369" t="str">
        <f ca="1">IF($B100&lt;&gt;"PRC_RESID","",IF(AH$7=2005+OFFSET(COM_2012!$B$60,$AW100,SUMIF($B$10:$B$16,"NCAP_TLIFE",$AX$10:$AX$16)),0,""))</f>
        <v/>
      </c>
      <c r="AI100" s="369" t="str">
        <f ca="1">IF($B100&lt;&gt;"PRC_RESID","",IF(AI$7=2005+OFFSET(COM_2012!$B$60,$AW100,SUMIF($B$10:$B$16,"NCAP_TLIFE",$AX$10:$AX$16)),0,""))</f>
        <v/>
      </c>
      <c r="AJ100" s="369" t="str">
        <f ca="1">IF($B100&lt;&gt;"PRC_RESID","",IF(AJ$7=2005+OFFSET(COM_2012!$B$60,$AW100,SUMIF($B$10:$B$16,"NCAP_TLIFE",$AX$10:$AX$16)),0,""))</f>
        <v/>
      </c>
      <c r="AK100" s="369" t="str">
        <f ca="1">IF($B100&lt;&gt;"PRC_RESID","",IF(AK$7=2005+OFFSET(COM_2012!$B$60,$AW100,SUMIF($B$10:$B$16,"NCAP_TLIFE",$AX$10:$AX$16)),0,""))</f>
        <v/>
      </c>
      <c r="AL100" s="369" t="str">
        <f ca="1">IF($B100&lt;&gt;"PRC_RESID","",IF(AL$7=2005+OFFSET(COM_2012!$B$60,$AW100,SUMIF($B$10:$B$16,"NCAP_TLIFE",$AX$10:$AX$16)),0,""))</f>
        <v/>
      </c>
      <c r="AM100" s="369" t="str">
        <f ca="1">IF($B100&lt;&gt;"PRC_RESID","",IF(AM$7=2005+OFFSET(COM_2012!$B$60,$AW100,SUMIF($B$10:$B$16,"NCAP_TLIFE",$AX$10:$AX$16)),0,""))</f>
        <v/>
      </c>
      <c r="AN100" s="369" t="str">
        <f ca="1">IF($B100&lt;&gt;"PRC_RESID","",IF(AN$7=2005+OFFSET(COM_2012!$B$60,$AW100,SUMIF($B$10:$B$16,"NCAP_TLIFE",$AX$10:$AX$16)),0,""))</f>
        <v/>
      </c>
      <c r="AO100" s="369" t="str">
        <f ca="1">IF($B100&lt;&gt;"PRC_RESID","",IF(AO$7=2005+OFFSET(COM_2012!$B$60,$AW100,SUMIF($B$10:$B$16,"NCAP_TLIFE",$AX$10:$AX$16)),0,""))</f>
        <v/>
      </c>
      <c r="AP100" s="369" t="str">
        <f ca="1">IF($B100&lt;&gt;"PRC_RESID","",IF(AP$7=2005+OFFSET(COM_2012!$B$60,$AW100,SUMIF($B$10:$B$16,"NCAP_TLIFE",$AX$10:$AX$16)),0,""))</f>
        <v/>
      </c>
      <c r="AQ100" s="369" t="str">
        <f ca="1">IF($B100&lt;&gt;"PRC_RESID","",IF(AQ$7=2005+OFFSET(COM_2012!$B$60,$AW100,SUMIF($B$10:$B$16,"NCAP_TLIFE",$AX$10:$AX$16)),0,""))</f>
        <v/>
      </c>
      <c r="AR100" s="369" t="str">
        <f ca="1">IF($B100&lt;&gt;"PRC_RESID","",IF(AR$7=2005+OFFSET(COM_2012!$B$60,$AW100,SUMIF($B$10:$B$16,"NCAP_TLIFE",$AX$10:$AX$16)),0,""))</f>
        <v/>
      </c>
      <c r="AS100" s="369" t="str">
        <f ca="1">IF($B100&lt;&gt;"PRC_RESID","",IF(AS$7=2005+OFFSET(COM_2012!$B$60,$AW100,SUMIF($B$10:$B$16,"NCAP_TLIFE",$AX$10:$AX$16)),0,""))</f>
        <v/>
      </c>
      <c r="AT100" s="369" t="str">
        <f ca="1">IF($B100&lt;&gt;"PRC_RESID","",IF(AT$7=2005+OFFSET(COM_2012!$B$60,$AW100,SUMIF($B$10:$B$16,"NCAP_TLIFE",$AX$10:$AX$16)),0,""))</f>
        <v/>
      </c>
      <c r="AU100" s="369" t="str">
        <f ca="1">IF($B100&lt;&gt;"PRC_RESID","",IF(AU$7=2005+OFFSET(COM_2012!$B$60,$AW100,SUMIF($B$10:$B$16,"NCAP_TLIFE",$AX$10:$AX$16)),0,""))</f>
        <v/>
      </c>
      <c r="AV100" s="304">
        <f>IF(AW99=COM_2012!$AI$121,AV99+1,AV99)</f>
        <v>2</v>
      </c>
      <c r="AW100" s="304">
        <f t="shared" si="12"/>
        <v>12</v>
      </c>
    </row>
    <row r="101" spans="1:49">
      <c r="A101" s="304" t="str">
        <f ca="1">IF(LEFT(OFFSET(COM_2012!$A$60,AW101,0),2)="\I","*","")</f>
        <v/>
      </c>
      <c r="B101" s="369" t="str">
        <f t="shared" ca="1" si="10"/>
        <v>NCAP_BND</v>
      </c>
      <c r="C101" s="369" t="str">
        <f ca="1">IF($A101="*","",OFFSET(COM_2012!$B$60,AW101,0))</f>
        <v>CEHGAS-N</v>
      </c>
      <c r="D101" s="369" t="str">
        <f t="shared" ca="1" si="11"/>
        <v>-</v>
      </c>
      <c r="E101" s="369" t="str">
        <f t="shared" ca="1" si="11"/>
        <v>-</v>
      </c>
      <c r="F101" s="369" t="str">
        <f t="shared" ca="1" si="11"/>
        <v>-</v>
      </c>
      <c r="G101" s="369" t="str">
        <f t="shared" ca="1" si="11"/>
        <v>-</v>
      </c>
      <c r="H101" s="369" t="str">
        <f t="shared" ca="1" si="11"/>
        <v>UP</v>
      </c>
      <c r="I101" s="370">
        <f t="shared" ca="1" si="11"/>
        <v>0</v>
      </c>
      <c r="J101" s="391">
        <f ca="1">IF($A101="*","",OFFSET(COM_2012!$B$60,AW101,SUMIF($B$10:$B$16,B101,$AX$10:$AX$16)))</f>
        <v>0</v>
      </c>
      <c r="K101" s="369" t="str">
        <f ca="1">IF($B101&lt;&gt;"PRC_RESID","",IF(K$7=2005+OFFSET(COM_2012!$B$60,$AW101,SUMIF($B$10:$B$16,"NCAP_TLIFE",$AX$10:$AX$16)),0,""))</f>
        <v/>
      </c>
      <c r="L101" s="369" t="str">
        <f ca="1">IF($B101&lt;&gt;"PRC_RESID","",IF(L$7=2005+OFFSET(COM_2012!$B$60,$AW101,SUMIF($B$10:$B$16,"NCAP_TLIFE",$AX$10:$AX$16)),0,""))</f>
        <v/>
      </c>
      <c r="M101" s="369" t="str">
        <f ca="1">IF($B101&lt;&gt;"PRC_RESID","",IF(M$7=2005+OFFSET(COM_2012!$B$60,$AW101,SUMIF($B$10:$B$16,"NCAP_TLIFE",$AX$10:$AX$16)),0,""))</f>
        <v/>
      </c>
      <c r="N101" s="369" t="str">
        <f ca="1">IF($B101&lt;&gt;"PRC_RESID","",IF(N$7=2005+OFFSET(COM_2012!$B$60,$AW101,SUMIF($B$10:$B$16,"NCAP_TLIFE",$AX$10:$AX$16)),0,""))</f>
        <v/>
      </c>
      <c r="O101" s="658" t="str">
        <f ca="1">IF($B101&lt;&gt;"PRC_RESID","",IF(O$7=2005+OFFSET(COM_2012!$B$60,$AW101,SUMIF($B$10:$B$16,"NCAP_TLIFE",$AX$10:$AX$16)),0,""))</f>
        <v/>
      </c>
      <c r="P101" s="369" t="str">
        <f ca="1">IF($B101&lt;&gt;"PRC_RESID","",IF(P$7=2005+OFFSET(COM_2012!$B$60,$AW101,SUMIF($B$10:$B$16,"NCAP_TLIFE",$AX$10:$AX$16)),0,""))</f>
        <v/>
      </c>
      <c r="Q101" s="369" t="str">
        <f ca="1">IF($B101&lt;&gt;"PRC_RESID","",IF(Q$7=2005+OFFSET(COM_2012!$B$60,$AW101,SUMIF($B$10:$B$16,"NCAP_TLIFE",$AX$10:$AX$16)),0,""))</f>
        <v/>
      </c>
      <c r="R101" s="369" t="str">
        <f ca="1">IF($B101&lt;&gt;"PRC_RESID","",IF(R$7=2005+OFFSET(COM_2012!$B$60,$AW101,SUMIF($B$10:$B$16,"NCAP_TLIFE",$AX$10:$AX$16)),0,""))</f>
        <v/>
      </c>
      <c r="S101" s="369" t="str">
        <f ca="1">IF($B101&lt;&gt;"PRC_RESID","",IF(S$7=2005+OFFSET(COM_2012!$B$60,$AW101,SUMIF($B$10:$B$16,"NCAP_TLIFE",$AX$10:$AX$16)),0,""))</f>
        <v/>
      </c>
      <c r="T101" s="369" t="str">
        <f ca="1">IF($B101&lt;&gt;"PRC_RESID","",IF(T$7=2005+OFFSET(COM_2012!$B$60,$AW101,SUMIF($B$10:$B$16,"NCAP_TLIFE",$AX$10:$AX$16)),0,""))</f>
        <v/>
      </c>
      <c r="U101" s="369" t="str">
        <f ca="1">IF($B101&lt;&gt;"PRC_RESID","",IF(U$7=2005+OFFSET(COM_2012!$B$60,$AW101,SUMIF($B$10:$B$16,"NCAP_TLIFE",$AX$10:$AX$16)),0,""))</f>
        <v/>
      </c>
      <c r="V101" s="369" t="str">
        <f ca="1">IF($B101&lt;&gt;"PRC_RESID","",IF(V$7=2005+OFFSET(COM_2012!$B$60,$AW101,SUMIF($B$10:$B$16,"NCAP_TLIFE",$AX$10:$AX$16)),0,""))</f>
        <v/>
      </c>
      <c r="W101" s="369" t="str">
        <f ca="1">IF($B101&lt;&gt;"PRC_RESID","",IF(W$7=2005+OFFSET(COM_2012!$B$60,$AW101,SUMIF($B$10:$B$16,"NCAP_TLIFE",$AX$10:$AX$16)),0,""))</f>
        <v/>
      </c>
      <c r="X101" s="369" t="str">
        <f ca="1">IF($B101&lt;&gt;"PRC_RESID","",IF(X$7=2005+OFFSET(COM_2012!$B$60,$AW101,SUMIF($B$10:$B$16,"NCAP_TLIFE",$AX$10:$AX$16)),0,""))</f>
        <v/>
      </c>
      <c r="Y101" s="369" t="str">
        <f ca="1">IF($B101&lt;&gt;"PRC_RESID","",IF(Y$7=2005+OFFSET(COM_2012!$B$60,$AW101,SUMIF($B$10:$B$16,"NCAP_TLIFE",$AX$10:$AX$16)),0,""))</f>
        <v/>
      </c>
      <c r="Z101" s="369" t="str">
        <f ca="1">IF($B101&lt;&gt;"PRC_RESID","",IF(Z$7=2005+OFFSET(COM_2012!$B$60,$AW101,SUMIF($B$10:$B$16,"NCAP_TLIFE",$AX$10:$AX$16)),0,""))</f>
        <v/>
      </c>
      <c r="AA101" s="369" t="str">
        <f ca="1">IF($B101&lt;&gt;"PRC_RESID","",IF(AA$7=2005+OFFSET(COM_2012!$B$60,$AW101,SUMIF($B$10:$B$16,"NCAP_TLIFE",$AX$10:$AX$16)),0,""))</f>
        <v/>
      </c>
      <c r="AB101" s="369" t="str">
        <f ca="1">IF($B101&lt;&gt;"PRC_RESID","",IF(AB$7=2005+OFFSET(COM_2012!$B$60,$AW101,SUMIF($B$10:$B$16,"NCAP_TLIFE",$AX$10:$AX$16)),0,""))</f>
        <v/>
      </c>
      <c r="AC101" s="369" t="str">
        <f ca="1">IF($B101&lt;&gt;"PRC_RESID","",IF(AC$7=2005+OFFSET(COM_2012!$B$60,$AW101,SUMIF($B$10:$B$16,"NCAP_TLIFE",$AX$10:$AX$16)),0,""))</f>
        <v/>
      </c>
      <c r="AD101" s="369" t="str">
        <f ca="1">IF($B101&lt;&gt;"PRC_RESID","",IF(AD$7=2005+OFFSET(COM_2012!$B$60,$AW101,SUMIF($B$10:$B$16,"NCAP_TLIFE",$AX$10:$AX$16)),0,""))</f>
        <v/>
      </c>
      <c r="AE101" s="369" t="str">
        <f ca="1">IF($B101&lt;&gt;"PRC_RESID","",IF(AE$7=2005+OFFSET(COM_2012!$B$60,$AW101,SUMIF($B$10:$B$16,"NCAP_TLIFE",$AX$10:$AX$16)),0,""))</f>
        <v/>
      </c>
      <c r="AF101" s="369" t="str">
        <f ca="1">IF($B101&lt;&gt;"PRC_RESID","",IF(AF$7=2005+OFFSET(COM_2012!$B$60,$AW101,SUMIF($B$10:$B$16,"NCAP_TLIFE",$AX$10:$AX$16)),0,""))</f>
        <v/>
      </c>
      <c r="AG101" s="369" t="str">
        <f ca="1">IF($B101&lt;&gt;"PRC_RESID","",IF(AG$7=2005+OFFSET(COM_2012!$B$60,$AW101,SUMIF($B$10:$B$16,"NCAP_TLIFE",$AX$10:$AX$16)),0,""))</f>
        <v/>
      </c>
      <c r="AH101" s="369" t="str">
        <f ca="1">IF($B101&lt;&gt;"PRC_RESID","",IF(AH$7=2005+OFFSET(COM_2012!$B$60,$AW101,SUMIF($B$10:$B$16,"NCAP_TLIFE",$AX$10:$AX$16)),0,""))</f>
        <v/>
      </c>
      <c r="AI101" s="369" t="str">
        <f ca="1">IF($B101&lt;&gt;"PRC_RESID","",IF(AI$7=2005+OFFSET(COM_2012!$B$60,$AW101,SUMIF($B$10:$B$16,"NCAP_TLIFE",$AX$10:$AX$16)),0,""))</f>
        <v/>
      </c>
      <c r="AJ101" s="369" t="str">
        <f ca="1">IF($B101&lt;&gt;"PRC_RESID","",IF(AJ$7=2005+OFFSET(COM_2012!$B$60,$AW101,SUMIF($B$10:$B$16,"NCAP_TLIFE",$AX$10:$AX$16)),0,""))</f>
        <v/>
      </c>
      <c r="AK101" s="369" t="str">
        <f ca="1">IF($B101&lt;&gt;"PRC_RESID","",IF(AK$7=2005+OFFSET(COM_2012!$B$60,$AW101,SUMIF($B$10:$B$16,"NCAP_TLIFE",$AX$10:$AX$16)),0,""))</f>
        <v/>
      </c>
      <c r="AL101" s="369" t="str">
        <f ca="1">IF($B101&lt;&gt;"PRC_RESID","",IF(AL$7=2005+OFFSET(COM_2012!$B$60,$AW101,SUMIF($B$10:$B$16,"NCAP_TLIFE",$AX$10:$AX$16)),0,""))</f>
        <v/>
      </c>
      <c r="AM101" s="369" t="str">
        <f ca="1">IF($B101&lt;&gt;"PRC_RESID","",IF(AM$7=2005+OFFSET(COM_2012!$B$60,$AW101,SUMIF($B$10:$B$16,"NCAP_TLIFE",$AX$10:$AX$16)),0,""))</f>
        <v/>
      </c>
      <c r="AN101" s="369" t="str">
        <f ca="1">IF($B101&lt;&gt;"PRC_RESID","",IF(AN$7=2005+OFFSET(COM_2012!$B$60,$AW101,SUMIF($B$10:$B$16,"NCAP_TLIFE",$AX$10:$AX$16)),0,""))</f>
        <v/>
      </c>
      <c r="AO101" s="369" t="str">
        <f ca="1">IF($B101&lt;&gt;"PRC_RESID","",IF(AO$7=2005+OFFSET(COM_2012!$B$60,$AW101,SUMIF($B$10:$B$16,"NCAP_TLIFE",$AX$10:$AX$16)),0,""))</f>
        <v/>
      </c>
      <c r="AP101" s="369" t="str">
        <f ca="1">IF($B101&lt;&gt;"PRC_RESID","",IF(AP$7=2005+OFFSET(COM_2012!$B$60,$AW101,SUMIF($B$10:$B$16,"NCAP_TLIFE",$AX$10:$AX$16)),0,""))</f>
        <v/>
      </c>
      <c r="AQ101" s="369" t="str">
        <f ca="1">IF($B101&lt;&gt;"PRC_RESID","",IF(AQ$7=2005+OFFSET(COM_2012!$B$60,$AW101,SUMIF($B$10:$B$16,"NCAP_TLIFE",$AX$10:$AX$16)),0,""))</f>
        <v/>
      </c>
      <c r="AR101" s="369" t="str">
        <f ca="1">IF($B101&lt;&gt;"PRC_RESID","",IF(AR$7=2005+OFFSET(COM_2012!$B$60,$AW101,SUMIF($B$10:$B$16,"NCAP_TLIFE",$AX$10:$AX$16)),0,""))</f>
        <v/>
      </c>
      <c r="AS101" s="369" t="str">
        <f ca="1">IF($B101&lt;&gt;"PRC_RESID","",IF(AS$7=2005+OFFSET(COM_2012!$B$60,$AW101,SUMIF($B$10:$B$16,"NCAP_TLIFE",$AX$10:$AX$16)),0,""))</f>
        <v/>
      </c>
      <c r="AT101" s="369" t="str">
        <f ca="1">IF($B101&lt;&gt;"PRC_RESID","",IF(AT$7=2005+OFFSET(COM_2012!$B$60,$AW101,SUMIF($B$10:$B$16,"NCAP_TLIFE",$AX$10:$AX$16)),0,""))</f>
        <v/>
      </c>
      <c r="AU101" s="369" t="str">
        <f ca="1">IF($B101&lt;&gt;"PRC_RESID","",IF(AU$7=2005+OFFSET(COM_2012!$B$60,$AW101,SUMIF($B$10:$B$16,"NCAP_TLIFE",$AX$10:$AX$16)),0,""))</f>
        <v/>
      </c>
      <c r="AV101" s="304">
        <f>IF(AW100=COM_2012!$AI$121,AV100+1,AV100)</f>
        <v>2</v>
      </c>
      <c r="AW101" s="304">
        <f t="shared" si="12"/>
        <v>13</v>
      </c>
    </row>
    <row r="102" spans="1:49">
      <c r="A102" s="304" t="str">
        <f ca="1">IF(LEFT(OFFSET(COM_2012!$A$60,AW102,0),2)="\I","*","")</f>
        <v>*</v>
      </c>
      <c r="B102" s="369" t="str">
        <f t="shared" ca="1" si="10"/>
        <v/>
      </c>
      <c r="C102" s="369" t="str">
        <f ca="1">IF($A102="*","",OFFSET(COM_2012!$B$60,AW102,0))</f>
        <v/>
      </c>
      <c r="D102" s="369" t="str">
        <f t="shared" ca="1" si="11"/>
        <v/>
      </c>
      <c r="E102" s="369" t="str">
        <f t="shared" ca="1" si="11"/>
        <v/>
      </c>
      <c r="F102" s="369" t="str">
        <f t="shared" ca="1" si="11"/>
        <v/>
      </c>
      <c r="G102" s="369" t="str">
        <f t="shared" ca="1" si="11"/>
        <v/>
      </c>
      <c r="H102" s="369" t="str">
        <f t="shared" ca="1" si="11"/>
        <v/>
      </c>
      <c r="I102" s="370" t="str">
        <f t="shared" ca="1" si="11"/>
        <v/>
      </c>
      <c r="J102" s="391" t="str">
        <f ca="1">IF($A102="*","",OFFSET(COM_2012!$B$60,AW102,SUMIF($B$10:$B$16,B102,$AX$10:$AX$16)))</f>
        <v/>
      </c>
      <c r="K102" s="369" t="str">
        <f ca="1">IF($B102&lt;&gt;"PRC_RESID","",IF(K$7=2005+OFFSET(COM_2012!$B$60,$AW102,SUMIF($B$10:$B$16,"NCAP_TLIFE",$AX$10:$AX$16)),0,""))</f>
        <v/>
      </c>
      <c r="L102" s="369" t="str">
        <f ca="1">IF($B102&lt;&gt;"PRC_RESID","",IF(L$7=2005+OFFSET(COM_2012!$B$60,$AW102,SUMIF($B$10:$B$16,"NCAP_TLIFE",$AX$10:$AX$16)),0,""))</f>
        <v/>
      </c>
      <c r="M102" s="369" t="str">
        <f ca="1">IF($B102&lt;&gt;"PRC_RESID","",IF(M$7=2005+OFFSET(COM_2012!$B$60,$AW102,SUMIF($B$10:$B$16,"NCAP_TLIFE",$AX$10:$AX$16)),0,""))</f>
        <v/>
      </c>
      <c r="N102" s="369" t="str">
        <f ca="1">IF($B102&lt;&gt;"PRC_RESID","",IF(N$7=2005+OFFSET(COM_2012!$B$60,$AW102,SUMIF($B$10:$B$16,"NCAP_TLIFE",$AX$10:$AX$16)),0,""))</f>
        <v/>
      </c>
      <c r="O102" s="658" t="str">
        <f ca="1">IF($B102&lt;&gt;"PRC_RESID","",IF(O$7=2005+OFFSET(COM_2012!$B$60,$AW102,SUMIF($B$10:$B$16,"NCAP_TLIFE",$AX$10:$AX$16)),0,""))</f>
        <v/>
      </c>
      <c r="P102" s="369" t="str">
        <f ca="1">IF($B102&lt;&gt;"PRC_RESID","",IF(P$7=2005+OFFSET(COM_2012!$B$60,$AW102,SUMIF($B$10:$B$16,"NCAP_TLIFE",$AX$10:$AX$16)),0,""))</f>
        <v/>
      </c>
      <c r="Q102" s="369" t="str">
        <f ca="1">IF($B102&lt;&gt;"PRC_RESID","",IF(Q$7=2005+OFFSET(COM_2012!$B$60,$AW102,SUMIF($B$10:$B$16,"NCAP_TLIFE",$AX$10:$AX$16)),0,""))</f>
        <v/>
      </c>
      <c r="R102" s="369" t="str">
        <f ca="1">IF($B102&lt;&gt;"PRC_RESID","",IF(R$7=2005+OFFSET(COM_2012!$B$60,$AW102,SUMIF($B$10:$B$16,"NCAP_TLIFE",$AX$10:$AX$16)),0,""))</f>
        <v/>
      </c>
      <c r="S102" s="369" t="str">
        <f ca="1">IF($B102&lt;&gt;"PRC_RESID","",IF(S$7=2005+OFFSET(COM_2012!$B$60,$AW102,SUMIF($B$10:$B$16,"NCAP_TLIFE",$AX$10:$AX$16)),0,""))</f>
        <v/>
      </c>
      <c r="T102" s="369" t="str">
        <f ca="1">IF($B102&lt;&gt;"PRC_RESID","",IF(T$7=2005+OFFSET(COM_2012!$B$60,$AW102,SUMIF($B$10:$B$16,"NCAP_TLIFE",$AX$10:$AX$16)),0,""))</f>
        <v/>
      </c>
      <c r="U102" s="369" t="str">
        <f ca="1">IF($B102&lt;&gt;"PRC_RESID","",IF(U$7=2005+OFFSET(COM_2012!$B$60,$AW102,SUMIF($B$10:$B$16,"NCAP_TLIFE",$AX$10:$AX$16)),0,""))</f>
        <v/>
      </c>
      <c r="V102" s="369" t="str">
        <f ca="1">IF($B102&lt;&gt;"PRC_RESID","",IF(V$7=2005+OFFSET(COM_2012!$B$60,$AW102,SUMIF($B$10:$B$16,"NCAP_TLIFE",$AX$10:$AX$16)),0,""))</f>
        <v/>
      </c>
      <c r="W102" s="369" t="str">
        <f ca="1">IF($B102&lt;&gt;"PRC_RESID","",IF(W$7=2005+OFFSET(COM_2012!$B$60,$AW102,SUMIF($B$10:$B$16,"NCAP_TLIFE",$AX$10:$AX$16)),0,""))</f>
        <v/>
      </c>
      <c r="X102" s="369" t="str">
        <f ca="1">IF($B102&lt;&gt;"PRC_RESID","",IF(X$7=2005+OFFSET(COM_2012!$B$60,$AW102,SUMIF($B$10:$B$16,"NCAP_TLIFE",$AX$10:$AX$16)),0,""))</f>
        <v/>
      </c>
      <c r="Y102" s="369" t="str">
        <f ca="1">IF($B102&lt;&gt;"PRC_RESID","",IF(Y$7=2005+OFFSET(COM_2012!$B$60,$AW102,SUMIF($B$10:$B$16,"NCAP_TLIFE",$AX$10:$AX$16)),0,""))</f>
        <v/>
      </c>
      <c r="Z102" s="369" t="str">
        <f ca="1">IF($B102&lt;&gt;"PRC_RESID","",IF(Z$7=2005+OFFSET(COM_2012!$B$60,$AW102,SUMIF($B$10:$B$16,"NCAP_TLIFE",$AX$10:$AX$16)),0,""))</f>
        <v/>
      </c>
      <c r="AA102" s="369" t="str">
        <f ca="1">IF($B102&lt;&gt;"PRC_RESID","",IF(AA$7=2005+OFFSET(COM_2012!$B$60,$AW102,SUMIF($B$10:$B$16,"NCAP_TLIFE",$AX$10:$AX$16)),0,""))</f>
        <v/>
      </c>
      <c r="AB102" s="369" t="str">
        <f ca="1">IF($B102&lt;&gt;"PRC_RESID","",IF(AB$7=2005+OFFSET(COM_2012!$B$60,$AW102,SUMIF($B$10:$B$16,"NCAP_TLIFE",$AX$10:$AX$16)),0,""))</f>
        <v/>
      </c>
      <c r="AC102" s="369" t="str">
        <f ca="1">IF($B102&lt;&gt;"PRC_RESID","",IF(AC$7=2005+OFFSET(COM_2012!$B$60,$AW102,SUMIF($B$10:$B$16,"NCAP_TLIFE",$AX$10:$AX$16)),0,""))</f>
        <v/>
      </c>
      <c r="AD102" s="369" t="str">
        <f ca="1">IF($B102&lt;&gt;"PRC_RESID","",IF(AD$7=2005+OFFSET(COM_2012!$B$60,$AW102,SUMIF($B$10:$B$16,"NCAP_TLIFE",$AX$10:$AX$16)),0,""))</f>
        <v/>
      </c>
      <c r="AE102" s="369" t="str">
        <f ca="1">IF($B102&lt;&gt;"PRC_RESID","",IF(AE$7=2005+OFFSET(COM_2012!$B$60,$AW102,SUMIF($B$10:$B$16,"NCAP_TLIFE",$AX$10:$AX$16)),0,""))</f>
        <v/>
      </c>
      <c r="AF102" s="369" t="str">
        <f ca="1">IF($B102&lt;&gt;"PRC_RESID","",IF(AF$7=2005+OFFSET(COM_2012!$B$60,$AW102,SUMIF($B$10:$B$16,"NCAP_TLIFE",$AX$10:$AX$16)),0,""))</f>
        <v/>
      </c>
      <c r="AG102" s="369" t="str">
        <f ca="1">IF($B102&lt;&gt;"PRC_RESID","",IF(AG$7=2005+OFFSET(COM_2012!$B$60,$AW102,SUMIF($B$10:$B$16,"NCAP_TLIFE",$AX$10:$AX$16)),0,""))</f>
        <v/>
      </c>
      <c r="AH102" s="369" t="str">
        <f ca="1">IF($B102&lt;&gt;"PRC_RESID","",IF(AH$7=2005+OFFSET(COM_2012!$B$60,$AW102,SUMIF($B$10:$B$16,"NCAP_TLIFE",$AX$10:$AX$16)),0,""))</f>
        <v/>
      </c>
      <c r="AI102" s="369" t="str">
        <f ca="1">IF($B102&lt;&gt;"PRC_RESID","",IF(AI$7=2005+OFFSET(COM_2012!$B$60,$AW102,SUMIF($B$10:$B$16,"NCAP_TLIFE",$AX$10:$AX$16)),0,""))</f>
        <v/>
      </c>
      <c r="AJ102" s="369" t="str">
        <f ca="1">IF($B102&lt;&gt;"PRC_RESID","",IF(AJ$7=2005+OFFSET(COM_2012!$B$60,$AW102,SUMIF($B$10:$B$16,"NCAP_TLIFE",$AX$10:$AX$16)),0,""))</f>
        <v/>
      </c>
      <c r="AK102" s="369" t="str">
        <f ca="1">IF($B102&lt;&gt;"PRC_RESID","",IF(AK$7=2005+OFFSET(COM_2012!$B$60,$AW102,SUMIF($B$10:$B$16,"NCAP_TLIFE",$AX$10:$AX$16)),0,""))</f>
        <v/>
      </c>
      <c r="AL102" s="369" t="str">
        <f ca="1">IF($B102&lt;&gt;"PRC_RESID","",IF(AL$7=2005+OFFSET(COM_2012!$B$60,$AW102,SUMIF($B$10:$B$16,"NCAP_TLIFE",$AX$10:$AX$16)),0,""))</f>
        <v/>
      </c>
      <c r="AM102" s="369" t="str">
        <f ca="1">IF($B102&lt;&gt;"PRC_RESID","",IF(AM$7=2005+OFFSET(COM_2012!$B$60,$AW102,SUMIF($B$10:$B$16,"NCAP_TLIFE",$AX$10:$AX$16)),0,""))</f>
        <v/>
      </c>
      <c r="AN102" s="369" t="str">
        <f ca="1">IF($B102&lt;&gt;"PRC_RESID","",IF(AN$7=2005+OFFSET(COM_2012!$B$60,$AW102,SUMIF($B$10:$B$16,"NCAP_TLIFE",$AX$10:$AX$16)),0,""))</f>
        <v/>
      </c>
      <c r="AO102" s="369" t="str">
        <f ca="1">IF($B102&lt;&gt;"PRC_RESID","",IF(AO$7=2005+OFFSET(COM_2012!$B$60,$AW102,SUMIF($B$10:$B$16,"NCAP_TLIFE",$AX$10:$AX$16)),0,""))</f>
        <v/>
      </c>
      <c r="AP102" s="369" t="str">
        <f ca="1">IF($B102&lt;&gt;"PRC_RESID","",IF(AP$7=2005+OFFSET(COM_2012!$B$60,$AW102,SUMIF($B$10:$B$16,"NCAP_TLIFE",$AX$10:$AX$16)),0,""))</f>
        <v/>
      </c>
      <c r="AQ102" s="369" t="str">
        <f ca="1">IF($B102&lt;&gt;"PRC_RESID","",IF(AQ$7=2005+OFFSET(COM_2012!$B$60,$AW102,SUMIF($B$10:$B$16,"NCAP_TLIFE",$AX$10:$AX$16)),0,""))</f>
        <v/>
      </c>
      <c r="AR102" s="369" t="str">
        <f ca="1">IF($B102&lt;&gt;"PRC_RESID","",IF(AR$7=2005+OFFSET(COM_2012!$B$60,$AW102,SUMIF($B$10:$B$16,"NCAP_TLIFE",$AX$10:$AX$16)),0,""))</f>
        <v/>
      </c>
      <c r="AS102" s="369" t="str">
        <f ca="1">IF($B102&lt;&gt;"PRC_RESID","",IF(AS$7=2005+OFFSET(COM_2012!$B$60,$AW102,SUMIF($B$10:$B$16,"NCAP_TLIFE",$AX$10:$AX$16)),0,""))</f>
        <v/>
      </c>
      <c r="AT102" s="369" t="str">
        <f ca="1">IF($B102&lt;&gt;"PRC_RESID","",IF(AT$7=2005+OFFSET(COM_2012!$B$60,$AW102,SUMIF($B$10:$B$16,"NCAP_TLIFE",$AX$10:$AX$16)),0,""))</f>
        <v/>
      </c>
      <c r="AU102" s="369" t="str">
        <f ca="1">IF($B102&lt;&gt;"PRC_RESID","",IF(AU$7=2005+OFFSET(COM_2012!$B$60,$AW102,SUMIF($B$10:$B$16,"NCAP_TLIFE",$AX$10:$AX$16)),0,""))</f>
        <v/>
      </c>
      <c r="AV102" s="304">
        <f>IF(AW101=COM_2012!$AI$121,AV101+1,AV101)</f>
        <v>2</v>
      </c>
      <c r="AW102" s="304">
        <f t="shared" si="12"/>
        <v>14</v>
      </c>
    </row>
    <row r="103" spans="1:49">
      <c r="A103" s="304" t="str">
        <f ca="1">IF(LEFT(OFFSET(COM_2012!$A$60,AW103,0),2)="\I","*","")</f>
        <v>*</v>
      </c>
      <c r="B103" s="369" t="str">
        <f t="shared" ca="1" si="10"/>
        <v/>
      </c>
      <c r="C103" s="369" t="str">
        <f ca="1">IF($A103="*","",OFFSET(COM_2012!$B$60,AW103,0))</f>
        <v/>
      </c>
      <c r="D103" s="369" t="str">
        <f t="shared" ca="1" si="11"/>
        <v/>
      </c>
      <c r="E103" s="369" t="str">
        <f t="shared" ca="1" si="11"/>
        <v/>
      </c>
      <c r="F103" s="369" t="str">
        <f t="shared" ca="1" si="11"/>
        <v/>
      </c>
      <c r="G103" s="369" t="str">
        <f t="shared" ca="1" si="11"/>
        <v/>
      </c>
      <c r="H103" s="369" t="str">
        <f t="shared" ca="1" si="11"/>
        <v/>
      </c>
      <c r="I103" s="370" t="str">
        <f t="shared" ca="1" si="11"/>
        <v/>
      </c>
      <c r="J103" s="391" t="str">
        <f ca="1">IF($A103="*","",OFFSET(COM_2012!$B$60,AW103,SUMIF($B$10:$B$16,B103,$AX$10:$AX$16)))</f>
        <v/>
      </c>
      <c r="K103" s="369" t="str">
        <f ca="1">IF($B103&lt;&gt;"PRC_RESID","",IF(K$7=2005+OFFSET(COM_2012!$B$60,$AW103,SUMIF($B$10:$B$16,"NCAP_TLIFE",$AX$10:$AX$16)),0,""))</f>
        <v/>
      </c>
      <c r="L103" s="369" t="str">
        <f ca="1">IF($B103&lt;&gt;"PRC_RESID","",IF(L$7=2005+OFFSET(COM_2012!$B$60,$AW103,SUMIF($B$10:$B$16,"NCAP_TLIFE",$AX$10:$AX$16)),0,""))</f>
        <v/>
      </c>
      <c r="M103" s="369" t="str">
        <f ca="1">IF($B103&lt;&gt;"PRC_RESID","",IF(M$7=2005+OFFSET(COM_2012!$B$60,$AW103,SUMIF($B$10:$B$16,"NCAP_TLIFE",$AX$10:$AX$16)),0,""))</f>
        <v/>
      </c>
      <c r="N103" s="369" t="str">
        <f ca="1">IF($B103&lt;&gt;"PRC_RESID","",IF(N$7=2005+OFFSET(COM_2012!$B$60,$AW103,SUMIF($B$10:$B$16,"NCAP_TLIFE",$AX$10:$AX$16)),0,""))</f>
        <v/>
      </c>
      <c r="O103" s="658" t="str">
        <f ca="1">IF($B103&lt;&gt;"PRC_RESID","",IF(O$7=2005+OFFSET(COM_2012!$B$60,$AW103,SUMIF($B$10:$B$16,"NCAP_TLIFE",$AX$10:$AX$16)),0,""))</f>
        <v/>
      </c>
      <c r="P103" s="369" t="str">
        <f ca="1">IF($B103&lt;&gt;"PRC_RESID","",IF(P$7=2005+OFFSET(COM_2012!$B$60,$AW103,SUMIF($B$10:$B$16,"NCAP_TLIFE",$AX$10:$AX$16)),0,""))</f>
        <v/>
      </c>
      <c r="Q103" s="369" t="str">
        <f ca="1">IF($B103&lt;&gt;"PRC_RESID","",IF(Q$7=2005+OFFSET(COM_2012!$B$60,$AW103,SUMIF($B$10:$B$16,"NCAP_TLIFE",$AX$10:$AX$16)),0,""))</f>
        <v/>
      </c>
      <c r="R103" s="369" t="str">
        <f ca="1">IF($B103&lt;&gt;"PRC_RESID","",IF(R$7=2005+OFFSET(COM_2012!$B$60,$AW103,SUMIF($B$10:$B$16,"NCAP_TLIFE",$AX$10:$AX$16)),0,""))</f>
        <v/>
      </c>
      <c r="S103" s="369" t="str">
        <f ca="1">IF($B103&lt;&gt;"PRC_RESID","",IF(S$7=2005+OFFSET(COM_2012!$B$60,$AW103,SUMIF($B$10:$B$16,"NCAP_TLIFE",$AX$10:$AX$16)),0,""))</f>
        <v/>
      </c>
      <c r="T103" s="369" t="str">
        <f ca="1">IF($B103&lt;&gt;"PRC_RESID","",IF(T$7=2005+OFFSET(COM_2012!$B$60,$AW103,SUMIF($B$10:$B$16,"NCAP_TLIFE",$AX$10:$AX$16)),0,""))</f>
        <v/>
      </c>
      <c r="U103" s="369" t="str">
        <f ca="1">IF($B103&lt;&gt;"PRC_RESID","",IF(U$7=2005+OFFSET(COM_2012!$B$60,$AW103,SUMIF($B$10:$B$16,"NCAP_TLIFE",$AX$10:$AX$16)),0,""))</f>
        <v/>
      </c>
      <c r="V103" s="369" t="str">
        <f ca="1">IF($B103&lt;&gt;"PRC_RESID","",IF(V$7=2005+OFFSET(COM_2012!$B$60,$AW103,SUMIF($B$10:$B$16,"NCAP_TLIFE",$AX$10:$AX$16)),0,""))</f>
        <v/>
      </c>
      <c r="W103" s="369" t="str">
        <f ca="1">IF($B103&lt;&gt;"PRC_RESID","",IF(W$7=2005+OFFSET(COM_2012!$B$60,$AW103,SUMIF($B$10:$B$16,"NCAP_TLIFE",$AX$10:$AX$16)),0,""))</f>
        <v/>
      </c>
      <c r="X103" s="369" t="str">
        <f ca="1">IF($B103&lt;&gt;"PRC_RESID","",IF(X$7=2005+OFFSET(COM_2012!$B$60,$AW103,SUMIF($B$10:$B$16,"NCAP_TLIFE",$AX$10:$AX$16)),0,""))</f>
        <v/>
      </c>
      <c r="Y103" s="369" t="str">
        <f ca="1">IF($B103&lt;&gt;"PRC_RESID","",IF(Y$7=2005+OFFSET(COM_2012!$B$60,$AW103,SUMIF($B$10:$B$16,"NCAP_TLIFE",$AX$10:$AX$16)),0,""))</f>
        <v/>
      </c>
      <c r="Z103" s="369" t="str">
        <f ca="1">IF($B103&lt;&gt;"PRC_RESID","",IF(Z$7=2005+OFFSET(COM_2012!$B$60,$AW103,SUMIF($B$10:$B$16,"NCAP_TLIFE",$AX$10:$AX$16)),0,""))</f>
        <v/>
      </c>
      <c r="AA103" s="369" t="str">
        <f ca="1">IF($B103&lt;&gt;"PRC_RESID","",IF(AA$7=2005+OFFSET(COM_2012!$B$60,$AW103,SUMIF($B$10:$B$16,"NCAP_TLIFE",$AX$10:$AX$16)),0,""))</f>
        <v/>
      </c>
      <c r="AB103" s="369" t="str">
        <f ca="1">IF($B103&lt;&gt;"PRC_RESID","",IF(AB$7=2005+OFFSET(COM_2012!$B$60,$AW103,SUMIF($B$10:$B$16,"NCAP_TLIFE",$AX$10:$AX$16)),0,""))</f>
        <v/>
      </c>
      <c r="AC103" s="369" t="str">
        <f ca="1">IF($B103&lt;&gt;"PRC_RESID","",IF(AC$7=2005+OFFSET(COM_2012!$B$60,$AW103,SUMIF($B$10:$B$16,"NCAP_TLIFE",$AX$10:$AX$16)),0,""))</f>
        <v/>
      </c>
      <c r="AD103" s="369" t="str">
        <f ca="1">IF($B103&lt;&gt;"PRC_RESID","",IF(AD$7=2005+OFFSET(COM_2012!$B$60,$AW103,SUMIF($B$10:$B$16,"NCAP_TLIFE",$AX$10:$AX$16)),0,""))</f>
        <v/>
      </c>
      <c r="AE103" s="369" t="str">
        <f ca="1">IF($B103&lt;&gt;"PRC_RESID","",IF(AE$7=2005+OFFSET(COM_2012!$B$60,$AW103,SUMIF($B$10:$B$16,"NCAP_TLIFE",$AX$10:$AX$16)),0,""))</f>
        <v/>
      </c>
      <c r="AF103" s="369" t="str">
        <f ca="1">IF($B103&lt;&gt;"PRC_RESID","",IF(AF$7=2005+OFFSET(COM_2012!$B$60,$AW103,SUMIF($B$10:$B$16,"NCAP_TLIFE",$AX$10:$AX$16)),0,""))</f>
        <v/>
      </c>
      <c r="AG103" s="369" t="str">
        <f ca="1">IF($B103&lt;&gt;"PRC_RESID","",IF(AG$7=2005+OFFSET(COM_2012!$B$60,$AW103,SUMIF($B$10:$B$16,"NCAP_TLIFE",$AX$10:$AX$16)),0,""))</f>
        <v/>
      </c>
      <c r="AH103" s="369" t="str">
        <f ca="1">IF($B103&lt;&gt;"PRC_RESID","",IF(AH$7=2005+OFFSET(COM_2012!$B$60,$AW103,SUMIF($B$10:$B$16,"NCAP_TLIFE",$AX$10:$AX$16)),0,""))</f>
        <v/>
      </c>
      <c r="AI103" s="369" t="str">
        <f ca="1">IF($B103&lt;&gt;"PRC_RESID","",IF(AI$7=2005+OFFSET(COM_2012!$B$60,$AW103,SUMIF($B$10:$B$16,"NCAP_TLIFE",$AX$10:$AX$16)),0,""))</f>
        <v/>
      </c>
      <c r="AJ103" s="369" t="str">
        <f ca="1">IF($B103&lt;&gt;"PRC_RESID","",IF(AJ$7=2005+OFFSET(COM_2012!$B$60,$AW103,SUMIF($B$10:$B$16,"NCAP_TLIFE",$AX$10:$AX$16)),0,""))</f>
        <v/>
      </c>
      <c r="AK103" s="369" t="str">
        <f ca="1">IF($B103&lt;&gt;"PRC_RESID","",IF(AK$7=2005+OFFSET(COM_2012!$B$60,$AW103,SUMIF($B$10:$B$16,"NCAP_TLIFE",$AX$10:$AX$16)),0,""))</f>
        <v/>
      </c>
      <c r="AL103" s="369" t="str">
        <f ca="1">IF($B103&lt;&gt;"PRC_RESID","",IF(AL$7=2005+OFFSET(COM_2012!$B$60,$AW103,SUMIF($B$10:$B$16,"NCAP_TLIFE",$AX$10:$AX$16)),0,""))</f>
        <v/>
      </c>
      <c r="AM103" s="369" t="str">
        <f ca="1">IF($B103&lt;&gt;"PRC_RESID","",IF(AM$7=2005+OFFSET(COM_2012!$B$60,$AW103,SUMIF($B$10:$B$16,"NCAP_TLIFE",$AX$10:$AX$16)),0,""))</f>
        <v/>
      </c>
      <c r="AN103" s="369" t="str">
        <f ca="1">IF($B103&lt;&gt;"PRC_RESID","",IF(AN$7=2005+OFFSET(COM_2012!$B$60,$AW103,SUMIF($B$10:$B$16,"NCAP_TLIFE",$AX$10:$AX$16)),0,""))</f>
        <v/>
      </c>
      <c r="AO103" s="369" t="str">
        <f ca="1">IF($B103&lt;&gt;"PRC_RESID","",IF(AO$7=2005+OFFSET(COM_2012!$B$60,$AW103,SUMIF($B$10:$B$16,"NCAP_TLIFE",$AX$10:$AX$16)),0,""))</f>
        <v/>
      </c>
      <c r="AP103" s="369" t="str">
        <f ca="1">IF($B103&lt;&gt;"PRC_RESID","",IF(AP$7=2005+OFFSET(COM_2012!$B$60,$AW103,SUMIF($B$10:$B$16,"NCAP_TLIFE",$AX$10:$AX$16)),0,""))</f>
        <v/>
      </c>
      <c r="AQ103" s="369" t="str">
        <f ca="1">IF($B103&lt;&gt;"PRC_RESID","",IF(AQ$7=2005+OFFSET(COM_2012!$B$60,$AW103,SUMIF($B$10:$B$16,"NCAP_TLIFE",$AX$10:$AX$16)),0,""))</f>
        <v/>
      </c>
      <c r="AR103" s="369" t="str">
        <f ca="1">IF($B103&lt;&gt;"PRC_RESID","",IF(AR$7=2005+OFFSET(COM_2012!$B$60,$AW103,SUMIF($B$10:$B$16,"NCAP_TLIFE",$AX$10:$AX$16)),0,""))</f>
        <v/>
      </c>
      <c r="AS103" s="369" t="str">
        <f ca="1">IF($B103&lt;&gt;"PRC_RESID","",IF(AS$7=2005+OFFSET(COM_2012!$B$60,$AW103,SUMIF($B$10:$B$16,"NCAP_TLIFE",$AX$10:$AX$16)),0,""))</f>
        <v/>
      </c>
      <c r="AT103" s="369" t="str">
        <f ca="1">IF($B103&lt;&gt;"PRC_RESID","",IF(AT$7=2005+OFFSET(COM_2012!$B$60,$AW103,SUMIF($B$10:$B$16,"NCAP_TLIFE",$AX$10:$AX$16)),0,""))</f>
        <v/>
      </c>
      <c r="AU103" s="369" t="str">
        <f ca="1">IF($B103&lt;&gt;"PRC_RESID","",IF(AU$7=2005+OFFSET(COM_2012!$B$60,$AW103,SUMIF($B$10:$B$16,"NCAP_TLIFE",$AX$10:$AX$16)),0,""))</f>
        <v/>
      </c>
      <c r="AV103" s="304">
        <f>IF(AW102=COM_2012!$AI$121,AV102+1,AV102)</f>
        <v>2</v>
      </c>
      <c r="AW103" s="304">
        <f t="shared" si="12"/>
        <v>15</v>
      </c>
    </row>
    <row r="104" spans="1:49">
      <c r="A104" s="304" t="str">
        <f ca="1">IF(LEFT(OFFSET(COM_2012!$A$60,AW104,0),2)="\I","*","")</f>
        <v/>
      </c>
      <c r="B104" s="369" t="str">
        <f t="shared" ca="1" si="10"/>
        <v>NCAP_BND</v>
      </c>
      <c r="C104" s="369" t="str">
        <f ca="1">IF($A104="*","",OFFSET(COM_2012!$B$60,AW104,0))</f>
        <v>CEKOLP-E</v>
      </c>
      <c r="D104" s="369" t="str">
        <f t="shared" ca="1" si="11"/>
        <v>-</v>
      </c>
      <c r="E104" s="369" t="str">
        <f t="shared" ca="1" si="11"/>
        <v>-</v>
      </c>
      <c r="F104" s="369" t="str">
        <f t="shared" ca="1" si="11"/>
        <v>-</v>
      </c>
      <c r="G104" s="369" t="str">
        <f t="shared" ca="1" si="11"/>
        <v>-</v>
      </c>
      <c r="H104" s="369" t="str">
        <f t="shared" ca="1" si="11"/>
        <v>UP</v>
      </c>
      <c r="I104" s="370">
        <f t="shared" ca="1" si="11"/>
        <v>0</v>
      </c>
      <c r="J104" s="391">
        <f ca="1">IF($A104="*","",OFFSET(COM_2012!$B$60,AW104,SUMIF($B$10:$B$16,B104,$AX$10:$AX$16)))</f>
        <v>0</v>
      </c>
      <c r="K104" s="369" t="str">
        <f ca="1">IF($B104&lt;&gt;"PRC_RESID","",IF(K$7=2005+OFFSET(COM_2012!$B$60,$AW104,SUMIF($B$10:$B$16,"NCAP_TLIFE",$AX$10:$AX$16)),0,""))</f>
        <v/>
      </c>
      <c r="L104" s="369" t="str">
        <f ca="1">IF($B104&lt;&gt;"PRC_RESID","",IF(L$7=2005+OFFSET(COM_2012!$B$60,$AW104,SUMIF($B$10:$B$16,"NCAP_TLIFE",$AX$10:$AX$16)),0,""))</f>
        <v/>
      </c>
      <c r="M104" s="369" t="str">
        <f ca="1">IF($B104&lt;&gt;"PRC_RESID","",IF(M$7=2005+OFFSET(COM_2012!$B$60,$AW104,SUMIF($B$10:$B$16,"NCAP_TLIFE",$AX$10:$AX$16)),0,""))</f>
        <v/>
      </c>
      <c r="N104" s="369" t="str">
        <f ca="1">IF($B104&lt;&gt;"PRC_RESID","",IF(N$7=2005+OFFSET(COM_2012!$B$60,$AW104,SUMIF($B$10:$B$16,"NCAP_TLIFE",$AX$10:$AX$16)),0,""))</f>
        <v/>
      </c>
      <c r="O104" s="658" t="str">
        <f ca="1">IF($B104&lt;&gt;"PRC_RESID","",IF(O$7=2005+OFFSET(COM_2012!$B$60,$AW104,SUMIF($B$10:$B$16,"NCAP_TLIFE",$AX$10:$AX$16)),0,""))</f>
        <v/>
      </c>
      <c r="P104" s="369" t="str">
        <f ca="1">IF($B104&lt;&gt;"PRC_RESID","",IF(P$7=2005+OFFSET(COM_2012!$B$60,$AW104,SUMIF($B$10:$B$16,"NCAP_TLIFE",$AX$10:$AX$16)),0,""))</f>
        <v/>
      </c>
      <c r="Q104" s="369" t="str">
        <f ca="1">IF($B104&lt;&gt;"PRC_RESID","",IF(Q$7=2005+OFFSET(COM_2012!$B$60,$AW104,SUMIF($B$10:$B$16,"NCAP_TLIFE",$AX$10:$AX$16)),0,""))</f>
        <v/>
      </c>
      <c r="R104" s="369" t="str">
        <f ca="1">IF($B104&lt;&gt;"PRC_RESID","",IF(R$7=2005+OFFSET(COM_2012!$B$60,$AW104,SUMIF($B$10:$B$16,"NCAP_TLIFE",$AX$10:$AX$16)),0,""))</f>
        <v/>
      </c>
      <c r="S104" s="369" t="str">
        <f ca="1">IF($B104&lt;&gt;"PRC_RESID","",IF(S$7=2005+OFFSET(COM_2012!$B$60,$AW104,SUMIF($B$10:$B$16,"NCAP_TLIFE",$AX$10:$AX$16)),0,""))</f>
        <v/>
      </c>
      <c r="T104" s="369" t="str">
        <f ca="1">IF($B104&lt;&gt;"PRC_RESID","",IF(T$7=2005+OFFSET(COM_2012!$B$60,$AW104,SUMIF($B$10:$B$16,"NCAP_TLIFE",$AX$10:$AX$16)),0,""))</f>
        <v/>
      </c>
      <c r="U104" s="369" t="str">
        <f ca="1">IF($B104&lt;&gt;"PRC_RESID","",IF(U$7=2005+OFFSET(COM_2012!$B$60,$AW104,SUMIF($B$10:$B$16,"NCAP_TLIFE",$AX$10:$AX$16)),0,""))</f>
        <v/>
      </c>
      <c r="V104" s="369" t="str">
        <f ca="1">IF($B104&lt;&gt;"PRC_RESID","",IF(V$7=2005+OFFSET(COM_2012!$B$60,$AW104,SUMIF($B$10:$B$16,"NCAP_TLIFE",$AX$10:$AX$16)),0,""))</f>
        <v/>
      </c>
      <c r="W104" s="369" t="str">
        <f ca="1">IF($B104&lt;&gt;"PRC_RESID","",IF(W$7=2005+OFFSET(COM_2012!$B$60,$AW104,SUMIF($B$10:$B$16,"NCAP_TLIFE",$AX$10:$AX$16)),0,""))</f>
        <v/>
      </c>
      <c r="X104" s="369" t="str">
        <f ca="1">IF($B104&lt;&gt;"PRC_RESID","",IF(X$7=2005+OFFSET(COM_2012!$B$60,$AW104,SUMIF($B$10:$B$16,"NCAP_TLIFE",$AX$10:$AX$16)),0,""))</f>
        <v/>
      </c>
      <c r="Y104" s="369" t="str">
        <f ca="1">IF($B104&lt;&gt;"PRC_RESID","",IF(Y$7=2005+OFFSET(COM_2012!$B$60,$AW104,SUMIF($B$10:$B$16,"NCAP_TLIFE",$AX$10:$AX$16)),0,""))</f>
        <v/>
      </c>
      <c r="Z104" s="369" t="str">
        <f ca="1">IF($B104&lt;&gt;"PRC_RESID","",IF(Z$7=2005+OFFSET(COM_2012!$B$60,$AW104,SUMIF($B$10:$B$16,"NCAP_TLIFE",$AX$10:$AX$16)),0,""))</f>
        <v/>
      </c>
      <c r="AA104" s="369" t="str">
        <f ca="1">IF($B104&lt;&gt;"PRC_RESID","",IF(AA$7=2005+OFFSET(COM_2012!$B$60,$AW104,SUMIF($B$10:$B$16,"NCAP_TLIFE",$AX$10:$AX$16)),0,""))</f>
        <v/>
      </c>
      <c r="AB104" s="369" t="str">
        <f ca="1">IF($B104&lt;&gt;"PRC_RESID","",IF(AB$7=2005+OFFSET(COM_2012!$B$60,$AW104,SUMIF($B$10:$B$16,"NCAP_TLIFE",$AX$10:$AX$16)),0,""))</f>
        <v/>
      </c>
      <c r="AC104" s="369" t="str">
        <f ca="1">IF($B104&lt;&gt;"PRC_RESID","",IF(AC$7=2005+OFFSET(COM_2012!$B$60,$AW104,SUMIF($B$10:$B$16,"NCAP_TLIFE",$AX$10:$AX$16)),0,""))</f>
        <v/>
      </c>
      <c r="AD104" s="369" t="str">
        <f ca="1">IF($B104&lt;&gt;"PRC_RESID","",IF(AD$7=2005+OFFSET(COM_2012!$B$60,$AW104,SUMIF($B$10:$B$16,"NCAP_TLIFE",$AX$10:$AX$16)),0,""))</f>
        <v/>
      </c>
      <c r="AE104" s="369" t="str">
        <f ca="1">IF($B104&lt;&gt;"PRC_RESID","",IF(AE$7=2005+OFFSET(COM_2012!$B$60,$AW104,SUMIF($B$10:$B$16,"NCAP_TLIFE",$AX$10:$AX$16)),0,""))</f>
        <v/>
      </c>
      <c r="AF104" s="369" t="str">
        <f ca="1">IF($B104&lt;&gt;"PRC_RESID","",IF(AF$7=2005+OFFSET(COM_2012!$B$60,$AW104,SUMIF($B$10:$B$16,"NCAP_TLIFE",$AX$10:$AX$16)),0,""))</f>
        <v/>
      </c>
      <c r="AG104" s="369" t="str">
        <f ca="1">IF($B104&lt;&gt;"PRC_RESID","",IF(AG$7=2005+OFFSET(COM_2012!$B$60,$AW104,SUMIF($B$10:$B$16,"NCAP_TLIFE",$AX$10:$AX$16)),0,""))</f>
        <v/>
      </c>
      <c r="AH104" s="369" t="str">
        <f ca="1">IF($B104&lt;&gt;"PRC_RESID","",IF(AH$7=2005+OFFSET(COM_2012!$B$60,$AW104,SUMIF($B$10:$B$16,"NCAP_TLIFE",$AX$10:$AX$16)),0,""))</f>
        <v/>
      </c>
      <c r="AI104" s="369" t="str">
        <f ca="1">IF($B104&lt;&gt;"PRC_RESID","",IF(AI$7=2005+OFFSET(COM_2012!$B$60,$AW104,SUMIF($B$10:$B$16,"NCAP_TLIFE",$AX$10:$AX$16)),0,""))</f>
        <v/>
      </c>
      <c r="AJ104" s="369" t="str">
        <f ca="1">IF($B104&lt;&gt;"PRC_RESID","",IF(AJ$7=2005+OFFSET(COM_2012!$B$60,$AW104,SUMIF($B$10:$B$16,"NCAP_TLIFE",$AX$10:$AX$16)),0,""))</f>
        <v/>
      </c>
      <c r="AK104" s="369" t="str">
        <f ca="1">IF($B104&lt;&gt;"PRC_RESID","",IF(AK$7=2005+OFFSET(COM_2012!$B$60,$AW104,SUMIF($B$10:$B$16,"NCAP_TLIFE",$AX$10:$AX$16)),0,""))</f>
        <v/>
      </c>
      <c r="AL104" s="369" t="str">
        <f ca="1">IF($B104&lt;&gt;"PRC_RESID","",IF(AL$7=2005+OFFSET(COM_2012!$B$60,$AW104,SUMIF($B$10:$B$16,"NCAP_TLIFE",$AX$10:$AX$16)),0,""))</f>
        <v/>
      </c>
      <c r="AM104" s="369" t="str">
        <f ca="1">IF($B104&lt;&gt;"PRC_RESID","",IF(AM$7=2005+OFFSET(COM_2012!$B$60,$AW104,SUMIF($B$10:$B$16,"NCAP_TLIFE",$AX$10:$AX$16)),0,""))</f>
        <v/>
      </c>
      <c r="AN104" s="369" t="str">
        <f ca="1">IF($B104&lt;&gt;"PRC_RESID","",IF(AN$7=2005+OFFSET(COM_2012!$B$60,$AW104,SUMIF($B$10:$B$16,"NCAP_TLIFE",$AX$10:$AX$16)),0,""))</f>
        <v/>
      </c>
      <c r="AO104" s="369" t="str">
        <f ca="1">IF($B104&lt;&gt;"PRC_RESID","",IF(AO$7=2005+OFFSET(COM_2012!$B$60,$AW104,SUMIF($B$10:$B$16,"NCAP_TLIFE",$AX$10:$AX$16)),0,""))</f>
        <v/>
      </c>
      <c r="AP104" s="369" t="str">
        <f ca="1">IF($B104&lt;&gt;"PRC_RESID","",IF(AP$7=2005+OFFSET(COM_2012!$B$60,$AW104,SUMIF($B$10:$B$16,"NCAP_TLIFE",$AX$10:$AX$16)),0,""))</f>
        <v/>
      </c>
      <c r="AQ104" s="369" t="str">
        <f ca="1">IF($B104&lt;&gt;"PRC_RESID","",IF(AQ$7=2005+OFFSET(COM_2012!$B$60,$AW104,SUMIF($B$10:$B$16,"NCAP_TLIFE",$AX$10:$AX$16)),0,""))</f>
        <v/>
      </c>
      <c r="AR104" s="369" t="str">
        <f ca="1">IF($B104&lt;&gt;"PRC_RESID","",IF(AR$7=2005+OFFSET(COM_2012!$B$60,$AW104,SUMIF($B$10:$B$16,"NCAP_TLIFE",$AX$10:$AX$16)),0,""))</f>
        <v/>
      </c>
      <c r="AS104" s="369" t="str">
        <f ca="1">IF($B104&lt;&gt;"PRC_RESID","",IF(AS$7=2005+OFFSET(COM_2012!$B$60,$AW104,SUMIF($B$10:$B$16,"NCAP_TLIFE",$AX$10:$AX$16)),0,""))</f>
        <v/>
      </c>
      <c r="AT104" s="369" t="str">
        <f ca="1">IF($B104&lt;&gt;"PRC_RESID","",IF(AT$7=2005+OFFSET(COM_2012!$B$60,$AW104,SUMIF($B$10:$B$16,"NCAP_TLIFE",$AX$10:$AX$16)),0,""))</f>
        <v/>
      </c>
      <c r="AU104" s="369" t="str">
        <f ca="1">IF($B104&lt;&gt;"PRC_RESID","",IF(AU$7=2005+OFFSET(COM_2012!$B$60,$AW104,SUMIF($B$10:$B$16,"NCAP_TLIFE",$AX$10:$AX$16)),0,""))</f>
        <v/>
      </c>
      <c r="AV104" s="304">
        <f>IF(AW103=COM_2012!$AI$121,AV103+1,AV103)</f>
        <v>2</v>
      </c>
      <c r="AW104" s="304">
        <f t="shared" si="12"/>
        <v>16</v>
      </c>
    </row>
    <row r="105" spans="1:49">
      <c r="A105" s="304" t="str">
        <f ca="1">IF(LEFT(OFFSET(COM_2012!$A$60,AW105,0),2)="\I","*","")</f>
        <v/>
      </c>
      <c r="B105" s="369" t="str">
        <f t="shared" ca="1" si="10"/>
        <v>NCAP_BND</v>
      </c>
      <c r="C105" s="369" t="str">
        <f ca="1">IF($A105="*","",OFFSET(COM_2012!$B$60,AW105,0))</f>
        <v>CEKELC-E</v>
      </c>
      <c r="D105" s="369" t="str">
        <f t="shared" ca="1" si="11"/>
        <v>-</v>
      </c>
      <c r="E105" s="369" t="str">
        <f t="shared" ca="1" si="11"/>
        <v>-</v>
      </c>
      <c r="F105" s="369" t="str">
        <f t="shared" ca="1" si="11"/>
        <v>-</v>
      </c>
      <c r="G105" s="369" t="str">
        <f t="shared" ca="1" si="11"/>
        <v>-</v>
      </c>
      <c r="H105" s="369" t="str">
        <f t="shared" ca="1" si="11"/>
        <v>UP</v>
      </c>
      <c r="I105" s="370">
        <f t="shared" ca="1" si="11"/>
        <v>0</v>
      </c>
      <c r="J105" s="391">
        <f ca="1">IF($A105="*","",OFFSET(COM_2012!$B$60,AW105,SUMIF($B$10:$B$16,B105,$AX$10:$AX$16)))</f>
        <v>0</v>
      </c>
      <c r="K105" s="369" t="str">
        <f ca="1">IF($B105&lt;&gt;"PRC_RESID","",IF(K$7=2005+OFFSET(COM_2012!$B$60,$AW105,SUMIF($B$10:$B$16,"NCAP_TLIFE",$AX$10:$AX$16)),0,""))</f>
        <v/>
      </c>
      <c r="L105" s="369" t="str">
        <f ca="1">IF($B105&lt;&gt;"PRC_RESID","",IF(L$7=2005+OFFSET(COM_2012!$B$60,$AW105,SUMIF($B$10:$B$16,"NCAP_TLIFE",$AX$10:$AX$16)),0,""))</f>
        <v/>
      </c>
      <c r="M105" s="369" t="str">
        <f ca="1">IF($B105&lt;&gt;"PRC_RESID","",IF(M$7=2005+OFFSET(COM_2012!$B$60,$AW105,SUMIF($B$10:$B$16,"NCAP_TLIFE",$AX$10:$AX$16)),0,""))</f>
        <v/>
      </c>
      <c r="N105" s="369" t="str">
        <f ca="1">IF($B105&lt;&gt;"PRC_RESID","",IF(N$7=2005+OFFSET(COM_2012!$B$60,$AW105,SUMIF($B$10:$B$16,"NCAP_TLIFE",$AX$10:$AX$16)),0,""))</f>
        <v/>
      </c>
      <c r="O105" s="658" t="str">
        <f ca="1">IF($B105&lt;&gt;"PRC_RESID","",IF(O$7=2005+OFFSET(COM_2012!$B$60,$AW105,SUMIF($B$10:$B$16,"NCAP_TLIFE",$AX$10:$AX$16)),0,""))</f>
        <v/>
      </c>
      <c r="P105" s="369" t="str">
        <f ca="1">IF($B105&lt;&gt;"PRC_RESID","",IF(P$7=2005+OFFSET(COM_2012!$B$60,$AW105,SUMIF($B$10:$B$16,"NCAP_TLIFE",$AX$10:$AX$16)),0,""))</f>
        <v/>
      </c>
      <c r="Q105" s="369" t="str">
        <f ca="1">IF($B105&lt;&gt;"PRC_RESID","",IF(Q$7=2005+OFFSET(COM_2012!$B$60,$AW105,SUMIF($B$10:$B$16,"NCAP_TLIFE",$AX$10:$AX$16)),0,""))</f>
        <v/>
      </c>
      <c r="R105" s="369" t="str">
        <f ca="1">IF($B105&lt;&gt;"PRC_RESID","",IF(R$7=2005+OFFSET(COM_2012!$B$60,$AW105,SUMIF($B$10:$B$16,"NCAP_TLIFE",$AX$10:$AX$16)),0,""))</f>
        <v/>
      </c>
      <c r="S105" s="369" t="str">
        <f ca="1">IF($B105&lt;&gt;"PRC_RESID","",IF(S$7=2005+OFFSET(COM_2012!$B$60,$AW105,SUMIF($B$10:$B$16,"NCAP_TLIFE",$AX$10:$AX$16)),0,""))</f>
        <v/>
      </c>
      <c r="T105" s="369" t="str">
        <f ca="1">IF($B105&lt;&gt;"PRC_RESID","",IF(T$7=2005+OFFSET(COM_2012!$B$60,$AW105,SUMIF($B$10:$B$16,"NCAP_TLIFE",$AX$10:$AX$16)),0,""))</f>
        <v/>
      </c>
      <c r="U105" s="369" t="str">
        <f ca="1">IF($B105&lt;&gt;"PRC_RESID","",IF(U$7=2005+OFFSET(COM_2012!$B$60,$AW105,SUMIF($B$10:$B$16,"NCAP_TLIFE",$AX$10:$AX$16)),0,""))</f>
        <v/>
      </c>
      <c r="V105" s="369" t="str">
        <f ca="1">IF($B105&lt;&gt;"PRC_RESID","",IF(V$7=2005+OFFSET(COM_2012!$B$60,$AW105,SUMIF($B$10:$B$16,"NCAP_TLIFE",$AX$10:$AX$16)),0,""))</f>
        <v/>
      </c>
      <c r="W105" s="369" t="str">
        <f ca="1">IF($B105&lt;&gt;"PRC_RESID","",IF(W$7=2005+OFFSET(COM_2012!$B$60,$AW105,SUMIF($B$10:$B$16,"NCAP_TLIFE",$AX$10:$AX$16)),0,""))</f>
        <v/>
      </c>
      <c r="X105" s="369" t="str">
        <f ca="1">IF($B105&lt;&gt;"PRC_RESID","",IF(X$7=2005+OFFSET(COM_2012!$B$60,$AW105,SUMIF($B$10:$B$16,"NCAP_TLIFE",$AX$10:$AX$16)),0,""))</f>
        <v/>
      </c>
      <c r="Y105" s="369" t="str">
        <f ca="1">IF($B105&lt;&gt;"PRC_RESID","",IF(Y$7=2005+OFFSET(COM_2012!$B$60,$AW105,SUMIF($B$10:$B$16,"NCAP_TLIFE",$AX$10:$AX$16)),0,""))</f>
        <v/>
      </c>
      <c r="Z105" s="369" t="str">
        <f ca="1">IF($B105&lt;&gt;"PRC_RESID","",IF(Z$7=2005+OFFSET(COM_2012!$B$60,$AW105,SUMIF($B$10:$B$16,"NCAP_TLIFE",$AX$10:$AX$16)),0,""))</f>
        <v/>
      </c>
      <c r="AA105" s="369" t="str">
        <f ca="1">IF($B105&lt;&gt;"PRC_RESID","",IF(AA$7=2005+OFFSET(COM_2012!$B$60,$AW105,SUMIF($B$10:$B$16,"NCAP_TLIFE",$AX$10:$AX$16)),0,""))</f>
        <v/>
      </c>
      <c r="AB105" s="369" t="str">
        <f ca="1">IF($B105&lt;&gt;"PRC_RESID","",IF(AB$7=2005+OFFSET(COM_2012!$B$60,$AW105,SUMIF($B$10:$B$16,"NCAP_TLIFE",$AX$10:$AX$16)),0,""))</f>
        <v/>
      </c>
      <c r="AC105" s="369" t="str">
        <f ca="1">IF($B105&lt;&gt;"PRC_RESID","",IF(AC$7=2005+OFFSET(COM_2012!$B$60,$AW105,SUMIF($B$10:$B$16,"NCAP_TLIFE",$AX$10:$AX$16)),0,""))</f>
        <v/>
      </c>
      <c r="AD105" s="369" t="str">
        <f ca="1">IF($B105&lt;&gt;"PRC_RESID","",IF(AD$7=2005+OFFSET(COM_2012!$B$60,$AW105,SUMIF($B$10:$B$16,"NCAP_TLIFE",$AX$10:$AX$16)),0,""))</f>
        <v/>
      </c>
      <c r="AE105" s="369" t="str">
        <f ca="1">IF($B105&lt;&gt;"PRC_RESID","",IF(AE$7=2005+OFFSET(COM_2012!$B$60,$AW105,SUMIF($B$10:$B$16,"NCAP_TLIFE",$AX$10:$AX$16)),0,""))</f>
        <v/>
      </c>
      <c r="AF105" s="369" t="str">
        <f ca="1">IF($B105&lt;&gt;"PRC_RESID","",IF(AF$7=2005+OFFSET(COM_2012!$B$60,$AW105,SUMIF($B$10:$B$16,"NCAP_TLIFE",$AX$10:$AX$16)),0,""))</f>
        <v/>
      </c>
      <c r="AG105" s="369" t="str">
        <f ca="1">IF($B105&lt;&gt;"PRC_RESID","",IF(AG$7=2005+OFFSET(COM_2012!$B$60,$AW105,SUMIF($B$10:$B$16,"NCAP_TLIFE",$AX$10:$AX$16)),0,""))</f>
        <v/>
      </c>
      <c r="AH105" s="369" t="str">
        <f ca="1">IF($B105&lt;&gt;"PRC_RESID","",IF(AH$7=2005+OFFSET(COM_2012!$B$60,$AW105,SUMIF($B$10:$B$16,"NCAP_TLIFE",$AX$10:$AX$16)),0,""))</f>
        <v/>
      </c>
      <c r="AI105" s="369" t="str">
        <f ca="1">IF($B105&lt;&gt;"PRC_RESID","",IF(AI$7=2005+OFFSET(COM_2012!$B$60,$AW105,SUMIF($B$10:$B$16,"NCAP_TLIFE",$AX$10:$AX$16)),0,""))</f>
        <v/>
      </c>
      <c r="AJ105" s="369" t="str">
        <f ca="1">IF($B105&lt;&gt;"PRC_RESID","",IF(AJ$7=2005+OFFSET(COM_2012!$B$60,$AW105,SUMIF($B$10:$B$16,"NCAP_TLIFE",$AX$10:$AX$16)),0,""))</f>
        <v/>
      </c>
      <c r="AK105" s="369" t="str">
        <f ca="1">IF($B105&lt;&gt;"PRC_RESID","",IF(AK$7=2005+OFFSET(COM_2012!$B$60,$AW105,SUMIF($B$10:$B$16,"NCAP_TLIFE",$AX$10:$AX$16)),0,""))</f>
        <v/>
      </c>
      <c r="AL105" s="369" t="str">
        <f ca="1">IF($B105&lt;&gt;"PRC_RESID","",IF(AL$7=2005+OFFSET(COM_2012!$B$60,$AW105,SUMIF($B$10:$B$16,"NCAP_TLIFE",$AX$10:$AX$16)),0,""))</f>
        <v/>
      </c>
      <c r="AM105" s="369" t="str">
        <f ca="1">IF($B105&lt;&gt;"PRC_RESID","",IF(AM$7=2005+OFFSET(COM_2012!$B$60,$AW105,SUMIF($B$10:$B$16,"NCAP_TLIFE",$AX$10:$AX$16)),0,""))</f>
        <v/>
      </c>
      <c r="AN105" s="369" t="str">
        <f ca="1">IF($B105&lt;&gt;"PRC_RESID","",IF(AN$7=2005+OFFSET(COM_2012!$B$60,$AW105,SUMIF($B$10:$B$16,"NCAP_TLIFE",$AX$10:$AX$16)),0,""))</f>
        <v/>
      </c>
      <c r="AO105" s="369" t="str">
        <f ca="1">IF($B105&lt;&gt;"PRC_RESID","",IF(AO$7=2005+OFFSET(COM_2012!$B$60,$AW105,SUMIF($B$10:$B$16,"NCAP_TLIFE",$AX$10:$AX$16)),0,""))</f>
        <v/>
      </c>
      <c r="AP105" s="369" t="str">
        <f ca="1">IF($B105&lt;&gt;"PRC_RESID","",IF(AP$7=2005+OFFSET(COM_2012!$B$60,$AW105,SUMIF($B$10:$B$16,"NCAP_TLIFE",$AX$10:$AX$16)),0,""))</f>
        <v/>
      </c>
      <c r="AQ105" s="369" t="str">
        <f ca="1">IF($B105&lt;&gt;"PRC_RESID","",IF(AQ$7=2005+OFFSET(COM_2012!$B$60,$AW105,SUMIF($B$10:$B$16,"NCAP_TLIFE",$AX$10:$AX$16)),0,""))</f>
        <v/>
      </c>
      <c r="AR105" s="369" t="str">
        <f ca="1">IF($B105&lt;&gt;"PRC_RESID","",IF(AR$7=2005+OFFSET(COM_2012!$B$60,$AW105,SUMIF($B$10:$B$16,"NCAP_TLIFE",$AX$10:$AX$16)),0,""))</f>
        <v/>
      </c>
      <c r="AS105" s="369" t="str">
        <f ca="1">IF($B105&lt;&gt;"PRC_RESID","",IF(AS$7=2005+OFFSET(COM_2012!$B$60,$AW105,SUMIF($B$10:$B$16,"NCAP_TLIFE",$AX$10:$AX$16)),0,""))</f>
        <v/>
      </c>
      <c r="AT105" s="369" t="str">
        <f ca="1">IF($B105&lt;&gt;"PRC_RESID","",IF(AT$7=2005+OFFSET(COM_2012!$B$60,$AW105,SUMIF($B$10:$B$16,"NCAP_TLIFE",$AX$10:$AX$16)),0,""))</f>
        <v/>
      </c>
      <c r="AU105" s="369" t="str">
        <f ca="1">IF($B105&lt;&gt;"PRC_RESID","",IF(AU$7=2005+OFFSET(COM_2012!$B$60,$AW105,SUMIF($B$10:$B$16,"NCAP_TLIFE",$AX$10:$AX$16)),0,""))</f>
        <v/>
      </c>
      <c r="AV105" s="304">
        <f>IF(AW104=COM_2012!$AI$121,AV104+1,AV104)</f>
        <v>2</v>
      </c>
      <c r="AW105" s="304">
        <f t="shared" si="12"/>
        <v>17</v>
      </c>
    </row>
    <row r="106" spans="1:49">
      <c r="A106" s="304" t="str">
        <f ca="1">IF(LEFT(OFFSET(COM_2012!$A$60,AW106,0),2)="\I","*","")</f>
        <v/>
      </c>
      <c r="B106" s="369" t="str">
        <f t="shared" ca="1" si="10"/>
        <v>NCAP_BND</v>
      </c>
      <c r="C106" s="369" t="str">
        <f ca="1">IF($A106="*","",OFFSET(COM_2012!$B$60,AW106,0))</f>
        <v>CEKCOA-E</v>
      </c>
      <c r="D106" s="369" t="str">
        <f t="shared" ca="1" si="11"/>
        <v>-</v>
      </c>
      <c r="E106" s="369" t="str">
        <f t="shared" ca="1" si="11"/>
        <v>-</v>
      </c>
      <c r="F106" s="369" t="str">
        <f t="shared" ca="1" si="11"/>
        <v>-</v>
      </c>
      <c r="G106" s="369" t="str">
        <f t="shared" ca="1" si="11"/>
        <v>-</v>
      </c>
      <c r="H106" s="369" t="str">
        <f t="shared" ca="1" si="11"/>
        <v>UP</v>
      </c>
      <c r="I106" s="370">
        <f t="shared" ca="1" si="11"/>
        <v>0</v>
      </c>
      <c r="J106" s="391">
        <f ca="1">IF($A106="*","",OFFSET(COM_2012!$B$60,AW106,SUMIF($B$10:$B$16,B106,$AX$10:$AX$16)))</f>
        <v>0</v>
      </c>
      <c r="K106" s="369" t="str">
        <f ca="1">IF($B106&lt;&gt;"PRC_RESID","",IF(K$7=2005+OFFSET(COM_2012!$B$60,$AW106,SUMIF($B$10:$B$16,"NCAP_TLIFE",$AX$10:$AX$16)),0,""))</f>
        <v/>
      </c>
      <c r="L106" s="369" t="str">
        <f ca="1">IF($B106&lt;&gt;"PRC_RESID","",IF(L$7=2005+OFFSET(COM_2012!$B$60,$AW106,SUMIF($B$10:$B$16,"NCAP_TLIFE",$AX$10:$AX$16)),0,""))</f>
        <v/>
      </c>
      <c r="M106" s="369" t="str">
        <f ca="1">IF($B106&lt;&gt;"PRC_RESID","",IF(M$7=2005+OFFSET(COM_2012!$B$60,$AW106,SUMIF($B$10:$B$16,"NCAP_TLIFE",$AX$10:$AX$16)),0,""))</f>
        <v/>
      </c>
      <c r="N106" s="369" t="str">
        <f ca="1">IF($B106&lt;&gt;"PRC_RESID","",IF(N$7=2005+OFFSET(COM_2012!$B$60,$AW106,SUMIF($B$10:$B$16,"NCAP_TLIFE",$AX$10:$AX$16)),0,""))</f>
        <v/>
      </c>
      <c r="O106" s="658" t="str">
        <f ca="1">IF($B106&lt;&gt;"PRC_RESID","",IF(O$7=2005+OFFSET(COM_2012!$B$60,$AW106,SUMIF($B$10:$B$16,"NCAP_TLIFE",$AX$10:$AX$16)),0,""))</f>
        <v/>
      </c>
      <c r="P106" s="369" t="str">
        <f ca="1">IF($B106&lt;&gt;"PRC_RESID","",IF(P$7=2005+OFFSET(COM_2012!$B$60,$AW106,SUMIF($B$10:$B$16,"NCAP_TLIFE",$AX$10:$AX$16)),0,""))</f>
        <v/>
      </c>
      <c r="Q106" s="369" t="str">
        <f ca="1">IF($B106&lt;&gt;"PRC_RESID","",IF(Q$7=2005+OFFSET(COM_2012!$B$60,$AW106,SUMIF($B$10:$B$16,"NCAP_TLIFE",$AX$10:$AX$16)),0,""))</f>
        <v/>
      </c>
      <c r="R106" s="369" t="str">
        <f ca="1">IF($B106&lt;&gt;"PRC_RESID","",IF(R$7=2005+OFFSET(COM_2012!$B$60,$AW106,SUMIF($B$10:$B$16,"NCAP_TLIFE",$AX$10:$AX$16)),0,""))</f>
        <v/>
      </c>
      <c r="S106" s="369" t="str">
        <f ca="1">IF($B106&lt;&gt;"PRC_RESID","",IF(S$7=2005+OFFSET(COM_2012!$B$60,$AW106,SUMIF($B$10:$B$16,"NCAP_TLIFE",$AX$10:$AX$16)),0,""))</f>
        <v/>
      </c>
      <c r="T106" s="369" t="str">
        <f ca="1">IF($B106&lt;&gt;"PRC_RESID","",IF(T$7=2005+OFFSET(COM_2012!$B$60,$AW106,SUMIF($B$10:$B$16,"NCAP_TLIFE",$AX$10:$AX$16)),0,""))</f>
        <v/>
      </c>
      <c r="U106" s="369" t="str">
        <f ca="1">IF($B106&lt;&gt;"PRC_RESID","",IF(U$7=2005+OFFSET(COM_2012!$B$60,$AW106,SUMIF($B$10:$B$16,"NCAP_TLIFE",$AX$10:$AX$16)),0,""))</f>
        <v/>
      </c>
      <c r="V106" s="369" t="str">
        <f ca="1">IF($B106&lt;&gt;"PRC_RESID","",IF(V$7=2005+OFFSET(COM_2012!$B$60,$AW106,SUMIF($B$10:$B$16,"NCAP_TLIFE",$AX$10:$AX$16)),0,""))</f>
        <v/>
      </c>
      <c r="W106" s="369" t="str">
        <f ca="1">IF($B106&lt;&gt;"PRC_RESID","",IF(W$7=2005+OFFSET(COM_2012!$B$60,$AW106,SUMIF($B$10:$B$16,"NCAP_TLIFE",$AX$10:$AX$16)),0,""))</f>
        <v/>
      </c>
      <c r="X106" s="369" t="str">
        <f ca="1">IF($B106&lt;&gt;"PRC_RESID","",IF(X$7=2005+OFFSET(COM_2012!$B$60,$AW106,SUMIF($B$10:$B$16,"NCAP_TLIFE",$AX$10:$AX$16)),0,""))</f>
        <v/>
      </c>
      <c r="Y106" s="369" t="str">
        <f ca="1">IF($B106&lt;&gt;"PRC_RESID","",IF(Y$7=2005+OFFSET(COM_2012!$B$60,$AW106,SUMIF($B$10:$B$16,"NCAP_TLIFE",$AX$10:$AX$16)),0,""))</f>
        <v/>
      </c>
      <c r="Z106" s="369" t="str">
        <f ca="1">IF($B106&lt;&gt;"PRC_RESID","",IF(Z$7=2005+OFFSET(COM_2012!$B$60,$AW106,SUMIF($B$10:$B$16,"NCAP_TLIFE",$AX$10:$AX$16)),0,""))</f>
        <v/>
      </c>
      <c r="AA106" s="369" t="str">
        <f ca="1">IF($B106&lt;&gt;"PRC_RESID","",IF(AA$7=2005+OFFSET(COM_2012!$B$60,$AW106,SUMIF($B$10:$B$16,"NCAP_TLIFE",$AX$10:$AX$16)),0,""))</f>
        <v/>
      </c>
      <c r="AB106" s="369" t="str">
        <f ca="1">IF($B106&lt;&gt;"PRC_RESID","",IF(AB$7=2005+OFFSET(COM_2012!$B$60,$AW106,SUMIF($B$10:$B$16,"NCAP_TLIFE",$AX$10:$AX$16)),0,""))</f>
        <v/>
      </c>
      <c r="AC106" s="369" t="str">
        <f ca="1">IF($B106&lt;&gt;"PRC_RESID","",IF(AC$7=2005+OFFSET(COM_2012!$B$60,$AW106,SUMIF($B$10:$B$16,"NCAP_TLIFE",$AX$10:$AX$16)),0,""))</f>
        <v/>
      </c>
      <c r="AD106" s="369" t="str">
        <f ca="1">IF($B106&lt;&gt;"PRC_RESID","",IF(AD$7=2005+OFFSET(COM_2012!$B$60,$AW106,SUMIF($B$10:$B$16,"NCAP_TLIFE",$AX$10:$AX$16)),0,""))</f>
        <v/>
      </c>
      <c r="AE106" s="369" t="str">
        <f ca="1">IF($B106&lt;&gt;"PRC_RESID","",IF(AE$7=2005+OFFSET(COM_2012!$B$60,$AW106,SUMIF($B$10:$B$16,"NCAP_TLIFE",$AX$10:$AX$16)),0,""))</f>
        <v/>
      </c>
      <c r="AF106" s="369" t="str">
        <f ca="1">IF($B106&lt;&gt;"PRC_RESID","",IF(AF$7=2005+OFFSET(COM_2012!$B$60,$AW106,SUMIF($B$10:$B$16,"NCAP_TLIFE",$AX$10:$AX$16)),0,""))</f>
        <v/>
      </c>
      <c r="AG106" s="369" t="str">
        <f ca="1">IF($B106&lt;&gt;"PRC_RESID","",IF(AG$7=2005+OFFSET(COM_2012!$B$60,$AW106,SUMIF($B$10:$B$16,"NCAP_TLIFE",$AX$10:$AX$16)),0,""))</f>
        <v/>
      </c>
      <c r="AH106" s="369" t="str">
        <f ca="1">IF($B106&lt;&gt;"PRC_RESID","",IF(AH$7=2005+OFFSET(COM_2012!$B$60,$AW106,SUMIF($B$10:$B$16,"NCAP_TLIFE",$AX$10:$AX$16)),0,""))</f>
        <v/>
      </c>
      <c r="AI106" s="369" t="str">
        <f ca="1">IF($B106&lt;&gt;"PRC_RESID","",IF(AI$7=2005+OFFSET(COM_2012!$B$60,$AW106,SUMIF($B$10:$B$16,"NCAP_TLIFE",$AX$10:$AX$16)),0,""))</f>
        <v/>
      </c>
      <c r="AJ106" s="369" t="str">
        <f ca="1">IF($B106&lt;&gt;"PRC_RESID","",IF(AJ$7=2005+OFFSET(COM_2012!$B$60,$AW106,SUMIF($B$10:$B$16,"NCAP_TLIFE",$AX$10:$AX$16)),0,""))</f>
        <v/>
      </c>
      <c r="AK106" s="369" t="str">
        <f ca="1">IF($B106&lt;&gt;"PRC_RESID","",IF(AK$7=2005+OFFSET(COM_2012!$B$60,$AW106,SUMIF($B$10:$B$16,"NCAP_TLIFE",$AX$10:$AX$16)),0,""))</f>
        <v/>
      </c>
      <c r="AL106" s="369" t="str">
        <f ca="1">IF($B106&lt;&gt;"PRC_RESID","",IF(AL$7=2005+OFFSET(COM_2012!$B$60,$AW106,SUMIF($B$10:$B$16,"NCAP_TLIFE",$AX$10:$AX$16)),0,""))</f>
        <v/>
      </c>
      <c r="AM106" s="369" t="str">
        <f ca="1">IF($B106&lt;&gt;"PRC_RESID","",IF(AM$7=2005+OFFSET(COM_2012!$B$60,$AW106,SUMIF($B$10:$B$16,"NCAP_TLIFE",$AX$10:$AX$16)),0,""))</f>
        <v/>
      </c>
      <c r="AN106" s="369" t="str">
        <f ca="1">IF($B106&lt;&gt;"PRC_RESID","",IF(AN$7=2005+OFFSET(COM_2012!$B$60,$AW106,SUMIF($B$10:$B$16,"NCAP_TLIFE",$AX$10:$AX$16)),0,""))</f>
        <v/>
      </c>
      <c r="AO106" s="369" t="str">
        <f ca="1">IF($B106&lt;&gt;"PRC_RESID","",IF(AO$7=2005+OFFSET(COM_2012!$B$60,$AW106,SUMIF($B$10:$B$16,"NCAP_TLIFE",$AX$10:$AX$16)),0,""))</f>
        <v/>
      </c>
      <c r="AP106" s="369" t="str">
        <f ca="1">IF($B106&lt;&gt;"PRC_RESID","",IF(AP$7=2005+OFFSET(COM_2012!$B$60,$AW106,SUMIF($B$10:$B$16,"NCAP_TLIFE",$AX$10:$AX$16)),0,""))</f>
        <v/>
      </c>
      <c r="AQ106" s="369" t="str">
        <f ca="1">IF($B106&lt;&gt;"PRC_RESID","",IF(AQ$7=2005+OFFSET(COM_2012!$B$60,$AW106,SUMIF($B$10:$B$16,"NCAP_TLIFE",$AX$10:$AX$16)),0,""))</f>
        <v/>
      </c>
      <c r="AR106" s="369" t="str">
        <f ca="1">IF($B106&lt;&gt;"PRC_RESID","",IF(AR$7=2005+OFFSET(COM_2012!$B$60,$AW106,SUMIF($B$10:$B$16,"NCAP_TLIFE",$AX$10:$AX$16)),0,""))</f>
        <v/>
      </c>
      <c r="AS106" s="369" t="str">
        <f ca="1">IF($B106&lt;&gt;"PRC_RESID","",IF(AS$7=2005+OFFSET(COM_2012!$B$60,$AW106,SUMIF($B$10:$B$16,"NCAP_TLIFE",$AX$10:$AX$16)),0,""))</f>
        <v/>
      </c>
      <c r="AT106" s="369" t="str">
        <f ca="1">IF($B106&lt;&gt;"PRC_RESID","",IF(AT$7=2005+OFFSET(COM_2012!$B$60,$AW106,SUMIF($B$10:$B$16,"NCAP_TLIFE",$AX$10:$AX$16)),0,""))</f>
        <v/>
      </c>
      <c r="AU106" s="369" t="str">
        <f ca="1">IF($B106&lt;&gt;"PRC_RESID","",IF(AU$7=2005+OFFSET(COM_2012!$B$60,$AW106,SUMIF($B$10:$B$16,"NCAP_TLIFE",$AX$10:$AX$16)),0,""))</f>
        <v/>
      </c>
      <c r="AV106" s="304">
        <f>IF(AW105=COM_2012!$AI$121,AV105+1,AV105)</f>
        <v>2</v>
      </c>
      <c r="AW106" s="304">
        <f t="shared" si="12"/>
        <v>18</v>
      </c>
    </row>
    <row r="107" spans="1:49">
      <c r="A107" s="304" t="str">
        <f ca="1">IF(LEFT(OFFSET(COM_2012!$A$60,AW107,0),2)="\I","*","")</f>
        <v>*</v>
      </c>
      <c r="B107" s="369" t="str">
        <f t="shared" ca="1" si="10"/>
        <v/>
      </c>
      <c r="C107" s="369" t="str">
        <f ca="1">IF($A107="*","",OFFSET(COM_2012!$B$60,AW107,0))</f>
        <v/>
      </c>
      <c r="D107" s="369" t="str">
        <f t="shared" ca="1" si="11"/>
        <v/>
      </c>
      <c r="E107" s="369" t="str">
        <f t="shared" ca="1" si="11"/>
        <v/>
      </c>
      <c r="F107" s="369" t="str">
        <f t="shared" ca="1" si="11"/>
        <v/>
      </c>
      <c r="G107" s="369" t="str">
        <f t="shared" ca="1" si="11"/>
        <v/>
      </c>
      <c r="H107" s="369" t="str">
        <f t="shared" ca="1" si="11"/>
        <v/>
      </c>
      <c r="I107" s="370" t="str">
        <f t="shared" ca="1" si="11"/>
        <v/>
      </c>
      <c r="J107" s="391" t="str">
        <f ca="1">IF($A107="*","",OFFSET(COM_2012!$B$60,AW107,SUMIF($B$10:$B$16,B107,$AX$10:$AX$16)))</f>
        <v/>
      </c>
      <c r="K107" s="369" t="str">
        <f ca="1">IF($B107&lt;&gt;"PRC_RESID","",IF(K$7=2005+OFFSET(COM_2012!$B$60,$AW107,SUMIF($B$10:$B$16,"NCAP_TLIFE",$AX$10:$AX$16)),0,""))</f>
        <v/>
      </c>
      <c r="L107" s="369" t="str">
        <f ca="1">IF($B107&lt;&gt;"PRC_RESID","",IF(L$7=2005+OFFSET(COM_2012!$B$60,$AW107,SUMIF($B$10:$B$16,"NCAP_TLIFE",$AX$10:$AX$16)),0,""))</f>
        <v/>
      </c>
      <c r="M107" s="369" t="str">
        <f ca="1">IF($B107&lt;&gt;"PRC_RESID","",IF(M$7=2005+OFFSET(COM_2012!$B$60,$AW107,SUMIF($B$10:$B$16,"NCAP_TLIFE",$AX$10:$AX$16)),0,""))</f>
        <v/>
      </c>
      <c r="N107" s="369" t="str">
        <f ca="1">IF($B107&lt;&gt;"PRC_RESID","",IF(N$7=2005+OFFSET(COM_2012!$B$60,$AW107,SUMIF($B$10:$B$16,"NCAP_TLIFE",$AX$10:$AX$16)),0,""))</f>
        <v/>
      </c>
      <c r="O107" s="658" t="str">
        <f ca="1">IF($B107&lt;&gt;"PRC_RESID","",IF(O$7=2005+OFFSET(COM_2012!$B$60,$AW107,SUMIF($B$10:$B$16,"NCAP_TLIFE",$AX$10:$AX$16)),0,""))</f>
        <v/>
      </c>
      <c r="P107" s="369" t="str">
        <f ca="1">IF($B107&lt;&gt;"PRC_RESID","",IF(P$7=2005+OFFSET(COM_2012!$B$60,$AW107,SUMIF($B$10:$B$16,"NCAP_TLIFE",$AX$10:$AX$16)),0,""))</f>
        <v/>
      </c>
      <c r="Q107" s="369" t="str">
        <f ca="1">IF($B107&lt;&gt;"PRC_RESID","",IF(Q$7=2005+OFFSET(COM_2012!$B$60,$AW107,SUMIF($B$10:$B$16,"NCAP_TLIFE",$AX$10:$AX$16)),0,""))</f>
        <v/>
      </c>
      <c r="R107" s="369" t="str">
        <f ca="1">IF($B107&lt;&gt;"PRC_RESID","",IF(R$7=2005+OFFSET(COM_2012!$B$60,$AW107,SUMIF($B$10:$B$16,"NCAP_TLIFE",$AX$10:$AX$16)),0,""))</f>
        <v/>
      </c>
      <c r="S107" s="369" t="str">
        <f ca="1">IF($B107&lt;&gt;"PRC_RESID","",IF(S$7=2005+OFFSET(COM_2012!$B$60,$AW107,SUMIF($B$10:$B$16,"NCAP_TLIFE",$AX$10:$AX$16)),0,""))</f>
        <v/>
      </c>
      <c r="T107" s="369" t="str">
        <f ca="1">IF($B107&lt;&gt;"PRC_RESID","",IF(T$7=2005+OFFSET(COM_2012!$B$60,$AW107,SUMIF($B$10:$B$16,"NCAP_TLIFE",$AX$10:$AX$16)),0,""))</f>
        <v/>
      </c>
      <c r="U107" s="369" t="str">
        <f ca="1">IF($B107&lt;&gt;"PRC_RESID","",IF(U$7=2005+OFFSET(COM_2012!$B$60,$AW107,SUMIF($B$10:$B$16,"NCAP_TLIFE",$AX$10:$AX$16)),0,""))</f>
        <v/>
      </c>
      <c r="V107" s="369" t="str">
        <f ca="1">IF($B107&lt;&gt;"PRC_RESID","",IF(V$7=2005+OFFSET(COM_2012!$B$60,$AW107,SUMIF($B$10:$B$16,"NCAP_TLIFE",$AX$10:$AX$16)),0,""))</f>
        <v/>
      </c>
      <c r="W107" s="369" t="str">
        <f ca="1">IF($B107&lt;&gt;"PRC_RESID","",IF(W$7=2005+OFFSET(COM_2012!$B$60,$AW107,SUMIF($B$10:$B$16,"NCAP_TLIFE",$AX$10:$AX$16)),0,""))</f>
        <v/>
      </c>
      <c r="X107" s="369" t="str">
        <f ca="1">IF($B107&lt;&gt;"PRC_RESID","",IF(X$7=2005+OFFSET(COM_2012!$B$60,$AW107,SUMIF($B$10:$B$16,"NCAP_TLIFE",$AX$10:$AX$16)),0,""))</f>
        <v/>
      </c>
      <c r="Y107" s="369" t="str">
        <f ca="1">IF($B107&lt;&gt;"PRC_RESID","",IF(Y$7=2005+OFFSET(COM_2012!$B$60,$AW107,SUMIF($B$10:$B$16,"NCAP_TLIFE",$AX$10:$AX$16)),0,""))</f>
        <v/>
      </c>
      <c r="Z107" s="369" t="str">
        <f ca="1">IF($B107&lt;&gt;"PRC_RESID","",IF(Z$7=2005+OFFSET(COM_2012!$B$60,$AW107,SUMIF($B$10:$B$16,"NCAP_TLIFE",$AX$10:$AX$16)),0,""))</f>
        <v/>
      </c>
      <c r="AA107" s="369" t="str">
        <f ca="1">IF($B107&lt;&gt;"PRC_RESID","",IF(AA$7=2005+OFFSET(COM_2012!$B$60,$AW107,SUMIF($B$10:$B$16,"NCAP_TLIFE",$AX$10:$AX$16)),0,""))</f>
        <v/>
      </c>
      <c r="AB107" s="369" t="str">
        <f ca="1">IF($B107&lt;&gt;"PRC_RESID","",IF(AB$7=2005+OFFSET(COM_2012!$B$60,$AW107,SUMIF($B$10:$B$16,"NCAP_TLIFE",$AX$10:$AX$16)),0,""))</f>
        <v/>
      </c>
      <c r="AC107" s="369" t="str">
        <f ca="1">IF($B107&lt;&gt;"PRC_RESID","",IF(AC$7=2005+OFFSET(COM_2012!$B$60,$AW107,SUMIF($B$10:$B$16,"NCAP_TLIFE",$AX$10:$AX$16)),0,""))</f>
        <v/>
      </c>
      <c r="AD107" s="369" t="str">
        <f ca="1">IF($B107&lt;&gt;"PRC_RESID","",IF(AD$7=2005+OFFSET(COM_2012!$B$60,$AW107,SUMIF($B$10:$B$16,"NCAP_TLIFE",$AX$10:$AX$16)),0,""))</f>
        <v/>
      </c>
      <c r="AE107" s="369" t="str">
        <f ca="1">IF($B107&lt;&gt;"PRC_RESID","",IF(AE$7=2005+OFFSET(COM_2012!$B$60,$AW107,SUMIF($B$10:$B$16,"NCAP_TLIFE",$AX$10:$AX$16)),0,""))</f>
        <v/>
      </c>
      <c r="AF107" s="369" t="str">
        <f ca="1">IF($B107&lt;&gt;"PRC_RESID","",IF(AF$7=2005+OFFSET(COM_2012!$B$60,$AW107,SUMIF($B$10:$B$16,"NCAP_TLIFE",$AX$10:$AX$16)),0,""))</f>
        <v/>
      </c>
      <c r="AG107" s="369" t="str">
        <f ca="1">IF($B107&lt;&gt;"PRC_RESID","",IF(AG$7=2005+OFFSET(COM_2012!$B$60,$AW107,SUMIF($B$10:$B$16,"NCAP_TLIFE",$AX$10:$AX$16)),0,""))</f>
        <v/>
      </c>
      <c r="AH107" s="369" t="str">
        <f ca="1">IF($B107&lt;&gt;"PRC_RESID","",IF(AH$7=2005+OFFSET(COM_2012!$B$60,$AW107,SUMIF($B$10:$B$16,"NCAP_TLIFE",$AX$10:$AX$16)),0,""))</f>
        <v/>
      </c>
      <c r="AI107" s="369" t="str">
        <f ca="1">IF($B107&lt;&gt;"PRC_RESID","",IF(AI$7=2005+OFFSET(COM_2012!$B$60,$AW107,SUMIF($B$10:$B$16,"NCAP_TLIFE",$AX$10:$AX$16)),0,""))</f>
        <v/>
      </c>
      <c r="AJ107" s="369" t="str">
        <f ca="1">IF($B107&lt;&gt;"PRC_RESID","",IF(AJ$7=2005+OFFSET(COM_2012!$B$60,$AW107,SUMIF($B$10:$B$16,"NCAP_TLIFE",$AX$10:$AX$16)),0,""))</f>
        <v/>
      </c>
      <c r="AK107" s="369" t="str">
        <f ca="1">IF($B107&lt;&gt;"PRC_RESID","",IF(AK$7=2005+OFFSET(COM_2012!$B$60,$AW107,SUMIF($B$10:$B$16,"NCAP_TLIFE",$AX$10:$AX$16)),0,""))</f>
        <v/>
      </c>
      <c r="AL107" s="369" t="str">
        <f ca="1">IF($B107&lt;&gt;"PRC_RESID","",IF(AL$7=2005+OFFSET(COM_2012!$B$60,$AW107,SUMIF($B$10:$B$16,"NCAP_TLIFE",$AX$10:$AX$16)),0,""))</f>
        <v/>
      </c>
      <c r="AM107" s="369" t="str">
        <f ca="1">IF($B107&lt;&gt;"PRC_RESID","",IF(AM$7=2005+OFFSET(COM_2012!$B$60,$AW107,SUMIF($B$10:$B$16,"NCAP_TLIFE",$AX$10:$AX$16)),0,""))</f>
        <v/>
      </c>
      <c r="AN107" s="369" t="str">
        <f ca="1">IF($B107&lt;&gt;"PRC_RESID","",IF(AN$7=2005+OFFSET(COM_2012!$B$60,$AW107,SUMIF($B$10:$B$16,"NCAP_TLIFE",$AX$10:$AX$16)),0,""))</f>
        <v/>
      </c>
      <c r="AO107" s="369" t="str">
        <f ca="1">IF($B107&lt;&gt;"PRC_RESID","",IF(AO$7=2005+OFFSET(COM_2012!$B$60,$AW107,SUMIF($B$10:$B$16,"NCAP_TLIFE",$AX$10:$AX$16)),0,""))</f>
        <v/>
      </c>
      <c r="AP107" s="369" t="str">
        <f ca="1">IF($B107&lt;&gt;"PRC_RESID","",IF(AP$7=2005+OFFSET(COM_2012!$B$60,$AW107,SUMIF($B$10:$B$16,"NCAP_TLIFE",$AX$10:$AX$16)),0,""))</f>
        <v/>
      </c>
      <c r="AQ107" s="369" t="str">
        <f ca="1">IF($B107&lt;&gt;"PRC_RESID","",IF(AQ$7=2005+OFFSET(COM_2012!$B$60,$AW107,SUMIF($B$10:$B$16,"NCAP_TLIFE",$AX$10:$AX$16)),0,""))</f>
        <v/>
      </c>
      <c r="AR107" s="369" t="str">
        <f ca="1">IF($B107&lt;&gt;"PRC_RESID","",IF(AR$7=2005+OFFSET(COM_2012!$B$60,$AW107,SUMIF($B$10:$B$16,"NCAP_TLIFE",$AX$10:$AX$16)),0,""))</f>
        <v/>
      </c>
      <c r="AS107" s="369" t="str">
        <f ca="1">IF($B107&lt;&gt;"PRC_RESID","",IF(AS$7=2005+OFFSET(COM_2012!$B$60,$AW107,SUMIF($B$10:$B$16,"NCAP_TLIFE",$AX$10:$AX$16)),0,""))</f>
        <v/>
      </c>
      <c r="AT107" s="369" t="str">
        <f ca="1">IF($B107&lt;&gt;"PRC_RESID","",IF(AT$7=2005+OFFSET(COM_2012!$B$60,$AW107,SUMIF($B$10:$B$16,"NCAP_TLIFE",$AX$10:$AX$16)),0,""))</f>
        <v/>
      </c>
      <c r="AU107" s="369" t="str">
        <f ca="1">IF($B107&lt;&gt;"PRC_RESID","",IF(AU$7=2005+OFFSET(COM_2012!$B$60,$AW107,SUMIF($B$10:$B$16,"NCAP_TLIFE",$AX$10:$AX$16)),0,""))</f>
        <v/>
      </c>
      <c r="AV107" s="304">
        <f>IF(AW106=COM_2012!$AI$121,AV106+1,AV106)</f>
        <v>2</v>
      </c>
      <c r="AW107" s="304">
        <f t="shared" si="12"/>
        <v>19</v>
      </c>
    </row>
    <row r="108" spans="1:49">
      <c r="A108" s="304" t="str">
        <f ca="1">IF(LEFT(OFFSET(COM_2012!$A$60,AW108,0),2)="\I","*","")</f>
        <v>*</v>
      </c>
      <c r="B108" s="369" t="str">
        <f t="shared" ca="1" si="10"/>
        <v/>
      </c>
      <c r="C108" s="369" t="str">
        <f ca="1">IF($A108="*","",OFFSET(COM_2012!$B$60,AW108,0))</f>
        <v/>
      </c>
      <c r="D108" s="369" t="str">
        <f t="shared" ca="1" si="11"/>
        <v/>
      </c>
      <c r="E108" s="369" t="str">
        <f t="shared" ca="1" si="11"/>
        <v/>
      </c>
      <c r="F108" s="369" t="str">
        <f t="shared" ca="1" si="11"/>
        <v/>
      </c>
      <c r="G108" s="369" t="str">
        <f t="shared" ca="1" si="11"/>
        <v/>
      </c>
      <c r="H108" s="369" t="str">
        <f t="shared" ca="1" si="11"/>
        <v/>
      </c>
      <c r="I108" s="370" t="str">
        <f t="shared" ca="1" si="11"/>
        <v/>
      </c>
      <c r="J108" s="391" t="str">
        <f ca="1">IF($A108="*","",OFFSET(COM_2012!$B$60,AW108,SUMIF($B$10:$B$16,B108,$AX$10:$AX$16)))</f>
        <v/>
      </c>
      <c r="K108" s="369" t="str">
        <f ca="1">IF($B108&lt;&gt;"PRC_RESID","",IF(K$7=2005+OFFSET(COM_2012!$B$60,$AW108,SUMIF($B$10:$B$16,"NCAP_TLIFE",$AX$10:$AX$16)),0,""))</f>
        <v/>
      </c>
      <c r="L108" s="369" t="str">
        <f ca="1">IF($B108&lt;&gt;"PRC_RESID","",IF(L$7=2005+OFFSET(COM_2012!$B$60,$AW108,SUMIF($B$10:$B$16,"NCAP_TLIFE",$AX$10:$AX$16)),0,""))</f>
        <v/>
      </c>
      <c r="M108" s="369" t="str">
        <f ca="1">IF($B108&lt;&gt;"PRC_RESID","",IF(M$7=2005+OFFSET(COM_2012!$B$60,$AW108,SUMIF($B$10:$B$16,"NCAP_TLIFE",$AX$10:$AX$16)),0,""))</f>
        <v/>
      </c>
      <c r="N108" s="369" t="str">
        <f ca="1">IF($B108&lt;&gt;"PRC_RESID","",IF(N$7=2005+OFFSET(COM_2012!$B$60,$AW108,SUMIF($B$10:$B$16,"NCAP_TLIFE",$AX$10:$AX$16)),0,""))</f>
        <v/>
      </c>
      <c r="O108" s="658" t="str">
        <f ca="1">IF($B108&lt;&gt;"PRC_RESID","",IF(O$7=2005+OFFSET(COM_2012!$B$60,$AW108,SUMIF($B$10:$B$16,"NCAP_TLIFE",$AX$10:$AX$16)),0,""))</f>
        <v/>
      </c>
      <c r="P108" s="369" t="str">
        <f ca="1">IF($B108&lt;&gt;"PRC_RESID","",IF(P$7=2005+OFFSET(COM_2012!$B$60,$AW108,SUMIF($B$10:$B$16,"NCAP_TLIFE",$AX$10:$AX$16)),0,""))</f>
        <v/>
      </c>
      <c r="Q108" s="369" t="str">
        <f ca="1">IF($B108&lt;&gt;"PRC_RESID","",IF(Q$7=2005+OFFSET(COM_2012!$B$60,$AW108,SUMIF($B$10:$B$16,"NCAP_TLIFE",$AX$10:$AX$16)),0,""))</f>
        <v/>
      </c>
      <c r="R108" s="369" t="str">
        <f ca="1">IF($B108&lt;&gt;"PRC_RESID","",IF(R$7=2005+OFFSET(COM_2012!$B$60,$AW108,SUMIF($B$10:$B$16,"NCAP_TLIFE",$AX$10:$AX$16)),0,""))</f>
        <v/>
      </c>
      <c r="S108" s="369" t="str">
        <f ca="1">IF($B108&lt;&gt;"PRC_RESID","",IF(S$7=2005+OFFSET(COM_2012!$B$60,$AW108,SUMIF($B$10:$B$16,"NCAP_TLIFE",$AX$10:$AX$16)),0,""))</f>
        <v/>
      </c>
      <c r="T108" s="369" t="str">
        <f ca="1">IF($B108&lt;&gt;"PRC_RESID","",IF(T$7=2005+OFFSET(COM_2012!$B$60,$AW108,SUMIF($B$10:$B$16,"NCAP_TLIFE",$AX$10:$AX$16)),0,""))</f>
        <v/>
      </c>
      <c r="U108" s="369" t="str">
        <f ca="1">IF($B108&lt;&gt;"PRC_RESID","",IF(U$7=2005+OFFSET(COM_2012!$B$60,$AW108,SUMIF($B$10:$B$16,"NCAP_TLIFE",$AX$10:$AX$16)),0,""))</f>
        <v/>
      </c>
      <c r="V108" s="369" t="str">
        <f ca="1">IF($B108&lt;&gt;"PRC_RESID","",IF(V$7=2005+OFFSET(COM_2012!$B$60,$AW108,SUMIF($B$10:$B$16,"NCAP_TLIFE",$AX$10:$AX$16)),0,""))</f>
        <v/>
      </c>
      <c r="W108" s="369" t="str">
        <f ca="1">IF($B108&lt;&gt;"PRC_RESID","",IF(W$7=2005+OFFSET(COM_2012!$B$60,$AW108,SUMIF($B$10:$B$16,"NCAP_TLIFE",$AX$10:$AX$16)),0,""))</f>
        <v/>
      </c>
      <c r="X108" s="369" t="str">
        <f ca="1">IF($B108&lt;&gt;"PRC_RESID","",IF(X$7=2005+OFFSET(COM_2012!$B$60,$AW108,SUMIF($B$10:$B$16,"NCAP_TLIFE",$AX$10:$AX$16)),0,""))</f>
        <v/>
      </c>
      <c r="Y108" s="369" t="str">
        <f ca="1">IF($B108&lt;&gt;"PRC_RESID","",IF(Y$7=2005+OFFSET(COM_2012!$B$60,$AW108,SUMIF($B$10:$B$16,"NCAP_TLIFE",$AX$10:$AX$16)),0,""))</f>
        <v/>
      </c>
      <c r="Z108" s="369" t="str">
        <f ca="1">IF($B108&lt;&gt;"PRC_RESID","",IF(Z$7=2005+OFFSET(COM_2012!$B$60,$AW108,SUMIF($B$10:$B$16,"NCAP_TLIFE",$AX$10:$AX$16)),0,""))</f>
        <v/>
      </c>
      <c r="AA108" s="369" t="str">
        <f ca="1">IF($B108&lt;&gt;"PRC_RESID","",IF(AA$7=2005+OFFSET(COM_2012!$B$60,$AW108,SUMIF($B$10:$B$16,"NCAP_TLIFE",$AX$10:$AX$16)),0,""))</f>
        <v/>
      </c>
      <c r="AB108" s="369" t="str">
        <f ca="1">IF($B108&lt;&gt;"PRC_RESID","",IF(AB$7=2005+OFFSET(COM_2012!$B$60,$AW108,SUMIF($B$10:$B$16,"NCAP_TLIFE",$AX$10:$AX$16)),0,""))</f>
        <v/>
      </c>
      <c r="AC108" s="369" t="str">
        <f ca="1">IF($B108&lt;&gt;"PRC_RESID","",IF(AC$7=2005+OFFSET(COM_2012!$B$60,$AW108,SUMIF($B$10:$B$16,"NCAP_TLIFE",$AX$10:$AX$16)),0,""))</f>
        <v/>
      </c>
      <c r="AD108" s="369" t="str">
        <f ca="1">IF($B108&lt;&gt;"PRC_RESID","",IF(AD$7=2005+OFFSET(COM_2012!$B$60,$AW108,SUMIF($B$10:$B$16,"NCAP_TLIFE",$AX$10:$AX$16)),0,""))</f>
        <v/>
      </c>
      <c r="AE108" s="369" t="str">
        <f ca="1">IF($B108&lt;&gt;"PRC_RESID","",IF(AE$7=2005+OFFSET(COM_2012!$B$60,$AW108,SUMIF($B$10:$B$16,"NCAP_TLIFE",$AX$10:$AX$16)),0,""))</f>
        <v/>
      </c>
      <c r="AF108" s="369" t="str">
        <f ca="1">IF($B108&lt;&gt;"PRC_RESID","",IF(AF$7=2005+OFFSET(COM_2012!$B$60,$AW108,SUMIF($B$10:$B$16,"NCAP_TLIFE",$AX$10:$AX$16)),0,""))</f>
        <v/>
      </c>
      <c r="AG108" s="369" t="str">
        <f ca="1">IF($B108&lt;&gt;"PRC_RESID","",IF(AG$7=2005+OFFSET(COM_2012!$B$60,$AW108,SUMIF($B$10:$B$16,"NCAP_TLIFE",$AX$10:$AX$16)),0,""))</f>
        <v/>
      </c>
      <c r="AH108" s="369" t="str">
        <f ca="1">IF($B108&lt;&gt;"PRC_RESID","",IF(AH$7=2005+OFFSET(COM_2012!$B$60,$AW108,SUMIF($B$10:$B$16,"NCAP_TLIFE",$AX$10:$AX$16)),0,""))</f>
        <v/>
      </c>
      <c r="AI108" s="369" t="str">
        <f ca="1">IF($B108&lt;&gt;"PRC_RESID","",IF(AI$7=2005+OFFSET(COM_2012!$B$60,$AW108,SUMIF($B$10:$B$16,"NCAP_TLIFE",$AX$10:$AX$16)),0,""))</f>
        <v/>
      </c>
      <c r="AJ108" s="369" t="str">
        <f ca="1">IF($B108&lt;&gt;"PRC_RESID","",IF(AJ$7=2005+OFFSET(COM_2012!$B$60,$AW108,SUMIF($B$10:$B$16,"NCAP_TLIFE",$AX$10:$AX$16)),0,""))</f>
        <v/>
      </c>
      <c r="AK108" s="369" t="str">
        <f ca="1">IF($B108&lt;&gt;"PRC_RESID","",IF(AK$7=2005+OFFSET(COM_2012!$B$60,$AW108,SUMIF($B$10:$B$16,"NCAP_TLIFE",$AX$10:$AX$16)),0,""))</f>
        <v/>
      </c>
      <c r="AL108" s="369" t="str">
        <f ca="1">IF($B108&lt;&gt;"PRC_RESID","",IF(AL$7=2005+OFFSET(COM_2012!$B$60,$AW108,SUMIF($B$10:$B$16,"NCAP_TLIFE",$AX$10:$AX$16)),0,""))</f>
        <v/>
      </c>
      <c r="AM108" s="369" t="str">
        <f ca="1">IF($B108&lt;&gt;"PRC_RESID","",IF(AM$7=2005+OFFSET(COM_2012!$B$60,$AW108,SUMIF($B$10:$B$16,"NCAP_TLIFE",$AX$10:$AX$16)),0,""))</f>
        <v/>
      </c>
      <c r="AN108" s="369" t="str">
        <f ca="1">IF($B108&lt;&gt;"PRC_RESID","",IF(AN$7=2005+OFFSET(COM_2012!$B$60,$AW108,SUMIF($B$10:$B$16,"NCAP_TLIFE",$AX$10:$AX$16)),0,""))</f>
        <v/>
      </c>
      <c r="AO108" s="369" t="str">
        <f ca="1">IF($B108&lt;&gt;"PRC_RESID","",IF(AO$7=2005+OFFSET(COM_2012!$B$60,$AW108,SUMIF($B$10:$B$16,"NCAP_TLIFE",$AX$10:$AX$16)),0,""))</f>
        <v/>
      </c>
      <c r="AP108" s="369" t="str">
        <f ca="1">IF($B108&lt;&gt;"PRC_RESID","",IF(AP$7=2005+OFFSET(COM_2012!$B$60,$AW108,SUMIF($B$10:$B$16,"NCAP_TLIFE",$AX$10:$AX$16)),0,""))</f>
        <v/>
      </c>
      <c r="AQ108" s="369" t="str">
        <f ca="1">IF($B108&lt;&gt;"PRC_RESID","",IF(AQ$7=2005+OFFSET(COM_2012!$B$60,$AW108,SUMIF($B$10:$B$16,"NCAP_TLIFE",$AX$10:$AX$16)),0,""))</f>
        <v/>
      </c>
      <c r="AR108" s="369" t="str">
        <f ca="1">IF($B108&lt;&gt;"PRC_RESID","",IF(AR$7=2005+OFFSET(COM_2012!$B$60,$AW108,SUMIF($B$10:$B$16,"NCAP_TLIFE",$AX$10:$AX$16)),0,""))</f>
        <v/>
      </c>
      <c r="AS108" s="369" t="str">
        <f ca="1">IF($B108&lt;&gt;"PRC_RESID","",IF(AS$7=2005+OFFSET(COM_2012!$B$60,$AW108,SUMIF($B$10:$B$16,"NCAP_TLIFE",$AX$10:$AX$16)),0,""))</f>
        <v/>
      </c>
      <c r="AT108" s="369" t="str">
        <f ca="1">IF($B108&lt;&gt;"PRC_RESID","",IF(AT$7=2005+OFFSET(COM_2012!$B$60,$AW108,SUMIF($B$10:$B$16,"NCAP_TLIFE",$AX$10:$AX$16)),0,""))</f>
        <v/>
      </c>
      <c r="AU108" s="369" t="str">
        <f ca="1">IF($B108&lt;&gt;"PRC_RESID","",IF(AU$7=2005+OFFSET(COM_2012!$B$60,$AW108,SUMIF($B$10:$B$16,"NCAP_TLIFE",$AX$10:$AX$16)),0,""))</f>
        <v/>
      </c>
      <c r="AV108" s="304">
        <f>IF(AW107=COM_2012!$AI$121,AV107+1,AV107)</f>
        <v>2</v>
      </c>
      <c r="AW108" s="304">
        <f t="shared" si="12"/>
        <v>20</v>
      </c>
    </row>
    <row r="109" spans="1:49">
      <c r="A109" s="304" t="str">
        <f ca="1">IF(LEFT(OFFSET(COM_2012!$A$60,AW109,0),2)="\I","*","")</f>
        <v/>
      </c>
      <c r="B109" s="369" t="str">
        <f t="shared" ca="1" si="10"/>
        <v>NCAP_BND</v>
      </c>
      <c r="C109" s="369" t="str">
        <f ca="1">IF($A109="*","",OFFSET(COM_2012!$B$60,AW109,0))</f>
        <v>CELELCCFL-E</v>
      </c>
      <c r="D109" s="369" t="str">
        <f t="shared" ca="1" si="11"/>
        <v>-</v>
      </c>
      <c r="E109" s="369" t="str">
        <f t="shared" ca="1" si="11"/>
        <v>-</v>
      </c>
      <c r="F109" s="369" t="str">
        <f t="shared" ca="1" si="11"/>
        <v>-</v>
      </c>
      <c r="G109" s="369" t="str">
        <f t="shared" ca="1" si="11"/>
        <v>-</v>
      </c>
      <c r="H109" s="369" t="str">
        <f t="shared" ca="1" si="11"/>
        <v>UP</v>
      </c>
      <c r="I109" s="370">
        <f t="shared" ca="1" si="11"/>
        <v>0</v>
      </c>
      <c r="J109" s="391">
        <f ca="1">IF($A109="*","",OFFSET(COM_2012!$B$60,AW109,SUMIF($B$10:$B$16,B109,$AX$10:$AX$16)))</f>
        <v>0</v>
      </c>
      <c r="K109" s="369" t="str">
        <f ca="1">IF($B109&lt;&gt;"PRC_RESID","",IF(K$7=2005+OFFSET(COM_2012!$B$60,$AW109,SUMIF($B$10:$B$16,"NCAP_TLIFE",$AX$10:$AX$16)),0,""))</f>
        <v/>
      </c>
      <c r="L109" s="369" t="str">
        <f ca="1">IF($B109&lt;&gt;"PRC_RESID","",IF(L$7=2005+OFFSET(COM_2012!$B$60,$AW109,SUMIF($B$10:$B$16,"NCAP_TLIFE",$AX$10:$AX$16)),0,""))</f>
        <v/>
      </c>
      <c r="M109" s="369" t="str">
        <f ca="1">IF($B109&lt;&gt;"PRC_RESID","",IF(M$7=2005+OFFSET(COM_2012!$B$60,$AW109,SUMIF($B$10:$B$16,"NCAP_TLIFE",$AX$10:$AX$16)),0,""))</f>
        <v/>
      </c>
      <c r="N109" s="369" t="str">
        <f ca="1">IF($B109&lt;&gt;"PRC_RESID","",IF(N$7=2005+OFFSET(COM_2012!$B$60,$AW109,SUMIF($B$10:$B$16,"NCAP_TLIFE",$AX$10:$AX$16)),0,""))</f>
        <v/>
      </c>
      <c r="O109" s="658" t="str">
        <f ca="1">IF($B109&lt;&gt;"PRC_RESID","",IF(O$7=2005+OFFSET(COM_2012!$B$60,$AW109,SUMIF($B$10:$B$16,"NCAP_TLIFE",$AX$10:$AX$16)),0,""))</f>
        <v/>
      </c>
      <c r="P109" s="369" t="str">
        <f ca="1">IF($B109&lt;&gt;"PRC_RESID","",IF(P$7=2005+OFFSET(COM_2012!$B$60,$AW109,SUMIF($B$10:$B$16,"NCAP_TLIFE",$AX$10:$AX$16)),0,""))</f>
        <v/>
      </c>
      <c r="Q109" s="369" t="str">
        <f ca="1">IF($B109&lt;&gt;"PRC_RESID","",IF(Q$7=2005+OFFSET(COM_2012!$B$60,$AW109,SUMIF($B$10:$B$16,"NCAP_TLIFE",$AX$10:$AX$16)),0,""))</f>
        <v/>
      </c>
      <c r="R109" s="369" t="str">
        <f ca="1">IF($B109&lt;&gt;"PRC_RESID","",IF(R$7=2005+OFFSET(COM_2012!$B$60,$AW109,SUMIF($B$10:$B$16,"NCAP_TLIFE",$AX$10:$AX$16)),0,""))</f>
        <v/>
      </c>
      <c r="S109" s="369" t="str">
        <f ca="1">IF($B109&lt;&gt;"PRC_RESID","",IF(S$7=2005+OFFSET(COM_2012!$B$60,$AW109,SUMIF($B$10:$B$16,"NCAP_TLIFE",$AX$10:$AX$16)),0,""))</f>
        <v/>
      </c>
      <c r="T109" s="369" t="str">
        <f ca="1">IF($B109&lt;&gt;"PRC_RESID","",IF(T$7=2005+OFFSET(COM_2012!$B$60,$AW109,SUMIF($B$10:$B$16,"NCAP_TLIFE",$AX$10:$AX$16)),0,""))</f>
        <v/>
      </c>
      <c r="U109" s="369" t="str">
        <f ca="1">IF($B109&lt;&gt;"PRC_RESID","",IF(U$7=2005+OFFSET(COM_2012!$B$60,$AW109,SUMIF($B$10:$B$16,"NCAP_TLIFE",$AX$10:$AX$16)),0,""))</f>
        <v/>
      </c>
      <c r="V109" s="369" t="str">
        <f ca="1">IF($B109&lt;&gt;"PRC_RESID","",IF(V$7=2005+OFFSET(COM_2012!$B$60,$AW109,SUMIF($B$10:$B$16,"NCAP_TLIFE",$AX$10:$AX$16)),0,""))</f>
        <v/>
      </c>
      <c r="W109" s="369" t="str">
        <f ca="1">IF($B109&lt;&gt;"PRC_RESID","",IF(W$7=2005+OFFSET(COM_2012!$B$60,$AW109,SUMIF($B$10:$B$16,"NCAP_TLIFE",$AX$10:$AX$16)),0,""))</f>
        <v/>
      </c>
      <c r="X109" s="369" t="str">
        <f ca="1">IF($B109&lt;&gt;"PRC_RESID","",IF(X$7=2005+OFFSET(COM_2012!$B$60,$AW109,SUMIF($B$10:$B$16,"NCAP_TLIFE",$AX$10:$AX$16)),0,""))</f>
        <v/>
      </c>
      <c r="Y109" s="369" t="str">
        <f ca="1">IF($B109&lt;&gt;"PRC_RESID","",IF(Y$7=2005+OFFSET(COM_2012!$B$60,$AW109,SUMIF($B$10:$B$16,"NCAP_TLIFE",$AX$10:$AX$16)),0,""))</f>
        <v/>
      </c>
      <c r="Z109" s="369" t="str">
        <f ca="1">IF($B109&lt;&gt;"PRC_RESID","",IF(Z$7=2005+OFFSET(COM_2012!$B$60,$AW109,SUMIF($B$10:$B$16,"NCAP_TLIFE",$AX$10:$AX$16)),0,""))</f>
        <v/>
      </c>
      <c r="AA109" s="369" t="str">
        <f ca="1">IF($B109&lt;&gt;"PRC_RESID","",IF(AA$7=2005+OFFSET(COM_2012!$B$60,$AW109,SUMIF($B$10:$B$16,"NCAP_TLIFE",$AX$10:$AX$16)),0,""))</f>
        <v/>
      </c>
      <c r="AB109" s="369" t="str">
        <f ca="1">IF($B109&lt;&gt;"PRC_RESID","",IF(AB$7=2005+OFFSET(COM_2012!$B$60,$AW109,SUMIF($B$10:$B$16,"NCAP_TLIFE",$AX$10:$AX$16)),0,""))</f>
        <v/>
      </c>
      <c r="AC109" s="369" t="str">
        <f ca="1">IF($B109&lt;&gt;"PRC_RESID","",IF(AC$7=2005+OFFSET(COM_2012!$B$60,$AW109,SUMIF($B$10:$B$16,"NCAP_TLIFE",$AX$10:$AX$16)),0,""))</f>
        <v/>
      </c>
      <c r="AD109" s="369" t="str">
        <f ca="1">IF($B109&lt;&gt;"PRC_RESID","",IF(AD$7=2005+OFFSET(COM_2012!$B$60,$AW109,SUMIF($B$10:$B$16,"NCAP_TLIFE",$AX$10:$AX$16)),0,""))</f>
        <v/>
      </c>
      <c r="AE109" s="369" t="str">
        <f ca="1">IF($B109&lt;&gt;"PRC_RESID","",IF(AE$7=2005+OFFSET(COM_2012!$B$60,$AW109,SUMIF($B$10:$B$16,"NCAP_TLIFE",$AX$10:$AX$16)),0,""))</f>
        <v/>
      </c>
      <c r="AF109" s="369" t="str">
        <f ca="1">IF($B109&lt;&gt;"PRC_RESID","",IF(AF$7=2005+OFFSET(COM_2012!$B$60,$AW109,SUMIF($B$10:$B$16,"NCAP_TLIFE",$AX$10:$AX$16)),0,""))</f>
        <v/>
      </c>
      <c r="AG109" s="369" t="str">
        <f ca="1">IF($B109&lt;&gt;"PRC_RESID","",IF(AG$7=2005+OFFSET(COM_2012!$B$60,$AW109,SUMIF($B$10:$B$16,"NCAP_TLIFE",$AX$10:$AX$16)),0,""))</f>
        <v/>
      </c>
      <c r="AH109" s="369" t="str">
        <f ca="1">IF($B109&lt;&gt;"PRC_RESID","",IF(AH$7=2005+OFFSET(COM_2012!$B$60,$AW109,SUMIF($B$10:$B$16,"NCAP_TLIFE",$AX$10:$AX$16)),0,""))</f>
        <v/>
      </c>
      <c r="AI109" s="369" t="str">
        <f ca="1">IF($B109&lt;&gt;"PRC_RESID","",IF(AI$7=2005+OFFSET(COM_2012!$B$60,$AW109,SUMIF($B$10:$B$16,"NCAP_TLIFE",$AX$10:$AX$16)),0,""))</f>
        <v/>
      </c>
      <c r="AJ109" s="369" t="str">
        <f ca="1">IF($B109&lt;&gt;"PRC_RESID","",IF(AJ$7=2005+OFFSET(COM_2012!$B$60,$AW109,SUMIF($B$10:$B$16,"NCAP_TLIFE",$AX$10:$AX$16)),0,""))</f>
        <v/>
      </c>
      <c r="AK109" s="369" t="str">
        <f ca="1">IF($B109&lt;&gt;"PRC_RESID","",IF(AK$7=2005+OFFSET(COM_2012!$B$60,$AW109,SUMIF($B$10:$B$16,"NCAP_TLIFE",$AX$10:$AX$16)),0,""))</f>
        <v/>
      </c>
      <c r="AL109" s="369" t="str">
        <f ca="1">IF($B109&lt;&gt;"PRC_RESID","",IF(AL$7=2005+OFFSET(COM_2012!$B$60,$AW109,SUMIF($B$10:$B$16,"NCAP_TLIFE",$AX$10:$AX$16)),0,""))</f>
        <v/>
      </c>
      <c r="AM109" s="369" t="str">
        <f ca="1">IF($B109&lt;&gt;"PRC_RESID","",IF(AM$7=2005+OFFSET(COM_2012!$B$60,$AW109,SUMIF($B$10:$B$16,"NCAP_TLIFE",$AX$10:$AX$16)),0,""))</f>
        <v/>
      </c>
      <c r="AN109" s="369" t="str">
        <f ca="1">IF($B109&lt;&gt;"PRC_RESID","",IF(AN$7=2005+OFFSET(COM_2012!$B$60,$AW109,SUMIF($B$10:$B$16,"NCAP_TLIFE",$AX$10:$AX$16)),0,""))</f>
        <v/>
      </c>
      <c r="AO109" s="369" t="str">
        <f ca="1">IF($B109&lt;&gt;"PRC_RESID","",IF(AO$7=2005+OFFSET(COM_2012!$B$60,$AW109,SUMIF($B$10:$B$16,"NCAP_TLIFE",$AX$10:$AX$16)),0,""))</f>
        <v/>
      </c>
      <c r="AP109" s="369" t="str">
        <f ca="1">IF($B109&lt;&gt;"PRC_RESID","",IF(AP$7=2005+OFFSET(COM_2012!$B$60,$AW109,SUMIF($B$10:$B$16,"NCAP_TLIFE",$AX$10:$AX$16)),0,""))</f>
        <v/>
      </c>
      <c r="AQ109" s="369" t="str">
        <f ca="1">IF($B109&lt;&gt;"PRC_RESID","",IF(AQ$7=2005+OFFSET(COM_2012!$B$60,$AW109,SUMIF($B$10:$B$16,"NCAP_TLIFE",$AX$10:$AX$16)),0,""))</f>
        <v/>
      </c>
      <c r="AR109" s="369" t="str">
        <f ca="1">IF($B109&lt;&gt;"PRC_RESID","",IF(AR$7=2005+OFFSET(COM_2012!$B$60,$AW109,SUMIF($B$10:$B$16,"NCAP_TLIFE",$AX$10:$AX$16)),0,""))</f>
        <v/>
      </c>
      <c r="AS109" s="369" t="str">
        <f ca="1">IF($B109&lt;&gt;"PRC_RESID","",IF(AS$7=2005+OFFSET(COM_2012!$B$60,$AW109,SUMIF($B$10:$B$16,"NCAP_TLIFE",$AX$10:$AX$16)),0,""))</f>
        <v/>
      </c>
      <c r="AT109" s="369" t="str">
        <f ca="1">IF($B109&lt;&gt;"PRC_RESID","",IF(AT$7=2005+OFFSET(COM_2012!$B$60,$AW109,SUMIF($B$10:$B$16,"NCAP_TLIFE",$AX$10:$AX$16)),0,""))</f>
        <v/>
      </c>
      <c r="AU109" s="369" t="str">
        <f ca="1">IF($B109&lt;&gt;"PRC_RESID","",IF(AU$7=2005+OFFSET(COM_2012!$B$60,$AW109,SUMIF($B$10:$B$16,"NCAP_TLIFE",$AX$10:$AX$16)),0,""))</f>
        <v/>
      </c>
      <c r="AV109" s="304">
        <f>IF(AW108=COM_2012!$AI$121,AV108+1,AV108)</f>
        <v>2</v>
      </c>
      <c r="AW109" s="304">
        <f t="shared" si="12"/>
        <v>21</v>
      </c>
    </row>
    <row r="110" spans="1:49">
      <c r="A110" s="304" t="str">
        <f ca="1">IF(LEFT(OFFSET(COM_2012!$A$60,AW110,0),2)="\I","*","")</f>
        <v/>
      </c>
      <c r="B110" s="369" t="str">
        <f t="shared" ca="1" si="10"/>
        <v>NCAP_BND</v>
      </c>
      <c r="C110" s="369" t="str">
        <f ca="1">IF($A110="*","",OFFSET(COM_2012!$B$60,AW110,0))</f>
        <v>CELELCFLU-E</v>
      </c>
      <c r="D110" s="369" t="str">
        <f t="shared" ca="1" si="11"/>
        <v>-</v>
      </c>
      <c r="E110" s="369" t="str">
        <f t="shared" ca="1" si="11"/>
        <v>-</v>
      </c>
      <c r="F110" s="369" t="str">
        <f t="shared" ca="1" si="11"/>
        <v>-</v>
      </c>
      <c r="G110" s="369" t="str">
        <f t="shared" ca="1" si="11"/>
        <v>-</v>
      </c>
      <c r="H110" s="369" t="str">
        <f t="shared" ca="1" si="11"/>
        <v>UP</v>
      </c>
      <c r="I110" s="370">
        <f t="shared" ca="1" si="11"/>
        <v>0</v>
      </c>
      <c r="J110" s="391">
        <f ca="1">IF($A110="*","",OFFSET(COM_2012!$B$60,AW110,SUMIF($B$10:$B$16,B110,$AX$10:$AX$16)))</f>
        <v>0</v>
      </c>
      <c r="K110" s="369" t="str">
        <f ca="1">IF($B110&lt;&gt;"PRC_RESID","",IF(K$7=2005+OFFSET(COM_2012!$B$60,$AW110,SUMIF($B$10:$B$16,"NCAP_TLIFE",$AX$10:$AX$16)),0,""))</f>
        <v/>
      </c>
      <c r="L110" s="369" t="str">
        <f ca="1">IF($B110&lt;&gt;"PRC_RESID","",IF(L$7=2005+OFFSET(COM_2012!$B$60,$AW110,SUMIF($B$10:$B$16,"NCAP_TLIFE",$AX$10:$AX$16)),0,""))</f>
        <v/>
      </c>
      <c r="M110" s="369" t="str">
        <f ca="1">IF($B110&lt;&gt;"PRC_RESID","",IF(M$7=2005+OFFSET(COM_2012!$B$60,$AW110,SUMIF($B$10:$B$16,"NCAP_TLIFE",$AX$10:$AX$16)),0,""))</f>
        <v/>
      </c>
      <c r="N110" s="369" t="str">
        <f ca="1">IF($B110&lt;&gt;"PRC_RESID","",IF(N$7=2005+OFFSET(COM_2012!$B$60,$AW110,SUMIF($B$10:$B$16,"NCAP_TLIFE",$AX$10:$AX$16)),0,""))</f>
        <v/>
      </c>
      <c r="O110" s="658" t="str">
        <f ca="1">IF($B110&lt;&gt;"PRC_RESID","",IF(O$7=2005+OFFSET(COM_2012!$B$60,$AW110,SUMIF($B$10:$B$16,"NCAP_TLIFE",$AX$10:$AX$16)),0,""))</f>
        <v/>
      </c>
      <c r="P110" s="369" t="str">
        <f ca="1">IF($B110&lt;&gt;"PRC_RESID","",IF(P$7=2005+OFFSET(COM_2012!$B$60,$AW110,SUMIF($B$10:$B$16,"NCAP_TLIFE",$AX$10:$AX$16)),0,""))</f>
        <v/>
      </c>
      <c r="Q110" s="369" t="str">
        <f ca="1">IF($B110&lt;&gt;"PRC_RESID","",IF(Q$7=2005+OFFSET(COM_2012!$B$60,$AW110,SUMIF($B$10:$B$16,"NCAP_TLIFE",$AX$10:$AX$16)),0,""))</f>
        <v/>
      </c>
      <c r="R110" s="369" t="str">
        <f ca="1">IF($B110&lt;&gt;"PRC_RESID","",IF(R$7=2005+OFFSET(COM_2012!$B$60,$AW110,SUMIF($B$10:$B$16,"NCAP_TLIFE",$AX$10:$AX$16)),0,""))</f>
        <v/>
      </c>
      <c r="S110" s="369" t="str">
        <f ca="1">IF($B110&lt;&gt;"PRC_RESID","",IF(S$7=2005+OFFSET(COM_2012!$B$60,$AW110,SUMIF($B$10:$B$16,"NCAP_TLIFE",$AX$10:$AX$16)),0,""))</f>
        <v/>
      </c>
      <c r="T110" s="369" t="str">
        <f ca="1">IF($B110&lt;&gt;"PRC_RESID","",IF(T$7=2005+OFFSET(COM_2012!$B$60,$AW110,SUMIF($B$10:$B$16,"NCAP_TLIFE",$AX$10:$AX$16)),0,""))</f>
        <v/>
      </c>
      <c r="U110" s="369" t="str">
        <f ca="1">IF($B110&lt;&gt;"PRC_RESID","",IF(U$7=2005+OFFSET(COM_2012!$B$60,$AW110,SUMIF($B$10:$B$16,"NCAP_TLIFE",$AX$10:$AX$16)),0,""))</f>
        <v/>
      </c>
      <c r="V110" s="369" t="str">
        <f ca="1">IF($B110&lt;&gt;"PRC_RESID","",IF(V$7=2005+OFFSET(COM_2012!$B$60,$AW110,SUMIF($B$10:$B$16,"NCAP_TLIFE",$AX$10:$AX$16)),0,""))</f>
        <v/>
      </c>
      <c r="W110" s="369" t="str">
        <f ca="1">IF($B110&lt;&gt;"PRC_RESID","",IF(W$7=2005+OFFSET(COM_2012!$B$60,$AW110,SUMIF($B$10:$B$16,"NCAP_TLIFE",$AX$10:$AX$16)),0,""))</f>
        <v/>
      </c>
      <c r="X110" s="369" t="str">
        <f ca="1">IF($B110&lt;&gt;"PRC_RESID","",IF(X$7=2005+OFFSET(COM_2012!$B$60,$AW110,SUMIF($B$10:$B$16,"NCAP_TLIFE",$AX$10:$AX$16)),0,""))</f>
        <v/>
      </c>
      <c r="Y110" s="369" t="str">
        <f ca="1">IF($B110&lt;&gt;"PRC_RESID","",IF(Y$7=2005+OFFSET(COM_2012!$B$60,$AW110,SUMIF($B$10:$B$16,"NCAP_TLIFE",$AX$10:$AX$16)),0,""))</f>
        <v/>
      </c>
      <c r="Z110" s="369" t="str">
        <f ca="1">IF($B110&lt;&gt;"PRC_RESID","",IF(Z$7=2005+OFFSET(COM_2012!$B$60,$AW110,SUMIF($B$10:$B$16,"NCAP_TLIFE",$AX$10:$AX$16)),0,""))</f>
        <v/>
      </c>
      <c r="AA110" s="369" t="str">
        <f ca="1">IF($B110&lt;&gt;"PRC_RESID","",IF(AA$7=2005+OFFSET(COM_2012!$B$60,$AW110,SUMIF($B$10:$B$16,"NCAP_TLIFE",$AX$10:$AX$16)),0,""))</f>
        <v/>
      </c>
      <c r="AB110" s="369" t="str">
        <f ca="1">IF($B110&lt;&gt;"PRC_RESID","",IF(AB$7=2005+OFFSET(COM_2012!$B$60,$AW110,SUMIF($B$10:$B$16,"NCAP_TLIFE",$AX$10:$AX$16)),0,""))</f>
        <v/>
      </c>
      <c r="AC110" s="369" t="str">
        <f ca="1">IF($B110&lt;&gt;"PRC_RESID","",IF(AC$7=2005+OFFSET(COM_2012!$B$60,$AW110,SUMIF($B$10:$B$16,"NCAP_TLIFE",$AX$10:$AX$16)),0,""))</f>
        <v/>
      </c>
      <c r="AD110" s="369" t="str">
        <f ca="1">IF($B110&lt;&gt;"PRC_RESID","",IF(AD$7=2005+OFFSET(COM_2012!$B$60,$AW110,SUMIF($B$10:$B$16,"NCAP_TLIFE",$AX$10:$AX$16)),0,""))</f>
        <v/>
      </c>
      <c r="AE110" s="369" t="str">
        <f ca="1">IF($B110&lt;&gt;"PRC_RESID","",IF(AE$7=2005+OFFSET(COM_2012!$B$60,$AW110,SUMIF($B$10:$B$16,"NCAP_TLIFE",$AX$10:$AX$16)),0,""))</f>
        <v/>
      </c>
      <c r="AF110" s="369" t="str">
        <f ca="1">IF($B110&lt;&gt;"PRC_RESID","",IF(AF$7=2005+OFFSET(COM_2012!$B$60,$AW110,SUMIF($B$10:$B$16,"NCAP_TLIFE",$AX$10:$AX$16)),0,""))</f>
        <v/>
      </c>
      <c r="AG110" s="369" t="str">
        <f ca="1">IF($B110&lt;&gt;"PRC_RESID","",IF(AG$7=2005+OFFSET(COM_2012!$B$60,$AW110,SUMIF($B$10:$B$16,"NCAP_TLIFE",$AX$10:$AX$16)),0,""))</f>
        <v/>
      </c>
      <c r="AH110" s="369" t="str">
        <f ca="1">IF($B110&lt;&gt;"PRC_RESID","",IF(AH$7=2005+OFFSET(COM_2012!$B$60,$AW110,SUMIF($B$10:$B$16,"NCAP_TLIFE",$AX$10:$AX$16)),0,""))</f>
        <v/>
      </c>
      <c r="AI110" s="369" t="str">
        <f ca="1">IF($B110&lt;&gt;"PRC_RESID","",IF(AI$7=2005+OFFSET(COM_2012!$B$60,$AW110,SUMIF($B$10:$B$16,"NCAP_TLIFE",$AX$10:$AX$16)),0,""))</f>
        <v/>
      </c>
      <c r="AJ110" s="369" t="str">
        <f ca="1">IF($B110&lt;&gt;"PRC_RESID","",IF(AJ$7=2005+OFFSET(COM_2012!$B$60,$AW110,SUMIF($B$10:$B$16,"NCAP_TLIFE",$AX$10:$AX$16)),0,""))</f>
        <v/>
      </c>
      <c r="AK110" s="369" t="str">
        <f ca="1">IF($B110&lt;&gt;"PRC_RESID","",IF(AK$7=2005+OFFSET(COM_2012!$B$60,$AW110,SUMIF($B$10:$B$16,"NCAP_TLIFE",$AX$10:$AX$16)),0,""))</f>
        <v/>
      </c>
      <c r="AL110" s="369" t="str">
        <f ca="1">IF($B110&lt;&gt;"PRC_RESID","",IF(AL$7=2005+OFFSET(COM_2012!$B$60,$AW110,SUMIF($B$10:$B$16,"NCAP_TLIFE",$AX$10:$AX$16)),0,""))</f>
        <v/>
      </c>
      <c r="AM110" s="369" t="str">
        <f ca="1">IF($B110&lt;&gt;"PRC_RESID","",IF(AM$7=2005+OFFSET(COM_2012!$B$60,$AW110,SUMIF($B$10:$B$16,"NCAP_TLIFE",$AX$10:$AX$16)),0,""))</f>
        <v/>
      </c>
      <c r="AN110" s="369" t="str">
        <f ca="1">IF($B110&lt;&gt;"PRC_RESID","",IF(AN$7=2005+OFFSET(COM_2012!$B$60,$AW110,SUMIF($B$10:$B$16,"NCAP_TLIFE",$AX$10:$AX$16)),0,""))</f>
        <v/>
      </c>
      <c r="AO110" s="369" t="str">
        <f ca="1">IF($B110&lt;&gt;"PRC_RESID","",IF(AO$7=2005+OFFSET(COM_2012!$B$60,$AW110,SUMIF($B$10:$B$16,"NCAP_TLIFE",$AX$10:$AX$16)),0,""))</f>
        <v/>
      </c>
      <c r="AP110" s="369" t="str">
        <f ca="1">IF($B110&lt;&gt;"PRC_RESID","",IF(AP$7=2005+OFFSET(COM_2012!$B$60,$AW110,SUMIF($B$10:$B$16,"NCAP_TLIFE",$AX$10:$AX$16)),0,""))</f>
        <v/>
      </c>
      <c r="AQ110" s="369" t="str">
        <f ca="1">IF($B110&lt;&gt;"PRC_RESID","",IF(AQ$7=2005+OFFSET(COM_2012!$B$60,$AW110,SUMIF($B$10:$B$16,"NCAP_TLIFE",$AX$10:$AX$16)),0,""))</f>
        <v/>
      </c>
      <c r="AR110" s="369" t="str">
        <f ca="1">IF($B110&lt;&gt;"PRC_RESID","",IF(AR$7=2005+OFFSET(COM_2012!$B$60,$AW110,SUMIF($B$10:$B$16,"NCAP_TLIFE",$AX$10:$AX$16)),0,""))</f>
        <v/>
      </c>
      <c r="AS110" s="369" t="str">
        <f ca="1">IF($B110&lt;&gt;"PRC_RESID","",IF(AS$7=2005+OFFSET(COM_2012!$B$60,$AW110,SUMIF($B$10:$B$16,"NCAP_TLIFE",$AX$10:$AX$16)),0,""))</f>
        <v/>
      </c>
      <c r="AT110" s="369" t="str">
        <f ca="1">IF($B110&lt;&gt;"PRC_RESID","",IF(AT$7=2005+OFFSET(COM_2012!$B$60,$AW110,SUMIF($B$10:$B$16,"NCAP_TLIFE",$AX$10:$AX$16)),0,""))</f>
        <v/>
      </c>
      <c r="AU110" s="369" t="str">
        <f ca="1">IF($B110&lt;&gt;"PRC_RESID","",IF(AU$7=2005+OFFSET(COM_2012!$B$60,$AW110,SUMIF($B$10:$B$16,"NCAP_TLIFE",$AX$10:$AX$16)),0,""))</f>
        <v/>
      </c>
      <c r="AV110" s="304">
        <f>IF(AW109=COM_2012!$AI$121,AV109+1,AV109)</f>
        <v>2</v>
      </c>
      <c r="AW110" s="304">
        <f t="shared" si="12"/>
        <v>22</v>
      </c>
    </row>
    <row r="111" spans="1:49">
      <c r="A111" s="304" t="str">
        <f ca="1">IF(LEFT(OFFSET(COM_2012!$A$60,AW111,0),2)="\I","*","")</f>
        <v/>
      </c>
      <c r="B111" s="369" t="str">
        <f t="shared" ca="1" si="10"/>
        <v>NCAP_BND</v>
      </c>
      <c r="C111" s="369" t="str">
        <f ca="1">IF($A111="*","",OFFSET(COM_2012!$B$60,AW111,0))</f>
        <v>CELELCHAL-E</v>
      </c>
      <c r="D111" s="369" t="str">
        <f t="shared" ca="1" si="11"/>
        <v>-</v>
      </c>
      <c r="E111" s="369" t="str">
        <f t="shared" ca="1" si="11"/>
        <v>-</v>
      </c>
      <c r="F111" s="369" t="str">
        <f t="shared" ca="1" si="11"/>
        <v>-</v>
      </c>
      <c r="G111" s="369" t="str">
        <f t="shared" ca="1" si="11"/>
        <v>-</v>
      </c>
      <c r="H111" s="369" t="str">
        <f t="shared" ca="1" si="11"/>
        <v>UP</v>
      </c>
      <c r="I111" s="370">
        <f t="shared" ca="1" si="11"/>
        <v>0</v>
      </c>
      <c r="J111" s="391">
        <f ca="1">IF($A111="*","",OFFSET(COM_2012!$B$60,AW111,SUMIF($B$10:$B$16,B111,$AX$10:$AX$16)))</f>
        <v>0</v>
      </c>
      <c r="K111" s="369" t="str">
        <f ca="1">IF($B111&lt;&gt;"PRC_RESID","",IF(K$7=2005+OFFSET(COM_2012!$B$60,$AW111,SUMIF($B$10:$B$16,"NCAP_TLIFE",$AX$10:$AX$16)),0,""))</f>
        <v/>
      </c>
      <c r="L111" s="369" t="str">
        <f ca="1">IF($B111&lt;&gt;"PRC_RESID","",IF(L$7=2005+OFFSET(COM_2012!$B$60,$AW111,SUMIF($B$10:$B$16,"NCAP_TLIFE",$AX$10:$AX$16)),0,""))</f>
        <v/>
      </c>
      <c r="M111" s="369" t="str">
        <f ca="1">IF($B111&lt;&gt;"PRC_RESID","",IF(M$7=2005+OFFSET(COM_2012!$B$60,$AW111,SUMIF($B$10:$B$16,"NCAP_TLIFE",$AX$10:$AX$16)),0,""))</f>
        <v/>
      </c>
      <c r="N111" s="369" t="str">
        <f ca="1">IF($B111&lt;&gt;"PRC_RESID","",IF(N$7=2005+OFFSET(COM_2012!$B$60,$AW111,SUMIF($B$10:$B$16,"NCAP_TLIFE",$AX$10:$AX$16)),0,""))</f>
        <v/>
      </c>
      <c r="O111" s="658" t="str">
        <f ca="1">IF($B111&lt;&gt;"PRC_RESID","",IF(O$7=2005+OFFSET(COM_2012!$B$60,$AW111,SUMIF($B$10:$B$16,"NCAP_TLIFE",$AX$10:$AX$16)),0,""))</f>
        <v/>
      </c>
      <c r="P111" s="369" t="str">
        <f ca="1">IF($B111&lt;&gt;"PRC_RESID","",IF(P$7=2005+OFFSET(COM_2012!$B$60,$AW111,SUMIF($B$10:$B$16,"NCAP_TLIFE",$AX$10:$AX$16)),0,""))</f>
        <v/>
      </c>
      <c r="Q111" s="369" t="str">
        <f ca="1">IF($B111&lt;&gt;"PRC_RESID","",IF(Q$7=2005+OFFSET(COM_2012!$B$60,$AW111,SUMIF($B$10:$B$16,"NCAP_TLIFE",$AX$10:$AX$16)),0,""))</f>
        <v/>
      </c>
      <c r="R111" s="369" t="str">
        <f ca="1">IF($B111&lt;&gt;"PRC_RESID","",IF(R$7=2005+OFFSET(COM_2012!$B$60,$AW111,SUMIF($B$10:$B$16,"NCAP_TLIFE",$AX$10:$AX$16)),0,""))</f>
        <v/>
      </c>
      <c r="S111" s="369" t="str">
        <f ca="1">IF($B111&lt;&gt;"PRC_RESID","",IF(S$7=2005+OFFSET(COM_2012!$B$60,$AW111,SUMIF($B$10:$B$16,"NCAP_TLIFE",$AX$10:$AX$16)),0,""))</f>
        <v/>
      </c>
      <c r="T111" s="369" t="str">
        <f ca="1">IF($B111&lt;&gt;"PRC_RESID","",IF(T$7=2005+OFFSET(COM_2012!$B$60,$AW111,SUMIF($B$10:$B$16,"NCAP_TLIFE",$AX$10:$AX$16)),0,""))</f>
        <v/>
      </c>
      <c r="U111" s="369" t="str">
        <f ca="1">IF($B111&lt;&gt;"PRC_RESID","",IF(U$7=2005+OFFSET(COM_2012!$B$60,$AW111,SUMIF($B$10:$B$16,"NCAP_TLIFE",$AX$10:$AX$16)),0,""))</f>
        <v/>
      </c>
      <c r="V111" s="369" t="str">
        <f ca="1">IF($B111&lt;&gt;"PRC_RESID","",IF(V$7=2005+OFFSET(COM_2012!$B$60,$AW111,SUMIF($B$10:$B$16,"NCAP_TLIFE",$AX$10:$AX$16)),0,""))</f>
        <v/>
      </c>
      <c r="W111" s="369" t="str">
        <f ca="1">IF($B111&lt;&gt;"PRC_RESID","",IF(W$7=2005+OFFSET(COM_2012!$B$60,$AW111,SUMIF($B$10:$B$16,"NCAP_TLIFE",$AX$10:$AX$16)),0,""))</f>
        <v/>
      </c>
      <c r="X111" s="369" t="str">
        <f ca="1">IF($B111&lt;&gt;"PRC_RESID","",IF(X$7=2005+OFFSET(COM_2012!$B$60,$AW111,SUMIF($B$10:$B$16,"NCAP_TLIFE",$AX$10:$AX$16)),0,""))</f>
        <v/>
      </c>
      <c r="Y111" s="369" t="str">
        <f ca="1">IF($B111&lt;&gt;"PRC_RESID","",IF(Y$7=2005+OFFSET(COM_2012!$B$60,$AW111,SUMIF($B$10:$B$16,"NCAP_TLIFE",$AX$10:$AX$16)),0,""))</f>
        <v/>
      </c>
      <c r="Z111" s="369" t="str">
        <f ca="1">IF($B111&lt;&gt;"PRC_RESID","",IF(Z$7=2005+OFFSET(COM_2012!$B$60,$AW111,SUMIF($B$10:$B$16,"NCAP_TLIFE",$AX$10:$AX$16)),0,""))</f>
        <v/>
      </c>
      <c r="AA111" s="369" t="str">
        <f ca="1">IF($B111&lt;&gt;"PRC_RESID","",IF(AA$7=2005+OFFSET(COM_2012!$B$60,$AW111,SUMIF($B$10:$B$16,"NCAP_TLIFE",$AX$10:$AX$16)),0,""))</f>
        <v/>
      </c>
      <c r="AB111" s="369" t="str">
        <f ca="1">IF($B111&lt;&gt;"PRC_RESID","",IF(AB$7=2005+OFFSET(COM_2012!$B$60,$AW111,SUMIF($B$10:$B$16,"NCAP_TLIFE",$AX$10:$AX$16)),0,""))</f>
        <v/>
      </c>
      <c r="AC111" s="369" t="str">
        <f ca="1">IF($B111&lt;&gt;"PRC_RESID","",IF(AC$7=2005+OFFSET(COM_2012!$B$60,$AW111,SUMIF($B$10:$B$16,"NCAP_TLIFE",$AX$10:$AX$16)),0,""))</f>
        <v/>
      </c>
      <c r="AD111" s="369" t="str">
        <f ca="1">IF($B111&lt;&gt;"PRC_RESID","",IF(AD$7=2005+OFFSET(COM_2012!$B$60,$AW111,SUMIF($B$10:$B$16,"NCAP_TLIFE",$AX$10:$AX$16)),0,""))</f>
        <v/>
      </c>
      <c r="AE111" s="369" t="str">
        <f ca="1">IF($B111&lt;&gt;"PRC_RESID","",IF(AE$7=2005+OFFSET(COM_2012!$B$60,$AW111,SUMIF($B$10:$B$16,"NCAP_TLIFE",$AX$10:$AX$16)),0,""))</f>
        <v/>
      </c>
      <c r="AF111" s="369" t="str">
        <f ca="1">IF($B111&lt;&gt;"PRC_RESID","",IF(AF$7=2005+OFFSET(COM_2012!$B$60,$AW111,SUMIF($B$10:$B$16,"NCAP_TLIFE",$AX$10:$AX$16)),0,""))</f>
        <v/>
      </c>
      <c r="AG111" s="369" t="str">
        <f ca="1">IF($B111&lt;&gt;"PRC_RESID","",IF(AG$7=2005+OFFSET(COM_2012!$B$60,$AW111,SUMIF($B$10:$B$16,"NCAP_TLIFE",$AX$10:$AX$16)),0,""))</f>
        <v/>
      </c>
      <c r="AH111" s="369" t="str">
        <f ca="1">IF($B111&lt;&gt;"PRC_RESID","",IF(AH$7=2005+OFFSET(COM_2012!$B$60,$AW111,SUMIF($B$10:$B$16,"NCAP_TLIFE",$AX$10:$AX$16)),0,""))</f>
        <v/>
      </c>
      <c r="AI111" s="369" t="str">
        <f ca="1">IF($B111&lt;&gt;"PRC_RESID","",IF(AI$7=2005+OFFSET(COM_2012!$B$60,$AW111,SUMIF($B$10:$B$16,"NCAP_TLIFE",$AX$10:$AX$16)),0,""))</f>
        <v/>
      </c>
      <c r="AJ111" s="369" t="str">
        <f ca="1">IF($B111&lt;&gt;"PRC_RESID","",IF(AJ$7=2005+OFFSET(COM_2012!$B$60,$AW111,SUMIF($B$10:$B$16,"NCAP_TLIFE",$AX$10:$AX$16)),0,""))</f>
        <v/>
      </c>
      <c r="AK111" s="369" t="str">
        <f ca="1">IF($B111&lt;&gt;"PRC_RESID","",IF(AK$7=2005+OFFSET(COM_2012!$B$60,$AW111,SUMIF($B$10:$B$16,"NCAP_TLIFE",$AX$10:$AX$16)),0,""))</f>
        <v/>
      </c>
      <c r="AL111" s="369" t="str">
        <f ca="1">IF($B111&lt;&gt;"PRC_RESID","",IF(AL$7=2005+OFFSET(COM_2012!$B$60,$AW111,SUMIF($B$10:$B$16,"NCAP_TLIFE",$AX$10:$AX$16)),0,""))</f>
        <v/>
      </c>
      <c r="AM111" s="369" t="str">
        <f ca="1">IF($B111&lt;&gt;"PRC_RESID","",IF(AM$7=2005+OFFSET(COM_2012!$B$60,$AW111,SUMIF($B$10:$B$16,"NCAP_TLIFE",$AX$10:$AX$16)),0,""))</f>
        <v/>
      </c>
      <c r="AN111" s="369" t="str">
        <f ca="1">IF($B111&lt;&gt;"PRC_RESID","",IF(AN$7=2005+OFFSET(COM_2012!$B$60,$AW111,SUMIF($B$10:$B$16,"NCAP_TLIFE",$AX$10:$AX$16)),0,""))</f>
        <v/>
      </c>
      <c r="AO111" s="369" t="str">
        <f ca="1">IF($B111&lt;&gt;"PRC_RESID","",IF(AO$7=2005+OFFSET(COM_2012!$B$60,$AW111,SUMIF($B$10:$B$16,"NCAP_TLIFE",$AX$10:$AX$16)),0,""))</f>
        <v/>
      </c>
      <c r="AP111" s="369" t="str">
        <f ca="1">IF($B111&lt;&gt;"PRC_RESID","",IF(AP$7=2005+OFFSET(COM_2012!$B$60,$AW111,SUMIF($B$10:$B$16,"NCAP_TLIFE",$AX$10:$AX$16)),0,""))</f>
        <v/>
      </c>
      <c r="AQ111" s="369" t="str">
        <f ca="1">IF($B111&lt;&gt;"PRC_RESID","",IF(AQ$7=2005+OFFSET(COM_2012!$B$60,$AW111,SUMIF($B$10:$B$16,"NCAP_TLIFE",$AX$10:$AX$16)),0,""))</f>
        <v/>
      </c>
      <c r="AR111" s="369" t="str">
        <f ca="1">IF($B111&lt;&gt;"PRC_RESID","",IF(AR$7=2005+OFFSET(COM_2012!$B$60,$AW111,SUMIF($B$10:$B$16,"NCAP_TLIFE",$AX$10:$AX$16)),0,""))</f>
        <v/>
      </c>
      <c r="AS111" s="369" t="str">
        <f ca="1">IF($B111&lt;&gt;"PRC_RESID","",IF(AS$7=2005+OFFSET(COM_2012!$B$60,$AW111,SUMIF($B$10:$B$16,"NCAP_TLIFE",$AX$10:$AX$16)),0,""))</f>
        <v/>
      </c>
      <c r="AT111" s="369" t="str">
        <f ca="1">IF($B111&lt;&gt;"PRC_RESID","",IF(AT$7=2005+OFFSET(COM_2012!$B$60,$AW111,SUMIF($B$10:$B$16,"NCAP_TLIFE",$AX$10:$AX$16)),0,""))</f>
        <v/>
      </c>
      <c r="AU111" s="369" t="str">
        <f ca="1">IF($B111&lt;&gt;"PRC_RESID","",IF(AU$7=2005+OFFSET(COM_2012!$B$60,$AW111,SUMIF($B$10:$B$16,"NCAP_TLIFE",$AX$10:$AX$16)),0,""))</f>
        <v/>
      </c>
      <c r="AV111" s="304">
        <f>IF(AW110=COM_2012!$AI$121,AV110+1,AV110)</f>
        <v>2</v>
      </c>
      <c r="AW111" s="304">
        <f t="shared" si="12"/>
        <v>23</v>
      </c>
    </row>
    <row r="112" spans="1:49">
      <c r="A112" s="304" t="str">
        <f ca="1">IF(LEFT(OFFSET(COM_2012!$A$60,AW112,0),2)="\I","*","")</f>
        <v/>
      </c>
      <c r="B112" s="369" t="str">
        <f t="shared" ca="1" si="10"/>
        <v>NCAP_BND</v>
      </c>
      <c r="C112" s="369" t="str">
        <f ca="1">IF($A112="*","",OFFSET(COM_2012!$B$60,AW112,0))</f>
        <v>CELELCHID-E</v>
      </c>
      <c r="D112" s="369" t="str">
        <f t="shared" ca="1" si="11"/>
        <v>-</v>
      </c>
      <c r="E112" s="369" t="str">
        <f t="shared" ca="1" si="11"/>
        <v>-</v>
      </c>
      <c r="F112" s="369" t="str">
        <f t="shared" ca="1" si="11"/>
        <v>-</v>
      </c>
      <c r="G112" s="369" t="str">
        <f t="shared" ca="1" si="11"/>
        <v>-</v>
      </c>
      <c r="H112" s="369" t="str">
        <f t="shared" ca="1" si="11"/>
        <v>UP</v>
      </c>
      <c r="I112" s="370">
        <f t="shared" ca="1" si="11"/>
        <v>0</v>
      </c>
      <c r="J112" s="391">
        <f ca="1">IF($A112="*","",OFFSET(COM_2012!$B$60,AW112,SUMIF($B$10:$B$16,B112,$AX$10:$AX$16)))</f>
        <v>0</v>
      </c>
      <c r="K112" s="391">
        <f ca="1">IF($A112="*","",OFFSET(COM_2012!$B$60,AX112,SUMIF($B$10:$B$16,C112,$AX$10:$AX$16)))</f>
        <v>0</v>
      </c>
      <c r="L112" s="391">
        <f ca="1">IF($A112="*","",OFFSET(COM_2012!$B$60,AY112,SUMIF($B$10:$B$16,D112,$AX$10:$AX$16)))</f>
        <v>0</v>
      </c>
      <c r="M112" s="391">
        <f ca="1">IF($A112="*","",OFFSET(COM_2012!$B$60,AZ112,SUMIF($B$10:$B$16,E112,$AX$10:$AX$16)))</f>
        <v>0</v>
      </c>
      <c r="N112" s="369" t="str">
        <f ca="1">IF($B112&lt;&gt;"PRC_RESID","",IF(N$7=2005+OFFSET(COM_2012!$B$60,$AW112,SUMIF($B$10:$B$16,"NCAP_TLIFE",$AX$10:$AX$16)),0,""))</f>
        <v/>
      </c>
      <c r="O112" s="658" t="str">
        <f ca="1">IF($B112&lt;&gt;"PRC_RESID","",IF(O$7=2005+OFFSET(COM_2012!$B$60,$AW112,SUMIF($B$10:$B$16,"NCAP_TLIFE",$AX$10:$AX$16)),0,""))</f>
        <v/>
      </c>
      <c r="P112" s="369" t="str">
        <f ca="1">IF($B112&lt;&gt;"PRC_RESID","",IF(P$7=2005+OFFSET(COM_2012!$B$60,$AW112,SUMIF($B$10:$B$16,"NCAP_TLIFE",$AX$10:$AX$16)),0,""))</f>
        <v/>
      </c>
      <c r="Q112" s="369" t="str">
        <f ca="1">IF($B112&lt;&gt;"PRC_RESID","",IF(Q$7=2005+OFFSET(COM_2012!$B$60,$AW112,SUMIF($B$10:$B$16,"NCAP_TLIFE",$AX$10:$AX$16)),0,""))</f>
        <v/>
      </c>
      <c r="R112" s="369" t="str">
        <f ca="1">IF($B112&lt;&gt;"PRC_RESID","",IF(R$7=2005+OFFSET(COM_2012!$B$60,$AW112,SUMIF($B$10:$B$16,"NCAP_TLIFE",$AX$10:$AX$16)),0,""))</f>
        <v/>
      </c>
      <c r="S112" s="369" t="str">
        <f ca="1">IF($B112&lt;&gt;"PRC_RESID","",IF(S$7=2005+OFFSET(COM_2012!$B$60,$AW112,SUMIF($B$10:$B$16,"NCAP_TLIFE",$AX$10:$AX$16)),0,""))</f>
        <v/>
      </c>
      <c r="T112" s="369" t="str">
        <f ca="1">IF($B112&lt;&gt;"PRC_RESID","",IF(T$7=2005+OFFSET(COM_2012!$B$60,$AW112,SUMIF($B$10:$B$16,"NCAP_TLIFE",$AX$10:$AX$16)),0,""))</f>
        <v/>
      </c>
      <c r="U112" s="369" t="str">
        <f ca="1">IF($B112&lt;&gt;"PRC_RESID","",IF(U$7=2005+OFFSET(COM_2012!$B$60,$AW112,SUMIF($B$10:$B$16,"NCAP_TLIFE",$AX$10:$AX$16)),0,""))</f>
        <v/>
      </c>
      <c r="V112" s="369" t="str">
        <f ca="1">IF($B112&lt;&gt;"PRC_RESID","",IF(V$7=2005+OFFSET(COM_2012!$B$60,$AW112,SUMIF($B$10:$B$16,"NCAP_TLIFE",$AX$10:$AX$16)),0,""))</f>
        <v/>
      </c>
      <c r="W112" s="369" t="str">
        <f ca="1">IF($B112&lt;&gt;"PRC_RESID","",IF(W$7=2005+OFFSET(COM_2012!$B$60,$AW112,SUMIF($B$10:$B$16,"NCAP_TLIFE",$AX$10:$AX$16)),0,""))</f>
        <v/>
      </c>
      <c r="X112" s="369" t="str">
        <f ca="1">IF($B112&lt;&gt;"PRC_RESID","",IF(X$7=2005+OFFSET(COM_2012!$B$60,$AW112,SUMIF($B$10:$B$16,"NCAP_TLIFE",$AX$10:$AX$16)),0,""))</f>
        <v/>
      </c>
      <c r="Y112" s="369" t="str">
        <f ca="1">IF($B112&lt;&gt;"PRC_RESID","",IF(Y$7=2005+OFFSET(COM_2012!$B$60,$AW112,SUMIF($B$10:$B$16,"NCAP_TLIFE",$AX$10:$AX$16)),0,""))</f>
        <v/>
      </c>
      <c r="Z112" s="369" t="str">
        <f ca="1">IF($B112&lt;&gt;"PRC_RESID","",IF(Z$7=2005+OFFSET(COM_2012!$B$60,$AW112,SUMIF($B$10:$B$16,"NCAP_TLIFE",$AX$10:$AX$16)),0,""))</f>
        <v/>
      </c>
      <c r="AA112" s="369" t="str">
        <f ca="1">IF($B112&lt;&gt;"PRC_RESID","",IF(AA$7=2005+OFFSET(COM_2012!$B$60,$AW112,SUMIF($B$10:$B$16,"NCAP_TLIFE",$AX$10:$AX$16)),0,""))</f>
        <v/>
      </c>
      <c r="AB112" s="369" t="str">
        <f ca="1">IF($B112&lt;&gt;"PRC_RESID","",IF(AB$7=2005+OFFSET(COM_2012!$B$60,$AW112,SUMIF($B$10:$B$16,"NCAP_TLIFE",$AX$10:$AX$16)),0,""))</f>
        <v/>
      </c>
      <c r="AC112" s="369" t="str">
        <f ca="1">IF($B112&lt;&gt;"PRC_RESID","",IF(AC$7=2005+OFFSET(COM_2012!$B$60,$AW112,SUMIF($B$10:$B$16,"NCAP_TLIFE",$AX$10:$AX$16)),0,""))</f>
        <v/>
      </c>
      <c r="AD112" s="369" t="str">
        <f ca="1">IF($B112&lt;&gt;"PRC_RESID","",IF(AD$7=2005+OFFSET(COM_2012!$B$60,$AW112,SUMIF($B$10:$B$16,"NCAP_TLIFE",$AX$10:$AX$16)),0,""))</f>
        <v/>
      </c>
      <c r="AE112" s="369" t="str">
        <f ca="1">IF($B112&lt;&gt;"PRC_RESID","",IF(AE$7=2005+OFFSET(COM_2012!$B$60,$AW112,SUMIF($B$10:$B$16,"NCAP_TLIFE",$AX$10:$AX$16)),0,""))</f>
        <v/>
      </c>
      <c r="AF112" s="369" t="str">
        <f ca="1">IF($B112&lt;&gt;"PRC_RESID","",IF(AF$7=2005+OFFSET(COM_2012!$B$60,$AW112,SUMIF($B$10:$B$16,"NCAP_TLIFE",$AX$10:$AX$16)),0,""))</f>
        <v/>
      </c>
      <c r="AG112" s="369" t="str">
        <f ca="1">IF($B112&lt;&gt;"PRC_RESID","",IF(AG$7=2005+OFFSET(COM_2012!$B$60,$AW112,SUMIF($B$10:$B$16,"NCAP_TLIFE",$AX$10:$AX$16)),0,""))</f>
        <v/>
      </c>
      <c r="AH112" s="369" t="str">
        <f ca="1">IF($B112&lt;&gt;"PRC_RESID","",IF(AH$7=2005+OFFSET(COM_2012!$B$60,$AW112,SUMIF($B$10:$B$16,"NCAP_TLIFE",$AX$10:$AX$16)),0,""))</f>
        <v/>
      </c>
      <c r="AI112" s="369" t="str">
        <f ca="1">IF($B112&lt;&gt;"PRC_RESID","",IF(AI$7=2005+OFFSET(COM_2012!$B$60,$AW112,SUMIF($B$10:$B$16,"NCAP_TLIFE",$AX$10:$AX$16)),0,""))</f>
        <v/>
      </c>
      <c r="AJ112" s="369" t="str">
        <f ca="1">IF($B112&lt;&gt;"PRC_RESID","",IF(AJ$7=2005+OFFSET(COM_2012!$B$60,$AW112,SUMIF($B$10:$B$16,"NCAP_TLIFE",$AX$10:$AX$16)),0,""))</f>
        <v/>
      </c>
      <c r="AK112" s="369" t="str">
        <f ca="1">IF($B112&lt;&gt;"PRC_RESID","",IF(AK$7=2005+OFFSET(COM_2012!$B$60,$AW112,SUMIF($B$10:$B$16,"NCAP_TLIFE",$AX$10:$AX$16)),0,""))</f>
        <v/>
      </c>
      <c r="AL112" s="369" t="str">
        <f ca="1">IF($B112&lt;&gt;"PRC_RESID","",IF(AL$7=2005+OFFSET(COM_2012!$B$60,$AW112,SUMIF($B$10:$B$16,"NCAP_TLIFE",$AX$10:$AX$16)),0,""))</f>
        <v/>
      </c>
      <c r="AM112" s="369" t="str">
        <f ca="1">IF($B112&lt;&gt;"PRC_RESID","",IF(AM$7=2005+OFFSET(COM_2012!$B$60,$AW112,SUMIF($B$10:$B$16,"NCAP_TLIFE",$AX$10:$AX$16)),0,""))</f>
        <v/>
      </c>
      <c r="AN112" s="369" t="str">
        <f ca="1">IF($B112&lt;&gt;"PRC_RESID","",IF(AN$7=2005+OFFSET(COM_2012!$B$60,$AW112,SUMIF($B$10:$B$16,"NCAP_TLIFE",$AX$10:$AX$16)),0,""))</f>
        <v/>
      </c>
      <c r="AO112" s="369" t="str">
        <f ca="1">IF($B112&lt;&gt;"PRC_RESID","",IF(AO$7=2005+OFFSET(COM_2012!$B$60,$AW112,SUMIF($B$10:$B$16,"NCAP_TLIFE",$AX$10:$AX$16)),0,""))</f>
        <v/>
      </c>
      <c r="AP112" s="369" t="str">
        <f ca="1">IF($B112&lt;&gt;"PRC_RESID","",IF(AP$7=2005+OFFSET(COM_2012!$B$60,$AW112,SUMIF($B$10:$B$16,"NCAP_TLIFE",$AX$10:$AX$16)),0,""))</f>
        <v/>
      </c>
      <c r="AQ112" s="369" t="str">
        <f ca="1">IF($B112&lt;&gt;"PRC_RESID","",IF(AQ$7=2005+OFFSET(COM_2012!$B$60,$AW112,SUMIF($B$10:$B$16,"NCAP_TLIFE",$AX$10:$AX$16)),0,""))</f>
        <v/>
      </c>
      <c r="AR112" s="369" t="str">
        <f ca="1">IF($B112&lt;&gt;"PRC_RESID","",IF(AR$7=2005+OFFSET(COM_2012!$B$60,$AW112,SUMIF($B$10:$B$16,"NCAP_TLIFE",$AX$10:$AX$16)),0,""))</f>
        <v/>
      </c>
      <c r="AS112" s="369" t="str">
        <f ca="1">IF($B112&lt;&gt;"PRC_RESID","",IF(AS$7=2005+OFFSET(COM_2012!$B$60,$AW112,SUMIF($B$10:$B$16,"NCAP_TLIFE",$AX$10:$AX$16)),0,""))</f>
        <v/>
      </c>
      <c r="AT112" s="369" t="str">
        <f ca="1">IF($B112&lt;&gt;"PRC_RESID","",IF(AT$7=2005+OFFSET(COM_2012!$B$60,$AW112,SUMIF($B$10:$B$16,"NCAP_TLIFE",$AX$10:$AX$16)),0,""))</f>
        <v/>
      </c>
      <c r="AU112" s="369" t="str">
        <f ca="1">IF($B112&lt;&gt;"PRC_RESID","",IF(AU$7=2005+OFFSET(COM_2012!$B$60,$AW112,SUMIF($B$10:$B$16,"NCAP_TLIFE",$AX$10:$AX$16)),0,""))</f>
        <v/>
      </c>
      <c r="AV112" s="304">
        <f>IF(AW111=COM_2012!$AI$121,AV111+1,AV111)</f>
        <v>2</v>
      </c>
      <c r="AW112" s="304">
        <f t="shared" si="12"/>
        <v>24</v>
      </c>
    </row>
    <row r="113" spans="1:49">
      <c r="A113" s="304" t="str">
        <f ca="1">IF(LEFT(OFFSET(COM_2012!$A$60,AW113,0),2)="\I","*","")</f>
        <v/>
      </c>
      <c r="B113" s="369" t="str">
        <f t="shared" ca="1" si="10"/>
        <v>NCAP_BND</v>
      </c>
      <c r="C113" s="369" t="str">
        <f ca="1">IF($A113="*","",OFFSET(COM_2012!$B$60,AW113,0))</f>
        <v>CELELCINC-E</v>
      </c>
      <c r="D113" s="369" t="str">
        <f t="shared" ca="1" si="11"/>
        <v>-</v>
      </c>
      <c r="E113" s="369" t="str">
        <f t="shared" ca="1" si="11"/>
        <v>-</v>
      </c>
      <c r="F113" s="369" t="str">
        <f t="shared" ca="1" si="11"/>
        <v>-</v>
      </c>
      <c r="G113" s="369" t="str">
        <f t="shared" ca="1" si="11"/>
        <v>-</v>
      </c>
      <c r="H113" s="369" t="str">
        <f t="shared" ca="1" si="11"/>
        <v>UP</v>
      </c>
      <c r="I113" s="370">
        <f t="shared" ca="1" si="11"/>
        <v>0</v>
      </c>
      <c r="J113" s="391">
        <f ca="1">IF($A113="*","",OFFSET(COM_2012!$B$60,AW113,SUMIF($B$10:$B$16,B113,$AX$10:$AX$16)))</f>
        <v>0</v>
      </c>
      <c r="K113" s="369" t="str">
        <f ca="1">IF($B113&lt;&gt;"PRC_RESID","",IF(K$7=2005+OFFSET(COM_2012!$B$60,$AW113,SUMIF($B$10:$B$16,"NCAP_TLIFE",$AX$10:$AX$16)),0,""))</f>
        <v/>
      </c>
      <c r="L113" s="369" t="str">
        <f ca="1">IF($B113&lt;&gt;"PRC_RESID","",IF(L$7=2005+OFFSET(COM_2012!$B$60,$AW113,SUMIF($B$10:$B$16,"NCAP_TLIFE",$AX$10:$AX$16)),0,""))</f>
        <v/>
      </c>
      <c r="M113" s="369" t="str">
        <f ca="1">IF($B113&lt;&gt;"PRC_RESID","",IF(M$7=2005+OFFSET(COM_2012!$B$60,$AW113,SUMIF($B$10:$B$16,"NCAP_TLIFE",$AX$10:$AX$16)),0,""))</f>
        <v/>
      </c>
      <c r="N113" s="369" t="str">
        <f ca="1">IF($B113&lt;&gt;"PRC_RESID","",IF(N$7=2005+OFFSET(COM_2012!$B$60,$AW113,SUMIF($B$10:$B$16,"NCAP_TLIFE",$AX$10:$AX$16)),0,""))</f>
        <v/>
      </c>
      <c r="O113" s="658" t="str">
        <f ca="1">IF($B113&lt;&gt;"PRC_RESID","",IF(O$7=2005+OFFSET(COM_2012!$B$60,$AW113,SUMIF($B$10:$B$16,"NCAP_TLIFE",$AX$10:$AX$16)),0,""))</f>
        <v/>
      </c>
      <c r="P113" s="369" t="str">
        <f ca="1">IF($B113&lt;&gt;"PRC_RESID","",IF(P$7=2005+OFFSET(COM_2012!$B$60,$AW113,SUMIF($B$10:$B$16,"NCAP_TLIFE",$AX$10:$AX$16)),0,""))</f>
        <v/>
      </c>
      <c r="Q113" s="369" t="str">
        <f ca="1">IF($B113&lt;&gt;"PRC_RESID","",IF(Q$7=2005+OFFSET(COM_2012!$B$60,$AW113,SUMIF($B$10:$B$16,"NCAP_TLIFE",$AX$10:$AX$16)),0,""))</f>
        <v/>
      </c>
      <c r="R113" s="369" t="str">
        <f ca="1">IF($B113&lt;&gt;"PRC_RESID","",IF(R$7=2005+OFFSET(COM_2012!$B$60,$AW113,SUMIF($B$10:$B$16,"NCAP_TLIFE",$AX$10:$AX$16)),0,""))</f>
        <v/>
      </c>
      <c r="S113" s="369" t="str">
        <f ca="1">IF($B113&lt;&gt;"PRC_RESID","",IF(S$7=2005+OFFSET(COM_2012!$B$60,$AW113,SUMIF($B$10:$B$16,"NCAP_TLIFE",$AX$10:$AX$16)),0,""))</f>
        <v/>
      </c>
      <c r="T113" s="369" t="str">
        <f ca="1">IF($B113&lt;&gt;"PRC_RESID","",IF(T$7=2005+OFFSET(COM_2012!$B$60,$AW113,SUMIF($B$10:$B$16,"NCAP_TLIFE",$AX$10:$AX$16)),0,""))</f>
        <v/>
      </c>
      <c r="U113" s="369" t="str">
        <f ca="1">IF($B113&lt;&gt;"PRC_RESID","",IF(U$7=2005+OFFSET(COM_2012!$B$60,$AW113,SUMIF($B$10:$B$16,"NCAP_TLIFE",$AX$10:$AX$16)),0,""))</f>
        <v/>
      </c>
      <c r="V113" s="369" t="str">
        <f ca="1">IF($B113&lt;&gt;"PRC_RESID","",IF(V$7=2005+OFFSET(COM_2012!$B$60,$AW113,SUMIF($B$10:$B$16,"NCAP_TLIFE",$AX$10:$AX$16)),0,""))</f>
        <v/>
      </c>
      <c r="W113" s="369" t="str">
        <f ca="1">IF($B113&lt;&gt;"PRC_RESID","",IF(W$7=2005+OFFSET(COM_2012!$B$60,$AW113,SUMIF($B$10:$B$16,"NCAP_TLIFE",$AX$10:$AX$16)),0,""))</f>
        <v/>
      </c>
      <c r="X113" s="369" t="str">
        <f ca="1">IF($B113&lt;&gt;"PRC_RESID","",IF(X$7=2005+OFFSET(COM_2012!$B$60,$AW113,SUMIF($B$10:$B$16,"NCAP_TLIFE",$AX$10:$AX$16)),0,""))</f>
        <v/>
      </c>
      <c r="Y113" s="369" t="str">
        <f ca="1">IF($B113&lt;&gt;"PRC_RESID","",IF(Y$7=2005+OFFSET(COM_2012!$B$60,$AW113,SUMIF($B$10:$B$16,"NCAP_TLIFE",$AX$10:$AX$16)),0,""))</f>
        <v/>
      </c>
      <c r="Z113" s="369" t="str">
        <f ca="1">IF($B113&lt;&gt;"PRC_RESID","",IF(Z$7=2005+OFFSET(COM_2012!$B$60,$AW113,SUMIF($B$10:$B$16,"NCAP_TLIFE",$AX$10:$AX$16)),0,""))</f>
        <v/>
      </c>
      <c r="AA113" s="369" t="str">
        <f ca="1">IF($B113&lt;&gt;"PRC_RESID","",IF(AA$7=2005+OFFSET(COM_2012!$B$60,$AW113,SUMIF($B$10:$B$16,"NCAP_TLIFE",$AX$10:$AX$16)),0,""))</f>
        <v/>
      </c>
      <c r="AB113" s="369" t="str">
        <f ca="1">IF($B113&lt;&gt;"PRC_RESID","",IF(AB$7=2005+OFFSET(COM_2012!$B$60,$AW113,SUMIF($B$10:$B$16,"NCAP_TLIFE",$AX$10:$AX$16)),0,""))</f>
        <v/>
      </c>
      <c r="AC113" s="369" t="str">
        <f ca="1">IF($B113&lt;&gt;"PRC_RESID","",IF(AC$7=2005+OFFSET(COM_2012!$B$60,$AW113,SUMIF($B$10:$B$16,"NCAP_TLIFE",$AX$10:$AX$16)),0,""))</f>
        <v/>
      </c>
      <c r="AD113" s="369" t="str">
        <f ca="1">IF($B113&lt;&gt;"PRC_RESID","",IF(AD$7=2005+OFFSET(COM_2012!$B$60,$AW113,SUMIF($B$10:$B$16,"NCAP_TLIFE",$AX$10:$AX$16)),0,""))</f>
        <v/>
      </c>
      <c r="AE113" s="369" t="str">
        <f ca="1">IF($B113&lt;&gt;"PRC_RESID","",IF(AE$7=2005+OFFSET(COM_2012!$B$60,$AW113,SUMIF($B$10:$B$16,"NCAP_TLIFE",$AX$10:$AX$16)),0,""))</f>
        <v/>
      </c>
      <c r="AF113" s="369" t="str">
        <f ca="1">IF($B113&lt;&gt;"PRC_RESID","",IF(AF$7=2005+OFFSET(COM_2012!$B$60,$AW113,SUMIF($B$10:$B$16,"NCAP_TLIFE",$AX$10:$AX$16)),0,""))</f>
        <v/>
      </c>
      <c r="AG113" s="369" t="str">
        <f ca="1">IF($B113&lt;&gt;"PRC_RESID","",IF(AG$7=2005+OFFSET(COM_2012!$B$60,$AW113,SUMIF($B$10:$B$16,"NCAP_TLIFE",$AX$10:$AX$16)),0,""))</f>
        <v/>
      </c>
      <c r="AH113" s="369" t="str">
        <f ca="1">IF($B113&lt;&gt;"PRC_RESID","",IF(AH$7=2005+OFFSET(COM_2012!$B$60,$AW113,SUMIF($B$10:$B$16,"NCAP_TLIFE",$AX$10:$AX$16)),0,""))</f>
        <v/>
      </c>
      <c r="AI113" s="369" t="str">
        <f ca="1">IF($B113&lt;&gt;"PRC_RESID","",IF(AI$7=2005+OFFSET(COM_2012!$B$60,$AW113,SUMIF($B$10:$B$16,"NCAP_TLIFE",$AX$10:$AX$16)),0,""))</f>
        <v/>
      </c>
      <c r="AJ113" s="369" t="str">
        <f ca="1">IF($B113&lt;&gt;"PRC_RESID","",IF(AJ$7=2005+OFFSET(COM_2012!$B$60,$AW113,SUMIF($B$10:$B$16,"NCAP_TLIFE",$AX$10:$AX$16)),0,""))</f>
        <v/>
      </c>
      <c r="AK113" s="369" t="str">
        <f ca="1">IF($B113&lt;&gt;"PRC_RESID","",IF(AK$7=2005+OFFSET(COM_2012!$B$60,$AW113,SUMIF($B$10:$B$16,"NCAP_TLIFE",$AX$10:$AX$16)),0,""))</f>
        <v/>
      </c>
      <c r="AL113" s="369" t="str">
        <f ca="1">IF($B113&lt;&gt;"PRC_RESID","",IF(AL$7=2005+OFFSET(COM_2012!$B$60,$AW113,SUMIF($B$10:$B$16,"NCAP_TLIFE",$AX$10:$AX$16)),0,""))</f>
        <v/>
      </c>
      <c r="AM113" s="369" t="str">
        <f ca="1">IF($B113&lt;&gt;"PRC_RESID","",IF(AM$7=2005+OFFSET(COM_2012!$B$60,$AW113,SUMIF($B$10:$B$16,"NCAP_TLIFE",$AX$10:$AX$16)),0,""))</f>
        <v/>
      </c>
      <c r="AN113" s="369" t="str">
        <f ca="1">IF($B113&lt;&gt;"PRC_RESID","",IF(AN$7=2005+OFFSET(COM_2012!$B$60,$AW113,SUMIF($B$10:$B$16,"NCAP_TLIFE",$AX$10:$AX$16)),0,""))</f>
        <v/>
      </c>
      <c r="AO113" s="369" t="str">
        <f ca="1">IF($B113&lt;&gt;"PRC_RESID","",IF(AO$7=2005+OFFSET(COM_2012!$B$60,$AW113,SUMIF($B$10:$B$16,"NCAP_TLIFE",$AX$10:$AX$16)),0,""))</f>
        <v/>
      </c>
      <c r="AP113" s="369" t="str">
        <f ca="1">IF($B113&lt;&gt;"PRC_RESID","",IF(AP$7=2005+OFFSET(COM_2012!$B$60,$AW113,SUMIF($B$10:$B$16,"NCAP_TLIFE",$AX$10:$AX$16)),0,""))</f>
        <v/>
      </c>
      <c r="AQ113" s="369" t="str">
        <f ca="1">IF($B113&lt;&gt;"PRC_RESID","",IF(AQ$7=2005+OFFSET(COM_2012!$B$60,$AW113,SUMIF($B$10:$B$16,"NCAP_TLIFE",$AX$10:$AX$16)),0,""))</f>
        <v/>
      </c>
      <c r="AR113" s="369" t="str">
        <f ca="1">IF($B113&lt;&gt;"PRC_RESID","",IF(AR$7=2005+OFFSET(COM_2012!$B$60,$AW113,SUMIF($B$10:$B$16,"NCAP_TLIFE",$AX$10:$AX$16)),0,""))</f>
        <v/>
      </c>
      <c r="AS113" s="369" t="str">
        <f ca="1">IF($B113&lt;&gt;"PRC_RESID","",IF(AS$7=2005+OFFSET(COM_2012!$B$60,$AW113,SUMIF($B$10:$B$16,"NCAP_TLIFE",$AX$10:$AX$16)),0,""))</f>
        <v/>
      </c>
      <c r="AT113" s="369" t="str">
        <f ca="1">IF($B113&lt;&gt;"PRC_RESID","",IF(AT$7=2005+OFFSET(COM_2012!$B$60,$AW113,SUMIF($B$10:$B$16,"NCAP_TLIFE",$AX$10:$AX$16)),0,""))</f>
        <v/>
      </c>
      <c r="AU113" s="369" t="str">
        <f ca="1">IF($B113&lt;&gt;"PRC_RESID","",IF(AU$7=2005+OFFSET(COM_2012!$B$60,$AW113,SUMIF($B$10:$B$16,"NCAP_TLIFE",$AX$10:$AX$16)),0,""))</f>
        <v/>
      </c>
      <c r="AV113" s="304">
        <f>IF(AW112=COM_2012!$AI$121,AV112+1,AV112)</f>
        <v>2</v>
      </c>
      <c r="AW113" s="304">
        <f t="shared" si="12"/>
        <v>25</v>
      </c>
    </row>
    <row r="114" spans="1:49">
      <c r="A114" s="304" t="str">
        <f ca="1">IF(LEFT(OFFSET(COM_2012!$A$60,AW114,0),2)="\I","*","")</f>
        <v/>
      </c>
      <c r="B114" s="369" t="str">
        <f t="shared" ca="1" si="10"/>
        <v>NCAP_BND</v>
      </c>
      <c r="C114" s="369" t="str">
        <f ca="1">IF($A114="*","",OFFSET(COM_2012!$B$60,AW114,0))</f>
        <v>CELELCLED-N</v>
      </c>
      <c r="D114" s="369" t="str">
        <f t="shared" ref="D114:I129" ca="1" si="13">IF($A114="*","",VLOOKUP($B114,$B$10:$I$16,D$9,FALSE))</f>
        <v>-</v>
      </c>
      <c r="E114" s="369" t="str">
        <f t="shared" ca="1" si="13"/>
        <v>-</v>
      </c>
      <c r="F114" s="369" t="str">
        <f t="shared" ca="1" si="13"/>
        <v>-</v>
      </c>
      <c r="G114" s="369" t="str">
        <f t="shared" ca="1" si="13"/>
        <v>-</v>
      </c>
      <c r="H114" s="369" t="str">
        <f t="shared" ca="1" si="13"/>
        <v>UP</v>
      </c>
      <c r="I114" s="370">
        <f t="shared" ca="1" si="13"/>
        <v>0</v>
      </c>
      <c r="J114" s="391">
        <f ca="1">IF($A114="*","",OFFSET(COM_2012!$B$60,AW114,SUMIF($B$10:$B$16,B114,$AX$10:$AX$16)))</f>
        <v>0</v>
      </c>
      <c r="K114" s="369" t="str">
        <f ca="1">IF($B114&lt;&gt;"PRC_RESID","",IF(K$7=2005+OFFSET(COM_2012!$B$60,$AW114,SUMIF($B$10:$B$16,"NCAP_TLIFE",$AX$10:$AX$16)),0,""))</f>
        <v/>
      </c>
      <c r="L114" s="369" t="str">
        <f ca="1">IF($B114&lt;&gt;"PRC_RESID","",IF(L$7=2005+OFFSET(COM_2012!$B$60,$AW114,SUMIF($B$10:$B$16,"NCAP_TLIFE",$AX$10:$AX$16)),0,""))</f>
        <v/>
      </c>
      <c r="M114" s="369" t="str">
        <f ca="1">IF($B114&lt;&gt;"PRC_RESID","",IF(M$7=2005+OFFSET(COM_2012!$B$60,$AW114,SUMIF($B$10:$B$16,"NCAP_TLIFE",$AX$10:$AX$16)),0,""))</f>
        <v/>
      </c>
      <c r="N114" s="369" t="str">
        <f ca="1">IF($B114&lt;&gt;"PRC_RESID","",IF(N$7=2005+OFFSET(COM_2012!$B$60,$AW114,SUMIF($B$10:$B$16,"NCAP_TLIFE",$AX$10:$AX$16)),0,""))</f>
        <v/>
      </c>
      <c r="O114" s="658" t="str">
        <f ca="1">IF($B114&lt;&gt;"PRC_RESID","",IF(O$7=2005+OFFSET(COM_2012!$B$60,$AW114,SUMIF($B$10:$B$16,"NCAP_TLIFE",$AX$10:$AX$16)),0,""))</f>
        <v/>
      </c>
      <c r="P114" s="369" t="str">
        <f ca="1">IF($B114&lt;&gt;"PRC_RESID","",IF(P$7=2005+OFFSET(COM_2012!$B$60,$AW114,SUMIF($B$10:$B$16,"NCAP_TLIFE",$AX$10:$AX$16)),0,""))</f>
        <v/>
      </c>
      <c r="Q114" s="369" t="str">
        <f ca="1">IF($B114&lt;&gt;"PRC_RESID","",IF(Q$7=2005+OFFSET(COM_2012!$B$60,$AW114,SUMIF($B$10:$B$16,"NCAP_TLIFE",$AX$10:$AX$16)),0,""))</f>
        <v/>
      </c>
      <c r="R114" s="369" t="str">
        <f ca="1">IF($B114&lt;&gt;"PRC_RESID","",IF(R$7=2005+OFFSET(COM_2012!$B$60,$AW114,SUMIF($B$10:$B$16,"NCAP_TLIFE",$AX$10:$AX$16)),0,""))</f>
        <v/>
      </c>
      <c r="S114" s="369" t="str">
        <f ca="1">IF($B114&lt;&gt;"PRC_RESID","",IF(S$7=2005+OFFSET(COM_2012!$B$60,$AW114,SUMIF($B$10:$B$16,"NCAP_TLIFE",$AX$10:$AX$16)),0,""))</f>
        <v/>
      </c>
      <c r="T114" s="369" t="str">
        <f ca="1">IF($B114&lt;&gt;"PRC_RESID","",IF(T$7=2005+OFFSET(COM_2012!$B$60,$AW114,SUMIF($B$10:$B$16,"NCAP_TLIFE",$AX$10:$AX$16)),0,""))</f>
        <v/>
      </c>
      <c r="U114" s="369" t="str">
        <f ca="1">IF($B114&lt;&gt;"PRC_RESID","",IF(U$7=2005+OFFSET(COM_2012!$B$60,$AW114,SUMIF($B$10:$B$16,"NCAP_TLIFE",$AX$10:$AX$16)),0,""))</f>
        <v/>
      </c>
      <c r="V114" s="369" t="str">
        <f ca="1">IF($B114&lt;&gt;"PRC_RESID","",IF(V$7=2005+OFFSET(COM_2012!$B$60,$AW114,SUMIF($B$10:$B$16,"NCAP_TLIFE",$AX$10:$AX$16)),0,""))</f>
        <v/>
      </c>
      <c r="W114" s="369" t="str">
        <f ca="1">IF($B114&lt;&gt;"PRC_RESID","",IF(W$7=2005+OFFSET(COM_2012!$B$60,$AW114,SUMIF($B$10:$B$16,"NCAP_TLIFE",$AX$10:$AX$16)),0,""))</f>
        <v/>
      </c>
      <c r="X114" s="369" t="str">
        <f ca="1">IF($B114&lt;&gt;"PRC_RESID","",IF(X$7=2005+OFFSET(COM_2012!$B$60,$AW114,SUMIF($B$10:$B$16,"NCAP_TLIFE",$AX$10:$AX$16)),0,""))</f>
        <v/>
      </c>
      <c r="Y114" s="369" t="str">
        <f ca="1">IF($B114&lt;&gt;"PRC_RESID","",IF(Y$7=2005+OFFSET(COM_2012!$B$60,$AW114,SUMIF($B$10:$B$16,"NCAP_TLIFE",$AX$10:$AX$16)),0,""))</f>
        <v/>
      </c>
      <c r="Z114" s="369" t="str">
        <f ca="1">IF($B114&lt;&gt;"PRC_RESID","",IF(Z$7=2005+OFFSET(COM_2012!$B$60,$AW114,SUMIF($B$10:$B$16,"NCAP_TLIFE",$AX$10:$AX$16)),0,""))</f>
        <v/>
      </c>
      <c r="AA114" s="369" t="str">
        <f ca="1">IF($B114&lt;&gt;"PRC_RESID","",IF(AA$7=2005+OFFSET(COM_2012!$B$60,$AW114,SUMIF($B$10:$B$16,"NCAP_TLIFE",$AX$10:$AX$16)),0,""))</f>
        <v/>
      </c>
      <c r="AB114" s="369" t="str">
        <f ca="1">IF($B114&lt;&gt;"PRC_RESID","",IF(AB$7=2005+OFFSET(COM_2012!$B$60,$AW114,SUMIF($B$10:$B$16,"NCAP_TLIFE",$AX$10:$AX$16)),0,""))</f>
        <v/>
      </c>
      <c r="AC114" s="369" t="str">
        <f ca="1">IF($B114&lt;&gt;"PRC_RESID","",IF(AC$7=2005+OFFSET(COM_2012!$B$60,$AW114,SUMIF($B$10:$B$16,"NCAP_TLIFE",$AX$10:$AX$16)),0,""))</f>
        <v/>
      </c>
      <c r="AD114" s="369" t="str">
        <f ca="1">IF($B114&lt;&gt;"PRC_RESID","",IF(AD$7=2005+OFFSET(COM_2012!$B$60,$AW114,SUMIF($B$10:$B$16,"NCAP_TLIFE",$AX$10:$AX$16)),0,""))</f>
        <v/>
      </c>
      <c r="AE114" s="369" t="str">
        <f ca="1">IF($B114&lt;&gt;"PRC_RESID","",IF(AE$7=2005+OFFSET(COM_2012!$B$60,$AW114,SUMIF($B$10:$B$16,"NCAP_TLIFE",$AX$10:$AX$16)),0,""))</f>
        <v/>
      </c>
      <c r="AF114" s="369" t="str">
        <f ca="1">IF($B114&lt;&gt;"PRC_RESID","",IF(AF$7=2005+OFFSET(COM_2012!$B$60,$AW114,SUMIF($B$10:$B$16,"NCAP_TLIFE",$AX$10:$AX$16)),0,""))</f>
        <v/>
      </c>
      <c r="AG114" s="369" t="str">
        <f ca="1">IF($B114&lt;&gt;"PRC_RESID","",IF(AG$7=2005+OFFSET(COM_2012!$B$60,$AW114,SUMIF($B$10:$B$16,"NCAP_TLIFE",$AX$10:$AX$16)),0,""))</f>
        <v/>
      </c>
      <c r="AH114" s="369" t="str">
        <f ca="1">IF($B114&lt;&gt;"PRC_RESID","",IF(AH$7=2005+OFFSET(COM_2012!$B$60,$AW114,SUMIF($B$10:$B$16,"NCAP_TLIFE",$AX$10:$AX$16)),0,""))</f>
        <v/>
      </c>
      <c r="AI114" s="369" t="str">
        <f ca="1">IF($B114&lt;&gt;"PRC_RESID","",IF(AI$7=2005+OFFSET(COM_2012!$B$60,$AW114,SUMIF($B$10:$B$16,"NCAP_TLIFE",$AX$10:$AX$16)),0,""))</f>
        <v/>
      </c>
      <c r="AJ114" s="369" t="str">
        <f ca="1">IF($B114&lt;&gt;"PRC_RESID","",IF(AJ$7=2005+OFFSET(COM_2012!$B$60,$AW114,SUMIF($B$10:$B$16,"NCAP_TLIFE",$AX$10:$AX$16)),0,""))</f>
        <v/>
      </c>
      <c r="AK114" s="369" t="str">
        <f ca="1">IF($B114&lt;&gt;"PRC_RESID","",IF(AK$7=2005+OFFSET(COM_2012!$B$60,$AW114,SUMIF($B$10:$B$16,"NCAP_TLIFE",$AX$10:$AX$16)),0,""))</f>
        <v/>
      </c>
      <c r="AL114" s="369" t="str">
        <f ca="1">IF($B114&lt;&gt;"PRC_RESID","",IF(AL$7=2005+OFFSET(COM_2012!$B$60,$AW114,SUMIF($B$10:$B$16,"NCAP_TLIFE",$AX$10:$AX$16)),0,""))</f>
        <v/>
      </c>
      <c r="AM114" s="369" t="str">
        <f ca="1">IF($B114&lt;&gt;"PRC_RESID","",IF(AM$7=2005+OFFSET(COM_2012!$B$60,$AW114,SUMIF($B$10:$B$16,"NCAP_TLIFE",$AX$10:$AX$16)),0,""))</f>
        <v/>
      </c>
      <c r="AN114" s="369" t="str">
        <f ca="1">IF($B114&lt;&gt;"PRC_RESID","",IF(AN$7=2005+OFFSET(COM_2012!$B$60,$AW114,SUMIF($B$10:$B$16,"NCAP_TLIFE",$AX$10:$AX$16)),0,""))</f>
        <v/>
      </c>
      <c r="AO114" s="369" t="str">
        <f ca="1">IF($B114&lt;&gt;"PRC_RESID","",IF(AO$7=2005+OFFSET(COM_2012!$B$60,$AW114,SUMIF($B$10:$B$16,"NCAP_TLIFE",$AX$10:$AX$16)),0,""))</f>
        <v/>
      </c>
      <c r="AP114" s="369" t="str">
        <f ca="1">IF($B114&lt;&gt;"PRC_RESID","",IF(AP$7=2005+OFFSET(COM_2012!$B$60,$AW114,SUMIF($B$10:$B$16,"NCAP_TLIFE",$AX$10:$AX$16)),0,""))</f>
        <v/>
      </c>
      <c r="AQ114" s="369" t="str">
        <f ca="1">IF($B114&lt;&gt;"PRC_RESID","",IF(AQ$7=2005+OFFSET(COM_2012!$B$60,$AW114,SUMIF($B$10:$B$16,"NCAP_TLIFE",$AX$10:$AX$16)),0,""))</f>
        <v/>
      </c>
      <c r="AR114" s="369" t="str">
        <f ca="1">IF($B114&lt;&gt;"PRC_RESID","",IF(AR$7=2005+OFFSET(COM_2012!$B$60,$AW114,SUMIF($B$10:$B$16,"NCAP_TLIFE",$AX$10:$AX$16)),0,""))</f>
        <v/>
      </c>
      <c r="AS114" s="369" t="str">
        <f ca="1">IF($B114&lt;&gt;"PRC_RESID","",IF(AS$7=2005+OFFSET(COM_2012!$B$60,$AW114,SUMIF($B$10:$B$16,"NCAP_TLIFE",$AX$10:$AX$16)),0,""))</f>
        <v/>
      </c>
      <c r="AT114" s="369" t="str">
        <f ca="1">IF($B114&lt;&gt;"PRC_RESID","",IF(AT$7=2005+OFFSET(COM_2012!$B$60,$AW114,SUMIF($B$10:$B$16,"NCAP_TLIFE",$AX$10:$AX$16)),0,""))</f>
        <v/>
      </c>
      <c r="AU114" s="369" t="str">
        <f ca="1">IF($B114&lt;&gt;"PRC_RESID","",IF(AU$7=2005+OFFSET(COM_2012!$B$60,$AW114,SUMIF($B$10:$B$16,"NCAP_TLIFE",$AX$10:$AX$16)),0,""))</f>
        <v/>
      </c>
      <c r="AV114" s="304">
        <f>IF(AW113=COM_2012!$AI$121,AV113+1,AV113)</f>
        <v>2</v>
      </c>
      <c r="AW114" s="304">
        <f t="shared" si="12"/>
        <v>26</v>
      </c>
    </row>
    <row r="115" spans="1:49">
      <c r="A115" s="304" t="str">
        <f ca="1">IF(LEFT(OFFSET(COM_2012!$A$60,AW115,0),2)="\I","*","")</f>
        <v>*</v>
      </c>
      <c r="B115" s="369" t="str">
        <f t="shared" ca="1" si="10"/>
        <v/>
      </c>
      <c r="C115" s="369" t="str">
        <f ca="1">IF($A115="*","",OFFSET(COM_2012!$B$60,AW115,0))</f>
        <v/>
      </c>
      <c r="D115" s="369" t="str">
        <f t="shared" ca="1" si="13"/>
        <v/>
      </c>
      <c r="E115" s="369" t="str">
        <f t="shared" ca="1" si="13"/>
        <v/>
      </c>
      <c r="F115" s="369" t="str">
        <f t="shared" ca="1" si="13"/>
        <v/>
      </c>
      <c r="G115" s="369" t="str">
        <f t="shared" ca="1" si="13"/>
        <v/>
      </c>
      <c r="H115" s="369" t="str">
        <f t="shared" ca="1" si="13"/>
        <v/>
      </c>
      <c r="I115" s="370" t="str">
        <f t="shared" ca="1" si="13"/>
        <v/>
      </c>
      <c r="J115" s="391" t="str">
        <f ca="1">IF($A115="*","",OFFSET(COM_2012!$B$60,AW115,SUMIF($B$10:$B$16,B115,$AX$10:$AX$16)))</f>
        <v/>
      </c>
      <c r="K115" s="369" t="str">
        <f ca="1">IF($B115&lt;&gt;"PRC_RESID","",IF(K$7=2005+OFFSET(COM_2012!$B$60,$AW115,SUMIF($B$10:$B$16,"NCAP_TLIFE",$AX$10:$AX$16)),0,""))</f>
        <v/>
      </c>
      <c r="L115" s="369" t="str">
        <f ca="1">IF($B115&lt;&gt;"PRC_RESID","",IF(L$7=2005+OFFSET(COM_2012!$B$60,$AW115,SUMIF($B$10:$B$16,"NCAP_TLIFE",$AX$10:$AX$16)),0,""))</f>
        <v/>
      </c>
      <c r="M115" s="369" t="str">
        <f ca="1">IF($B115&lt;&gt;"PRC_RESID","",IF(M$7=2005+OFFSET(COM_2012!$B$60,$AW115,SUMIF($B$10:$B$16,"NCAP_TLIFE",$AX$10:$AX$16)),0,""))</f>
        <v/>
      </c>
      <c r="N115" s="369" t="str">
        <f ca="1">IF($B115&lt;&gt;"PRC_RESID","",IF(N$7=2005+OFFSET(COM_2012!$B$60,$AW115,SUMIF($B$10:$B$16,"NCAP_TLIFE",$AX$10:$AX$16)),0,""))</f>
        <v/>
      </c>
      <c r="O115" s="658" t="str">
        <f ca="1">IF($B115&lt;&gt;"PRC_RESID","",IF(O$7=2005+OFFSET(COM_2012!$B$60,$AW115,SUMIF($B$10:$B$16,"NCAP_TLIFE",$AX$10:$AX$16)),0,""))</f>
        <v/>
      </c>
      <c r="P115" s="369" t="str">
        <f ca="1">IF($B115&lt;&gt;"PRC_RESID","",IF(P$7=2005+OFFSET(COM_2012!$B$60,$AW115,SUMIF($B$10:$B$16,"NCAP_TLIFE",$AX$10:$AX$16)),0,""))</f>
        <v/>
      </c>
      <c r="Q115" s="369" t="str">
        <f ca="1">IF($B115&lt;&gt;"PRC_RESID","",IF(Q$7=2005+OFFSET(COM_2012!$B$60,$AW115,SUMIF($B$10:$B$16,"NCAP_TLIFE",$AX$10:$AX$16)),0,""))</f>
        <v/>
      </c>
      <c r="R115" s="369" t="str">
        <f ca="1">IF($B115&lt;&gt;"PRC_RESID","",IF(R$7=2005+OFFSET(COM_2012!$B$60,$AW115,SUMIF($B$10:$B$16,"NCAP_TLIFE",$AX$10:$AX$16)),0,""))</f>
        <v/>
      </c>
      <c r="S115" s="369" t="str">
        <f ca="1">IF($B115&lt;&gt;"PRC_RESID","",IF(S$7=2005+OFFSET(COM_2012!$B$60,$AW115,SUMIF($B$10:$B$16,"NCAP_TLIFE",$AX$10:$AX$16)),0,""))</f>
        <v/>
      </c>
      <c r="T115" s="369" t="str">
        <f ca="1">IF($B115&lt;&gt;"PRC_RESID","",IF(T$7=2005+OFFSET(COM_2012!$B$60,$AW115,SUMIF($B$10:$B$16,"NCAP_TLIFE",$AX$10:$AX$16)),0,""))</f>
        <v/>
      </c>
      <c r="U115" s="369" t="str">
        <f ca="1">IF($B115&lt;&gt;"PRC_RESID","",IF(U$7=2005+OFFSET(COM_2012!$B$60,$AW115,SUMIF($B$10:$B$16,"NCAP_TLIFE",$AX$10:$AX$16)),0,""))</f>
        <v/>
      </c>
      <c r="V115" s="369" t="str">
        <f ca="1">IF($B115&lt;&gt;"PRC_RESID","",IF(V$7=2005+OFFSET(COM_2012!$B$60,$AW115,SUMIF($B$10:$B$16,"NCAP_TLIFE",$AX$10:$AX$16)),0,""))</f>
        <v/>
      </c>
      <c r="W115" s="369" t="str">
        <f ca="1">IF($B115&lt;&gt;"PRC_RESID","",IF(W$7=2005+OFFSET(COM_2012!$B$60,$AW115,SUMIF($B$10:$B$16,"NCAP_TLIFE",$AX$10:$AX$16)),0,""))</f>
        <v/>
      </c>
      <c r="X115" s="369" t="str">
        <f ca="1">IF($B115&lt;&gt;"PRC_RESID","",IF(X$7=2005+OFFSET(COM_2012!$B$60,$AW115,SUMIF($B$10:$B$16,"NCAP_TLIFE",$AX$10:$AX$16)),0,""))</f>
        <v/>
      </c>
      <c r="Y115" s="369" t="str">
        <f ca="1">IF($B115&lt;&gt;"PRC_RESID","",IF(Y$7=2005+OFFSET(COM_2012!$B$60,$AW115,SUMIF($B$10:$B$16,"NCAP_TLIFE",$AX$10:$AX$16)),0,""))</f>
        <v/>
      </c>
      <c r="Z115" s="369" t="str">
        <f ca="1">IF($B115&lt;&gt;"PRC_RESID","",IF(Z$7=2005+OFFSET(COM_2012!$B$60,$AW115,SUMIF($B$10:$B$16,"NCAP_TLIFE",$AX$10:$AX$16)),0,""))</f>
        <v/>
      </c>
      <c r="AA115" s="369" t="str">
        <f ca="1">IF($B115&lt;&gt;"PRC_RESID","",IF(AA$7=2005+OFFSET(COM_2012!$B$60,$AW115,SUMIF($B$10:$B$16,"NCAP_TLIFE",$AX$10:$AX$16)),0,""))</f>
        <v/>
      </c>
      <c r="AB115" s="369" t="str">
        <f ca="1">IF($B115&lt;&gt;"PRC_RESID","",IF(AB$7=2005+OFFSET(COM_2012!$B$60,$AW115,SUMIF($B$10:$B$16,"NCAP_TLIFE",$AX$10:$AX$16)),0,""))</f>
        <v/>
      </c>
      <c r="AC115" s="369" t="str">
        <f ca="1">IF($B115&lt;&gt;"PRC_RESID","",IF(AC$7=2005+OFFSET(COM_2012!$B$60,$AW115,SUMIF($B$10:$B$16,"NCAP_TLIFE",$AX$10:$AX$16)),0,""))</f>
        <v/>
      </c>
      <c r="AD115" s="369" t="str">
        <f ca="1">IF($B115&lt;&gt;"PRC_RESID","",IF(AD$7=2005+OFFSET(COM_2012!$B$60,$AW115,SUMIF($B$10:$B$16,"NCAP_TLIFE",$AX$10:$AX$16)),0,""))</f>
        <v/>
      </c>
      <c r="AE115" s="369" t="str">
        <f ca="1">IF($B115&lt;&gt;"PRC_RESID","",IF(AE$7=2005+OFFSET(COM_2012!$B$60,$AW115,SUMIF($B$10:$B$16,"NCAP_TLIFE",$AX$10:$AX$16)),0,""))</f>
        <v/>
      </c>
      <c r="AF115" s="369" t="str">
        <f ca="1">IF($B115&lt;&gt;"PRC_RESID","",IF(AF$7=2005+OFFSET(COM_2012!$B$60,$AW115,SUMIF($B$10:$B$16,"NCAP_TLIFE",$AX$10:$AX$16)),0,""))</f>
        <v/>
      </c>
      <c r="AG115" s="369" t="str">
        <f ca="1">IF($B115&lt;&gt;"PRC_RESID","",IF(AG$7=2005+OFFSET(COM_2012!$B$60,$AW115,SUMIF($B$10:$B$16,"NCAP_TLIFE",$AX$10:$AX$16)),0,""))</f>
        <v/>
      </c>
      <c r="AH115" s="369" t="str">
        <f ca="1">IF($B115&lt;&gt;"PRC_RESID","",IF(AH$7=2005+OFFSET(COM_2012!$B$60,$AW115,SUMIF($B$10:$B$16,"NCAP_TLIFE",$AX$10:$AX$16)),0,""))</f>
        <v/>
      </c>
      <c r="AI115" s="369" t="str">
        <f ca="1">IF($B115&lt;&gt;"PRC_RESID","",IF(AI$7=2005+OFFSET(COM_2012!$B$60,$AW115,SUMIF($B$10:$B$16,"NCAP_TLIFE",$AX$10:$AX$16)),0,""))</f>
        <v/>
      </c>
      <c r="AJ115" s="369" t="str">
        <f ca="1">IF($B115&lt;&gt;"PRC_RESID","",IF(AJ$7=2005+OFFSET(COM_2012!$B$60,$AW115,SUMIF($B$10:$B$16,"NCAP_TLIFE",$AX$10:$AX$16)),0,""))</f>
        <v/>
      </c>
      <c r="AK115" s="369" t="str">
        <f ca="1">IF($B115&lt;&gt;"PRC_RESID","",IF(AK$7=2005+OFFSET(COM_2012!$B$60,$AW115,SUMIF($B$10:$B$16,"NCAP_TLIFE",$AX$10:$AX$16)),0,""))</f>
        <v/>
      </c>
      <c r="AL115" s="369" t="str">
        <f ca="1">IF($B115&lt;&gt;"PRC_RESID","",IF(AL$7=2005+OFFSET(COM_2012!$B$60,$AW115,SUMIF($B$10:$B$16,"NCAP_TLIFE",$AX$10:$AX$16)),0,""))</f>
        <v/>
      </c>
      <c r="AM115" s="369" t="str">
        <f ca="1">IF($B115&lt;&gt;"PRC_RESID","",IF(AM$7=2005+OFFSET(COM_2012!$B$60,$AW115,SUMIF($B$10:$B$16,"NCAP_TLIFE",$AX$10:$AX$16)),0,""))</f>
        <v/>
      </c>
      <c r="AN115" s="369" t="str">
        <f ca="1">IF($B115&lt;&gt;"PRC_RESID","",IF(AN$7=2005+OFFSET(COM_2012!$B$60,$AW115,SUMIF($B$10:$B$16,"NCAP_TLIFE",$AX$10:$AX$16)),0,""))</f>
        <v/>
      </c>
      <c r="AO115" s="369" t="str">
        <f ca="1">IF($B115&lt;&gt;"PRC_RESID","",IF(AO$7=2005+OFFSET(COM_2012!$B$60,$AW115,SUMIF($B$10:$B$16,"NCAP_TLIFE",$AX$10:$AX$16)),0,""))</f>
        <v/>
      </c>
      <c r="AP115" s="369" t="str">
        <f ca="1">IF($B115&lt;&gt;"PRC_RESID","",IF(AP$7=2005+OFFSET(COM_2012!$B$60,$AW115,SUMIF($B$10:$B$16,"NCAP_TLIFE",$AX$10:$AX$16)),0,""))</f>
        <v/>
      </c>
      <c r="AQ115" s="369" t="str">
        <f ca="1">IF($B115&lt;&gt;"PRC_RESID","",IF(AQ$7=2005+OFFSET(COM_2012!$B$60,$AW115,SUMIF($B$10:$B$16,"NCAP_TLIFE",$AX$10:$AX$16)),0,""))</f>
        <v/>
      </c>
      <c r="AR115" s="369" t="str">
        <f ca="1">IF($B115&lt;&gt;"PRC_RESID","",IF(AR$7=2005+OFFSET(COM_2012!$B$60,$AW115,SUMIF($B$10:$B$16,"NCAP_TLIFE",$AX$10:$AX$16)),0,""))</f>
        <v/>
      </c>
      <c r="AS115" s="369" t="str">
        <f ca="1">IF($B115&lt;&gt;"PRC_RESID","",IF(AS$7=2005+OFFSET(COM_2012!$B$60,$AW115,SUMIF($B$10:$B$16,"NCAP_TLIFE",$AX$10:$AX$16)),0,""))</f>
        <v/>
      </c>
      <c r="AT115" s="369" t="str">
        <f ca="1">IF($B115&lt;&gt;"PRC_RESID","",IF(AT$7=2005+OFFSET(COM_2012!$B$60,$AW115,SUMIF($B$10:$B$16,"NCAP_TLIFE",$AX$10:$AX$16)),0,""))</f>
        <v/>
      </c>
      <c r="AU115" s="369" t="str">
        <f ca="1">IF($B115&lt;&gt;"PRC_RESID","",IF(AU$7=2005+OFFSET(COM_2012!$B$60,$AW115,SUMIF($B$10:$B$16,"NCAP_TLIFE",$AX$10:$AX$16)),0,""))</f>
        <v/>
      </c>
      <c r="AV115" s="304">
        <f>IF(AW114=COM_2012!$AI$121,AV114+1,AV114)</f>
        <v>2</v>
      </c>
      <c r="AW115" s="304">
        <f t="shared" si="12"/>
        <v>27</v>
      </c>
    </row>
    <row r="116" spans="1:49">
      <c r="A116" s="304" t="str">
        <f ca="1">IF(LEFT(OFFSET(COM_2012!$A$60,AW116,0),2)="\I","*","")</f>
        <v>*</v>
      </c>
      <c r="B116" s="369" t="str">
        <f t="shared" ca="1" si="10"/>
        <v/>
      </c>
      <c r="C116" s="369" t="str">
        <f ca="1">IF($A116="*","",OFFSET(COM_2012!$B$60,AW116,0))</f>
        <v/>
      </c>
      <c r="D116" s="369" t="str">
        <f t="shared" ca="1" si="13"/>
        <v/>
      </c>
      <c r="E116" s="369" t="str">
        <f t="shared" ca="1" si="13"/>
        <v/>
      </c>
      <c r="F116" s="369" t="str">
        <f t="shared" ca="1" si="13"/>
        <v/>
      </c>
      <c r="G116" s="369" t="str">
        <f t="shared" ca="1" si="13"/>
        <v/>
      </c>
      <c r="H116" s="369" t="str">
        <f t="shared" ca="1" si="13"/>
        <v/>
      </c>
      <c r="I116" s="370" t="str">
        <f t="shared" ca="1" si="13"/>
        <v/>
      </c>
      <c r="J116" s="391" t="str">
        <f ca="1">IF($A116="*","",OFFSET(COM_2012!$B$60,AW116,SUMIF($B$10:$B$16,B116,$AX$10:$AX$16)))</f>
        <v/>
      </c>
      <c r="K116" s="369" t="str">
        <f ca="1">IF($B116&lt;&gt;"PRC_RESID","",IF(K$7=2005+OFFSET(COM_2012!$B$60,$AW116,SUMIF($B$10:$B$16,"NCAP_TLIFE",$AX$10:$AX$16)),0,""))</f>
        <v/>
      </c>
      <c r="L116" s="369" t="str">
        <f ca="1">IF($B116&lt;&gt;"PRC_RESID","",IF(L$7=2005+OFFSET(COM_2012!$B$60,$AW116,SUMIF($B$10:$B$16,"NCAP_TLIFE",$AX$10:$AX$16)),0,""))</f>
        <v/>
      </c>
      <c r="M116" s="369" t="str">
        <f ca="1">IF($B116&lt;&gt;"PRC_RESID","",IF(M$7=2005+OFFSET(COM_2012!$B$60,$AW116,SUMIF($B$10:$B$16,"NCAP_TLIFE",$AX$10:$AX$16)),0,""))</f>
        <v/>
      </c>
      <c r="N116" s="369" t="str">
        <f ca="1">IF($B116&lt;&gt;"PRC_RESID","",IF(N$7=2005+OFFSET(COM_2012!$B$60,$AW116,SUMIF($B$10:$B$16,"NCAP_TLIFE",$AX$10:$AX$16)),0,""))</f>
        <v/>
      </c>
      <c r="O116" s="658" t="str">
        <f ca="1">IF($B116&lt;&gt;"PRC_RESID","",IF(O$7=2005+OFFSET(COM_2012!$B$60,$AW116,SUMIF($B$10:$B$16,"NCAP_TLIFE",$AX$10:$AX$16)),0,""))</f>
        <v/>
      </c>
      <c r="P116" s="369" t="str">
        <f ca="1">IF($B116&lt;&gt;"PRC_RESID","",IF(P$7=2005+OFFSET(COM_2012!$B$60,$AW116,SUMIF($B$10:$B$16,"NCAP_TLIFE",$AX$10:$AX$16)),0,""))</f>
        <v/>
      </c>
      <c r="Q116" s="369" t="str">
        <f ca="1">IF($B116&lt;&gt;"PRC_RESID","",IF(Q$7=2005+OFFSET(COM_2012!$B$60,$AW116,SUMIF($B$10:$B$16,"NCAP_TLIFE",$AX$10:$AX$16)),0,""))</f>
        <v/>
      </c>
      <c r="R116" s="369" t="str">
        <f ca="1">IF($B116&lt;&gt;"PRC_RESID","",IF(R$7=2005+OFFSET(COM_2012!$B$60,$AW116,SUMIF($B$10:$B$16,"NCAP_TLIFE",$AX$10:$AX$16)),0,""))</f>
        <v/>
      </c>
      <c r="S116" s="369" t="str">
        <f ca="1">IF($B116&lt;&gt;"PRC_RESID","",IF(S$7=2005+OFFSET(COM_2012!$B$60,$AW116,SUMIF($B$10:$B$16,"NCAP_TLIFE",$AX$10:$AX$16)),0,""))</f>
        <v/>
      </c>
      <c r="T116" s="369" t="str">
        <f ca="1">IF($B116&lt;&gt;"PRC_RESID","",IF(T$7=2005+OFFSET(COM_2012!$B$60,$AW116,SUMIF($B$10:$B$16,"NCAP_TLIFE",$AX$10:$AX$16)),0,""))</f>
        <v/>
      </c>
      <c r="U116" s="369" t="str">
        <f ca="1">IF($B116&lt;&gt;"PRC_RESID","",IF(U$7=2005+OFFSET(COM_2012!$B$60,$AW116,SUMIF($B$10:$B$16,"NCAP_TLIFE",$AX$10:$AX$16)),0,""))</f>
        <v/>
      </c>
      <c r="V116" s="369" t="str">
        <f ca="1">IF($B116&lt;&gt;"PRC_RESID","",IF(V$7=2005+OFFSET(COM_2012!$B$60,$AW116,SUMIF($B$10:$B$16,"NCAP_TLIFE",$AX$10:$AX$16)),0,""))</f>
        <v/>
      </c>
      <c r="W116" s="369" t="str">
        <f ca="1">IF($B116&lt;&gt;"PRC_RESID","",IF(W$7=2005+OFFSET(COM_2012!$B$60,$AW116,SUMIF($B$10:$B$16,"NCAP_TLIFE",$AX$10:$AX$16)),0,""))</f>
        <v/>
      </c>
      <c r="X116" s="369" t="str">
        <f ca="1">IF($B116&lt;&gt;"PRC_RESID","",IF(X$7=2005+OFFSET(COM_2012!$B$60,$AW116,SUMIF($B$10:$B$16,"NCAP_TLIFE",$AX$10:$AX$16)),0,""))</f>
        <v/>
      </c>
      <c r="Y116" s="369" t="str">
        <f ca="1">IF($B116&lt;&gt;"PRC_RESID","",IF(Y$7=2005+OFFSET(COM_2012!$B$60,$AW116,SUMIF($B$10:$B$16,"NCAP_TLIFE",$AX$10:$AX$16)),0,""))</f>
        <v/>
      </c>
      <c r="Z116" s="369" t="str">
        <f ca="1">IF($B116&lt;&gt;"PRC_RESID","",IF(Z$7=2005+OFFSET(COM_2012!$B$60,$AW116,SUMIF($B$10:$B$16,"NCAP_TLIFE",$AX$10:$AX$16)),0,""))</f>
        <v/>
      </c>
      <c r="AA116" s="369" t="str">
        <f ca="1">IF($B116&lt;&gt;"PRC_RESID","",IF(AA$7=2005+OFFSET(COM_2012!$B$60,$AW116,SUMIF($B$10:$B$16,"NCAP_TLIFE",$AX$10:$AX$16)),0,""))</f>
        <v/>
      </c>
      <c r="AB116" s="369" t="str">
        <f ca="1">IF($B116&lt;&gt;"PRC_RESID","",IF(AB$7=2005+OFFSET(COM_2012!$B$60,$AW116,SUMIF($B$10:$B$16,"NCAP_TLIFE",$AX$10:$AX$16)),0,""))</f>
        <v/>
      </c>
      <c r="AC116" s="369" t="str">
        <f ca="1">IF($B116&lt;&gt;"PRC_RESID","",IF(AC$7=2005+OFFSET(COM_2012!$B$60,$AW116,SUMIF($B$10:$B$16,"NCAP_TLIFE",$AX$10:$AX$16)),0,""))</f>
        <v/>
      </c>
      <c r="AD116" s="369" t="str">
        <f ca="1">IF($B116&lt;&gt;"PRC_RESID","",IF(AD$7=2005+OFFSET(COM_2012!$B$60,$AW116,SUMIF($B$10:$B$16,"NCAP_TLIFE",$AX$10:$AX$16)),0,""))</f>
        <v/>
      </c>
      <c r="AE116" s="369" t="str">
        <f ca="1">IF($B116&lt;&gt;"PRC_RESID","",IF(AE$7=2005+OFFSET(COM_2012!$B$60,$AW116,SUMIF($B$10:$B$16,"NCAP_TLIFE",$AX$10:$AX$16)),0,""))</f>
        <v/>
      </c>
      <c r="AF116" s="369" t="str">
        <f ca="1">IF($B116&lt;&gt;"PRC_RESID","",IF(AF$7=2005+OFFSET(COM_2012!$B$60,$AW116,SUMIF($B$10:$B$16,"NCAP_TLIFE",$AX$10:$AX$16)),0,""))</f>
        <v/>
      </c>
      <c r="AG116" s="369" t="str">
        <f ca="1">IF($B116&lt;&gt;"PRC_RESID","",IF(AG$7=2005+OFFSET(COM_2012!$B$60,$AW116,SUMIF($B$10:$B$16,"NCAP_TLIFE",$AX$10:$AX$16)),0,""))</f>
        <v/>
      </c>
      <c r="AH116" s="369" t="str">
        <f ca="1">IF($B116&lt;&gt;"PRC_RESID","",IF(AH$7=2005+OFFSET(COM_2012!$B$60,$AW116,SUMIF($B$10:$B$16,"NCAP_TLIFE",$AX$10:$AX$16)),0,""))</f>
        <v/>
      </c>
      <c r="AI116" s="369" t="str">
        <f ca="1">IF($B116&lt;&gt;"PRC_RESID","",IF(AI$7=2005+OFFSET(COM_2012!$B$60,$AW116,SUMIF($B$10:$B$16,"NCAP_TLIFE",$AX$10:$AX$16)),0,""))</f>
        <v/>
      </c>
      <c r="AJ116" s="369" t="str">
        <f ca="1">IF($B116&lt;&gt;"PRC_RESID","",IF(AJ$7=2005+OFFSET(COM_2012!$B$60,$AW116,SUMIF($B$10:$B$16,"NCAP_TLIFE",$AX$10:$AX$16)),0,""))</f>
        <v/>
      </c>
      <c r="AK116" s="369" t="str">
        <f ca="1">IF($B116&lt;&gt;"PRC_RESID","",IF(AK$7=2005+OFFSET(COM_2012!$B$60,$AW116,SUMIF($B$10:$B$16,"NCAP_TLIFE",$AX$10:$AX$16)),0,""))</f>
        <v/>
      </c>
      <c r="AL116" s="369" t="str">
        <f ca="1">IF($B116&lt;&gt;"PRC_RESID","",IF(AL$7=2005+OFFSET(COM_2012!$B$60,$AW116,SUMIF($B$10:$B$16,"NCAP_TLIFE",$AX$10:$AX$16)),0,""))</f>
        <v/>
      </c>
      <c r="AM116" s="369" t="str">
        <f ca="1">IF($B116&lt;&gt;"PRC_RESID","",IF(AM$7=2005+OFFSET(COM_2012!$B$60,$AW116,SUMIF($B$10:$B$16,"NCAP_TLIFE",$AX$10:$AX$16)),0,""))</f>
        <v/>
      </c>
      <c r="AN116" s="369" t="str">
        <f ca="1">IF($B116&lt;&gt;"PRC_RESID","",IF(AN$7=2005+OFFSET(COM_2012!$B$60,$AW116,SUMIF($B$10:$B$16,"NCAP_TLIFE",$AX$10:$AX$16)),0,""))</f>
        <v/>
      </c>
      <c r="AO116" s="369" t="str">
        <f ca="1">IF($B116&lt;&gt;"PRC_RESID","",IF(AO$7=2005+OFFSET(COM_2012!$B$60,$AW116,SUMIF($B$10:$B$16,"NCAP_TLIFE",$AX$10:$AX$16)),0,""))</f>
        <v/>
      </c>
      <c r="AP116" s="369" t="str">
        <f ca="1">IF($B116&lt;&gt;"PRC_RESID","",IF(AP$7=2005+OFFSET(COM_2012!$B$60,$AW116,SUMIF($B$10:$B$16,"NCAP_TLIFE",$AX$10:$AX$16)),0,""))</f>
        <v/>
      </c>
      <c r="AQ116" s="369" t="str">
        <f ca="1">IF($B116&lt;&gt;"PRC_RESID","",IF(AQ$7=2005+OFFSET(COM_2012!$B$60,$AW116,SUMIF($B$10:$B$16,"NCAP_TLIFE",$AX$10:$AX$16)),0,""))</f>
        <v/>
      </c>
      <c r="AR116" s="369" t="str">
        <f ca="1">IF($B116&lt;&gt;"PRC_RESID","",IF(AR$7=2005+OFFSET(COM_2012!$B$60,$AW116,SUMIF($B$10:$B$16,"NCAP_TLIFE",$AX$10:$AX$16)),0,""))</f>
        <v/>
      </c>
      <c r="AS116" s="369" t="str">
        <f ca="1">IF($B116&lt;&gt;"PRC_RESID","",IF(AS$7=2005+OFFSET(COM_2012!$B$60,$AW116,SUMIF($B$10:$B$16,"NCAP_TLIFE",$AX$10:$AX$16)),0,""))</f>
        <v/>
      </c>
      <c r="AT116" s="369" t="str">
        <f ca="1">IF($B116&lt;&gt;"PRC_RESID","",IF(AT$7=2005+OFFSET(COM_2012!$B$60,$AW116,SUMIF($B$10:$B$16,"NCAP_TLIFE",$AX$10:$AX$16)),0,""))</f>
        <v/>
      </c>
      <c r="AU116" s="369" t="str">
        <f ca="1">IF($B116&lt;&gt;"PRC_RESID","",IF(AU$7=2005+OFFSET(COM_2012!$B$60,$AW116,SUMIF($B$10:$B$16,"NCAP_TLIFE",$AX$10:$AX$16)),0,""))</f>
        <v/>
      </c>
      <c r="AV116" s="304">
        <f>IF(AW115=COM_2012!$AI$121,AV115+1,AV115)</f>
        <v>2</v>
      </c>
      <c r="AW116" s="304">
        <f t="shared" si="12"/>
        <v>28</v>
      </c>
    </row>
    <row r="117" spans="1:49">
      <c r="A117" s="304" t="str">
        <f ca="1">IF(LEFT(OFFSET(COM_2012!$A$60,AW117,0),2)="\I","*","")</f>
        <v/>
      </c>
      <c r="B117" s="369" t="str">
        <f t="shared" ca="1" si="10"/>
        <v>NCAP_BND</v>
      </c>
      <c r="C117" s="369" t="str">
        <f ca="1">IF($A117="*","",OFFSET(COM_2012!$B$60,AW117,0))</f>
        <v>CERELC-E</v>
      </c>
      <c r="D117" s="369" t="str">
        <f t="shared" ca="1" si="13"/>
        <v>-</v>
      </c>
      <c r="E117" s="369" t="str">
        <f t="shared" ca="1" si="13"/>
        <v>-</v>
      </c>
      <c r="F117" s="369" t="str">
        <f t="shared" ca="1" si="13"/>
        <v>-</v>
      </c>
      <c r="G117" s="369" t="str">
        <f t="shared" ca="1" si="13"/>
        <v>-</v>
      </c>
      <c r="H117" s="369" t="str">
        <f t="shared" ca="1" si="13"/>
        <v>UP</v>
      </c>
      <c r="I117" s="370">
        <f t="shared" ca="1" si="13"/>
        <v>0</v>
      </c>
      <c r="J117" s="391">
        <f ca="1">IF($A117="*","",OFFSET(COM_2012!$B$60,AW117,SUMIF($B$10:$B$16,B117,$AX$10:$AX$16)))</f>
        <v>0</v>
      </c>
      <c r="K117" s="369" t="str">
        <f ca="1">IF($B117&lt;&gt;"PRC_RESID","",IF(K$7=2005+OFFSET(COM_2012!$B$60,$AW117,SUMIF($B$10:$B$16,"NCAP_TLIFE",$AX$10:$AX$16)),0,""))</f>
        <v/>
      </c>
      <c r="L117" s="369" t="str">
        <f ca="1">IF($B117&lt;&gt;"PRC_RESID","",IF(L$7=2005+OFFSET(COM_2012!$B$60,$AW117,SUMIF($B$10:$B$16,"NCAP_TLIFE",$AX$10:$AX$16)),0,""))</f>
        <v/>
      </c>
      <c r="M117" s="369" t="str">
        <f ca="1">IF($B117&lt;&gt;"PRC_RESID","",IF(M$7=2005+OFFSET(COM_2012!$B$60,$AW117,SUMIF($B$10:$B$16,"NCAP_TLIFE",$AX$10:$AX$16)),0,""))</f>
        <v/>
      </c>
      <c r="N117" s="369" t="str">
        <f ca="1">IF($B117&lt;&gt;"PRC_RESID","",IF(N$7=2005+OFFSET(COM_2012!$B$60,$AW117,SUMIF($B$10:$B$16,"NCAP_TLIFE",$AX$10:$AX$16)),0,""))</f>
        <v/>
      </c>
      <c r="O117" s="658" t="str">
        <f ca="1">IF($B117&lt;&gt;"PRC_RESID","",IF(O$7=2005+OFFSET(COM_2012!$B$60,$AW117,SUMIF($B$10:$B$16,"NCAP_TLIFE",$AX$10:$AX$16)),0,""))</f>
        <v/>
      </c>
      <c r="P117" s="369" t="str">
        <f ca="1">IF($B117&lt;&gt;"PRC_RESID","",IF(P$7=2005+OFFSET(COM_2012!$B$60,$AW117,SUMIF($B$10:$B$16,"NCAP_TLIFE",$AX$10:$AX$16)),0,""))</f>
        <v/>
      </c>
      <c r="Q117" s="369" t="str">
        <f ca="1">IF($B117&lt;&gt;"PRC_RESID","",IF(Q$7=2005+OFFSET(COM_2012!$B$60,$AW117,SUMIF($B$10:$B$16,"NCAP_TLIFE",$AX$10:$AX$16)),0,""))</f>
        <v/>
      </c>
      <c r="R117" s="369" t="str">
        <f ca="1">IF($B117&lt;&gt;"PRC_RESID","",IF(R$7=2005+OFFSET(COM_2012!$B$60,$AW117,SUMIF($B$10:$B$16,"NCAP_TLIFE",$AX$10:$AX$16)),0,""))</f>
        <v/>
      </c>
      <c r="S117" s="369" t="str">
        <f ca="1">IF($B117&lt;&gt;"PRC_RESID","",IF(S$7=2005+OFFSET(COM_2012!$B$60,$AW117,SUMIF($B$10:$B$16,"NCAP_TLIFE",$AX$10:$AX$16)),0,""))</f>
        <v/>
      </c>
      <c r="T117" s="369" t="str">
        <f ca="1">IF($B117&lt;&gt;"PRC_RESID","",IF(T$7=2005+OFFSET(COM_2012!$B$60,$AW117,SUMIF($B$10:$B$16,"NCAP_TLIFE",$AX$10:$AX$16)),0,""))</f>
        <v/>
      </c>
      <c r="U117" s="369" t="str">
        <f ca="1">IF($B117&lt;&gt;"PRC_RESID","",IF(U$7=2005+OFFSET(COM_2012!$B$60,$AW117,SUMIF($B$10:$B$16,"NCAP_TLIFE",$AX$10:$AX$16)),0,""))</f>
        <v/>
      </c>
      <c r="V117" s="369" t="str">
        <f ca="1">IF($B117&lt;&gt;"PRC_RESID","",IF(V$7=2005+OFFSET(COM_2012!$B$60,$AW117,SUMIF($B$10:$B$16,"NCAP_TLIFE",$AX$10:$AX$16)),0,""))</f>
        <v/>
      </c>
      <c r="W117" s="369" t="str">
        <f ca="1">IF($B117&lt;&gt;"PRC_RESID","",IF(W$7=2005+OFFSET(COM_2012!$B$60,$AW117,SUMIF($B$10:$B$16,"NCAP_TLIFE",$AX$10:$AX$16)),0,""))</f>
        <v/>
      </c>
      <c r="X117" s="369" t="str">
        <f ca="1">IF($B117&lt;&gt;"PRC_RESID","",IF(X$7=2005+OFFSET(COM_2012!$B$60,$AW117,SUMIF($B$10:$B$16,"NCAP_TLIFE",$AX$10:$AX$16)),0,""))</f>
        <v/>
      </c>
      <c r="Y117" s="369" t="str">
        <f ca="1">IF($B117&lt;&gt;"PRC_RESID","",IF(Y$7=2005+OFFSET(COM_2012!$B$60,$AW117,SUMIF($B$10:$B$16,"NCAP_TLIFE",$AX$10:$AX$16)),0,""))</f>
        <v/>
      </c>
      <c r="Z117" s="369" t="str">
        <f ca="1">IF($B117&lt;&gt;"PRC_RESID","",IF(Z$7=2005+OFFSET(COM_2012!$B$60,$AW117,SUMIF($B$10:$B$16,"NCAP_TLIFE",$AX$10:$AX$16)),0,""))</f>
        <v/>
      </c>
      <c r="AA117" s="369" t="str">
        <f ca="1">IF($B117&lt;&gt;"PRC_RESID","",IF(AA$7=2005+OFFSET(COM_2012!$B$60,$AW117,SUMIF($B$10:$B$16,"NCAP_TLIFE",$AX$10:$AX$16)),0,""))</f>
        <v/>
      </c>
      <c r="AB117" s="369" t="str">
        <f ca="1">IF($B117&lt;&gt;"PRC_RESID","",IF(AB$7=2005+OFFSET(COM_2012!$B$60,$AW117,SUMIF($B$10:$B$16,"NCAP_TLIFE",$AX$10:$AX$16)),0,""))</f>
        <v/>
      </c>
      <c r="AC117" s="369" t="str">
        <f ca="1">IF($B117&lt;&gt;"PRC_RESID","",IF(AC$7=2005+OFFSET(COM_2012!$B$60,$AW117,SUMIF($B$10:$B$16,"NCAP_TLIFE",$AX$10:$AX$16)),0,""))</f>
        <v/>
      </c>
      <c r="AD117" s="369" t="str">
        <f ca="1">IF($B117&lt;&gt;"PRC_RESID","",IF(AD$7=2005+OFFSET(COM_2012!$B$60,$AW117,SUMIF($B$10:$B$16,"NCAP_TLIFE",$AX$10:$AX$16)),0,""))</f>
        <v/>
      </c>
      <c r="AE117" s="369" t="str">
        <f ca="1">IF($B117&lt;&gt;"PRC_RESID","",IF(AE$7=2005+OFFSET(COM_2012!$B$60,$AW117,SUMIF($B$10:$B$16,"NCAP_TLIFE",$AX$10:$AX$16)),0,""))</f>
        <v/>
      </c>
      <c r="AF117" s="369" t="str">
        <f ca="1">IF($B117&lt;&gt;"PRC_RESID","",IF(AF$7=2005+OFFSET(COM_2012!$B$60,$AW117,SUMIF($B$10:$B$16,"NCAP_TLIFE",$AX$10:$AX$16)),0,""))</f>
        <v/>
      </c>
      <c r="AG117" s="369" t="str">
        <f ca="1">IF($B117&lt;&gt;"PRC_RESID","",IF(AG$7=2005+OFFSET(COM_2012!$B$60,$AW117,SUMIF($B$10:$B$16,"NCAP_TLIFE",$AX$10:$AX$16)),0,""))</f>
        <v/>
      </c>
      <c r="AH117" s="369" t="str">
        <f ca="1">IF($B117&lt;&gt;"PRC_RESID","",IF(AH$7=2005+OFFSET(COM_2012!$B$60,$AW117,SUMIF($B$10:$B$16,"NCAP_TLIFE",$AX$10:$AX$16)),0,""))</f>
        <v/>
      </c>
      <c r="AI117" s="369" t="str">
        <f ca="1">IF($B117&lt;&gt;"PRC_RESID","",IF(AI$7=2005+OFFSET(COM_2012!$B$60,$AW117,SUMIF($B$10:$B$16,"NCAP_TLIFE",$AX$10:$AX$16)),0,""))</f>
        <v/>
      </c>
      <c r="AJ117" s="369" t="str">
        <f ca="1">IF($B117&lt;&gt;"PRC_RESID","",IF(AJ$7=2005+OFFSET(COM_2012!$B$60,$AW117,SUMIF($B$10:$B$16,"NCAP_TLIFE",$AX$10:$AX$16)),0,""))</f>
        <v/>
      </c>
      <c r="AK117" s="369" t="str">
        <f ca="1">IF($B117&lt;&gt;"PRC_RESID","",IF(AK$7=2005+OFFSET(COM_2012!$B$60,$AW117,SUMIF($B$10:$B$16,"NCAP_TLIFE",$AX$10:$AX$16)),0,""))</f>
        <v/>
      </c>
      <c r="AL117" s="369" t="str">
        <f ca="1">IF($B117&lt;&gt;"PRC_RESID","",IF(AL$7=2005+OFFSET(COM_2012!$B$60,$AW117,SUMIF($B$10:$B$16,"NCAP_TLIFE",$AX$10:$AX$16)),0,""))</f>
        <v/>
      </c>
      <c r="AM117" s="369" t="str">
        <f ca="1">IF($B117&lt;&gt;"PRC_RESID","",IF(AM$7=2005+OFFSET(COM_2012!$B$60,$AW117,SUMIF($B$10:$B$16,"NCAP_TLIFE",$AX$10:$AX$16)),0,""))</f>
        <v/>
      </c>
      <c r="AN117" s="369" t="str">
        <f ca="1">IF($B117&lt;&gt;"PRC_RESID","",IF(AN$7=2005+OFFSET(COM_2012!$B$60,$AW117,SUMIF($B$10:$B$16,"NCAP_TLIFE",$AX$10:$AX$16)),0,""))</f>
        <v/>
      </c>
      <c r="AO117" s="369" t="str">
        <f ca="1">IF($B117&lt;&gt;"PRC_RESID","",IF(AO$7=2005+OFFSET(COM_2012!$B$60,$AW117,SUMIF($B$10:$B$16,"NCAP_TLIFE",$AX$10:$AX$16)),0,""))</f>
        <v/>
      </c>
      <c r="AP117" s="369" t="str">
        <f ca="1">IF($B117&lt;&gt;"PRC_RESID","",IF(AP$7=2005+OFFSET(COM_2012!$B$60,$AW117,SUMIF($B$10:$B$16,"NCAP_TLIFE",$AX$10:$AX$16)),0,""))</f>
        <v/>
      </c>
      <c r="AQ117" s="369" t="str">
        <f ca="1">IF($B117&lt;&gt;"PRC_RESID","",IF(AQ$7=2005+OFFSET(COM_2012!$B$60,$AW117,SUMIF($B$10:$B$16,"NCAP_TLIFE",$AX$10:$AX$16)),0,""))</f>
        <v/>
      </c>
      <c r="AR117" s="369" t="str">
        <f ca="1">IF($B117&lt;&gt;"PRC_RESID","",IF(AR$7=2005+OFFSET(COM_2012!$B$60,$AW117,SUMIF($B$10:$B$16,"NCAP_TLIFE",$AX$10:$AX$16)),0,""))</f>
        <v/>
      </c>
      <c r="AS117" s="369" t="str">
        <f ca="1">IF($B117&lt;&gt;"PRC_RESID","",IF(AS$7=2005+OFFSET(COM_2012!$B$60,$AW117,SUMIF($B$10:$B$16,"NCAP_TLIFE",$AX$10:$AX$16)),0,""))</f>
        <v/>
      </c>
      <c r="AT117" s="369" t="str">
        <f ca="1">IF($B117&lt;&gt;"PRC_RESID","",IF(AT$7=2005+OFFSET(COM_2012!$B$60,$AW117,SUMIF($B$10:$B$16,"NCAP_TLIFE",$AX$10:$AX$16)),0,""))</f>
        <v/>
      </c>
      <c r="AU117" s="369" t="str">
        <f ca="1">IF($B117&lt;&gt;"PRC_RESID","",IF(AU$7=2005+OFFSET(COM_2012!$B$60,$AW117,SUMIF($B$10:$B$16,"NCAP_TLIFE",$AX$10:$AX$16)),0,""))</f>
        <v/>
      </c>
      <c r="AV117" s="304">
        <f>IF(AW116=COM_2012!$AI$121,AV116+1,AV116)</f>
        <v>2</v>
      </c>
      <c r="AW117" s="304">
        <f t="shared" si="12"/>
        <v>29</v>
      </c>
    </row>
    <row r="118" spans="1:49">
      <c r="A118" s="304" t="str">
        <f ca="1">IF(LEFT(OFFSET(COM_2012!$A$60,AW118,0),2)="\I","*","")</f>
        <v/>
      </c>
      <c r="B118" s="369" t="str">
        <f t="shared" ca="1" si="10"/>
        <v>NCAP_BND</v>
      </c>
      <c r="C118" s="369" t="str">
        <f ca="1">IF($A118="*","",OFFSET(COM_2012!$B$60,AW118,0))</f>
        <v>CERELC-N</v>
      </c>
      <c r="D118" s="369" t="str">
        <f t="shared" ca="1" si="13"/>
        <v>-</v>
      </c>
      <c r="E118" s="369" t="str">
        <f t="shared" ca="1" si="13"/>
        <v>-</v>
      </c>
      <c r="F118" s="369" t="str">
        <f t="shared" ca="1" si="13"/>
        <v>-</v>
      </c>
      <c r="G118" s="369" t="str">
        <f t="shared" ca="1" si="13"/>
        <v>-</v>
      </c>
      <c r="H118" s="369" t="str">
        <f t="shared" ca="1" si="13"/>
        <v>UP</v>
      </c>
      <c r="I118" s="370">
        <f t="shared" ca="1" si="13"/>
        <v>0</v>
      </c>
      <c r="J118" s="391">
        <f ca="1">IF($A118="*","",OFFSET(COM_2012!$B$60,AW118,SUMIF($B$10:$B$16,B118,$AX$10:$AX$16)))</f>
        <v>0</v>
      </c>
      <c r="K118" s="369" t="str">
        <f ca="1">IF($B118&lt;&gt;"PRC_RESID","",IF(K$7=2005+OFFSET(COM_2012!$B$60,$AW118,SUMIF($B$10:$B$16,"NCAP_TLIFE",$AX$10:$AX$16)),0,""))</f>
        <v/>
      </c>
      <c r="L118" s="369" t="str">
        <f ca="1">IF($B118&lt;&gt;"PRC_RESID","",IF(L$7=2005+OFFSET(COM_2012!$B$60,$AW118,SUMIF($B$10:$B$16,"NCAP_TLIFE",$AX$10:$AX$16)),0,""))</f>
        <v/>
      </c>
      <c r="M118" s="369" t="str">
        <f ca="1">IF($B118&lt;&gt;"PRC_RESID","",IF(M$7=2005+OFFSET(COM_2012!$B$60,$AW118,SUMIF($B$10:$B$16,"NCAP_TLIFE",$AX$10:$AX$16)),0,""))</f>
        <v/>
      </c>
      <c r="N118" s="369" t="str">
        <f ca="1">IF($B118&lt;&gt;"PRC_RESID","",IF(N$7=2005+OFFSET(COM_2012!$B$60,$AW118,SUMIF($B$10:$B$16,"NCAP_TLIFE",$AX$10:$AX$16)),0,""))</f>
        <v/>
      </c>
      <c r="O118" s="658" t="str">
        <f ca="1">IF($B118&lt;&gt;"PRC_RESID","",IF(O$7=2005+OFFSET(COM_2012!$B$60,$AW118,SUMIF($B$10:$B$16,"NCAP_TLIFE",$AX$10:$AX$16)),0,""))</f>
        <v/>
      </c>
      <c r="P118" s="369" t="str">
        <f ca="1">IF($B118&lt;&gt;"PRC_RESID","",IF(P$7=2005+OFFSET(COM_2012!$B$60,$AW118,SUMIF($B$10:$B$16,"NCAP_TLIFE",$AX$10:$AX$16)),0,""))</f>
        <v/>
      </c>
      <c r="Q118" s="369" t="str">
        <f ca="1">IF($B118&lt;&gt;"PRC_RESID","",IF(Q$7=2005+OFFSET(COM_2012!$B$60,$AW118,SUMIF($B$10:$B$16,"NCAP_TLIFE",$AX$10:$AX$16)),0,""))</f>
        <v/>
      </c>
      <c r="R118" s="369" t="str">
        <f ca="1">IF($B118&lt;&gt;"PRC_RESID","",IF(R$7=2005+OFFSET(COM_2012!$B$60,$AW118,SUMIF($B$10:$B$16,"NCAP_TLIFE",$AX$10:$AX$16)),0,""))</f>
        <v/>
      </c>
      <c r="S118" s="369" t="str">
        <f ca="1">IF($B118&lt;&gt;"PRC_RESID","",IF(S$7=2005+OFFSET(COM_2012!$B$60,$AW118,SUMIF($B$10:$B$16,"NCAP_TLIFE",$AX$10:$AX$16)),0,""))</f>
        <v/>
      </c>
      <c r="T118" s="369" t="str">
        <f ca="1">IF($B118&lt;&gt;"PRC_RESID","",IF(T$7=2005+OFFSET(COM_2012!$B$60,$AW118,SUMIF($B$10:$B$16,"NCAP_TLIFE",$AX$10:$AX$16)),0,""))</f>
        <v/>
      </c>
      <c r="U118" s="369" t="str">
        <f ca="1">IF($B118&lt;&gt;"PRC_RESID","",IF(U$7=2005+OFFSET(COM_2012!$B$60,$AW118,SUMIF($B$10:$B$16,"NCAP_TLIFE",$AX$10:$AX$16)),0,""))</f>
        <v/>
      </c>
      <c r="V118" s="369" t="str">
        <f ca="1">IF($B118&lt;&gt;"PRC_RESID","",IF(V$7=2005+OFFSET(COM_2012!$B$60,$AW118,SUMIF($B$10:$B$16,"NCAP_TLIFE",$AX$10:$AX$16)),0,""))</f>
        <v/>
      </c>
      <c r="W118" s="369" t="str">
        <f ca="1">IF($B118&lt;&gt;"PRC_RESID","",IF(W$7=2005+OFFSET(COM_2012!$B$60,$AW118,SUMIF($B$10:$B$16,"NCAP_TLIFE",$AX$10:$AX$16)),0,""))</f>
        <v/>
      </c>
      <c r="X118" s="369" t="str">
        <f ca="1">IF($B118&lt;&gt;"PRC_RESID","",IF(X$7=2005+OFFSET(COM_2012!$B$60,$AW118,SUMIF($B$10:$B$16,"NCAP_TLIFE",$AX$10:$AX$16)),0,""))</f>
        <v/>
      </c>
      <c r="Y118" s="369" t="str">
        <f ca="1">IF($B118&lt;&gt;"PRC_RESID","",IF(Y$7=2005+OFFSET(COM_2012!$B$60,$AW118,SUMIF($B$10:$B$16,"NCAP_TLIFE",$AX$10:$AX$16)),0,""))</f>
        <v/>
      </c>
      <c r="Z118" s="369" t="str">
        <f ca="1">IF($B118&lt;&gt;"PRC_RESID","",IF(Z$7=2005+OFFSET(COM_2012!$B$60,$AW118,SUMIF($B$10:$B$16,"NCAP_TLIFE",$AX$10:$AX$16)),0,""))</f>
        <v/>
      </c>
      <c r="AA118" s="369" t="str">
        <f ca="1">IF($B118&lt;&gt;"PRC_RESID","",IF(AA$7=2005+OFFSET(COM_2012!$B$60,$AW118,SUMIF($B$10:$B$16,"NCAP_TLIFE",$AX$10:$AX$16)),0,""))</f>
        <v/>
      </c>
      <c r="AB118" s="369" t="str">
        <f ca="1">IF($B118&lt;&gt;"PRC_RESID","",IF(AB$7=2005+OFFSET(COM_2012!$B$60,$AW118,SUMIF($B$10:$B$16,"NCAP_TLIFE",$AX$10:$AX$16)),0,""))</f>
        <v/>
      </c>
      <c r="AC118" s="369" t="str">
        <f ca="1">IF($B118&lt;&gt;"PRC_RESID","",IF(AC$7=2005+OFFSET(COM_2012!$B$60,$AW118,SUMIF($B$10:$B$16,"NCAP_TLIFE",$AX$10:$AX$16)),0,""))</f>
        <v/>
      </c>
      <c r="AD118" s="369" t="str">
        <f ca="1">IF($B118&lt;&gt;"PRC_RESID","",IF(AD$7=2005+OFFSET(COM_2012!$B$60,$AW118,SUMIF($B$10:$B$16,"NCAP_TLIFE",$AX$10:$AX$16)),0,""))</f>
        <v/>
      </c>
      <c r="AE118" s="369" t="str">
        <f ca="1">IF($B118&lt;&gt;"PRC_RESID","",IF(AE$7=2005+OFFSET(COM_2012!$B$60,$AW118,SUMIF($B$10:$B$16,"NCAP_TLIFE",$AX$10:$AX$16)),0,""))</f>
        <v/>
      </c>
      <c r="AF118" s="369" t="str">
        <f ca="1">IF($B118&lt;&gt;"PRC_RESID","",IF(AF$7=2005+OFFSET(COM_2012!$B$60,$AW118,SUMIF($B$10:$B$16,"NCAP_TLIFE",$AX$10:$AX$16)),0,""))</f>
        <v/>
      </c>
      <c r="AG118" s="369" t="str">
        <f ca="1">IF($B118&lt;&gt;"PRC_RESID","",IF(AG$7=2005+OFFSET(COM_2012!$B$60,$AW118,SUMIF($B$10:$B$16,"NCAP_TLIFE",$AX$10:$AX$16)),0,""))</f>
        <v/>
      </c>
      <c r="AH118" s="369" t="str">
        <f ca="1">IF($B118&lt;&gt;"PRC_RESID","",IF(AH$7=2005+OFFSET(COM_2012!$B$60,$AW118,SUMIF($B$10:$B$16,"NCAP_TLIFE",$AX$10:$AX$16)),0,""))</f>
        <v/>
      </c>
      <c r="AI118" s="369" t="str">
        <f ca="1">IF($B118&lt;&gt;"PRC_RESID","",IF(AI$7=2005+OFFSET(COM_2012!$B$60,$AW118,SUMIF($B$10:$B$16,"NCAP_TLIFE",$AX$10:$AX$16)),0,""))</f>
        <v/>
      </c>
      <c r="AJ118" s="369" t="str">
        <f ca="1">IF($B118&lt;&gt;"PRC_RESID","",IF(AJ$7=2005+OFFSET(COM_2012!$B$60,$AW118,SUMIF($B$10:$B$16,"NCAP_TLIFE",$AX$10:$AX$16)),0,""))</f>
        <v/>
      </c>
      <c r="AK118" s="369" t="str">
        <f ca="1">IF($B118&lt;&gt;"PRC_RESID","",IF(AK$7=2005+OFFSET(COM_2012!$B$60,$AW118,SUMIF($B$10:$B$16,"NCAP_TLIFE",$AX$10:$AX$16)),0,""))</f>
        <v/>
      </c>
      <c r="AL118" s="369" t="str">
        <f ca="1">IF($B118&lt;&gt;"PRC_RESID","",IF(AL$7=2005+OFFSET(COM_2012!$B$60,$AW118,SUMIF($B$10:$B$16,"NCAP_TLIFE",$AX$10:$AX$16)),0,""))</f>
        <v/>
      </c>
      <c r="AM118" s="369" t="str">
        <f ca="1">IF($B118&lt;&gt;"PRC_RESID","",IF(AM$7=2005+OFFSET(COM_2012!$B$60,$AW118,SUMIF($B$10:$B$16,"NCAP_TLIFE",$AX$10:$AX$16)),0,""))</f>
        <v/>
      </c>
      <c r="AN118" s="369" t="str">
        <f ca="1">IF($B118&lt;&gt;"PRC_RESID","",IF(AN$7=2005+OFFSET(COM_2012!$B$60,$AW118,SUMIF($B$10:$B$16,"NCAP_TLIFE",$AX$10:$AX$16)),0,""))</f>
        <v/>
      </c>
      <c r="AO118" s="369" t="str">
        <f ca="1">IF($B118&lt;&gt;"PRC_RESID","",IF(AO$7=2005+OFFSET(COM_2012!$B$60,$AW118,SUMIF($B$10:$B$16,"NCAP_TLIFE",$AX$10:$AX$16)),0,""))</f>
        <v/>
      </c>
      <c r="AP118" s="369" t="str">
        <f ca="1">IF($B118&lt;&gt;"PRC_RESID","",IF(AP$7=2005+OFFSET(COM_2012!$B$60,$AW118,SUMIF($B$10:$B$16,"NCAP_TLIFE",$AX$10:$AX$16)),0,""))</f>
        <v/>
      </c>
      <c r="AQ118" s="369" t="str">
        <f ca="1">IF($B118&lt;&gt;"PRC_RESID","",IF(AQ$7=2005+OFFSET(COM_2012!$B$60,$AW118,SUMIF($B$10:$B$16,"NCAP_TLIFE",$AX$10:$AX$16)),0,""))</f>
        <v/>
      </c>
      <c r="AR118" s="369" t="str">
        <f ca="1">IF($B118&lt;&gt;"PRC_RESID","",IF(AR$7=2005+OFFSET(COM_2012!$B$60,$AW118,SUMIF($B$10:$B$16,"NCAP_TLIFE",$AX$10:$AX$16)),0,""))</f>
        <v/>
      </c>
      <c r="AS118" s="369" t="str">
        <f ca="1">IF($B118&lt;&gt;"PRC_RESID","",IF(AS$7=2005+OFFSET(COM_2012!$B$60,$AW118,SUMIF($B$10:$B$16,"NCAP_TLIFE",$AX$10:$AX$16)),0,""))</f>
        <v/>
      </c>
      <c r="AT118" s="369" t="str">
        <f ca="1">IF($B118&lt;&gt;"PRC_RESID","",IF(AT$7=2005+OFFSET(COM_2012!$B$60,$AW118,SUMIF($B$10:$B$16,"NCAP_TLIFE",$AX$10:$AX$16)),0,""))</f>
        <v/>
      </c>
      <c r="AU118" s="369" t="str">
        <f ca="1">IF($B118&lt;&gt;"PRC_RESID","",IF(AU$7=2005+OFFSET(COM_2012!$B$60,$AW118,SUMIF($B$10:$B$16,"NCAP_TLIFE",$AX$10:$AX$16)),0,""))</f>
        <v/>
      </c>
      <c r="AV118" s="304">
        <f>IF(AW117=COM_2012!$AI$121,AV117+1,AV117)</f>
        <v>2</v>
      </c>
      <c r="AW118" s="304">
        <f t="shared" si="12"/>
        <v>30</v>
      </c>
    </row>
    <row r="119" spans="1:49">
      <c r="A119" s="304" t="str">
        <f ca="1">IF(LEFT(OFFSET(COM_2012!$A$60,AW119,0),2)="\I","*","")</f>
        <v>*</v>
      </c>
      <c r="B119" s="369" t="str">
        <f t="shared" ca="1" si="10"/>
        <v/>
      </c>
      <c r="C119" s="369" t="str">
        <f ca="1">IF($A119="*","",OFFSET(COM_2012!$B$60,AW119,0))</f>
        <v/>
      </c>
      <c r="D119" s="369" t="str">
        <f t="shared" ca="1" si="13"/>
        <v/>
      </c>
      <c r="E119" s="369" t="str">
        <f t="shared" ca="1" si="13"/>
        <v/>
      </c>
      <c r="F119" s="369" t="str">
        <f t="shared" ca="1" si="13"/>
        <v/>
      </c>
      <c r="G119" s="369" t="str">
        <f t="shared" ca="1" si="13"/>
        <v/>
      </c>
      <c r="H119" s="369" t="str">
        <f t="shared" ca="1" si="13"/>
        <v/>
      </c>
      <c r="I119" s="370" t="str">
        <f t="shared" ca="1" si="13"/>
        <v/>
      </c>
      <c r="J119" s="391" t="str">
        <f ca="1">IF($A119="*","",OFFSET(COM_2012!$B$60,AW119,SUMIF($B$10:$B$16,B119,$AX$10:$AX$16)))</f>
        <v/>
      </c>
      <c r="K119" s="369" t="str">
        <f ca="1">IF($B119&lt;&gt;"PRC_RESID","",IF(K$7=2005+OFFSET(COM_2012!$B$60,$AW119,SUMIF($B$10:$B$16,"NCAP_TLIFE",$AX$10:$AX$16)),0,""))</f>
        <v/>
      </c>
      <c r="L119" s="369" t="str">
        <f ca="1">IF($B119&lt;&gt;"PRC_RESID","",IF(L$7=2005+OFFSET(COM_2012!$B$60,$AW119,SUMIF($B$10:$B$16,"NCAP_TLIFE",$AX$10:$AX$16)),0,""))</f>
        <v/>
      </c>
      <c r="M119" s="369" t="str">
        <f ca="1">IF($B119&lt;&gt;"PRC_RESID","",IF(M$7=2005+OFFSET(COM_2012!$B$60,$AW119,SUMIF($B$10:$B$16,"NCAP_TLIFE",$AX$10:$AX$16)),0,""))</f>
        <v/>
      </c>
      <c r="N119" s="369" t="str">
        <f ca="1">IF($B119&lt;&gt;"PRC_RESID","",IF(N$7=2005+OFFSET(COM_2012!$B$60,$AW119,SUMIF($B$10:$B$16,"NCAP_TLIFE",$AX$10:$AX$16)),0,""))</f>
        <v/>
      </c>
      <c r="O119" s="658" t="str">
        <f ca="1">IF($B119&lt;&gt;"PRC_RESID","",IF(O$7=2005+OFFSET(COM_2012!$B$60,$AW119,SUMIF($B$10:$B$16,"NCAP_TLIFE",$AX$10:$AX$16)),0,""))</f>
        <v/>
      </c>
      <c r="P119" s="369" t="str">
        <f ca="1">IF($B119&lt;&gt;"PRC_RESID","",IF(P$7=2005+OFFSET(COM_2012!$B$60,$AW119,SUMIF($B$10:$B$16,"NCAP_TLIFE",$AX$10:$AX$16)),0,""))</f>
        <v/>
      </c>
      <c r="Q119" s="369" t="str">
        <f ca="1">IF($B119&lt;&gt;"PRC_RESID","",IF(Q$7=2005+OFFSET(COM_2012!$B$60,$AW119,SUMIF($B$10:$B$16,"NCAP_TLIFE",$AX$10:$AX$16)),0,""))</f>
        <v/>
      </c>
      <c r="R119" s="369" t="str">
        <f ca="1">IF($B119&lt;&gt;"PRC_RESID","",IF(R$7=2005+OFFSET(COM_2012!$B$60,$AW119,SUMIF($B$10:$B$16,"NCAP_TLIFE",$AX$10:$AX$16)),0,""))</f>
        <v/>
      </c>
      <c r="S119" s="369" t="str">
        <f ca="1">IF($B119&lt;&gt;"PRC_RESID","",IF(S$7=2005+OFFSET(COM_2012!$B$60,$AW119,SUMIF($B$10:$B$16,"NCAP_TLIFE",$AX$10:$AX$16)),0,""))</f>
        <v/>
      </c>
      <c r="T119" s="369" t="str">
        <f ca="1">IF($B119&lt;&gt;"PRC_RESID","",IF(T$7=2005+OFFSET(COM_2012!$B$60,$AW119,SUMIF($B$10:$B$16,"NCAP_TLIFE",$AX$10:$AX$16)),0,""))</f>
        <v/>
      </c>
      <c r="U119" s="369" t="str">
        <f ca="1">IF($B119&lt;&gt;"PRC_RESID","",IF(U$7=2005+OFFSET(COM_2012!$B$60,$AW119,SUMIF($B$10:$B$16,"NCAP_TLIFE",$AX$10:$AX$16)),0,""))</f>
        <v/>
      </c>
      <c r="V119" s="369" t="str">
        <f ca="1">IF($B119&lt;&gt;"PRC_RESID","",IF(V$7=2005+OFFSET(COM_2012!$B$60,$AW119,SUMIF($B$10:$B$16,"NCAP_TLIFE",$AX$10:$AX$16)),0,""))</f>
        <v/>
      </c>
      <c r="W119" s="369" t="str">
        <f ca="1">IF($B119&lt;&gt;"PRC_RESID","",IF(W$7=2005+OFFSET(COM_2012!$B$60,$AW119,SUMIF($B$10:$B$16,"NCAP_TLIFE",$AX$10:$AX$16)),0,""))</f>
        <v/>
      </c>
      <c r="X119" s="369" t="str">
        <f ca="1">IF($B119&lt;&gt;"PRC_RESID","",IF(X$7=2005+OFFSET(COM_2012!$B$60,$AW119,SUMIF($B$10:$B$16,"NCAP_TLIFE",$AX$10:$AX$16)),0,""))</f>
        <v/>
      </c>
      <c r="Y119" s="369" t="str">
        <f ca="1">IF($B119&lt;&gt;"PRC_RESID","",IF(Y$7=2005+OFFSET(COM_2012!$B$60,$AW119,SUMIF($B$10:$B$16,"NCAP_TLIFE",$AX$10:$AX$16)),0,""))</f>
        <v/>
      </c>
      <c r="Z119" s="369" t="str">
        <f ca="1">IF($B119&lt;&gt;"PRC_RESID","",IF(Z$7=2005+OFFSET(COM_2012!$B$60,$AW119,SUMIF($B$10:$B$16,"NCAP_TLIFE",$AX$10:$AX$16)),0,""))</f>
        <v/>
      </c>
      <c r="AA119" s="369" t="str">
        <f ca="1">IF($B119&lt;&gt;"PRC_RESID","",IF(AA$7=2005+OFFSET(COM_2012!$B$60,$AW119,SUMIF($B$10:$B$16,"NCAP_TLIFE",$AX$10:$AX$16)),0,""))</f>
        <v/>
      </c>
      <c r="AB119" s="369" t="str">
        <f ca="1">IF($B119&lt;&gt;"PRC_RESID","",IF(AB$7=2005+OFFSET(COM_2012!$B$60,$AW119,SUMIF($B$10:$B$16,"NCAP_TLIFE",$AX$10:$AX$16)),0,""))</f>
        <v/>
      </c>
      <c r="AC119" s="369" t="str">
        <f ca="1">IF($B119&lt;&gt;"PRC_RESID","",IF(AC$7=2005+OFFSET(COM_2012!$B$60,$AW119,SUMIF($B$10:$B$16,"NCAP_TLIFE",$AX$10:$AX$16)),0,""))</f>
        <v/>
      </c>
      <c r="AD119" s="369" t="str">
        <f ca="1">IF($B119&lt;&gt;"PRC_RESID","",IF(AD$7=2005+OFFSET(COM_2012!$B$60,$AW119,SUMIF($B$10:$B$16,"NCAP_TLIFE",$AX$10:$AX$16)),0,""))</f>
        <v/>
      </c>
      <c r="AE119" s="369" t="str">
        <f ca="1">IF($B119&lt;&gt;"PRC_RESID","",IF(AE$7=2005+OFFSET(COM_2012!$B$60,$AW119,SUMIF($B$10:$B$16,"NCAP_TLIFE",$AX$10:$AX$16)),0,""))</f>
        <v/>
      </c>
      <c r="AF119" s="369" t="str">
        <f ca="1">IF($B119&lt;&gt;"PRC_RESID","",IF(AF$7=2005+OFFSET(COM_2012!$B$60,$AW119,SUMIF($B$10:$B$16,"NCAP_TLIFE",$AX$10:$AX$16)),0,""))</f>
        <v/>
      </c>
      <c r="AG119" s="369" t="str">
        <f ca="1">IF($B119&lt;&gt;"PRC_RESID","",IF(AG$7=2005+OFFSET(COM_2012!$B$60,$AW119,SUMIF($B$10:$B$16,"NCAP_TLIFE",$AX$10:$AX$16)),0,""))</f>
        <v/>
      </c>
      <c r="AH119" s="369" t="str">
        <f ca="1">IF($B119&lt;&gt;"PRC_RESID","",IF(AH$7=2005+OFFSET(COM_2012!$B$60,$AW119,SUMIF($B$10:$B$16,"NCAP_TLIFE",$AX$10:$AX$16)),0,""))</f>
        <v/>
      </c>
      <c r="AI119" s="369" t="str">
        <f ca="1">IF($B119&lt;&gt;"PRC_RESID","",IF(AI$7=2005+OFFSET(COM_2012!$B$60,$AW119,SUMIF($B$10:$B$16,"NCAP_TLIFE",$AX$10:$AX$16)),0,""))</f>
        <v/>
      </c>
      <c r="AJ119" s="369" t="str">
        <f ca="1">IF($B119&lt;&gt;"PRC_RESID","",IF(AJ$7=2005+OFFSET(COM_2012!$B$60,$AW119,SUMIF($B$10:$B$16,"NCAP_TLIFE",$AX$10:$AX$16)),0,""))</f>
        <v/>
      </c>
      <c r="AK119" s="369" t="str">
        <f ca="1">IF($B119&lt;&gt;"PRC_RESID","",IF(AK$7=2005+OFFSET(COM_2012!$B$60,$AW119,SUMIF($B$10:$B$16,"NCAP_TLIFE",$AX$10:$AX$16)),0,""))</f>
        <v/>
      </c>
      <c r="AL119" s="369" t="str">
        <f ca="1">IF($B119&lt;&gt;"PRC_RESID","",IF(AL$7=2005+OFFSET(COM_2012!$B$60,$AW119,SUMIF($B$10:$B$16,"NCAP_TLIFE",$AX$10:$AX$16)),0,""))</f>
        <v/>
      </c>
      <c r="AM119" s="369" t="str">
        <f ca="1">IF($B119&lt;&gt;"PRC_RESID","",IF(AM$7=2005+OFFSET(COM_2012!$B$60,$AW119,SUMIF($B$10:$B$16,"NCAP_TLIFE",$AX$10:$AX$16)),0,""))</f>
        <v/>
      </c>
      <c r="AN119" s="369" t="str">
        <f ca="1">IF($B119&lt;&gt;"PRC_RESID","",IF(AN$7=2005+OFFSET(COM_2012!$B$60,$AW119,SUMIF($B$10:$B$16,"NCAP_TLIFE",$AX$10:$AX$16)),0,""))</f>
        <v/>
      </c>
      <c r="AO119" s="369" t="str">
        <f ca="1">IF($B119&lt;&gt;"PRC_RESID","",IF(AO$7=2005+OFFSET(COM_2012!$B$60,$AW119,SUMIF($B$10:$B$16,"NCAP_TLIFE",$AX$10:$AX$16)),0,""))</f>
        <v/>
      </c>
      <c r="AP119" s="369" t="str">
        <f ca="1">IF($B119&lt;&gt;"PRC_RESID","",IF(AP$7=2005+OFFSET(COM_2012!$B$60,$AW119,SUMIF($B$10:$B$16,"NCAP_TLIFE",$AX$10:$AX$16)),0,""))</f>
        <v/>
      </c>
      <c r="AQ119" s="369" t="str">
        <f ca="1">IF($B119&lt;&gt;"PRC_RESID","",IF(AQ$7=2005+OFFSET(COM_2012!$B$60,$AW119,SUMIF($B$10:$B$16,"NCAP_TLIFE",$AX$10:$AX$16)),0,""))</f>
        <v/>
      </c>
      <c r="AR119" s="369" t="str">
        <f ca="1">IF($B119&lt;&gt;"PRC_RESID","",IF(AR$7=2005+OFFSET(COM_2012!$B$60,$AW119,SUMIF($B$10:$B$16,"NCAP_TLIFE",$AX$10:$AX$16)),0,""))</f>
        <v/>
      </c>
      <c r="AS119" s="369" t="str">
        <f ca="1">IF($B119&lt;&gt;"PRC_RESID","",IF(AS$7=2005+OFFSET(COM_2012!$B$60,$AW119,SUMIF($B$10:$B$16,"NCAP_TLIFE",$AX$10:$AX$16)),0,""))</f>
        <v/>
      </c>
      <c r="AT119" s="369" t="str">
        <f ca="1">IF($B119&lt;&gt;"PRC_RESID","",IF(AT$7=2005+OFFSET(COM_2012!$B$60,$AW119,SUMIF($B$10:$B$16,"NCAP_TLIFE",$AX$10:$AX$16)),0,""))</f>
        <v/>
      </c>
      <c r="AU119" s="369" t="str">
        <f ca="1">IF($B119&lt;&gt;"PRC_RESID","",IF(AU$7=2005+OFFSET(COM_2012!$B$60,$AW119,SUMIF($B$10:$B$16,"NCAP_TLIFE",$AX$10:$AX$16)),0,""))</f>
        <v/>
      </c>
      <c r="AV119" s="304">
        <f>IF(AW118=COM_2012!$AI$121,AV118+1,AV118)</f>
        <v>2</v>
      </c>
      <c r="AW119" s="304">
        <f t="shared" si="12"/>
        <v>31</v>
      </c>
    </row>
    <row r="120" spans="1:49">
      <c r="A120" s="304" t="str">
        <f ca="1">IF(LEFT(OFFSET(COM_2012!$A$60,AW120,0),2)="\I","*","")</f>
        <v>*</v>
      </c>
      <c r="B120" s="369" t="str">
        <f t="shared" ca="1" si="10"/>
        <v/>
      </c>
      <c r="C120" s="369" t="str">
        <f ca="1">IF($A120="*","",OFFSET(COM_2012!$B$60,AW120,0))</f>
        <v/>
      </c>
      <c r="D120" s="369" t="str">
        <f t="shared" ca="1" si="13"/>
        <v/>
      </c>
      <c r="E120" s="369" t="str">
        <f t="shared" ca="1" si="13"/>
        <v/>
      </c>
      <c r="F120" s="369" t="str">
        <f t="shared" ca="1" si="13"/>
        <v/>
      </c>
      <c r="G120" s="369" t="str">
        <f t="shared" ca="1" si="13"/>
        <v/>
      </c>
      <c r="H120" s="369" t="str">
        <f t="shared" ca="1" si="13"/>
        <v/>
      </c>
      <c r="I120" s="370" t="str">
        <f t="shared" ca="1" si="13"/>
        <v/>
      </c>
      <c r="J120" s="391" t="str">
        <f ca="1">IF($A120="*","",OFFSET(COM_2012!$B$60,AW120,SUMIF($B$10:$B$16,B120,$AX$10:$AX$16)))</f>
        <v/>
      </c>
      <c r="K120" s="369" t="str">
        <f ca="1">IF($B120&lt;&gt;"PRC_RESID","",IF(K$7=2005+OFFSET(COM_2012!$B$60,$AW120,SUMIF($B$10:$B$16,"NCAP_TLIFE",$AX$10:$AX$16)),0,""))</f>
        <v/>
      </c>
      <c r="L120" s="369" t="str">
        <f ca="1">IF($B120&lt;&gt;"PRC_RESID","",IF(L$7=2005+OFFSET(COM_2012!$B$60,$AW120,SUMIF($B$10:$B$16,"NCAP_TLIFE",$AX$10:$AX$16)),0,""))</f>
        <v/>
      </c>
      <c r="M120" s="369" t="str">
        <f ca="1">IF($B120&lt;&gt;"PRC_RESID","",IF(M$7=2005+OFFSET(COM_2012!$B$60,$AW120,SUMIF($B$10:$B$16,"NCAP_TLIFE",$AX$10:$AX$16)),0,""))</f>
        <v/>
      </c>
      <c r="N120" s="369" t="str">
        <f ca="1">IF($B120&lt;&gt;"PRC_RESID","",IF(N$7=2005+OFFSET(COM_2012!$B$60,$AW120,SUMIF($B$10:$B$16,"NCAP_TLIFE",$AX$10:$AX$16)),0,""))</f>
        <v/>
      </c>
      <c r="O120" s="658" t="str">
        <f ca="1">IF($B120&lt;&gt;"PRC_RESID","",IF(O$7=2005+OFFSET(COM_2012!$B$60,$AW120,SUMIF($B$10:$B$16,"NCAP_TLIFE",$AX$10:$AX$16)),0,""))</f>
        <v/>
      </c>
      <c r="P120" s="369" t="str">
        <f ca="1">IF($B120&lt;&gt;"PRC_RESID","",IF(P$7=2005+OFFSET(COM_2012!$B$60,$AW120,SUMIF($B$10:$B$16,"NCAP_TLIFE",$AX$10:$AX$16)),0,""))</f>
        <v/>
      </c>
      <c r="Q120" s="369" t="str">
        <f ca="1">IF($B120&lt;&gt;"PRC_RESID","",IF(Q$7=2005+OFFSET(COM_2012!$B$60,$AW120,SUMIF($B$10:$B$16,"NCAP_TLIFE",$AX$10:$AX$16)),0,""))</f>
        <v/>
      </c>
      <c r="R120" s="369" t="str">
        <f ca="1">IF($B120&lt;&gt;"PRC_RESID","",IF(R$7=2005+OFFSET(COM_2012!$B$60,$AW120,SUMIF($B$10:$B$16,"NCAP_TLIFE",$AX$10:$AX$16)),0,""))</f>
        <v/>
      </c>
      <c r="S120" s="369" t="str">
        <f ca="1">IF($B120&lt;&gt;"PRC_RESID","",IF(S$7=2005+OFFSET(COM_2012!$B$60,$AW120,SUMIF($B$10:$B$16,"NCAP_TLIFE",$AX$10:$AX$16)),0,""))</f>
        <v/>
      </c>
      <c r="T120" s="369" t="str">
        <f ca="1">IF($B120&lt;&gt;"PRC_RESID","",IF(T$7=2005+OFFSET(COM_2012!$B$60,$AW120,SUMIF($B$10:$B$16,"NCAP_TLIFE",$AX$10:$AX$16)),0,""))</f>
        <v/>
      </c>
      <c r="U120" s="369" t="str">
        <f ca="1">IF($B120&lt;&gt;"PRC_RESID","",IF(U$7=2005+OFFSET(COM_2012!$B$60,$AW120,SUMIF($B$10:$B$16,"NCAP_TLIFE",$AX$10:$AX$16)),0,""))</f>
        <v/>
      </c>
      <c r="V120" s="369" t="str">
        <f ca="1">IF($B120&lt;&gt;"PRC_RESID","",IF(V$7=2005+OFFSET(COM_2012!$B$60,$AW120,SUMIF($B$10:$B$16,"NCAP_TLIFE",$AX$10:$AX$16)),0,""))</f>
        <v/>
      </c>
      <c r="W120" s="369" t="str">
        <f ca="1">IF($B120&lt;&gt;"PRC_RESID","",IF(W$7=2005+OFFSET(COM_2012!$B$60,$AW120,SUMIF($B$10:$B$16,"NCAP_TLIFE",$AX$10:$AX$16)),0,""))</f>
        <v/>
      </c>
      <c r="X120" s="369" t="str">
        <f ca="1">IF($B120&lt;&gt;"PRC_RESID","",IF(X$7=2005+OFFSET(COM_2012!$B$60,$AW120,SUMIF($B$10:$B$16,"NCAP_TLIFE",$AX$10:$AX$16)),0,""))</f>
        <v/>
      </c>
      <c r="Y120" s="369" t="str">
        <f ca="1">IF($B120&lt;&gt;"PRC_RESID","",IF(Y$7=2005+OFFSET(COM_2012!$B$60,$AW120,SUMIF($B$10:$B$16,"NCAP_TLIFE",$AX$10:$AX$16)),0,""))</f>
        <v/>
      </c>
      <c r="Z120" s="369" t="str">
        <f ca="1">IF($B120&lt;&gt;"PRC_RESID","",IF(Z$7=2005+OFFSET(COM_2012!$B$60,$AW120,SUMIF($B$10:$B$16,"NCAP_TLIFE",$AX$10:$AX$16)),0,""))</f>
        <v/>
      </c>
      <c r="AA120" s="369" t="str">
        <f ca="1">IF($B120&lt;&gt;"PRC_RESID","",IF(AA$7=2005+OFFSET(COM_2012!$B$60,$AW120,SUMIF($B$10:$B$16,"NCAP_TLIFE",$AX$10:$AX$16)),0,""))</f>
        <v/>
      </c>
      <c r="AB120" s="369" t="str">
        <f ca="1">IF($B120&lt;&gt;"PRC_RESID","",IF(AB$7=2005+OFFSET(COM_2012!$B$60,$AW120,SUMIF($B$10:$B$16,"NCAP_TLIFE",$AX$10:$AX$16)),0,""))</f>
        <v/>
      </c>
      <c r="AC120" s="369" t="str">
        <f ca="1">IF($B120&lt;&gt;"PRC_RESID","",IF(AC$7=2005+OFFSET(COM_2012!$B$60,$AW120,SUMIF($B$10:$B$16,"NCAP_TLIFE",$AX$10:$AX$16)),0,""))</f>
        <v/>
      </c>
      <c r="AD120" s="369" t="str">
        <f ca="1">IF($B120&lt;&gt;"PRC_RESID","",IF(AD$7=2005+OFFSET(COM_2012!$B$60,$AW120,SUMIF($B$10:$B$16,"NCAP_TLIFE",$AX$10:$AX$16)),0,""))</f>
        <v/>
      </c>
      <c r="AE120" s="369" t="str">
        <f ca="1">IF($B120&lt;&gt;"PRC_RESID","",IF(AE$7=2005+OFFSET(COM_2012!$B$60,$AW120,SUMIF($B$10:$B$16,"NCAP_TLIFE",$AX$10:$AX$16)),0,""))</f>
        <v/>
      </c>
      <c r="AF120" s="369" t="str">
        <f ca="1">IF($B120&lt;&gt;"PRC_RESID","",IF(AF$7=2005+OFFSET(COM_2012!$B$60,$AW120,SUMIF($B$10:$B$16,"NCAP_TLIFE",$AX$10:$AX$16)),0,""))</f>
        <v/>
      </c>
      <c r="AG120" s="369" t="str">
        <f ca="1">IF($B120&lt;&gt;"PRC_RESID","",IF(AG$7=2005+OFFSET(COM_2012!$B$60,$AW120,SUMIF($B$10:$B$16,"NCAP_TLIFE",$AX$10:$AX$16)),0,""))</f>
        <v/>
      </c>
      <c r="AH120" s="369" t="str">
        <f ca="1">IF($B120&lt;&gt;"PRC_RESID","",IF(AH$7=2005+OFFSET(COM_2012!$B$60,$AW120,SUMIF($B$10:$B$16,"NCAP_TLIFE",$AX$10:$AX$16)),0,""))</f>
        <v/>
      </c>
      <c r="AI120" s="369" t="str">
        <f ca="1">IF($B120&lt;&gt;"PRC_RESID","",IF(AI$7=2005+OFFSET(COM_2012!$B$60,$AW120,SUMIF($B$10:$B$16,"NCAP_TLIFE",$AX$10:$AX$16)),0,""))</f>
        <v/>
      </c>
      <c r="AJ120" s="369" t="str">
        <f ca="1">IF($B120&lt;&gt;"PRC_RESID","",IF(AJ$7=2005+OFFSET(COM_2012!$B$60,$AW120,SUMIF($B$10:$B$16,"NCAP_TLIFE",$AX$10:$AX$16)),0,""))</f>
        <v/>
      </c>
      <c r="AK120" s="369" t="str">
        <f ca="1">IF($B120&lt;&gt;"PRC_RESID","",IF(AK$7=2005+OFFSET(COM_2012!$B$60,$AW120,SUMIF($B$10:$B$16,"NCAP_TLIFE",$AX$10:$AX$16)),0,""))</f>
        <v/>
      </c>
      <c r="AL120" s="369" t="str">
        <f ca="1">IF($B120&lt;&gt;"PRC_RESID","",IF(AL$7=2005+OFFSET(COM_2012!$B$60,$AW120,SUMIF($B$10:$B$16,"NCAP_TLIFE",$AX$10:$AX$16)),0,""))</f>
        <v/>
      </c>
      <c r="AM120" s="369" t="str">
        <f ca="1">IF($B120&lt;&gt;"PRC_RESID","",IF(AM$7=2005+OFFSET(COM_2012!$B$60,$AW120,SUMIF($B$10:$B$16,"NCAP_TLIFE",$AX$10:$AX$16)),0,""))</f>
        <v/>
      </c>
      <c r="AN120" s="369" t="str">
        <f ca="1">IF($B120&lt;&gt;"PRC_RESID","",IF(AN$7=2005+OFFSET(COM_2012!$B$60,$AW120,SUMIF($B$10:$B$16,"NCAP_TLIFE",$AX$10:$AX$16)),0,""))</f>
        <v/>
      </c>
      <c r="AO120" s="369" t="str">
        <f ca="1">IF($B120&lt;&gt;"PRC_RESID","",IF(AO$7=2005+OFFSET(COM_2012!$B$60,$AW120,SUMIF($B$10:$B$16,"NCAP_TLIFE",$AX$10:$AX$16)),0,""))</f>
        <v/>
      </c>
      <c r="AP120" s="369" t="str">
        <f ca="1">IF($B120&lt;&gt;"PRC_RESID","",IF(AP$7=2005+OFFSET(COM_2012!$B$60,$AW120,SUMIF($B$10:$B$16,"NCAP_TLIFE",$AX$10:$AX$16)),0,""))</f>
        <v/>
      </c>
      <c r="AQ120" s="369" t="str">
        <f ca="1">IF($B120&lt;&gt;"PRC_RESID","",IF(AQ$7=2005+OFFSET(COM_2012!$B$60,$AW120,SUMIF($B$10:$B$16,"NCAP_TLIFE",$AX$10:$AX$16)),0,""))</f>
        <v/>
      </c>
      <c r="AR120" s="369" t="str">
        <f ca="1">IF($B120&lt;&gt;"PRC_RESID","",IF(AR$7=2005+OFFSET(COM_2012!$B$60,$AW120,SUMIF($B$10:$B$16,"NCAP_TLIFE",$AX$10:$AX$16)),0,""))</f>
        <v/>
      </c>
      <c r="AS120" s="369" t="str">
        <f ca="1">IF($B120&lt;&gt;"PRC_RESID","",IF(AS$7=2005+OFFSET(COM_2012!$B$60,$AW120,SUMIF($B$10:$B$16,"NCAP_TLIFE",$AX$10:$AX$16)),0,""))</f>
        <v/>
      </c>
      <c r="AT120" s="369" t="str">
        <f ca="1">IF($B120&lt;&gt;"PRC_RESID","",IF(AT$7=2005+OFFSET(COM_2012!$B$60,$AW120,SUMIF($B$10:$B$16,"NCAP_TLIFE",$AX$10:$AX$16)),0,""))</f>
        <v/>
      </c>
      <c r="AU120" s="369" t="str">
        <f ca="1">IF($B120&lt;&gt;"PRC_RESID","",IF(AU$7=2005+OFFSET(COM_2012!$B$60,$AW120,SUMIF($B$10:$B$16,"NCAP_TLIFE",$AX$10:$AX$16)),0,""))</f>
        <v/>
      </c>
      <c r="AV120" s="304">
        <f>IF(AW119=COM_2012!$AI$121,AV119+1,AV119)</f>
        <v>2</v>
      </c>
      <c r="AW120" s="304">
        <f t="shared" si="12"/>
        <v>32</v>
      </c>
    </row>
    <row r="121" spans="1:49">
      <c r="A121" s="304" t="str">
        <f ca="1">IF(LEFT(OFFSET(COM_2012!$A$60,AW121,0),2)="\I","*","")</f>
        <v/>
      </c>
      <c r="B121" s="369" t="str">
        <f t="shared" ca="1" si="10"/>
        <v>NCAP_BND</v>
      </c>
      <c r="C121" s="369" t="str">
        <f ca="1">IF($A121="*","",OFFSET(COM_2012!$B$60,AW121,0))</f>
        <v>CEWELC-E</v>
      </c>
      <c r="D121" s="369" t="str">
        <f t="shared" ca="1" si="13"/>
        <v>-</v>
      </c>
      <c r="E121" s="369" t="str">
        <f t="shared" ca="1" si="13"/>
        <v>-</v>
      </c>
      <c r="F121" s="369" t="str">
        <f t="shared" ca="1" si="13"/>
        <v>-</v>
      </c>
      <c r="G121" s="369" t="str">
        <f t="shared" ca="1" si="13"/>
        <v>-</v>
      </c>
      <c r="H121" s="369" t="str">
        <f t="shared" ca="1" si="13"/>
        <v>UP</v>
      </c>
      <c r="I121" s="370">
        <f t="shared" ca="1" si="13"/>
        <v>0</v>
      </c>
      <c r="J121" s="391">
        <f ca="1">IF($A121="*","",OFFSET(COM_2012!$B$60,AW121,SUMIF($B$10:$B$16,B121,$AX$10:$AX$16)))</f>
        <v>0</v>
      </c>
      <c r="K121" s="369" t="str">
        <f ca="1">IF($B121&lt;&gt;"PRC_RESID","",IF(K$7=2005+OFFSET(COM_2012!$B$60,$AW121,SUMIF($B$10:$B$16,"NCAP_TLIFE",$AX$10:$AX$16)),0,""))</f>
        <v/>
      </c>
      <c r="L121" s="369" t="str">
        <f ca="1">IF($B121&lt;&gt;"PRC_RESID","",IF(L$7=2005+OFFSET(COM_2012!$B$60,$AW121,SUMIF($B$10:$B$16,"NCAP_TLIFE",$AX$10:$AX$16)),0,""))</f>
        <v/>
      </c>
      <c r="M121" s="369" t="str">
        <f ca="1">IF($B121&lt;&gt;"PRC_RESID","",IF(M$7=2005+OFFSET(COM_2012!$B$60,$AW121,SUMIF($B$10:$B$16,"NCAP_TLIFE",$AX$10:$AX$16)),0,""))</f>
        <v/>
      </c>
      <c r="N121" s="369" t="str">
        <f ca="1">IF($B121&lt;&gt;"PRC_RESID","",IF(N$7=2005+OFFSET(COM_2012!$B$60,$AW121,SUMIF($B$10:$B$16,"NCAP_TLIFE",$AX$10:$AX$16)),0,""))</f>
        <v/>
      </c>
      <c r="O121" s="658" t="str">
        <f ca="1">IF($B121&lt;&gt;"PRC_RESID","",IF(O$7=2005+OFFSET(COM_2012!$B$60,$AW121,SUMIF($B$10:$B$16,"NCAP_TLIFE",$AX$10:$AX$16)),0,""))</f>
        <v/>
      </c>
      <c r="P121" s="369" t="str">
        <f ca="1">IF($B121&lt;&gt;"PRC_RESID","",IF(P$7=2005+OFFSET(COM_2012!$B$60,$AW121,SUMIF($B$10:$B$16,"NCAP_TLIFE",$AX$10:$AX$16)),0,""))</f>
        <v/>
      </c>
      <c r="Q121" s="369" t="str">
        <f ca="1">IF($B121&lt;&gt;"PRC_RESID","",IF(Q$7=2005+OFFSET(COM_2012!$B$60,$AW121,SUMIF($B$10:$B$16,"NCAP_TLIFE",$AX$10:$AX$16)),0,""))</f>
        <v/>
      </c>
      <c r="R121" s="369" t="str">
        <f ca="1">IF($B121&lt;&gt;"PRC_RESID","",IF(R$7=2005+OFFSET(COM_2012!$B$60,$AW121,SUMIF($B$10:$B$16,"NCAP_TLIFE",$AX$10:$AX$16)),0,""))</f>
        <v/>
      </c>
      <c r="S121" s="369" t="str">
        <f ca="1">IF($B121&lt;&gt;"PRC_RESID","",IF(S$7=2005+OFFSET(COM_2012!$B$60,$AW121,SUMIF($B$10:$B$16,"NCAP_TLIFE",$AX$10:$AX$16)),0,""))</f>
        <v/>
      </c>
      <c r="T121" s="369" t="str">
        <f ca="1">IF($B121&lt;&gt;"PRC_RESID","",IF(T$7=2005+OFFSET(COM_2012!$B$60,$AW121,SUMIF($B$10:$B$16,"NCAP_TLIFE",$AX$10:$AX$16)),0,""))</f>
        <v/>
      </c>
      <c r="U121" s="369" t="str">
        <f ca="1">IF($B121&lt;&gt;"PRC_RESID","",IF(U$7=2005+OFFSET(COM_2012!$B$60,$AW121,SUMIF($B$10:$B$16,"NCAP_TLIFE",$AX$10:$AX$16)),0,""))</f>
        <v/>
      </c>
      <c r="V121" s="369" t="str">
        <f ca="1">IF($B121&lt;&gt;"PRC_RESID","",IF(V$7=2005+OFFSET(COM_2012!$B$60,$AW121,SUMIF($B$10:$B$16,"NCAP_TLIFE",$AX$10:$AX$16)),0,""))</f>
        <v/>
      </c>
      <c r="W121" s="369" t="str">
        <f ca="1">IF($B121&lt;&gt;"PRC_RESID","",IF(W$7=2005+OFFSET(COM_2012!$B$60,$AW121,SUMIF($B$10:$B$16,"NCAP_TLIFE",$AX$10:$AX$16)),0,""))</f>
        <v/>
      </c>
      <c r="X121" s="369" t="str">
        <f ca="1">IF($B121&lt;&gt;"PRC_RESID","",IF(X$7=2005+OFFSET(COM_2012!$B$60,$AW121,SUMIF($B$10:$B$16,"NCAP_TLIFE",$AX$10:$AX$16)),0,""))</f>
        <v/>
      </c>
      <c r="Y121" s="369" t="str">
        <f ca="1">IF($B121&lt;&gt;"PRC_RESID","",IF(Y$7=2005+OFFSET(COM_2012!$B$60,$AW121,SUMIF($B$10:$B$16,"NCAP_TLIFE",$AX$10:$AX$16)),0,""))</f>
        <v/>
      </c>
      <c r="Z121" s="369" t="str">
        <f ca="1">IF($B121&lt;&gt;"PRC_RESID","",IF(Z$7=2005+OFFSET(COM_2012!$B$60,$AW121,SUMIF($B$10:$B$16,"NCAP_TLIFE",$AX$10:$AX$16)),0,""))</f>
        <v/>
      </c>
      <c r="AA121" s="369" t="str">
        <f ca="1">IF($B121&lt;&gt;"PRC_RESID","",IF(AA$7=2005+OFFSET(COM_2012!$B$60,$AW121,SUMIF($B$10:$B$16,"NCAP_TLIFE",$AX$10:$AX$16)),0,""))</f>
        <v/>
      </c>
      <c r="AB121" s="369" t="str">
        <f ca="1">IF($B121&lt;&gt;"PRC_RESID","",IF(AB$7=2005+OFFSET(COM_2012!$B$60,$AW121,SUMIF($B$10:$B$16,"NCAP_TLIFE",$AX$10:$AX$16)),0,""))</f>
        <v/>
      </c>
      <c r="AC121" s="369" t="str">
        <f ca="1">IF($B121&lt;&gt;"PRC_RESID","",IF(AC$7=2005+OFFSET(COM_2012!$B$60,$AW121,SUMIF($B$10:$B$16,"NCAP_TLIFE",$AX$10:$AX$16)),0,""))</f>
        <v/>
      </c>
      <c r="AD121" s="369" t="str">
        <f ca="1">IF($B121&lt;&gt;"PRC_RESID","",IF(AD$7=2005+OFFSET(COM_2012!$B$60,$AW121,SUMIF($B$10:$B$16,"NCAP_TLIFE",$AX$10:$AX$16)),0,""))</f>
        <v/>
      </c>
      <c r="AE121" s="369" t="str">
        <f ca="1">IF($B121&lt;&gt;"PRC_RESID","",IF(AE$7=2005+OFFSET(COM_2012!$B$60,$AW121,SUMIF($B$10:$B$16,"NCAP_TLIFE",$AX$10:$AX$16)),0,""))</f>
        <v/>
      </c>
      <c r="AF121" s="369" t="str">
        <f ca="1">IF($B121&lt;&gt;"PRC_RESID","",IF(AF$7=2005+OFFSET(COM_2012!$B$60,$AW121,SUMIF($B$10:$B$16,"NCAP_TLIFE",$AX$10:$AX$16)),0,""))</f>
        <v/>
      </c>
      <c r="AG121" s="369" t="str">
        <f ca="1">IF($B121&lt;&gt;"PRC_RESID","",IF(AG$7=2005+OFFSET(COM_2012!$B$60,$AW121,SUMIF($B$10:$B$16,"NCAP_TLIFE",$AX$10:$AX$16)),0,""))</f>
        <v/>
      </c>
      <c r="AH121" s="369" t="str">
        <f ca="1">IF($B121&lt;&gt;"PRC_RESID","",IF(AH$7=2005+OFFSET(COM_2012!$B$60,$AW121,SUMIF($B$10:$B$16,"NCAP_TLIFE",$AX$10:$AX$16)),0,""))</f>
        <v/>
      </c>
      <c r="AI121" s="369" t="str">
        <f ca="1">IF($B121&lt;&gt;"PRC_RESID","",IF(AI$7=2005+OFFSET(COM_2012!$B$60,$AW121,SUMIF($B$10:$B$16,"NCAP_TLIFE",$AX$10:$AX$16)),0,""))</f>
        <v/>
      </c>
      <c r="AJ121" s="369" t="str">
        <f ca="1">IF($B121&lt;&gt;"PRC_RESID","",IF(AJ$7=2005+OFFSET(COM_2012!$B$60,$AW121,SUMIF($B$10:$B$16,"NCAP_TLIFE",$AX$10:$AX$16)),0,""))</f>
        <v/>
      </c>
      <c r="AK121" s="369" t="str">
        <f ca="1">IF($B121&lt;&gt;"PRC_RESID","",IF(AK$7=2005+OFFSET(COM_2012!$B$60,$AW121,SUMIF($B$10:$B$16,"NCAP_TLIFE",$AX$10:$AX$16)),0,""))</f>
        <v/>
      </c>
      <c r="AL121" s="369" t="str">
        <f ca="1">IF($B121&lt;&gt;"PRC_RESID","",IF(AL$7=2005+OFFSET(COM_2012!$B$60,$AW121,SUMIF($B$10:$B$16,"NCAP_TLIFE",$AX$10:$AX$16)),0,""))</f>
        <v/>
      </c>
      <c r="AM121" s="369" t="str">
        <f ca="1">IF($B121&lt;&gt;"PRC_RESID","",IF(AM$7=2005+OFFSET(COM_2012!$B$60,$AW121,SUMIF($B$10:$B$16,"NCAP_TLIFE",$AX$10:$AX$16)),0,""))</f>
        <v/>
      </c>
      <c r="AN121" s="369" t="str">
        <f ca="1">IF($B121&lt;&gt;"PRC_RESID","",IF(AN$7=2005+OFFSET(COM_2012!$B$60,$AW121,SUMIF($B$10:$B$16,"NCAP_TLIFE",$AX$10:$AX$16)),0,""))</f>
        <v/>
      </c>
      <c r="AO121" s="369" t="str">
        <f ca="1">IF($B121&lt;&gt;"PRC_RESID","",IF(AO$7=2005+OFFSET(COM_2012!$B$60,$AW121,SUMIF($B$10:$B$16,"NCAP_TLIFE",$AX$10:$AX$16)),0,""))</f>
        <v/>
      </c>
      <c r="AP121" s="369" t="str">
        <f ca="1">IF($B121&lt;&gt;"PRC_RESID","",IF(AP$7=2005+OFFSET(COM_2012!$B$60,$AW121,SUMIF($B$10:$B$16,"NCAP_TLIFE",$AX$10:$AX$16)),0,""))</f>
        <v/>
      </c>
      <c r="AQ121" s="369" t="str">
        <f ca="1">IF($B121&lt;&gt;"PRC_RESID","",IF(AQ$7=2005+OFFSET(COM_2012!$B$60,$AW121,SUMIF($B$10:$B$16,"NCAP_TLIFE",$AX$10:$AX$16)),0,""))</f>
        <v/>
      </c>
      <c r="AR121" s="369" t="str">
        <f ca="1">IF($B121&lt;&gt;"PRC_RESID","",IF(AR$7=2005+OFFSET(COM_2012!$B$60,$AW121,SUMIF($B$10:$B$16,"NCAP_TLIFE",$AX$10:$AX$16)),0,""))</f>
        <v/>
      </c>
      <c r="AS121" s="369" t="str">
        <f ca="1">IF($B121&lt;&gt;"PRC_RESID","",IF(AS$7=2005+OFFSET(COM_2012!$B$60,$AW121,SUMIF($B$10:$B$16,"NCAP_TLIFE",$AX$10:$AX$16)),0,""))</f>
        <v/>
      </c>
      <c r="AT121" s="369" t="str">
        <f ca="1">IF($B121&lt;&gt;"PRC_RESID","",IF(AT$7=2005+OFFSET(COM_2012!$B$60,$AW121,SUMIF($B$10:$B$16,"NCAP_TLIFE",$AX$10:$AX$16)),0,""))</f>
        <v/>
      </c>
      <c r="AU121" s="369" t="str">
        <f ca="1">IF($B121&lt;&gt;"PRC_RESID","",IF(AU$7=2005+OFFSET(COM_2012!$B$60,$AW121,SUMIF($B$10:$B$16,"NCAP_TLIFE",$AX$10:$AX$16)),0,""))</f>
        <v/>
      </c>
      <c r="AV121" s="304">
        <f>IF(AW120=COM_2012!$AI$121,AV120+1,AV120)</f>
        <v>2</v>
      </c>
      <c r="AW121" s="304">
        <f t="shared" si="12"/>
        <v>33</v>
      </c>
    </row>
    <row r="122" spans="1:49">
      <c r="A122" s="304" t="str">
        <f ca="1">IF(LEFT(OFFSET(COM_2012!$A$60,AW122,0),2)="\I","*","")</f>
        <v/>
      </c>
      <c r="B122" s="369" t="str">
        <f t="shared" ca="1" si="10"/>
        <v>NCAP_BND</v>
      </c>
      <c r="C122" s="369" t="str">
        <f ca="1">IF($A122="*","",OFFSET(COM_2012!$B$60,AW122,0))</f>
        <v>CEWCOA-E</v>
      </c>
      <c r="D122" s="369" t="str">
        <f t="shared" ca="1" si="13"/>
        <v>-</v>
      </c>
      <c r="E122" s="369" t="str">
        <f t="shared" ca="1" si="13"/>
        <v>-</v>
      </c>
      <c r="F122" s="369" t="str">
        <f t="shared" ca="1" si="13"/>
        <v>-</v>
      </c>
      <c r="G122" s="369" t="str">
        <f t="shared" ca="1" si="13"/>
        <v>-</v>
      </c>
      <c r="H122" s="369" t="str">
        <f t="shared" ca="1" si="13"/>
        <v>UP</v>
      </c>
      <c r="I122" s="370">
        <f t="shared" ca="1" si="13"/>
        <v>0</v>
      </c>
      <c r="J122" s="391">
        <f ca="1">IF($A122="*","",OFFSET(COM_2012!$B$60,AW122,SUMIF($B$10:$B$16,B122,$AX$10:$AX$16)))</f>
        <v>0</v>
      </c>
      <c r="K122" s="369" t="str">
        <f ca="1">IF($B122&lt;&gt;"PRC_RESID","",IF(K$7=2005+OFFSET(COM_2012!$B$60,$AW122,SUMIF($B$10:$B$16,"NCAP_TLIFE",$AX$10:$AX$16)),0,""))</f>
        <v/>
      </c>
      <c r="L122" s="369" t="str">
        <f ca="1">IF($B122&lt;&gt;"PRC_RESID","",IF(L$7=2005+OFFSET(COM_2012!$B$60,$AW122,SUMIF($B$10:$B$16,"NCAP_TLIFE",$AX$10:$AX$16)),0,""))</f>
        <v/>
      </c>
      <c r="M122" s="369" t="str">
        <f ca="1">IF($B122&lt;&gt;"PRC_RESID","",IF(M$7=2005+OFFSET(COM_2012!$B$60,$AW122,SUMIF($B$10:$B$16,"NCAP_TLIFE",$AX$10:$AX$16)),0,""))</f>
        <v/>
      </c>
      <c r="N122" s="369" t="str">
        <f ca="1">IF($B122&lt;&gt;"PRC_RESID","",IF(N$7=2005+OFFSET(COM_2012!$B$60,$AW122,SUMIF($B$10:$B$16,"NCAP_TLIFE",$AX$10:$AX$16)),0,""))</f>
        <v/>
      </c>
      <c r="O122" s="658" t="str">
        <f ca="1">IF($B122&lt;&gt;"PRC_RESID","",IF(O$7=2005+OFFSET(COM_2012!$B$60,$AW122,SUMIF($B$10:$B$16,"NCAP_TLIFE",$AX$10:$AX$16)),0,""))</f>
        <v/>
      </c>
      <c r="P122" s="369" t="str">
        <f ca="1">IF($B122&lt;&gt;"PRC_RESID","",IF(P$7=2005+OFFSET(COM_2012!$B$60,$AW122,SUMIF($B$10:$B$16,"NCAP_TLIFE",$AX$10:$AX$16)),0,""))</f>
        <v/>
      </c>
      <c r="Q122" s="369" t="str">
        <f ca="1">IF($B122&lt;&gt;"PRC_RESID","",IF(Q$7=2005+OFFSET(COM_2012!$B$60,$AW122,SUMIF($B$10:$B$16,"NCAP_TLIFE",$AX$10:$AX$16)),0,""))</f>
        <v/>
      </c>
      <c r="R122" s="369" t="str">
        <f ca="1">IF($B122&lt;&gt;"PRC_RESID","",IF(R$7=2005+OFFSET(COM_2012!$B$60,$AW122,SUMIF($B$10:$B$16,"NCAP_TLIFE",$AX$10:$AX$16)),0,""))</f>
        <v/>
      </c>
      <c r="S122" s="369" t="str">
        <f ca="1">IF($B122&lt;&gt;"PRC_RESID","",IF(S$7=2005+OFFSET(COM_2012!$B$60,$AW122,SUMIF($B$10:$B$16,"NCAP_TLIFE",$AX$10:$AX$16)),0,""))</f>
        <v/>
      </c>
      <c r="T122" s="369" t="str">
        <f ca="1">IF($B122&lt;&gt;"PRC_RESID","",IF(T$7=2005+OFFSET(COM_2012!$B$60,$AW122,SUMIF($B$10:$B$16,"NCAP_TLIFE",$AX$10:$AX$16)),0,""))</f>
        <v/>
      </c>
      <c r="U122" s="369" t="str">
        <f ca="1">IF($B122&lt;&gt;"PRC_RESID","",IF(U$7=2005+OFFSET(COM_2012!$B$60,$AW122,SUMIF($B$10:$B$16,"NCAP_TLIFE",$AX$10:$AX$16)),0,""))</f>
        <v/>
      </c>
      <c r="V122" s="369" t="str">
        <f ca="1">IF($B122&lt;&gt;"PRC_RESID","",IF(V$7=2005+OFFSET(COM_2012!$B$60,$AW122,SUMIF($B$10:$B$16,"NCAP_TLIFE",$AX$10:$AX$16)),0,""))</f>
        <v/>
      </c>
      <c r="W122" s="369" t="str">
        <f ca="1">IF($B122&lt;&gt;"PRC_RESID","",IF(W$7=2005+OFFSET(COM_2012!$B$60,$AW122,SUMIF($B$10:$B$16,"NCAP_TLIFE",$AX$10:$AX$16)),0,""))</f>
        <v/>
      </c>
      <c r="X122" s="369" t="str">
        <f ca="1">IF($B122&lt;&gt;"PRC_RESID","",IF(X$7=2005+OFFSET(COM_2012!$B$60,$AW122,SUMIF($B$10:$B$16,"NCAP_TLIFE",$AX$10:$AX$16)),0,""))</f>
        <v/>
      </c>
      <c r="Y122" s="369" t="str">
        <f ca="1">IF($B122&lt;&gt;"PRC_RESID","",IF(Y$7=2005+OFFSET(COM_2012!$B$60,$AW122,SUMIF($B$10:$B$16,"NCAP_TLIFE",$AX$10:$AX$16)),0,""))</f>
        <v/>
      </c>
      <c r="Z122" s="369" t="str">
        <f ca="1">IF($B122&lt;&gt;"PRC_RESID","",IF(Z$7=2005+OFFSET(COM_2012!$B$60,$AW122,SUMIF($B$10:$B$16,"NCAP_TLIFE",$AX$10:$AX$16)),0,""))</f>
        <v/>
      </c>
      <c r="AA122" s="369" t="str">
        <f ca="1">IF($B122&lt;&gt;"PRC_RESID","",IF(AA$7=2005+OFFSET(COM_2012!$B$60,$AW122,SUMIF($B$10:$B$16,"NCAP_TLIFE",$AX$10:$AX$16)),0,""))</f>
        <v/>
      </c>
      <c r="AB122" s="369" t="str">
        <f ca="1">IF($B122&lt;&gt;"PRC_RESID","",IF(AB$7=2005+OFFSET(COM_2012!$B$60,$AW122,SUMIF($B$10:$B$16,"NCAP_TLIFE",$AX$10:$AX$16)),0,""))</f>
        <v/>
      </c>
      <c r="AC122" s="369" t="str">
        <f ca="1">IF($B122&lt;&gt;"PRC_RESID","",IF(AC$7=2005+OFFSET(COM_2012!$B$60,$AW122,SUMIF($B$10:$B$16,"NCAP_TLIFE",$AX$10:$AX$16)),0,""))</f>
        <v/>
      </c>
      <c r="AD122" s="369" t="str">
        <f ca="1">IF($B122&lt;&gt;"PRC_RESID","",IF(AD$7=2005+OFFSET(COM_2012!$B$60,$AW122,SUMIF($B$10:$B$16,"NCAP_TLIFE",$AX$10:$AX$16)),0,""))</f>
        <v/>
      </c>
      <c r="AE122" s="369" t="str">
        <f ca="1">IF($B122&lt;&gt;"PRC_RESID","",IF(AE$7=2005+OFFSET(COM_2012!$B$60,$AW122,SUMIF($B$10:$B$16,"NCAP_TLIFE",$AX$10:$AX$16)),0,""))</f>
        <v/>
      </c>
      <c r="AF122" s="369" t="str">
        <f ca="1">IF($B122&lt;&gt;"PRC_RESID","",IF(AF$7=2005+OFFSET(COM_2012!$B$60,$AW122,SUMIF($B$10:$B$16,"NCAP_TLIFE",$AX$10:$AX$16)),0,""))</f>
        <v/>
      </c>
      <c r="AG122" s="369" t="str">
        <f ca="1">IF($B122&lt;&gt;"PRC_RESID","",IF(AG$7=2005+OFFSET(COM_2012!$B$60,$AW122,SUMIF($B$10:$B$16,"NCAP_TLIFE",$AX$10:$AX$16)),0,""))</f>
        <v/>
      </c>
      <c r="AH122" s="369" t="str">
        <f ca="1">IF($B122&lt;&gt;"PRC_RESID","",IF(AH$7=2005+OFFSET(COM_2012!$B$60,$AW122,SUMIF($B$10:$B$16,"NCAP_TLIFE",$AX$10:$AX$16)),0,""))</f>
        <v/>
      </c>
      <c r="AI122" s="369" t="str">
        <f ca="1">IF($B122&lt;&gt;"PRC_RESID","",IF(AI$7=2005+OFFSET(COM_2012!$B$60,$AW122,SUMIF($B$10:$B$16,"NCAP_TLIFE",$AX$10:$AX$16)),0,""))</f>
        <v/>
      </c>
      <c r="AJ122" s="369" t="str">
        <f ca="1">IF($B122&lt;&gt;"PRC_RESID","",IF(AJ$7=2005+OFFSET(COM_2012!$B$60,$AW122,SUMIF($B$10:$B$16,"NCAP_TLIFE",$AX$10:$AX$16)),0,""))</f>
        <v/>
      </c>
      <c r="AK122" s="369" t="str">
        <f ca="1">IF($B122&lt;&gt;"PRC_RESID","",IF(AK$7=2005+OFFSET(COM_2012!$B$60,$AW122,SUMIF($B$10:$B$16,"NCAP_TLIFE",$AX$10:$AX$16)),0,""))</f>
        <v/>
      </c>
      <c r="AL122" s="369" t="str">
        <f ca="1">IF($B122&lt;&gt;"PRC_RESID","",IF(AL$7=2005+OFFSET(COM_2012!$B$60,$AW122,SUMIF($B$10:$B$16,"NCAP_TLIFE",$AX$10:$AX$16)),0,""))</f>
        <v/>
      </c>
      <c r="AM122" s="369" t="str">
        <f ca="1">IF($B122&lt;&gt;"PRC_RESID","",IF(AM$7=2005+OFFSET(COM_2012!$B$60,$AW122,SUMIF($B$10:$B$16,"NCAP_TLIFE",$AX$10:$AX$16)),0,""))</f>
        <v/>
      </c>
      <c r="AN122" s="369" t="str">
        <f ca="1">IF($B122&lt;&gt;"PRC_RESID","",IF(AN$7=2005+OFFSET(COM_2012!$B$60,$AW122,SUMIF($B$10:$B$16,"NCAP_TLIFE",$AX$10:$AX$16)),0,""))</f>
        <v/>
      </c>
      <c r="AO122" s="369" t="str">
        <f ca="1">IF($B122&lt;&gt;"PRC_RESID","",IF(AO$7=2005+OFFSET(COM_2012!$B$60,$AW122,SUMIF($B$10:$B$16,"NCAP_TLIFE",$AX$10:$AX$16)),0,""))</f>
        <v/>
      </c>
      <c r="AP122" s="369" t="str">
        <f ca="1">IF($B122&lt;&gt;"PRC_RESID","",IF(AP$7=2005+OFFSET(COM_2012!$B$60,$AW122,SUMIF($B$10:$B$16,"NCAP_TLIFE",$AX$10:$AX$16)),0,""))</f>
        <v/>
      </c>
      <c r="AQ122" s="369" t="str">
        <f ca="1">IF($B122&lt;&gt;"PRC_RESID","",IF(AQ$7=2005+OFFSET(COM_2012!$B$60,$AW122,SUMIF($B$10:$B$16,"NCAP_TLIFE",$AX$10:$AX$16)),0,""))</f>
        <v/>
      </c>
      <c r="AR122" s="369" t="str">
        <f ca="1">IF($B122&lt;&gt;"PRC_RESID","",IF(AR$7=2005+OFFSET(COM_2012!$B$60,$AW122,SUMIF($B$10:$B$16,"NCAP_TLIFE",$AX$10:$AX$16)),0,""))</f>
        <v/>
      </c>
      <c r="AS122" s="369" t="str">
        <f ca="1">IF($B122&lt;&gt;"PRC_RESID","",IF(AS$7=2005+OFFSET(COM_2012!$B$60,$AW122,SUMIF($B$10:$B$16,"NCAP_TLIFE",$AX$10:$AX$16)),0,""))</f>
        <v/>
      </c>
      <c r="AT122" s="369" t="str">
        <f ca="1">IF($B122&lt;&gt;"PRC_RESID","",IF(AT$7=2005+OFFSET(COM_2012!$B$60,$AW122,SUMIF($B$10:$B$16,"NCAP_TLIFE",$AX$10:$AX$16)),0,""))</f>
        <v/>
      </c>
      <c r="AU122" s="369" t="str">
        <f ca="1">IF($B122&lt;&gt;"PRC_RESID","",IF(AU$7=2005+OFFSET(COM_2012!$B$60,$AW122,SUMIF($B$10:$B$16,"NCAP_TLIFE",$AX$10:$AX$16)),0,""))</f>
        <v/>
      </c>
      <c r="AV122" s="304">
        <f>IF(AW121=COM_2012!$AI$121,AV121+1,AV121)</f>
        <v>2</v>
      </c>
      <c r="AW122" s="304">
        <f t="shared" si="12"/>
        <v>34</v>
      </c>
    </row>
    <row r="123" spans="1:49">
      <c r="A123" s="304" t="str">
        <f ca="1">IF(LEFT(OFFSET(COM_2012!$A$60,AW123,0),2)="\I","*","")</f>
        <v/>
      </c>
      <c r="B123" s="369" t="str">
        <f t="shared" ca="1" si="10"/>
        <v>NCAP_BND</v>
      </c>
      <c r="C123" s="369" t="str">
        <f ca="1">IF($A123="*","",OFFSET(COM_2012!$B$60,AW123,0))</f>
        <v>CEWOLP-E</v>
      </c>
      <c r="D123" s="369" t="str">
        <f t="shared" ca="1" si="13"/>
        <v>-</v>
      </c>
      <c r="E123" s="369" t="str">
        <f t="shared" ca="1" si="13"/>
        <v>-</v>
      </c>
      <c r="F123" s="369" t="str">
        <f t="shared" ca="1" si="13"/>
        <v>-</v>
      </c>
      <c r="G123" s="369" t="str">
        <f t="shared" ca="1" si="13"/>
        <v>-</v>
      </c>
      <c r="H123" s="369" t="str">
        <f t="shared" ca="1" si="13"/>
        <v>UP</v>
      </c>
      <c r="I123" s="370">
        <f t="shared" ca="1" si="13"/>
        <v>0</v>
      </c>
      <c r="J123" s="391">
        <f ca="1">IF($A123="*","",OFFSET(COM_2012!$B$60,AW123,SUMIF($B$10:$B$16,B123,$AX$10:$AX$16)))</f>
        <v>0</v>
      </c>
      <c r="K123" s="369" t="str">
        <f ca="1">IF($B123&lt;&gt;"PRC_RESID","",IF(K$7=2005+OFFSET(COM_2012!$B$60,$AW123,SUMIF($B$10:$B$16,"NCAP_TLIFE",$AX$10:$AX$16)),0,""))</f>
        <v/>
      </c>
      <c r="L123" s="369" t="str">
        <f ca="1">IF($B123&lt;&gt;"PRC_RESID","",IF(L$7=2005+OFFSET(COM_2012!$B$60,$AW123,SUMIF($B$10:$B$16,"NCAP_TLIFE",$AX$10:$AX$16)),0,""))</f>
        <v/>
      </c>
      <c r="M123" s="369" t="str">
        <f ca="1">IF($B123&lt;&gt;"PRC_RESID","",IF(M$7=2005+OFFSET(COM_2012!$B$60,$AW123,SUMIF($B$10:$B$16,"NCAP_TLIFE",$AX$10:$AX$16)),0,""))</f>
        <v/>
      </c>
      <c r="N123" s="369" t="str">
        <f ca="1">IF($B123&lt;&gt;"PRC_RESID","",IF(N$7=2005+OFFSET(COM_2012!$B$60,$AW123,SUMIF($B$10:$B$16,"NCAP_TLIFE",$AX$10:$AX$16)),0,""))</f>
        <v/>
      </c>
      <c r="O123" s="658" t="str">
        <f ca="1">IF($B123&lt;&gt;"PRC_RESID","",IF(O$7=2005+OFFSET(COM_2012!$B$60,$AW123,SUMIF($B$10:$B$16,"NCAP_TLIFE",$AX$10:$AX$16)),0,""))</f>
        <v/>
      </c>
      <c r="P123" s="369" t="str">
        <f ca="1">IF($B123&lt;&gt;"PRC_RESID","",IF(P$7=2005+OFFSET(COM_2012!$B$60,$AW123,SUMIF($B$10:$B$16,"NCAP_TLIFE",$AX$10:$AX$16)),0,""))</f>
        <v/>
      </c>
      <c r="Q123" s="369" t="str">
        <f ca="1">IF($B123&lt;&gt;"PRC_RESID","",IF(Q$7=2005+OFFSET(COM_2012!$B$60,$AW123,SUMIF($B$10:$B$16,"NCAP_TLIFE",$AX$10:$AX$16)),0,""))</f>
        <v/>
      </c>
      <c r="R123" s="369" t="str">
        <f ca="1">IF($B123&lt;&gt;"PRC_RESID","",IF(R$7=2005+OFFSET(COM_2012!$B$60,$AW123,SUMIF($B$10:$B$16,"NCAP_TLIFE",$AX$10:$AX$16)),0,""))</f>
        <v/>
      </c>
      <c r="S123" s="369" t="str">
        <f ca="1">IF($B123&lt;&gt;"PRC_RESID","",IF(S$7=2005+OFFSET(COM_2012!$B$60,$AW123,SUMIF($B$10:$B$16,"NCAP_TLIFE",$AX$10:$AX$16)),0,""))</f>
        <v/>
      </c>
      <c r="T123" s="369" t="str">
        <f ca="1">IF($B123&lt;&gt;"PRC_RESID","",IF(T$7=2005+OFFSET(COM_2012!$B$60,$AW123,SUMIF($B$10:$B$16,"NCAP_TLIFE",$AX$10:$AX$16)),0,""))</f>
        <v/>
      </c>
      <c r="U123" s="369" t="str">
        <f ca="1">IF($B123&lt;&gt;"PRC_RESID","",IF(U$7=2005+OFFSET(COM_2012!$B$60,$AW123,SUMIF($B$10:$B$16,"NCAP_TLIFE",$AX$10:$AX$16)),0,""))</f>
        <v/>
      </c>
      <c r="V123" s="369" t="str">
        <f ca="1">IF($B123&lt;&gt;"PRC_RESID","",IF(V$7=2005+OFFSET(COM_2012!$B$60,$AW123,SUMIF($B$10:$B$16,"NCAP_TLIFE",$AX$10:$AX$16)),0,""))</f>
        <v/>
      </c>
      <c r="W123" s="369" t="str">
        <f ca="1">IF($B123&lt;&gt;"PRC_RESID","",IF(W$7=2005+OFFSET(COM_2012!$B$60,$AW123,SUMIF($B$10:$B$16,"NCAP_TLIFE",$AX$10:$AX$16)),0,""))</f>
        <v/>
      </c>
      <c r="X123" s="369" t="str">
        <f ca="1">IF($B123&lt;&gt;"PRC_RESID","",IF(X$7=2005+OFFSET(COM_2012!$B$60,$AW123,SUMIF($B$10:$B$16,"NCAP_TLIFE",$AX$10:$AX$16)),0,""))</f>
        <v/>
      </c>
      <c r="Y123" s="369" t="str">
        <f ca="1">IF($B123&lt;&gt;"PRC_RESID","",IF(Y$7=2005+OFFSET(COM_2012!$B$60,$AW123,SUMIF($B$10:$B$16,"NCAP_TLIFE",$AX$10:$AX$16)),0,""))</f>
        <v/>
      </c>
      <c r="Z123" s="369" t="str">
        <f ca="1">IF($B123&lt;&gt;"PRC_RESID","",IF(Z$7=2005+OFFSET(COM_2012!$B$60,$AW123,SUMIF($B$10:$B$16,"NCAP_TLIFE",$AX$10:$AX$16)),0,""))</f>
        <v/>
      </c>
      <c r="AA123" s="369" t="str">
        <f ca="1">IF($B123&lt;&gt;"PRC_RESID","",IF(AA$7=2005+OFFSET(COM_2012!$B$60,$AW123,SUMIF($B$10:$B$16,"NCAP_TLIFE",$AX$10:$AX$16)),0,""))</f>
        <v/>
      </c>
      <c r="AB123" s="369" t="str">
        <f ca="1">IF($B123&lt;&gt;"PRC_RESID","",IF(AB$7=2005+OFFSET(COM_2012!$B$60,$AW123,SUMIF($B$10:$B$16,"NCAP_TLIFE",$AX$10:$AX$16)),0,""))</f>
        <v/>
      </c>
      <c r="AC123" s="369" t="str">
        <f ca="1">IF($B123&lt;&gt;"PRC_RESID","",IF(AC$7=2005+OFFSET(COM_2012!$B$60,$AW123,SUMIF($B$10:$B$16,"NCAP_TLIFE",$AX$10:$AX$16)),0,""))</f>
        <v/>
      </c>
      <c r="AD123" s="369" t="str">
        <f ca="1">IF($B123&lt;&gt;"PRC_RESID","",IF(AD$7=2005+OFFSET(COM_2012!$B$60,$AW123,SUMIF($B$10:$B$16,"NCAP_TLIFE",$AX$10:$AX$16)),0,""))</f>
        <v/>
      </c>
      <c r="AE123" s="369" t="str">
        <f ca="1">IF($B123&lt;&gt;"PRC_RESID","",IF(AE$7=2005+OFFSET(COM_2012!$B$60,$AW123,SUMIF($B$10:$B$16,"NCAP_TLIFE",$AX$10:$AX$16)),0,""))</f>
        <v/>
      </c>
      <c r="AF123" s="369" t="str">
        <f ca="1">IF($B123&lt;&gt;"PRC_RESID","",IF(AF$7=2005+OFFSET(COM_2012!$B$60,$AW123,SUMIF($B$10:$B$16,"NCAP_TLIFE",$AX$10:$AX$16)),0,""))</f>
        <v/>
      </c>
      <c r="AG123" s="369" t="str">
        <f ca="1">IF($B123&lt;&gt;"PRC_RESID","",IF(AG$7=2005+OFFSET(COM_2012!$B$60,$AW123,SUMIF($B$10:$B$16,"NCAP_TLIFE",$AX$10:$AX$16)),0,""))</f>
        <v/>
      </c>
      <c r="AH123" s="369" t="str">
        <f ca="1">IF($B123&lt;&gt;"PRC_RESID","",IF(AH$7=2005+OFFSET(COM_2012!$B$60,$AW123,SUMIF($B$10:$B$16,"NCAP_TLIFE",$AX$10:$AX$16)),0,""))</f>
        <v/>
      </c>
      <c r="AI123" s="369" t="str">
        <f ca="1">IF($B123&lt;&gt;"PRC_RESID","",IF(AI$7=2005+OFFSET(COM_2012!$B$60,$AW123,SUMIF($B$10:$B$16,"NCAP_TLIFE",$AX$10:$AX$16)),0,""))</f>
        <v/>
      </c>
      <c r="AJ123" s="369" t="str">
        <f ca="1">IF($B123&lt;&gt;"PRC_RESID","",IF(AJ$7=2005+OFFSET(COM_2012!$B$60,$AW123,SUMIF($B$10:$B$16,"NCAP_TLIFE",$AX$10:$AX$16)),0,""))</f>
        <v/>
      </c>
      <c r="AK123" s="369" t="str">
        <f ca="1">IF($B123&lt;&gt;"PRC_RESID","",IF(AK$7=2005+OFFSET(COM_2012!$B$60,$AW123,SUMIF($B$10:$B$16,"NCAP_TLIFE",$AX$10:$AX$16)),0,""))</f>
        <v/>
      </c>
      <c r="AL123" s="369" t="str">
        <f ca="1">IF($B123&lt;&gt;"PRC_RESID","",IF(AL$7=2005+OFFSET(COM_2012!$B$60,$AW123,SUMIF($B$10:$B$16,"NCAP_TLIFE",$AX$10:$AX$16)),0,""))</f>
        <v/>
      </c>
      <c r="AM123" s="369" t="str">
        <f ca="1">IF($B123&lt;&gt;"PRC_RESID","",IF(AM$7=2005+OFFSET(COM_2012!$B$60,$AW123,SUMIF($B$10:$B$16,"NCAP_TLIFE",$AX$10:$AX$16)),0,""))</f>
        <v/>
      </c>
      <c r="AN123" s="369" t="str">
        <f ca="1">IF($B123&lt;&gt;"PRC_RESID","",IF(AN$7=2005+OFFSET(COM_2012!$B$60,$AW123,SUMIF($B$10:$B$16,"NCAP_TLIFE",$AX$10:$AX$16)),0,""))</f>
        <v/>
      </c>
      <c r="AO123" s="369" t="str">
        <f ca="1">IF($B123&lt;&gt;"PRC_RESID","",IF(AO$7=2005+OFFSET(COM_2012!$B$60,$AW123,SUMIF($B$10:$B$16,"NCAP_TLIFE",$AX$10:$AX$16)),0,""))</f>
        <v/>
      </c>
      <c r="AP123" s="369" t="str">
        <f ca="1">IF($B123&lt;&gt;"PRC_RESID","",IF(AP$7=2005+OFFSET(COM_2012!$B$60,$AW123,SUMIF($B$10:$B$16,"NCAP_TLIFE",$AX$10:$AX$16)),0,""))</f>
        <v/>
      </c>
      <c r="AQ123" s="369" t="str">
        <f ca="1">IF($B123&lt;&gt;"PRC_RESID","",IF(AQ$7=2005+OFFSET(COM_2012!$B$60,$AW123,SUMIF($B$10:$B$16,"NCAP_TLIFE",$AX$10:$AX$16)),0,""))</f>
        <v/>
      </c>
      <c r="AR123" s="369" t="str">
        <f ca="1">IF($B123&lt;&gt;"PRC_RESID","",IF(AR$7=2005+OFFSET(COM_2012!$B$60,$AW123,SUMIF($B$10:$B$16,"NCAP_TLIFE",$AX$10:$AX$16)),0,""))</f>
        <v/>
      </c>
      <c r="AS123" s="369" t="str">
        <f ca="1">IF($B123&lt;&gt;"PRC_RESID","",IF(AS$7=2005+OFFSET(COM_2012!$B$60,$AW123,SUMIF($B$10:$B$16,"NCAP_TLIFE",$AX$10:$AX$16)),0,""))</f>
        <v/>
      </c>
      <c r="AT123" s="369" t="str">
        <f ca="1">IF($B123&lt;&gt;"PRC_RESID","",IF(AT$7=2005+OFFSET(COM_2012!$B$60,$AW123,SUMIF($B$10:$B$16,"NCAP_TLIFE",$AX$10:$AX$16)),0,""))</f>
        <v/>
      </c>
      <c r="AU123" s="369" t="str">
        <f ca="1">IF($B123&lt;&gt;"PRC_RESID","",IF(AU$7=2005+OFFSET(COM_2012!$B$60,$AW123,SUMIF($B$10:$B$16,"NCAP_TLIFE",$AX$10:$AX$16)),0,""))</f>
        <v/>
      </c>
      <c r="AV123" s="304">
        <f>IF(AW122=COM_2012!$AI$121,AV122+1,AV122)</f>
        <v>2</v>
      </c>
      <c r="AW123" s="304">
        <f t="shared" si="12"/>
        <v>35</v>
      </c>
    </row>
    <row r="124" spans="1:49">
      <c r="A124" s="304" t="str">
        <f ca="1">IF(LEFT(OFFSET(COM_2012!$A$60,AW124,0),2)="\I","*","")</f>
        <v/>
      </c>
      <c r="B124" s="369" t="str">
        <f t="shared" ca="1" si="10"/>
        <v>NCAP_BND</v>
      </c>
      <c r="C124" s="369" t="str">
        <f ca="1">IF($A124="*","",OFFSET(COM_2012!$B$60,AW124,0))</f>
        <v>CEWGAS-E</v>
      </c>
      <c r="D124" s="369" t="str">
        <f t="shared" ca="1" si="13"/>
        <v>-</v>
      </c>
      <c r="E124" s="369" t="str">
        <f t="shared" ca="1" si="13"/>
        <v>-</v>
      </c>
      <c r="F124" s="369" t="str">
        <f t="shared" ca="1" si="13"/>
        <v>-</v>
      </c>
      <c r="G124" s="369" t="str">
        <f t="shared" ca="1" si="13"/>
        <v>-</v>
      </c>
      <c r="H124" s="369" t="str">
        <f t="shared" ca="1" si="13"/>
        <v>UP</v>
      </c>
      <c r="I124" s="370">
        <f t="shared" ca="1" si="13"/>
        <v>0</v>
      </c>
      <c r="J124" s="391">
        <f ca="1">IF($A124="*","",OFFSET(COM_2012!$B$60,AW124,SUMIF($B$10:$B$16,B124,$AX$10:$AX$16)))</f>
        <v>0</v>
      </c>
      <c r="K124" s="369" t="str">
        <f ca="1">IF($B124&lt;&gt;"PRC_RESID","",IF(K$7=2005+OFFSET(COM_2012!$B$60,$AW124,SUMIF($B$10:$B$16,"NCAP_TLIFE",$AX$10:$AX$16)),0,""))</f>
        <v/>
      </c>
      <c r="L124" s="369" t="str">
        <f ca="1">IF($B124&lt;&gt;"PRC_RESID","",IF(L$7=2005+OFFSET(COM_2012!$B$60,$AW124,SUMIF($B$10:$B$16,"NCAP_TLIFE",$AX$10:$AX$16)),0,""))</f>
        <v/>
      </c>
      <c r="M124" s="369" t="str">
        <f ca="1">IF($B124&lt;&gt;"PRC_RESID","",IF(M$7=2005+OFFSET(COM_2012!$B$60,$AW124,SUMIF($B$10:$B$16,"NCAP_TLIFE",$AX$10:$AX$16)),0,""))</f>
        <v/>
      </c>
      <c r="N124" s="369" t="str">
        <f ca="1">IF($B124&lt;&gt;"PRC_RESID","",IF(N$7=2005+OFFSET(COM_2012!$B$60,$AW124,SUMIF($B$10:$B$16,"NCAP_TLIFE",$AX$10:$AX$16)),0,""))</f>
        <v/>
      </c>
      <c r="O124" s="658" t="str">
        <f ca="1">IF($B124&lt;&gt;"PRC_RESID","",IF(O$7=2005+OFFSET(COM_2012!$B$60,$AW124,SUMIF($B$10:$B$16,"NCAP_TLIFE",$AX$10:$AX$16)),0,""))</f>
        <v/>
      </c>
      <c r="P124" s="369" t="str">
        <f ca="1">IF($B124&lt;&gt;"PRC_RESID","",IF(P$7=2005+OFFSET(COM_2012!$B$60,$AW124,SUMIF($B$10:$B$16,"NCAP_TLIFE",$AX$10:$AX$16)),0,""))</f>
        <v/>
      </c>
      <c r="Q124" s="369" t="str">
        <f ca="1">IF($B124&lt;&gt;"PRC_RESID","",IF(Q$7=2005+OFFSET(COM_2012!$B$60,$AW124,SUMIF($B$10:$B$16,"NCAP_TLIFE",$AX$10:$AX$16)),0,""))</f>
        <v/>
      </c>
      <c r="R124" s="369" t="str">
        <f ca="1">IF($B124&lt;&gt;"PRC_RESID","",IF(R$7=2005+OFFSET(COM_2012!$B$60,$AW124,SUMIF($B$10:$B$16,"NCAP_TLIFE",$AX$10:$AX$16)),0,""))</f>
        <v/>
      </c>
      <c r="S124" s="369" t="str">
        <f ca="1">IF($B124&lt;&gt;"PRC_RESID","",IF(S$7=2005+OFFSET(COM_2012!$B$60,$AW124,SUMIF($B$10:$B$16,"NCAP_TLIFE",$AX$10:$AX$16)),0,""))</f>
        <v/>
      </c>
      <c r="T124" s="369" t="str">
        <f ca="1">IF($B124&lt;&gt;"PRC_RESID","",IF(T$7=2005+OFFSET(COM_2012!$B$60,$AW124,SUMIF($B$10:$B$16,"NCAP_TLIFE",$AX$10:$AX$16)),0,""))</f>
        <v/>
      </c>
      <c r="U124" s="369" t="str">
        <f ca="1">IF($B124&lt;&gt;"PRC_RESID","",IF(U$7=2005+OFFSET(COM_2012!$B$60,$AW124,SUMIF($B$10:$B$16,"NCAP_TLIFE",$AX$10:$AX$16)),0,""))</f>
        <v/>
      </c>
      <c r="V124" s="369" t="str">
        <f ca="1">IF($B124&lt;&gt;"PRC_RESID","",IF(V$7=2005+OFFSET(COM_2012!$B$60,$AW124,SUMIF($B$10:$B$16,"NCAP_TLIFE",$AX$10:$AX$16)),0,""))</f>
        <v/>
      </c>
      <c r="W124" s="369" t="str">
        <f ca="1">IF($B124&lt;&gt;"PRC_RESID","",IF(W$7=2005+OFFSET(COM_2012!$B$60,$AW124,SUMIF($B$10:$B$16,"NCAP_TLIFE",$AX$10:$AX$16)),0,""))</f>
        <v/>
      </c>
      <c r="X124" s="369" t="str">
        <f ca="1">IF($B124&lt;&gt;"PRC_RESID","",IF(X$7=2005+OFFSET(COM_2012!$B$60,$AW124,SUMIF($B$10:$B$16,"NCAP_TLIFE",$AX$10:$AX$16)),0,""))</f>
        <v/>
      </c>
      <c r="Y124" s="369" t="str">
        <f ca="1">IF($B124&lt;&gt;"PRC_RESID","",IF(Y$7=2005+OFFSET(COM_2012!$B$60,$AW124,SUMIF($B$10:$B$16,"NCAP_TLIFE",$AX$10:$AX$16)),0,""))</f>
        <v/>
      </c>
      <c r="Z124" s="369" t="str">
        <f ca="1">IF($B124&lt;&gt;"PRC_RESID","",IF(Z$7=2005+OFFSET(COM_2012!$B$60,$AW124,SUMIF($B$10:$B$16,"NCAP_TLIFE",$AX$10:$AX$16)),0,""))</f>
        <v/>
      </c>
      <c r="AA124" s="369" t="str">
        <f ca="1">IF($B124&lt;&gt;"PRC_RESID","",IF(AA$7=2005+OFFSET(COM_2012!$B$60,$AW124,SUMIF($B$10:$B$16,"NCAP_TLIFE",$AX$10:$AX$16)),0,""))</f>
        <v/>
      </c>
      <c r="AB124" s="369" t="str">
        <f ca="1">IF($B124&lt;&gt;"PRC_RESID","",IF(AB$7=2005+OFFSET(COM_2012!$B$60,$AW124,SUMIF($B$10:$B$16,"NCAP_TLIFE",$AX$10:$AX$16)),0,""))</f>
        <v/>
      </c>
      <c r="AC124" s="369" t="str">
        <f ca="1">IF($B124&lt;&gt;"PRC_RESID","",IF(AC$7=2005+OFFSET(COM_2012!$B$60,$AW124,SUMIF($B$10:$B$16,"NCAP_TLIFE",$AX$10:$AX$16)),0,""))</f>
        <v/>
      </c>
      <c r="AD124" s="369" t="str">
        <f ca="1">IF($B124&lt;&gt;"PRC_RESID","",IF(AD$7=2005+OFFSET(COM_2012!$B$60,$AW124,SUMIF($B$10:$B$16,"NCAP_TLIFE",$AX$10:$AX$16)),0,""))</f>
        <v/>
      </c>
      <c r="AE124" s="369" t="str">
        <f ca="1">IF($B124&lt;&gt;"PRC_RESID","",IF(AE$7=2005+OFFSET(COM_2012!$B$60,$AW124,SUMIF($B$10:$B$16,"NCAP_TLIFE",$AX$10:$AX$16)),0,""))</f>
        <v/>
      </c>
      <c r="AF124" s="369" t="str">
        <f ca="1">IF($B124&lt;&gt;"PRC_RESID","",IF(AF$7=2005+OFFSET(COM_2012!$B$60,$AW124,SUMIF($B$10:$B$16,"NCAP_TLIFE",$AX$10:$AX$16)),0,""))</f>
        <v/>
      </c>
      <c r="AG124" s="369" t="str">
        <f ca="1">IF($B124&lt;&gt;"PRC_RESID","",IF(AG$7=2005+OFFSET(COM_2012!$B$60,$AW124,SUMIF($B$10:$B$16,"NCAP_TLIFE",$AX$10:$AX$16)),0,""))</f>
        <v/>
      </c>
      <c r="AH124" s="369" t="str">
        <f ca="1">IF($B124&lt;&gt;"PRC_RESID","",IF(AH$7=2005+OFFSET(COM_2012!$B$60,$AW124,SUMIF($B$10:$B$16,"NCAP_TLIFE",$AX$10:$AX$16)),0,""))</f>
        <v/>
      </c>
      <c r="AI124" s="369" t="str">
        <f ca="1">IF($B124&lt;&gt;"PRC_RESID","",IF(AI$7=2005+OFFSET(COM_2012!$B$60,$AW124,SUMIF($B$10:$B$16,"NCAP_TLIFE",$AX$10:$AX$16)),0,""))</f>
        <v/>
      </c>
      <c r="AJ124" s="369" t="str">
        <f ca="1">IF($B124&lt;&gt;"PRC_RESID","",IF(AJ$7=2005+OFFSET(COM_2012!$B$60,$AW124,SUMIF($B$10:$B$16,"NCAP_TLIFE",$AX$10:$AX$16)),0,""))</f>
        <v/>
      </c>
      <c r="AK124" s="369" t="str">
        <f ca="1">IF($B124&lt;&gt;"PRC_RESID","",IF(AK$7=2005+OFFSET(COM_2012!$B$60,$AW124,SUMIF($B$10:$B$16,"NCAP_TLIFE",$AX$10:$AX$16)),0,""))</f>
        <v/>
      </c>
      <c r="AL124" s="369" t="str">
        <f ca="1">IF($B124&lt;&gt;"PRC_RESID","",IF(AL$7=2005+OFFSET(COM_2012!$B$60,$AW124,SUMIF($B$10:$B$16,"NCAP_TLIFE",$AX$10:$AX$16)),0,""))</f>
        <v/>
      </c>
      <c r="AM124" s="369" t="str">
        <f ca="1">IF($B124&lt;&gt;"PRC_RESID","",IF(AM$7=2005+OFFSET(COM_2012!$B$60,$AW124,SUMIF($B$10:$B$16,"NCAP_TLIFE",$AX$10:$AX$16)),0,""))</f>
        <v/>
      </c>
      <c r="AN124" s="369" t="str">
        <f ca="1">IF($B124&lt;&gt;"PRC_RESID","",IF(AN$7=2005+OFFSET(COM_2012!$B$60,$AW124,SUMIF($B$10:$B$16,"NCAP_TLIFE",$AX$10:$AX$16)),0,""))</f>
        <v/>
      </c>
      <c r="AO124" s="369" t="str">
        <f ca="1">IF($B124&lt;&gt;"PRC_RESID","",IF(AO$7=2005+OFFSET(COM_2012!$B$60,$AW124,SUMIF($B$10:$B$16,"NCAP_TLIFE",$AX$10:$AX$16)),0,""))</f>
        <v/>
      </c>
      <c r="AP124" s="369" t="str">
        <f ca="1">IF($B124&lt;&gt;"PRC_RESID","",IF(AP$7=2005+OFFSET(COM_2012!$B$60,$AW124,SUMIF($B$10:$B$16,"NCAP_TLIFE",$AX$10:$AX$16)),0,""))</f>
        <v/>
      </c>
      <c r="AQ124" s="369" t="str">
        <f ca="1">IF($B124&lt;&gt;"PRC_RESID","",IF(AQ$7=2005+OFFSET(COM_2012!$B$60,$AW124,SUMIF($B$10:$B$16,"NCAP_TLIFE",$AX$10:$AX$16)),0,""))</f>
        <v/>
      </c>
      <c r="AR124" s="369" t="str">
        <f ca="1">IF($B124&lt;&gt;"PRC_RESID","",IF(AR$7=2005+OFFSET(COM_2012!$B$60,$AW124,SUMIF($B$10:$B$16,"NCAP_TLIFE",$AX$10:$AX$16)),0,""))</f>
        <v/>
      </c>
      <c r="AS124" s="369" t="str">
        <f ca="1">IF($B124&lt;&gt;"PRC_RESID","",IF(AS$7=2005+OFFSET(COM_2012!$B$60,$AW124,SUMIF($B$10:$B$16,"NCAP_TLIFE",$AX$10:$AX$16)),0,""))</f>
        <v/>
      </c>
      <c r="AT124" s="369" t="str">
        <f ca="1">IF($B124&lt;&gt;"PRC_RESID","",IF(AT$7=2005+OFFSET(COM_2012!$B$60,$AW124,SUMIF($B$10:$B$16,"NCAP_TLIFE",$AX$10:$AX$16)),0,""))</f>
        <v/>
      </c>
      <c r="AU124" s="369" t="str">
        <f ca="1">IF($B124&lt;&gt;"PRC_RESID","",IF(AU$7=2005+OFFSET(COM_2012!$B$60,$AW124,SUMIF($B$10:$B$16,"NCAP_TLIFE",$AX$10:$AX$16)),0,""))</f>
        <v/>
      </c>
      <c r="AV124" s="304">
        <f>IF(AW123=COM_2012!$AI$121,AV123+1,AV123)</f>
        <v>2</v>
      </c>
      <c r="AW124" s="304">
        <f t="shared" si="12"/>
        <v>36</v>
      </c>
    </row>
    <row r="125" spans="1:49">
      <c r="A125" s="304" t="str">
        <f ca="1">IF(LEFT(OFFSET(COM_2012!$A$60,AW125,0),2)="\I","*","")</f>
        <v/>
      </c>
      <c r="B125" s="369" t="str">
        <f t="shared" ca="1" si="10"/>
        <v>NCAP_BND</v>
      </c>
      <c r="C125" s="369" t="str">
        <f ca="1">IF($A125="*","",OFFSET(COM_2012!$B$60,AW125,0))</f>
        <v>CEWOKE-E</v>
      </c>
      <c r="D125" s="369" t="str">
        <f t="shared" ca="1" si="13"/>
        <v>-</v>
      </c>
      <c r="E125" s="369" t="str">
        <f t="shared" ca="1" si="13"/>
        <v>-</v>
      </c>
      <c r="F125" s="369" t="str">
        <f t="shared" ca="1" si="13"/>
        <v>-</v>
      </c>
      <c r="G125" s="369" t="str">
        <f t="shared" ca="1" si="13"/>
        <v>-</v>
      </c>
      <c r="H125" s="369" t="str">
        <f t="shared" ca="1" si="13"/>
        <v>UP</v>
      </c>
      <c r="I125" s="370">
        <f t="shared" ca="1" si="13"/>
        <v>0</v>
      </c>
      <c r="J125" s="391">
        <f ca="1">IF($A125="*","",OFFSET(COM_2012!$B$60,AW125,SUMIF($B$10:$B$16,B125,$AX$10:$AX$16)))</f>
        <v>0</v>
      </c>
      <c r="K125" s="369" t="str">
        <f ca="1">IF($B125&lt;&gt;"PRC_RESID","",IF(K$7=2005+OFFSET(COM_2012!$B$60,$AW125,SUMIF($B$10:$B$16,"NCAP_TLIFE",$AX$10:$AX$16)),0,""))</f>
        <v/>
      </c>
      <c r="L125" s="369" t="str">
        <f ca="1">IF($B125&lt;&gt;"PRC_RESID","",IF(L$7=2005+OFFSET(COM_2012!$B$60,$AW125,SUMIF($B$10:$B$16,"NCAP_TLIFE",$AX$10:$AX$16)),0,""))</f>
        <v/>
      </c>
      <c r="M125" s="369" t="str">
        <f ca="1">IF($B125&lt;&gt;"PRC_RESID","",IF(M$7=2005+OFFSET(COM_2012!$B$60,$AW125,SUMIF($B$10:$B$16,"NCAP_TLIFE",$AX$10:$AX$16)),0,""))</f>
        <v/>
      </c>
      <c r="N125" s="369" t="str">
        <f ca="1">IF($B125&lt;&gt;"PRC_RESID","",IF(N$7=2005+OFFSET(COM_2012!$B$60,$AW125,SUMIF($B$10:$B$16,"NCAP_TLIFE",$AX$10:$AX$16)),0,""))</f>
        <v/>
      </c>
      <c r="O125" s="658" t="str">
        <f ca="1">IF($B125&lt;&gt;"PRC_RESID","",IF(O$7=2005+OFFSET(COM_2012!$B$60,$AW125,SUMIF($B$10:$B$16,"NCAP_TLIFE",$AX$10:$AX$16)),0,""))</f>
        <v/>
      </c>
      <c r="P125" s="369" t="str">
        <f ca="1">IF($B125&lt;&gt;"PRC_RESID","",IF(P$7=2005+OFFSET(COM_2012!$B$60,$AW125,SUMIF($B$10:$B$16,"NCAP_TLIFE",$AX$10:$AX$16)),0,""))</f>
        <v/>
      </c>
      <c r="Q125" s="369" t="str">
        <f ca="1">IF($B125&lt;&gt;"PRC_RESID","",IF(Q$7=2005+OFFSET(COM_2012!$B$60,$AW125,SUMIF($B$10:$B$16,"NCAP_TLIFE",$AX$10:$AX$16)),0,""))</f>
        <v/>
      </c>
      <c r="R125" s="369" t="str">
        <f ca="1">IF($B125&lt;&gt;"PRC_RESID","",IF(R$7=2005+OFFSET(COM_2012!$B$60,$AW125,SUMIF($B$10:$B$16,"NCAP_TLIFE",$AX$10:$AX$16)),0,""))</f>
        <v/>
      </c>
      <c r="S125" s="369" t="str">
        <f ca="1">IF($B125&lt;&gt;"PRC_RESID","",IF(S$7=2005+OFFSET(COM_2012!$B$60,$AW125,SUMIF($B$10:$B$16,"NCAP_TLIFE",$AX$10:$AX$16)),0,""))</f>
        <v/>
      </c>
      <c r="T125" s="369" t="str">
        <f ca="1">IF($B125&lt;&gt;"PRC_RESID","",IF(T$7=2005+OFFSET(COM_2012!$B$60,$AW125,SUMIF($B$10:$B$16,"NCAP_TLIFE",$AX$10:$AX$16)),0,""))</f>
        <v/>
      </c>
      <c r="U125" s="369" t="str">
        <f ca="1">IF($B125&lt;&gt;"PRC_RESID","",IF(U$7=2005+OFFSET(COM_2012!$B$60,$AW125,SUMIF($B$10:$B$16,"NCAP_TLIFE",$AX$10:$AX$16)),0,""))</f>
        <v/>
      </c>
      <c r="V125" s="369" t="str">
        <f ca="1">IF($B125&lt;&gt;"PRC_RESID","",IF(V$7=2005+OFFSET(COM_2012!$B$60,$AW125,SUMIF($B$10:$B$16,"NCAP_TLIFE",$AX$10:$AX$16)),0,""))</f>
        <v/>
      </c>
      <c r="W125" s="369" t="str">
        <f ca="1">IF($B125&lt;&gt;"PRC_RESID","",IF(W$7=2005+OFFSET(COM_2012!$B$60,$AW125,SUMIF($B$10:$B$16,"NCAP_TLIFE",$AX$10:$AX$16)),0,""))</f>
        <v/>
      </c>
      <c r="X125" s="369" t="str">
        <f ca="1">IF($B125&lt;&gt;"PRC_RESID","",IF(X$7=2005+OFFSET(COM_2012!$B$60,$AW125,SUMIF($B$10:$B$16,"NCAP_TLIFE",$AX$10:$AX$16)),0,""))</f>
        <v/>
      </c>
      <c r="Y125" s="369" t="str">
        <f ca="1">IF($B125&lt;&gt;"PRC_RESID","",IF(Y$7=2005+OFFSET(COM_2012!$B$60,$AW125,SUMIF($B$10:$B$16,"NCAP_TLIFE",$AX$10:$AX$16)),0,""))</f>
        <v/>
      </c>
      <c r="Z125" s="369" t="str">
        <f ca="1">IF($B125&lt;&gt;"PRC_RESID","",IF(Z$7=2005+OFFSET(COM_2012!$B$60,$AW125,SUMIF($B$10:$B$16,"NCAP_TLIFE",$AX$10:$AX$16)),0,""))</f>
        <v/>
      </c>
      <c r="AA125" s="369" t="str">
        <f ca="1">IF($B125&lt;&gt;"PRC_RESID","",IF(AA$7=2005+OFFSET(COM_2012!$B$60,$AW125,SUMIF($B$10:$B$16,"NCAP_TLIFE",$AX$10:$AX$16)),0,""))</f>
        <v/>
      </c>
      <c r="AB125" s="369" t="str">
        <f ca="1">IF($B125&lt;&gt;"PRC_RESID","",IF(AB$7=2005+OFFSET(COM_2012!$B$60,$AW125,SUMIF($B$10:$B$16,"NCAP_TLIFE",$AX$10:$AX$16)),0,""))</f>
        <v/>
      </c>
      <c r="AC125" s="369" t="str">
        <f ca="1">IF($B125&lt;&gt;"PRC_RESID","",IF(AC$7=2005+OFFSET(COM_2012!$B$60,$AW125,SUMIF($B$10:$B$16,"NCAP_TLIFE",$AX$10:$AX$16)),0,""))</f>
        <v/>
      </c>
      <c r="AD125" s="369" t="str">
        <f ca="1">IF($B125&lt;&gt;"PRC_RESID","",IF(AD$7=2005+OFFSET(COM_2012!$B$60,$AW125,SUMIF($B$10:$B$16,"NCAP_TLIFE",$AX$10:$AX$16)),0,""))</f>
        <v/>
      </c>
      <c r="AE125" s="369" t="str">
        <f ca="1">IF($B125&lt;&gt;"PRC_RESID","",IF(AE$7=2005+OFFSET(COM_2012!$B$60,$AW125,SUMIF($B$10:$B$16,"NCAP_TLIFE",$AX$10:$AX$16)),0,""))</f>
        <v/>
      </c>
      <c r="AF125" s="369" t="str">
        <f ca="1">IF($B125&lt;&gt;"PRC_RESID","",IF(AF$7=2005+OFFSET(COM_2012!$B$60,$AW125,SUMIF($B$10:$B$16,"NCAP_TLIFE",$AX$10:$AX$16)),0,""))</f>
        <v/>
      </c>
      <c r="AG125" s="369" t="str">
        <f ca="1">IF($B125&lt;&gt;"PRC_RESID","",IF(AG$7=2005+OFFSET(COM_2012!$B$60,$AW125,SUMIF($B$10:$B$16,"NCAP_TLIFE",$AX$10:$AX$16)),0,""))</f>
        <v/>
      </c>
      <c r="AH125" s="369" t="str">
        <f ca="1">IF($B125&lt;&gt;"PRC_RESID","",IF(AH$7=2005+OFFSET(COM_2012!$B$60,$AW125,SUMIF($B$10:$B$16,"NCAP_TLIFE",$AX$10:$AX$16)),0,""))</f>
        <v/>
      </c>
      <c r="AI125" s="369" t="str">
        <f ca="1">IF($B125&lt;&gt;"PRC_RESID","",IF(AI$7=2005+OFFSET(COM_2012!$B$60,$AW125,SUMIF($B$10:$B$16,"NCAP_TLIFE",$AX$10:$AX$16)),0,""))</f>
        <v/>
      </c>
      <c r="AJ125" s="369" t="str">
        <f ca="1">IF($B125&lt;&gt;"PRC_RESID","",IF(AJ$7=2005+OFFSET(COM_2012!$B$60,$AW125,SUMIF($B$10:$B$16,"NCAP_TLIFE",$AX$10:$AX$16)),0,""))</f>
        <v/>
      </c>
      <c r="AK125" s="369" t="str">
        <f ca="1">IF($B125&lt;&gt;"PRC_RESID","",IF(AK$7=2005+OFFSET(COM_2012!$B$60,$AW125,SUMIF($B$10:$B$16,"NCAP_TLIFE",$AX$10:$AX$16)),0,""))</f>
        <v/>
      </c>
      <c r="AL125" s="369" t="str">
        <f ca="1">IF($B125&lt;&gt;"PRC_RESID","",IF(AL$7=2005+OFFSET(COM_2012!$B$60,$AW125,SUMIF($B$10:$B$16,"NCAP_TLIFE",$AX$10:$AX$16)),0,""))</f>
        <v/>
      </c>
      <c r="AM125" s="369" t="str">
        <f ca="1">IF($B125&lt;&gt;"PRC_RESID","",IF(AM$7=2005+OFFSET(COM_2012!$B$60,$AW125,SUMIF($B$10:$B$16,"NCAP_TLIFE",$AX$10:$AX$16)),0,""))</f>
        <v/>
      </c>
      <c r="AN125" s="369" t="str">
        <f ca="1">IF($B125&lt;&gt;"PRC_RESID","",IF(AN$7=2005+OFFSET(COM_2012!$B$60,$AW125,SUMIF($B$10:$B$16,"NCAP_TLIFE",$AX$10:$AX$16)),0,""))</f>
        <v/>
      </c>
      <c r="AO125" s="369" t="str">
        <f ca="1">IF($B125&lt;&gt;"PRC_RESID","",IF(AO$7=2005+OFFSET(COM_2012!$B$60,$AW125,SUMIF($B$10:$B$16,"NCAP_TLIFE",$AX$10:$AX$16)),0,""))</f>
        <v/>
      </c>
      <c r="AP125" s="369" t="str">
        <f ca="1">IF($B125&lt;&gt;"PRC_RESID","",IF(AP$7=2005+OFFSET(COM_2012!$B$60,$AW125,SUMIF($B$10:$B$16,"NCAP_TLIFE",$AX$10:$AX$16)),0,""))</f>
        <v/>
      </c>
      <c r="AQ125" s="369" t="str">
        <f ca="1">IF($B125&lt;&gt;"PRC_RESID","",IF(AQ$7=2005+OFFSET(COM_2012!$B$60,$AW125,SUMIF($B$10:$B$16,"NCAP_TLIFE",$AX$10:$AX$16)),0,""))</f>
        <v/>
      </c>
      <c r="AR125" s="369" t="str">
        <f ca="1">IF($B125&lt;&gt;"PRC_RESID","",IF(AR$7=2005+OFFSET(COM_2012!$B$60,$AW125,SUMIF($B$10:$B$16,"NCAP_TLIFE",$AX$10:$AX$16)),0,""))</f>
        <v/>
      </c>
      <c r="AS125" s="369" t="str">
        <f ca="1">IF($B125&lt;&gt;"PRC_RESID","",IF(AS$7=2005+OFFSET(COM_2012!$B$60,$AW125,SUMIF($B$10:$B$16,"NCAP_TLIFE",$AX$10:$AX$16)),0,""))</f>
        <v/>
      </c>
      <c r="AT125" s="369" t="str">
        <f ca="1">IF($B125&lt;&gt;"PRC_RESID","",IF(AT$7=2005+OFFSET(COM_2012!$B$60,$AW125,SUMIF($B$10:$B$16,"NCAP_TLIFE",$AX$10:$AX$16)),0,""))</f>
        <v/>
      </c>
      <c r="AU125" s="369" t="str">
        <f ca="1">IF($B125&lt;&gt;"PRC_RESID","",IF(AU$7=2005+OFFSET(COM_2012!$B$60,$AW125,SUMIF($B$10:$B$16,"NCAP_TLIFE",$AX$10:$AX$16)),0,""))</f>
        <v/>
      </c>
      <c r="AV125" s="304">
        <f>IF(AW124=COM_2012!$AI$121,AV124+1,AV124)</f>
        <v>2</v>
      </c>
      <c r="AW125" s="304">
        <f t="shared" si="12"/>
        <v>37</v>
      </c>
    </row>
    <row r="126" spans="1:49">
      <c r="A126" s="304" t="str">
        <f ca="1">IF(LEFT(OFFSET(COM_2012!$A$60,AW126,0),2)="\I","*","")</f>
        <v/>
      </c>
      <c r="B126" s="369" t="str">
        <f t="shared" ca="1" si="10"/>
        <v>NCAP_BND</v>
      </c>
      <c r="C126" s="369" t="str">
        <f ca="1">IF($A126="*","",OFFSET(COM_2012!$B$60,AW126,0))</f>
        <v>CEWELC-N</v>
      </c>
      <c r="D126" s="369" t="str">
        <f t="shared" ca="1" si="13"/>
        <v>-</v>
      </c>
      <c r="E126" s="369" t="str">
        <f t="shared" ca="1" si="13"/>
        <v>-</v>
      </c>
      <c r="F126" s="369" t="str">
        <f t="shared" ca="1" si="13"/>
        <v>-</v>
      </c>
      <c r="G126" s="369" t="str">
        <f t="shared" ca="1" si="13"/>
        <v>-</v>
      </c>
      <c r="H126" s="369" t="str">
        <f t="shared" ca="1" si="13"/>
        <v>UP</v>
      </c>
      <c r="I126" s="370">
        <f t="shared" ca="1" si="13"/>
        <v>0</v>
      </c>
      <c r="J126" s="391">
        <f ca="1">IF($A126="*","",OFFSET(COM_2012!$B$60,AW126,SUMIF($B$10:$B$16,B126,$AX$10:$AX$16)))</f>
        <v>0</v>
      </c>
      <c r="K126" s="369" t="str">
        <f ca="1">IF($B126&lt;&gt;"PRC_RESID","",IF(K$7=2005+OFFSET(COM_2012!$B$60,$AW126,SUMIF($B$10:$B$16,"NCAP_TLIFE",$AX$10:$AX$16)),0,""))</f>
        <v/>
      </c>
      <c r="L126" s="369" t="str">
        <f ca="1">IF($B126&lt;&gt;"PRC_RESID","",IF(L$7=2005+OFFSET(COM_2012!$B$60,$AW126,SUMIF($B$10:$B$16,"NCAP_TLIFE",$AX$10:$AX$16)),0,""))</f>
        <v/>
      </c>
      <c r="M126" s="369" t="str">
        <f ca="1">IF($B126&lt;&gt;"PRC_RESID","",IF(M$7=2005+OFFSET(COM_2012!$B$60,$AW126,SUMIF($B$10:$B$16,"NCAP_TLIFE",$AX$10:$AX$16)),0,""))</f>
        <v/>
      </c>
      <c r="N126" s="369" t="str">
        <f ca="1">IF($B126&lt;&gt;"PRC_RESID","",IF(N$7=2005+OFFSET(COM_2012!$B$60,$AW126,SUMIF($B$10:$B$16,"NCAP_TLIFE",$AX$10:$AX$16)),0,""))</f>
        <v/>
      </c>
      <c r="O126" s="658" t="str">
        <f ca="1">IF($B126&lt;&gt;"PRC_RESID","",IF(O$7=2005+OFFSET(COM_2012!$B$60,$AW126,SUMIF($B$10:$B$16,"NCAP_TLIFE",$AX$10:$AX$16)),0,""))</f>
        <v/>
      </c>
      <c r="P126" s="369" t="str">
        <f ca="1">IF($B126&lt;&gt;"PRC_RESID","",IF(P$7=2005+OFFSET(COM_2012!$B$60,$AW126,SUMIF($B$10:$B$16,"NCAP_TLIFE",$AX$10:$AX$16)),0,""))</f>
        <v/>
      </c>
      <c r="Q126" s="369" t="str">
        <f ca="1">IF($B126&lt;&gt;"PRC_RESID","",IF(Q$7=2005+OFFSET(COM_2012!$B$60,$AW126,SUMIF($B$10:$B$16,"NCAP_TLIFE",$AX$10:$AX$16)),0,""))</f>
        <v/>
      </c>
      <c r="R126" s="369" t="str">
        <f ca="1">IF($B126&lt;&gt;"PRC_RESID","",IF(R$7=2005+OFFSET(COM_2012!$B$60,$AW126,SUMIF($B$10:$B$16,"NCAP_TLIFE",$AX$10:$AX$16)),0,""))</f>
        <v/>
      </c>
      <c r="S126" s="369" t="str">
        <f ca="1">IF($B126&lt;&gt;"PRC_RESID","",IF(S$7=2005+OFFSET(COM_2012!$B$60,$AW126,SUMIF($B$10:$B$16,"NCAP_TLIFE",$AX$10:$AX$16)),0,""))</f>
        <v/>
      </c>
      <c r="T126" s="369" t="str">
        <f ca="1">IF($B126&lt;&gt;"PRC_RESID","",IF(T$7=2005+OFFSET(COM_2012!$B$60,$AW126,SUMIF($B$10:$B$16,"NCAP_TLIFE",$AX$10:$AX$16)),0,""))</f>
        <v/>
      </c>
      <c r="U126" s="369" t="str">
        <f ca="1">IF($B126&lt;&gt;"PRC_RESID","",IF(U$7=2005+OFFSET(COM_2012!$B$60,$AW126,SUMIF($B$10:$B$16,"NCAP_TLIFE",$AX$10:$AX$16)),0,""))</f>
        <v/>
      </c>
      <c r="V126" s="369" t="str">
        <f ca="1">IF($B126&lt;&gt;"PRC_RESID","",IF(V$7=2005+OFFSET(COM_2012!$B$60,$AW126,SUMIF($B$10:$B$16,"NCAP_TLIFE",$AX$10:$AX$16)),0,""))</f>
        <v/>
      </c>
      <c r="W126" s="369" t="str">
        <f ca="1">IF($B126&lt;&gt;"PRC_RESID","",IF(W$7=2005+OFFSET(COM_2012!$B$60,$AW126,SUMIF($B$10:$B$16,"NCAP_TLIFE",$AX$10:$AX$16)),0,""))</f>
        <v/>
      </c>
      <c r="X126" s="369" t="str">
        <f ca="1">IF($B126&lt;&gt;"PRC_RESID","",IF(X$7=2005+OFFSET(COM_2012!$B$60,$AW126,SUMIF($B$10:$B$16,"NCAP_TLIFE",$AX$10:$AX$16)),0,""))</f>
        <v/>
      </c>
      <c r="Y126" s="369" t="str">
        <f ca="1">IF($B126&lt;&gt;"PRC_RESID","",IF(Y$7=2005+OFFSET(COM_2012!$B$60,$AW126,SUMIF($B$10:$B$16,"NCAP_TLIFE",$AX$10:$AX$16)),0,""))</f>
        <v/>
      </c>
      <c r="Z126" s="369" t="str">
        <f ca="1">IF($B126&lt;&gt;"PRC_RESID","",IF(Z$7=2005+OFFSET(COM_2012!$B$60,$AW126,SUMIF($B$10:$B$16,"NCAP_TLIFE",$AX$10:$AX$16)),0,""))</f>
        <v/>
      </c>
      <c r="AA126" s="369" t="str">
        <f ca="1">IF($B126&lt;&gt;"PRC_RESID","",IF(AA$7=2005+OFFSET(COM_2012!$B$60,$AW126,SUMIF($B$10:$B$16,"NCAP_TLIFE",$AX$10:$AX$16)),0,""))</f>
        <v/>
      </c>
      <c r="AB126" s="369" t="str">
        <f ca="1">IF($B126&lt;&gt;"PRC_RESID","",IF(AB$7=2005+OFFSET(COM_2012!$B$60,$AW126,SUMIF($B$10:$B$16,"NCAP_TLIFE",$AX$10:$AX$16)),0,""))</f>
        <v/>
      </c>
      <c r="AC126" s="369" t="str">
        <f ca="1">IF($B126&lt;&gt;"PRC_RESID","",IF(AC$7=2005+OFFSET(COM_2012!$B$60,$AW126,SUMIF($B$10:$B$16,"NCAP_TLIFE",$AX$10:$AX$16)),0,""))</f>
        <v/>
      </c>
      <c r="AD126" s="369" t="str">
        <f ca="1">IF($B126&lt;&gt;"PRC_RESID","",IF(AD$7=2005+OFFSET(COM_2012!$B$60,$AW126,SUMIF($B$10:$B$16,"NCAP_TLIFE",$AX$10:$AX$16)),0,""))</f>
        <v/>
      </c>
      <c r="AE126" s="369" t="str">
        <f ca="1">IF($B126&lt;&gt;"PRC_RESID","",IF(AE$7=2005+OFFSET(COM_2012!$B$60,$AW126,SUMIF($B$10:$B$16,"NCAP_TLIFE",$AX$10:$AX$16)),0,""))</f>
        <v/>
      </c>
      <c r="AF126" s="369" t="str">
        <f ca="1">IF($B126&lt;&gt;"PRC_RESID","",IF(AF$7=2005+OFFSET(COM_2012!$B$60,$AW126,SUMIF($B$10:$B$16,"NCAP_TLIFE",$AX$10:$AX$16)),0,""))</f>
        <v/>
      </c>
      <c r="AG126" s="369" t="str">
        <f ca="1">IF($B126&lt;&gt;"PRC_RESID","",IF(AG$7=2005+OFFSET(COM_2012!$B$60,$AW126,SUMIF($B$10:$B$16,"NCAP_TLIFE",$AX$10:$AX$16)),0,""))</f>
        <v/>
      </c>
      <c r="AH126" s="369" t="str">
        <f ca="1">IF($B126&lt;&gt;"PRC_RESID","",IF(AH$7=2005+OFFSET(COM_2012!$B$60,$AW126,SUMIF($B$10:$B$16,"NCAP_TLIFE",$AX$10:$AX$16)),0,""))</f>
        <v/>
      </c>
      <c r="AI126" s="369" t="str">
        <f ca="1">IF($B126&lt;&gt;"PRC_RESID","",IF(AI$7=2005+OFFSET(COM_2012!$B$60,$AW126,SUMIF($B$10:$B$16,"NCAP_TLIFE",$AX$10:$AX$16)),0,""))</f>
        <v/>
      </c>
      <c r="AJ126" s="369" t="str">
        <f ca="1">IF($B126&lt;&gt;"PRC_RESID","",IF(AJ$7=2005+OFFSET(COM_2012!$B$60,$AW126,SUMIF($B$10:$B$16,"NCAP_TLIFE",$AX$10:$AX$16)),0,""))</f>
        <v/>
      </c>
      <c r="AK126" s="369" t="str">
        <f ca="1">IF($B126&lt;&gt;"PRC_RESID","",IF(AK$7=2005+OFFSET(COM_2012!$B$60,$AW126,SUMIF($B$10:$B$16,"NCAP_TLIFE",$AX$10:$AX$16)),0,""))</f>
        <v/>
      </c>
      <c r="AL126" s="369" t="str">
        <f ca="1">IF($B126&lt;&gt;"PRC_RESID","",IF(AL$7=2005+OFFSET(COM_2012!$B$60,$AW126,SUMIF($B$10:$B$16,"NCAP_TLIFE",$AX$10:$AX$16)),0,""))</f>
        <v/>
      </c>
      <c r="AM126" s="369" t="str">
        <f ca="1">IF($B126&lt;&gt;"PRC_RESID","",IF(AM$7=2005+OFFSET(COM_2012!$B$60,$AW126,SUMIF($B$10:$B$16,"NCAP_TLIFE",$AX$10:$AX$16)),0,""))</f>
        <v/>
      </c>
      <c r="AN126" s="369" t="str">
        <f ca="1">IF($B126&lt;&gt;"PRC_RESID","",IF(AN$7=2005+OFFSET(COM_2012!$B$60,$AW126,SUMIF($B$10:$B$16,"NCAP_TLIFE",$AX$10:$AX$16)),0,""))</f>
        <v/>
      </c>
      <c r="AO126" s="369" t="str">
        <f ca="1">IF($B126&lt;&gt;"PRC_RESID","",IF(AO$7=2005+OFFSET(COM_2012!$B$60,$AW126,SUMIF($B$10:$B$16,"NCAP_TLIFE",$AX$10:$AX$16)),0,""))</f>
        <v/>
      </c>
      <c r="AP126" s="369" t="str">
        <f ca="1">IF($B126&lt;&gt;"PRC_RESID","",IF(AP$7=2005+OFFSET(COM_2012!$B$60,$AW126,SUMIF($B$10:$B$16,"NCAP_TLIFE",$AX$10:$AX$16)),0,""))</f>
        <v/>
      </c>
      <c r="AQ126" s="369" t="str">
        <f ca="1">IF($B126&lt;&gt;"PRC_RESID","",IF(AQ$7=2005+OFFSET(COM_2012!$B$60,$AW126,SUMIF($B$10:$B$16,"NCAP_TLIFE",$AX$10:$AX$16)),0,""))</f>
        <v/>
      </c>
      <c r="AR126" s="369" t="str">
        <f ca="1">IF($B126&lt;&gt;"PRC_RESID","",IF(AR$7=2005+OFFSET(COM_2012!$B$60,$AW126,SUMIF($B$10:$B$16,"NCAP_TLIFE",$AX$10:$AX$16)),0,""))</f>
        <v/>
      </c>
      <c r="AS126" s="369" t="str">
        <f ca="1">IF($B126&lt;&gt;"PRC_RESID","",IF(AS$7=2005+OFFSET(COM_2012!$B$60,$AW126,SUMIF($B$10:$B$16,"NCAP_TLIFE",$AX$10:$AX$16)),0,""))</f>
        <v/>
      </c>
      <c r="AT126" s="369" t="str">
        <f ca="1">IF($B126&lt;&gt;"PRC_RESID","",IF(AT$7=2005+OFFSET(COM_2012!$B$60,$AW126,SUMIF($B$10:$B$16,"NCAP_TLIFE",$AX$10:$AX$16)),0,""))</f>
        <v/>
      </c>
      <c r="AU126" s="369" t="str">
        <f ca="1">IF($B126&lt;&gt;"PRC_RESID","",IF(AU$7=2005+OFFSET(COM_2012!$B$60,$AW126,SUMIF($B$10:$B$16,"NCAP_TLIFE",$AX$10:$AX$16)),0,""))</f>
        <v/>
      </c>
      <c r="AV126" s="304">
        <f>IF(AW125=COM_2012!$AI$121,AV125+1,AV125)</f>
        <v>2</v>
      </c>
      <c r="AW126" s="304">
        <f t="shared" si="12"/>
        <v>38</v>
      </c>
    </row>
    <row r="127" spans="1:49">
      <c r="A127" s="304" t="str">
        <f ca="1">IF(LEFT(OFFSET(COM_2012!$A$60,AW127,0),2)="\I","*","")</f>
        <v/>
      </c>
      <c r="B127" s="369" t="str">
        <f t="shared" ca="1" si="10"/>
        <v>NCAP_BND</v>
      </c>
      <c r="C127" s="369" t="str">
        <f ca="1">IF($A127="*","",OFFSET(COM_2012!$B$60,AW127,0))</f>
        <v>CEWELCHP-N</v>
      </c>
      <c r="D127" s="369" t="str">
        <f t="shared" ca="1" si="13"/>
        <v>-</v>
      </c>
      <c r="E127" s="369" t="str">
        <f t="shared" ca="1" si="13"/>
        <v>-</v>
      </c>
      <c r="F127" s="369" t="str">
        <f t="shared" ca="1" si="13"/>
        <v>-</v>
      </c>
      <c r="G127" s="369" t="str">
        <f t="shared" ca="1" si="13"/>
        <v>-</v>
      </c>
      <c r="H127" s="369" t="str">
        <f t="shared" ca="1" si="13"/>
        <v>UP</v>
      </c>
      <c r="I127" s="370">
        <f t="shared" ca="1" si="13"/>
        <v>0</v>
      </c>
      <c r="J127" s="391">
        <f ca="1">IF($A127="*","",OFFSET(COM_2012!$B$60,AW127,SUMIF($B$10:$B$16,B127,$AX$10:$AX$16)))</f>
        <v>0</v>
      </c>
      <c r="K127" s="369" t="str">
        <f ca="1">IF($B127&lt;&gt;"PRC_RESID","",IF(K$7=2005+OFFSET(COM_2012!$B$60,$AW127,SUMIF($B$10:$B$16,"NCAP_TLIFE",$AX$10:$AX$16)),0,""))</f>
        <v/>
      </c>
      <c r="L127" s="369" t="str">
        <f ca="1">IF($B127&lt;&gt;"PRC_RESID","",IF(L$7=2005+OFFSET(COM_2012!$B$60,$AW127,SUMIF($B$10:$B$16,"NCAP_TLIFE",$AX$10:$AX$16)),0,""))</f>
        <v/>
      </c>
      <c r="M127" s="369" t="str">
        <f ca="1">IF($B127&lt;&gt;"PRC_RESID","",IF(M$7=2005+OFFSET(COM_2012!$B$60,$AW127,SUMIF($B$10:$B$16,"NCAP_TLIFE",$AX$10:$AX$16)),0,""))</f>
        <v/>
      </c>
      <c r="N127" s="369" t="str">
        <f ca="1">IF($B127&lt;&gt;"PRC_RESID","",IF(N$7=2005+OFFSET(COM_2012!$B$60,$AW127,SUMIF($B$10:$B$16,"NCAP_TLIFE",$AX$10:$AX$16)),0,""))</f>
        <v/>
      </c>
      <c r="O127" s="658" t="str">
        <f ca="1">IF($B127&lt;&gt;"PRC_RESID","",IF(O$7=2005+OFFSET(COM_2012!$B$60,$AW127,SUMIF($B$10:$B$16,"NCAP_TLIFE",$AX$10:$AX$16)),0,""))</f>
        <v/>
      </c>
      <c r="P127" s="369" t="str">
        <f ca="1">IF($B127&lt;&gt;"PRC_RESID","",IF(P$7=2005+OFFSET(COM_2012!$B$60,$AW127,SUMIF($B$10:$B$16,"NCAP_TLIFE",$AX$10:$AX$16)),0,""))</f>
        <v/>
      </c>
      <c r="Q127" s="369" t="str">
        <f ca="1">IF($B127&lt;&gt;"PRC_RESID","",IF(Q$7=2005+OFFSET(COM_2012!$B$60,$AW127,SUMIF($B$10:$B$16,"NCAP_TLIFE",$AX$10:$AX$16)),0,""))</f>
        <v/>
      </c>
      <c r="R127" s="369" t="str">
        <f ca="1">IF($B127&lt;&gt;"PRC_RESID","",IF(R$7=2005+OFFSET(COM_2012!$B$60,$AW127,SUMIF($B$10:$B$16,"NCAP_TLIFE",$AX$10:$AX$16)),0,""))</f>
        <v/>
      </c>
      <c r="S127" s="369" t="str">
        <f ca="1">IF($B127&lt;&gt;"PRC_RESID","",IF(S$7=2005+OFFSET(COM_2012!$B$60,$AW127,SUMIF($B$10:$B$16,"NCAP_TLIFE",$AX$10:$AX$16)),0,""))</f>
        <v/>
      </c>
      <c r="T127" s="369" t="str">
        <f ca="1">IF($B127&lt;&gt;"PRC_RESID","",IF(T$7=2005+OFFSET(COM_2012!$B$60,$AW127,SUMIF($B$10:$B$16,"NCAP_TLIFE",$AX$10:$AX$16)),0,""))</f>
        <v/>
      </c>
      <c r="U127" s="369" t="str">
        <f ca="1">IF($B127&lt;&gt;"PRC_RESID","",IF(U$7=2005+OFFSET(COM_2012!$B$60,$AW127,SUMIF($B$10:$B$16,"NCAP_TLIFE",$AX$10:$AX$16)),0,""))</f>
        <v/>
      </c>
      <c r="V127" s="369" t="str">
        <f ca="1">IF($B127&lt;&gt;"PRC_RESID","",IF(V$7=2005+OFFSET(COM_2012!$B$60,$AW127,SUMIF($B$10:$B$16,"NCAP_TLIFE",$AX$10:$AX$16)),0,""))</f>
        <v/>
      </c>
      <c r="W127" s="369" t="str">
        <f ca="1">IF($B127&lt;&gt;"PRC_RESID","",IF(W$7=2005+OFFSET(COM_2012!$B$60,$AW127,SUMIF($B$10:$B$16,"NCAP_TLIFE",$AX$10:$AX$16)),0,""))</f>
        <v/>
      </c>
      <c r="X127" s="369" t="str">
        <f ca="1">IF($B127&lt;&gt;"PRC_RESID","",IF(X$7=2005+OFFSET(COM_2012!$B$60,$AW127,SUMIF($B$10:$B$16,"NCAP_TLIFE",$AX$10:$AX$16)),0,""))</f>
        <v/>
      </c>
      <c r="Y127" s="369" t="str">
        <f ca="1">IF($B127&lt;&gt;"PRC_RESID","",IF(Y$7=2005+OFFSET(COM_2012!$B$60,$AW127,SUMIF($B$10:$B$16,"NCAP_TLIFE",$AX$10:$AX$16)),0,""))</f>
        <v/>
      </c>
      <c r="Z127" s="369" t="str">
        <f ca="1">IF($B127&lt;&gt;"PRC_RESID","",IF(Z$7=2005+OFFSET(COM_2012!$B$60,$AW127,SUMIF($B$10:$B$16,"NCAP_TLIFE",$AX$10:$AX$16)),0,""))</f>
        <v/>
      </c>
      <c r="AA127" s="369" t="str">
        <f ca="1">IF($B127&lt;&gt;"PRC_RESID","",IF(AA$7=2005+OFFSET(COM_2012!$B$60,$AW127,SUMIF($B$10:$B$16,"NCAP_TLIFE",$AX$10:$AX$16)),0,""))</f>
        <v/>
      </c>
      <c r="AB127" s="369" t="str">
        <f ca="1">IF($B127&lt;&gt;"PRC_RESID","",IF(AB$7=2005+OFFSET(COM_2012!$B$60,$AW127,SUMIF($B$10:$B$16,"NCAP_TLIFE",$AX$10:$AX$16)),0,""))</f>
        <v/>
      </c>
      <c r="AC127" s="369" t="str">
        <f ca="1">IF($B127&lt;&gt;"PRC_RESID","",IF(AC$7=2005+OFFSET(COM_2012!$B$60,$AW127,SUMIF($B$10:$B$16,"NCAP_TLIFE",$AX$10:$AX$16)),0,""))</f>
        <v/>
      </c>
      <c r="AD127" s="369" t="str">
        <f ca="1">IF($B127&lt;&gt;"PRC_RESID","",IF(AD$7=2005+OFFSET(COM_2012!$B$60,$AW127,SUMIF($B$10:$B$16,"NCAP_TLIFE",$AX$10:$AX$16)),0,""))</f>
        <v/>
      </c>
      <c r="AE127" s="369" t="str">
        <f ca="1">IF($B127&lt;&gt;"PRC_RESID","",IF(AE$7=2005+OFFSET(COM_2012!$B$60,$AW127,SUMIF($B$10:$B$16,"NCAP_TLIFE",$AX$10:$AX$16)),0,""))</f>
        <v/>
      </c>
      <c r="AF127" s="369" t="str">
        <f ca="1">IF($B127&lt;&gt;"PRC_RESID","",IF(AF$7=2005+OFFSET(COM_2012!$B$60,$AW127,SUMIF($B$10:$B$16,"NCAP_TLIFE",$AX$10:$AX$16)),0,""))</f>
        <v/>
      </c>
      <c r="AG127" s="369" t="str">
        <f ca="1">IF($B127&lt;&gt;"PRC_RESID","",IF(AG$7=2005+OFFSET(COM_2012!$B$60,$AW127,SUMIF($B$10:$B$16,"NCAP_TLIFE",$AX$10:$AX$16)),0,""))</f>
        <v/>
      </c>
      <c r="AH127" s="369" t="str">
        <f ca="1">IF($B127&lt;&gt;"PRC_RESID","",IF(AH$7=2005+OFFSET(COM_2012!$B$60,$AW127,SUMIF($B$10:$B$16,"NCAP_TLIFE",$AX$10:$AX$16)),0,""))</f>
        <v/>
      </c>
      <c r="AI127" s="369" t="str">
        <f ca="1">IF($B127&lt;&gt;"PRC_RESID","",IF(AI$7=2005+OFFSET(COM_2012!$B$60,$AW127,SUMIF($B$10:$B$16,"NCAP_TLIFE",$AX$10:$AX$16)),0,""))</f>
        <v/>
      </c>
      <c r="AJ127" s="369" t="str">
        <f ca="1">IF($B127&lt;&gt;"PRC_RESID","",IF(AJ$7=2005+OFFSET(COM_2012!$B$60,$AW127,SUMIF($B$10:$B$16,"NCAP_TLIFE",$AX$10:$AX$16)),0,""))</f>
        <v/>
      </c>
      <c r="AK127" s="369" t="str">
        <f ca="1">IF($B127&lt;&gt;"PRC_RESID","",IF(AK$7=2005+OFFSET(COM_2012!$B$60,$AW127,SUMIF($B$10:$B$16,"NCAP_TLIFE",$AX$10:$AX$16)),0,""))</f>
        <v/>
      </c>
      <c r="AL127" s="369" t="str">
        <f ca="1">IF($B127&lt;&gt;"PRC_RESID","",IF(AL$7=2005+OFFSET(COM_2012!$B$60,$AW127,SUMIF($B$10:$B$16,"NCAP_TLIFE",$AX$10:$AX$16)),0,""))</f>
        <v/>
      </c>
      <c r="AM127" s="369" t="str">
        <f ca="1">IF($B127&lt;&gt;"PRC_RESID","",IF(AM$7=2005+OFFSET(COM_2012!$B$60,$AW127,SUMIF($B$10:$B$16,"NCAP_TLIFE",$AX$10:$AX$16)),0,""))</f>
        <v/>
      </c>
      <c r="AN127" s="369" t="str">
        <f ca="1">IF($B127&lt;&gt;"PRC_RESID","",IF(AN$7=2005+OFFSET(COM_2012!$B$60,$AW127,SUMIF($B$10:$B$16,"NCAP_TLIFE",$AX$10:$AX$16)),0,""))</f>
        <v/>
      </c>
      <c r="AO127" s="369" t="str">
        <f ca="1">IF($B127&lt;&gt;"PRC_RESID","",IF(AO$7=2005+OFFSET(COM_2012!$B$60,$AW127,SUMIF($B$10:$B$16,"NCAP_TLIFE",$AX$10:$AX$16)),0,""))</f>
        <v/>
      </c>
      <c r="AP127" s="369" t="str">
        <f ca="1">IF($B127&lt;&gt;"PRC_RESID","",IF(AP$7=2005+OFFSET(COM_2012!$B$60,$AW127,SUMIF($B$10:$B$16,"NCAP_TLIFE",$AX$10:$AX$16)),0,""))</f>
        <v/>
      </c>
      <c r="AQ127" s="369" t="str">
        <f ca="1">IF($B127&lt;&gt;"PRC_RESID","",IF(AQ$7=2005+OFFSET(COM_2012!$B$60,$AW127,SUMIF($B$10:$B$16,"NCAP_TLIFE",$AX$10:$AX$16)),0,""))</f>
        <v/>
      </c>
      <c r="AR127" s="369" t="str">
        <f ca="1">IF($B127&lt;&gt;"PRC_RESID","",IF(AR$7=2005+OFFSET(COM_2012!$B$60,$AW127,SUMIF($B$10:$B$16,"NCAP_TLIFE",$AX$10:$AX$16)),0,""))</f>
        <v/>
      </c>
      <c r="AS127" s="369" t="str">
        <f ca="1">IF($B127&lt;&gt;"PRC_RESID","",IF(AS$7=2005+OFFSET(COM_2012!$B$60,$AW127,SUMIF($B$10:$B$16,"NCAP_TLIFE",$AX$10:$AX$16)),0,""))</f>
        <v/>
      </c>
      <c r="AT127" s="369" t="str">
        <f ca="1">IF($B127&lt;&gt;"PRC_RESID","",IF(AT$7=2005+OFFSET(COM_2012!$B$60,$AW127,SUMIF($B$10:$B$16,"NCAP_TLIFE",$AX$10:$AX$16)),0,""))</f>
        <v/>
      </c>
      <c r="AU127" s="369" t="str">
        <f ca="1">IF($B127&lt;&gt;"PRC_RESID","",IF(AU$7=2005+OFFSET(COM_2012!$B$60,$AW127,SUMIF($B$10:$B$16,"NCAP_TLIFE",$AX$10:$AX$16)),0,""))</f>
        <v/>
      </c>
      <c r="AV127" s="304">
        <f>IF(AW126=COM_2012!$AI$121,AV126+1,AV126)</f>
        <v>2</v>
      </c>
      <c r="AW127" s="304">
        <f t="shared" si="12"/>
        <v>39</v>
      </c>
    </row>
    <row r="128" spans="1:49">
      <c r="A128" s="304" t="str">
        <f ca="1">IF(LEFT(OFFSET(COM_2012!$A$60,AW128,0),2)="\I","*","")</f>
        <v>*</v>
      </c>
      <c r="B128" s="369" t="str">
        <f t="shared" ca="1" si="10"/>
        <v/>
      </c>
      <c r="C128" s="369" t="str">
        <f ca="1">IF($A128="*","",OFFSET(COM_2012!$B$60,AW128,0))</f>
        <v/>
      </c>
      <c r="D128" s="369" t="str">
        <f t="shared" ca="1" si="13"/>
        <v/>
      </c>
      <c r="E128" s="369" t="str">
        <f t="shared" ca="1" si="13"/>
        <v/>
      </c>
      <c r="F128" s="369" t="str">
        <f t="shared" ca="1" si="13"/>
        <v/>
      </c>
      <c r="G128" s="369" t="str">
        <f t="shared" ca="1" si="13"/>
        <v/>
      </c>
      <c r="H128" s="369" t="str">
        <f t="shared" ca="1" si="13"/>
        <v/>
      </c>
      <c r="I128" s="370" t="str">
        <f t="shared" ca="1" si="13"/>
        <v/>
      </c>
      <c r="J128" s="391" t="str">
        <f ca="1">IF($A128="*","",OFFSET(COM_2012!$B$60,AW128,SUMIF($B$10:$B$16,B128,$AX$10:$AX$16)))</f>
        <v/>
      </c>
      <c r="K128" s="369" t="str">
        <f ca="1">IF($B128&lt;&gt;"PRC_RESID","",IF(K$7=2005+OFFSET(COM_2012!$B$60,$AW128,SUMIF($B$10:$B$16,"NCAP_TLIFE",$AX$10:$AX$16)),0,""))</f>
        <v/>
      </c>
      <c r="L128" s="369" t="str">
        <f ca="1">IF($B128&lt;&gt;"PRC_RESID","",IF(L$7=2005+OFFSET(COM_2012!$B$60,$AW128,SUMIF($B$10:$B$16,"NCAP_TLIFE",$AX$10:$AX$16)),0,""))</f>
        <v/>
      </c>
      <c r="M128" s="369" t="str">
        <f ca="1">IF($B128&lt;&gt;"PRC_RESID","",IF(M$7=2005+OFFSET(COM_2012!$B$60,$AW128,SUMIF($B$10:$B$16,"NCAP_TLIFE",$AX$10:$AX$16)),0,""))</f>
        <v/>
      </c>
      <c r="N128" s="369" t="str">
        <f ca="1">IF($B128&lt;&gt;"PRC_RESID","",IF(N$7=2005+OFFSET(COM_2012!$B$60,$AW128,SUMIF($B$10:$B$16,"NCAP_TLIFE",$AX$10:$AX$16)),0,""))</f>
        <v/>
      </c>
      <c r="O128" s="658" t="str">
        <f ca="1">IF($B128&lt;&gt;"PRC_RESID","",IF(O$7=2005+OFFSET(COM_2012!$B$60,$AW128,SUMIF($B$10:$B$16,"NCAP_TLIFE",$AX$10:$AX$16)),0,""))</f>
        <v/>
      </c>
      <c r="P128" s="369" t="str">
        <f ca="1">IF($B128&lt;&gt;"PRC_RESID","",IF(P$7=2005+OFFSET(COM_2012!$B$60,$AW128,SUMIF($B$10:$B$16,"NCAP_TLIFE",$AX$10:$AX$16)),0,""))</f>
        <v/>
      </c>
      <c r="Q128" s="369" t="str">
        <f ca="1">IF($B128&lt;&gt;"PRC_RESID","",IF(Q$7=2005+OFFSET(COM_2012!$B$60,$AW128,SUMIF($B$10:$B$16,"NCAP_TLIFE",$AX$10:$AX$16)),0,""))</f>
        <v/>
      </c>
      <c r="R128" s="369" t="str">
        <f ca="1">IF($B128&lt;&gt;"PRC_RESID","",IF(R$7=2005+OFFSET(COM_2012!$B$60,$AW128,SUMIF($B$10:$B$16,"NCAP_TLIFE",$AX$10:$AX$16)),0,""))</f>
        <v/>
      </c>
      <c r="S128" s="369" t="str">
        <f ca="1">IF($B128&lt;&gt;"PRC_RESID","",IF(S$7=2005+OFFSET(COM_2012!$B$60,$AW128,SUMIF($B$10:$B$16,"NCAP_TLIFE",$AX$10:$AX$16)),0,""))</f>
        <v/>
      </c>
      <c r="T128" s="369" t="str">
        <f ca="1">IF($B128&lt;&gt;"PRC_RESID","",IF(T$7=2005+OFFSET(COM_2012!$B$60,$AW128,SUMIF($B$10:$B$16,"NCAP_TLIFE",$AX$10:$AX$16)),0,""))</f>
        <v/>
      </c>
      <c r="U128" s="369" t="str">
        <f ca="1">IF($B128&lt;&gt;"PRC_RESID","",IF(U$7=2005+OFFSET(COM_2012!$B$60,$AW128,SUMIF($B$10:$B$16,"NCAP_TLIFE",$AX$10:$AX$16)),0,""))</f>
        <v/>
      </c>
      <c r="V128" s="369" t="str">
        <f ca="1">IF($B128&lt;&gt;"PRC_RESID","",IF(V$7=2005+OFFSET(COM_2012!$B$60,$AW128,SUMIF($B$10:$B$16,"NCAP_TLIFE",$AX$10:$AX$16)),0,""))</f>
        <v/>
      </c>
      <c r="W128" s="369" t="str">
        <f ca="1">IF($B128&lt;&gt;"PRC_RESID","",IF(W$7=2005+OFFSET(COM_2012!$B$60,$AW128,SUMIF($B$10:$B$16,"NCAP_TLIFE",$AX$10:$AX$16)),0,""))</f>
        <v/>
      </c>
      <c r="X128" s="369" t="str">
        <f ca="1">IF($B128&lt;&gt;"PRC_RESID","",IF(X$7=2005+OFFSET(COM_2012!$B$60,$AW128,SUMIF($B$10:$B$16,"NCAP_TLIFE",$AX$10:$AX$16)),0,""))</f>
        <v/>
      </c>
      <c r="Y128" s="369" t="str">
        <f ca="1">IF($B128&lt;&gt;"PRC_RESID","",IF(Y$7=2005+OFFSET(COM_2012!$B$60,$AW128,SUMIF($B$10:$B$16,"NCAP_TLIFE",$AX$10:$AX$16)),0,""))</f>
        <v/>
      </c>
      <c r="Z128" s="369" t="str">
        <f ca="1">IF($B128&lt;&gt;"PRC_RESID","",IF(Z$7=2005+OFFSET(COM_2012!$B$60,$AW128,SUMIF($B$10:$B$16,"NCAP_TLIFE",$AX$10:$AX$16)),0,""))</f>
        <v/>
      </c>
      <c r="AA128" s="369" t="str">
        <f ca="1">IF($B128&lt;&gt;"PRC_RESID","",IF(AA$7=2005+OFFSET(COM_2012!$B$60,$AW128,SUMIF($B$10:$B$16,"NCAP_TLIFE",$AX$10:$AX$16)),0,""))</f>
        <v/>
      </c>
      <c r="AB128" s="369" t="str">
        <f ca="1">IF($B128&lt;&gt;"PRC_RESID","",IF(AB$7=2005+OFFSET(COM_2012!$B$60,$AW128,SUMIF($B$10:$B$16,"NCAP_TLIFE",$AX$10:$AX$16)),0,""))</f>
        <v/>
      </c>
      <c r="AC128" s="369" t="str">
        <f ca="1">IF($B128&lt;&gt;"PRC_RESID","",IF(AC$7=2005+OFFSET(COM_2012!$B$60,$AW128,SUMIF($B$10:$B$16,"NCAP_TLIFE",$AX$10:$AX$16)),0,""))</f>
        <v/>
      </c>
      <c r="AD128" s="369" t="str">
        <f ca="1">IF($B128&lt;&gt;"PRC_RESID","",IF(AD$7=2005+OFFSET(COM_2012!$B$60,$AW128,SUMIF($B$10:$B$16,"NCAP_TLIFE",$AX$10:$AX$16)),0,""))</f>
        <v/>
      </c>
      <c r="AE128" s="369" t="str">
        <f ca="1">IF($B128&lt;&gt;"PRC_RESID","",IF(AE$7=2005+OFFSET(COM_2012!$B$60,$AW128,SUMIF($B$10:$B$16,"NCAP_TLIFE",$AX$10:$AX$16)),0,""))</f>
        <v/>
      </c>
      <c r="AF128" s="369" t="str">
        <f ca="1">IF($B128&lt;&gt;"PRC_RESID","",IF(AF$7=2005+OFFSET(COM_2012!$B$60,$AW128,SUMIF($B$10:$B$16,"NCAP_TLIFE",$AX$10:$AX$16)),0,""))</f>
        <v/>
      </c>
      <c r="AG128" s="369" t="str">
        <f ca="1">IF($B128&lt;&gt;"PRC_RESID","",IF(AG$7=2005+OFFSET(COM_2012!$B$60,$AW128,SUMIF($B$10:$B$16,"NCAP_TLIFE",$AX$10:$AX$16)),0,""))</f>
        <v/>
      </c>
      <c r="AH128" s="369" t="str">
        <f ca="1">IF($B128&lt;&gt;"PRC_RESID","",IF(AH$7=2005+OFFSET(COM_2012!$B$60,$AW128,SUMIF($B$10:$B$16,"NCAP_TLIFE",$AX$10:$AX$16)),0,""))</f>
        <v/>
      </c>
      <c r="AI128" s="369" t="str">
        <f ca="1">IF($B128&lt;&gt;"PRC_RESID","",IF(AI$7=2005+OFFSET(COM_2012!$B$60,$AW128,SUMIF($B$10:$B$16,"NCAP_TLIFE",$AX$10:$AX$16)),0,""))</f>
        <v/>
      </c>
      <c r="AJ128" s="369" t="str">
        <f ca="1">IF($B128&lt;&gt;"PRC_RESID","",IF(AJ$7=2005+OFFSET(COM_2012!$B$60,$AW128,SUMIF($B$10:$B$16,"NCAP_TLIFE",$AX$10:$AX$16)),0,""))</f>
        <v/>
      </c>
      <c r="AK128" s="369" t="str">
        <f ca="1">IF($B128&lt;&gt;"PRC_RESID","",IF(AK$7=2005+OFFSET(COM_2012!$B$60,$AW128,SUMIF($B$10:$B$16,"NCAP_TLIFE",$AX$10:$AX$16)),0,""))</f>
        <v/>
      </c>
      <c r="AL128" s="369" t="str">
        <f ca="1">IF($B128&lt;&gt;"PRC_RESID","",IF(AL$7=2005+OFFSET(COM_2012!$B$60,$AW128,SUMIF($B$10:$B$16,"NCAP_TLIFE",$AX$10:$AX$16)),0,""))</f>
        <v/>
      </c>
      <c r="AM128" s="369" t="str">
        <f ca="1">IF($B128&lt;&gt;"PRC_RESID","",IF(AM$7=2005+OFFSET(COM_2012!$B$60,$AW128,SUMIF($B$10:$B$16,"NCAP_TLIFE",$AX$10:$AX$16)),0,""))</f>
        <v/>
      </c>
      <c r="AN128" s="369" t="str">
        <f ca="1">IF($B128&lt;&gt;"PRC_RESID","",IF(AN$7=2005+OFFSET(COM_2012!$B$60,$AW128,SUMIF($B$10:$B$16,"NCAP_TLIFE",$AX$10:$AX$16)),0,""))</f>
        <v/>
      </c>
      <c r="AO128" s="369" t="str">
        <f ca="1">IF($B128&lt;&gt;"PRC_RESID","",IF(AO$7=2005+OFFSET(COM_2012!$B$60,$AW128,SUMIF($B$10:$B$16,"NCAP_TLIFE",$AX$10:$AX$16)),0,""))</f>
        <v/>
      </c>
      <c r="AP128" s="369" t="str">
        <f ca="1">IF($B128&lt;&gt;"PRC_RESID","",IF(AP$7=2005+OFFSET(COM_2012!$B$60,$AW128,SUMIF($B$10:$B$16,"NCAP_TLIFE",$AX$10:$AX$16)),0,""))</f>
        <v/>
      </c>
      <c r="AQ128" s="369" t="str">
        <f ca="1">IF($B128&lt;&gt;"PRC_RESID","",IF(AQ$7=2005+OFFSET(COM_2012!$B$60,$AW128,SUMIF($B$10:$B$16,"NCAP_TLIFE",$AX$10:$AX$16)),0,""))</f>
        <v/>
      </c>
      <c r="AR128" s="369" t="str">
        <f ca="1">IF($B128&lt;&gt;"PRC_RESID","",IF(AR$7=2005+OFFSET(COM_2012!$B$60,$AW128,SUMIF($B$10:$B$16,"NCAP_TLIFE",$AX$10:$AX$16)),0,""))</f>
        <v/>
      </c>
      <c r="AS128" s="369" t="str">
        <f ca="1">IF($B128&lt;&gt;"PRC_RESID","",IF(AS$7=2005+OFFSET(COM_2012!$B$60,$AW128,SUMIF($B$10:$B$16,"NCAP_TLIFE",$AX$10:$AX$16)),0,""))</f>
        <v/>
      </c>
      <c r="AT128" s="369" t="str">
        <f ca="1">IF($B128&lt;&gt;"PRC_RESID","",IF(AT$7=2005+OFFSET(COM_2012!$B$60,$AW128,SUMIF($B$10:$B$16,"NCAP_TLIFE",$AX$10:$AX$16)),0,""))</f>
        <v/>
      </c>
      <c r="AU128" s="369" t="str">
        <f ca="1">IF($B128&lt;&gt;"PRC_RESID","",IF(AU$7=2005+OFFSET(COM_2012!$B$60,$AW128,SUMIF($B$10:$B$16,"NCAP_TLIFE",$AX$10:$AX$16)),0,""))</f>
        <v/>
      </c>
      <c r="AV128" s="304">
        <f>IF(AW127=COM_2012!$AI$121,AV127+1,AV127)</f>
        <v>2</v>
      </c>
      <c r="AW128" s="304">
        <f t="shared" si="12"/>
        <v>40</v>
      </c>
    </row>
    <row r="129" spans="1:49">
      <c r="A129" s="304" t="str">
        <f ca="1">IF(LEFT(OFFSET(COM_2012!$A$60,AW129,0),2)="\I","*","")</f>
        <v>*</v>
      </c>
      <c r="B129" s="369" t="str">
        <f t="shared" ca="1" si="10"/>
        <v/>
      </c>
      <c r="C129" s="369" t="str">
        <f ca="1">IF($A129="*","",OFFSET(COM_2012!$B$60,AW129,0))</f>
        <v/>
      </c>
      <c r="D129" s="369" t="str">
        <f t="shared" ca="1" si="13"/>
        <v/>
      </c>
      <c r="E129" s="369" t="str">
        <f t="shared" ca="1" si="13"/>
        <v/>
      </c>
      <c r="F129" s="369" t="str">
        <f t="shared" ca="1" si="13"/>
        <v/>
      </c>
      <c r="G129" s="369" t="str">
        <f t="shared" ca="1" si="13"/>
        <v/>
      </c>
      <c r="H129" s="369" t="str">
        <f t="shared" ca="1" si="13"/>
        <v/>
      </c>
      <c r="I129" s="370" t="str">
        <f t="shared" ca="1" si="13"/>
        <v/>
      </c>
      <c r="J129" s="391" t="str">
        <f ca="1">IF($A129="*","",OFFSET(COM_2012!$B$60,AW129,SUMIF($B$10:$B$16,B129,$AX$10:$AX$16)))</f>
        <v/>
      </c>
      <c r="K129" s="369" t="str">
        <f ca="1">IF($B129&lt;&gt;"PRC_RESID","",IF(K$7=2005+OFFSET(COM_2012!$B$60,$AW129,SUMIF($B$10:$B$16,"NCAP_TLIFE",$AX$10:$AX$16)),0,""))</f>
        <v/>
      </c>
      <c r="L129" s="369" t="str">
        <f ca="1">IF($B129&lt;&gt;"PRC_RESID","",IF(L$7=2005+OFFSET(COM_2012!$B$60,$AW129,SUMIF($B$10:$B$16,"NCAP_TLIFE",$AX$10:$AX$16)),0,""))</f>
        <v/>
      </c>
      <c r="M129" s="369" t="str">
        <f ca="1">IF($B129&lt;&gt;"PRC_RESID","",IF(M$7=2005+OFFSET(COM_2012!$B$60,$AW129,SUMIF($B$10:$B$16,"NCAP_TLIFE",$AX$10:$AX$16)),0,""))</f>
        <v/>
      </c>
      <c r="N129" s="369" t="str">
        <f ca="1">IF($B129&lt;&gt;"PRC_RESID","",IF(N$7=2005+OFFSET(COM_2012!$B$60,$AW129,SUMIF($B$10:$B$16,"NCAP_TLIFE",$AX$10:$AX$16)),0,""))</f>
        <v/>
      </c>
      <c r="O129" s="658" t="str">
        <f ca="1">IF($B129&lt;&gt;"PRC_RESID","",IF(O$7=2005+OFFSET(COM_2012!$B$60,$AW129,SUMIF($B$10:$B$16,"NCAP_TLIFE",$AX$10:$AX$16)),0,""))</f>
        <v/>
      </c>
      <c r="P129" s="369" t="str">
        <f ca="1">IF($B129&lt;&gt;"PRC_RESID","",IF(P$7=2005+OFFSET(COM_2012!$B$60,$AW129,SUMIF($B$10:$B$16,"NCAP_TLIFE",$AX$10:$AX$16)),0,""))</f>
        <v/>
      </c>
      <c r="Q129" s="369" t="str">
        <f ca="1">IF($B129&lt;&gt;"PRC_RESID","",IF(Q$7=2005+OFFSET(COM_2012!$B$60,$AW129,SUMIF($B$10:$B$16,"NCAP_TLIFE",$AX$10:$AX$16)),0,""))</f>
        <v/>
      </c>
      <c r="R129" s="369" t="str">
        <f ca="1">IF($B129&lt;&gt;"PRC_RESID","",IF(R$7=2005+OFFSET(COM_2012!$B$60,$AW129,SUMIF($B$10:$B$16,"NCAP_TLIFE",$AX$10:$AX$16)),0,""))</f>
        <v/>
      </c>
      <c r="S129" s="369" t="str">
        <f ca="1">IF($B129&lt;&gt;"PRC_RESID","",IF(S$7=2005+OFFSET(COM_2012!$B$60,$AW129,SUMIF($B$10:$B$16,"NCAP_TLIFE",$AX$10:$AX$16)),0,""))</f>
        <v/>
      </c>
      <c r="T129" s="369" t="str">
        <f ca="1">IF($B129&lt;&gt;"PRC_RESID","",IF(T$7=2005+OFFSET(COM_2012!$B$60,$AW129,SUMIF($B$10:$B$16,"NCAP_TLIFE",$AX$10:$AX$16)),0,""))</f>
        <v/>
      </c>
      <c r="U129" s="369" t="str">
        <f ca="1">IF($B129&lt;&gt;"PRC_RESID","",IF(U$7=2005+OFFSET(COM_2012!$B$60,$AW129,SUMIF($B$10:$B$16,"NCAP_TLIFE",$AX$10:$AX$16)),0,""))</f>
        <v/>
      </c>
      <c r="V129" s="369" t="str">
        <f ca="1">IF($B129&lt;&gt;"PRC_RESID","",IF(V$7=2005+OFFSET(COM_2012!$B$60,$AW129,SUMIF($B$10:$B$16,"NCAP_TLIFE",$AX$10:$AX$16)),0,""))</f>
        <v/>
      </c>
      <c r="W129" s="369" t="str">
        <f ca="1">IF($B129&lt;&gt;"PRC_RESID","",IF(W$7=2005+OFFSET(COM_2012!$B$60,$AW129,SUMIF($B$10:$B$16,"NCAP_TLIFE",$AX$10:$AX$16)),0,""))</f>
        <v/>
      </c>
      <c r="X129" s="369" t="str">
        <f ca="1">IF($B129&lt;&gt;"PRC_RESID","",IF(X$7=2005+OFFSET(COM_2012!$B$60,$AW129,SUMIF($B$10:$B$16,"NCAP_TLIFE",$AX$10:$AX$16)),0,""))</f>
        <v/>
      </c>
      <c r="Y129" s="369" t="str">
        <f ca="1">IF($B129&lt;&gt;"PRC_RESID","",IF(Y$7=2005+OFFSET(COM_2012!$B$60,$AW129,SUMIF($B$10:$B$16,"NCAP_TLIFE",$AX$10:$AX$16)),0,""))</f>
        <v/>
      </c>
      <c r="Z129" s="369" t="str">
        <f ca="1">IF($B129&lt;&gt;"PRC_RESID","",IF(Z$7=2005+OFFSET(COM_2012!$B$60,$AW129,SUMIF($B$10:$B$16,"NCAP_TLIFE",$AX$10:$AX$16)),0,""))</f>
        <v/>
      </c>
      <c r="AA129" s="369" t="str">
        <f ca="1">IF($B129&lt;&gt;"PRC_RESID","",IF(AA$7=2005+OFFSET(COM_2012!$B$60,$AW129,SUMIF($B$10:$B$16,"NCAP_TLIFE",$AX$10:$AX$16)),0,""))</f>
        <v/>
      </c>
      <c r="AB129" s="369" t="str">
        <f ca="1">IF($B129&lt;&gt;"PRC_RESID","",IF(AB$7=2005+OFFSET(COM_2012!$B$60,$AW129,SUMIF($B$10:$B$16,"NCAP_TLIFE",$AX$10:$AX$16)),0,""))</f>
        <v/>
      </c>
      <c r="AC129" s="369" t="str">
        <f ca="1">IF($B129&lt;&gt;"PRC_RESID","",IF(AC$7=2005+OFFSET(COM_2012!$B$60,$AW129,SUMIF($B$10:$B$16,"NCAP_TLIFE",$AX$10:$AX$16)),0,""))</f>
        <v/>
      </c>
      <c r="AD129" s="369" t="str">
        <f ca="1">IF($B129&lt;&gt;"PRC_RESID","",IF(AD$7=2005+OFFSET(COM_2012!$B$60,$AW129,SUMIF($B$10:$B$16,"NCAP_TLIFE",$AX$10:$AX$16)),0,""))</f>
        <v/>
      </c>
      <c r="AE129" s="369" t="str">
        <f ca="1">IF($B129&lt;&gt;"PRC_RESID","",IF(AE$7=2005+OFFSET(COM_2012!$B$60,$AW129,SUMIF($B$10:$B$16,"NCAP_TLIFE",$AX$10:$AX$16)),0,""))</f>
        <v/>
      </c>
      <c r="AF129" s="369" t="str">
        <f ca="1">IF($B129&lt;&gt;"PRC_RESID","",IF(AF$7=2005+OFFSET(COM_2012!$B$60,$AW129,SUMIF($B$10:$B$16,"NCAP_TLIFE",$AX$10:$AX$16)),0,""))</f>
        <v/>
      </c>
      <c r="AG129" s="369" t="str">
        <f ca="1">IF($B129&lt;&gt;"PRC_RESID","",IF(AG$7=2005+OFFSET(COM_2012!$B$60,$AW129,SUMIF($B$10:$B$16,"NCAP_TLIFE",$AX$10:$AX$16)),0,""))</f>
        <v/>
      </c>
      <c r="AH129" s="369" t="str">
        <f ca="1">IF($B129&lt;&gt;"PRC_RESID","",IF(AH$7=2005+OFFSET(COM_2012!$B$60,$AW129,SUMIF($B$10:$B$16,"NCAP_TLIFE",$AX$10:$AX$16)),0,""))</f>
        <v/>
      </c>
      <c r="AI129" s="369" t="str">
        <f ca="1">IF($B129&lt;&gt;"PRC_RESID","",IF(AI$7=2005+OFFSET(COM_2012!$B$60,$AW129,SUMIF($B$10:$B$16,"NCAP_TLIFE",$AX$10:$AX$16)),0,""))</f>
        <v/>
      </c>
      <c r="AJ129" s="369" t="str">
        <f ca="1">IF($B129&lt;&gt;"PRC_RESID","",IF(AJ$7=2005+OFFSET(COM_2012!$B$60,$AW129,SUMIF($B$10:$B$16,"NCAP_TLIFE",$AX$10:$AX$16)),0,""))</f>
        <v/>
      </c>
      <c r="AK129" s="369" t="str">
        <f ca="1">IF($B129&lt;&gt;"PRC_RESID","",IF(AK$7=2005+OFFSET(COM_2012!$B$60,$AW129,SUMIF($B$10:$B$16,"NCAP_TLIFE",$AX$10:$AX$16)),0,""))</f>
        <v/>
      </c>
      <c r="AL129" s="369" t="str">
        <f ca="1">IF($B129&lt;&gt;"PRC_RESID","",IF(AL$7=2005+OFFSET(COM_2012!$B$60,$AW129,SUMIF($B$10:$B$16,"NCAP_TLIFE",$AX$10:$AX$16)),0,""))</f>
        <v/>
      </c>
      <c r="AM129" s="369" t="str">
        <f ca="1">IF($B129&lt;&gt;"PRC_RESID","",IF(AM$7=2005+OFFSET(COM_2012!$B$60,$AW129,SUMIF($B$10:$B$16,"NCAP_TLIFE",$AX$10:$AX$16)),0,""))</f>
        <v/>
      </c>
      <c r="AN129" s="369" t="str">
        <f ca="1">IF($B129&lt;&gt;"PRC_RESID","",IF(AN$7=2005+OFFSET(COM_2012!$B$60,$AW129,SUMIF($B$10:$B$16,"NCAP_TLIFE",$AX$10:$AX$16)),0,""))</f>
        <v/>
      </c>
      <c r="AO129" s="369" t="str">
        <f ca="1">IF($B129&lt;&gt;"PRC_RESID","",IF(AO$7=2005+OFFSET(COM_2012!$B$60,$AW129,SUMIF($B$10:$B$16,"NCAP_TLIFE",$AX$10:$AX$16)),0,""))</f>
        <v/>
      </c>
      <c r="AP129" s="369" t="str">
        <f ca="1">IF($B129&lt;&gt;"PRC_RESID","",IF(AP$7=2005+OFFSET(COM_2012!$B$60,$AW129,SUMIF($B$10:$B$16,"NCAP_TLIFE",$AX$10:$AX$16)),0,""))</f>
        <v/>
      </c>
      <c r="AQ129" s="369" t="str">
        <f ca="1">IF($B129&lt;&gt;"PRC_RESID","",IF(AQ$7=2005+OFFSET(COM_2012!$B$60,$AW129,SUMIF($B$10:$B$16,"NCAP_TLIFE",$AX$10:$AX$16)),0,""))</f>
        <v/>
      </c>
      <c r="AR129" s="369" t="str">
        <f ca="1">IF($B129&lt;&gt;"PRC_RESID","",IF(AR$7=2005+OFFSET(COM_2012!$B$60,$AW129,SUMIF($B$10:$B$16,"NCAP_TLIFE",$AX$10:$AX$16)),0,""))</f>
        <v/>
      </c>
      <c r="AS129" s="369" t="str">
        <f ca="1">IF($B129&lt;&gt;"PRC_RESID","",IF(AS$7=2005+OFFSET(COM_2012!$B$60,$AW129,SUMIF($B$10:$B$16,"NCAP_TLIFE",$AX$10:$AX$16)),0,""))</f>
        <v/>
      </c>
      <c r="AT129" s="369" t="str">
        <f ca="1">IF($B129&lt;&gt;"PRC_RESID","",IF(AT$7=2005+OFFSET(COM_2012!$B$60,$AW129,SUMIF($B$10:$B$16,"NCAP_TLIFE",$AX$10:$AX$16)),0,""))</f>
        <v/>
      </c>
      <c r="AU129" s="369" t="str">
        <f ca="1">IF($B129&lt;&gt;"PRC_RESID","",IF(AU$7=2005+OFFSET(COM_2012!$B$60,$AW129,SUMIF($B$10:$B$16,"NCAP_TLIFE",$AX$10:$AX$16)),0,""))</f>
        <v/>
      </c>
      <c r="AV129" s="304">
        <f>IF(AW128=COM_2012!$AI$121,AV128+1,AV128)</f>
        <v>2</v>
      </c>
      <c r="AW129" s="304">
        <f t="shared" si="12"/>
        <v>41</v>
      </c>
    </row>
    <row r="130" spans="1:49">
      <c r="A130" s="304" t="str">
        <f ca="1">IF(LEFT(OFFSET(COM_2012!$A$60,AW130,0),2)="\I","*","")</f>
        <v/>
      </c>
      <c r="B130" s="369" t="str">
        <f t="shared" ca="1" si="10"/>
        <v>NCAP_BND</v>
      </c>
      <c r="C130" s="369" t="str">
        <f ca="1">IF($A130="*","",OFFSET(COM_2012!$B$60,AW130,0))</f>
        <v>CEGELCINC-E</v>
      </c>
      <c r="D130" s="369" t="str">
        <f t="shared" ref="D130:I145" ca="1" si="14">IF($A130="*","",VLOOKUP($B130,$B$10:$I$16,D$9,FALSE))</f>
        <v>-</v>
      </c>
      <c r="E130" s="369" t="str">
        <f t="shared" ca="1" si="14"/>
        <v>-</v>
      </c>
      <c r="F130" s="369" t="str">
        <f t="shared" ca="1" si="14"/>
        <v>-</v>
      </c>
      <c r="G130" s="369" t="str">
        <f t="shared" ca="1" si="14"/>
        <v>-</v>
      </c>
      <c r="H130" s="369" t="str">
        <f t="shared" ca="1" si="14"/>
        <v>UP</v>
      </c>
      <c r="I130" s="370">
        <f t="shared" ca="1" si="14"/>
        <v>0</v>
      </c>
      <c r="J130" s="391">
        <f ca="1">IF($A130="*","",OFFSET(COM_2012!$B$60,AW130,SUMIF($B$10:$B$16,B130,$AX$10:$AX$16)))</f>
        <v>0</v>
      </c>
      <c r="K130" s="369" t="str">
        <f ca="1">IF($B130&lt;&gt;"PRC_RESID","",IF(K$7=2005+OFFSET(COM_2012!$B$60,$AW130,SUMIF($B$10:$B$16,"NCAP_TLIFE",$AX$10:$AX$16)),0,""))</f>
        <v/>
      </c>
      <c r="L130" s="369" t="str">
        <f ca="1">IF($B130&lt;&gt;"PRC_RESID","",IF(L$7=2005+OFFSET(COM_2012!$B$60,$AW130,SUMIF($B$10:$B$16,"NCAP_TLIFE",$AX$10:$AX$16)),0,""))</f>
        <v/>
      </c>
      <c r="M130" s="369" t="str">
        <f ca="1">IF($B130&lt;&gt;"PRC_RESID","",IF(M$7=2005+OFFSET(COM_2012!$B$60,$AW130,SUMIF($B$10:$B$16,"NCAP_TLIFE",$AX$10:$AX$16)),0,""))</f>
        <v/>
      </c>
      <c r="N130" s="369" t="str">
        <f ca="1">IF($B130&lt;&gt;"PRC_RESID","",IF(N$7=2005+OFFSET(COM_2012!$B$60,$AW130,SUMIF($B$10:$B$16,"NCAP_TLIFE",$AX$10:$AX$16)),0,""))</f>
        <v/>
      </c>
      <c r="O130" s="658" t="str">
        <f ca="1">IF($B130&lt;&gt;"PRC_RESID","",IF(O$7=2005+OFFSET(COM_2012!$B$60,$AW130,SUMIF($B$10:$B$16,"NCAP_TLIFE",$AX$10:$AX$16)),0,""))</f>
        <v/>
      </c>
      <c r="P130" s="369" t="str">
        <f ca="1">IF($B130&lt;&gt;"PRC_RESID","",IF(P$7=2005+OFFSET(COM_2012!$B$60,$AW130,SUMIF($B$10:$B$16,"NCAP_TLIFE",$AX$10:$AX$16)),0,""))</f>
        <v/>
      </c>
      <c r="Q130" s="369" t="str">
        <f ca="1">IF($B130&lt;&gt;"PRC_RESID","",IF(Q$7=2005+OFFSET(COM_2012!$B$60,$AW130,SUMIF($B$10:$B$16,"NCAP_TLIFE",$AX$10:$AX$16)),0,""))</f>
        <v/>
      </c>
      <c r="R130" s="369" t="str">
        <f ca="1">IF($B130&lt;&gt;"PRC_RESID","",IF(R$7=2005+OFFSET(COM_2012!$B$60,$AW130,SUMIF($B$10:$B$16,"NCAP_TLIFE",$AX$10:$AX$16)),0,""))</f>
        <v/>
      </c>
      <c r="S130" s="369" t="str">
        <f ca="1">IF($B130&lt;&gt;"PRC_RESID","",IF(S$7=2005+OFFSET(COM_2012!$B$60,$AW130,SUMIF($B$10:$B$16,"NCAP_TLIFE",$AX$10:$AX$16)),0,""))</f>
        <v/>
      </c>
      <c r="T130" s="369" t="str">
        <f ca="1">IF($B130&lt;&gt;"PRC_RESID","",IF(T$7=2005+OFFSET(COM_2012!$B$60,$AW130,SUMIF($B$10:$B$16,"NCAP_TLIFE",$AX$10:$AX$16)),0,""))</f>
        <v/>
      </c>
      <c r="U130" s="369" t="str">
        <f ca="1">IF($B130&lt;&gt;"PRC_RESID","",IF(U$7=2005+OFFSET(COM_2012!$B$60,$AW130,SUMIF($B$10:$B$16,"NCAP_TLIFE",$AX$10:$AX$16)),0,""))</f>
        <v/>
      </c>
      <c r="V130" s="369" t="str">
        <f ca="1">IF($B130&lt;&gt;"PRC_RESID","",IF(V$7=2005+OFFSET(COM_2012!$B$60,$AW130,SUMIF($B$10:$B$16,"NCAP_TLIFE",$AX$10:$AX$16)),0,""))</f>
        <v/>
      </c>
      <c r="W130" s="369" t="str">
        <f ca="1">IF($B130&lt;&gt;"PRC_RESID","",IF(W$7=2005+OFFSET(COM_2012!$B$60,$AW130,SUMIF($B$10:$B$16,"NCAP_TLIFE",$AX$10:$AX$16)),0,""))</f>
        <v/>
      </c>
      <c r="X130" s="369" t="str">
        <f ca="1">IF($B130&lt;&gt;"PRC_RESID","",IF(X$7=2005+OFFSET(COM_2012!$B$60,$AW130,SUMIF($B$10:$B$16,"NCAP_TLIFE",$AX$10:$AX$16)),0,""))</f>
        <v/>
      </c>
      <c r="Y130" s="369" t="str">
        <f ca="1">IF($B130&lt;&gt;"PRC_RESID","",IF(Y$7=2005+OFFSET(COM_2012!$B$60,$AW130,SUMIF($B$10:$B$16,"NCAP_TLIFE",$AX$10:$AX$16)),0,""))</f>
        <v/>
      </c>
      <c r="Z130" s="369" t="str">
        <f ca="1">IF($B130&lt;&gt;"PRC_RESID","",IF(Z$7=2005+OFFSET(COM_2012!$B$60,$AW130,SUMIF($B$10:$B$16,"NCAP_TLIFE",$AX$10:$AX$16)),0,""))</f>
        <v/>
      </c>
      <c r="AA130" s="369" t="str">
        <f ca="1">IF($B130&lt;&gt;"PRC_RESID","",IF(AA$7=2005+OFFSET(COM_2012!$B$60,$AW130,SUMIF($B$10:$B$16,"NCAP_TLIFE",$AX$10:$AX$16)),0,""))</f>
        <v/>
      </c>
      <c r="AB130" s="369" t="str">
        <f ca="1">IF($B130&lt;&gt;"PRC_RESID","",IF(AB$7=2005+OFFSET(COM_2012!$B$60,$AW130,SUMIF($B$10:$B$16,"NCAP_TLIFE",$AX$10:$AX$16)),0,""))</f>
        <v/>
      </c>
      <c r="AC130" s="369" t="str">
        <f ca="1">IF($B130&lt;&gt;"PRC_RESID","",IF(AC$7=2005+OFFSET(COM_2012!$B$60,$AW130,SUMIF($B$10:$B$16,"NCAP_TLIFE",$AX$10:$AX$16)),0,""))</f>
        <v/>
      </c>
      <c r="AD130" s="369" t="str">
        <f ca="1">IF($B130&lt;&gt;"PRC_RESID","",IF(AD$7=2005+OFFSET(COM_2012!$B$60,$AW130,SUMIF($B$10:$B$16,"NCAP_TLIFE",$AX$10:$AX$16)),0,""))</f>
        <v/>
      </c>
      <c r="AE130" s="369" t="str">
        <f ca="1">IF($B130&lt;&gt;"PRC_RESID","",IF(AE$7=2005+OFFSET(COM_2012!$B$60,$AW130,SUMIF($B$10:$B$16,"NCAP_TLIFE",$AX$10:$AX$16)),0,""))</f>
        <v/>
      </c>
      <c r="AF130" s="369" t="str">
        <f ca="1">IF($B130&lt;&gt;"PRC_RESID","",IF(AF$7=2005+OFFSET(COM_2012!$B$60,$AW130,SUMIF($B$10:$B$16,"NCAP_TLIFE",$AX$10:$AX$16)),0,""))</f>
        <v/>
      </c>
      <c r="AG130" s="369" t="str">
        <f ca="1">IF($B130&lt;&gt;"PRC_RESID","",IF(AG$7=2005+OFFSET(COM_2012!$B$60,$AW130,SUMIF($B$10:$B$16,"NCAP_TLIFE",$AX$10:$AX$16)),0,""))</f>
        <v/>
      </c>
      <c r="AH130" s="369" t="str">
        <f ca="1">IF($B130&lt;&gt;"PRC_RESID","",IF(AH$7=2005+OFFSET(COM_2012!$B$60,$AW130,SUMIF($B$10:$B$16,"NCAP_TLIFE",$AX$10:$AX$16)),0,""))</f>
        <v/>
      </c>
      <c r="AI130" s="369" t="str">
        <f ca="1">IF($B130&lt;&gt;"PRC_RESID","",IF(AI$7=2005+OFFSET(COM_2012!$B$60,$AW130,SUMIF($B$10:$B$16,"NCAP_TLIFE",$AX$10:$AX$16)),0,""))</f>
        <v/>
      </c>
      <c r="AJ130" s="369" t="str">
        <f ca="1">IF($B130&lt;&gt;"PRC_RESID","",IF(AJ$7=2005+OFFSET(COM_2012!$B$60,$AW130,SUMIF($B$10:$B$16,"NCAP_TLIFE",$AX$10:$AX$16)),0,""))</f>
        <v/>
      </c>
      <c r="AK130" s="369" t="str">
        <f ca="1">IF($B130&lt;&gt;"PRC_RESID","",IF(AK$7=2005+OFFSET(COM_2012!$B$60,$AW130,SUMIF($B$10:$B$16,"NCAP_TLIFE",$AX$10:$AX$16)),0,""))</f>
        <v/>
      </c>
      <c r="AL130" s="369" t="str">
        <f ca="1">IF($B130&lt;&gt;"PRC_RESID","",IF(AL$7=2005+OFFSET(COM_2012!$B$60,$AW130,SUMIF($B$10:$B$16,"NCAP_TLIFE",$AX$10:$AX$16)),0,""))</f>
        <v/>
      </c>
      <c r="AM130" s="369" t="str">
        <f ca="1">IF($B130&lt;&gt;"PRC_RESID","",IF(AM$7=2005+OFFSET(COM_2012!$B$60,$AW130,SUMIF($B$10:$B$16,"NCAP_TLIFE",$AX$10:$AX$16)),0,""))</f>
        <v/>
      </c>
      <c r="AN130" s="369" t="str">
        <f ca="1">IF($B130&lt;&gt;"PRC_RESID","",IF(AN$7=2005+OFFSET(COM_2012!$B$60,$AW130,SUMIF($B$10:$B$16,"NCAP_TLIFE",$AX$10:$AX$16)),0,""))</f>
        <v/>
      </c>
      <c r="AO130" s="369" t="str">
        <f ca="1">IF($B130&lt;&gt;"PRC_RESID","",IF(AO$7=2005+OFFSET(COM_2012!$B$60,$AW130,SUMIF($B$10:$B$16,"NCAP_TLIFE",$AX$10:$AX$16)),0,""))</f>
        <v/>
      </c>
      <c r="AP130" s="369" t="str">
        <f ca="1">IF($B130&lt;&gt;"PRC_RESID","",IF(AP$7=2005+OFFSET(COM_2012!$B$60,$AW130,SUMIF($B$10:$B$16,"NCAP_TLIFE",$AX$10:$AX$16)),0,""))</f>
        <v/>
      </c>
      <c r="AQ130" s="369" t="str">
        <f ca="1">IF($B130&lt;&gt;"PRC_RESID","",IF(AQ$7=2005+OFFSET(COM_2012!$B$60,$AW130,SUMIF($B$10:$B$16,"NCAP_TLIFE",$AX$10:$AX$16)),0,""))</f>
        <v/>
      </c>
      <c r="AR130" s="369" t="str">
        <f ca="1">IF($B130&lt;&gt;"PRC_RESID","",IF(AR$7=2005+OFFSET(COM_2012!$B$60,$AW130,SUMIF($B$10:$B$16,"NCAP_TLIFE",$AX$10:$AX$16)),0,""))</f>
        <v/>
      </c>
      <c r="AS130" s="369" t="str">
        <f ca="1">IF($B130&lt;&gt;"PRC_RESID","",IF(AS$7=2005+OFFSET(COM_2012!$B$60,$AW130,SUMIF($B$10:$B$16,"NCAP_TLIFE",$AX$10:$AX$16)),0,""))</f>
        <v/>
      </c>
      <c r="AT130" s="369" t="str">
        <f ca="1">IF($B130&lt;&gt;"PRC_RESID","",IF(AT$7=2005+OFFSET(COM_2012!$B$60,$AW130,SUMIF($B$10:$B$16,"NCAP_TLIFE",$AX$10:$AX$16)),0,""))</f>
        <v/>
      </c>
      <c r="AU130" s="369" t="str">
        <f ca="1">IF($B130&lt;&gt;"PRC_RESID","",IF(AU$7=2005+OFFSET(COM_2012!$B$60,$AW130,SUMIF($B$10:$B$16,"NCAP_TLIFE",$AX$10:$AX$16)),0,""))</f>
        <v/>
      </c>
      <c r="AV130" s="304">
        <f>IF(AW129=COM_2012!$AI$121,AV129+1,AV129)</f>
        <v>2</v>
      </c>
      <c r="AW130" s="304">
        <f t="shared" si="12"/>
        <v>42</v>
      </c>
    </row>
    <row r="131" spans="1:49">
      <c r="A131" s="304" t="str">
        <f ca="1">IF(LEFT(OFFSET(COM_2012!$A$60,AW131,0),2)="\I","*","")</f>
        <v/>
      </c>
      <c r="B131" s="369" t="str">
        <f t="shared" ca="1" si="10"/>
        <v>NCAP_BND</v>
      </c>
      <c r="C131" s="369" t="str">
        <f ca="1">IF($A131="*","",OFFSET(COM_2012!$B$60,AW131,0))</f>
        <v>CEGELCHAL-E</v>
      </c>
      <c r="D131" s="369" t="str">
        <f t="shared" ca="1" si="14"/>
        <v>-</v>
      </c>
      <c r="E131" s="369" t="str">
        <f t="shared" ca="1" si="14"/>
        <v>-</v>
      </c>
      <c r="F131" s="369" t="str">
        <f t="shared" ca="1" si="14"/>
        <v>-</v>
      </c>
      <c r="G131" s="369" t="str">
        <f t="shared" ca="1" si="14"/>
        <v>-</v>
      </c>
      <c r="H131" s="369" t="str">
        <f t="shared" ca="1" si="14"/>
        <v>UP</v>
      </c>
      <c r="I131" s="370">
        <f t="shared" ca="1" si="14"/>
        <v>0</v>
      </c>
      <c r="J131" s="391">
        <f ca="1">IF($A131="*","",OFFSET(COM_2012!$B$60,AW131,SUMIF($B$10:$B$16,B131,$AX$10:$AX$16)))</f>
        <v>0</v>
      </c>
      <c r="K131" s="369" t="str">
        <f ca="1">IF($B131&lt;&gt;"PRC_RESID","",IF(K$7=2005+OFFSET(COM_2012!$B$60,$AW131,SUMIF($B$10:$B$16,"NCAP_TLIFE",$AX$10:$AX$16)),0,""))</f>
        <v/>
      </c>
      <c r="L131" s="369" t="str">
        <f ca="1">IF($B131&lt;&gt;"PRC_RESID","",IF(L$7=2005+OFFSET(COM_2012!$B$60,$AW131,SUMIF($B$10:$B$16,"NCAP_TLIFE",$AX$10:$AX$16)),0,""))</f>
        <v/>
      </c>
      <c r="M131" s="369" t="str">
        <f ca="1">IF($B131&lt;&gt;"PRC_RESID","",IF(M$7=2005+OFFSET(COM_2012!$B$60,$AW131,SUMIF($B$10:$B$16,"NCAP_TLIFE",$AX$10:$AX$16)),0,""))</f>
        <v/>
      </c>
      <c r="N131" s="369" t="str">
        <f ca="1">IF($B131&lt;&gt;"PRC_RESID","",IF(N$7=2005+OFFSET(COM_2012!$B$60,$AW131,SUMIF($B$10:$B$16,"NCAP_TLIFE",$AX$10:$AX$16)),0,""))</f>
        <v/>
      </c>
      <c r="O131" s="658" t="str">
        <f ca="1">IF($B131&lt;&gt;"PRC_RESID","",IF(O$7=2005+OFFSET(COM_2012!$B$60,$AW131,SUMIF($B$10:$B$16,"NCAP_TLIFE",$AX$10:$AX$16)),0,""))</f>
        <v/>
      </c>
      <c r="P131" s="369" t="str">
        <f ca="1">IF($B131&lt;&gt;"PRC_RESID","",IF(P$7=2005+OFFSET(COM_2012!$B$60,$AW131,SUMIF($B$10:$B$16,"NCAP_TLIFE",$AX$10:$AX$16)),0,""))</f>
        <v/>
      </c>
      <c r="Q131" s="369" t="str">
        <f ca="1">IF($B131&lt;&gt;"PRC_RESID","",IF(Q$7=2005+OFFSET(COM_2012!$B$60,$AW131,SUMIF($B$10:$B$16,"NCAP_TLIFE",$AX$10:$AX$16)),0,""))</f>
        <v/>
      </c>
      <c r="R131" s="369" t="str">
        <f ca="1">IF($B131&lt;&gt;"PRC_RESID","",IF(R$7=2005+OFFSET(COM_2012!$B$60,$AW131,SUMIF($B$10:$B$16,"NCAP_TLIFE",$AX$10:$AX$16)),0,""))</f>
        <v/>
      </c>
      <c r="S131" s="369" t="str">
        <f ca="1">IF($B131&lt;&gt;"PRC_RESID","",IF(S$7=2005+OFFSET(COM_2012!$B$60,$AW131,SUMIF($B$10:$B$16,"NCAP_TLIFE",$AX$10:$AX$16)),0,""))</f>
        <v/>
      </c>
      <c r="T131" s="369" t="str">
        <f ca="1">IF($B131&lt;&gt;"PRC_RESID","",IF(T$7=2005+OFFSET(COM_2012!$B$60,$AW131,SUMIF($B$10:$B$16,"NCAP_TLIFE",$AX$10:$AX$16)),0,""))</f>
        <v/>
      </c>
      <c r="U131" s="369" t="str">
        <f ca="1">IF($B131&lt;&gt;"PRC_RESID","",IF(U$7=2005+OFFSET(COM_2012!$B$60,$AW131,SUMIF($B$10:$B$16,"NCAP_TLIFE",$AX$10:$AX$16)),0,""))</f>
        <v/>
      </c>
      <c r="V131" s="369" t="str">
        <f ca="1">IF($B131&lt;&gt;"PRC_RESID","",IF(V$7=2005+OFFSET(COM_2012!$B$60,$AW131,SUMIF($B$10:$B$16,"NCAP_TLIFE",$AX$10:$AX$16)),0,""))</f>
        <v/>
      </c>
      <c r="W131" s="369" t="str">
        <f ca="1">IF($B131&lt;&gt;"PRC_RESID","",IF(W$7=2005+OFFSET(COM_2012!$B$60,$AW131,SUMIF($B$10:$B$16,"NCAP_TLIFE",$AX$10:$AX$16)),0,""))</f>
        <v/>
      </c>
      <c r="X131" s="369" t="str">
        <f ca="1">IF($B131&lt;&gt;"PRC_RESID","",IF(X$7=2005+OFFSET(COM_2012!$B$60,$AW131,SUMIF($B$10:$B$16,"NCAP_TLIFE",$AX$10:$AX$16)),0,""))</f>
        <v/>
      </c>
      <c r="Y131" s="369" t="str">
        <f ca="1">IF($B131&lt;&gt;"PRC_RESID","",IF(Y$7=2005+OFFSET(COM_2012!$B$60,$AW131,SUMIF($B$10:$B$16,"NCAP_TLIFE",$AX$10:$AX$16)),0,""))</f>
        <v/>
      </c>
      <c r="Z131" s="369" t="str">
        <f ca="1">IF($B131&lt;&gt;"PRC_RESID","",IF(Z$7=2005+OFFSET(COM_2012!$B$60,$AW131,SUMIF($B$10:$B$16,"NCAP_TLIFE",$AX$10:$AX$16)),0,""))</f>
        <v/>
      </c>
      <c r="AA131" s="369" t="str">
        <f ca="1">IF($B131&lt;&gt;"PRC_RESID","",IF(AA$7=2005+OFFSET(COM_2012!$B$60,$AW131,SUMIF($B$10:$B$16,"NCAP_TLIFE",$AX$10:$AX$16)),0,""))</f>
        <v/>
      </c>
      <c r="AB131" s="369" t="str">
        <f ca="1">IF($B131&lt;&gt;"PRC_RESID","",IF(AB$7=2005+OFFSET(COM_2012!$B$60,$AW131,SUMIF($B$10:$B$16,"NCAP_TLIFE",$AX$10:$AX$16)),0,""))</f>
        <v/>
      </c>
      <c r="AC131" s="369" t="str">
        <f ca="1">IF($B131&lt;&gt;"PRC_RESID","",IF(AC$7=2005+OFFSET(COM_2012!$B$60,$AW131,SUMIF($B$10:$B$16,"NCAP_TLIFE",$AX$10:$AX$16)),0,""))</f>
        <v/>
      </c>
      <c r="AD131" s="369" t="str">
        <f ca="1">IF($B131&lt;&gt;"PRC_RESID","",IF(AD$7=2005+OFFSET(COM_2012!$B$60,$AW131,SUMIF($B$10:$B$16,"NCAP_TLIFE",$AX$10:$AX$16)),0,""))</f>
        <v/>
      </c>
      <c r="AE131" s="369" t="str">
        <f ca="1">IF($B131&lt;&gt;"PRC_RESID","",IF(AE$7=2005+OFFSET(COM_2012!$B$60,$AW131,SUMIF($B$10:$B$16,"NCAP_TLIFE",$AX$10:$AX$16)),0,""))</f>
        <v/>
      </c>
      <c r="AF131" s="369" t="str">
        <f ca="1">IF($B131&lt;&gt;"PRC_RESID","",IF(AF$7=2005+OFFSET(COM_2012!$B$60,$AW131,SUMIF($B$10:$B$16,"NCAP_TLIFE",$AX$10:$AX$16)),0,""))</f>
        <v/>
      </c>
      <c r="AG131" s="369" t="str">
        <f ca="1">IF($B131&lt;&gt;"PRC_RESID","",IF(AG$7=2005+OFFSET(COM_2012!$B$60,$AW131,SUMIF($B$10:$B$16,"NCAP_TLIFE",$AX$10:$AX$16)),0,""))</f>
        <v/>
      </c>
      <c r="AH131" s="369" t="str">
        <f ca="1">IF($B131&lt;&gt;"PRC_RESID","",IF(AH$7=2005+OFFSET(COM_2012!$B$60,$AW131,SUMIF($B$10:$B$16,"NCAP_TLIFE",$AX$10:$AX$16)),0,""))</f>
        <v/>
      </c>
      <c r="AI131" s="369" t="str">
        <f ca="1">IF($B131&lt;&gt;"PRC_RESID","",IF(AI$7=2005+OFFSET(COM_2012!$B$60,$AW131,SUMIF($B$10:$B$16,"NCAP_TLIFE",$AX$10:$AX$16)),0,""))</f>
        <v/>
      </c>
      <c r="AJ131" s="369" t="str">
        <f ca="1">IF($B131&lt;&gt;"PRC_RESID","",IF(AJ$7=2005+OFFSET(COM_2012!$B$60,$AW131,SUMIF($B$10:$B$16,"NCAP_TLIFE",$AX$10:$AX$16)),0,""))</f>
        <v/>
      </c>
      <c r="AK131" s="369" t="str">
        <f ca="1">IF($B131&lt;&gt;"PRC_RESID","",IF(AK$7=2005+OFFSET(COM_2012!$B$60,$AW131,SUMIF($B$10:$B$16,"NCAP_TLIFE",$AX$10:$AX$16)),0,""))</f>
        <v/>
      </c>
      <c r="AL131" s="369" t="str">
        <f ca="1">IF($B131&lt;&gt;"PRC_RESID","",IF(AL$7=2005+OFFSET(COM_2012!$B$60,$AW131,SUMIF($B$10:$B$16,"NCAP_TLIFE",$AX$10:$AX$16)),0,""))</f>
        <v/>
      </c>
      <c r="AM131" s="369" t="str">
        <f ca="1">IF($B131&lt;&gt;"PRC_RESID","",IF(AM$7=2005+OFFSET(COM_2012!$B$60,$AW131,SUMIF($B$10:$B$16,"NCAP_TLIFE",$AX$10:$AX$16)),0,""))</f>
        <v/>
      </c>
      <c r="AN131" s="369" t="str">
        <f ca="1">IF($B131&lt;&gt;"PRC_RESID","",IF(AN$7=2005+OFFSET(COM_2012!$B$60,$AW131,SUMIF($B$10:$B$16,"NCAP_TLIFE",$AX$10:$AX$16)),0,""))</f>
        <v/>
      </c>
      <c r="AO131" s="369" t="str">
        <f ca="1">IF($B131&lt;&gt;"PRC_RESID","",IF(AO$7=2005+OFFSET(COM_2012!$B$60,$AW131,SUMIF($B$10:$B$16,"NCAP_TLIFE",$AX$10:$AX$16)),0,""))</f>
        <v/>
      </c>
      <c r="AP131" s="369" t="str">
        <f ca="1">IF($B131&lt;&gt;"PRC_RESID","",IF(AP$7=2005+OFFSET(COM_2012!$B$60,$AW131,SUMIF($B$10:$B$16,"NCAP_TLIFE",$AX$10:$AX$16)),0,""))</f>
        <v/>
      </c>
      <c r="AQ131" s="369" t="str">
        <f ca="1">IF($B131&lt;&gt;"PRC_RESID","",IF(AQ$7=2005+OFFSET(COM_2012!$B$60,$AW131,SUMIF($B$10:$B$16,"NCAP_TLIFE",$AX$10:$AX$16)),0,""))</f>
        <v/>
      </c>
      <c r="AR131" s="369" t="str">
        <f ca="1">IF($B131&lt;&gt;"PRC_RESID","",IF(AR$7=2005+OFFSET(COM_2012!$B$60,$AW131,SUMIF($B$10:$B$16,"NCAP_TLIFE",$AX$10:$AX$16)),0,""))</f>
        <v/>
      </c>
      <c r="AS131" s="369" t="str">
        <f ca="1">IF($B131&lt;&gt;"PRC_RESID","",IF(AS$7=2005+OFFSET(COM_2012!$B$60,$AW131,SUMIF($B$10:$B$16,"NCAP_TLIFE",$AX$10:$AX$16)),0,""))</f>
        <v/>
      </c>
      <c r="AT131" s="369" t="str">
        <f ca="1">IF($B131&lt;&gt;"PRC_RESID","",IF(AT$7=2005+OFFSET(COM_2012!$B$60,$AW131,SUMIF($B$10:$B$16,"NCAP_TLIFE",$AX$10:$AX$16)),0,""))</f>
        <v/>
      </c>
      <c r="AU131" s="369" t="str">
        <f ca="1">IF($B131&lt;&gt;"PRC_RESID","",IF(AU$7=2005+OFFSET(COM_2012!$B$60,$AW131,SUMIF($B$10:$B$16,"NCAP_TLIFE",$AX$10:$AX$16)),0,""))</f>
        <v/>
      </c>
      <c r="AV131" s="304">
        <f>IF(AW130=COM_2012!$AI$121,AV130+1,AV130)</f>
        <v>2</v>
      </c>
      <c r="AW131" s="304">
        <f t="shared" si="12"/>
        <v>43</v>
      </c>
    </row>
    <row r="132" spans="1:49">
      <c r="A132" s="304" t="str">
        <f ca="1">IF(LEFT(OFFSET(COM_2012!$A$60,AW132,0),2)="\I","*","")</f>
        <v/>
      </c>
      <c r="B132" s="369" t="str">
        <f t="shared" ca="1" si="10"/>
        <v>NCAP_BND</v>
      </c>
      <c r="C132" s="369" t="str">
        <f ca="1">IF($A132="*","",OFFSET(COM_2012!$B$60,AW132,0))</f>
        <v>CEGELCHPM-E</v>
      </c>
      <c r="D132" s="369" t="str">
        <f t="shared" ca="1" si="14"/>
        <v>-</v>
      </c>
      <c r="E132" s="369" t="str">
        <f t="shared" ca="1" si="14"/>
        <v>-</v>
      </c>
      <c r="F132" s="369" t="str">
        <f t="shared" ca="1" si="14"/>
        <v>-</v>
      </c>
      <c r="G132" s="369" t="str">
        <f t="shared" ca="1" si="14"/>
        <v>-</v>
      </c>
      <c r="H132" s="369" t="str">
        <f t="shared" ca="1" si="14"/>
        <v>UP</v>
      </c>
      <c r="I132" s="370">
        <f t="shared" ca="1" si="14"/>
        <v>0</v>
      </c>
      <c r="J132" s="391">
        <f ca="1">IF($A132="*","",OFFSET(COM_2012!$B$60,AW132,SUMIF($B$10:$B$16,B132,$AX$10:$AX$16)))</f>
        <v>0</v>
      </c>
      <c r="K132" s="369" t="str">
        <f ca="1">IF($B132&lt;&gt;"PRC_RESID","",IF(K$7=2005+OFFSET(COM_2012!$B$60,$AW132,SUMIF($B$10:$B$16,"NCAP_TLIFE",$AX$10:$AX$16)),0,""))</f>
        <v/>
      </c>
      <c r="L132" s="369" t="str">
        <f ca="1">IF($B132&lt;&gt;"PRC_RESID","",IF(L$7=2005+OFFSET(COM_2012!$B$60,$AW132,SUMIF($B$10:$B$16,"NCAP_TLIFE",$AX$10:$AX$16)),0,""))</f>
        <v/>
      </c>
      <c r="M132" s="369" t="str">
        <f ca="1">IF($B132&lt;&gt;"PRC_RESID","",IF(M$7=2005+OFFSET(COM_2012!$B$60,$AW132,SUMIF($B$10:$B$16,"NCAP_TLIFE",$AX$10:$AX$16)),0,""))</f>
        <v/>
      </c>
      <c r="N132" s="369" t="str">
        <f ca="1">IF($B132&lt;&gt;"PRC_RESID","",IF(N$7=2005+OFFSET(COM_2012!$B$60,$AW132,SUMIF($B$10:$B$16,"NCAP_TLIFE",$AX$10:$AX$16)),0,""))</f>
        <v/>
      </c>
      <c r="O132" s="658" t="str">
        <f ca="1">IF($B132&lt;&gt;"PRC_RESID","",IF(O$7=2005+OFFSET(COM_2012!$B$60,$AW132,SUMIF($B$10:$B$16,"NCAP_TLIFE",$AX$10:$AX$16)),0,""))</f>
        <v/>
      </c>
      <c r="P132" s="369" t="str">
        <f ca="1">IF($B132&lt;&gt;"PRC_RESID","",IF(P$7=2005+OFFSET(COM_2012!$B$60,$AW132,SUMIF($B$10:$B$16,"NCAP_TLIFE",$AX$10:$AX$16)),0,""))</f>
        <v/>
      </c>
      <c r="Q132" s="369" t="str">
        <f ca="1">IF($B132&lt;&gt;"PRC_RESID","",IF(Q$7=2005+OFFSET(COM_2012!$B$60,$AW132,SUMIF($B$10:$B$16,"NCAP_TLIFE",$AX$10:$AX$16)),0,""))</f>
        <v/>
      </c>
      <c r="R132" s="369" t="str">
        <f ca="1">IF($B132&lt;&gt;"PRC_RESID","",IF(R$7=2005+OFFSET(COM_2012!$B$60,$AW132,SUMIF($B$10:$B$16,"NCAP_TLIFE",$AX$10:$AX$16)),0,""))</f>
        <v/>
      </c>
      <c r="S132" s="369" t="str">
        <f ca="1">IF($B132&lt;&gt;"PRC_RESID","",IF(S$7=2005+OFFSET(COM_2012!$B$60,$AW132,SUMIF($B$10:$B$16,"NCAP_TLIFE",$AX$10:$AX$16)),0,""))</f>
        <v/>
      </c>
      <c r="T132" s="369" t="str">
        <f ca="1">IF($B132&lt;&gt;"PRC_RESID","",IF(T$7=2005+OFFSET(COM_2012!$B$60,$AW132,SUMIF($B$10:$B$16,"NCAP_TLIFE",$AX$10:$AX$16)),0,""))</f>
        <v/>
      </c>
      <c r="U132" s="369" t="str">
        <f ca="1">IF($B132&lt;&gt;"PRC_RESID","",IF(U$7=2005+OFFSET(COM_2012!$B$60,$AW132,SUMIF($B$10:$B$16,"NCAP_TLIFE",$AX$10:$AX$16)),0,""))</f>
        <v/>
      </c>
      <c r="V132" s="369" t="str">
        <f ca="1">IF($B132&lt;&gt;"PRC_RESID","",IF(V$7=2005+OFFSET(COM_2012!$B$60,$AW132,SUMIF($B$10:$B$16,"NCAP_TLIFE",$AX$10:$AX$16)),0,""))</f>
        <v/>
      </c>
      <c r="W132" s="369" t="str">
        <f ca="1">IF($B132&lt;&gt;"PRC_RESID","",IF(W$7=2005+OFFSET(COM_2012!$B$60,$AW132,SUMIF($B$10:$B$16,"NCAP_TLIFE",$AX$10:$AX$16)),0,""))</f>
        <v/>
      </c>
      <c r="X132" s="369" t="str">
        <f ca="1">IF($B132&lt;&gt;"PRC_RESID","",IF(X$7=2005+OFFSET(COM_2012!$B$60,$AW132,SUMIF($B$10:$B$16,"NCAP_TLIFE",$AX$10:$AX$16)),0,""))</f>
        <v/>
      </c>
      <c r="Y132" s="369" t="str">
        <f ca="1">IF($B132&lt;&gt;"PRC_RESID","",IF(Y$7=2005+OFFSET(COM_2012!$B$60,$AW132,SUMIF($B$10:$B$16,"NCAP_TLIFE",$AX$10:$AX$16)),0,""))</f>
        <v/>
      </c>
      <c r="Z132" s="369" t="str">
        <f ca="1">IF($B132&lt;&gt;"PRC_RESID","",IF(Z$7=2005+OFFSET(COM_2012!$B$60,$AW132,SUMIF($B$10:$B$16,"NCAP_TLIFE",$AX$10:$AX$16)),0,""))</f>
        <v/>
      </c>
      <c r="AA132" s="369" t="str">
        <f ca="1">IF($B132&lt;&gt;"PRC_RESID","",IF(AA$7=2005+OFFSET(COM_2012!$B$60,$AW132,SUMIF($B$10:$B$16,"NCAP_TLIFE",$AX$10:$AX$16)),0,""))</f>
        <v/>
      </c>
      <c r="AB132" s="369" t="str">
        <f ca="1">IF($B132&lt;&gt;"PRC_RESID","",IF(AB$7=2005+OFFSET(COM_2012!$B$60,$AW132,SUMIF($B$10:$B$16,"NCAP_TLIFE",$AX$10:$AX$16)),0,""))</f>
        <v/>
      </c>
      <c r="AC132" s="369" t="str">
        <f ca="1">IF($B132&lt;&gt;"PRC_RESID","",IF(AC$7=2005+OFFSET(COM_2012!$B$60,$AW132,SUMIF($B$10:$B$16,"NCAP_TLIFE",$AX$10:$AX$16)),0,""))</f>
        <v/>
      </c>
      <c r="AD132" s="369" t="str">
        <f ca="1">IF($B132&lt;&gt;"PRC_RESID","",IF(AD$7=2005+OFFSET(COM_2012!$B$60,$AW132,SUMIF($B$10:$B$16,"NCAP_TLIFE",$AX$10:$AX$16)),0,""))</f>
        <v/>
      </c>
      <c r="AE132" s="369" t="str">
        <f ca="1">IF($B132&lt;&gt;"PRC_RESID","",IF(AE$7=2005+OFFSET(COM_2012!$B$60,$AW132,SUMIF($B$10:$B$16,"NCAP_TLIFE",$AX$10:$AX$16)),0,""))</f>
        <v/>
      </c>
      <c r="AF132" s="369" t="str">
        <f ca="1">IF($B132&lt;&gt;"PRC_RESID","",IF(AF$7=2005+OFFSET(COM_2012!$B$60,$AW132,SUMIF($B$10:$B$16,"NCAP_TLIFE",$AX$10:$AX$16)),0,""))</f>
        <v/>
      </c>
      <c r="AG132" s="369" t="str">
        <f ca="1">IF($B132&lt;&gt;"PRC_RESID","",IF(AG$7=2005+OFFSET(COM_2012!$B$60,$AW132,SUMIF($B$10:$B$16,"NCAP_TLIFE",$AX$10:$AX$16)),0,""))</f>
        <v/>
      </c>
      <c r="AH132" s="369" t="str">
        <f ca="1">IF($B132&lt;&gt;"PRC_RESID","",IF(AH$7=2005+OFFSET(COM_2012!$B$60,$AW132,SUMIF($B$10:$B$16,"NCAP_TLIFE",$AX$10:$AX$16)),0,""))</f>
        <v/>
      </c>
      <c r="AI132" s="369" t="str">
        <f ca="1">IF($B132&lt;&gt;"PRC_RESID","",IF(AI$7=2005+OFFSET(COM_2012!$B$60,$AW132,SUMIF($B$10:$B$16,"NCAP_TLIFE",$AX$10:$AX$16)),0,""))</f>
        <v/>
      </c>
      <c r="AJ132" s="369" t="str">
        <f ca="1">IF($B132&lt;&gt;"PRC_RESID","",IF(AJ$7=2005+OFFSET(COM_2012!$B$60,$AW132,SUMIF($B$10:$B$16,"NCAP_TLIFE",$AX$10:$AX$16)),0,""))</f>
        <v/>
      </c>
      <c r="AK132" s="369" t="str">
        <f ca="1">IF($B132&lt;&gt;"PRC_RESID","",IF(AK$7=2005+OFFSET(COM_2012!$B$60,$AW132,SUMIF($B$10:$B$16,"NCAP_TLIFE",$AX$10:$AX$16)),0,""))</f>
        <v/>
      </c>
      <c r="AL132" s="369" t="str">
        <f ca="1">IF($B132&lt;&gt;"PRC_RESID","",IF(AL$7=2005+OFFSET(COM_2012!$B$60,$AW132,SUMIF($B$10:$B$16,"NCAP_TLIFE",$AX$10:$AX$16)),0,""))</f>
        <v/>
      </c>
      <c r="AM132" s="369" t="str">
        <f ca="1">IF($B132&lt;&gt;"PRC_RESID","",IF(AM$7=2005+OFFSET(COM_2012!$B$60,$AW132,SUMIF($B$10:$B$16,"NCAP_TLIFE",$AX$10:$AX$16)),0,""))</f>
        <v/>
      </c>
      <c r="AN132" s="369" t="str">
        <f ca="1">IF($B132&lt;&gt;"PRC_RESID","",IF(AN$7=2005+OFFSET(COM_2012!$B$60,$AW132,SUMIF($B$10:$B$16,"NCAP_TLIFE",$AX$10:$AX$16)),0,""))</f>
        <v/>
      </c>
      <c r="AO132" s="369" t="str">
        <f ca="1">IF($B132&lt;&gt;"PRC_RESID","",IF(AO$7=2005+OFFSET(COM_2012!$B$60,$AW132,SUMIF($B$10:$B$16,"NCAP_TLIFE",$AX$10:$AX$16)),0,""))</f>
        <v/>
      </c>
      <c r="AP132" s="369" t="str">
        <f ca="1">IF($B132&lt;&gt;"PRC_RESID","",IF(AP$7=2005+OFFSET(COM_2012!$B$60,$AW132,SUMIF($B$10:$B$16,"NCAP_TLIFE",$AX$10:$AX$16)),0,""))</f>
        <v/>
      </c>
      <c r="AQ132" s="369" t="str">
        <f ca="1">IF($B132&lt;&gt;"PRC_RESID","",IF(AQ$7=2005+OFFSET(COM_2012!$B$60,$AW132,SUMIF($B$10:$B$16,"NCAP_TLIFE",$AX$10:$AX$16)),0,""))</f>
        <v/>
      </c>
      <c r="AR132" s="369" t="str">
        <f ca="1">IF($B132&lt;&gt;"PRC_RESID","",IF(AR$7=2005+OFFSET(COM_2012!$B$60,$AW132,SUMIF($B$10:$B$16,"NCAP_TLIFE",$AX$10:$AX$16)),0,""))</f>
        <v/>
      </c>
      <c r="AS132" s="369" t="str">
        <f ca="1">IF($B132&lt;&gt;"PRC_RESID","",IF(AS$7=2005+OFFSET(COM_2012!$B$60,$AW132,SUMIF($B$10:$B$16,"NCAP_TLIFE",$AX$10:$AX$16)),0,""))</f>
        <v/>
      </c>
      <c r="AT132" s="369" t="str">
        <f ca="1">IF($B132&lt;&gt;"PRC_RESID","",IF(AT$7=2005+OFFSET(COM_2012!$B$60,$AW132,SUMIF($B$10:$B$16,"NCAP_TLIFE",$AX$10:$AX$16)),0,""))</f>
        <v/>
      </c>
      <c r="AU132" s="369" t="str">
        <f ca="1">IF($B132&lt;&gt;"PRC_RESID","",IF(AU$7=2005+OFFSET(COM_2012!$B$60,$AW132,SUMIF($B$10:$B$16,"NCAP_TLIFE",$AX$10:$AX$16)),0,""))</f>
        <v/>
      </c>
      <c r="AV132" s="304">
        <f>IF(AW131=COM_2012!$AI$121,AV131+1,AV131)</f>
        <v>2</v>
      </c>
      <c r="AW132" s="304">
        <f t="shared" si="12"/>
        <v>44</v>
      </c>
    </row>
    <row r="133" spans="1:49">
      <c r="A133" s="304" t="str">
        <f ca="1">IF(LEFT(OFFSET(COM_2012!$A$60,AW133,0),2)="\I","*","")</f>
        <v/>
      </c>
      <c r="B133" s="369" t="str">
        <f t="shared" ca="1" si="10"/>
        <v>NCAP_BND</v>
      </c>
      <c r="C133" s="369" t="str">
        <f ca="1">IF($A133="*","",OFFSET(COM_2012!$B$60,AW133,0))</f>
        <v>CEGELCHPS-E</v>
      </c>
      <c r="D133" s="369" t="str">
        <f t="shared" ca="1" si="14"/>
        <v>-</v>
      </c>
      <c r="E133" s="369" t="str">
        <f t="shared" ca="1" si="14"/>
        <v>-</v>
      </c>
      <c r="F133" s="369" t="str">
        <f t="shared" ca="1" si="14"/>
        <v>-</v>
      </c>
      <c r="G133" s="369" t="str">
        <f t="shared" ca="1" si="14"/>
        <v>-</v>
      </c>
      <c r="H133" s="369" t="str">
        <f t="shared" ca="1" si="14"/>
        <v>UP</v>
      </c>
      <c r="I133" s="370">
        <f t="shared" ca="1" si="14"/>
        <v>0</v>
      </c>
      <c r="J133" s="391">
        <f ca="1">IF($A133="*","",OFFSET(COM_2012!$B$60,AW133,SUMIF($B$10:$B$16,B133,$AX$10:$AX$16)))</f>
        <v>0</v>
      </c>
      <c r="K133" s="369" t="str">
        <f ca="1">IF($B133&lt;&gt;"PRC_RESID","",IF(K$7=2005+OFFSET(COM_2012!$B$60,$AW133,SUMIF($B$10:$B$16,"NCAP_TLIFE",$AX$10:$AX$16)),0,""))</f>
        <v/>
      </c>
      <c r="L133" s="369" t="str">
        <f ca="1">IF($B133&lt;&gt;"PRC_RESID","",IF(L$7=2005+OFFSET(COM_2012!$B$60,$AW133,SUMIF($B$10:$B$16,"NCAP_TLIFE",$AX$10:$AX$16)),0,""))</f>
        <v/>
      </c>
      <c r="M133" s="369" t="str">
        <f ca="1">IF($B133&lt;&gt;"PRC_RESID","",IF(M$7=2005+OFFSET(COM_2012!$B$60,$AW133,SUMIF($B$10:$B$16,"NCAP_TLIFE",$AX$10:$AX$16)),0,""))</f>
        <v/>
      </c>
      <c r="N133" s="369" t="str">
        <f ca="1">IF($B133&lt;&gt;"PRC_RESID","",IF(N$7=2005+OFFSET(COM_2012!$B$60,$AW133,SUMIF($B$10:$B$16,"NCAP_TLIFE",$AX$10:$AX$16)),0,""))</f>
        <v/>
      </c>
      <c r="O133" s="658" t="str">
        <f ca="1">IF($B133&lt;&gt;"PRC_RESID","",IF(O$7=2005+OFFSET(COM_2012!$B$60,$AW133,SUMIF($B$10:$B$16,"NCAP_TLIFE",$AX$10:$AX$16)),0,""))</f>
        <v/>
      </c>
      <c r="P133" s="369" t="str">
        <f ca="1">IF($B133&lt;&gt;"PRC_RESID","",IF(P$7=2005+OFFSET(COM_2012!$B$60,$AW133,SUMIF($B$10:$B$16,"NCAP_TLIFE",$AX$10:$AX$16)),0,""))</f>
        <v/>
      </c>
      <c r="Q133" s="369" t="str">
        <f ca="1">IF($B133&lt;&gt;"PRC_RESID","",IF(Q$7=2005+OFFSET(COM_2012!$B$60,$AW133,SUMIF($B$10:$B$16,"NCAP_TLIFE",$AX$10:$AX$16)),0,""))</f>
        <v/>
      </c>
      <c r="R133" s="369" t="str">
        <f ca="1">IF($B133&lt;&gt;"PRC_RESID","",IF(R$7=2005+OFFSET(COM_2012!$B$60,$AW133,SUMIF($B$10:$B$16,"NCAP_TLIFE",$AX$10:$AX$16)),0,""))</f>
        <v/>
      </c>
      <c r="S133" s="369" t="str">
        <f ca="1">IF($B133&lt;&gt;"PRC_RESID","",IF(S$7=2005+OFFSET(COM_2012!$B$60,$AW133,SUMIF($B$10:$B$16,"NCAP_TLIFE",$AX$10:$AX$16)),0,""))</f>
        <v/>
      </c>
      <c r="T133" s="369" t="str">
        <f ca="1">IF($B133&lt;&gt;"PRC_RESID","",IF(T$7=2005+OFFSET(COM_2012!$B$60,$AW133,SUMIF($B$10:$B$16,"NCAP_TLIFE",$AX$10:$AX$16)),0,""))</f>
        <v/>
      </c>
      <c r="U133" s="369" t="str">
        <f ca="1">IF($B133&lt;&gt;"PRC_RESID","",IF(U$7=2005+OFFSET(COM_2012!$B$60,$AW133,SUMIF($B$10:$B$16,"NCAP_TLIFE",$AX$10:$AX$16)),0,""))</f>
        <v/>
      </c>
      <c r="V133" s="369" t="str">
        <f ca="1">IF($B133&lt;&gt;"PRC_RESID","",IF(V$7=2005+OFFSET(COM_2012!$B$60,$AW133,SUMIF($B$10:$B$16,"NCAP_TLIFE",$AX$10:$AX$16)),0,""))</f>
        <v/>
      </c>
      <c r="W133" s="369" t="str">
        <f ca="1">IF($B133&lt;&gt;"PRC_RESID","",IF(W$7=2005+OFFSET(COM_2012!$B$60,$AW133,SUMIF($B$10:$B$16,"NCAP_TLIFE",$AX$10:$AX$16)),0,""))</f>
        <v/>
      </c>
      <c r="X133" s="369" t="str">
        <f ca="1">IF($B133&lt;&gt;"PRC_RESID","",IF(X$7=2005+OFFSET(COM_2012!$B$60,$AW133,SUMIF($B$10:$B$16,"NCAP_TLIFE",$AX$10:$AX$16)),0,""))</f>
        <v/>
      </c>
      <c r="Y133" s="369" t="str">
        <f ca="1">IF($B133&lt;&gt;"PRC_RESID","",IF(Y$7=2005+OFFSET(COM_2012!$B$60,$AW133,SUMIF($B$10:$B$16,"NCAP_TLIFE",$AX$10:$AX$16)),0,""))</f>
        <v/>
      </c>
      <c r="Z133" s="369" t="str">
        <f ca="1">IF($B133&lt;&gt;"PRC_RESID","",IF(Z$7=2005+OFFSET(COM_2012!$B$60,$AW133,SUMIF($B$10:$B$16,"NCAP_TLIFE",$AX$10:$AX$16)),0,""))</f>
        <v/>
      </c>
      <c r="AA133" s="369" t="str">
        <f ca="1">IF($B133&lt;&gt;"PRC_RESID","",IF(AA$7=2005+OFFSET(COM_2012!$B$60,$AW133,SUMIF($B$10:$B$16,"NCAP_TLIFE",$AX$10:$AX$16)),0,""))</f>
        <v/>
      </c>
      <c r="AB133" s="369" t="str">
        <f ca="1">IF($B133&lt;&gt;"PRC_RESID","",IF(AB$7=2005+OFFSET(COM_2012!$B$60,$AW133,SUMIF($B$10:$B$16,"NCAP_TLIFE",$AX$10:$AX$16)),0,""))</f>
        <v/>
      </c>
      <c r="AC133" s="369" t="str">
        <f ca="1">IF($B133&lt;&gt;"PRC_RESID","",IF(AC$7=2005+OFFSET(COM_2012!$B$60,$AW133,SUMIF($B$10:$B$16,"NCAP_TLIFE",$AX$10:$AX$16)),0,""))</f>
        <v/>
      </c>
      <c r="AD133" s="369" t="str">
        <f ca="1">IF($B133&lt;&gt;"PRC_RESID","",IF(AD$7=2005+OFFSET(COM_2012!$B$60,$AW133,SUMIF($B$10:$B$16,"NCAP_TLIFE",$AX$10:$AX$16)),0,""))</f>
        <v/>
      </c>
      <c r="AE133" s="369" t="str">
        <f ca="1">IF($B133&lt;&gt;"PRC_RESID","",IF(AE$7=2005+OFFSET(COM_2012!$B$60,$AW133,SUMIF($B$10:$B$16,"NCAP_TLIFE",$AX$10:$AX$16)),0,""))</f>
        <v/>
      </c>
      <c r="AF133" s="369" t="str">
        <f ca="1">IF($B133&lt;&gt;"PRC_RESID","",IF(AF$7=2005+OFFSET(COM_2012!$B$60,$AW133,SUMIF($B$10:$B$16,"NCAP_TLIFE",$AX$10:$AX$16)),0,""))</f>
        <v/>
      </c>
      <c r="AG133" s="369" t="str">
        <f ca="1">IF($B133&lt;&gt;"PRC_RESID","",IF(AG$7=2005+OFFSET(COM_2012!$B$60,$AW133,SUMIF($B$10:$B$16,"NCAP_TLIFE",$AX$10:$AX$16)),0,""))</f>
        <v/>
      </c>
      <c r="AH133" s="369" t="str">
        <f ca="1">IF($B133&lt;&gt;"PRC_RESID","",IF(AH$7=2005+OFFSET(COM_2012!$B$60,$AW133,SUMIF($B$10:$B$16,"NCAP_TLIFE",$AX$10:$AX$16)),0,""))</f>
        <v/>
      </c>
      <c r="AI133" s="369" t="str">
        <f ca="1">IF($B133&lt;&gt;"PRC_RESID","",IF(AI$7=2005+OFFSET(COM_2012!$B$60,$AW133,SUMIF($B$10:$B$16,"NCAP_TLIFE",$AX$10:$AX$16)),0,""))</f>
        <v/>
      </c>
      <c r="AJ133" s="369" t="str">
        <f ca="1">IF($B133&lt;&gt;"PRC_RESID","",IF(AJ$7=2005+OFFSET(COM_2012!$B$60,$AW133,SUMIF($B$10:$B$16,"NCAP_TLIFE",$AX$10:$AX$16)),0,""))</f>
        <v/>
      </c>
      <c r="AK133" s="369" t="str">
        <f ca="1">IF($B133&lt;&gt;"PRC_RESID","",IF(AK$7=2005+OFFSET(COM_2012!$B$60,$AW133,SUMIF($B$10:$B$16,"NCAP_TLIFE",$AX$10:$AX$16)),0,""))</f>
        <v/>
      </c>
      <c r="AL133" s="369" t="str">
        <f ca="1">IF($B133&lt;&gt;"PRC_RESID","",IF(AL$7=2005+OFFSET(COM_2012!$B$60,$AW133,SUMIF($B$10:$B$16,"NCAP_TLIFE",$AX$10:$AX$16)),0,""))</f>
        <v/>
      </c>
      <c r="AM133" s="369" t="str">
        <f ca="1">IF($B133&lt;&gt;"PRC_RESID","",IF(AM$7=2005+OFFSET(COM_2012!$B$60,$AW133,SUMIF($B$10:$B$16,"NCAP_TLIFE",$AX$10:$AX$16)),0,""))</f>
        <v/>
      </c>
      <c r="AN133" s="369" t="str">
        <f ca="1">IF($B133&lt;&gt;"PRC_RESID","",IF(AN$7=2005+OFFSET(COM_2012!$B$60,$AW133,SUMIF($B$10:$B$16,"NCAP_TLIFE",$AX$10:$AX$16)),0,""))</f>
        <v/>
      </c>
      <c r="AO133" s="369" t="str">
        <f ca="1">IF($B133&lt;&gt;"PRC_RESID","",IF(AO$7=2005+OFFSET(COM_2012!$B$60,$AW133,SUMIF($B$10:$B$16,"NCAP_TLIFE",$AX$10:$AX$16)),0,""))</f>
        <v/>
      </c>
      <c r="AP133" s="369" t="str">
        <f ca="1">IF($B133&lt;&gt;"PRC_RESID","",IF(AP$7=2005+OFFSET(COM_2012!$B$60,$AW133,SUMIF($B$10:$B$16,"NCAP_TLIFE",$AX$10:$AX$16)),0,""))</f>
        <v/>
      </c>
      <c r="AQ133" s="369" t="str">
        <f ca="1">IF($B133&lt;&gt;"PRC_RESID","",IF(AQ$7=2005+OFFSET(COM_2012!$B$60,$AW133,SUMIF($B$10:$B$16,"NCAP_TLIFE",$AX$10:$AX$16)),0,""))</f>
        <v/>
      </c>
      <c r="AR133" s="369" t="str">
        <f ca="1">IF($B133&lt;&gt;"PRC_RESID","",IF(AR$7=2005+OFFSET(COM_2012!$B$60,$AW133,SUMIF($B$10:$B$16,"NCAP_TLIFE",$AX$10:$AX$16)),0,""))</f>
        <v/>
      </c>
      <c r="AS133" s="369" t="str">
        <f ca="1">IF($B133&lt;&gt;"PRC_RESID","",IF(AS$7=2005+OFFSET(COM_2012!$B$60,$AW133,SUMIF($B$10:$B$16,"NCAP_TLIFE",$AX$10:$AX$16)),0,""))</f>
        <v/>
      </c>
      <c r="AT133" s="369" t="str">
        <f ca="1">IF($B133&lt;&gt;"PRC_RESID","",IF(AT$7=2005+OFFSET(COM_2012!$B$60,$AW133,SUMIF($B$10:$B$16,"NCAP_TLIFE",$AX$10:$AX$16)),0,""))</f>
        <v/>
      </c>
      <c r="AU133" s="369" t="str">
        <f ca="1">IF($B133&lt;&gt;"PRC_RESID","",IF(AU$7=2005+OFFSET(COM_2012!$B$60,$AW133,SUMIF($B$10:$B$16,"NCAP_TLIFE",$AX$10:$AX$16)),0,""))</f>
        <v/>
      </c>
      <c r="AV133" s="304">
        <f>IF(AW132=COM_2012!$AI$121,AV132+1,AV132)</f>
        <v>2</v>
      </c>
      <c r="AW133" s="304">
        <f t="shared" si="12"/>
        <v>45</v>
      </c>
    </row>
    <row r="134" spans="1:49">
      <c r="A134" s="304" t="str">
        <f ca="1">IF(LEFT(OFFSET(COM_2012!$A$60,AW134,0),2)="\I","*","")</f>
        <v/>
      </c>
      <c r="B134" s="369" t="str">
        <f t="shared" ca="1" si="10"/>
        <v>NCAP_BND</v>
      </c>
      <c r="C134" s="369" t="str">
        <f ca="1">IF($A134="*","",OFFSET(COM_2012!$B$60,AW134,0))</f>
        <v>CEGELCMHL-E</v>
      </c>
      <c r="D134" s="369" t="str">
        <f t="shared" ca="1" si="14"/>
        <v>-</v>
      </c>
      <c r="E134" s="369" t="str">
        <f t="shared" ca="1" si="14"/>
        <v>-</v>
      </c>
      <c r="F134" s="369" t="str">
        <f t="shared" ca="1" si="14"/>
        <v>-</v>
      </c>
      <c r="G134" s="369" t="str">
        <f t="shared" ca="1" si="14"/>
        <v>-</v>
      </c>
      <c r="H134" s="369" t="str">
        <f t="shared" ca="1" si="14"/>
        <v>UP</v>
      </c>
      <c r="I134" s="370">
        <f t="shared" ca="1" si="14"/>
        <v>0</v>
      </c>
      <c r="J134" s="391">
        <f ca="1">IF($A134="*","",OFFSET(COM_2012!$B$60,AW134,SUMIF($B$10:$B$16,B134,$AX$10:$AX$16)))</f>
        <v>0</v>
      </c>
      <c r="K134" s="369" t="str">
        <f ca="1">IF($B134&lt;&gt;"PRC_RESID","",IF(K$7=2005+OFFSET(COM_2012!$B$60,$AW134,SUMIF($B$10:$B$16,"NCAP_TLIFE",$AX$10:$AX$16)),0,""))</f>
        <v/>
      </c>
      <c r="L134" s="369" t="str">
        <f ca="1">IF($B134&lt;&gt;"PRC_RESID","",IF(L$7=2005+OFFSET(COM_2012!$B$60,$AW134,SUMIF($B$10:$B$16,"NCAP_TLIFE",$AX$10:$AX$16)),0,""))</f>
        <v/>
      </c>
      <c r="M134" s="369" t="str">
        <f ca="1">IF($B134&lt;&gt;"PRC_RESID","",IF(M$7=2005+OFFSET(COM_2012!$B$60,$AW134,SUMIF($B$10:$B$16,"NCAP_TLIFE",$AX$10:$AX$16)),0,""))</f>
        <v/>
      </c>
      <c r="N134" s="369" t="str">
        <f ca="1">IF($B134&lt;&gt;"PRC_RESID","",IF(N$7=2005+OFFSET(COM_2012!$B$60,$AW134,SUMIF($B$10:$B$16,"NCAP_TLIFE",$AX$10:$AX$16)),0,""))</f>
        <v/>
      </c>
      <c r="O134" s="658" t="str">
        <f ca="1">IF($B134&lt;&gt;"PRC_RESID","",IF(O$7=2005+OFFSET(COM_2012!$B$60,$AW134,SUMIF($B$10:$B$16,"NCAP_TLIFE",$AX$10:$AX$16)),0,""))</f>
        <v/>
      </c>
      <c r="P134" s="369" t="str">
        <f ca="1">IF($B134&lt;&gt;"PRC_RESID","",IF(P$7=2005+OFFSET(COM_2012!$B$60,$AW134,SUMIF($B$10:$B$16,"NCAP_TLIFE",$AX$10:$AX$16)),0,""))</f>
        <v/>
      </c>
      <c r="Q134" s="369" t="str">
        <f ca="1">IF($B134&lt;&gt;"PRC_RESID","",IF(Q$7=2005+OFFSET(COM_2012!$B$60,$AW134,SUMIF($B$10:$B$16,"NCAP_TLIFE",$AX$10:$AX$16)),0,""))</f>
        <v/>
      </c>
      <c r="R134" s="369" t="str">
        <f ca="1">IF($B134&lt;&gt;"PRC_RESID","",IF(R$7=2005+OFFSET(COM_2012!$B$60,$AW134,SUMIF($B$10:$B$16,"NCAP_TLIFE",$AX$10:$AX$16)),0,""))</f>
        <v/>
      </c>
      <c r="S134" s="369" t="str">
        <f ca="1">IF($B134&lt;&gt;"PRC_RESID","",IF(S$7=2005+OFFSET(COM_2012!$B$60,$AW134,SUMIF($B$10:$B$16,"NCAP_TLIFE",$AX$10:$AX$16)),0,""))</f>
        <v/>
      </c>
      <c r="T134" s="369" t="str">
        <f ca="1">IF($B134&lt;&gt;"PRC_RESID","",IF(T$7=2005+OFFSET(COM_2012!$B$60,$AW134,SUMIF($B$10:$B$16,"NCAP_TLIFE",$AX$10:$AX$16)),0,""))</f>
        <v/>
      </c>
      <c r="U134" s="369" t="str">
        <f ca="1">IF($B134&lt;&gt;"PRC_RESID","",IF(U$7=2005+OFFSET(COM_2012!$B$60,$AW134,SUMIF($B$10:$B$16,"NCAP_TLIFE",$AX$10:$AX$16)),0,""))</f>
        <v/>
      </c>
      <c r="V134" s="369" t="str">
        <f ca="1">IF($B134&lt;&gt;"PRC_RESID","",IF(V$7=2005+OFFSET(COM_2012!$B$60,$AW134,SUMIF($B$10:$B$16,"NCAP_TLIFE",$AX$10:$AX$16)),0,""))</f>
        <v/>
      </c>
      <c r="W134" s="369" t="str">
        <f ca="1">IF($B134&lt;&gt;"PRC_RESID","",IF(W$7=2005+OFFSET(COM_2012!$B$60,$AW134,SUMIF($B$10:$B$16,"NCAP_TLIFE",$AX$10:$AX$16)),0,""))</f>
        <v/>
      </c>
      <c r="X134" s="369" t="str">
        <f ca="1">IF($B134&lt;&gt;"PRC_RESID","",IF(X$7=2005+OFFSET(COM_2012!$B$60,$AW134,SUMIF($B$10:$B$16,"NCAP_TLIFE",$AX$10:$AX$16)),0,""))</f>
        <v/>
      </c>
      <c r="Y134" s="369" t="str">
        <f ca="1">IF($B134&lt;&gt;"PRC_RESID","",IF(Y$7=2005+OFFSET(COM_2012!$B$60,$AW134,SUMIF($B$10:$B$16,"NCAP_TLIFE",$AX$10:$AX$16)),0,""))</f>
        <v/>
      </c>
      <c r="Z134" s="369" t="str">
        <f ca="1">IF($B134&lt;&gt;"PRC_RESID","",IF(Z$7=2005+OFFSET(COM_2012!$B$60,$AW134,SUMIF($B$10:$B$16,"NCAP_TLIFE",$AX$10:$AX$16)),0,""))</f>
        <v/>
      </c>
      <c r="AA134" s="369" t="str">
        <f ca="1">IF($B134&lt;&gt;"PRC_RESID","",IF(AA$7=2005+OFFSET(COM_2012!$B$60,$AW134,SUMIF($B$10:$B$16,"NCAP_TLIFE",$AX$10:$AX$16)),0,""))</f>
        <v/>
      </c>
      <c r="AB134" s="369" t="str">
        <f ca="1">IF($B134&lt;&gt;"PRC_RESID","",IF(AB$7=2005+OFFSET(COM_2012!$B$60,$AW134,SUMIF($B$10:$B$16,"NCAP_TLIFE",$AX$10:$AX$16)),0,""))</f>
        <v/>
      </c>
      <c r="AC134" s="369" t="str">
        <f ca="1">IF($B134&lt;&gt;"PRC_RESID","",IF(AC$7=2005+OFFSET(COM_2012!$B$60,$AW134,SUMIF($B$10:$B$16,"NCAP_TLIFE",$AX$10:$AX$16)),0,""))</f>
        <v/>
      </c>
      <c r="AD134" s="369" t="str">
        <f ca="1">IF($B134&lt;&gt;"PRC_RESID","",IF(AD$7=2005+OFFSET(COM_2012!$B$60,$AW134,SUMIF($B$10:$B$16,"NCAP_TLIFE",$AX$10:$AX$16)),0,""))</f>
        <v/>
      </c>
      <c r="AE134" s="369" t="str">
        <f ca="1">IF($B134&lt;&gt;"PRC_RESID","",IF(AE$7=2005+OFFSET(COM_2012!$B$60,$AW134,SUMIF($B$10:$B$16,"NCAP_TLIFE",$AX$10:$AX$16)),0,""))</f>
        <v/>
      </c>
      <c r="AF134" s="369" t="str">
        <f ca="1">IF($B134&lt;&gt;"PRC_RESID","",IF(AF$7=2005+OFFSET(COM_2012!$B$60,$AW134,SUMIF($B$10:$B$16,"NCAP_TLIFE",$AX$10:$AX$16)),0,""))</f>
        <v/>
      </c>
      <c r="AG134" s="369" t="str">
        <f ca="1">IF($B134&lt;&gt;"PRC_RESID","",IF(AG$7=2005+OFFSET(COM_2012!$B$60,$AW134,SUMIF($B$10:$B$16,"NCAP_TLIFE",$AX$10:$AX$16)),0,""))</f>
        <v/>
      </c>
      <c r="AH134" s="369" t="str">
        <f ca="1">IF($B134&lt;&gt;"PRC_RESID","",IF(AH$7=2005+OFFSET(COM_2012!$B$60,$AW134,SUMIF($B$10:$B$16,"NCAP_TLIFE",$AX$10:$AX$16)),0,""))</f>
        <v/>
      </c>
      <c r="AI134" s="369" t="str">
        <f ca="1">IF($B134&lt;&gt;"PRC_RESID","",IF(AI$7=2005+OFFSET(COM_2012!$B$60,$AW134,SUMIF($B$10:$B$16,"NCAP_TLIFE",$AX$10:$AX$16)),0,""))</f>
        <v/>
      </c>
      <c r="AJ134" s="369" t="str">
        <f ca="1">IF($B134&lt;&gt;"PRC_RESID","",IF(AJ$7=2005+OFFSET(COM_2012!$B$60,$AW134,SUMIF($B$10:$B$16,"NCAP_TLIFE",$AX$10:$AX$16)),0,""))</f>
        <v/>
      </c>
      <c r="AK134" s="369" t="str">
        <f ca="1">IF($B134&lt;&gt;"PRC_RESID","",IF(AK$7=2005+OFFSET(COM_2012!$B$60,$AW134,SUMIF($B$10:$B$16,"NCAP_TLIFE",$AX$10:$AX$16)),0,""))</f>
        <v/>
      </c>
      <c r="AL134" s="369" t="str">
        <f ca="1">IF($B134&lt;&gt;"PRC_RESID","",IF(AL$7=2005+OFFSET(COM_2012!$B$60,$AW134,SUMIF($B$10:$B$16,"NCAP_TLIFE",$AX$10:$AX$16)),0,""))</f>
        <v/>
      </c>
      <c r="AM134" s="369" t="str">
        <f ca="1">IF($B134&lt;&gt;"PRC_RESID","",IF(AM$7=2005+OFFSET(COM_2012!$B$60,$AW134,SUMIF($B$10:$B$16,"NCAP_TLIFE",$AX$10:$AX$16)),0,""))</f>
        <v/>
      </c>
      <c r="AN134" s="369" t="str">
        <f ca="1">IF($B134&lt;&gt;"PRC_RESID","",IF(AN$7=2005+OFFSET(COM_2012!$B$60,$AW134,SUMIF($B$10:$B$16,"NCAP_TLIFE",$AX$10:$AX$16)),0,""))</f>
        <v/>
      </c>
      <c r="AO134" s="369" t="str">
        <f ca="1">IF($B134&lt;&gt;"PRC_RESID","",IF(AO$7=2005+OFFSET(COM_2012!$B$60,$AW134,SUMIF($B$10:$B$16,"NCAP_TLIFE",$AX$10:$AX$16)),0,""))</f>
        <v/>
      </c>
      <c r="AP134" s="369" t="str">
        <f ca="1">IF($B134&lt;&gt;"PRC_RESID","",IF(AP$7=2005+OFFSET(COM_2012!$B$60,$AW134,SUMIF($B$10:$B$16,"NCAP_TLIFE",$AX$10:$AX$16)),0,""))</f>
        <v/>
      </c>
      <c r="AQ134" s="369" t="str">
        <f ca="1">IF($B134&lt;&gt;"PRC_RESID","",IF(AQ$7=2005+OFFSET(COM_2012!$B$60,$AW134,SUMIF($B$10:$B$16,"NCAP_TLIFE",$AX$10:$AX$16)),0,""))</f>
        <v/>
      </c>
      <c r="AR134" s="369" t="str">
        <f ca="1">IF($B134&lt;&gt;"PRC_RESID","",IF(AR$7=2005+OFFSET(COM_2012!$B$60,$AW134,SUMIF($B$10:$B$16,"NCAP_TLIFE",$AX$10:$AX$16)),0,""))</f>
        <v/>
      </c>
      <c r="AS134" s="369" t="str">
        <f ca="1">IF($B134&lt;&gt;"PRC_RESID","",IF(AS$7=2005+OFFSET(COM_2012!$B$60,$AW134,SUMIF($B$10:$B$16,"NCAP_TLIFE",$AX$10:$AX$16)),0,""))</f>
        <v/>
      </c>
      <c r="AT134" s="369" t="str">
        <f ca="1">IF($B134&lt;&gt;"PRC_RESID","",IF(AT$7=2005+OFFSET(COM_2012!$B$60,$AW134,SUMIF($B$10:$B$16,"NCAP_TLIFE",$AX$10:$AX$16)),0,""))</f>
        <v/>
      </c>
      <c r="AU134" s="369" t="str">
        <f ca="1">IF($B134&lt;&gt;"PRC_RESID","",IF(AU$7=2005+OFFSET(COM_2012!$B$60,$AW134,SUMIF($B$10:$B$16,"NCAP_TLIFE",$AX$10:$AX$16)),0,""))</f>
        <v/>
      </c>
      <c r="AV134" s="304">
        <f>IF(AW133=COM_2012!$AI$121,AV133+1,AV133)</f>
        <v>2</v>
      </c>
      <c r="AW134" s="304">
        <f t="shared" si="12"/>
        <v>46</v>
      </c>
    </row>
    <row r="135" spans="1:49">
      <c r="A135" s="304" t="str">
        <f ca="1">IF(LEFT(OFFSET(COM_2012!$A$60,AW135,0),2)="\I","*","")</f>
        <v/>
      </c>
      <c r="B135" s="369" t="str">
        <f t="shared" ca="1" si="10"/>
        <v>NCAP_BND</v>
      </c>
      <c r="C135" s="369" t="str">
        <f ca="1">IF($A135="*","",OFFSET(COM_2012!$B$60,AW135,0))</f>
        <v>CEGELCLED-N</v>
      </c>
      <c r="D135" s="369" t="str">
        <f t="shared" ca="1" si="14"/>
        <v>-</v>
      </c>
      <c r="E135" s="369" t="str">
        <f t="shared" ca="1" si="14"/>
        <v>-</v>
      </c>
      <c r="F135" s="369" t="str">
        <f t="shared" ca="1" si="14"/>
        <v>-</v>
      </c>
      <c r="G135" s="369" t="str">
        <f t="shared" ca="1" si="14"/>
        <v>-</v>
      </c>
      <c r="H135" s="369" t="str">
        <f t="shared" ca="1" si="14"/>
        <v>UP</v>
      </c>
      <c r="I135" s="370">
        <f t="shared" ca="1" si="14"/>
        <v>0</v>
      </c>
      <c r="J135" s="391">
        <f ca="1">IF($A135="*","",OFFSET(COM_2012!$B$60,AW135,SUMIF($B$10:$B$16,B135,$AX$10:$AX$16)))</f>
        <v>0</v>
      </c>
      <c r="K135" s="369" t="str">
        <f ca="1">IF($B135&lt;&gt;"PRC_RESID","",IF(K$7=2005+OFFSET(COM_2012!$B$60,$AW135,SUMIF($B$10:$B$16,"NCAP_TLIFE",$AX$10:$AX$16)),0,""))</f>
        <v/>
      </c>
      <c r="L135" s="369" t="str">
        <f ca="1">IF($B135&lt;&gt;"PRC_RESID","",IF(L$7=2005+OFFSET(COM_2012!$B$60,$AW135,SUMIF($B$10:$B$16,"NCAP_TLIFE",$AX$10:$AX$16)),0,""))</f>
        <v/>
      </c>
      <c r="M135" s="369" t="str">
        <f ca="1">IF($B135&lt;&gt;"PRC_RESID","",IF(M$7=2005+OFFSET(COM_2012!$B$60,$AW135,SUMIF($B$10:$B$16,"NCAP_TLIFE",$AX$10:$AX$16)),0,""))</f>
        <v/>
      </c>
      <c r="N135" s="369" t="str">
        <f ca="1">IF($B135&lt;&gt;"PRC_RESID","",IF(N$7=2005+OFFSET(COM_2012!$B$60,$AW135,SUMIF($B$10:$B$16,"NCAP_TLIFE",$AX$10:$AX$16)),0,""))</f>
        <v/>
      </c>
      <c r="O135" s="658" t="str">
        <f ca="1">IF($B135&lt;&gt;"PRC_RESID","",IF(O$7=2005+OFFSET(COM_2012!$B$60,$AW135,SUMIF($B$10:$B$16,"NCAP_TLIFE",$AX$10:$AX$16)),0,""))</f>
        <v/>
      </c>
      <c r="P135" s="369" t="str">
        <f ca="1">IF($B135&lt;&gt;"PRC_RESID","",IF(P$7=2005+OFFSET(COM_2012!$B$60,$AW135,SUMIF($B$10:$B$16,"NCAP_TLIFE",$AX$10:$AX$16)),0,""))</f>
        <v/>
      </c>
      <c r="Q135" s="369" t="str">
        <f ca="1">IF($B135&lt;&gt;"PRC_RESID","",IF(Q$7=2005+OFFSET(COM_2012!$B$60,$AW135,SUMIF($B$10:$B$16,"NCAP_TLIFE",$AX$10:$AX$16)),0,""))</f>
        <v/>
      </c>
      <c r="R135" s="369" t="str">
        <f ca="1">IF($B135&lt;&gt;"PRC_RESID","",IF(R$7=2005+OFFSET(COM_2012!$B$60,$AW135,SUMIF($B$10:$B$16,"NCAP_TLIFE",$AX$10:$AX$16)),0,""))</f>
        <v/>
      </c>
      <c r="S135" s="369" t="str">
        <f ca="1">IF($B135&lt;&gt;"PRC_RESID","",IF(S$7=2005+OFFSET(COM_2012!$B$60,$AW135,SUMIF($B$10:$B$16,"NCAP_TLIFE",$AX$10:$AX$16)),0,""))</f>
        <v/>
      </c>
      <c r="T135" s="369" t="str">
        <f ca="1">IF($B135&lt;&gt;"PRC_RESID","",IF(T$7=2005+OFFSET(COM_2012!$B$60,$AW135,SUMIF($B$10:$B$16,"NCAP_TLIFE",$AX$10:$AX$16)),0,""))</f>
        <v/>
      </c>
      <c r="U135" s="369" t="str">
        <f ca="1">IF($B135&lt;&gt;"PRC_RESID","",IF(U$7=2005+OFFSET(COM_2012!$B$60,$AW135,SUMIF($B$10:$B$16,"NCAP_TLIFE",$AX$10:$AX$16)),0,""))</f>
        <v/>
      </c>
      <c r="V135" s="369" t="str">
        <f ca="1">IF($B135&lt;&gt;"PRC_RESID","",IF(V$7=2005+OFFSET(COM_2012!$B$60,$AW135,SUMIF($B$10:$B$16,"NCAP_TLIFE",$AX$10:$AX$16)),0,""))</f>
        <v/>
      </c>
      <c r="W135" s="369" t="str">
        <f ca="1">IF($B135&lt;&gt;"PRC_RESID","",IF(W$7=2005+OFFSET(COM_2012!$B$60,$AW135,SUMIF($B$10:$B$16,"NCAP_TLIFE",$AX$10:$AX$16)),0,""))</f>
        <v/>
      </c>
      <c r="X135" s="369" t="str">
        <f ca="1">IF($B135&lt;&gt;"PRC_RESID","",IF(X$7=2005+OFFSET(COM_2012!$B$60,$AW135,SUMIF($B$10:$B$16,"NCAP_TLIFE",$AX$10:$AX$16)),0,""))</f>
        <v/>
      </c>
      <c r="Y135" s="369" t="str">
        <f ca="1">IF($B135&lt;&gt;"PRC_RESID","",IF(Y$7=2005+OFFSET(COM_2012!$B$60,$AW135,SUMIF($B$10:$B$16,"NCAP_TLIFE",$AX$10:$AX$16)),0,""))</f>
        <v/>
      </c>
      <c r="Z135" s="369" t="str">
        <f ca="1">IF($B135&lt;&gt;"PRC_RESID","",IF(Z$7=2005+OFFSET(COM_2012!$B$60,$AW135,SUMIF($B$10:$B$16,"NCAP_TLIFE",$AX$10:$AX$16)),0,""))</f>
        <v/>
      </c>
      <c r="AA135" s="369" t="str">
        <f ca="1">IF($B135&lt;&gt;"PRC_RESID","",IF(AA$7=2005+OFFSET(COM_2012!$B$60,$AW135,SUMIF($B$10:$B$16,"NCAP_TLIFE",$AX$10:$AX$16)),0,""))</f>
        <v/>
      </c>
      <c r="AB135" s="369" t="str">
        <f ca="1">IF($B135&lt;&gt;"PRC_RESID","",IF(AB$7=2005+OFFSET(COM_2012!$B$60,$AW135,SUMIF($B$10:$B$16,"NCAP_TLIFE",$AX$10:$AX$16)),0,""))</f>
        <v/>
      </c>
      <c r="AC135" s="369" t="str">
        <f ca="1">IF($B135&lt;&gt;"PRC_RESID","",IF(AC$7=2005+OFFSET(COM_2012!$B$60,$AW135,SUMIF($B$10:$B$16,"NCAP_TLIFE",$AX$10:$AX$16)),0,""))</f>
        <v/>
      </c>
      <c r="AD135" s="369" t="str">
        <f ca="1">IF($B135&lt;&gt;"PRC_RESID","",IF(AD$7=2005+OFFSET(COM_2012!$B$60,$AW135,SUMIF($B$10:$B$16,"NCAP_TLIFE",$AX$10:$AX$16)),0,""))</f>
        <v/>
      </c>
      <c r="AE135" s="369" t="str">
        <f ca="1">IF($B135&lt;&gt;"PRC_RESID","",IF(AE$7=2005+OFFSET(COM_2012!$B$60,$AW135,SUMIF($B$10:$B$16,"NCAP_TLIFE",$AX$10:$AX$16)),0,""))</f>
        <v/>
      </c>
      <c r="AF135" s="369" t="str">
        <f ca="1">IF($B135&lt;&gt;"PRC_RESID","",IF(AF$7=2005+OFFSET(COM_2012!$B$60,$AW135,SUMIF($B$10:$B$16,"NCAP_TLIFE",$AX$10:$AX$16)),0,""))</f>
        <v/>
      </c>
      <c r="AG135" s="369" t="str">
        <f ca="1">IF($B135&lt;&gt;"PRC_RESID","",IF(AG$7=2005+OFFSET(COM_2012!$B$60,$AW135,SUMIF($B$10:$B$16,"NCAP_TLIFE",$AX$10:$AX$16)),0,""))</f>
        <v/>
      </c>
      <c r="AH135" s="369" t="str">
        <f ca="1">IF($B135&lt;&gt;"PRC_RESID","",IF(AH$7=2005+OFFSET(COM_2012!$B$60,$AW135,SUMIF($B$10:$B$16,"NCAP_TLIFE",$AX$10:$AX$16)),0,""))</f>
        <v/>
      </c>
      <c r="AI135" s="369" t="str">
        <f ca="1">IF($B135&lt;&gt;"PRC_RESID","",IF(AI$7=2005+OFFSET(COM_2012!$B$60,$AW135,SUMIF($B$10:$B$16,"NCAP_TLIFE",$AX$10:$AX$16)),0,""))</f>
        <v/>
      </c>
      <c r="AJ135" s="369" t="str">
        <f ca="1">IF($B135&lt;&gt;"PRC_RESID","",IF(AJ$7=2005+OFFSET(COM_2012!$B$60,$AW135,SUMIF($B$10:$B$16,"NCAP_TLIFE",$AX$10:$AX$16)),0,""))</f>
        <v/>
      </c>
      <c r="AK135" s="369" t="str">
        <f ca="1">IF($B135&lt;&gt;"PRC_RESID","",IF(AK$7=2005+OFFSET(COM_2012!$B$60,$AW135,SUMIF($B$10:$B$16,"NCAP_TLIFE",$AX$10:$AX$16)),0,""))</f>
        <v/>
      </c>
      <c r="AL135" s="369" t="str">
        <f ca="1">IF($B135&lt;&gt;"PRC_RESID","",IF(AL$7=2005+OFFSET(COM_2012!$B$60,$AW135,SUMIF($B$10:$B$16,"NCAP_TLIFE",$AX$10:$AX$16)),0,""))</f>
        <v/>
      </c>
      <c r="AM135" s="369" t="str">
        <f ca="1">IF($B135&lt;&gt;"PRC_RESID","",IF(AM$7=2005+OFFSET(COM_2012!$B$60,$AW135,SUMIF($B$10:$B$16,"NCAP_TLIFE",$AX$10:$AX$16)),0,""))</f>
        <v/>
      </c>
      <c r="AN135" s="369" t="str">
        <f ca="1">IF($B135&lt;&gt;"PRC_RESID","",IF(AN$7=2005+OFFSET(COM_2012!$B$60,$AW135,SUMIF($B$10:$B$16,"NCAP_TLIFE",$AX$10:$AX$16)),0,""))</f>
        <v/>
      </c>
      <c r="AO135" s="369" t="str">
        <f ca="1">IF($B135&lt;&gt;"PRC_RESID","",IF(AO$7=2005+OFFSET(COM_2012!$B$60,$AW135,SUMIF($B$10:$B$16,"NCAP_TLIFE",$AX$10:$AX$16)),0,""))</f>
        <v/>
      </c>
      <c r="AP135" s="369" t="str">
        <f ca="1">IF($B135&lt;&gt;"PRC_RESID","",IF(AP$7=2005+OFFSET(COM_2012!$B$60,$AW135,SUMIF($B$10:$B$16,"NCAP_TLIFE",$AX$10:$AX$16)),0,""))</f>
        <v/>
      </c>
      <c r="AQ135" s="369" t="str">
        <f ca="1">IF($B135&lt;&gt;"PRC_RESID","",IF(AQ$7=2005+OFFSET(COM_2012!$B$60,$AW135,SUMIF($B$10:$B$16,"NCAP_TLIFE",$AX$10:$AX$16)),0,""))</f>
        <v/>
      </c>
      <c r="AR135" s="369" t="str">
        <f ca="1">IF($B135&lt;&gt;"PRC_RESID","",IF(AR$7=2005+OFFSET(COM_2012!$B$60,$AW135,SUMIF($B$10:$B$16,"NCAP_TLIFE",$AX$10:$AX$16)),0,""))</f>
        <v/>
      </c>
      <c r="AS135" s="369" t="str">
        <f ca="1">IF($B135&lt;&gt;"PRC_RESID","",IF(AS$7=2005+OFFSET(COM_2012!$B$60,$AW135,SUMIF($B$10:$B$16,"NCAP_TLIFE",$AX$10:$AX$16)),0,""))</f>
        <v/>
      </c>
      <c r="AT135" s="369" t="str">
        <f ca="1">IF($B135&lt;&gt;"PRC_RESID","",IF(AT$7=2005+OFFSET(COM_2012!$B$60,$AW135,SUMIF($B$10:$B$16,"NCAP_TLIFE",$AX$10:$AX$16)),0,""))</f>
        <v/>
      </c>
      <c r="AU135" s="369" t="str">
        <f ca="1">IF($B135&lt;&gt;"PRC_RESID","",IF(AU$7=2005+OFFSET(COM_2012!$B$60,$AW135,SUMIF($B$10:$B$16,"NCAP_TLIFE",$AX$10:$AX$16)),0,""))</f>
        <v/>
      </c>
      <c r="AV135" s="304">
        <f>IF(AW134=COM_2012!$AI$121,AV134+1,AV134)</f>
        <v>2</v>
      </c>
      <c r="AW135" s="304">
        <f t="shared" si="12"/>
        <v>47</v>
      </c>
    </row>
    <row r="136" spans="1:49">
      <c r="A136" s="304" t="str">
        <f ca="1">IF(LEFT(OFFSET(COM_2012!$A$60,AW136,0),2)="\I","*","")</f>
        <v>*</v>
      </c>
      <c r="B136" s="369" t="str">
        <f t="shared" ca="1" si="10"/>
        <v/>
      </c>
      <c r="C136" s="369" t="str">
        <f ca="1">IF($A136="*","",OFFSET(COM_2012!$B$60,AW136,0))</f>
        <v/>
      </c>
      <c r="D136" s="369" t="str">
        <f t="shared" ca="1" si="14"/>
        <v/>
      </c>
      <c r="E136" s="369" t="str">
        <f t="shared" ca="1" si="14"/>
        <v/>
      </c>
      <c r="F136" s="369" t="str">
        <f t="shared" ca="1" si="14"/>
        <v/>
      </c>
      <c r="G136" s="369" t="str">
        <f t="shared" ca="1" si="14"/>
        <v/>
      </c>
      <c r="H136" s="369" t="str">
        <f t="shared" ca="1" si="14"/>
        <v/>
      </c>
      <c r="I136" s="370" t="str">
        <f t="shared" ca="1" si="14"/>
        <v/>
      </c>
      <c r="J136" s="391" t="str">
        <f ca="1">IF($A136="*","",OFFSET(COM_2012!$B$60,AW136,SUMIF($B$10:$B$16,B136,$AX$10:$AX$16)))</f>
        <v/>
      </c>
      <c r="K136" s="369" t="str">
        <f ca="1">IF($B136&lt;&gt;"PRC_RESID","",IF(K$7=2005+OFFSET(COM_2012!$B$60,$AW136,SUMIF($B$10:$B$16,"NCAP_TLIFE",$AX$10:$AX$16)),0,""))</f>
        <v/>
      </c>
      <c r="L136" s="369" t="str">
        <f ca="1">IF($B136&lt;&gt;"PRC_RESID","",IF(L$7=2005+OFFSET(COM_2012!$B$60,$AW136,SUMIF($B$10:$B$16,"NCAP_TLIFE",$AX$10:$AX$16)),0,""))</f>
        <v/>
      </c>
      <c r="M136" s="369" t="str">
        <f ca="1">IF($B136&lt;&gt;"PRC_RESID","",IF(M$7=2005+OFFSET(COM_2012!$B$60,$AW136,SUMIF($B$10:$B$16,"NCAP_TLIFE",$AX$10:$AX$16)),0,""))</f>
        <v/>
      </c>
      <c r="N136" s="369" t="str">
        <f ca="1">IF($B136&lt;&gt;"PRC_RESID","",IF(N$7=2005+OFFSET(COM_2012!$B$60,$AW136,SUMIF($B$10:$B$16,"NCAP_TLIFE",$AX$10:$AX$16)),0,""))</f>
        <v/>
      </c>
      <c r="O136" s="658" t="str">
        <f ca="1">IF($B136&lt;&gt;"PRC_RESID","",IF(O$7=2005+OFFSET(COM_2012!$B$60,$AW136,SUMIF($B$10:$B$16,"NCAP_TLIFE",$AX$10:$AX$16)),0,""))</f>
        <v/>
      </c>
      <c r="P136" s="369" t="str">
        <f ca="1">IF($B136&lt;&gt;"PRC_RESID","",IF(P$7=2005+OFFSET(COM_2012!$B$60,$AW136,SUMIF($B$10:$B$16,"NCAP_TLIFE",$AX$10:$AX$16)),0,""))</f>
        <v/>
      </c>
      <c r="Q136" s="369" t="str">
        <f ca="1">IF($B136&lt;&gt;"PRC_RESID","",IF(Q$7=2005+OFFSET(COM_2012!$B$60,$AW136,SUMIF($B$10:$B$16,"NCAP_TLIFE",$AX$10:$AX$16)),0,""))</f>
        <v/>
      </c>
      <c r="R136" s="369" t="str">
        <f ca="1">IF($B136&lt;&gt;"PRC_RESID","",IF(R$7=2005+OFFSET(COM_2012!$B$60,$AW136,SUMIF($B$10:$B$16,"NCAP_TLIFE",$AX$10:$AX$16)),0,""))</f>
        <v/>
      </c>
      <c r="S136" s="369" t="str">
        <f ca="1">IF($B136&lt;&gt;"PRC_RESID","",IF(S$7=2005+OFFSET(COM_2012!$B$60,$AW136,SUMIF($B$10:$B$16,"NCAP_TLIFE",$AX$10:$AX$16)),0,""))</f>
        <v/>
      </c>
      <c r="T136" s="369" t="str">
        <f ca="1">IF($B136&lt;&gt;"PRC_RESID","",IF(T$7=2005+OFFSET(COM_2012!$B$60,$AW136,SUMIF($B$10:$B$16,"NCAP_TLIFE",$AX$10:$AX$16)),0,""))</f>
        <v/>
      </c>
      <c r="U136" s="369" t="str">
        <f ca="1">IF($B136&lt;&gt;"PRC_RESID","",IF(U$7=2005+OFFSET(COM_2012!$B$60,$AW136,SUMIF($B$10:$B$16,"NCAP_TLIFE",$AX$10:$AX$16)),0,""))</f>
        <v/>
      </c>
      <c r="V136" s="369" t="str">
        <f ca="1">IF($B136&lt;&gt;"PRC_RESID","",IF(V$7=2005+OFFSET(COM_2012!$B$60,$AW136,SUMIF($B$10:$B$16,"NCAP_TLIFE",$AX$10:$AX$16)),0,""))</f>
        <v/>
      </c>
      <c r="W136" s="369" t="str">
        <f ca="1">IF($B136&lt;&gt;"PRC_RESID","",IF(W$7=2005+OFFSET(COM_2012!$B$60,$AW136,SUMIF($B$10:$B$16,"NCAP_TLIFE",$AX$10:$AX$16)),0,""))</f>
        <v/>
      </c>
      <c r="X136" s="369" t="str">
        <f ca="1">IF($B136&lt;&gt;"PRC_RESID","",IF(X$7=2005+OFFSET(COM_2012!$B$60,$AW136,SUMIF($B$10:$B$16,"NCAP_TLIFE",$AX$10:$AX$16)),0,""))</f>
        <v/>
      </c>
      <c r="Y136" s="369" t="str">
        <f ca="1">IF($B136&lt;&gt;"PRC_RESID","",IF(Y$7=2005+OFFSET(COM_2012!$B$60,$AW136,SUMIF($B$10:$B$16,"NCAP_TLIFE",$AX$10:$AX$16)),0,""))</f>
        <v/>
      </c>
      <c r="Z136" s="369" t="str">
        <f ca="1">IF($B136&lt;&gt;"PRC_RESID","",IF(Z$7=2005+OFFSET(COM_2012!$B$60,$AW136,SUMIF($B$10:$B$16,"NCAP_TLIFE",$AX$10:$AX$16)),0,""))</f>
        <v/>
      </c>
      <c r="AA136" s="369" t="str">
        <f ca="1">IF($B136&lt;&gt;"PRC_RESID","",IF(AA$7=2005+OFFSET(COM_2012!$B$60,$AW136,SUMIF($B$10:$B$16,"NCAP_TLIFE",$AX$10:$AX$16)),0,""))</f>
        <v/>
      </c>
      <c r="AB136" s="369" t="str">
        <f ca="1">IF($B136&lt;&gt;"PRC_RESID","",IF(AB$7=2005+OFFSET(COM_2012!$B$60,$AW136,SUMIF($B$10:$B$16,"NCAP_TLIFE",$AX$10:$AX$16)),0,""))</f>
        <v/>
      </c>
      <c r="AC136" s="369" t="str">
        <f ca="1">IF($B136&lt;&gt;"PRC_RESID","",IF(AC$7=2005+OFFSET(COM_2012!$B$60,$AW136,SUMIF($B$10:$B$16,"NCAP_TLIFE",$AX$10:$AX$16)),0,""))</f>
        <v/>
      </c>
      <c r="AD136" s="369" t="str">
        <f ca="1">IF($B136&lt;&gt;"PRC_RESID","",IF(AD$7=2005+OFFSET(COM_2012!$B$60,$AW136,SUMIF($B$10:$B$16,"NCAP_TLIFE",$AX$10:$AX$16)),0,""))</f>
        <v/>
      </c>
      <c r="AE136" s="369" t="str">
        <f ca="1">IF($B136&lt;&gt;"PRC_RESID","",IF(AE$7=2005+OFFSET(COM_2012!$B$60,$AW136,SUMIF($B$10:$B$16,"NCAP_TLIFE",$AX$10:$AX$16)),0,""))</f>
        <v/>
      </c>
      <c r="AF136" s="369" t="str">
        <f ca="1">IF($B136&lt;&gt;"PRC_RESID","",IF(AF$7=2005+OFFSET(COM_2012!$B$60,$AW136,SUMIF($B$10:$B$16,"NCAP_TLIFE",$AX$10:$AX$16)),0,""))</f>
        <v/>
      </c>
      <c r="AG136" s="369" t="str">
        <f ca="1">IF($B136&lt;&gt;"PRC_RESID","",IF(AG$7=2005+OFFSET(COM_2012!$B$60,$AW136,SUMIF($B$10:$B$16,"NCAP_TLIFE",$AX$10:$AX$16)),0,""))</f>
        <v/>
      </c>
      <c r="AH136" s="369" t="str">
        <f ca="1">IF($B136&lt;&gt;"PRC_RESID","",IF(AH$7=2005+OFFSET(COM_2012!$B$60,$AW136,SUMIF($B$10:$B$16,"NCAP_TLIFE",$AX$10:$AX$16)),0,""))</f>
        <v/>
      </c>
      <c r="AI136" s="369" t="str">
        <f ca="1">IF($B136&lt;&gt;"PRC_RESID","",IF(AI$7=2005+OFFSET(COM_2012!$B$60,$AW136,SUMIF($B$10:$B$16,"NCAP_TLIFE",$AX$10:$AX$16)),0,""))</f>
        <v/>
      </c>
      <c r="AJ136" s="369" t="str">
        <f ca="1">IF($B136&lt;&gt;"PRC_RESID","",IF(AJ$7=2005+OFFSET(COM_2012!$B$60,$AW136,SUMIF($B$10:$B$16,"NCAP_TLIFE",$AX$10:$AX$16)),0,""))</f>
        <v/>
      </c>
      <c r="AK136" s="369" t="str">
        <f ca="1">IF($B136&lt;&gt;"PRC_RESID","",IF(AK$7=2005+OFFSET(COM_2012!$B$60,$AW136,SUMIF($B$10:$B$16,"NCAP_TLIFE",$AX$10:$AX$16)),0,""))</f>
        <v/>
      </c>
      <c r="AL136" s="369" t="str">
        <f ca="1">IF($B136&lt;&gt;"PRC_RESID","",IF(AL$7=2005+OFFSET(COM_2012!$B$60,$AW136,SUMIF($B$10:$B$16,"NCAP_TLIFE",$AX$10:$AX$16)),0,""))</f>
        <v/>
      </c>
      <c r="AM136" s="369" t="str">
        <f ca="1">IF($B136&lt;&gt;"PRC_RESID","",IF(AM$7=2005+OFFSET(COM_2012!$B$60,$AW136,SUMIF($B$10:$B$16,"NCAP_TLIFE",$AX$10:$AX$16)),0,""))</f>
        <v/>
      </c>
      <c r="AN136" s="369" t="str">
        <f ca="1">IF($B136&lt;&gt;"PRC_RESID","",IF(AN$7=2005+OFFSET(COM_2012!$B$60,$AW136,SUMIF($B$10:$B$16,"NCAP_TLIFE",$AX$10:$AX$16)),0,""))</f>
        <v/>
      </c>
      <c r="AO136" s="369" t="str">
        <f ca="1">IF($B136&lt;&gt;"PRC_RESID","",IF(AO$7=2005+OFFSET(COM_2012!$B$60,$AW136,SUMIF($B$10:$B$16,"NCAP_TLIFE",$AX$10:$AX$16)),0,""))</f>
        <v/>
      </c>
      <c r="AP136" s="369" t="str">
        <f ca="1">IF($B136&lt;&gt;"PRC_RESID","",IF(AP$7=2005+OFFSET(COM_2012!$B$60,$AW136,SUMIF($B$10:$B$16,"NCAP_TLIFE",$AX$10:$AX$16)),0,""))</f>
        <v/>
      </c>
      <c r="AQ136" s="369" t="str">
        <f ca="1">IF($B136&lt;&gt;"PRC_RESID","",IF(AQ$7=2005+OFFSET(COM_2012!$B$60,$AW136,SUMIF($B$10:$B$16,"NCAP_TLIFE",$AX$10:$AX$16)),0,""))</f>
        <v/>
      </c>
      <c r="AR136" s="369" t="str">
        <f ca="1">IF($B136&lt;&gt;"PRC_RESID","",IF(AR$7=2005+OFFSET(COM_2012!$B$60,$AW136,SUMIF($B$10:$B$16,"NCAP_TLIFE",$AX$10:$AX$16)),0,""))</f>
        <v/>
      </c>
      <c r="AS136" s="369" t="str">
        <f ca="1">IF($B136&lt;&gt;"PRC_RESID","",IF(AS$7=2005+OFFSET(COM_2012!$B$60,$AW136,SUMIF($B$10:$B$16,"NCAP_TLIFE",$AX$10:$AX$16)),0,""))</f>
        <v/>
      </c>
      <c r="AT136" s="369" t="str">
        <f ca="1">IF($B136&lt;&gt;"PRC_RESID","",IF(AT$7=2005+OFFSET(COM_2012!$B$60,$AW136,SUMIF($B$10:$B$16,"NCAP_TLIFE",$AX$10:$AX$16)),0,""))</f>
        <v/>
      </c>
      <c r="AU136" s="369" t="str">
        <f ca="1">IF($B136&lt;&gt;"PRC_RESID","",IF(AU$7=2005+OFFSET(COM_2012!$B$60,$AW136,SUMIF($B$10:$B$16,"NCAP_TLIFE",$AX$10:$AX$16)),0,""))</f>
        <v/>
      </c>
      <c r="AV136" s="304">
        <f>IF(AW135=COM_2012!$AI$121,AV135+1,AV135)</f>
        <v>2</v>
      </c>
      <c r="AW136" s="304">
        <f t="shared" si="12"/>
        <v>48</v>
      </c>
    </row>
    <row r="137" spans="1:49">
      <c r="A137" s="304" t="str">
        <f ca="1">IF(LEFT(OFFSET(COM_2012!$A$60,AW137,0),2)="\I","*","")</f>
        <v>*</v>
      </c>
      <c r="B137" s="369" t="str">
        <f t="shared" ca="1" si="10"/>
        <v/>
      </c>
      <c r="C137" s="369" t="str">
        <f ca="1">IF($A137="*","",OFFSET(COM_2012!$B$60,AW137,0))</f>
        <v/>
      </c>
      <c r="D137" s="369" t="str">
        <f t="shared" ca="1" si="14"/>
        <v/>
      </c>
      <c r="E137" s="369" t="str">
        <f t="shared" ca="1" si="14"/>
        <v/>
      </c>
      <c r="F137" s="369" t="str">
        <f t="shared" ca="1" si="14"/>
        <v/>
      </c>
      <c r="G137" s="369" t="str">
        <f t="shared" ca="1" si="14"/>
        <v/>
      </c>
      <c r="H137" s="369" t="str">
        <f t="shared" ca="1" si="14"/>
        <v/>
      </c>
      <c r="I137" s="370" t="str">
        <f t="shared" ca="1" si="14"/>
        <v/>
      </c>
      <c r="J137" s="391" t="str">
        <f ca="1">IF($A137="*","",OFFSET(COM_2012!$B$60,AW137,SUMIF($B$10:$B$16,B137,$AX$10:$AX$16)))</f>
        <v/>
      </c>
      <c r="K137" s="369" t="str">
        <f ca="1">IF($B137&lt;&gt;"PRC_RESID","",IF(K$7=2005+OFFSET(COM_2012!$B$60,$AW137,SUMIF($B$10:$B$16,"NCAP_TLIFE",$AX$10:$AX$16)),0,""))</f>
        <v/>
      </c>
      <c r="L137" s="369" t="str">
        <f ca="1">IF($B137&lt;&gt;"PRC_RESID","",IF(L$7=2005+OFFSET(COM_2012!$B$60,$AW137,SUMIF($B$10:$B$16,"NCAP_TLIFE",$AX$10:$AX$16)),0,""))</f>
        <v/>
      </c>
      <c r="M137" s="369" t="str">
        <f ca="1">IF($B137&lt;&gt;"PRC_RESID","",IF(M$7=2005+OFFSET(COM_2012!$B$60,$AW137,SUMIF($B$10:$B$16,"NCAP_TLIFE",$AX$10:$AX$16)),0,""))</f>
        <v/>
      </c>
      <c r="N137" s="369" t="str">
        <f ca="1">IF($B137&lt;&gt;"PRC_RESID","",IF(N$7=2005+OFFSET(COM_2012!$B$60,$AW137,SUMIF($B$10:$B$16,"NCAP_TLIFE",$AX$10:$AX$16)),0,""))</f>
        <v/>
      </c>
      <c r="O137" s="658" t="str">
        <f ca="1">IF($B137&lt;&gt;"PRC_RESID","",IF(O$7=2005+OFFSET(COM_2012!$B$60,$AW137,SUMIF($B$10:$B$16,"NCAP_TLIFE",$AX$10:$AX$16)),0,""))</f>
        <v/>
      </c>
      <c r="P137" s="369" t="str">
        <f ca="1">IF($B137&lt;&gt;"PRC_RESID","",IF(P$7=2005+OFFSET(COM_2012!$B$60,$AW137,SUMIF($B$10:$B$16,"NCAP_TLIFE",$AX$10:$AX$16)),0,""))</f>
        <v/>
      </c>
      <c r="Q137" s="369" t="str">
        <f ca="1">IF($B137&lt;&gt;"PRC_RESID","",IF(Q$7=2005+OFFSET(COM_2012!$B$60,$AW137,SUMIF($B$10:$B$16,"NCAP_TLIFE",$AX$10:$AX$16)),0,""))</f>
        <v/>
      </c>
      <c r="R137" s="369" t="str">
        <f ca="1">IF($B137&lt;&gt;"PRC_RESID","",IF(R$7=2005+OFFSET(COM_2012!$B$60,$AW137,SUMIF($B$10:$B$16,"NCAP_TLIFE",$AX$10:$AX$16)),0,""))</f>
        <v/>
      </c>
      <c r="S137" s="369" t="str">
        <f ca="1">IF($B137&lt;&gt;"PRC_RESID","",IF(S$7=2005+OFFSET(COM_2012!$B$60,$AW137,SUMIF($B$10:$B$16,"NCAP_TLIFE",$AX$10:$AX$16)),0,""))</f>
        <v/>
      </c>
      <c r="T137" s="369" t="str">
        <f ca="1">IF($B137&lt;&gt;"PRC_RESID","",IF(T$7=2005+OFFSET(COM_2012!$B$60,$AW137,SUMIF($B$10:$B$16,"NCAP_TLIFE",$AX$10:$AX$16)),0,""))</f>
        <v/>
      </c>
      <c r="U137" s="369" t="str">
        <f ca="1">IF($B137&lt;&gt;"PRC_RESID","",IF(U$7=2005+OFFSET(COM_2012!$B$60,$AW137,SUMIF($B$10:$B$16,"NCAP_TLIFE",$AX$10:$AX$16)),0,""))</f>
        <v/>
      </c>
      <c r="V137" s="369" t="str">
        <f ca="1">IF($B137&lt;&gt;"PRC_RESID","",IF(V$7=2005+OFFSET(COM_2012!$B$60,$AW137,SUMIF($B$10:$B$16,"NCAP_TLIFE",$AX$10:$AX$16)),0,""))</f>
        <v/>
      </c>
      <c r="W137" s="369" t="str">
        <f ca="1">IF($B137&lt;&gt;"PRC_RESID","",IF(W$7=2005+OFFSET(COM_2012!$B$60,$AW137,SUMIF($B$10:$B$16,"NCAP_TLIFE",$AX$10:$AX$16)),0,""))</f>
        <v/>
      </c>
      <c r="X137" s="369" t="str">
        <f ca="1">IF($B137&lt;&gt;"PRC_RESID","",IF(X$7=2005+OFFSET(COM_2012!$B$60,$AW137,SUMIF($B$10:$B$16,"NCAP_TLIFE",$AX$10:$AX$16)),0,""))</f>
        <v/>
      </c>
      <c r="Y137" s="369" t="str">
        <f ca="1">IF($B137&lt;&gt;"PRC_RESID","",IF(Y$7=2005+OFFSET(COM_2012!$B$60,$AW137,SUMIF($B$10:$B$16,"NCAP_TLIFE",$AX$10:$AX$16)),0,""))</f>
        <v/>
      </c>
      <c r="Z137" s="369" t="str">
        <f ca="1">IF($B137&lt;&gt;"PRC_RESID","",IF(Z$7=2005+OFFSET(COM_2012!$B$60,$AW137,SUMIF($B$10:$B$16,"NCAP_TLIFE",$AX$10:$AX$16)),0,""))</f>
        <v/>
      </c>
      <c r="AA137" s="369" t="str">
        <f ca="1">IF($B137&lt;&gt;"PRC_RESID","",IF(AA$7=2005+OFFSET(COM_2012!$B$60,$AW137,SUMIF($B$10:$B$16,"NCAP_TLIFE",$AX$10:$AX$16)),0,""))</f>
        <v/>
      </c>
      <c r="AB137" s="369" t="str">
        <f ca="1">IF($B137&lt;&gt;"PRC_RESID","",IF(AB$7=2005+OFFSET(COM_2012!$B$60,$AW137,SUMIF($B$10:$B$16,"NCAP_TLIFE",$AX$10:$AX$16)),0,""))</f>
        <v/>
      </c>
      <c r="AC137" s="369" t="str">
        <f ca="1">IF($B137&lt;&gt;"PRC_RESID","",IF(AC$7=2005+OFFSET(COM_2012!$B$60,$AW137,SUMIF($B$10:$B$16,"NCAP_TLIFE",$AX$10:$AX$16)),0,""))</f>
        <v/>
      </c>
      <c r="AD137" s="369" t="str">
        <f ca="1">IF($B137&lt;&gt;"PRC_RESID","",IF(AD$7=2005+OFFSET(COM_2012!$B$60,$AW137,SUMIF($B$10:$B$16,"NCAP_TLIFE",$AX$10:$AX$16)),0,""))</f>
        <v/>
      </c>
      <c r="AE137" s="369" t="str">
        <f ca="1">IF($B137&lt;&gt;"PRC_RESID","",IF(AE$7=2005+OFFSET(COM_2012!$B$60,$AW137,SUMIF($B$10:$B$16,"NCAP_TLIFE",$AX$10:$AX$16)),0,""))</f>
        <v/>
      </c>
      <c r="AF137" s="369" t="str">
        <f ca="1">IF($B137&lt;&gt;"PRC_RESID","",IF(AF$7=2005+OFFSET(COM_2012!$B$60,$AW137,SUMIF($B$10:$B$16,"NCAP_TLIFE",$AX$10:$AX$16)),0,""))</f>
        <v/>
      </c>
      <c r="AG137" s="369" t="str">
        <f ca="1">IF($B137&lt;&gt;"PRC_RESID","",IF(AG$7=2005+OFFSET(COM_2012!$B$60,$AW137,SUMIF($B$10:$B$16,"NCAP_TLIFE",$AX$10:$AX$16)),0,""))</f>
        <v/>
      </c>
      <c r="AH137" s="369" t="str">
        <f ca="1">IF($B137&lt;&gt;"PRC_RESID","",IF(AH$7=2005+OFFSET(COM_2012!$B$60,$AW137,SUMIF($B$10:$B$16,"NCAP_TLIFE",$AX$10:$AX$16)),0,""))</f>
        <v/>
      </c>
      <c r="AI137" s="369" t="str">
        <f ca="1">IF($B137&lt;&gt;"PRC_RESID","",IF(AI$7=2005+OFFSET(COM_2012!$B$60,$AW137,SUMIF($B$10:$B$16,"NCAP_TLIFE",$AX$10:$AX$16)),0,""))</f>
        <v/>
      </c>
      <c r="AJ137" s="369" t="str">
        <f ca="1">IF($B137&lt;&gt;"PRC_RESID","",IF(AJ$7=2005+OFFSET(COM_2012!$B$60,$AW137,SUMIF($B$10:$B$16,"NCAP_TLIFE",$AX$10:$AX$16)),0,""))</f>
        <v/>
      </c>
      <c r="AK137" s="369" t="str">
        <f ca="1">IF($B137&lt;&gt;"PRC_RESID","",IF(AK$7=2005+OFFSET(COM_2012!$B$60,$AW137,SUMIF($B$10:$B$16,"NCAP_TLIFE",$AX$10:$AX$16)),0,""))</f>
        <v/>
      </c>
      <c r="AL137" s="369" t="str">
        <f ca="1">IF($B137&lt;&gt;"PRC_RESID","",IF(AL$7=2005+OFFSET(COM_2012!$B$60,$AW137,SUMIF($B$10:$B$16,"NCAP_TLIFE",$AX$10:$AX$16)),0,""))</f>
        <v/>
      </c>
      <c r="AM137" s="369" t="str">
        <f ca="1">IF($B137&lt;&gt;"PRC_RESID","",IF(AM$7=2005+OFFSET(COM_2012!$B$60,$AW137,SUMIF($B$10:$B$16,"NCAP_TLIFE",$AX$10:$AX$16)),0,""))</f>
        <v/>
      </c>
      <c r="AN137" s="369" t="str">
        <f ca="1">IF($B137&lt;&gt;"PRC_RESID","",IF(AN$7=2005+OFFSET(COM_2012!$B$60,$AW137,SUMIF($B$10:$B$16,"NCAP_TLIFE",$AX$10:$AX$16)),0,""))</f>
        <v/>
      </c>
      <c r="AO137" s="369" t="str">
        <f ca="1">IF($B137&lt;&gt;"PRC_RESID","",IF(AO$7=2005+OFFSET(COM_2012!$B$60,$AW137,SUMIF($B$10:$B$16,"NCAP_TLIFE",$AX$10:$AX$16)),0,""))</f>
        <v/>
      </c>
      <c r="AP137" s="369" t="str">
        <f ca="1">IF($B137&lt;&gt;"PRC_RESID","",IF(AP$7=2005+OFFSET(COM_2012!$B$60,$AW137,SUMIF($B$10:$B$16,"NCAP_TLIFE",$AX$10:$AX$16)),0,""))</f>
        <v/>
      </c>
      <c r="AQ137" s="369" t="str">
        <f ca="1">IF($B137&lt;&gt;"PRC_RESID","",IF(AQ$7=2005+OFFSET(COM_2012!$B$60,$AW137,SUMIF($B$10:$B$16,"NCAP_TLIFE",$AX$10:$AX$16)),0,""))</f>
        <v/>
      </c>
      <c r="AR137" s="369" t="str">
        <f ca="1">IF($B137&lt;&gt;"PRC_RESID","",IF(AR$7=2005+OFFSET(COM_2012!$B$60,$AW137,SUMIF($B$10:$B$16,"NCAP_TLIFE",$AX$10:$AX$16)),0,""))</f>
        <v/>
      </c>
      <c r="AS137" s="369" t="str">
        <f ca="1">IF($B137&lt;&gt;"PRC_RESID","",IF(AS$7=2005+OFFSET(COM_2012!$B$60,$AW137,SUMIF($B$10:$B$16,"NCAP_TLIFE",$AX$10:$AX$16)),0,""))</f>
        <v/>
      </c>
      <c r="AT137" s="369" t="str">
        <f ca="1">IF($B137&lt;&gt;"PRC_RESID","",IF(AT$7=2005+OFFSET(COM_2012!$B$60,$AW137,SUMIF($B$10:$B$16,"NCAP_TLIFE",$AX$10:$AX$16)),0,""))</f>
        <v/>
      </c>
      <c r="AU137" s="369" t="str">
        <f ca="1">IF($B137&lt;&gt;"PRC_RESID","",IF(AU$7=2005+OFFSET(COM_2012!$B$60,$AW137,SUMIF($B$10:$B$16,"NCAP_TLIFE",$AX$10:$AX$16)),0,""))</f>
        <v/>
      </c>
      <c r="AV137" s="304">
        <f>IF(AW136=COM_2012!$AI$121,AV136+1,AV136)</f>
        <v>2</v>
      </c>
      <c r="AW137" s="304">
        <f t="shared" si="12"/>
        <v>49</v>
      </c>
    </row>
    <row r="138" spans="1:49">
      <c r="A138" s="304" t="str">
        <f ca="1">IF(LEFT(OFFSET(COM_2012!$A$60,AW138,0),2)="\I","*","")</f>
        <v/>
      </c>
      <c r="B138" s="369" t="str">
        <f t="shared" ca="1" si="10"/>
        <v>NCAP_BND</v>
      </c>
      <c r="C138" s="369" t="str">
        <f ca="1">IF($A138="*","",OFFSET(COM_2012!$B$60,AW138,0))</f>
        <v>CETELC-E</v>
      </c>
      <c r="D138" s="369" t="str">
        <f t="shared" ca="1" si="14"/>
        <v>-</v>
      </c>
      <c r="E138" s="369" t="str">
        <f t="shared" ca="1" si="14"/>
        <v>-</v>
      </c>
      <c r="F138" s="369" t="str">
        <f t="shared" ca="1" si="14"/>
        <v>-</v>
      </c>
      <c r="G138" s="369" t="str">
        <f t="shared" ca="1" si="14"/>
        <v>-</v>
      </c>
      <c r="H138" s="369" t="str">
        <f t="shared" ca="1" si="14"/>
        <v>UP</v>
      </c>
      <c r="I138" s="370">
        <f t="shared" ca="1" si="14"/>
        <v>0</v>
      </c>
      <c r="J138" s="391">
        <f ca="1">IF($A138="*","",OFFSET(COM_2012!$B$60,AW138,SUMIF($B$10:$B$16,B138,$AX$10:$AX$16)))</f>
        <v>0</v>
      </c>
      <c r="K138" s="369" t="str">
        <f ca="1">IF($B138&lt;&gt;"PRC_RESID","",IF(K$7=2005+OFFSET(COM_2012!$B$60,$AW138,SUMIF($B$10:$B$16,"NCAP_TLIFE",$AX$10:$AX$16)),0,""))</f>
        <v/>
      </c>
      <c r="L138" s="369" t="str">
        <f ca="1">IF($B138&lt;&gt;"PRC_RESID","",IF(L$7=2005+OFFSET(COM_2012!$B$60,$AW138,SUMIF($B$10:$B$16,"NCAP_TLIFE",$AX$10:$AX$16)),0,""))</f>
        <v/>
      </c>
      <c r="M138" s="369" t="str">
        <f ca="1">IF($B138&lt;&gt;"PRC_RESID","",IF(M$7=2005+OFFSET(COM_2012!$B$60,$AW138,SUMIF($B$10:$B$16,"NCAP_TLIFE",$AX$10:$AX$16)),0,""))</f>
        <v/>
      </c>
      <c r="N138" s="369" t="str">
        <f ca="1">IF($B138&lt;&gt;"PRC_RESID","",IF(N$7=2005+OFFSET(COM_2012!$B$60,$AW138,SUMIF($B$10:$B$16,"NCAP_TLIFE",$AX$10:$AX$16)),0,""))</f>
        <v/>
      </c>
      <c r="O138" s="658" t="str">
        <f ca="1">IF($B138&lt;&gt;"PRC_RESID","",IF(O$7=2005+OFFSET(COM_2012!$B$60,$AW138,SUMIF($B$10:$B$16,"NCAP_TLIFE",$AX$10:$AX$16)),0,""))</f>
        <v/>
      </c>
      <c r="P138" s="369" t="str">
        <f ca="1">IF($B138&lt;&gt;"PRC_RESID","",IF(P$7=2005+OFFSET(COM_2012!$B$60,$AW138,SUMIF($B$10:$B$16,"NCAP_TLIFE",$AX$10:$AX$16)),0,""))</f>
        <v/>
      </c>
      <c r="Q138" s="369" t="str">
        <f ca="1">IF($B138&lt;&gt;"PRC_RESID","",IF(Q$7=2005+OFFSET(COM_2012!$B$60,$AW138,SUMIF($B$10:$B$16,"NCAP_TLIFE",$AX$10:$AX$16)),0,""))</f>
        <v/>
      </c>
      <c r="R138" s="369" t="str">
        <f ca="1">IF($B138&lt;&gt;"PRC_RESID","",IF(R$7=2005+OFFSET(COM_2012!$B$60,$AW138,SUMIF($B$10:$B$16,"NCAP_TLIFE",$AX$10:$AX$16)),0,""))</f>
        <v/>
      </c>
      <c r="S138" s="369" t="str">
        <f ca="1">IF($B138&lt;&gt;"PRC_RESID","",IF(S$7=2005+OFFSET(COM_2012!$B$60,$AW138,SUMIF($B$10:$B$16,"NCAP_TLIFE",$AX$10:$AX$16)),0,""))</f>
        <v/>
      </c>
      <c r="T138" s="369" t="str">
        <f ca="1">IF($B138&lt;&gt;"PRC_RESID","",IF(T$7=2005+OFFSET(COM_2012!$B$60,$AW138,SUMIF($B$10:$B$16,"NCAP_TLIFE",$AX$10:$AX$16)),0,""))</f>
        <v/>
      </c>
      <c r="U138" s="369" t="str">
        <f ca="1">IF($B138&lt;&gt;"PRC_RESID","",IF(U$7=2005+OFFSET(COM_2012!$B$60,$AW138,SUMIF($B$10:$B$16,"NCAP_TLIFE",$AX$10:$AX$16)),0,""))</f>
        <v/>
      </c>
      <c r="V138" s="369" t="str">
        <f ca="1">IF($B138&lt;&gt;"PRC_RESID","",IF(V$7=2005+OFFSET(COM_2012!$B$60,$AW138,SUMIF($B$10:$B$16,"NCAP_TLIFE",$AX$10:$AX$16)),0,""))</f>
        <v/>
      </c>
      <c r="W138" s="369" t="str">
        <f ca="1">IF($B138&lt;&gt;"PRC_RESID","",IF(W$7=2005+OFFSET(COM_2012!$B$60,$AW138,SUMIF($B$10:$B$16,"NCAP_TLIFE",$AX$10:$AX$16)),0,""))</f>
        <v/>
      </c>
      <c r="X138" s="369" t="str">
        <f ca="1">IF($B138&lt;&gt;"PRC_RESID","",IF(X$7=2005+OFFSET(COM_2012!$B$60,$AW138,SUMIF($B$10:$B$16,"NCAP_TLIFE",$AX$10:$AX$16)),0,""))</f>
        <v/>
      </c>
      <c r="Y138" s="369" t="str">
        <f ca="1">IF($B138&lt;&gt;"PRC_RESID","",IF(Y$7=2005+OFFSET(COM_2012!$B$60,$AW138,SUMIF($B$10:$B$16,"NCAP_TLIFE",$AX$10:$AX$16)),0,""))</f>
        <v/>
      </c>
      <c r="Z138" s="369" t="str">
        <f ca="1">IF($B138&lt;&gt;"PRC_RESID","",IF(Z$7=2005+OFFSET(COM_2012!$B$60,$AW138,SUMIF($B$10:$B$16,"NCAP_TLIFE",$AX$10:$AX$16)),0,""))</f>
        <v/>
      </c>
      <c r="AA138" s="369" t="str">
        <f ca="1">IF($B138&lt;&gt;"PRC_RESID","",IF(AA$7=2005+OFFSET(COM_2012!$B$60,$AW138,SUMIF($B$10:$B$16,"NCAP_TLIFE",$AX$10:$AX$16)),0,""))</f>
        <v/>
      </c>
      <c r="AB138" s="369" t="str">
        <f ca="1">IF($B138&lt;&gt;"PRC_RESID","",IF(AB$7=2005+OFFSET(COM_2012!$B$60,$AW138,SUMIF($B$10:$B$16,"NCAP_TLIFE",$AX$10:$AX$16)),0,""))</f>
        <v/>
      </c>
      <c r="AC138" s="369" t="str">
        <f ca="1">IF($B138&lt;&gt;"PRC_RESID","",IF(AC$7=2005+OFFSET(COM_2012!$B$60,$AW138,SUMIF($B$10:$B$16,"NCAP_TLIFE",$AX$10:$AX$16)),0,""))</f>
        <v/>
      </c>
      <c r="AD138" s="369" t="str">
        <f ca="1">IF($B138&lt;&gt;"PRC_RESID","",IF(AD$7=2005+OFFSET(COM_2012!$B$60,$AW138,SUMIF($B$10:$B$16,"NCAP_TLIFE",$AX$10:$AX$16)),0,""))</f>
        <v/>
      </c>
      <c r="AE138" s="369" t="str">
        <f ca="1">IF($B138&lt;&gt;"PRC_RESID","",IF(AE$7=2005+OFFSET(COM_2012!$B$60,$AW138,SUMIF($B$10:$B$16,"NCAP_TLIFE",$AX$10:$AX$16)),0,""))</f>
        <v/>
      </c>
      <c r="AF138" s="369" t="str">
        <f ca="1">IF($B138&lt;&gt;"PRC_RESID","",IF(AF$7=2005+OFFSET(COM_2012!$B$60,$AW138,SUMIF($B$10:$B$16,"NCAP_TLIFE",$AX$10:$AX$16)),0,""))</f>
        <v/>
      </c>
      <c r="AG138" s="369" t="str">
        <f ca="1">IF($B138&lt;&gt;"PRC_RESID","",IF(AG$7=2005+OFFSET(COM_2012!$B$60,$AW138,SUMIF($B$10:$B$16,"NCAP_TLIFE",$AX$10:$AX$16)),0,""))</f>
        <v/>
      </c>
      <c r="AH138" s="369" t="str">
        <f ca="1">IF($B138&lt;&gt;"PRC_RESID","",IF(AH$7=2005+OFFSET(COM_2012!$B$60,$AW138,SUMIF($B$10:$B$16,"NCAP_TLIFE",$AX$10:$AX$16)),0,""))</f>
        <v/>
      </c>
      <c r="AI138" s="369" t="str">
        <f ca="1">IF($B138&lt;&gt;"PRC_RESID","",IF(AI$7=2005+OFFSET(COM_2012!$B$60,$AW138,SUMIF($B$10:$B$16,"NCAP_TLIFE",$AX$10:$AX$16)),0,""))</f>
        <v/>
      </c>
      <c r="AJ138" s="369" t="str">
        <f ca="1">IF($B138&lt;&gt;"PRC_RESID","",IF(AJ$7=2005+OFFSET(COM_2012!$B$60,$AW138,SUMIF($B$10:$B$16,"NCAP_TLIFE",$AX$10:$AX$16)),0,""))</f>
        <v/>
      </c>
      <c r="AK138" s="369" t="str">
        <f ca="1">IF($B138&lt;&gt;"PRC_RESID","",IF(AK$7=2005+OFFSET(COM_2012!$B$60,$AW138,SUMIF($B$10:$B$16,"NCAP_TLIFE",$AX$10:$AX$16)),0,""))</f>
        <v/>
      </c>
      <c r="AL138" s="369" t="str">
        <f ca="1">IF($B138&lt;&gt;"PRC_RESID","",IF(AL$7=2005+OFFSET(COM_2012!$B$60,$AW138,SUMIF($B$10:$B$16,"NCAP_TLIFE",$AX$10:$AX$16)),0,""))</f>
        <v/>
      </c>
      <c r="AM138" s="369" t="str">
        <f ca="1">IF($B138&lt;&gt;"PRC_RESID","",IF(AM$7=2005+OFFSET(COM_2012!$B$60,$AW138,SUMIF($B$10:$B$16,"NCAP_TLIFE",$AX$10:$AX$16)),0,""))</f>
        <v/>
      </c>
      <c r="AN138" s="369" t="str">
        <f ca="1">IF($B138&lt;&gt;"PRC_RESID","",IF(AN$7=2005+OFFSET(COM_2012!$B$60,$AW138,SUMIF($B$10:$B$16,"NCAP_TLIFE",$AX$10:$AX$16)),0,""))</f>
        <v/>
      </c>
      <c r="AO138" s="369" t="str">
        <f ca="1">IF($B138&lt;&gt;"PRC_RESID","",IF(AO$7=2005+OFFSET(COM_2012!$B$60,$AW138,SUMIF($B$10:$B$16,"NCAP_TLIFE",$AX$10:$AX$16)),0,""))</f>
        <v/>
      </c>
      <c r="AP138" s="369" t="str">
        <f ca="1">IF($B138&lt;&gt;"PRC_RESID","",IF(AP$7=2005+OFFSET(COM_2012!$B$60,$AW138,SUMIF($B$10:$B$16,"NCAP_TLIFE",$AX$10:$AX$16)),0,""))</f>
        <v/>
      </c>
      <c r="AQ138" s="369" t="str">
        <f ca="1">IF($B138&lt;&gt;"PRC_RESID","",IF(AQ$7=2005+OFFSET(COM_2012!$B$60,$AW138,SUMIF($B$10:$B$16,"NCAP_TLIFE",$AX$10:$AX$16)),0,""))</f>
        <v/>
      </c>
      <c r="AR138" s="369" t="str">
        <f ca="1">IF($B138&lt;&gt;"PRC_RESID","",IF(AR$7=2005+OFFSET(COM_2012!$B$60,$AW138,SUMIF($B$10:$B$16,"NCAP_TLIFE",$AX$10:$AX$16)),0,""))</f>
        <v/>
      </c>
      <c r="AS138" s="369" t="str">
        <f ca="1">IF($B138&lt;&gt;"PRC_RESID","",IF(AS$7=2005+OFFSET(COM_2012!$B$60,$AW138,SUMIF($B$10:$B$16,"NCAP_TLIFE",$AX$10:$AX$16)),0,""))</f>
        <v/>
      </c>
      <c r="AT138" s="369" t="str">
        <f ca="1">IF($B138&lt;&gt;"PRC_RESID","",IF(AT$7=2005+OFFSET(COM_2012!$B$60,$AW138,SUMIF($B$10:$B$16,"NCAP_TLIFE",$AX$10:$AX$16)),0,""))</f>
        <v/>
      </c>
      <c r="AU138" s="369" t="str">
        <f ca="1">IF($B138&lt;&gt;"PRC_RESID","",IF(AU$7=2005+OFFSET(COM_2012!$B$60,$AW138,SUMIF($B$10:$B$16,"NCAP_TLIFE",$AX$10:$AX$16)),0,""))</f>
        <v/>
      </c>
      <c r="AV138" s="304">
        <f>IF(AW137=COM_2012!$AI$121,AV137+1,AV137)</f>
        <v>2</v>
      </c>
      <c r="AW138" s="304">
        <f t="shared" si="12"/>
        <v>50</v>
      </c>
    </row>
    <row r="139" spans="1:49">
      <c r="A139" s="304" t="str">
        <f ca="1">IF(LEFT(OFFSET(COM_2012!$A$60,AW139,0),2)="\I","*","")</f>
        <v>*</v>
      </c>
      <c r="B139" s="369" t="str">
        <f t="shared" ca="1" si="10"/>
        <v/>
      </c>
      <c r="C139" s="369" t="str">
        <f ca="1">IF($A139="*","",OFFSET(COM_2012!$B$60,AW139,0))</f>
        <v/>
      </c>
      <c r="D139" s="369" t="str">
        <f t="shared" ca="1" si="14"/>
        <v/>
      </c>
      <c r="E139" s="369" t="str">
        <f t="shared" ca="1" si="14"/>
        <v/>
      </c>
      <c r="F139" s="369" t="str">
        <f t="shared" ca="1" si="14"/>
        <v/>
      </c>
      <c r="G139" s="369" t="str">
        <f t="shared" ca="1" si="14"/>
        <v/>
      </c>
      <c r="H139" s="369" t="str">
        <f t="shared" ca="1" si="14"/>
        <v/>
      </c>
      <c r="I139" s="370" t="str">
        <f t="shared" ca="1" si="14"/>
        <v/>
      </c>
      <c r="J139" s="391" t="str">
        <f ca="1">IF($A139="*","",OFFSET(COM_2012!$B$60,AW139,SUMIF($B$10:$B$16,B139,$AX$10:$AX$16)))</f>
        <v/>
      </c>
      <c r="K139" s="369" t="str">
        <f ca="1">IF($B139&lt;&gt;"PRC_RESID","",IF(K$7=2005+OFFSET(COM_2012!$B$60,$AW139,SUMIF($B$10:$B$16,"NCAP_TLIFE",$AX$10:$AX$16)),0,""))</f>
        <v/>
      </c>
      <c r="L139" s="369" t="str">
        <f ca="1">IF($B139&lt;&gt;"PRC_RESID","",IF(L$7=2005+OFFSET(COM_2012!$B$60,$AW139,SUMIF($B$10:$B$16,"NCAP_TLIFE",$AX$10:$AX$16)),0,""))</f>
        <v/>
      </c>
      <c r="M139" s="369" t="str">
        <f ca="1">IF($B139&lt;&gt;"PRC_RESID","",IF(M$7=2005+OFFSET(COM_2012!$B$60,$AW139,SUMIF($B$10:$B$16,"NCAP_TLIFE",$AX$10:$AX$16)),0,""))</f>
        <v/>
      </c>
      <c r="N139" s="369" t="str">
        <f ca="1">IF($B139&lt;&gt;"PRC_RESID","",IF(N$7=2005+OFFSET(COM_2012!$B$60,$AW139,SUMIF($B$10:$B$16,"NCAP_TLIFE",$AX$10:$AX$16)),0,""))</f>
        <v/>
      </c>
      <c r="O139" s="658" t="str">
        <f ca="1">IF($B139&lt;&gt;"PRC_RESID","",IF(O$7=2005+OFFSET(COM_2012!$B$60,$AW139,SUMIF($B$10:$B$16,"NCAP_TLIFE",$AX$10:$AX$16)),0,""))</f>
        <v/>
      </c>
      <c r="P139" s="369" t="str">
        <f ca="1">IF($B139&lt;&gt;"PRC_RESID","",IF(P$7=2005+OFFSET(COM_2012!$B$60,$AW139,SUMIF($B$10:$B$16,"NCAP_TLIFE",$AX$10:$AX$16)),0,""))</f>
        <v/>
      </c>
      <c r="Q139" s="369" t="str">
        <f ca="1">IF($B139&lt;&gt;"PRC_RESID","",IF(Q$7=2005+OFFSET(COM_2012!$B$60,$AW139,SUMIF($B$10:$B$16,"NCAP_TLIFE",$AX$10:$AX$16)),0,""))</f>
        <v/>
      </c>
      <c r="R139" s="369" t="str">
        <f ca="1">IF($B139&lt;&gt;"PRC_RESID","",IF(R$7=2005+OFFSET(COM_2012!$B$60,$AW139,SUMIF($B$10:$B$16,"NCAP_TLIFE",$AX$10:$AX$16)),0,""))</f>
        <v/>
      </c>
      <c r="S139" s="369" t="str">
        <f ca="1">IF($B139&lt;&gt;"PRC_RESID","",IF(S$7=2005+OFFSET(COM_2012!$B$60,$AW139,SUMIF($B$10:$B$16,"NCAP_TLIFE",$AX$10:$AX$16)),0,""))</f>
        <v/>
      </c>
      <c r="T139" s="369" t="str">
        <f ca="1">IF($B139&lt;&gt;"PRC_RESID","",IF(T$7=2005+OFFSET(COM_2012!$B$60,$AW139,SUMIF($B$10:$B$16,"NCAP_TLIFE",$AX$10:$AX$16)),0,""))</f>
        <v/>
      </c>
      <c r="U139" s="369" t="str">
        <f ca="1">IF($B139&lt;&gt;"PRC_RESID","",IF(U$7=2005+OFFSET(COM_2012!$B$60,$AW139,SUMIF($B$10:$B$16,"NCAP_TLIFE",$AX$10:$AX$16)),0,""))</f>
        <v/>
      </c>
      <c r="V139" s="369" t="str">
        <f ca="1">IF($B139&lt;&gt;"PRC_RESID","",IF(V$7=2005+OFFSET(COM_2012!$B$60,$AW139,SUMIF($B$10:$B$16,"NCAP_TLIFE",$AX$10:$AX$16)),0,""))</f>
        <v/>
      </c>
      <c r="W139" s="369" t="str">
        <f ca="1">IF($B139&lt;&gt;"PRC_RESID","",IF(W$7=2005+OFFSET(COM_2012!$B$60,$AW139,SUMIF($B$10:$B$16,"NCAP_TLIFE",$AX$10:$AX$16)),0,""))</f>
        <v/>
      </c>
      <c r="X139" s="369" t="str">
        <f ca="1">IF($B139&lt;&gt;"PRC_RESID","",IF(X$7=2005+OFFSET(COM_2012!$B$60,$AW139,SUMIF($B$10:$B$16,"NCAP_TLIFE",$AX$10:$AX$16)),0,""))</f>
        <v/>
      </c>
      <c r="Y139" s="369" t="str">
        <f ca="1">IF($B139&lt;&gt;"PRC_RESID","",IF(Y$7=2005+OFFSET(COM_2012!$B$60,$AW139,SUMIF($B$10:$B$16,"NCAP_TLIFE",$AX$10:$AX$16)),0,""))</f>
        <v/>
      </c>
      <c r="Z139" s="369" t="str">
        <f ca="1">IF($B139&lt;&gt;"PRC_RESID","",IF(Z$7=2005+OFFSET(COM_2012!$B$60,$AW139,SUMIF($B$10:$B$16,"NCAP_TLIFE",$AX$10:$AX$16)),0,""))</f>
        <v/>
      </c>
      <c r="AA139" s="369" t="str">
        <f ca="1">IF($B139&lt;&gt;"PRC_RESID","",IF(AA$7=2005+OFFSET(COM_2012!$B$60,$AW139,SUMIF($B$10:$B$16,"NCAP_TLIFE",$AX$10:$AX$16)),0,""))</f>
        <v/>
      </c>
      <c r="AB139" s="369" t="str">
        <f ca="1">IF($B139&lt;&gt;"PRC_RESID","",IF(AB$7=2005+OFFSET(COM_2012!$B$60,$AW139,SUMIF($B$10:$B$16,"NCAP_TLIFE",$AX$10:$AX$16)),0,""))</f>
        <v/>
      </c>
      <c r="AC139" s="369" t="str">
        <f ca="1">IF($B139&lt;&gt;"PRC_RESID","",IF(AC$7=2005+OFFSET(COM_2012!$B$60,$AW139,SUMIF($B$10:$B$16,"NCAP_TLIFE",$AX$10:$AX$16)),0,""))</f>
        <v/>
      </c>
      <c r="AD139" s="369" t="str">
        <f ca="1">IF($B139&lt;&gt;"PRC_RESID","",IF(AD$7=2005+OFFSET(COM_2012!$B$60,$AW139,SUMIF($B$10:$B$16,"NCAP_TLIFE",$AX$10:$AX$16)),0,""))</f>
        <v/>
      </c>
      <c r="AE139" s="369" t="str">
        <f ca="1">IF($B139&lt;&gt;"PRC_RESID","",IF(AE$7=2005+OFFSET(COM_2012!$B$60,$AW139,SUMIF($B$10:$B$16,"NCAP_TLIFE",$AX$10:$AX$16)),0,""))</f>
        <v/>
      </c>
      <c r="AF139" s="369" t="str">
        <f ca="1">IF($B139&lt;&gt;"PRC_RESID","",IF(AF$7=2005+OFFSET(COM_2012!$B$60,$AW139,SUMIF($B$10:$B$16,"NCAP_TLIFE",$AX$10:$AX$16)),0,""))</f>
        <v/>
      </c>
      <c r="AG139" s="369" t="str">
        <f ca="1">IF($B139&lt;&gt;"PRC_RESID","",IF(AG$7=2005+OFFSET(COM_2012!$B$60,$AW139,SUMIF($B$10:$B$16,"NCAP_TLIFE",$AX$10:$AX$16)),0,""))</f>
        <v/>
      </c>
      <c r="AH139" s="369" t="str">
        <f ca="1">IF($B139&lt;&gt;"PRC_RESID","",IF(AH$7=2005+OFFSET(COM_2012!$B$60,$AW139,SUMIF($B$10:$B$16,"NCAP_TLIFE",$AX$10:$AX$16)),0,""))</f>
        <v/>
      </c>
      <c r="AI139" s="369" t="str">
        <f ca="1">IF($B139&lt;&gt;"PRC_RESID","",IF(AI$7=2005+OFFSET(COM_2012!$B$60,$AW139,SUMIF($B$10:$B$16,"NCAP_TLIFE",$AX$10:$AX$16)),0,""))</f>
        <v/>
      </c>
      <c r="AJ139" s="369" t="str">
        <f ca="1">IF($B139&lt;&gt;"PRC_RESID","",IF(AJ$7=2005+OFFSET(COM_2012!$B$60,$AW139,SUMIF($B$10:$B$16,"NCAP_TLIFE",$AX$10:$AX$16)),0,""))</f>
        <v/>
      </c>
      <c r="AK139" s="369" t="str">
        <f ca="1">IF($B139&lt;&gt;"PRC_RESID","",IF(AK$7=2005+OFFSET(COM_2012!$B$60,$AW139,SUMIF($B$10:$B$16,"NCAP_TLIFE",$AX$10:$AX$16)),0,""))</f>
        <v/>
      </c>
      <c r="AL139" s="369" t="str">
        <f ca="1">IF($B139&lt;&gt;"PRC_RESID","",IF(AL$7=2005+OFFSET(COM_2012!$B$60,$AW139,SUMIF($B$10:$B$16,"NCAP_TLIFE",$AX$10:$AX$16)),0,""))</f>
        <v/>
      </c>
      <c r="AM139" s="369" t="str">
        <f ca="1">IF($B139&lt;&gt;"PRC_RESID","",IF(AM$7=2005+OFFSET(COM_2012!$B$60,$AW139,SUMIF($B$10:$B$16,"NCAP_TLIFE",$AX$10:$AX$16)),0,""))</f>
        <v/>
      </c>
      <c r="AN139" s="369" t="str">
        <f ca="1">IF($B139&lt;&gt;"PRC_RESID","",IF(AN$7=2005+OFFSET(COM_2012!$B$60,$AW139,SUMIF($B$10:$B$16,"NCAP_TLIFE",$AX$10:$AX$16)),0,""))</f>
        <v/>
      </c>
      <c r="AO139" s="369" t="str">
        <f ca="1">IF($B139&lt;&gt;"PRC_RESID","",IF(AO$7=2005+OFFSET(COM_2012!$B$60,$AW139,SUMIF($B$10:$B$16,"NCAP_TLIFE",$AX$10:$AX$16)),0,""))</f>
        <v/>
      </c>
      <c r="AP139" s="369" t="str">
        <f ca="1">IF($B139&lt;&gt;"PRC_RESID","",IF(AP$7=2005+OFFSET(COM_2012!$B$60,$AW139,SUMIF($B$10:$B$16,"NCAP_TLIFE",$AX$10:$AX$16)),0,""))</f>
        <v/>
      </c>
      <c r="AQ139" s="369" t="str">
        <f ca="1">IF($B139&lt;&gt;"PRC_RESID","",IF(AQ$7=2005+OFFSET(COM_2012!$B$60,$AW139,SUMIF($B$10:$B$16,"NCAP_TLIFE",$AX$10:$AX$16)),0,""))</f>
        <v/>
      </c>
      <c r="AR139" s="369" t="str">
        <f ca="1">IF($B139&lt;&gt;"PRC_RESID","",IF(AR$7=2005+OFFSET(COM_2012!$B$60,$AW139,SUMIF($B$10:$B$16,"NCAP_TLIFE",$AX$10:$AX$16)),0,""))</f>
        <v/>
      </c>
      <c r="AS139" s="369" t="str">
        <f ca="1">IF($B139&lt;&gt;"PRC_RESID","",IF(AS$7=2005+OFFSET(COM_2012!$B$60,$AW139,SUMIF($B$10:$B$16,"NCAP_TLIFE",$AX$10:$AX$16)),0,""))</f>
        <v/>
      </c>
      <c r="AT139" s="369" t="str">
        <f ca="1">IF($B139&lt;&gt;"PRC_RESID","",IF(AT$7=2005+OFFSET(COM_2012!$B$60,$AW139,SUMIF($B$10:$B$16,"NCAP_TLIFE",$AX$10:$AX$16)),0,""))</f>
        <v/>
      </c>
      <c r="AU139" s="369" t="str">
        <f ca="1">IF($B139&lt;&gt;"PRC_RESID","",IF(AU$7=2005+OFFSET(COM_2012!$B$60,$AW139,SUMIF($B$10:$B$16,"NCAP_TLIFE",$AX$10:$AX$16)),0,""))</f>
        <v/>
      </c>
      <c r="AV139" s="304">
        <f>IF(AW138=COM_2012!$AI$121,AV138+1,AV138)</f>
        <v>2</v>
      </c>
      <c r="AW139" s="304">
        <f t="shared" si="12"/>
        <v>51</v>
      </c>
    </row>
    <row r="140" spans="1:49">
      <c r="A140" s="304" t="str">
        <f ca="1">IF(LEFT(OFFSET(COM_2012!$A$60,AW140,0),2)="\I","*","")</f>
        <v>*</v>
      </c>
      <c r="B140" s="369" t="str">
        <f t="shared" ca="1" si="10"/>
        <v/>
      </c>
      <c r="C140" s="369" t="str">
        <f ca="1">IF($A140="*","",OFFSET(COM_2012!$B$60,AW140,0))</f>
        <v/>
      </c>
      <c r="D140" s="369" t="str">
        <f t="shared" ca="1" si="14"/>
        <v/>
      </c>
      <c r="E140" s="369" t="str">
        <f t="shared" ca="1" si="14"/>
        <v/>
      </c>
      <c r="F140" s="369" t="str">
        <f t="shared" ca="1" si="14"/>
        <v/>
      </c>
      <c r="G140" s="369" t="str">
        <f t="shared" ca="1" si="14"/>
        <v/>
      </c>
      <c r="H140" s="369" t="str">
        <f t="shared" ca="1" si="14"/>
        <v/>
      </c>
      <c r="I140" s="370" t="str">
        <f t="shared" ca="1" si="14"/>
        <v/>
      </c>
      <c r="J140" s="391" t="str">
        <f ca="1">IF($A140="*","",OFFSET(COM_2012!$B$60,AW140,SUMIF($B$10:$B$16,B140,$AX$10:$AX$16)))</f>
        <v/>
      </c>
      <c r="K140" s="369" t="str">
        <f ca="1">IF($B140&lt;&gt;"PRC_RESID","",IF(K$7=2005+OFFSET(COM_2012!$B$60,$AW140,SUMIF($B$10:$B$16,"NCAP_TLIFE",$AX$10:$AX$16)),0,""))</f>
        <v/>
      </c>
      <c r="L140" s="369" t="str">
        <f ca="1">IF($B140&lt;&gt;"PRC_RESID","",IF(L$7=2005+OFFSET(COM_2012!$B$60,$AW140,SUMIF($B$10:$B$16,"NCAP_TLIFE",$AX$10:$AX$16)),0,""))</f>
        <v/>
      </c>
      <c r="M140" s="369" t="str">
        <f ca="1">IF($B140&lt;&gt;"PRC_RESID","",IF(M$7=2005+OFFSET(COM_2012!$B$60,$AW140,SUMIF($B$10:$B$16,"NCAP_TLIFE",$AX$10:$AX$16)),0,""))</f>
        <v/>
      </c>
      <c r="N140" s="369" t="str">
        <f ca="1">IF($B140&lt;&gt;"PRC_RESID","",IF(N$7=2005+OFFSET(COM_2012!$B$60,$AW140,SUMIF($B$10:$B$16,"NCAP_TLIFE",$AX$10:$AX$16)),0,""))</f>
        <v/>
      </c>
      <c r="O140" s="658" t="str">
        <f ca="1">IF($B140&lt;&gt;"PRC_RESID","",IF(O$7=2005+OFFSET(COM_2012!$B$60,$AW140,SUMIF($B$10:$B$16,"NCAP_TLIFE",$AX$10:$AX$16)),0,""))</f>
        <v/>
      </c>
      <c r="P140" s="369" t="str">
        <f ca="1">IF($B140&lt;&gt;"PRC_RESID","",IF(P$7=2005+OFFSET(COM_2012!$B$60,$AW140,SUMIF($B$10:$B$16,"NCAP_TLIFE",$AX$10:$AX$16)),0,""))</f>
        <v/>
      </c>
      <c r="Q140" s="369" t="str">
        <f ca="1">IF($B140&lt;&gt;"PRC_RESID","",IF(Q$7=2005+OFFSET(COM_2012!$B$60,$AW140,SUMIF($B$10:$B$16,"NCAP_TLIFE",$AX$10:$AX$16)),0,""))</f>
        <v/>
      </c>
      <c r="R140" s="369" t="str">
        <f ca="1">IF($B140&lt;&gt;"PRC_RESID","",IF(R$7=2005+OFFSET(COM_2012!$B$60,$AW140,SUMIF($B$10:$B$16,"NCAP_TLIFE",$AX$10:$AX$16)),0,""))</f>
        <v/>
      </c>
      <c r="S140" s="369" t="str">
        <f ca="1">IF($B140&lt;&gt;"PRC_RESID","",IF(S$7=2005+OFFSET(COM_2012!$B$60,$AW140,SUMIF($B$10:$B$16,"NCAP_TLIFE",$AX$10:$AX$16)),0,""))</f>
        <v/>
      </c>
      <c r="T140" s="369" t="str">
        <f ca="1">IF($B140&lt;&gt;"PRC_RESID","",IF(T$7=2005+OFFSET(COM_2012!$B$60,$AW140,SUMIF($B$10:$B$16,"NCAP_TLIFE",$AX$10:$AX$16)),0,""))</f>
        <v/>
      </c>
      <c r="U140" s="369" t="str">
        <f ca="1">IF($B140&lt;&gt;"PRC_RESID","",IF(U$7=2005+OFFSET(COM_2012!$B$60,$AW140,SUMIF($B$10:$B$16,"NCAP_TLIFE",$AX$10:$AX$16)),0,""))</f>
        <v/>
      </c>
      <c r="V140" s="369" t="str">
        <f ca="1">IF($B140&lt;&gt;"PRC_RESID","",IF(V$7=2005+OFFSET(COM_2012!$B$60,$AW140,SUMIF($B$10:$B$16,"NCAP_TLIFE",$AX$10:$AX$16)),0,""))</f>
        <v/>
      </c>
      <c r="W140" s="369" t="str">
        <f ca="1">IF($B140&lt;&gt;"PRC_RESID","",IF(W$7=2005+OFFSET(COM_2012!$B$60,$AW140,SUMIF($B$10:$B$16,"NCAP_TLIFE",$AX$10:$AX$16)),0,""))</f>
        <v/>
      </c>
      <c r="X140" s="369" t="str">
        <f ca="1">IF($B140&lt;&gt;"PRC_RESID","",IF(X$7=2005+OFFSET(COM_2012!$B$60,$AW140,SUMIF($B$10:$B$16,"NCAP_TLIFE",$AX$10:$AX$16)),0,""))</f>
        <v/>
      </c>
      <c r="Y140" s="369" t="str">
        <f ca="1">IF($B140&lt;&gt;"PRC_RESID","",IF(Y$7=2005+OFFSET(COM_2012!$B$60,$AW140,SUMIF($B$10:$B$16,"NCAP_TLIFE",$AX$10:$AX$16)),0,""))</f>
        <v/>
      </c>
      <c r="Z140" s="369" t="str">
        <f ca="1">IF($B140&lt;&gt;"PRC_RESID","",IF(Z$7=2005+OFFSET(COM_2012!$B$60,$AW140,SUMIF($B$10:$B$16,"NCAP_TLIFE",$AX$10:$AX$16)),0,""))</f>
        <v/>
      </c>
      <c r="AA140" s="369" t="str">
        <f ca="1">IF($B140&lt;&gt;"PRC_RESID","",IF(AA$7=2005+OFFSET(COM_2012!$B$60,$AW140,SUMIF($B$10:$B$16,"NCAP_TLIFE",$AX$10:$AX$16)),0,""))</f>
        <v/>
      </c>
      <c r="AB140" s="369" t="str">
        <f ca="1">IF($B140&lt;&gt;"PRC_RESID","",IF(AB$7=2005+OFFSET(COM_2012!$B$60,$AW140,SUMIF($B$10:$B$16,"NCAP_TLIFE",$AX$10:$AX$16)),0,""))</f>
        <v/>
      </c>
      <c r="AC140" s="369" t="str">
        <f ca="1">IF($B140&lt;&gt;"PRC_RESID","",IF(AC$7=2005+OFFSET(COM_2012!$B$60,$AW140,SUMIF($B$10:$B$16,"NCAP_TLIFE",$AX$10:$AX$16)),0,""))</f>
        <v/>
      </c>
      <c r="AD140" s="369" t="str">
        <f ca="1">IF($B140&lt;&gt;"PRC_RESID","",IF(AD$7=2005+OFFSET(COM_2012!$B$60,$AW140,SUMIF($B$10:$B$16,"NCAP_TLIFE",$AX$10:$AX$16)),0,""))</f>
        <v/>
      </c>
      <c r="AE140" s="369" t="str">
        <f ca="1">IF($B140&lt;&gt;"PRC_RESID","",IF(AE$7=2005+OFFSET(COM_2012!$B$60,$AW140,SUMIF($B$10:$B$16,"NCAP_TLIFE",$AX$10:$AX$16)),0,""))</f>
        <v/>
      </c>
      <c r="AF140" s="369" t="str">
        <f ca="1">IF($B140&lt;&gt;"PRC_RESID","",IF(AF$7=2005+OFFSET(COM_2012!$B$60,$AW140,SUMIF($B$10:$B$16,"NCAP_TLIFE",$AX$10:$AX$16)),0,""))</f>
        <v/>
      </c>
      <c r="AG140" s="369" t="str">
        <f ca="1">IF($B140&lt;&gt;"PRC_RESID","",IF(AG$7=2005+OFFSET(COM_2012!$B$60,$AW140,SUMIF($B$10:$B$16,"NCAP_TLIFE",$AX$10:$AX$16)),0,""))</f>
        <v/>
      </c>
      <c r="AH140" s="369" t="str">
        <f ca="1">IF($B140&lt;&gt;"PRC_RESID","",IF(AH$7=2005+OFFSET(COM_2012!$B$60,$AW140,SUMIF($B$10:$B$16,"NCAP_TLIFE",$AX$10:$AX$16)),0,""))</f>
        <v/>
      </c>
      <c r="AI140" s="369" t="str">
        <f ca="1">IF($B140&lt;&gt;"PRC_RESID","",IF(AI$7=2005+OFFSET(COM_2012!$B$60,$AW140,SUMIF($B$10:$B$16,"NCAP_TLIFE",$AX$10:$AX$16)),0,""))</f>
        <v/>
      </c>
      <c r="AJ140" s="369" t="str">
        <f ca="1">IF($B140&lt;&gt;"PRC_RESID","",IF(AJ$7=2005+OFFSET(COM_2012!$B$60,$AW140,SUMIF($B$10:$B$16,"NCAP_TLIFE",$AX$10:$AX$16)),0,""))</f>
        <v/>
      </c>
      <c r="AK140" s="369" t="str">
        <f ca="1">IF($B140&lt;&gt;"PRC_RESID","",IF(AK$7=2005+OFFSET(COM_2012!$B$60,$AW140,SUMIF($B$10:$B$16,"NCAP_TLIFE",$AX$10:$AX$16)),0,""))</f>
        <v/>
      </c>
      <c r="AL140" s="369" t="str">
        <f ca="1">IF($B140&lt;&gt;"PRC_RESID","",IF(AL$7=2005+OFFSET(COM_2012!$B$60,$AW140,SUMIF($B$10:$B$16,"NCAP_TLIFE",$AX$10:$AX$16)),0,""))</f>
        <v/>
      </c>
      <c r="AM140" s="369" t="str">
        <f ca="1">IF($B140&lt;&gt;"PRC_RESID","",IF(AM$7=2005+OFFSET(COM_2012!$B$60,$AW140,SUMIF($B$10:$B$16,"NCAP_TLIFE",$AX$10:$AX$16)),0,""))</f>
        <v/>
      </c>
      <c r="AN140" s="369" t="str">
        <f ca="1">IF($B140&lt;&gt;"PRC_RESID","",IF(AN$7=2005+OFFSET(COM_2012!$B$60,$AW140,SUMIF($B$10:$B$16,"NCAP_TLIFE",$AX$10:$AX$16)),0,""))</f>
        <v/>
      </c>
      <c r="AO140" s="369" t="str">
        <f ca="1">IF($B140&lt;&gt;"PRC_RESID","",IF(AO$7=2005+OFFSET(COM_2012!$B$60,$AW140,SUMIF($B$10:$B$16,"NCAP_TLIFE",$AX$10:$AX$16)),0,""))</f>
        <v/>
      </c>
      <c r="AP140" s="369" t="str">
        <f ca="1">IF($B140&lt;&gt;"PRC_RESID","",IF(AP$7=2005+OFFSET(COM_2012!$B$60,$AW140,SUMIF($B$10:$B$16,"NCAP_TLIFE",$AX$10:$AX$16)),0,""))</f>
        <v/>
      </c>
      <c r="AQ140" s="369" t="str">
        <f ca="1">IF($B140&lt;&gt;"PRC_RESID","",IF(AQ$7=2005+OFFSET(COM_2012!$B$60,$AW140,SUMIF($B$10:$B$16,"NCAP_TLIFE",$AX$10:$AX$16)),0,""))</f>
        <v/>
      </c>
      <c r="AR140" s="369" t="str">
        <f ca="1">IF($B140&lt;&gt;"PRC_RESID","",IF(AR$7=2005+OFFSET(COM_2012!$B$60,$AW140,SUMIF($B$10:$B$16,"NCAP_TLIFE",$AX$10:$AX$16)),0,""))</f>
        <v/>
      </c>
      <c r="AS140" s="369" t="str">
        <f ca="1">IF($B140&lt;&gt;"PRC_RESID","",IF(AS$7=2005+OFFSET(COM_2012!$B$60,$AW140,SUMIF($B$10:$B$16,"NCAP_TLIFE",$AX$10:$AX$16)),0,""))</f>
        <v/>
      </c>
      <c r="AT140" s="369" t="str">
        <f ca="1">IF($B140&lt;&gt;"PRC_RESID","",IF(AT$7=2005+OFFSET(COM_2012!$B$60,$AW140,SUMIF($B$10:$B$16,"NCAP_TLIFE",$AX$10:$AX$16)),0,""))</f>
        <v/>
      </c>
      <c r="AU140" s="369" t="str">
        <f ca="1">IF($B140&lt;&gt;"PRC_RESID","",IF(AU$7=2005+OFFSET(COM_2012!$B$60,$AW140,SUMIF($B$10:$B$16,"NCAP_TLIFE",$AX$10:$AX$16)),0,""))</f>
        <v/>
      </c>
      <c r="AV140" s="304">
        <f>IF(AW139=COM_2012!$AI$121,AV139+1,AV139)</f>
        <v>2</v>
      </c>
      <c r="AW140" s="304">
        <f t="shared" si="12"/>
        <v>52</v>
      </c>
    </row>
    <row r="141" spans="1:49">
      <c r="A141" s="304" t="str">
        <f ca="1">IF(LEFT(OFFSET(COM_2012!$A$60,AW141,0),2)="\I","*","")</f>
        <v/>
      </c>
      <c r="B141" s="369" t="str">
        <f t="shared" ca="1" si="10"/>
        <v>NCAP_BND</v>
      </c>
      <c r="C141" s="369" t="str">
        <f ca="1">IF($A141="*","",OFFSET(COM_2012!$B$60,AW141,0))</f>
        <v>CEOCOA-E</v>
      </c>
      <c r="D141" s="369" t="str">
        <f t="shared" ca="1" si="14"/>
        <v>-</v>
      </c>
      <c r="E141" s="369" t="str">
        <f t="shared" ca="1" si="14"/>
        <v>-</v>
      </c>
      <c r="F141" s="369" t="str">
        <f t="shared" ca="1" si="14"/>
        <v>-</v>
      </c>
      <c r="G141" s="369" t="str">
        <f t="shared" ca="1" si="14"/>
        <v>-</v>
      </c>
      <c r="H141" s="369" t="str">
        <f t="shared" ca="1" si="14"/>
        <v>UP</v>
      </c>
      <c r="I141" s="370">
        <f t="shared" ca="1" si="14"/>
        <v>0</v>
      </c>
      <c r="J141" s="391">
        <f ca="1">IF($A141="*","",OFFSET(COM_2012!$B$60,AW141,SUMIF($B$10:$B$16,B141,$AX$10:$AX$16)))</f>
        <v>0</v>
      </c>
      <c r="K141" s="369" t="str">
        <f ca="1">IF($B141&lt;&gt;"PRC_RESID","",IF(K$7=2005+OFFSET(COM_2012!$B$60,$AW141,SUMIF($B$10:$B$16,"NCAP_TLIFE",$AX$10:$AX$16)),0,""))</f>
        <v/>
      </c>
      <c r="L141" s="369" t="str">
        <f ca="1">IF($B141&lt;&gt;"PRC_RESID","",IF(L$7=2005+OFFSET(COM_2012!$B$60,$AW141,SUMIF($B$10:$B$16,"NCAP_TLIFE",$AX$10:$AX$16)),0,""))</f>
        <v/>
      </c>
      <c r="M141" s="369" t="str">
        <f ca="1">IF($B141&lt;&gt;"PRC_RESID","",IF(M$7=2005+OFFSET(COM_2012!$B$60,$AW141,SUMIF($B$10:$B$16,"NCAP_TLIFE",$AX$10:$AX$16)),0,""))</f>
        <v/>
      </c>
      <c r="N141" s="369" t="str">
        <f ca="1">IF($B141&lt;&gt;"PRC_RESID","",IF(N$7=2005+OFFSET(COM_2012!$B$60,$AW141,SUMIF($B$10:$B$16,"NCAP_TLIFE",$AX$10:$AX$16)),0,""))</f>
        <v/>
      </c>
      <c r="O141" s="658" t="str">
        <f ca="1">IF($B141&lt;&gt;"PRC_RESID","",IF(O$7=2005+OFFSET(COM_2012!$B$60,$AW141,SUMIF($B$10:$B$16,"NCAP_TLIFE",$AX$10:$AX$16)),0,""))</f>
        <v/>
      </c>
      <c r="P141" s="369" t="str">
        <f ca="1">IF($B141&lt;&gt;"PRC_RESID","",IF(P$7=2005+OFFSET(COM_2012!$B$60,$AW141,SUMIF($B$10:$B$16,"NCAP_TLIFE",$AX$10:$AX$16)),0,""))</f>
        <v/>
      </c>
      <c r="Q141" s="369" t="str">
        <f ca="1">IF($B141&lt;&gt;"PRC_RESID","",IF(Q$7=2005+OFFSET(COM_2012!$B$60,$AW141,SUMIF($B$10:$B$16,"NCAP_TLIFE",$AX$10:$AX$16)),0,""))</f>
        <v/>
      </c>
      <c r="R141" s="369" t="str">
        <f ca="1">IF($B141&lt;&gt;"PRC_RESID","",IF(R$7=2005+OFFSET(COM_2012!$B$60,$AW141,SUMIF($B$10:$B$16,"NCAP_TLIFE",$AX$10:$AX$16)),0,""))</f>
        <v/>
      </c>
      <c r="S141" s="369" t="str">
        <f ca="1">IF($B141&lt;&gt;"PRC_RESID","",IF(S$7=2005+OFFSET(COM_2012!$B$60,$AW141,SUMIF($B$10:$B$16,"NCAP_TLIFE",$AX$10:$AX$16)),0,""))</f>
        <v/>
      </c>
      <c r="T141" s="369" t="str">
        <f ca="1">IF($B141&lt;&gt;"PRC_RESID","",IF(T$7=2005+OFFSET(COM_2012!$B$60,$AW141,SUMIF($B$10:$B$16,"NCAP_TLIFE",$AX$10:$AX$16)),0,""))</f>
        <v/>
      </c>
      <c r="U141" s="369" t="str">
        <f ca="1">IF($B141&lt;&gt;"PRC_RESID","",IF(U$7=2005+OFFSET(COM_2012!$B$60,$AW141,SUMIF($B$10:$B$16,"NCAP_TLIFE",$AX$10:$AX$16)),0,""))</f>
        <v/>
      </c>
      <c r="V141" s="369" t="str">
        <f ca="1">IF($B141&lt;&gt;"PRC_RESID","",IF(V$7=2005+OFFSET(COM_2012!$B$60,$AW141,SUMIF($B$10:$B$16,"NCAP_TLIFE",$AX$10:$AX$16)),0,""))</f>
        <v/>
      </c>
      <c r="W141" s="369" t="str">
        <f ca="1">IF($B141&lt;&gt;"PRC_RESID","",IF(W$7=2005+OFFSET(COM_2012!$B$60,$AW141,SUMIF($B$10:$B$16,"NCAP_TLIFE",$AX$10:$AX$16)),0,""))</f>
        <v/>
      </c>
      <c r="X141" s="369" t="str">
        <f ca="1">IF($B141&lt;&gt;"PRC_RESID","",IF(X$7=2005+OFFSET(COM_2012!$B$60,$AW141,SUMIF($B$10:$B$16,"NCAP_TLIFE",$AX$10:$AX$16)),0,""))</f>
        <v/>
      </c>
      <c r="Y141" s="369" t="str">
        <f ca="1">IF($B141&lt;&gt;"PRC_RESID","",IF(Y$7=2005+OFFSET(COM_2012!$B$60,$AW141,SUMIF($B$10:$B$16,"NCAP_TLIFE",$AX$10:$AX$16)),0,""))</f>
        <v/>
      </c>
      <c r="Z141" s="369" t="str">
        <f ca="1">IF($B141&lt;&gt;"PRC_RESID","",IF(Z$7=2005+OFFSET(COM_2012!$B$60,$AW141,SUMIF($B$10:$B$16,"NCAP_TLIFE",$AX$10:$AX$16)),0,""))</f>
        <v/>
      </c>
      <c r="AA141" s="369" t="str">
        <f ca="1">IF($B141&lt;&gt;"PRC_RESID","",IF(AA$7=2005+OFFSET(COM_2012!$B$60,$AW141,SUMIF($B$10:$B$16,"NCAP_TLIFE",$AX$10:$AX$16)),0,""))</f>
        <v/>
      </c>
      <c r="AB141" s="369" t="str">
        <f ca="1">IF($B141&lt;&gt;"PRC_RESID","",IF(AB$7=2005+OFFSET(COM_2012!$B$60,$AW141,SUMIF($B$10:$B$16,"NCAP_TLIFE",$AX$10:$AX$16)),0,""))</f>
        <v/>
      </c>
      <c r="AC141" s="369" t="str">
        <f ca="1">IF($B141&lt;&gt;"PRC_RESID","",IF(AC$7=2005+OFFSET(COM_2012!$B$60,$AW141,SUMIF($B$10:$B$16,"NCAP_TLIFE",$AX$10:$AX$16)),0,""))</f>
        <v/>
      </c>
      <c r="AD141" s="369" t="str">
        <f ca="1">IF($B141&lt;&gt;"PRC_RESID","",IF(AD$7=2005+OFFSET(COM_2012!$B$60,$AW141,SUMIF($B$10:$B$16,"NCAP_TLIFE",$AX$10:$AX$16)),0,""))</f>
        <v/>
      </c>
      <c r="AE141" s="369" t="str">
        <f ca="1">IF($B141&lt;&gt;"PRC_RESID","",IF(AE$7=2005+OFFSET(COM_2012!$B$60,$AW141,SUMIF($B$10:$B$16,"NCAP_TLIFE",$AX$10:$AX$16)),0,""))</f>
        <v/>
      </c>
      <c r="AF141" s="369" t="str">
        <f ca="1">IF($B141&lt;&gt;"PRC_RESID","",IF(AF$7=2005+OFFSET(COM_2012!$B$60,$AW141,SUMIF($B$10:$B$16,"NCAP_TLIFE",$AX$10:$AX$16)),0,""))</f>
        <v/>
      </c>
      <c r="AG141" s="369" t="str">
        <f ca="1">IF($B141&lt;&gt;"PRC_RESID","",IF(AG$7=2005+OFFSET(COM_2012!$B$60,$AW141,SUMIF($B$10:$B$16,"NCAP_TLIFE",$AX$10:$AX$16)),0,""))</f>
        <v/>
      </c>
      <c r="AH141" s="369" t="str">
        <f ca="1">IF($B141&lt;&gt;"PRC_RESID","",IF(AH$7=2005+OFFSET(COM_2012!$B$60,$AW141,SUMIF($B$10:$B$16,"NCAP_TLIFE",$AX$10:$AX$16)),0,""))</f>
        <v/>
      </c>
      <c r="AI141" s="369" t="str">
        <f ca="1">IF($B141&lt;&gt;"PRC_RESID","",IF(AI$7=2005+OFFSET(COM_2012!$B$60,$AW141,SUMIF($B$10:$B$16,"NCAP_TLIFE",$AX$10:$AX$16)),0,""))</f>
        <v/>
      </c>
      <c r="AJ141" s="369" t="str">
        <f ca="1">IF($B141&lt;&gt;"PRC_RESID","",IF(AJ$7=2005+OFFSET(COM_2012!$B$60,$AW141,SUMIF($B$10:$B$16,"NCAP_TLIFE",$AX$10:$AX$16)),0,""))</f>
        <v/>
      </c>
      <c r="AK141" s="369" t="str">
        <f ca="1">IF($B141&lt;&gt;"PRC_RESID","",IF(AK$7=2005+OFFSET(COM_2012!$B$60,$AW141,SUMIF($B$10:$B$16,"NCAP_TLIFE",$AX$10:$AX$16)),0,""))</f>
        <v/>
      </c>
      <c r="AL141" s="369" t="str">
        <f ca="1">IF($B141&lt;&gt;"PRC_RESID","",IF(AL$7=2005+OFFSET(COM_2012!$B$60,$AW141,SUMIF($B$10:$B$16,"NCAP_TLIFE",$AX$10:$AX$16)),0,""))</f>
        <v/>
      </c>
      <c r="AM141" s="369" t="str">
        <f ca="1">IF($B141&lt;&gt;"PRC_RESID","",IF(AM$7=2005+OFFSET(COM_2012!$B$60,$AW141,SUMIF($B$10:$B$16,"NCAP_TLIFE",$AX$10:$AX$16)),0,""))</f>
        <v/>
      </c>
      <c r="AN141" s="369" t="str">
        <f ca="1">IF($B141&lt;&gt;"PRC_RESID","",IF(AN$7=2005+OFFSET(COM_2012!$B$60,$AW141,SUMIF($B$10:$B$16,"NCAP_TLIFE",$AX$10:$AX$16)),0,""))</f>
        <v/>
      </c>
      <c r="AO141" s="369" t="str">
        <f ca="1">IF($B141&lt;&gt;"PRC_RESID","",IF(AO$7=2005+OFFSET(COM_2012!$B$60,$AW141,SUMIF($B$10:$B$16,"NCAP_TLIFE",$AX$10:$AX$16)),0,""))</f>
        <v/>
      </c>
      <c r="AP141" s="369" t="str">
        <f ca="1">IF($B141&lt;&gt;"PRC_RESID","",IF(AP$7=2005+OFFSET(COM_2012!$B$60,$AW141,SUMIF($B$10:$B$16,"NCAP_TLIFE",$AX$10:$AX$16)),0,""))</f>
        <v/>
      </c>
      <c r="AQ141" s="369" t="str">
        <f ca="1">IF($B141&lt;&gt;"PRC_RESID","",IF(AQ$7=2005+OFFSET(COM_2012!$B$60,$AW141,SUMIF($B$10:$B$16,"NCAP_TLIFE",$AX$10:$AX$16)),0,""))</f>
        <v/>
      </c>
      <c r="AR141" s="369" t="str">
        <f ca="1">IF($B141&lt;&gt;"PRC_RESID","",IF(AR$7=2005+OFFSET(COM_2012!$B$60,$AW141,SUMIF($B$10:$B$16,"NCAP_TLIFE",$AX$10:$AX$16)),0,""))</f>
        <v/>
      </c>
      <c r="AS141" s="369" t="str">
        <f ca="1">IF($B141&lt;&gt;"PRC_RESID","",IF(AS$7=2005+OFFSET(COM_2012!$B$60,$AW141,SUMIF($B$10:$B$16,"NCAP_TLIFE",$AX$10:$AX$16)),0,""))</f>
        <v/>
      </c>
      <c r="AT141" s="369" t="str">
        <f ca="1">IF($B141&lt;&gt;"PRC_RESID","",IF(AT$7=2005+OFFSET(COM_2012!$B$60,$AW141,SUMIF($B$10:$B$16,"NCAP_TLIFE",$AX$10:$AX$16)),0,""))</f>
        <v/>
      </c>
      <c r="AU141" s="369" t="str">
        <f ca="1">IF($B141&lt;&gt;"PRC_RESID","",IF(AU$7=2005+OFFSET(COM_2012!$B$60,$AW141,SUMIF($B$10:$B$16,"NCAP_TLIFE",$AX$10:$AX$16)),0,""))</f>
        <v/>
      </c>
      <c r="AV141" s="304">
        <f>IF(AW140=COM_2012!$AI$121,AV140+1,AV140)</f>
        <v>2</v>
      </c>
      <c r="AW141" s="304">
        <f>IF(AV141=AV140,AW140+1,1)</f>
        <v>53</v>
      </c>
    </row>
    <row r="142" spans="1:49">
      <c r="A142" s="304" t="str">
        <f ca="1">IF(LEFT(OFFSET(COM_2012!$A$60,AW142,0),2)="\I","*","")</f>
        <v/>
      </c>
      <c r="B142" s="369" t="str">
        <f t="shared" ca="1" si="10"/>
        <v>NCAP_BND</v>
      </c>
      <c r="C142" s="369" t="str">
        <f ca="1">IF($A142="*","",OFFSET(COM_2012!$B$60,AW142,0))</f>
        <v>CEOODS-E</v>
      </c>
      <c r="D142" s="369" t="str">
        <f t="shared" ca="1" si="14"/>
        <v>-</v>
      </c>
      <c r="E142" s="369" t="str">
        <f t="shared" ca="1" si="14"/>
        <v>-</v>
      </c>
      <c r="F142" s="369" t="str">
        <f t="shared" ca="1" si="14"/>
        <v>-</v>
      </c>
      <c r="G142" s="369" t="str">
        <f t="shared" ca="1" si="14"/>
        <v>-</v>
      </c>
      <c r="H142" s="369" t="str">
        <f t="shared" ca="1" si="14"/>
        <v>UP</v>
      </c>
      <c r="I142" s="370">
        <f t="shared" ca="1" si="14"/>
        <v>0</v>
      </c>
      <c r="J142" s="391">
        <f ca="1">IF($A142="*","",OFFSET(COM_2012!$B$60,AW142,SUMIF($B$10:$B$16,B142,$AX$10:$AX$16)))</f>
        <v>0</v>
      </c>
      <c r="K142" s="369" t="str">
        <f ca="1">IF($B142&lt;&gt;"PRC_RESID","",IF(K$7=2005+OFFSET(COM_2012!$B$60,$AW142,SUMIF($B$10:$B$16,"NCAP_TLIFE",$AX$10:$AX$16)),0,""))</f>
        <v/>
      </c>
      <c r="L142" s="369" t="str">
        <f ca="1">IF($B142&lt;&gt;"PRC_RESID","",IF(L$7=2005+OFFSET(COM_2012!$B$60,$AW142,SUMIF($B$10:$B$16,"NCAP_TLIFE",$AX$10:$AX$16)),0,""))</f>
        <v/>
      </c>
      <c r="M142" s="369" t="str">
        <f ca="1">IF($B142&lt;&gt;"PRC_RESID","",IF(M$7=2005+OFFSET(COM_2012!$B$60,$AW142,SUMIF($B$10:$B$16,"NCAP_TLIFE",$AX$10:$AX$16)),0,""))</f>
        <v/>
      </c>
      <c r="N142" s="369" t="str">
        <f ca="1">IF($B142&lt;&gt;"PRC_RESID","",IF(N$7=2005+OFFSET(COM_2012!$B$60,$AW142,SUMIF($B$10:$B$16,"NCAP_TLIFE",$AX$10:$AX$16)),0,""))</f>
        <v/>
      </c>
      <c r="O142" s="658" t="str">
        <f ca="1">IF($B142&lt;&gt;"PRC_RESID","",IF(O$7=2005+OFFSET(COM_2012!$B$60,$AW142,SUMIF($B$10:$B$16,"NCAP_TLIFE",$AX$10:$AX$16)),0,""))</f>
        <v/>
      </c>
      <c r="P142" s="369" t="str">
        <f ca="1">IF($B142&lt;&gt;"PRC_RESID","",IF(P$7=2005+OFFSET(COM_2012!$B$60,$AW142,SUMIF($B$10:$B$16,"NCAP_TLIFE",$AX$10:$AX$16)),0,""))</f>
        <v/>
      </c>
      <c r="Q142" s="369" t="str">
        <f ca="1">IF($B142&lt;&gt;"PRC_RESID","",IF(Q$7=2005+OFFSET(COM_2012!$B$60,$AW142,SUMIF($B$10:$B$16,"NCAP_TLIFE",$AX$10:$AX$16)),0,""))</f>
        <v/>
      </c>
      <c r="R142" s="369" t="str">
        <f ca="1">IF($B142&lt;&gt;"PRC_RESID","",IF(R$7=2005+OFFSET(COM_2012!$B$60,$AW142,SUMIF($B$10:$B$16,"NCAP_TLIFE",$AX$10:$AX$16)),0,""))</f>
        <v/>
      </c>
      <c r="S142" s="369" t="str">
        <f ca="1">IF($B142&lt;&gt;"PRC_RESID","",IF(S$7=2005+OFFSET(COM_2012!$B$60,$AW142,SUMIF($B$10:$B$16,"NCAP_TLIFE",$AX$10:$AX$16)),0,""))</f>
        <v/>
      </c>
      <c r="T142" s="369" t="str">
        <f ca="1">IF($B142&lt;&gt;"PRC_RESID","",IF(T$7=2005+OFFSET(COM_2012!$B$60,$AW142,SUMIF($B$10:$B$16,"NCAP_TLIFE",$AX$10:$AX$16)),0,""))</f>
        <v/>
      </c>
      <c r="U142" s="369" t="str">
        <f ca="1">IF($B142&lt;&gt;"PRC_RESID","",IF(U$7=2005+OFFSET(COM_2012!$B$60,$AW142,SUMIF($B$10:$B$16,"NCAP_TLIFE",$AX$10:$AX$16)),0,""))</f>
        <v/>
      </c>
      <c r="V142" s="369" t="str">
        <f ca="1">IF($B142&lt;&gt;"PRC_RESID","",IF(V$7=2005+OFFSET(COM_2012!$B$60,$AW142,SUMIF($B$10:$B$16,"NCAP_TLIFE",$AX$10:$AX$16)),0,""))</f>
        <v/>
      </c>
      <c r="W142" s="369" t="str">
        <f ca="1">IF($B142&lt;&gt;"PRC_RESID","",IF(W$7=2005+OFFSET(COM_2012!$B$60,$AW142,SUMIF($B$10:$B$16,"NCAP_TLIFE",$AX$10:$AX$16)),0,""))</f>
        <v/>
      </c>
      <c r="X142" s="369" t="str">
        <f ca="1">IF($B142&lt;&gt;"PRC_RESID","",IF(X$7=2005+OFFSET(COM_2012!$B$60,$AW142,SUMIF($B$10:$B$16,"NCAP_TLIFE",$AX$10:$AX$16)),0,""))</f>
        <v/>
      </c>
      <c r="Y142" s="369" t="str">
        <f ca="1">IF($B142&lt;&gt;"PRC_RESID","",IF(Y$7=2005+OFFSET(COM_2012!$B$60,$AW142,SUMIF($B$10:$B$16,"NCAP_TLIFE",$AX$10:$AX$16)),0,""))</f>
        <v/>
      </c>
      <c r="Z142" s="369" t="str">
        <f ca="1">IF($B142&lt;&gt;"PRC_RESID","",IF(Z$7=2005+OFFSET(COM_2012!$B$60,$AW142,SUMIF($B$10:$B$16,"NCAP_TLIFE",$AX$10:$AX$16)),0,""))</f>
        <v/>
      </c>
      <c r="AA142" s="369" t="str">
        <f ca="1">IF($B142&lt;&gt;"PRC_RESID","",IF(AA$7=2005+OFFSET(COM_2012!$B$60,$AW142,SUMIF($B$10:$B$16,"NCAP_TLIFE",$AX$10:$AX$16)),0,""))</f>
        <v/>
      </c>
      <c r="AB142" s="369" t="str">
        <f ca="1">IF($B142&lt;&gt;"PRC_RESID","",IF(AB$7=2005+OFFSET(COM_2012!$B$60,$AW142,SUMIF($B$10:$B$16,"NCAP_TLIFE",$AX$10:$AX$16)),0,""))</f>
        <v/>
      </c>
      <c r="AC142" s="369" t="str">
        <f ca="1">IF($B142&lt;&gt;"PRC_RESID","",IF(AC$7=2005+OFFSET(COM_2012!$B$60,$AW142,SUMIF($B$10:$B$16,"NCAP_TLIFE",$AX$10:$AX$16)),0,""))</f>
        <v/>
      </c>
      <c r="AD142" s="369" t="str">
        <f ca="1">IF($B142&lt;&gt;"PRC_RESID","",IF(AD$7=2005+OFFSET(COM_2012!$B$60,$AW142,SUMIF($B$10:$B$16,"NCAP_TLIFE",$AX$10:$AX$16)),0,""))</f>
        <v/>
      </c>
      <c r="AE142" s="369" t="str">
        <f ca="1">IF($B142&lt;&gt;"PRC_RESID","",IF(AE$7=2005+OFFSET(COM_2012!$B$60,$AW142,SUMIF($B$10:$B$16,"NCAP_TLIFE",$AX$10:$AX$16)),0,""))</f>
        <v/>
      </c>
      <c r="AF142" s="369" t="str">
        <f ca="1">IF($B142&lt;&gt;"PRC_RESID","",IF(AF$7=2005+OFFSET(COM_2012!$B$60,$AW142,SUMIF($B$10:$B$16,"NCAP_TLIFE",$AX$10:$AX$16)),0,""))</f>
        <v/>
      </c>
      <c r="AG142" s="369" t="str">
        <f ca="1">IF($B142&lt;&gt;"PRC_RESID","",IF(AG$7=2005+OFFSET(COM_2012!$B$60,$AW142,SUMIF($B$10:$B$16,"NCAP_TLIFE",$AX$10:$AX$16)),0,""))</f>
        <v/>
      </c>
      <c r="AH142" s="369" t="str">
        <f ca="1">IF($B142&lt;&gt;"PRC_RESID","",IF(AH$7=2005+OFFSET(COM_2012!$B$60,$AW142,SUMIF($B$10:$B$16,"NCAP_TLIFE",$AX$10:$AX$16)),0,""))</f>
        <v/>
      </c>
      <c r="AI142" s="369" t="str">
        <f ca="1">IF($B142&lt;&gt;"PRC_RESID","",IF(AI$7=2005+OFFSET(COM_2012!$B$60,$AW142,SUMIF($B$10:$B$16,"NCAP_TLIFE",$AX$10:$AX$16)),0,""))</f>
        <v/>
      </c>
      <c r="AJ142" s="369" t="str">
        <f ca="1">IF($B142&lt;&gt;"PRC_RESID","",IF(AJ$7=2005+OFFSET(COM_2012!$B$60,$AW142,SUMIF($B$10:$B$16,"NCAP_TLIFE",$AX$10:$AX$16)),0,""))</f>
        <v/>
      </c>
      <c r="AK142" s="369" t="str">
        <f ca="1">IF($B142&lt;&gt;"PRC_RESID","",IF(AK$7=2005+OFFSET(COM_2012!$B$60,$AW142,SUMIF($B$10:$B$16,"NCAP_TLIFE",$AX$10:$AX$16)),0,""))</f>
        <v/>
      </c>
      <c r="AL142" s="369" t="str">
        <f ca="1">IF($B142&lt;&gt;"PRC_RESID","",IF(AL$7=2005+OFFSET(COM_2012!$B$60,$AW142,SUMIF($B$10:$B$16,"NCAP_TLIFE",$AX$10:$AX$16)),0,""))</f>
        <v/>
      </c>
      <c r="AM142" s="369" t="str">
        <f ca="1">IF($B142&lt;&gt;"PRC_RESID","",IF(AM$7=2005+OFFSET(COM_2012!$B$60,$AW142,SUMIF($B$10:$B$16,"NCAP_TLIFE",$AX$10:$AX$16)),0,""))</f>
        <v/>
      </c>
      <c r="AN142" s="369" t="str">
        <f ca="1">IF($B142&lt;&gt;"PRC_RESID","",IF(AN$7=2005+OFFSET(COM_2012!$B$60,$AW142,SUMIF($B$10:$B$16,"NCAP_TLIFE",$AX$10:$AX$16)),0,""))</f>
        <v/>
      </c>
      <c r="AO142" s="369" t="str">
        <f ca="1">IF($B142&lt;&gt;"PRC_RESID","",IF(AO$7=2005+OFFSET(COM_2012!$B$60,$AW142,SUMIF($B$10:$B$16,"NCAP_TLIFE",$AX$10:$AX$16)),0,""))</f>
        <v/>
      </c>
      <c r="AP142" s="369" t="str">
        <f ca="1">IF($B142&lt;&gt;"PRC_RESID","",IF(AP$7=2005+OFFSET(COM_2012!$B$60,$AW142,SUMIF($B$10:$B$16,"NCAP_TLIFE",$AX$10:$AX$16)),0,""))</f>
        <v/>
      </c>
      <c r="AQ142" s="369" t="str">
        <f ca="1">IF($B142&lt;&gt;"PRC_RESID","",IF(AQ$7=2005+OFFSET(COM_2012!$B$60,$AW142,SUMIF($B$10:$B$16,"NCAP_TLIFE",$AX$10:$AX$16)),0,""))</f>
        <v/>
      </c>
      <c r="AR142" s="369" t="str">
        <f ca="1">IF($B142&lt;&gt;"PRC_RESID","",IF(AR$7=2005+OFFSET(COM_2012!$B$60,$AW142,SUMIF($B$10:$B$16,"NCAP_TLIFE",$AX$10:$AX$16)),0,""))</f>
        <v/>
      </c>
      <c r="AS142" s="369" t="str">
        <f ca="1">IF($B142&lt;&gt;"PRC_RESID","",IF(AS$7=2005+OFFSET(COM_2012!$B$60,$AW142,SUMIF($B$10:$B$16,"NCAP_TLIFE",$AX$10:$AX$16)),0,""))</f>
        <v/>
      </c>
      <c r="AT142" s="369" t="str">
        <f ca="1">IF($B142&lt;&gt;"PRC_RESID","",IF(AT$7=2005+OFFSET(COM_2012!$B$60,$AW142,SUMIF($B$10:$B$16,"NCAP_TLIFE",$AX$10:$AX$16)),0,""))</f>
        <v/>
      </c>
      <c r="AU142" s="369" t="str">
        <f ca="1">IF($B142&lt;&gt;"PRC_RESID","",IF(AU$7=2005+OFFSET(COM_2012!$B$60,$AW142,SUMIF($B$10:$B$16,"NCAP_TLIFE",$AX$10:$AX$16)),0,""))</f>
        <v/>
      </c>
      <c r="AV142" s="304">
        <f>IF(AW141=COM_2012!$AI$121,AV141+1,AV141)</f>
        <v>2</v>
      </c>
      <c r="AW142" s="304">
        <f t="shared" si="12"/>
        <v>54</v>
      </c>
    </row>
    <row r="143" spans="1:49">
      <c r="A143" s="304" t="str">
        <f ca="1">IF(LEFT(OFFSET(COM_2012!$A$60,AW143,0),2)="\I","*","")</f>
        <v/>
      </c>
      <c r="B143" s="369" t="str">
        <f t="shared" ca="1" si="10"/>
        <v>NCAP_BND</v>
      </c>
      <c r="C143" s="369" t="str">
        <f ca="1">IF($A143="*","",OFFSET(COM_2012!$B$60,AW143,0))</f>
        <v>CEOELC-E</v>
      </c>
      <c r="D143" s="369" t="str">
        <f t="shared" ca="1" si="14"/>
        <v>-</v>
      </c>
      <c r="E143" s="369" t="str">
        <f t="shared" ca="1" si="14"/>
        <v>-</v>
      </c>
      <c r="F143" s="369" t="str">
        <f t="shared" ca="1" si="14"/>
        <v>-</v>
      </c>
      <c r="G143" s="369" t="str">
        <f t="shared" ca="1" si="14"/>
        <v>-</v>
      </c>
      <c r="H143" s="369" t="str">
        <f t="shared" ca="1" si="14"/>
        <v>UP</v>
      </c>
      <c r="I143" s="370">
        <f t="shared" ca="1" si="14"/>
        <v>0</v>
      </c>
      <c r="J143" s="391">
        <f ca="1">IF($A143="*","",OFFSET(COM_2012!$B$60,AW143,SUMIF($B$10:$B$16,B143,$AX$10:$AX$16)))</f>
        <v>0</v>
      </c>
      <c r="K143" s="369" t="str">
        <f ca="1">IF($B143&lt;&gt;"PRC_RESID","",IF(K$7=2005+OFFSET(COM_2012!$B$60,$AW143,SUMIF($B$10:$B$16,"NCAP_TLIFE",$AX$10:$AX$16)),0,""))</f>
        <v/>
      </c>
      <c r="L143" s="369" t="str">
        <f ca="1">IF($B143&lt;&gt;"PRC_RESID","",IF(L$7=2005+OFFSET(COM_2012!$B$60,$AW143,SUMIF($B$10:$B$16,"NCAP_TLIFE",$AX$10:$AX$16)),0,""))</f>
        <v/>
      </c>
      <c r="M143" s="369" t="str">
        <f ca="1">IF($B143&lt;&gt;"PRC_RESID","",IF(M$7=2005+OFFSET(COM_2012!$B$60,$AW143,SUMIF($B$10:$B$16,"NCAP_TLIFE",$AX$10:$AX$16)),0,""))</f>
        <v/>
      </c>
      <c r="N143" s="369" t="str">
        <f ca="1">IF($B143&lt;&gt;"PRC_RESID","",IF(N$7=2005+OFFSET(COM_2012!$B$60,$AW143,SUMIF($B$10:$B$16,"NCAP_TLIFE",$AX$10:$AX$16)),0,""))</f>
        <v/>
      </c>
      <c r="O143" s="658" t="str">
        <f ca="1">IF($B143&lt;&gt;"PRC_RESID","",IF(O$7=2005+OFFSET(COM_2012!$B$60,$AW143,SUMIF($B$10:$B$16,"NCAP_TLIFE",$AX$10:$AX$16)),0,""))</f>
        <v/>
      </c>
      <c r="P143" s="369" t="str">
        <f ca="1">IF($B143&lt;&gt;"PRC_RESID","",IF(P$7=2005+OFFSET(COM_2012!$B$60,$AW143,SUMIF($B$10:$B$16,"NCAP_TLIFE",$AX$10:$AX$16)),0,""))</f>
        <v/>
      </c>
      <c r="Q143" s="369" t="str">
        <f ca="1">IF($B143&lt;&gt;"PRC_RESID","",IF(Q$7=2005+OFFSET(COM_2012!$B$60,$AW143,SUMIF($B$10:$B$16,"NCAP_TLIFE",$AX$10:$AX$16)),0,""))</f>
        <v/>
      </c>
      <c r="R143" s="369" t="str">
        <f ca="1">IF($B143&lt;&gt;"PRC_RESID","",IF(R$7=2005+OFFSET(COM_2012!$B$60,$AW143,SUMIF($B$10:$B$16,"NCAP_TLIFE",$AX$10:$AX$16)),0,""))</f>
        <v/>
      </c>
      <c r="S143" s="369" t="str">
        <f ca="1">IF($B143&lt;&gt;"PRC_RESID","",IF(S$7=2005+OFFSET(COM_2012!$B$60,$AW143,SUMIF($B$10:$B$16,"NCAP_TLIFE",$AX$10:$AX$16)),0,""))</f>
        <v/>
      </c>
      <c r="T143" s="369" t="str">
        <f ca="1">IF($B143&lt;&gt;"PRC_RESID","",IF(T$7=2005+OFFSET(COM_2012!$B$60,$AW143,SUMIF($B$10:$B$16,"NCAP_TLIFE",$AX$10:$AX$16)),0,""))</f>
        <v/>
      </c>
      <c r="U143" s="369" t="str">
        <f ca="1">IF($B143&lt;&gt;"PRC_RESID","",IF(U$7=2005+OFFSET(COM_2012!$B$60,$AW143,SUMIF($B$10:$B$16,"NCAP_TLIFE",$AX$10:$AX$16)),0,""))</f>
        <v/>
      </c>
      <c r="V143" s="369" t="str">
        <f ca="1">IF($B143&lt;&gt;"PRC_RESID","",IF(V$7=2005+OFFSET(COM_2012!$B$60,$AW143,SUMIF($B$10:$B$16,"NCAP_TLIFE",$AX$10:$AX$16)),0,""))</f>
        <v/>
      </c>
      <c r="W143" s="369" t="str">
        <f ca="1">IF($B143&lt;&gt;"PRC_RESID","",IF(W$7=2005+OFFSET(COM_2012!$B$60,$AW143,SUMIF($B$10:$B$16,"NCAP_TLIFE",$AX$10:$AX$16)),0,""))</f>
        <v/>
      </c>
      <c r="X143" s="369" t="str">
        <f ca="1">IF($B143&lt;&gt;"PRC_RESID","",IF(X$7=2005+OFFSET(COM_2012!$B$60,$AW143,SUMIF($B$10:$B$16,"NCAP_TLIFE",$AX$10:$AX$16)),0,""))</f>
        <v/>
      </c>
      <c r="Y143" s="369" t="str">
        <f ca="1">IF($B143&lt;&gt;"PRC_RESID","",IF(Y$7=2005+OFFSET(COM_2012!$B$60,$AW143,SUMIF($B$10:$B$16,"NCAP_TLIFE",$AX$10:$AX$16)),0,""))</f>
        <v/>
      </c>
      <c r="Z143" s="369" t="str">
        <f ca="1">IF($B143&lt;&gt;"PRC_RESID","",IF(Z$7=2005+OFFSET(COM_2012!$B$60,$AW143,SUMIF($B$10:$B$16,"NCAP_TLIFE",$AX$10:$AX$16)),0,""))</f>
        <v/>
      </c>
      <c r="AA143" s="369" t="str">
        <f ca="1">IF($B143&lt;&gt;"PRC_RESID","",IF(AA$7=2005+OFFSET(COM_2012!$B$60,$AW143,SUMIF($B$10:$B$16,"NCAP_TLIFE",$AX$10:$AX$16)),0,""))</f>
        <v/>
      </c>
      <c r="AB143" s="369" t="str">
        <f ca="1">IF($B143&lt;&gt;"PRC_RESID","",IF(AB$7=2005+OFFSET(COM_2012!$B$60,$AW143,SUMIF($B$10:$B$16,"NCAP_TLIFE",$AX$10:$AX$16)),0,""))</f>
        <v/>
      </c>
      <c r="AC143" s="369" t="str">
        <f ca="1">IF($B143&lt;&gt;"PRC_RESID","",IF(AC$7=2005+OFFSET(COM_2012!$B$60,$AW143,SUMIF($B$10:$B$16,"NCAP_TLIFE",$AX$10:$AX$16)),0,""))</f>
        <v/>
      </c>
      <c r="AD143" s="369" t="str">
        <f ca="1">IF($B143&lt;&gt;"PRC_RESID","",IF(AD$7=2005+OFFSET(COM_2012!$B$60,$AW143,SUMIF($B$10:$B$16,"NCAP_TLIFE",$AX$10:$AX$16)),0,""))</f>
        <v/>
      </c>
      <c r="AE143" s="369" t="str">
        <f ca="1">IF($B143&lt;&gt;"PRC_RESID","",IF(AE$7=2005+OFFSET(COM_2012!$B$60,$AW143,SUMIF($B$10:$B$16,"NCAP_TLIFE",$AX$10:$AX$16)),0,""))</f>
        <v/>
      </c>
      <c r="AF143" s="369" t="str">
        <f ca="1">IF($B143&lt;&gt;"PRC_RESID","",IF(AF$7=2005+OFFSET(COM_2012!$B$60,$AW143,SUMIF($B$10:$B$16,"NCAP_TLIFE",$AX$10:$AX$16)),0,""))</f>
        <v/>
      </c>
      <c r="AG143" s="369" t="str">
        <f ca="1">IF($B143&lt;&gt;"PRC_RESID","",IF(AG$7=2005+OFFSET(COM_2012!$B$60,$AW143,SUMIF($B$10:$B$16,"NCAP_TLIFE",$AX$10:$AX$16)),0,""))</f>
        <v/>
      </c>
      <c r="AH143" s="369" t="str">
        <f ca="1">IF($B143&lt;&gt;"PRC_RESID","",IF(AH$7=2005+OFFSET(COM_2012!$B$60,$AW143,SUMIF($B$10:$B$16,"NCAP_TLIFE",$AX$10:$AX$16)),0,""))</f>
        <v/>
      </c>
      <c r="AI143" s="369" t="str">
        <f ca="1">IF($B143&lt;&gt;"PRC_RESID","",IF(AI$7=2005+OFFSET(COM_2012!$B$60,$AW143,SUMIF($B$10:$B$16,"NCAP_TLIFE",$AX$10:$AX$16)),0,""))</f>
        <v/>
      </c>
      <c r="AJ143" s="369" t="str">
        <f ca="1">IF($B143&lt;&gt;"PRC_RESID","",IF(AJ$7=2005+OFFSET(COM_2012!$B$60,$AW143,SUMIF($B$10:$B$16,"NCAP_TLIFE",$AX$10:$AX$16)),0,""))</f>
        <v/>
      </c>
      <c r="AK143" s="369" t="str">
        <f ca="1">IF($B143&lt;&gt;"PRC_RESID","",IF(AK$7=2005+OFFSET(COM_2012!$B$60,$AW143,SUMIF($B$10:$B$16,"NCAP_TLIFE",$AX$10:$AX$16)),0,""))</f>
        <v/>
      </c>
      <c r="AL143" s="369" t="str">
        <f ca="1">IF($B143&lt;&gt;"PRC_RESID","",IF(AL$7=2005+OFFSET(COM_2012!$B$60,$AW143,SUMIF($B$10:$B$16,"NCAP_TLIFE",$AX$10:$AX$16)),0,""))</f>
        <v/>
      </c>
      <c r="AM143" s="369" t="str">
        <f ca="1">IF($B143&lt;&gt;"PRC_RESID","",IF(AM$7=2005+OFFSET(COM_2012!$B$60,$AW143,SUMIF($B$10:$B$16,"NCAP_TLIFE",$AX$10:$AX$16)),0,""))</f>
        <v/>
      </c>
      <c r="AN143" s="369" t="str">
        <f ca="1">IF($B143&lt;&gt;"PRC_RESID","",IF(AN$7=2005+OFFSET(COM_2012!$B$60,$AW143,SUMIF($B$10:$B$16,"NCAP_TLIFE",$AX$10:$AX$16)),0,""))</f>
        <v/>
      </c>
      <c r="AO143" s="369" t="str">
        <f ca="1">IF($B143&lt;&gt;"PRC_RESID","",IF(AO$7=2005+OFFSET(COM_2012!$B$60,$AW143,SUMIF($B$10:$B$16,"NCAP_TLIFE",$AX$10:$AX$16)),0,""))</f>
        <v/>
      </c>
      <c r="AP143" s="369" t="str">
        <f ca="1">IF($B143&lt;&gt;"PRC_RESID","",IF(AP$7=2005+OFFSET(COM_2012!$B$60,$AW143,SUMIF($B$10:$B$16,"NCAP_TLIFE",$AX$10:$AX$16)),0,""))</f>
        <v/>
      </c>
      <c r="AQ143" s="369" t="str">
        <f ca="1">IF($B143&lt;&gt;"PRC_RESID","",IF(AQ$7=2005+OFFSET(COM_2012!$B$60,$AW143,SUMIF($B$10:$B$16,"NCAP_TLIFE",$AX$10:$AX$16)),0,""))</f>
        <v/>
      </c>
      <c r="AR143" s="369" t="str">
        <f ca="1">IF($B143&lt;&gt;"PRC_RESID","",IF(AR$7=2005+OFFSET(COM_2012!$B$60,$AW143,SUMIF($B$10:$B$16,"NCAP_TLIFE",$AX$10:$AX$16)),0,""))</f>
        <v/>
      </c>
      <c r="AS143" s="369" t="str">
        <f ca="1">IF($B143&lt;&gt;"PRC_RESID","",IF(AS$7=2005+OFFSET(COM_2012!$B$60,$AW143,SUMIF($B$10:$B$16,"NCAP_TLIFE",$AX$10:$AX$16)),0,""))</f>
        <v/>
      </c>
      <c r="AT143" s="369" t="str">
        <f ca="1">IF($B143&lt;&gt;"PRC_RESID","",IF(AT$7=2005+OFFSET(COM_2012!$B$60,$AW143,SUMIF($B$10:$B$16,"NCAP_TLIFE",$AX$10:$AX$16)),0,""))</f>
        <v/>
      </c>
      <c r="AU143" s="369" t="str">
        <f ca="1">IF($B143&lt;&gt;"PRC_RESID","",IF(AU$7=2005+OFFSET(COM_2012!$B$60,$AW143,SUMIF($B$10:$B$16,"NCAP_TLIFE",$AX$10:$AX$16)),0,""))</f>
        <v/>
      </c>
      <c r="AV143" s="304">
        <f>IF(AW142=COM_2012!$AI$121,AV142+1,AV142)</f>
        <v>2</v>
      </c>
      <c r="AW143" s="304">
        <f t="shared" si="12"/>
        <v>55</v>
      </c>
    </row>
    <row r="144" spans="1:49">
      <c r="A144" s="304" t="str">
        <f ca="1">IF(LEFT(OFFSET(COM_2012!$A$60,AW144,0),2)="\I","*","")</f>
        <v/>
      </c>
      <c r="B144" s="369" t="str">
        <f t="shared" ca="1" si="10"/>
        <v>NCAP_BND</v>
      </c>
      <c r="C144" s="369" t="str">
        <f ca="1">IF($A144="*","",OFFSET(COM_2012!$B$60,AW144,0))</f>
        <v>CEOGAS-E</v>
      </c>
      <c r="D144" s="369" t="str">
        <f t="shared" ca="1" si="14"/>
        <v>-</v>
      </c>
      <c r="E144" s="369" t="str">
        <f t="shared" ca="1" si="14"/>
        <v>-</v>
      </c>
      <c r="F144" s="369" t="str">
        <f t="shared" ca="1" si="14"/>
        <v>-</v>
      </c>
      <c r="G144" s="369" t="str">
        <f t="shared" ca="1" si="14"/>
        <v>-</v>
      </c>
      <c r="H144" s="369" t="str">
        <f t="shared" ca="1" si="14"/>
        <v>UP</v>
      </c>
      <c r="I144" s="370">
        <f t="shared" ca="1" si="14"/>
        <v>0</v>
      </c>
      <c r="J144" s="391">
        <f ca="1">IF($A144="*","",OFFSET(COM_2012!$B$60,AW144,SUMIF($B$10:$B$16,B144,$AX$10:$AX$16)))</f>
        <v>0</v>
      </c>
      <c r="K144" s="369" t="str">
        <f ca="1">IF($B144&lt;&gt;"PRC_RESID","",IF(K$7=2005+OFFSET(COM_2012!$B$60,$AW144,SUMIF($B$10:$B$16,"NCAP_TLIFE",$AX$10:$AX$16)),0,""))</f>
        <v/>
      </c>
      <c r="L144" s="369" t="str">
        <f ca="1">IF($B144&lt;&gt;"PRC_RESID","",IF(L$7=2005+OFFSET(COM_2012!$B$60,$AW144,SUMIF($B$10:$B$16,"NCAP_TLIFE",$AX$10:$AX$16)),0,""))</f>
        <v/>
      </c>
      <c r="M144" s="369" t="str">
        <f ca="1">IF($B144&lt;&gt;"PRC_RESID","",IF(M$7=2005+OFFSET(COM_2012!$B$60,$AW144,SUMIF($B$10:$B$16,"NCAP_TLIFE",$AX$10:$AX$16)),0,""))</f>
        <v/>
      </c>
      <c r="N144" s="369" t="str">
        <f ca="1">IF($B144&lt;&gt;"PRC_RESID","",IF(N$7=2005+OFFSET(COM_2012!$B$60,$AW144,SUMIF($B$10:$B$16,"NCAP_TLIFE",$AX$10:$AX$16)),0,""))</f>
        <v/>
      </c>
      <c r="O144" s="658" t="str">
        <f ca="1">IF($B144&lt;&gt;"PRC_RESID","",IF(O$7=2005+OFFSET(COM_2012!$B$60,$AW144,SUMIF($B$10:$B$16,"NCAP_TLIFE",$AX$10:$AX$16)),0,""))</f>
        <v/>
      </c>
      <c r="P144" s="369" t="str">
        <f ca="1">IF($B144&lt;&gt;"PRC_RESID","",IF(P$7=2005+OFFSET(COM_2012!$B$60,$AW144,SUMIF($B$10:$B$16,"NCAP_TLIFE",$AX$10:$AX$16)),0,""))</f>
        <v/>
      </c>
      <c r="Q144" s="369" t="str">
        <f ca="1">IF($B144&lt;&gt;"PRC_RESID","",IF(Q$7=2005+OFFSET(COM_2012!$B$60,$AW144,SUMIF($B$10:$B$16,"NCAP_TLIFE",$AX$10:$AX$16)),0,""))</f>
        <v/>
      </c>
      <c r="R144" s="369" t="str">
        <f ca="1">IF($B144&lt;&gt;"PRC_RESID","",IF(R$7=2005+OFFSET(COM_2012!$B$60,$AW144,SUMIF($B$10:$B$16,"NCAP_TLIFE",$AX$10:$AX$16)),0,""))</f>
        <v/>
      </c>
      <c r="S144" s="369" t="str">
        <f ca="1">IF($B144&lt;&gt;"PRC_RESID","",IF(S$7=2005+OFFSET(COM_2012!$B$60,$AW144,SUMIF($B$10:$B$16,"NCAP_TLIFE",$AX$10:$AX$16)),0,""))</f>
        <v/>
      </c>
      <c r="T144" s="369" t="str">
        <f ca="1">IF($B144&lt;&gt;"PRC_RESID","",IF(T$7=2005+OFFSET(COM_2012!$B$60,$AW144,SUMIF($B$10:$B$16,"NCAP_TLIFE",$AX$10:$AX$16)),0,""))</f>
        <v/>
      </c>
      <c r="U144" s="369" t="str">
        <f ca="1">IF($B144&lt;&gt;"PRC_RESID","",IF(U$7=2005+OFFSET(COM_2012!$B$60,$AW144,SUMIF($B$10:$B$16,"NCAP_TLIFE",$AX$10:$AX$16)),0,""))</f>
        <v/>
      </c>
      <c r="V144" s="369" t="str">
        <f ca="1">IF($B144&lt;&gt;"PRC_RESID","",IF(V$7=2005+OFFSET(COM_2012!$B$60,$AW144,SUMIF($B$10:$B$16,"NCAP_TLIFE",$AX$10:$AX$16)),0,""))</f>
        <v/>
      </c>
      <c r="W144" s="369" t="str">
        <f ca="1">IF($B144&lt;&gt;"PRC_RESID","",IF(W$7=2005+OFFSET(COM_2012!$B$60,$AW144,SUMIF($B$10:$B$16,"NCAP_TLIFE",$AX$10:$AX$16)),0,""))</f>
        <v/>
      </c>
      <c r="X144" s="369" t="str">
        <f ca="1">IF($B144&lt;&gt;"PRC_RESID","",IF(X$7=2005+OFFSET(COM_2012!$B$60,$AW144,SUMIF($B$10:$B$16,"NCAP_TLIFE",$AX$10:$AX$16)),0,""))</f>
        <v/>
      </c>
      <c r="Y144" s="369" t="str">
        <f ca="1">IF($B144&lt;&gt;"PRC_RESID","",IF(Y$7=2005+OFFSET(COM_2012!$B$60,$AW144,SUMIF($B$10:$B$16,"NCAP_TLIFE",$AX$10:$AX$16)),0,""))</f>
        <v/>
      </c>
      <c r="Z144" s="369" t="str">
        <f ca="1">IF($B144&lt;&gt;"PRC_RESID","",IF(Z$7=2005+OFFSET(COM_2012!$B$60,$AW144,SUMIF($B$10:$B$16,"NCAP_TLIFE",$AX$10:$AX$16)),0,""))</f>
        <v/>
      </c>
      <c r="AA144" s="369" t="str">
        <f ca="1">IF($B144&lt;&gt;"PRC_RESID","",IF(AA$7=2005+OFFSET(COM_2012!$B$60,$AW144,SUMIF($B$10:$B$16,"NCAP_TLIFE",$AX$10:$AX$16)),0,""))</f>
        <v/>
      </c>
      <c r="AB144" s="369" t="str">
        <f ca="1">IF($B144&lt;&gt;"PRC_RESID","",IF(AB$7=2005+OFFSET(COM_2012!$B$60,$AW144,SUMIF($B$10:$B$16,"NCAP_TLIFE",$AX$10:$AX$16)),0,""))</f>
        <v/>
      </c>
      <c r="AC144" s="369" t="str">
        <f ca="1">IF($B144&lt;&gt;"PRC_RESID","",IF(AC$7=2005+OFFSET(COM_2012!$B$60,$AW144,SUMIF($B$10:$B$16,"NCAP_TLIFE",$AX$10:$AX$16)),0,""))</f>
        <v/>
      </c>
      <c r="AD144" s="369" t="str">
        <f ca="1">IF($B144&lt;&gt;"PRC_RESID","",IF(AD$7=2005+OFFSET(COM_2012!$B$60,$AW144,SUMIF($B$10:$B$16,"NCAP_TLIFE",$AX$10:$AX$16)),0,""))</f>
        <v/>
      </c>
      <c r="AE144" s="369" t="str">
        <f ca="1">IF($B144&lt;&gt;"PRC_RESID","",IF(AE$7=2005+OFFSET(COM_2012!$B$60,$AW144,SUMIF($B$10:$B$16,"NCAP_TLIFE",$AX$10:$AX$16)),0,""))</f>
        <v/>
      </c>
      <c r="AF144" s="369" t="str">
        <f ca="1">IF($B144&lt;&gt;"PRC_RESID","",IF(AF$7=2005+OFFSET(COM_2012!$B$60,$AW144,SUMIF($B$10:$B$16,"NCAP_TLIFE",$AX$10:$AX$16)),0,""))</f>
        <v/>
      </c>
      <c r="AG144" s="369" t="str">
        <f ca="1">IF($B144&lt;&gt;"PRC_RESID","",IF(AG$7=2005+OFFSET(COM_2012!$B$60,$AW144,SUMIF($B$10:$B$16,"NCAP_TLIFE",$AX$10:$AX$16)),0,""))</f>
        <v/>
      </c>
      <c r="AH144" s="369" t="str">
        <f ca="1">IF($B144&lt;&gt;"PRC_RESID","",IF(AH$7=2005+OFFSET(COM_2012!$B$60,$AW144,SUMIF($B$10:$B$16,"NCAP_TLIFE",$AX$10:$AX$16)),0,""))</f>
        <v/>
      </c>
      <c r="AI144" s="369" t="str">
        <f ca="1">IF($B144&lt;&gt;"PRC_RESID","",IF(AI$7=2005+OFFSET(COM_2012!$B$60,$AW144,SUMIF($B$10:$B$16,"NCAP_TLIFE",$AX$10:$AX$16)),0,""))</f>
        <v/>
      </c>
      <c r="AJ144" s="369" t="str">
        <f ca="1">IF($B144&lt;&gt;"PRC_RESID","",IF(AJ$7=2005+OFFSET(COM_2012!$B$60,$AW144,SUMIF($B$10:$B$16,"NCAP_TLIFE",$AX$10:$AX$16)),0,""))</f>
        <v/>
      </c>
      <c r="AK144" s="369" t="str">
        <f ca="1">IF($B144&lt;&gt;"PRC_RESID","",IF(AK$7=2005+OFFSET(COM_2012!$B$60,$AW144,SUMIF($B$10:$B$16,"NCAP_TLIFE",$AX$10:$AX$16)),0,""))</f>
        <v/>
      </c>
      <c r="AL144" s="369" t="str">
        <f ca="1">IF($B144&lt;&gt;"PRC_RESID","",IF(AL$7=2005+OFFSET(COM_2012!$B$60,$AW144,SUMIF($B$10:$B$16,"NCAP_TLIFE",$AX$10:$AX$16)),0,""))</f>
        <v/>
      </c>
      <c r="AM144" s="369" t="str">
        <f ca="1">IF($B144&lt;&gt;"PRC_RESID","",IF(AM$7=2005+OFFSET(COM_2012!$B$60,$AW144,SUMIF($B$10:$B$16,"NCAP_TLIFE",$AX$10:$AX$16)),0,""))</f>
        <v/>
      </c>
      <c r="AN144" s="369" t="str">
        <f ca="1">IF($B144&lt;&gt;"PRC_RESID","",IF(AN$7=2005+OFFSET(COM_2012!$B$60,$AW144,SUMIF($B$10:$B$16,"NCAP_TLIFE",$AX$10:$AX$16)),0,""))</f>
        <v/>
      </c>
      <c r="AO144" s="369" t="str">
        <f ca="1">IF($B144&lt;&gt;"PRC_RESID","",IF(AO$7=2005+OFFSET(COM_2012!$B$60,$AW144,SUMIF($B$10:$B$16,"NCAP_TLIFE",$AX$10:$AX$16)),0,""))</f>
        <v/>
      </c>
      <c r="AP144" s="369" t="str">
        <f ca="1">IF($B144&lt;&gt;"PRC_RESID","",IF(AP$7=2005+OFFSET(COM_2012!$B$60,$AW144,SUMIF($B$10:$B$16,"NCAP_TLIFE",$AX$10:$AX$16)),0,""))</f>
        <v/>
      </c>
      <c r="AQ144" s="369" t="str">
        <f ca="1">IF($B144&lt;&gt;"PRC_RESID","",IF(AQ$7=2005+OFFSET(COM_2012!$B$60,$AW144,SUMIF($B$10:$B$16,"NCAP_TLIFE",$AX$10:$AX$16)),0,""))</f>
        <v/>
      </c>
      <c r="AR144" s="369" t="str">
        <f ca="1">IF($B144&lt;&gt;"PRC_RESID","",IF(AR$7=2005+OFFSET(COM_2012!$B$60,$AW144,SUMIF($B$10:$B$16,"NCAP_TLIFE",$AX$10:$AX$16)),0,""))</f>
        <v/>
      </c>
      <c r="AS144" s="369" t="str">
        <f ca="1">IF($B144&lt;&gt;"PRC_RESID","",IF(AS$7=2005+OFFSET(COM_2012!$B$60,$AW144,SUMIF($B$10:$B$16,"NCAP_TLIFE",$AX$10:$AX$16)),0,""))</f>
        <v/>
      </c>
      <c r="AT144" s="369" t="str">
        <f ca="1">IF($B144&lt;&gt;"PRC_RESID","",IF(AT$7=2005+OFFSET(COM_2012!$B$60,$AW144,SUMIF($B$10:$B$16,"NCAP_TLIFE",$AX$10:$AX$16)),0,""))</f>
        <v/>
      </c>
      <c r="AU144" s="369" t="str">
        <f ca="1">IF($B144&lt;&gt;"PRC_RESID","",IF(AU$7=2005+OFFSET(COM_2012!$B$60,$AW144,SUMIF($B$10:$B$16,"NCAP_TLIFE",$AX$10:$AX$16)),0,""))</f>
        <v/>
      </c>
      <c r="AV144" s="304">
        <f>IF(AW143=COM_2012!$AI$121,AV143+1,AV143)</f>
        <v>2</v>
      </c>
      <c r="AW144" s="304">
        <f t="shared" si="12"/>
        <v>56</v>
      </c>
    </row>
    <row r="145" spans="1:49">
      <c r="A145" s="304" t="str">
        <f ca="1">IF(LEFT(OFFSET(COM_2012!$A$60,AW145,0),2)="\I","*","")</f>
        <v/>
      </c>
      <c r="B145" s="369" t="str">
        <f t="shared" ca="1" si="10"/>
        <v>NCAP_BND</v>
      </c>
      <c r="C145" s="369" t="str">
        <f ca="1">IF($A145="*","",OFFSET(COM_2012!$B$60,AW145,0))</f>
        <v>CEOOGS-E</v>
      </c>
      <c r="D145" s="369" t="str">
        <f t="shared" ca="1" si="14"/>
        <v>-</v>
      </c>
      <c r="E145" s="369" t="str">
        <f t="shared" ca="1" si="14"/>
        <v>-</v>
      </c>
      <c r="F145" s="369" t="str">
        <f t="shared" ca="1" si="14"/>
        <v>-</v>
      </c>
      <c r="G145" s="369" t="str">
        <f t="shared" ca="1" si="14"/>
        <v>-</v>
      </c>
      <c r="H145" s="369" t="str">
        <f t="shared" ca="1" si="14"/>
        <v>UP</v>
      </c>
      <c r="I145" s="370">
        <f t="shared" ca="1" si="14"/>
        <v>0</v>
      </c>
      <c r="J145" s="391">
        <f ca="1">IF($A145="*","",OFFSET(COM_2012!$B$60,AW145,SUMIF($B$10:$B$16,B145,$AX$10:$AX$16)))</f>
        <v>0</v>
      </c>
      <c r="K145" s="369" t="str">
        <f ca="1">IF($B145&lt;&gt;"PRC_RESID","",IF(K$7=2005+OFFSET(COM_2012!$B$60,$AW145,SUMIF($B$10:$B$16,"NCAP_TLIFE",$AX$10:$AX$16)),0,""))</f>
        <v/>
      </c>
      <c r="L145" s="369" t="str">
        <f ca="1">IF($B145&lt;&gt;"PRC_RESID","",IF(L$7=2005+OFFSET(COM_2012!$B$60,$AW145,SUMIF($B$10:$B$16,"NCAP_TLIFE",$AX$10:$AX$16)),0,""))</f>
        <v/>
      </c>
      <c r="M145" s="369" t="str">
        <f ca="1">IF($B145&lt;&gt;"PRC_RESID","",IF(M$7=2005+OFFSET(COM_2012!$B$60,$AW145,SUMIF($B$10:$B$16,"NCAP_TLIFE",$AX$10:$AX$16)),0,""))</f>
        <v/>
      </c>
      <c r="N145" s="369" t="str">
        <f ca="1">IF($B145&lt;&gt;"PRC_RESID","",IF(N$7=2005+OFFSET(COM_2012!$B$60,$AW145,SUMIF($B$10:$B$16,"NCAP_TLIFE",$AX$10:$AX$16)),0,""))</f>
        <v/>
      </c>
      <c r="O145" s="658" t="str">
        <f ca="1">IF($B145&lt;&gt;"PRC_RESID","",IF(O$7=2005+OFFSET(COM_2012!$B$60,$AW145,SUMIF($B$10:$B$16,"NCAP_TLIFE",$AX$10:$AX$16)),0,""))</f>
        <v/>
      </c>
      <c r="P145" s="369" t="str">
        <f ca="1">IF($B145&lt;&gt;"PRC_RESID","",IF(P$7=2005+OFFSET(COM_2012!$B$60,$AW145,SUMIF($B$10:$B$16,"NCAP_TLIFE",$AX$10:$AX$16)),0,""))</f>
        <v/>
      </c>
      <c r="Q145" s="369" t="str">
        <f ca="1">IF($B145&lt;&gt;"PRC_RESID","",IF(Q$7=2005+OFFSET(COM_2012!$B$60,$AW145,SUMIF($B$10:$B$16,"NCAP_TLIFE",$AX$10:$AX$16)),0,""))</f>
        <v/>
      </c>
      <c r="R145" s="369" t="str">
        <f ca="1">IF($B145&lt;&gt;"PRC_RESID","",IF(R$7=2005+OFFSET(COM_2012!$B$60,$AW145,SUMIF($B$10:$B$16,"NCAP_TLIFE",$AX$10:$AX$16)),0,""))</f>
        <v/>
      </c>
      <c r="S145" s="369" t="str">
        <f ca="1">IF($B145&lt;&gt;"PRC_RESID","",IF(S$7=2005+OFFSET(COM_2012!$B$60,$AW145,SUMIF($B$10:$B$16,"NCAP_TLIFE",$AX$10:$AX$16)),0,""))</f>
        <v/>
      </c>
      <c r="T145" s="369" t="str">
        <f ca="1">IF($B145&lt;&gt;"PRC_RESID","",IF(T$7=2005+OFFSET(COM_2012!$B$60,$AW145,SUMIF($B$10:$B$16,"NCAP_TLIFE",$AX$10:$AX$16)),0,""))</f>
        <v/>
      </c>
      <c r="U145" s="369" t="str">
        <f ca="1">IF($B145&lt;&gt;"PRC_RESID","",IF(U$7=2005+OFFSET(COM_2012!$B$60,$AW145,SUMIF($B$10:$B$16,"NCAP_TLIFE",$AX$10:$AX$16)),0,""))</f>
        <v/>
      </c>
      <c r="V145" s="369" t="str">
        <f ca="1">IF($B145&lt;&gt;"PRC_RESID","",IF(V$7=2005+OFFSET(COM_2012!$B$60,$AW145,SUMIF($B$10:$B$16,"NCAP_TLIFE",$AX$10:$AX$16)),0,""))</f>
        <v/>
      </c>
      <c r="W145" s="369" t="str">
        <f ca="1">IF($B145&lt;&gt;"PRC_RESID","",IF(W$7=2005+OFFSET(COM_2012!$B$60,$AW145,SUMIF($B$10:$B$16,"NCAP_TLIFE",$AX$10:$AX$16)),0,""))</f>
        <v/>
      </c>
      <c r="X145" s="369" t="str">
        <f ca="1">IF($B145&lt;&gt;"PRC_RESID","",IF(X$7=2005+OFFSET(COM_2012!$B$60,$AW145,SUMIF($B$10:$B$16,"NCAP_TLIFE",$AX$10:$AX$16)),0,""))</f>
        <v/>
      </c>
      <c r="Y145" s="369" t="str">
        <f ca="1">IF($B145&lt;&gt;"PRC_RESID","",IF(Y$7=2005+OFFSET(COM_2012!$B$60,$AW145,SUMIF($B$10:$B$16,"NCAP_TLIFE",$AX$10:$AX$16)),0,""))</f>
        <v/>
      </c>
      <c r="Z145" s="369" t="str">
        <f ca="1">IF($B145&lt;&gt;"PRC_RESID","",IF(Z$7=2005+OFFSET(COM_2012!$B$60,$AW145,SUMIF($B$10:$B$16,"NCAP_TLIFE",$AX$10:$AX$16)),0,""))</f>
        <v/>
      </c>
      <c r="AA145" s="369" t="str">
        <f ca="1">IF($B145&lt;&gt;"PRC_RESID","",IF(AA$7=2005+OFFSET(COM_2012!$B$60,$AW145,SUMIF($B$10:$B$16,"NCAP_TLIFE",$AX$10:$AX$16)),0,""))</f>
        <v/>
      </c>
      <c r="AB145" s="369" t="str">
        <f ca="1">IF($B145&lt;&gt;"PRC_RESID","",IF(AB$7=2005+OFFSET(COM_2012!$B$60,$AW145,SUMIF($B$10:$B$16,"NCAP_TLIFE",$AX$10:$AX$16)),0,""))</f>
        <v/>
      </c>
      <c r="AC145" s="369" t="str">
        <f ca="1">IF($B145&lt;&gt;"PRC_RESID","",IF(AC$7=2005+OFFSET(COM_2012!$B$60,$AW145,SUMIF($B$10:$B$16,"NCAP_TLIFE",$AX$10:$AX$16)),0,""))</f>
        <v/>
      </c>
      <c r="AD145" s="369" t="str">
        <f ca="1">IF($B145&lt;&gt;"PRC_RESID","",IF(AD$7=2005+OFFSET(COM_2012!$B$60,$AW145,SUMIF($B$10:$B$16,"NCAP_TLIFE",$AX$10:$AX$16)),0,""))</f>
        <v/>
      </c>
      <c r="AE145" s="369" t="str">
        <f ca="1">IF($B145&lt;&gt;"PRC_RESID","",IF(AE$7=2005+OFFSET(COM_2012!$B$60,$AW145,SUMIF($B$10:$B$16,"NCAP_TLIFE",$AX$10:$AX$16)),0,""))</f>
        <v/>
      </c>
      <c r="AF145" s="369" t="str">
        <f ca="1">IF($B145&lt;&gt;"PRC_RESID","",IF(AF$7=2005+OFFSET(COM_2012!$B$60,$AW145,SUMIF($B$10:$B$16,"NCAP_TLIFE",$AX$10:$AX$16)),0,""))</f>
        <v/>
      </c>
      <c r="AG145" s="369" t="str">
        <f ca="1">IF($B145&lt;&gt;"PRC_RESID","",IF(AG$7=2005+OFFSET(COM_2012!$B$60,$AW145,SUMIF($B$10:$B$16,"NCAP_TLIFE",$AX$10:$AX$16)),0,""))</f>
        <v/>
      </c>
      <c r="AH145" s="369" t="str">
        <f ca="1">IF($B145&lt;&gt;"PRC_RESID","",IF(AH$7=2005+OFFSET(COM_2012!$B$60,$AW145,SUMIF($B$10:$B$16,"NCAP_TLIFE",$AX$10:$AX$16)),0,""))</f>
        <v/>
      </c>
      <c r="AI145" s="369" t="str">
        <f ca="1">IF($B145&lt;&gt;"PRC_RESID","",IF(AI$7=2005+OFFSET(COM_2012!$B$60,$AW145,SUMIF($B$10:$B$16,"NCAP_TLIFE",$AX$10:$AX$16)),0,""))</f>
        <v/>
      </c>
      <c r="AJ145" s="369" t="str">
        <f ca="1">IF($B145&lt;&gt;"PRC_RESID","",IF(AJ$7=2005+OFFSET(COM_2012!$B$60,$AW145,SUMIF($B$10:$B$16,"NCAP_TLIFE",$AX$10:$AX$16)),0,""))</f>
        <v/>
      </c>
      <c r="AK145" s="369" t="str">
        <f ca="1">IF($B145&lt;&gt;"PRC_RESID","",IF(AK$7=2005+OFFSET(COM_2012!$B$60,$AW145,SUMIF($B$10:$B$16,"NCAP_TLIFE",$AX$10:$AX$16)),0,""))</f>
        <v/>
      </c>
      <c r="AL145" s="369" t="str">
        <f ca="1">IF($B145&lt;&gt;"PRC_RESID","",IF(AL$7=2005+OFFSET(COM_2012!$B$60,$AW145,SUMIF($B$10:$B$16,"NCAP_TLIFE",$AX$10:$AX$16)),0,""))</f>
        <v/>
      </c>
      <c r="AM145" s="369" t="str">
        <f ca="1">IF($B145&lt;&gt;"PRC_RESID","",IF(AM$7=2005+OFFSET(COM_2012!$B$60,$AW145,SUMIF($B$10:$B$16,"NCAP_TLIFE",$AX$10:$AX$16)),0,""))</f>
        <v/>
      </c>
      <c r="AN145" s="369" t="str">
        <f ca="1">IF($B145&lt;&gt;"PRC_RESID","",IF(AN$7=2005+OFFSET(COM_2012!$B$60,$AW145,SUMIF($B$10:$B$16,"NCAP_TLIFE",$AX$10:$AX$16)),0,""))</f>
        <v/>
      </c>
      <c r="AO145" s="369" t="str">
        <f ca="1">IF($B145&lt;&gt;"PRC_RESID","",IF(AO$7=2005+OFFSET(COM_2012!$B$60,$AW145,SUMIF($B$10:$B$16,"NCAP_TLIFE",$AX$10:$AX$16)),0,""))</f>
        <v/>
      </c>
      <c r="AP145" s="369" t="str">
        <f ca="1">IF($B145&lt;&gt;"PRC_RESID","",IF(AP$7=2005+OFFSET(COM_2012!$B$60,$AW145,SUMIF($B$10:$B$16,"NCAP_TLIFE",$AX$10:$AX$16)),0,""))</f>
        <v/>
      </c>
      <c r="AQ145" s="369" t="str">
        <f ca="1">IF($B145&lt;&gt;"PRC_RESID","",IF(AQ$7=2005+OFFSET(COM_2012!$B$60,$AW145,SUMIF($B$10:$B$16,"NCAP_TLIFE",$AX$10:$AX$16)),0,""))</f>
        <v/>
      </c>
      <c r="AR145" s="369" t="str">
        <f ca="1">IF($B145&lt;&gt;"PRC_RESID","",IF(AR$7=2005+OFFSET(COM_2012!$B$60,$AW145,SUMIF($B$10:$B$16,"NCAP_TLIFE",$AX$10:$AX$16)),0,""))</f>
        <v/>
      </c>
      <c r="AS145" s="369" t="str">
        <f ca="1">IF($B145&lt;&gt;"PRC_RESID","",IF(AS$7=2005+OFFSET(COM_2012!$B$60,$AW145,SUMIF($B$10:$B$16,"NCAP_TLIFE",$AX$10:$AX$16)),0,""))</f>
        <v/>
      </c>
      <c r="AT145" s="369" t="str">
        <f ca="1">IF($B145&lt;&gt;"PRC_RESID","",IF(AT$7=2005+OFFSET(COM_2012!$B$60,$AW145,SUMIF($B$10:$B$16,"NCAP_TLIFE",$AX$10:$AX$16)),0,""))</f>
        <v/>
      </c>
      <c r="AU145" s="369" t="str">
        <f ca="1">IF($B145&lt;&gt;"PRC_RESID","",IF(AU$7=2005+OFFSET(COM_2012!$B$60,$AW145,SUMIF($B$10:$B$16,"NCAP_TLIFE",$AX$10:$AX$16)),0,""))</f>
        <v/>
      </c>
      <c r="AV145" s="304">
        <f>IF(AW144=COM_2012!$AI$121,AV144+1,AV144)</f>
        <v>2</v>
      </c>
      <c r="AW145" s="304">
        <f t="shared" si="12"/>
        <v>57</v>
      </c>
    </row>
    <row r="146" spans="1:49">
      <c r="A146" s="304" t="str">
        <f ca="1">IF(LEFT(OFFSET(COM_2012!$A$60,AW146,0),2)="\I","*","")</f>
        <v/>
      </c>
      <c r="B146" s="369" t="str">
        <f t="shared" ca="1" si="10"/>
        <v>NCAP_BND</v>
      </c>
      <c r="C146" s="369" t="str">
        <f ca="1">IF($A146="*","",OFFSET(COM_2012!$B$60,AW146,0))</f>
        <v>CEOOHF-E</v>
      </c>
      <c r="D146" s="369" t="str">
        <f t="shared" ref="D146:I161" ca="1" si="15">IF($A146="*","",VLOOKUP($B146,$B$10:$I$16,D$9,FALSE))</f>
        <v>-</v>
      </c>
      <c r="E146" s="369" t="str">
        <f t="shared" ca="1" si="15"/>
        <v>-</v>
      </c>
      <c r="F146" s="369" t="str">
        <f t="shared" ca="1" si="15"/>
        <v>-</v>
      </c>
      <c r="G146" s="369" t="str">
        <f t="shared" ca="1" si="15"/>
        <v>-</v>
      </c>
      <c r="H146" s="369" t="str">
        <f t="shared" ca="1" si="15"/>
        <v>UP</v>
      </c>
      <c r="I146" s="370">
        <f t="shared" ca="1" si="15"/>
        <v>0</v>
      </c>
      <c r="J146" s="391">
        <f ca="1">IF($A146="*","",OFFSET(COM_2012!$B$60,AW146,SUMIF($B$10:$B$16,B146,$AX$10:$AX$16)))</f>
        <v>0</v>
      </c>
      <c r="K146" s="369" t="str">
        <f ca="1">IF($B146&lt;&gt;"PRC_RESID","",IF(K$7=2005+OFFSET(COM_2012!$B$60,$AW146,SUMIF($B$10:$B$16,"NCAP_TLIFE",$AX$10:$AX$16)),0,""))</f>
        <v/>
      </c>
      <c r="L146" s="369" t="str">
        <f ca="1">IF($B146&lt;&gt;"PRC_RESID","",IF(L$7=2005+OFFSET(COM_2012!$B$60,$AW146,SUMIF($B$10:$B$16,"NCAP_TLIFE",$AX$10:$AX$16)),0,""))</f>
        <v/>
      </c>
      <c r="M146" s="369" t="str">
        <f ca="1">IF($B146&lt;&gt;"PRC_RESID","",IF(M$7=2005+OFFSET(COM_2012!$B$60,$AW146,SUMIF($B$10:$B$16,"NCAP_TLIFE",$AX$10:$AX$16)),0,""))</f>
        <v/>
      </c>
      <c r="N146" s="369" t="str">
        <f ca="1">IF($B146&lt;&gt;"PRC_RESID","",IF(N$7=2005+OFFSET(COM_2012!$B$60,$AW146,SUMIF($B$10:$B$16,"NCAP_TLIFE",$AX$10:$AX$16)),0,""))</f>
        <v/>
      </c>
      <c r="O146" s="658" t="str">
        <f ca="1">IF($B146&lt;&gt;"PRC_RESID","",IF(O$7=2005+OFFSET(COM_2012!$B$60,$AW146,SUMIF($B$10:$B$16,"NCAP_TLIFE",$AX$10:$AX$16)),0,""))</f>
        <v/>
      </c>
      <c r="P146" s="369" t="str">
        <f ca="1">IF($B146&lt;&gt;"PRC_RESID","",IF(P$7=2005+OFFSET(COM_2012!$B$60,$AW146,SUMIF($B$10:$B$16,"NCAP_TLIFE",$AX$10:$AX$16)),0,""))</f>
        <v/>
      </c>
      <c r="Q146" s="369" t="str">
        <f ca="1">IF($B146&lt;&gt;"PRC_RESID","",IF(Q$7=2005+OFFSET(COM_2012!$B$60,$AW146,SUMIF($B$10:$B$16,"NCAP_TLIFE",$AX$10:$AX$16)),0,""))</f>
        <v/>
      </c>
      <c r="R146" s="369" t="str">
        <f ca="1">IF($B146&lt;&gt;"PRC_RESID","",IF(R$7=2005+OFFSET(COM_2012!$B$60,$AW146,SUMIF($B$10:$B$16,"NCAP_TLIFE",$AX$10:$AX$16)),0,""))</f>
        <v/>
      </c>
      <c r="S146" s="369" t="str">
        <f ca="1">IF($B146&lt;&gt;"PRC_RESID","",IF(S$7=2005+OFFSET(COM_2012!$B$60,$AW146,SUMIF($B$10:$B$16,"NCAP_TLIFE",$AX$10:$AX$16)),0,""))</f>
        <v/>
      </c>
      <c r="T146" s="369" t="str">
        <f ca="1">IF($B146&lt;&gt;"PRC_RESID","",IF(T$7=2005+OFFSET(COM_2012!$B$60,$AW146,SUMIF($B$10:$B$16,"NCAP_TLIFE",$AX$10:$AX$16)),0,""))</f>
        <v/>
      </c>
      <c r="U146" s="369" t="str">
        <f ca="1">IF($B146&lt;&gt;"PRC_RESID","",IF(U$7=2005+OFFSET(COM_2012!$B$60,$AW146,SUMIF($B$10:$B$16,"NCAP_TLIFE",$AX$10:$AX$16)),0,""))</f>
        <v/>
      </c>
      <c r="V146" s="369" t="str">
        <f ca="1">IF($B146&lt;&gt;"PRC_RESID","",IF(V$7=2005+OFFSET(COM_2012!$B$60,$AW146,SUMIF($B$10:$B$16,"NCAP_TLIFE",$AX$10:$AX$16)),0,""))</f>
        <v/>
      </c>
      <c r="W146" s="369" t="str">
        <f ca="1">IF($B146&lt;&gt;"PRC_RESID","",IF(W$7=2005+OFFSET(COM_2012!$B$60,$AW146,SUMIF($B$10:$B$16,"NCAP_TLIFE",$AX$10:$AX$16)),0,""))</f>
        <v/>
      </c>
      <c r="X146" s="369" t="str">
        <f ca="1">IF($B146&lt;&gt;"PRC_RESID","",IF(X$7=2005+OFFSET(COM_2012!$B$60,$AW146,SUMIF($B$10:$B$16,"NCAP_TLIFE",$AX$10:$AX$16)),0,""))</f>
        <v/>
      </c>
      <c r="Y146" s="369" t="str">
        <f ca="1">IF($B146&lt;&gt;"PRC_RESID","",IF(Y$7=2005+OFFSET(COM_2012!$B$60,$AW146,SUMIF($B$10:$B$16,"NCAP_TLIFE",$AX$10:$AX$16)),0,""))</f>
        <v/>
      </c>
      <c r="Z146" s="369" t="str">
        <f ca="1">IF($B146&lt;&gt;"PRC_RESID","",IF(Z$7=2005+OFFSET(COM_2012!$B$60,$AW146,SUMIF($B$10:$B$16,"NCAP_TLIFE",$AX$10:$AX$16)),0,""))</f>
        <v/>
      </c>
      <c r="AA146" s="369" t="str">
        <f ca="1">IF($B146&lt;&gt;"PRC_RESID","",IF(AA$7=2005+OFFSET(COM_2012!$B$60,$AW146,SUMIF($B$10:$B$16,"NCAP_TLIFE",$AX$10:$AX$16)),0,""))</f>
        <v/>
      </c>
      <c r="AB146" s="369" t="str">
        <f ca="1">IF($B146&lt;&gt;"PRC_RESID","",IF(AB$7=2005+OFFSET(COM_2012!$B$60,$AW146,SUMIF($B$10:$B$16,"NCAP_TLIFE",$AX$10:$AX$16)),0,""))</f>
        <v/>
      </c>
      <c r="AC146" s="369" t="str">
        <f ca="1">IF($B146&lt;&gt;"PRC_RESID","",IF(AC$7=2005+OFFSET(COM_2012!$B$60,$AW146,SUMIF($B$10:$B$16,"NCAP_TLIFE",$AX$10:$AX$16)),0,""))</f>
        <v/>
      </c>
      <c r="AD146" s="369" t="str">
        <f ca="1">IF($B146&lt;&gt;"PRC_RESID","",IF(AD$7=2005+OFFSET(COM_2012!$B$60,$AW146,SUMIF($B$10:$B$16,"NCAP_TLIFE",$AX$10:$AX$16)),0,""))</f>
        <v/>
      </c>
      <c r="AE146" s="369" t="str">
        <f ca="1">IF($B146&lt;&gt;"PRC_RESID","",IF(AE$7=2005+OFFSET(COM_2012!$B$60,$AW146,SUMIF($B$10:$B$16,"NCAP_TLIFE",$AX$10:$AX$16)),0,""))</f>
        <v/>
      </c>
      <c r="AF146" s="369" t="str">
        <f ca="1">IF($B146&lt;&gt;"PRC_RESID","",IF(AF$7=2005+OFFSET(COM_2012!$B$60,$AW146,SUMIF($B$10:$B$16,"NCAP_TLIFE",$AX$10:$AX$16)),0,""))</f>
        <v/>
      </c>
      <c r="AG146" s="369" t="str">
        <f ca="1">IF($B146&lt;&gt;"PRC_RESID","",IF(AG$7=2005+OFFSET(COM_2012!$B$60,$AW146,SUMIF($B$10:$B$16,"NCAP_TLIFE",$AX$10:$AX$16)),0,""))</f>
        <v/>
      </c>
      <c r="AH146" s="369" t="str">
        <f ca="1">IF($B146&lt;&gt;"PRC_RESID","",IF(AH$7=2005+OFFSET(COM_2012!$B$60,$AW146,SUMIF($B$10:$B$16,"NCAP_TLIFE",$AX$10:$AX$16)),0,""))</f>
        <v/>
      </c>
      <c r="AI146" s="369" t="str">
        <f ca="1">IF($B146&lt;&gt;"PRC_RESID","",IF(AI$7=2005+OFFSET(COM_2012!$B$60,$AW146,SUMIF($B$10:$B$16,"NCAP_TLIFE",$AX$10:$AX$16)),0,""))</f>
        <v/>
      </c>
      <c r="AJ146" s="369" t="str">
        <f ca="1">IF($B146&lt;&gt;"PRC_RESID","",IF(AJ$7=2005+OFFSET(COM_2012!$B$60,$AW146,SUMIF($B$10:$B$16,"NCAP_TLIFE",$AX$10:$AX$16)),0,""))</f>
        <v/>
      </c>
      <c r="AK146" s="369" t="str">
        <f ca="1">IF($B146&lt;&gt;"PRC_RESID","",IF(AK$7=2005+OFFSET(COM_2012!$B$60,$AW146,SUMIF($B$10:$B$16,"NCAP_TLIFE",$AX$10:$AX$16)),0,""))</f>
        <v/>
      </c>
      <c r="AL146" s="369" t="str">
        <f ca="1">IF($B146&lt;&gt;"PRC_RESID","",IF(AL$7=2005+OFFSET(COM_2012!$B$60,$AW146,SUMIF($B$10:$B$16,"NCAP_TLIFE",$AX$10:$AX$16)),0,""))</f>
        <v/>
      </c>
      <c r="AM146" s="369" t="str">
        <f ca="1">IF($B146&lt;&gt;"PRC_RESID","",IF(AM$7=2005+OFFSET(COM_2012!$B$60,$AW146,SUMIF($B$10:$B$16,"NCAP_TLIFE",$AX$10:$AX$16)),0,""))</f>
        <v/>
      </c>
      <c r="AN146" s="369" t="str">
        <f ca="1">IF($B146&lt;&gt;"PRC_RESID","",IF(AN$7=2005+OFFSET(COM_2012!$B$60,$AW146,SUMIF($B$10:$B$16,"NCAP_TLIFE",$AX$10:$AX$16)),0,""))</f>
        <v/>
      </c>
      <c r="AO146" s="369" t="str">
        <f ca="1">IF($B146&lt;&gt;"PRC_RESID","",IF(AO$7=2005+OFFSET(COM_2012!$B$60,$AW146,SUMIF($B$10:$B$16,"NCAP_TLIFE",$AX$10:$AX$16)),0,""))</f>
        <v/>
      </c>
      <c r="AP146" s="369" t="str">
        <f ca="1">IF($B146&lt;&gt;"PRC_RESID","",IF(AP$7=2005+OFFSET(COM_2012!$B$60,$AW146,SUMIF($B$10:$B$16,"NCAP_TLIFE",$AX$10:$AX$16)),0,""))</f>
        <v/>
      </c>
      <c r="AQ146" s="369" t="str">
        <f ca="1">IF($B146&lt;&gt;"PRC_RESID","",IF(AQ$7=2005+OFFSET(COM_2012!$B$60,$AW146,SUMIF($B$10:$B$16,"NCAP_TLIFE",$AX$10:$AX$16)),0,""))</f>
        <v/>
      </c>
      <c r="AR146" s="369" t="str">
        <f ca="1">IF($B146&lt;&gt;"PRC_RESID","",IF(AR$7=2005+OFFSET(COM_2012!$B$60,$AW146,SUMIF($B$10:$B$16,"NCAP_TLIFE",$AX$10:$AX$16)),0,""))</f>
        <v/>
      </c>
      <c r="AS146" s="369" t="str">
        <f ca="1">IF($B146&lt;&gt;"PRC_RESID","",IF(AS$7=2005+OFFSET(COM_2012!$B$60,$AW146,SUMIF($B$10:$B$16,"NCAP_TLIFE",$AX$10:$AX$16)),0,""))</f>
        <v/>
      </c>
      <c r="AT146" s="369" t="str">
        <f ca="1">IF($B146&lt;&gt;"PRC_RESID","",IF(AT$7=2005+OFFSET(COM_2012!$B$60,$AW146,SUMIF($B$10:$B$16,"NCAP_TLIFE",$AX$10:$AX$16)),0,""))</f>
        <v/>
      </c>
      <c r="AU146" s="369" t="str">
        <f ca="1">IF($B146&lt;&gt;"PRC_RESID","",IF(AU$7=2005+OFFSET(COM_2012!$B$60,$AW146,SUMIF($B$10:$B$16,"NCAP_TLIFE",$AX$10:$AX$16)),0,""))</f>
        <v/>
      </c>
      <c r="AV146" s="304">
        <f>IF(AW145=COM_2012!$AI$121,AV145+1,AV145)</f>
        <v>2</v>
      </c>
      <c r="AW146" s="304">
        <f t="shared" si="12"/>
        <v>58</v>
      </c>
    </row>
    <row r="147" spans="1:49">
      <c r="A147" s="304" t="str">
        <f ca="1">IF(LEFT(OFFSET(COM_2012!$A$60,AW147,0),2)="\I","*","")</f>
        <v/>
      </c>
      <c r="B147" s="369" t="str">
        <f t="shared" ca="1" si="10"/>
        <v>NCAP_BND</v>
      </c>
      <c r="C147" s="369" t="str">
        <f ca="1">IF($A147="*","",OFFSET(COM_2012!$B$60,AW147,0))</f>
        <v>CEOOKE-E</v>
      </c>
      <c r="D147" s="369" t="str">
        <f t="shared" ca="1" si="15"/>
        <v>-</v>
      </c>
      <c r="E147" s="369" t="str">
        <f t="shared" ca="1" si="15"/>
        <v>-</v>
      </c>
      <c r="F147" s="369" t="str">
        <f t="shared" ca="1" si="15"/>
        <v>-</v>
      </c>
      <c r="G147" s="369" t="str">
        <f t="shared" ca="1" si="15"/>
        <v>-</v>
      </c>
      <c r="H147" s="369" t="str">
        <f t="shared" ca="1" si="15"/>
        <v>UP</v>
      </c>
      <c r="I147" s="370">
        <f t="shared" ca="1" si="15"/>
        <v>0</v>
      </c>
      <c r="J147" s="391">
        <f ca="1">IF($A147="*","",OFFSET(COM_2012!$B$60,AW147,SUMIF($B$10:$B$16,B147,$AX$10:$AX$16)))</f>
        <v>0</v>
      </c>
      <c r="K147" s="369" t="str">
        <f ca="1">IF($B147&lt;&gt;"PRC_RESID","",IF(K$7=2005+OFFSET(COM_2012!$B$60,$AW147,SUMIF($B$10:$B$16,"NCAP_TLIFE",$AX$10:$AX$16)),0,""))</f>
        <v/>
      </c>
      <c r="L147" s="369" t="str">
        <f ca="1">IF($B147&lt;&gt;"PRC_RESID","",IF(L$7=2005+OFFSET(COM_2012!$B$60,$AW147,SUMIF($B$10:$B$16,"NCAP_TLIFE",$AX$10:$AX$16)),0,""))</f>
        <v/>
      </c>
      <c r="M147" s="369" t="str">
        <f ca="1">IF($B147&lt;&gt;"PRC_RESID","",IF(M$7=2005+OFFSET(COM_2012!$B$60,$AW147,SUMIF($B$10:$B$16,"NCAP_TLIFE",$AX$10:$AX$16)),0,""))</f>
        <v/>
      </c>
      <c r="N147" s="369" t="str">
        <f ca="1">IF($B147&lt;&gt;"PRC_RESID","",IF(N$7=2005+OFFSET(COM_2012!$B$60,$AW147,SUMIF($B$10:$B$16,"NCAP_TLIFE",$AX$10:$AX$16)),0,""))</f>
        <v/>
      </c>
      <c r="O147" s="658" t="str">
        <f ca="1">IF($B147&lt;&gt;"PRC_RESID","",IF(O$7=2005+OFFSET(COM_2012!$B$60,$AW147,SUMIF($B$10:$B$16,"NCAP_TLIFE",$AX$10:$AX$16)),0,""))</f>
        <v/>
      </c>
      <c r="P147" s="369" t="str">
        <f ca="1">IF($B147&lt;&gt;"PRC_RESID","",IF(P$7=2005+OFFSET(COM_2012!$B$60,$AW147,SUMIF($B$10:$B$16,"NCAP_TLIFE",$AX$10:$AX$16)),0,""))</f>
        <v/>
      </c>
      <c r="Q147" s="369" t="str">
        <f ca="1">IF($B147&lt;&gt;"PRC_RESID","",IF(Q$7=2005+OFFSET(COM_2012!$B$60,$AW147,SUMIF($B$10:$B$16,"NCAP_TLIFE",$AX$10:$AX$16)),0,""))</f>
        <v/>
      </c>
      <c r="R147" s="369" t="str">
        <f ca="1">IF($B147&lt;&gt;"PRC_RESID","",IF(R$7=2005+OFFSET(COM_2012!$B$60,$AW147,SUMIF($B$10:$B$16,"NCAP_TLIFE",$AX$10:$AX$16)),0,""))</f>
        <v/>
      </c>
      <c r="S147" s="369" t="str">
        <f ca="1">IF($B147&lt;&gt;"PRC_RESID","",IF(S$7=2005+OFFSET(COM_2012!$B$60,$AW147,SUMIF($B$10:$B$16,"NCAP_TLIFE",$AX$10:$AX$16)),0,""))</f>
        <v/>
      </c>
      <c r="T147" s="369" t="str">
        <f ca="1">IF($B147&lt;&gt;"PRC_RESID","",IF(T$7=2005+OFFSET(COM_2012!$B$60,$AW147,SUMIF($B$10:$B$16,"NCAP_TLIFE",$AX$10:$AX$16)),0,""))</f>
        <v/>
      </c>
      <c r="U147" s="369" t="str">
        <f ca="1">IF($B147&lt;&gt;"PRC_RESID","",IF(U$7=2005+OFFSET(COM_2012!$B$60,$AW147,SUMIF($B$10:$B$16,"NCAP_TLIFE",$AX$10:$AX$16)),0,""))</f>
        <v/>
      </c>
      <c r="V147" s="369" t="str">
        <f ca="1">IF($B147&lt;&gt;"PRC_RESID","",IF(V$7=2005+OFFSET(COM_2012!$B$60,$AW147,SUMIF($B$10:$B$16,"NCAP_TLIFE",$AX$10:$AX$16)),0,""))</f>
        <v/>
      </c>
      <c r="W147" s="369" t="str">
        <f ca="1">IF($B147&lt;&gt;"PRC_RESID","",IF(W$7=2005+OFFSET(COM_2012!$B$60,$AW147,SUMIF($B$10:$B$16,"NCAP_TLIFE",$AX$10:$AX$16)),0,""))</f>
        <v/>
      </c>
      <c r="X147" s="369" t="str">
        <f ca="1">IF($B147&lt;&gt;"PRC_RESID","",IF(X$7=2005+OFFSET(COM_2012!$B$60,$AW147,SUMIF($B$10:$B$16,"NCAP_TLIFE",$AX$10:$AX$16)),0,""))</f>
        <v/>
      </c>
      <c r="Y147" s="369" t="str">
        <f ca="1">IF($B147&lt;&gt;"PRC_RESID","",IF(Y$7=2005+OFFSET(COM_2012!$B$60,$AW147,SUMIF($B$10:$B$16,"NCAP_TLIFE",$AX$10:$AX$16)),0,""))</f>
        <v/>
      </c>
      <c r="Z147" s="369" t="str">
        <f ca="1">IF($B147&lt;&gt;"PRC_RESID","",IF(Z$7=2005+OFFSET(COM_2012!$B$60,$AW147,SUMIF($B$10:$B$16,"NCAP_TLIFE",$AX$10:$AX$16)),0,""))</f>
        <v/>
      </c>
      <c r="AA147" s="369" t="str">
        <f ca="1">IF($B147&lt;&gt;"PRC_RESID","",IF(AA$7=2005+OFFSET(COM_2012!$B$60,$AW147,SUMIF($B$10:$B$16,"NCAP_TLIFE",$AX$10:$AX$16)),0,""))</f>
        <v/>
      </c>
      <c r="AB147" s="369" t="str">
        <f ca="1">IF($B147&lt;&gt;"PRC_RESID","",IF(AB$7=2005+OFFSET(COM_2012!$B$60,$AW147,SUMIF($B$10:$B$16,"NCAP_TLIFE",$AX$10:$AX$16)),0,""))</f>
        <v/>
      </c>
      <c r="AC147" s="369" t="str">
        <f ca="1">IF($B147&lt;&gt;"PRC_RESID","",IF(AC$7=2005+OFFSET(COM_2012!$B$60,$AW147,SUMIF($B$10:$B$16,"NCAP_TLIFE",$AX$10:$AX$16)),0,""))</f>
        <v/>
      </c>
      <c r="AD147" s="369" t="str">
        <f ca="1">IF($B147&lt;&gt;"PRC_RESID","",IF(AD$7=2005+OFFSET(COM_2012!$B$60,$AW147,SUMIF($B$10:$B$16,"NCAP_TLIFE",$AX$10:$AX$16)),0,""))</f>
        <v/>
      </c>
      <c r="AE147" s="369" t="str">
        <f ca="1">IF($B147&lt;&gt;"PRC_RESID","",IF(AE$7=2005+OFFSET(COM_2012!$B$60,$AW147,SUMIF($B$10:$B$16,"NCAP_TLIFE",$AX$10:$AX$16)),0,""))</f>
        <v/>
      </c>
      <c r="AF147" s="369" t="str">
        <f ca="1">IF($B147&lt;&gt;"PRC_RESID","",IF(AF$7=2005+OFFSET(COM_2012!$B$60,$AW147,SUMIF($B$10:$B$16,"NCAP_TLIFE",$AX$10:$AX$16)),0,""))</f>
        <v/>
      </c>
      <c r="AG147" s="369" t="str">
        <f ca="1">IF($B147&lt;&gt;"PRC_RESID","",IF(AG$7=2005+OFFSET(COM_2012!$B$60,$AW147,SUMIF($B$10:$B$16,"NCAP_TLIFE",$AX$10:$AX$16)),0,""))</f>
        <v/>
      </c>
      <c r="AH147" s="369" t="str">
        <f ca="1">IF($B147&lt;&gt;"PRC_RESID","",IF(AH$7=2005+OFFSET(COM_2012!$B$60,$AW147,SUMIF($B$10:$B$16,"NCAP_TLIFE",$AX$10:$AX$16)),0,""))</f>
        <v/>
      </c>
      <c r="AI147" s="369" t="str">
        <f ca="1">IF($B147&lt;&gt;"PRC_RESID","",IF(AI$7=2005+OFFSET(COM_2012!$B$60,$AW147,SUMIF($B$10:$B$16,"NCAP_TLIFE",$AX$10:$AX$16)),0,""))</f>
        <v/>
      </c>
      <c r="AJ147" s="369" t="str">
        <f ca="1">IF($B147&lt;&gt;"PRC_RESID","",IF(AJ$7=2005+OFFSET(COM_2012!$B$60,$AW147,SUMIF($B$10:$B$16,"NCAP_TLIFE",$AX$10:$AX$16)),0,""))</f>
        <v/>
      </c>
      <c r="AK147" s="369" t="str">
        <f ca="1">IF($B147&lt;&gt;"PRC_RESID","",IF(AK$7=2005+OFFSET(COM_2012!$B$60,$AW147,SUMIF($B$10:$B$16,"NCAP_TLIFE",$AX$10:$AX$16)),0,""))</f>
        <v/>
      </c>
      <c r="AL147" s="369" t="str">
        <f ca="1">IF($B147&lt;&gt;"PRC_RESID","",IF(AL$7=2005+OFFSET(COM_2012!$B$60,$AW147,SUMIF($B$10:$B$16,"NCAP_TLIFE",$AX$10:$AX$16)),0,""))</f>
        <v/>
      </c>
      <c r="AM147" s="369" t="str">
        <f ca="1">IF($B147&lt;&gt;"PRC_RESID","",IF(AM$7=2005+OFFSET(COM_2012!$B$60,$AW147,SUMIF($B$10:$B$16,"NCAP_TLIFE",$AX$10:$AX$16)),0,""))</f>
        <v/>
      </c>
      <c r="AN147" s="369" t="str">
        <f ca="1">IF($B147&lt;&gt;"PRC_RESID","",IF(AN$7=2005+OFFSET(COM_2012!$B$60,$AW147,SUMIF($B$10:$B$16,"NCAP_TLIFE",$AX$10:$AX$16)),0,""))</f>
        <v/>
      </c>
      <c r="AO147" s="369" t="str">
        <f ca="1">IF($B147&lt;&gt;"PRC_RESID","",IF(AO$7=2005+OFFSET(COM_2012!$B$60,$AW147,SUMIF($B$10:$B$16,"NCAP_TLIFE",$AX$10:$AX$16)),0,""))</f>
        <v/>
      </c>
      <c r="AP147" s="369" t="str">
        <f ca="1">IF($B147&lt;&gt;"PRC_RESID","",IF(AP$7=2005+OFFSET(COM_2012!$B$60,$AW147,SUMIF($B$10:$B$16,"NCAP_TLIFE",$AX$10:$AX$16)),0,""))</f>
        <v/>
      </c>
      <c r="AQ147" s="369" t="str">
        <f ca="1">IF($B147&lt;&gt;"PRC_RESID","",IF(AQ$7=2005+OFFSET(COM_2012!$B$60,$AW147,SUMIF($B$10:$B$16,"NCAP_TLIFE",$AX$10:$AX$16)),0,""))</f>
        <v/>
      </c>
      <c r="AR147" s="369" t="str">
        <f ca="1">IF($B147&lt;&gt;"PRC_RESID","",IF(AR$7=2005+OFFSET(COM_2012!$B$60,$AW147,SUMIF($B$10:$B$16,"NCAP_TLIFE",$AX$10:$AX$16)),0,""))</f>
        <v/>
      </c>
      <c r="AS147" s="369" t="str">
        <f ca="1">IF($B147&lt;&gt;"PRC_RESID","",IF(AS$7=2005+OFFSET(COM_2012!$B$60,$AW147,SUMIF($B$10:$B$16,"NCAP_TLIFE",$AX$10:$AX$16)),0,""))</f>
        <v/>
      </c>
      <c r="AT147" s="369" t="str">
        <f ca="1">IF($B147&lt;&gt;"PRC_RESID","",IF(AT$7=2005+OFFSET(COM_2012!$B$60,$AW147,SUMIF($B$10:$B$16,"NCAP_TLIFE",$AX$10:$AX$16)),0,""))</f>
        <v/>
      </c>
      <c r="AU147" s="369" t="str">
        <f ca="1">IF($B147&lt;&gt;"PRC_RESID","",IF(AU$7=2005+OFFSET(COM_2012!$B$60,$AW147,SUMIF($B$10:$B$16,"NCAP_TLIFE",$AX$10:$AX$16)),0,""))</f>
        <v/>
      </c>
      <c r="AV147" s="304">
        <f>IF(AW146=COM_2012!$AI$121,AV146+1,AV146)</f>
        <v>2</v>
      </c>
      <c r="AW147" s="304">
        <f t="shared" si="12"/>
        <v>59</v>
      </c>
    </row>
    <row r="148" spans="1:49">
      <c r="A148" s="304" t="str">
        <f ca="1">IF(LEFT(OFFSET(COM_2012!$A$60,AW148,0),2)="\I","*","")</f>
        <v>*</v>
      </c>
      <c r="B148" s="369" t="str">
        <f t="shared" ca="1" si="10"/>
        <v/>
      </c>
      <c r="C148" s="369" t="str">
        <f ca="1">IF($A148="*","",OFFSET(COM_2012!$B$60,AW148,0))</f>
        <v/>
      </c>
      <c r="D148" s="369" t="str">
        <f t="shared" ca="1" si="15"/>
        <v/>
      </c>
      <c r="E148" s="369" t="str">
        <f t="shared" ca="1" si="15"/>
        <v/>
      </c>
      <c r="F148" s="369" t="str">
        <f t="shared" ca="1" si="15"/>
        <v/>
      </c>
      <c r="G148" s="369" t="str">
        <f t="shared" ca="1" si="15"/>
        <v/>
      </c>
      <c r="H148" s="369" t="str">
        <f t="shared" ca="1" si="15"/>
        <v/>
      </c>
      <c r="I148" s="370" t="str">
        <f t="shared" ca="1" si="15"/>
        <v/>
      </c>
      <c r="J148" s="391" t="str">
        <f ca="1">IF($A148="*","",OFFSET(COM_2012!$B$60,AW148,SUMIF($B$10:$B$16,B148,$AX$10:$AX$16)))</f>
        <v/>
      </c>
      <c r="K148" s="369" t="str">
        <f ca="1">IF($B148&lt;&gt;"PRC_RESID","",IF(K$7=2005+OFFSET(COM_2012!$B$60,$AW148,SUMIF($B$10:$B$16,"NCAP_TLIFE",$AX$10:$AX$16)),0,""))</f>
        <v/>
      </c>
      <c r="L148" s="369" t="str">
        <f ca="1">IF($B148&lt;&gt;"PRC_RESID","",IF(L$7=2005+OFFSET(COM_2012!$B$60,$AW148,SUMIF($B$10:$B$16,"NCAP_TLIFE",$AX$10:$AX$16)),0,""))</f>
        <v/>
      </c>
      <c r="M148" s="369" t="str">
        <f ca="1">IF($B148&lt;&gt;"PRC_RESID","",IF(M$7=2005+OFFSET(COM_2012!$B$60,$AW148,SUMIF($B$10:$B$16,"NCAP_TLIFE",$AX$10:$AX$16)),0,""))</f>
        <v/>
      </c>
      <c r="N148" s="369" t="str">
        <f ca="1">IF($B148&lt;&gt;"PRC_RESID","",IF(N$7=2005+OFFSET(COM_2012!$B$60,$AW148,SUMIF($B$10:$B$16,"NCAP_TLIFE",$AX$10:$AX$16)),0,""))</f>
        <v/>
      </c>
      <c r="O148" s="658" t="str">
        <f ca="1">IF($B148&lt;&gt;"PRC_RESID","",IF(O$7=2005+OFFSET(COM_2012!$B$60,$AW148,SUMIF($B$10:$B$16,"NCAP_TLIFE",$AX$10:$AX$16)),0,""))</f>
        <v/>
      </c>
      <c r="P148" s="369" t="str">
        <f ca="1">IF($B148&lt;&gt;"PRC_RESID","",IF(P$7=2005+OFFSET(COM_2012!$B$60,$AW148,SUMIF($B$10:$B$16,"NCAP_TLIFE",$AX$10:$AX$16)),0,""))</f>
        <v/>
      </c>
      <c r="Q148" s="369" t="str">
        <f ca="1">IF($B148&lt;&gt;"PRC_RESID","",IF(Q$7=2005+OFFSET(COM_2012!$B$60,$AW148,SUMIF($B$10:$B$16,"NCAP_TLIFE",$AX$10:$AX$16)),0,""))</f>
        <v/>
      </c>
      <c r="R148" s="369" t="str">
        <f ca="1">IF($B148&lt;&gt;"PRC_RESID","",IF(R$7=2005+OFFSET(COM_2012!$B$60,$AW148,SUMIF($B$10:$B$16,"NCAP_TLIFE",$AX$10:$AX$16)),0,""))</f>
        <v/>
      </c>
      <c r="S148" s="369" t="str">
        <f ca="1">IF($B148&lt;&gt;"PRC_RESID","",IF(S$7=2005+OFFSET(COM_2012!$B$60,$AW148,SUMIF($B$10:$B$16,"NCAP_TLIFE",$AX$10:$AX$16)),0,""))</f>
        <v/>
      </c>
      <c r="T148" s="369" t="str">
        <f ca="1">IF($B148&lt;&gt;"PRC_RESID","",IF(T$7=2005+OFFSET(COM_2012!$B$60,$AW148,SUMIF($B$10:$B$16,"NCAP_TLIFE",$AX$10:$AX$16)),0,""))</f>
        <v/>
      </c>
      <c r="U148" s="369" t="str">
        <f ca="1">IF($B148&lt;&gt;"PRC_RESID","",IF(U$7=2005+OFFSET(COM_2012!$B$60,$AW148,SUMIF($B$10:$B$16,"NCAP_TLIFE",$AX$10:$AX$16)),0,""))</f>
        <v/>
      </c>
      <c r="V148" s="369" t="str">
        <f ca="1">IF($B148&lt;&gt;"PRC_RESID","",IF(V$7=2005+OFFSET(COM_2012!$B$60,$AW148,SUMIF($B$10:$B$16,"NCAP_TLIFE",$AX$10:$AX$16)),0,""))</f>
        <v/>
      </c>
      <c r="W148" s="369" t="str">
        <f ca="1">IF($B148&lt;&gt;"PRC_RESID","",IF(W$7=2005+OFFSET(COM_2012!$B$60,$AW148,SUMIF($B$10:$B$16,"NCAP_TLIFE",$AX$10:$AX$16)),0,""))</f>
        <v/>
      </c>
      <c r="X148" s="369" t="str">
        <f ca="1">IF($B148&lt;&gt;"PRC_RESID","",IF(X$7=2005+OFFSET(COM_2012!$B$60,$AW148,SUMIF($B$10:$B$16,"NCAP_TLIFE",$AX$10:$AX$16)),0,""))</f>
        <v/>
      </c>
      <c r="Y148" s="369" t="str">
        <f ca="1">IF($B148&lt;&gt;"PRC_RESID","",IF(Y$7=2005+OFFSET(COM_2012!$B$60,$AW148,SUMIF($B$10:$B$16,"NCAP_TLIFE",$AX$10:$AX$16)),0,""))</f>
        <v/>
      </c>
      <c r="Z148" s="369" t="str">
        <f ca="1">IF($B148&lt;&gt;"PRC_RESID","",IF(Z$7=2005+OFFSET(COM_2012!$B$60,$AW148,SUMIF($B$10:$B$16,"NCAP_TLIFE",$AX$10:$AX$16)),0,""))</f>
        <v/>
      </c>
      <c r="AA148" s="369" t="str">
        <f ca="1">IF($B148&lt;&gt;"PRC_RESID","",IF(AA$7=2005+OFFSET(COM_2012!$B$60,$AW148,SUMIF($B$10:$B$16,"NCAP_TLIFE",$AX$10:$AX$16)),0,""))</f>
        <v/>
      </c>
      <c r="AB148" s="369" t="str">
        <f ca="1">IF($B148&lt;&gt;"PRC_RESID","",IF(AB$7=2005+OFFSET(COM_2012!$B$60,$AW148,SUMIF($B$10:$B$16,"NCAP_TLIFE",$AX$10:$AX$16)),0,""))</f>
        <v/>
      </c>
      <c r="AC148" s="369" t="str">
        <f ca="1">IF($B148&lt;&gt;"PRC_RESID","",IF(AC$7=2005+OFFSET(COM_2012!$B$60,$AW148,SUMIF($B$10:$B$16,"NCAP_TLIFE",$AX$10:$AX$16)),0,""))</f>
        <v/>
      </c>
      <c r="AD148" s="369" t="str">
        <f ca="1">IF($B148&lt;&gt;"PRC_RESID","",IF(AD$7=2005+OFFSET(COM_2012!$B$60,$AW148,SUMIF($B$10:$B$16,"NCAP_TLIFE",$AX$10:$AX$16)),0,""))</f>
        <v/>
      </c>
      <c r="AE148" s="369" t="str">
        <f ca="1">IF($B148&lt;&gt;"PRC_RESID","",IF(AE$7=2005+OFFSET(COM_2012!$B$60,$AW148,SUMIF($B$10:$B$16,"NCAP_TLIFE",$AX$10:$AX$16)),0,""))</f>
        <v/>
      </c>
      <c r="AF148" s="369" t="str">
        <f ca="1">IF($B148&lt;&gt;"PRC_RESID","",IF(AF$7=2005+OFFSET(COM_2012!$B$60,$AW148,SUMIF($B$10:$B$16,"NCAP_TLIFE",$AX$10:$AX$16)),0,""))</f>
        <v/>
      </c>
      <c r="AG148" s="369" t="str">
        <f ca="1">IF($B148&lt;&gt;"PRC_RESID","",IF(AG$7=2005+OFFSET(COM_2012!$B$60,$AW148,SUMIF($B$10:$B$16,"NCAP_TLIFE",$AX$10:$AX$16)),0,""))</f>
        <v/>
      </c>
      <c r="AH148" s="369" t="str">
        <f ca="1">IF($B148&lt;&gt;"PRC_RESID","",IF(AH$7=2005+OFFSET(COM_2012!$B$60,$AW148,SUMIF($B$10:$B$16,"NCAP_TLIFE",$AX$10:$AX$16)),0,""))</f>
        <v/>
      </c>
      <c r="AI148" s="369" t="str">
        <f ca="1">IF($B148&lt;&gt;"PRC_RESID","",IF(AI$7=2005+OFFSET(COM_2012!$B$60,$AW148,SUMIF($B$10:$B$16,"NCAP_TLIFE",$AX$10:$AX$16)),0,""))</f>
        <v/>
      </c>
      <c r="AJ148" s="369" t="str">
        <f ca="1">IF($B148&lt;&gt;"PRC_RESID","",IF(AJ$7=2005+OFFSET(COM_2012!$B$60,$AW148,SUMIF($B$10:$B$16,"NCAP_TLIFE",$AX$10:$AX$16)),0,""))</f>
        <v/>
      </c>
      <c r="AK148" s="369" t="str">
        <f ca="1">IF($B148&lt;&gt;"PRC_RESID","",IF(AK$7=2005+OFFSET(COM_2012!$B$60,$AW148,SUMIF($B$10:$B$16,"NCAP_TLIFE",$AX$10:$AX$16)),0,""))</f>
        <v/>
      </c>
      <c r="AL148" s="369" t="str">
        <f ca="1">IF($B148&lt;&gt;"PRC_RESID","",IF(AL$7=2005+OFFSET(COM_2012!$B$60,$AW148,SUMIF($B$10:$B$16,"NCAP_TLIFE",$AX$10:$AX$16)),0,""))</f>
        <v/>
      </c>
      <c r="AM148" s="369" t="str">
        <f ca="1">IF($B148&lt;&gt;"PRC_RESID","",IF(AM$7=2005+OFFSET(COM_2012!$B$60,$AW148,SUMIF($B$10:$B$16,"NCAP_TLIFE",$AX$10:$AX$16)),0,""))</f>
        <v/>
      </c>
      <c r="AN148" s="369" t="str">
        <f ca="1">IF($B148&lt;&gt;"PRC_RESID","",IF(AN$7=2005+OFFSET(COM_2012!$B$60,$AW148,SUMIF($B$10:$B$16,"NCAP_TLIFE",$AX$10:$AX$16)),0,""))</f>
        <v/>
      </c>
      <c r="AO148" s="369" t="str">
        <f ca="1">IF($B148&lt;&gt;"PRC_RESID","",IF(AO$7=2005+OFFSET(COM_2012!$B$60,$AW148,SUMIF($B$10:$B$16,"NCAP_TLIFE",$AX$10:$AX$16)),0,""))</f>
        <v/>
      </c>
      <c r="AP148" s="369" t="str">
        <f ca="1">IF($B148&lt;&gt;"PRC_RESID","",IF(AP$7=2005+OFFSET(COM_2012!$B$60,$AW148,SUMIF($B$10:$B$16,"NCAP_TLIFE",$AX$10:$AX$16)),0,""))</f>
        <v/>
      </c>
      <c r="AQ148" s="369" t="str">
        <f ca="1">IF($B148&lt;&gt;"PRC_RESID","",IF(AQ$7=2005+OFFSET(COM_2012!$B$60,$AW148,SUMIF($B$10:$B$16,"NCAP_TLIFE",$AX$10:$AX$16)),0,""))</f>
        <v/>
      </c>
      <c r="AR148" s="369" t="str">
        <f ca="1">IF($B148&lt;&gt;"PRC_RESID","",IF(AR$7=2005+OFFSET(COM_2012!$B$60,$AW148,SUMIF($B$10:$B$16,"NCAP_TLIFE",$AX$10:$AX$16)),0,""))</f>
        <v/>
      </c>
      <c r="AS148" s="369" t="str">
        <f ca="1">IF($B148&lt;&gt;"PRC_RESID","",IF(AS$7=2005+OFFSET(COM_2012!$B$60,$AW148,SUMIF($B$10:$B$16,"NCAP_TLIFE",$AX$10:$AX$16)),0,""))</f>
        <v/>
      </c>
      <c r="AT148" s="369" t="str">
        <f ca="1">IF($B148&lt;&gt;"PRC_RESID","",IF(AT$7=2005+OFFSET(COM_2012!$B$60,$AW148,SUMIF($B$10:$B$16,"NCAP_TLIFE",$AX$10:$AX$16)),0,""))</f>
        <v/>
      </c>
      <c r="AU148" s="369" t="str">
        <f ca="1">IF($B148&lt;&gt;"PRC_RESID","",IF(AU$7=2005+OFFSET(COM_2012!$B$60,$AW148,SUMIF($B$10:$B$16,"NCAP_TLIFE",$AX$10:$AX$16)),0,""))</f>
        <v/>
      </c>
      <c r="AV148" s="304">
        <f>IF(AW147=COM_2012!$AI$121,AV147+1,AV147)</f>
        <v>2</v>
      </c>
      <c r="AW148" s="304">
        <f t="shared" si="12"/>
        <v>60</v>
      </c>
    </row>
    <row r="149" spans="1:49">
      <c r="A149" s="304" t="str">
        <f ca="1">IF(LEFT(OFFSET(COM_2012!$A$60,AW149,0),2)="\I","*","")</f>
        <v>*</v>
      </c>
      <c r="B149" s="369" t="str">
        <f t="shared" ca="1" si="10"/>
        <v/>
      </c>
      <c r="C149" s="369" t="str">
        <f ca="1">IF($A149="*","",OFFSET(COM_2012!$B$60,AW149,0))</f>
        <v/>
      </c>
      <c r="D149" s="369" t="str">
        <f t="shared" ca="1" si="15"/>
        <v/>
      </c>
      <c r="E149" s="369" t="str">
        <f t="shared" ca="1" si="15"/>
        <v/>
      </c>
      <c r="F149" s="369" t="str">
        <f t="shared" ca="1" si="15"/>
        <v/>
      </c>
      <c r="G149" s="369" t="str">
        <f t="shared" ca="1" si="15"/>
        <v/>
      </c>
      <c r="H149" s="369" t="str">
        <f t="shared" ca="1" si="15"/>
        <v/>
      </c>
      <c r="I149" s="370" t="str">
        <f t="shared" ca="1" si="15"/>
        <v/>
      </c>
      <c r="J149" s="391" t="str">
        <f ca="1">IF($A149="*","",OFFSET(COM_2012!$B$60,AW149,SUMIF($B$10:$B$16,B149,$AX$10:$AX$16)))</f>
        <v/>
      </c>
      <c r="K149" s="369" t="str">
        <f ca="1">IF($B149&lt;&gt;"PRC_RESID","",IF(K$7=2005+OFFSET(COM_2012!$B$60,$AW149,SUMIF($B$10:$B$16,"NCAP_TLIFE",$AX$10:$AX$16)),0,""))</f>
        <v/>
      </c>
      <c r="L149" s="369" t="str">
        <f ca="1">IF($B149&lt;&gt;"PRC_RESID","",IF(L$7=2005+OFFSET(COM_2012!$B$60,$AW149,SUMIF($B$10:$B$16,"NCAP_TLIFE",$AX$10:$AX$16)),0,""))</f>
        <v/>
      </c>
      <c r="M149" s="369" t="str">
        <f ca="1">IF($B149&lt;&gt;"PRC_RESID","",IF(M$7=2005+OFFSET(COM_2012!$B$60,$AW149,SUMIF($B$10:$B$16,"NCAP_TLIFE",$AX$10:$AX$16)),0,""))</f>
        <v/>
      </c>
      <c r="N149" s="369" t="str">
        <f ca="1">IF($B149&lt;&gt;"PRC_RESID","",IF(N$7=2005+OFFSET(COM_2012!$B$60,$AW149,SUMIF($B$10:$B$16,"NCAP_TLIFE",$AX$10:$AX$16)),0,""))</f>
        <v/>
      </c>
      <c r="O149" s="658" t="str">
        <f ca="1">IF($B149&lt;&gt;"PRC_RESID","",IF(O$7=2005+OFFSET(COM_2012!$B$60,$AW149,SUMIF($B$10:$B$16,"NCAP_TLIFE",$AX$10:$AX$16)),0,""))</f>
        <v/>
      </c>
      <c r="P149" s="369" t="str">
        <f ca="1">IF($B149&lt;&gt;"PRC_RESID","",IF(P$7=2005+OFFSET(COM_2012!$B$60,$AW149,SUMIF($B$10:$B$16,"NCAP_TLIFE",$AX$10:$AX$16)),0,""))</f>
        <v/>
      </c>
      <c r="Q149" s="369" t="str">
        <f ca="1">IF($B149&lt;&gt;"PRC_RESID","",IF(Q$7=2005+OFFSET(COM_2012!$B$60,$AW149,SUMIF($B$10:$B$16,"NCAP_TLIFE",$AX$10:$AX$16)),0,""))</f>
        <v/>
      </c>
      <c r="R149" s="369" t="str">
        <f ca="1">IF($B149&lt;&gt;"PRC_RESID","",IF(R$7=2005+OFFSET(COM_2012!$B$60,$AW149,SUMIF($B$10:$B$16,"NCAP_TLIFE",$AX$10:$AX$16)),0,""))</f>
        <v/>
      </c>
      <c r="S149" s="369" t="str">
        <f ca="1">IF($B149&lt;&gt;"PRC_RESID","",IF(S$7=2005+OFFSET(COM_2012!$B$60,$AW149,SUMIF($B$10:$B$16,"NCAP_TLIFE",$AX$10:$AX$16)),0,""))</f>
        <v/>
      </c>
      <c r="T149" s="369" t="str">
        <f ca="1">IF($B149&lt;&gt;"PRC_RESID","",IF(T$7=2005+OFFSET(COM_2012!$B$60,$AW149,SUMIF($B$10:$B$16,"NCAP_TLIFE",$AX$10:$AX$16)),0,""))</f>
        <v/>
      </c>
      <c r="U149" s="369" t="str">
        <f ca="1">IF($B149&lt;&gt;"PRC_RESID","",IF(U$7=2005+OFFSET(COM_2012!$B$60,$AW149,SUMIF($B$10:$B$16,"NCAP_TLIFE",$AX$10:$AX$16)),0,""))</f>
        <v/>
      </c>
      <c r="V149" s="369" t="str">
        <f ca="1">IF($B149&lt;&gt;"PRC_RESID","",IF(V$7=2005+OFFSET(COM_2012!$B$60,$AW149,SUMIF($B$10:$B$16,"NCAP_TLIFE",$AX$10:$AX$16)),0,""))</f>
        <v/>
      </c>
      <c r="W149" s="369" t="str">
        <f ca="1">IF($B149&lt;&gt;"PRC_RESID","",IF(W$7=2005+OFFSET(COM_2012!$B$60,$AW149,SUMIF($B$10:$B$16,"NCAP_TLIFE",$AX$10:$AX$16)),0,""))</f>
        <v/>
      </c>
      <c r="X149" s="369" t="str">
        <f ca="1">IF($B149&lt;&gt;"PRC_RESID","",IF(X$7=2005+OFFSET(COM_2012!$B$60,$AW149,SUMIF($B$10:$B$16,"NCAP_TLIFE",$AX$10:$AX$16)),0,""))</f>
        <v/>
      </c>
      <c r="Y149" s="369" t="str">
        <f ca="1">IF($B149&lt;&gt;"PRC_RESID","",IF(Y$7=2005+OFFSET(COM_2012!$B$60,$AW149,SUMIF($B$10:$B$16,"NCAP_TLIFE",$AX$10:$AX$16)),0,""))</f>
        <v/>
      </c>
      <c r="Z149" s="369" t="str">
        <f ca="1">IF($B149&lt;&gt;"PRC_RESID","",IF(Z$7=2005+OFFSET(COM_2012!$B$60,$AW149,SUMIF($B$10:$B$16,"NCAP_TLIFE",$AX$10:$AX$16)),0,""))</f>
        <v/>
      </c>
      <c r="AA149" s="369" t="str">
        <f ca="1">IF($B149&lt;&gt;"PRC_RESID","",IF(AA$7=2005+OFFSET(COM_2012!$B$60,$AW149,SUMIF($B$10:$B$16,"NCAP_TLIFE",$AX$10:$AX$16)),0,""))</f>
        <v/>
      </c>
      <c r="AB149" s="369" t="str">
        <f ca="1">IF($B149&lt;&gt;"PRC_RESID","",IF(AB$7=2005+OFFSET(COM_2012!$B$60,$AW149,SUMIF($B$10:$B$16,"NCAP_TLIFE",$AX$10:$AX$16)),0,""))</f>
        <v/>
      </c>
      <c r="AC149" s="369" t="str">
        <f ca="1">IF($B149&lt;&gt;"PRC_RESID","",IF(AC$7=2005+OFFSET(COM_2012!$B$60,$AW149,SUMIF($B$10:$B$16,"NCAP_TLIFE",$AX$10:$AX$16)),0,""))</f>
        <v/>
      </c>
      <c r="AD149" s="369" t="str">
        <f ca="1">IF($B149&lt;&gt;"PRC_RESID","",IF(AD$7=2005+OFFSET(COM_2012!$B$60,$AW149,SUMIF($B$10:$B$16,"NCAP_TLIFE",$AX$10:$AX$16)),0,""))</f>
        <v/>
      </c>
      <c r="AE149" s="369" t="str">
        <f ca="1">IF($B149&lt;&gt;"PRC_RESID","",IF(AE$7=2005+OFFSET(COM_2012!$B$60,$AW149,SUMIF($B$10:$B$16,"NCAP_TLIFE",$AX$10:$AX$16)),0,""))</f>
        <v/>
      </c>
      <c r="AF149" s="369" t="str">
        <f ca="1">IF($B149&lt;&gt;"PRC_RESID","",IF(AF$7=2005+OFFSET(COM_2012!$B$60,$AW149,SUMIF($B$10:$B$16,"NCAP_TLIFE",$AX$10:$AX$16)),0,""))</f>
        <v/>
      </c>
      <c r="AG149" s="369" t="str">
        <f ca="1">IF($B149&lt;&gt;"PRC_RESID","",IF(AG$7=2005+OFFSET(COM_2012!$B$60,$AW149,SUMIF($B$10:$B$16,"NCAP_TLIFE",$AX$10:$AX$16)),0,""))</f>
        <v/>
      </c>
      <c r="AH149" s="369" t="str">
        <f ca="1">IF($B149&lt;&gt;"PRC_RESID","",IF(AH$7=2005+OFFSET(COM_2012!$B$60,$AW149,SUMIF($B$10:$B$16,"NCAP_TLIFE",$AX$10:$AX$16)),0,""))</f>
        <v/>
      </c>
      <c r="AI149" s="369" t="str">
        <f ca="1">IF($B149&lt;&gt;"PRC_RESID","",IF(AI$7=2005+OFFSET(COM_2012!$B$60,$AW149,SUMIF($B$10:$B$16,"NCAP_TLIFE",$AX$10:$AX$16)),0,""))</f>
        <v/>
      </c>
      <c r="AJ149" s="369" t="str">
        <f ca="1">IF($B149&lt;&gt;"PRC_RESID","",IF(AJ$7=2005+OFFSET(COM_2012!$B$60,$AW149,SUMIF($B$10:$B$16,"NCAP_TLIFE",$AX$10:$AX$16)),0,""))</f>
        <v/>
      </c>
      <c r="AK149" s="369" t="str">
        <f ca="1">IF($B149&lt;&gt;"PRC_RESID","",IF(AK$7=2005+OFFSET(COM_2012!$B$60,$AW149,SUMIF($B$10:$B$16,"NCAP_TLIFE",$AX$10:$AX$16)),0,""))</f>
        <v/>
      </c>
      <c r="AL149" s="369" t="str">
        <f ca="1">IF($B149&lt;&gt;"PRC_RESID","",IF(AL$7=2005+OFFSET(COM_2012!$B$60,$AW149,SUMIF($B$10:$B$16,"NCAP_TLIFE",$AX$10:$AX$16)),0,""))</f>
        <v/>
      </c>
      <c r="AM149" s="369" t="str">
        <f ca="1">IF($B149&lt;&gt;"PRC_RESID","",IF(AM$7=2005+OFFSET(COM_2012!$B$60,$AW149,SUMIF($B$10:$B$16,"NCAP_TLIFE",$AX$10:$AX$16)),0,""))</f>
        <v/>
      </c>
      <c r="AN149" s="369" t="str">
        <f ca="1">IF($B149&lt;&gt;"PRC_RESID","",IF(AN$7=2005+OFFSET(COM_2012!$B$60,$AW149,SUMIF($B$10:$B$16,"NCAP_TLIFE",$AX$10:$AX$16)),0,""))</f>
        <v/>
      </c>
      <c r="AO149" s="369" t="str">
        <f ca="1">IF($B149&lt;&gt;"PRC_RESID","",IF(AO$7=2005+OFFSET(COM_2012!$B$60,$AW149,SUMIF($B$10:$B$16,"NCAP_TLIFE",$AX$10:$AX$16)),0,""))</f>
        <v/>
      </c>
      <c r="AP149" s="369" t="str">
        <f ca="1">IF($B149&lt;&gt;"PRC_RESID","",IF(AP$7=2005+OFFSET(COM_2012!$B$60,$AW149,SUMIF($B$10:$B$16,"NCAP_TLIFE",$AX$10:$AX$16)),0,""))</f>
        <v/>
      </c>
      <c r="AQ149" s="369" t="str">
        <f ca="1">IF($B149&lt;&gt;"PRC_RESID","",IF(AQ$7=2005+OFFSET(COM_2012!$B$60,$AW149,SUMIF($B$10:$B$16,"NCAP_TLIFE",$AX$10:$AX$16)),0,""))</f>
        <v/>
      </c>
      <c r="AR149" s="369" t="str">
        <f ca="1">IF($B149&lt;&gt;"PRC_RESID","",IF(AR$7=2005+OFFSET(COM_2012!$B$60,$AW149,SUMIF($B$10:$B$16,"NCAP_TLIFE",$AX$10:$AX$16)),0,""))</f>
        <v/>
      </c>
      <c r="AS149" s="369" t="str">
        <f ca="1">IF($B149&lt;&gt;"PRC_RESID","",IF(AS$7=2005+OFFSET(COM_2012!$B$60,$AW149,SUMIF($B$10:$B$16,"NCAP_TLIFE",$AX$10:$AX$16)),0,""))</f>
        <v/>
      </c>
      <c r="AT149" s="369" t="str">
        <f ca="1">IF($B149&lt;&gt;"PRC_RESID","",IF(AT$7=2005+OFFSET(COM_2012!$B$60,$AW149,SUMIF($B$10:$B$16,"NCAP_TLIFE",$AX$10:$AX$16)),0,""))</f>
        <v/>
      </c>
      <c r="AU149" s="369" t="str">
        <f ca="1">IF($B149&lt;&gt;"PRC_RESID","",IF(AU$7=2005+OFFSET(COM_2012!$B$60,$AW149,SUMIF($B$10:$B$16,"NCAP_TLIFE",$AX$10:$AX$16)),0,""))</f>
        <v/>
      </c>
      <c r="AV149" s="304">
        <f>IF(AW148=COM_2012!$AI$121,AV148+1,AV148)</f>
        <v>2</v>
      </c>
      <c r="AW149" s="304">
        <f t="shared" si="12"/>
        <v>61</v>
      </c>
    </row>
    <row r="150" spans="1:49">
      <c r="A150" s="304" t="str">
        <f ca="1">IF(LEFT(OFFSET(COM_2012!$A$60,AW150,0),2)="\I","*","")</f>
        <v/>
      </c>
      <c r="B150" s="369" t="str">
        <f t="shared" ca="1" si="10"/>
        <v>NCAP_TLIFE</v>
      </c>
      <c r="C150" s="369" t="str">
        <f ca="1">IF($A150="*","",OFFSET(COM_2012!$B$60,AW150,0))</f>
        <v>CECELCCHIL-E</v>
      </c>
      <c r="D150" s="369" t="str">
        <f t="shared" ca="1" si="15"/>
        <v>-</v>
      </c>
      <c r="E150" s="369" t="str">
        <f t="shared" ca="1" si="15"/>
        <v>-</v>
      </c>
      <c r="F150" s="369" t="str">
        <f t="shared" ca="1" si="15"/>
        <v>-</v>
      </c>
      <c r="G150" s="369" t="str">
        <f t="shared" ca="1" si="15"/>
        <v>-</v>
      </c>
      <c r="H150" s="369" t="str">
        <f t="shared" ca="1" si="15"/>
        <v>-</v>
      </c>
      <c r="I150" s="370">
        <f t="shared" ca="1" si="15"/>
        <v>0</v>
      </c>
      <c r="J150" s="391">
        <f ca="1">IF($A150="*","",OFFSET(COM_2012!$B$60,AW150,SUMIF($B$10:$B$16,B150,$AX$10:$AX$16)))</f>
        <v>15</v>
      </c>
      <c r="K150" s="369" t="str">
        <f ca="1">IF($B150&lt;&gt;"PRC_RESID","",IF(K$7=2005+OFFSET(COM_2012!$B$60,$AW150,SUMIF($B$10:$B$16,"NCAP_TLIFE",$AX$10:$AX$16)),0,""))</f>
        <v/>
      </c>
      <c r="L150" s="369" t="str">
        <f ca="1">IF($B150&lt;&gt;"PRC_RESID","",IF(L$7=2005+OFFSET(COM_2012!$B$60,$AW150,SUMIF($B$10:$B$16,"NCAP_TLIFE",$AX$10:$AX$16)),0,""))</f>
        <v/>
      </c>
      <c r="M150" s="369" t="str">
        <f ca="1">IF($B150&lt;&gt;"PRC_RESID","",IF(M$7=2005+OFFSET(COM_2012!$B$60,$AW150,SUMIF($B$10:$B$16,"NCAP_TLIFE",$AX$10:$AX$16)),0,""))</f>
        <v/>
      </c>
      <c r="N150" s="369" t="str">
        <f ca="1">IF($B150&lt;&gt;"PRC_RESID","",IF(N$7=2005+OFFSET(COM_2012!$B$60,$AW150,SUMIF($B$10:$B$16,"NCAP_TLIFE",$AX$10:$AX$16)),0,""))</f>
        <v/>
      </c>
      <c r="O150" s="658" t="str">
        <f ca="1">IF($B150&lt;&gt;"PRC_RESID","",IF(O$7=2005+OFFSET(COM_2012!$B$60,$AW150,SUMIF($B$10:$B$16,"NCAP_TLIFE",$AX$10:$AX$16)),0,""))</f>
        <v/>
      </c>
      <c r="P150" s="369" t="str">
        <f ca="1">IF($B150&lt;&gt;"PRC_RESID","",IF(P$7=2005+OFFSET(COM_2012!$B$60,$AW150,SUMIF($B$10:$B$16,"NCAP_TLIFE",$AX$10:$AX$16)),0,""))</f>
        <v/>
      </c>
      <c r="Q150" s="369" t="str">
        <f ca="1">IF($B150&lt;&gt;"PRC_RESID","",IF(Q$7=2005+OFFSET(COM_2012!$B$60,$AW150,SUMIF($B$10:$B$16,"NCAP_TLIFE",$AX$10:$AX$16)),0,""))</f>
        <v/>
      </c>
      <c r="R150" s="369" t="str">
        <f ca="1">IF($B150&lt;&gt;"PRC_RESID","",IF(R$7=2005+OFFSET(COM_2012!$B$60,$AW150,SUMIF($B$10:$B$16,"NCAP_TLIFE",$AX$10:$AX$16)),0,""))</f>
        <v/>
      </c>
      <c r="S150" s="369" t="str">
        <f ca="1">IF($B150&lt;&gt;"PRC_RESID","",IF(S$7=2005+OFFSET(COM_2012!$B$60,$AW150,SUMIF($B$10:$B$16,"NCAP_TLIFE",$AX$10:$AX$16)),0,""))</f>
        <v/>
      </c>
      <c r="T150" s="369" t="str">
        <f ca="1">IF($B150&lt;&gt;"PRC_RESID","",IF(T$7=2005+OFFSET(COM_2012!$B$60,$AW150,SUMIF($B$10:$B$16,"NCAP_TLIFE",$AX$10:$AX$16)),0,""))</f>
        <v/>
      </c>
      <c r="U150" s="369" t="str">
        <f ca="1">IF($B150&lt;&gt;"PRC_RESID","",IF(U$7=2005+OFFSET(COM_2012!$B$60,$AW150,SUMIF($B$10:$B$16,"NCAP_TLIFE",$AX$10:$AX$16)),0,""))</f>
        <v/>
      </c>
      <c r="V150" s="369" t="str">
        <f ca="1">IF($B150&lt;&gt;"PRC_RESID","",IF(V$7=2005+OFFSET(COM_2012!$B$60,$AW150,SUMIF($B$10:$B$16,"NCAP_TLIFE",$AX$10:$AX$16)),0,""))</f>
        <v/>
      </c>
      <c r="W150" s="369" t="str">
        <f ca="1">IF($B150&lt;&gt;"PRC_RESID","",IF(W$7=2005+OFFSET(COM_2012!$B$60,$AW150,SUMIF($B$10:$B$16,"NCAP_TLIFE",$AX$10:$AX$16)),0,""))</f>
        <v/>
      </c>
      <c r="X150" s="369" t="str">
        <f ca="1">IF($B150&lt;&gt;"PRC_RESID","",IF(X$7=2005+OFFSET(COM_2012!$B$60,$AW150,SUMIF($B$10:$B$16,"NCAP_TLIFE",$AX$10:$AX$16)),0,""))</f>
        <v/>
      </c>
      <c r="Y150" s="369" t="str">
        <f ca="1">IF($B150&lt;&gt;"PRC_RESID","",IF(Y$7=2005+OFFSET(COM_2012!$B$60,$AW150,SUMIF($B$10:$B$16,"NCAP_TLIFE",$AX$10:$AX$16)),0,""))</f>
        <v/>
      </c>
      <c r="Z150" s="369" t="str">
        <f ca="1">IF($B150&lt;&gt;"PRC_RESID","",IF(Z$7=2005+OFFSET(COM_2012!$B$60,$AW150,SUMIF($B$10:$B$16,"NCAP_TLIFE",$AX$10:$AX$16)),0,""))</f>
        <v/>
      </c>
      <c r="AA150" s="369" t="str">
        <f ca="1">IF($B150&lt;&gt;"PRC_RESID","",IF(AA$7=2005+OFFSET(COM_2012!$B$60,$AW150,SUMIF($B$10:$B$16,"NCAP_TLIFE",$AX$10:$AX$16)),0,""))</f>
        <v/>
      </c>
      <c r="AB150" s="369" t="str">
        <f ca="1">IF($B150&lt;&gt;"PRC_RESID","",IF(AB$7=2005+OFFSET(COM_2012!$B$60,$AW150,SUMIF($B$10:$B$16,"NCAP_TLIFE",$AX$10:$AX$16)),0,""))</f>
        <v/>
      </c>
      <c r="AC150" s="369" t="str">
        <f ca="1">IF($B150&lt;&gt;"PRC_RESID","",IF(AC$7=2005+OFFSET(COM_2012!$B$60,$AW150,SUMIF($B$10:$B$16,"NCAP_TLIFE",$AX$10:$AX$16)),0,""))</f>
        <v/>
      </c>
      <c r="AD150" s="369" t="str">
        <f ca="1">IF($B150&lt;&gt;"PRC_RESID","",IF(AD$7=2005+OFFSET(COM_2012!$B$60,$AW150,SUMIF($B$10:$B$16,"NCAP_TLIFE",$AX$10:$AX$16)),0,""))</f>
        <v/>
      </c>
      <c r="AE150" s="369" t="str">
        <f ca="1">IF($B150&lt;&gt;"PRC_RESID","",IF(AE$7=2005+OFFSET(COM_2012!$B$60,$AW150,SUMIF($B$10:$B$16,"NCAP_TLIFE",$AX$10:$AX$16)),0,""))</f>
        <v/>
      </c>
      <c r="AF150" s="369" t="str">
        <f ca="1">IF($B150&lt;&gt;"PRC_RESID","",IF(AF$7=2005+OFFSET(COM_2012!$B$60,$AW150,SUMIF($B$10:$B$16,"NCAP_TLIFE",$AX$10:$AX$16)),0,""))</f>
        <v/>
      </c>
      <c r="AG150" s="369" t="str">
        <f ca="1">IF($B150&lt;&gt;"PRC_RESID","",IF(AG$7=2005+OFFSET(COM_2012!$B$60,$AW150,SUMIF($B$10:$B$16,"NCAP_TLIFE",$AX$10:$AX$16)),0,""))</f>
        <v/>
      </c>
      <c r="AH150" s="369" t="str">
        <f ca="1">IF($B150&lt;&gt;"PRC_RESID","",IF(AH$7=2005+OFFSET(COM_2012!$B$60,$AW150,SUMIF($B$10:$B$16,"NCAP_TLIFE",$AX$10:$AX$16)),0,""))</f>
        <v/>
      </c>
      <c r="AI150" s="369" t="str">
        <f ca="1">IF($B150&lt;&gt;"PRC_RESID","",IF(AI$7=2005+OFFSET(COM_2012!$B$60,$AW150,SUMIF($B$10:$B$16,"NCAP_TLIFE",$AX$10:$AX$16)),0,""))</f>
        <v/>
      </c>
      <c r="AJ150" s="369" t="str">
        <f ca="1">IF($B150&lt;&gt;"PRC_RESID","",IF(AJ$7=2005+OFFSET(COM_2012!$B$60,$AW150,SUMIF($B$10:$B$16,"NCAP_TLIFE",$AX$10:$AX$16)),0,""))</f>
        <v/>
      </c>
      <c r="AK150" s="369" t="str">
        <f ca="1">IF($B150&lt;&gt;"PRC_RESID","",IF(AK$7=2005+OFFSET(COM_2012!$B$60,$AW150,SUMIF($B$10:$B$16,"NCAP_TLIFE",$AX$10:$AX$16)),0,""))</f>
        <v/>
      </c>
      <c r="AL150" s="369" t="str">
        <f ca="1">IF($B150&lt;&gt;"PRC_RESID","",IF(AL$7=2005+OFFSET(COM_2012!$B$60,$AW150,SUMIF($B$10:$B$16,"NCAP_TLIFE",$AX$10:$AX$16)),0,""))</f>
        <v/>
      </c>
      <c r="AM150" s="369" t="str">
        <f ca="1">IF($B150&lt;&gt;"PRC_RESID","",IF(AM$7=2005+OFFSET(COM_2012!$B$60,$AW150,SUMIF($B$10:$B$16,"NCAP_TLIFE",$AX$10:$AX$16)),0,""))</f>
        <v/>
      </c>
      <c r="AN150" s="369" t="str">
        <f ca="1">IF($B150&lt;&gt;"PRC_RESID","",IF(AN$7=2005+OFFSET(COM_2012!$B$60,$AW150,SUMIF($B$10:$B$16,"NCAP_TLIFE",$AX$10:$AX$16)),0,""))</f>
        <v/>
      </c>
      <c r="AO150" s="369" t="str">
        <f ca="1">IF($B150&lt;&gt;"PRC_RESID","",IF(AO$7=2005+OFFSET(COM_2012!$B$60,$AW150,SUMIF($B$10:$B$16,"NCAP_TLIFE",$AX$10:$AX$16)),0,""))</f>
        <v/>
      </c>
      <c r="AP150" s="369" t="str">
        <f ca="1">IF($B150&lt;&gt;"PRC_RESID","",IF(AP$7=2005+OFFSET(COM_2012!$B$60,$AW150,SUMIF($B$10:$B$16,"NCAP_TLIFE",$AX$10:$AX$16)),0,""))</f>
        <v/>
      </c>
      <c r="AQ150" s="369" t="str">
        <f ca="1">IF($B150&lt;&gt;"PRC_RESID","",IF(AQ$7=2005+OFFSET(COM_2012!$B$60,$AW150,SUMIF($B$10:$B$16,"NCAP_TLIFE",$AX$10:$AX$16)),0,""))</f>
        <v/>
      </c>
      <c r="AR150" s="369" t="str">
        <f ca="1">IF($B150&lt;&gt;"PRC_RESID","",IF(AR$7=2005+OFFSET(COM_2012!$B$60,$AW150,SUMIF($B$10:$B$16,"NCAP_TLIFE",$AX$10:$AX$16)),0,""))</f>
        <v/>
      </c>
      <c r="AS150" s="369" t="str">
        <f ca="1">IF($B150&lt;&gt;"PRC_RESID","",IF(AS$7=2005+OFFSET(COM_2012!$B$60,$AW150,SUMIF($B$10:$B$16,"NCAP_TLIFE",$AX$10:$AX$16)),0,""))</f>
        <v/>
      </c>
      <c r="AT150" s="369" t="str">
        <f ca="1">IF($B150&lt;&gt;"PRC_RESID","",IF(AT$7=2005+OFFSET(COM_2012!$B$60,$AW150,SUMIF($B$10:$B$16,"NCAP_TLIFE",$AX$10:$AX$16)),0,""))</f>
        <v/>
      </c>
      <c r="AU150" s="369" t="str">
        <f ca="1">IF($B150&lt;&gt;"PRC_RESID","",IF(AU$7=2005+OFFSET(COM_2012!$B$60,$AW150,SUMIF($B$10:$B$16,"NCAP_TLIFE",$AX$10:$AX$16)),0,""))</f>
        <v/>
      </c>
      <c r="AV150" s="304">
        <f>IF(AW149=COM_2012!$AI$121,AV149+1,AV149)</f>
        <v>3</v>
      </c>
      <c r="AW150" s="304">
        <f t="shared" si="12"/>
        <v>1</v>
      </c>
    </row>
    <row r="151" spans="1:49">
      <c r="A151" s="304" t="str">
        <f ca="1">IF(LEFT(OFFSET(COM_2012!$A$60,AW151,0),2)="\I","*","")</f>
        <v/>
      </c>
      <c r="B151" s="369" t="str">
        <f t="shared" ca="1" si="10"/>
        <v>NCAP_TLIFE</v>
      </c>
      <c r="C151" s="369" t="str">
        <f ca="1">IF($A151="*","",OFFSET(COM_2012!$B$60,AW151,0))</f>
        <v>CECELCCEN-E</v>
      </c>
      <c r="D151" s="369" t="str">
        <f t="shared" ca="1" si="15"/>
        <v>-</v>
      </c>
      <c r="E151" s="369" t="str">
        <f t="shared" ca="1" si="15"/>
        <v>-</v>
      </c>
      <c r="F151" s="369" t="str">
        <f t="shared" ca="1" si="15"/>
        <v>-</v>
      </c>
      <c r="G151" s="369" t="str">
        <f t="shared" ca="1" si="15"/>
        <v>-</v>
      </c>
      <c r="H151" s="369" t="str">
        <f t="shared" ca="1" si="15"/>
        <v>-</v>
      </c>
      <c r="I151" s="370">
        <f t="shared" ca="1" si="15"/>
        <v>0</v>
      </c>
      <c r="J151" s="391">
        <f ca="1">IF($A151="*","",OFFSET(COM_2012!$B$60,AW151,SUMIF($B$10:$B$16,B151,$AX$10:$AX$16)))</f>
        <v>15</v>
      </c>
      <c r="K151" s="369" t="str">
        <f ca="1">IF($B151&lt;&gt;"PRC_RESID","",IF(K$7=2005+OFFSET(COM_2012!$B$60,$AW151,SUMIF($B$10:$B$16,"NCAP_TLIFE",$AX$10:$AX$16)),0,""))</f>
        <v/>
      </c>
      <c r="L151" s="369" t="str">
        <f ca="1">IF($B151&lt;&gt;"PRC_RESID","",IF(L$7=2005+OFFSET(COM_2012!$B$60,$AW151,SUMIF($B$10:$B$16,"NCAP_TLIFE",$AX$10:$AX$16)),0,""))</f>
        <v/>
      </c>
      <c r="M151" s="369" t="str">
        <f ca="1">IF($B151&lt;&gt;"PRC_RESID","",IF(M$7=2005+OFFSET(COM_2012!$B$60,$AW151,SUMIF($B$10:$B$16,"NCAP_TLIFE",$AX$10:$AX$16)),0,""))</f>
        <v/>
      </c>
      <c r="N151" s="369" t="str">
        <f ca="1">IF($B151&lt;&gt;"PRC_RESID","",IF(N$7=2005+OFFSET(COM_2012!$B$60,$AW151,SUMIF($B$10:$B$16,"NCAP_TLIFE",$AX$10:$AX$16)),0,""))</f>
        <v/>
      </c>
      <c r="O151" s="658" t="str">
        <f ca="1">IF($B151&lt;&gt;"PRC_RESID","",IF(O$7=2005+OFFSET(COM_2012!$B$60,$AW151,SUMIF($B$10:$B$16,"NCAP_TLIFE",$AX$10:$AX$16)),0,""))</f>
        <v/>
      </c>
      <c r="P151" s="369" t="str">
        <f ca="1">IF($B151&lt;&gt;"PRC_RESID","",IF(P$7=2005+OFFSET(COM_2012!$B$60,$AW151,SUMIF($B$10:$B$16,"NCAP_TLIFE",$AX$10:$AX$16)),0,""))</f>
        <v/>
      </c>
      <c r="Q151" s="369" t="str">
        <f ca="1">IF($B151&lt;&gt;"PRC_RESID","",IF(Q$7=2005+OFFSET(COM_2012!$B$60,$AW151,SUMIF($B$10:$B$16,"NCAP_TLIFE",$AX$10:$AX$16)),0,""))</f>
        <v/>
      </c>
      <c r="R151" s="369" t="str">
        <f ca="1">IF($B151&lt;&gt;"PRC_RESID","",IF(R$7=2005+OFFSET(COM_2012!$B$60,$AW151,SUMIF($B$10:$B$16,"NCAP_TLIFE",$AX$10:$AX$16)),0,""))</f>
        <v/>
      </c>
      <c r="S151" s="369" t="str">
        <f ca="1">IF($B151&lt;&gt;"PRC_RESID","",IF(S$7=2005+OFFSET(COM_2012!$B$60,$AW151,SUMIF($B$10:$B$16,"NCAP_TLIFE",$AX$10:$AX$16)),0,""))</f>
        <v/>
      </c>
      <c r="T151" s="369" t="str">
        <f ca="1">IF($B151&lt;&gt;"PRC_RESID","",IF(T$7=2005+OFFSET(COM_2012!$B$60,$AW151,SUMIF($B$10:$B$16,"NCAP_TLIFE",$AX$10:$AX$16)),0,""))</f>
        <v/>
      </c>
      <c r="U151" s="369" t="str">
        <f ca="1">IF($B151&lt;&gt;"PRC_RESID","",IF(U$7=2005+OFFSET(COM_2012!$B$60,$AW151,SUMIF($B$10:$B$16,"NCAP_TLIFE",$AX$10:$AX$16)),0,""))</f>
        <v/>
      </c>
      <c r="V151" s="369" t="str">
        <f ca="1">IF($B151&lt;&gt;"PRC_RESID","",IF(V$7=2005+OFFSET(COM_2012!$B$60,$AW151,SUMIF($B$10:$B$16,"NCAP_TLIFE",$AX$10:$AX$16)),0,""))</f>
        <v/>
      </c>
      <c r="W151" s="369" t="str">
        <f ca="1">IF($B151&lt;&gt;"PRC_RESID","",IF(W$7=2005+OFFSET(COM_2012!$B$60,$AW151,SUMIF($B$10:$B$16,"NCAP_TLIFE",$AX$10:$AX$16)),0,""))</f>
        <v/>
      </c>
      <c r="X151" s="369" t="str">
        <f ca="1">IF($B151&lt;&gt;"PRC_RESID","",IF(X$7=2005+OFFSET(COM_2012!$B$60,$AW151,SUMIF($B$10:$B$16,"NCAP_TLIFE",$AX$10:$AX$16)),0,""))</f>
        <v/>
      </c>
      <c r="Y151" s="369" t="str">
        <f ca="1">IF($B151&lt;&gt;"PRC_RESID","",IF(Y$7=2005+OFFSET(COM_2012!$B$60,$AW151,SUMIF($B$10:$B$16,"NCAP_TLIFE",$AX$10:$AX$16)),0,""))</f>
        <v/>
      </c>
      <c r="Z151" s="369" t="str">
        <f ca="1">IF($B151&lt;&gt;"PRC_RESID","",IF(Z$7=2005+OFFSET(COM_2012!$B$60,$AW151,SUMIF($B$10:$B$16,"NCAP_TLIFE",$AX$10:$AX$16)),0,""))</f>
        <v/>
      </c>
      <c r="AA151" s="369" t="str">
        <f ca="1">IF($B151&lt;&gt;"PRC_RESID","",IF(AA$7=2005+OFFSET(COM_2012!$B$60,$AW151,SUMIF($B$10:$B$16,"NCAP_TLIFE",$AX$10:$AX$16)),0,""))</f>
        <v/>
      </c>
      <c r="AB151" s="369" t="str">
        <f ca="1">IF($B151&lt;&gt;"PRC_RESID","",IF(AB$7=2005+OFFSET(COM_2012!$B$60,$AW151,SUMIF($B$10:$B$16,"NCAP_TLIFE",$AX$10:$AX$16)),0,""))</f>
        <v/>
      </c>
      <c r="AC151" s="369" t="str">
        <f ca="1">IF($B151&lt;&gt;"PRC_RESID","",IF(AC$7=2005+OFFSET(COM_2012!$B$60,$AW151,SUMIF($B$10:$B$16,"NCAP_TLIFE",$AX$10:$AX$16)),0,""))</f>
        <v/>
      </c>
      <c r="AD151" s="369" t="str">
        <f ca="1">IF($B151&lt;&gt;"PRC_RESID","",IF(AD$7=2005+OFFSET(COM_2012!$B$60,$AW151,SUMIF($B$10:$B$16,"NCAP_TLIFE",$AX$10:$AX$16)),0,""))</f>
        <v/>
      </c>
      <c r="AE151" s="369" t="str">
        <f ca="1">IF($B151&lt;&gt;"PRC_RESID","",IF(AE$7=2005+OFFSET(COM_2012!$B$60,$AW151,SUMIF($B$10:$B$16,"NCAP_TLIFE",$AX$10:$AX$16)),0,""))</f>
        <v/>
      </c>
      <c r="AF151" s="369" t="str">
        <f ca="1">IF($B151&lt;&gt;"PRC_RESID","",IF(AF$7=2005+OFFSET(COM_2012!$B$60,$AW151,SUMIF($B$10:$B$16,"NCAP_TLIFE",$AX$10:$AX$16)),0,""))</f>
        <v/>
      </c>
      <c r="AG151" s="369" t="str">
        <f ca="1">IF($B151&lt;&gt;"PRC_RESID","",IF(AG$7=2005+OFFSET(COM_2012!$B$60,$AW151,SUMIF($B$10:$B$16,"NCAP_TLIFE",$AX$10:$AX$16)),0,""))</f>
        <v/>
      </c>
      <c r="AH151" s="369" t="str">
        <f ca="1">IF($B151&lt;&gt;"PRC_RESID","",IF(AH$7=2005+OFFSET(COM_2012!$B$60,$AW151,SUMIF($B$10:$B$16,"NCAP_TLIFE",$AX$10:$AX$16)),0,""))</f>
        <v/>
      </c>
      <c r="AI151" s="369" t="str">
        <f ca="1">IF($B151&lt;&gt;"PRC_RESID","",IF(AI$7=2005+OFFSET(COM_2012!$B$60,$AW151,SUMIF($B$10:$B$16,"NCAP_TLIFE",$AX$10:$AX$16)),0,""))</f>
        <v/>
      </c>
      <c r="AJ151" s="369" t="str">
        <f ca="1">IF($B151&lt;&gt;"PRC_RESID","",IF(AJ$7=2005+OFFSET(COM_2012!$B$60,$AW151,SUMIF($B$10:$B$16,"NCAP_TLIFE",$AX$10:$AX$16)),0,""))</f>
        <v/>
      </c>
      <c r="AK151" s="369" t="str">
        <f ca="1">IF($B151&lt;&gt;"PRC_RESID","",IF(AK$7=2005+OFFSET(COM_2012!$B$60,$AW151,SUMIF($B$10:$B$16,"NCAP_TLIFE",$AX$10:$AX$16)),0,""))</f>
        <v/>
      </c>
      <c r="AL151" s="369" t="str">
        <f ca="1">IF($B151&lt;&gt;"PRC_RESID","",IF(AL$7=2005+OFFSET(COM_2012!$B$60,$AW151,SUMIF($B$10:$B$16,"NCAP_TLIFE",$AX$10:$AX$16)),0,""))</f>
        <v/>
      </c>
      <c r="AM151" s="369" t="str">
        <f ca="1">IF($B151&lt;&gt;"PRC_RESID","",IF(AM$7=2005+OFFSET(COM_2012!$B$60,$AW151,SUMIF($B$10:$B$16,"NCAP_TLIFE",$AX$10:$AX$16)),0,""))</f>
        <v/>
      </c>
      <c r="AN151" s="369" t="str">
        <f ca="1">IF($B151&lt;&gt;"PRC_RESID","",IF(AN$7=2005+OFFSET(COM_2012!$B$60,$AW151,SUMIF($B$10:$B$16,"NCAP_TLIFE",$AX$10:$AX$16)),0,""))</f>
        <v/>
      </c>
      <c r="AO151" s="369" t="str">
        <f ca="1">IF($B151&lt;&gt;"PRC_RESID","",IF(AO$7=2005+OFFSET(COM_2012!$B$60,$AW151,SUMIF($B$10:$B$16,"NCAP_TLIFE",$AX$10:$AX$16)),0,""))</f>
        <v/>
      </c>
      <c r="AP151" s="369" t="str">
        <f ca="1">IF($B151&lt;&gt;"PRC_RESID","",IF(AP$7=2005+OFFSET(COM_2012!$B$60,$AW151,SUMIF($B$10:$B$16,"NCAP_TLIFE",$AX$10:$AX$16)),0,""))</f>
        <v/>
      </c>
      <c r="AQ151" s="369" t="str">
        <f ca="1">IF($B151&lt;&gt;"PRC_RESID","",IF(AQ$7=2005+OFFSET(COM_2012!$B$60,$AW151,SUMIF($B$10:$B$16,"NCAP_TLIFE",$AX$10:$AX$16)),0,""))</f>
        <v/>
      </c>
      <c r="AR151" s="369" t="str">
        <f ca="1">IF($B151&lt;&gt;"PRC_RESID","",IF(AR$7=2005+OFFSET(COM_2012!$B$60,$AW151,SUMIF($B$10:$B$16,"NCAP_TLIFE",$AX$10:$AX$16)),0,""))</f>
        <v/>
      </c>
      <c r="AS151" s="369" t="str">
        <f ca="1">IF($B151&lt;&gt;"PRC_RESID","",IF(AS$7=2005+OFFSET(COM_2012!$B$60,$AW151,SUMIF($B$10:$B$16,"NCAP_TLIFE",$AX$10:$AX$16)),0,""))</f>
        <v/>
      </c>
      <c r="AT151" s="369" t="str">
        <f ca="1">IF($B151&lt;&gt;"PRC_RESID","",IF(AT$7=2005+OFFSET(COM_2012!$B$60,$AW151,SUMIF($B$10:$B$16,"NCAP_TLIFE",$AX$10:$AX$16)),0,""))</f>
        <v/>
      </c>
      <c r="AU151" s="369" t="str">
        <f ca="1">IF($B151&lt;&gt;"PRC_RESID","",IF(AU$7=2005+OFFSET(COM_2012!$B$60,$AW151,SUMIF($B$10:$B$16,"NCAP_TLIFE",$AX$10:$AX$16)),0,""))</f>
        <v/>
      </c>
      <c r="AV151" s="304">
        <f>IF(AW150=COM_2012!$AI$121,AV150+1,AV150)</f>
        <v>3</v>
      </c>
      <c r="AW151" s="304">
        <f t="shared" si="12"/>
        <v>2</v>
      </c>
    </row>
    <row r="152" spans="1:49">
      <c r="A152" s="304" t="str">
        <f ca="1">IF(LEFT(OFFSET(COM_2012!$A$60,AW152,0),2)="\I","*","")</f>
        <v/>
      </c>
      <c r="B152" s="369" t="str">
        <f t="shared" ca="1" si="10"/>
        <v>NCAP_TLIFE</v>
      </c>
      <c r="C152" s="369" t="str">
        <f ca="1">IF($A152="*","",OFFSET(COM_2012!$B$60,AW152,0))</f>
        <v>CECELCHP-E</v>
      </c>
      <c r="D152" s="369" t="str">
        <f t="shared" ca="1" si="15"/>
        <v>-</v>
      </c>
      <c r="E152" s="369" t="str">
        <f t="shared" ca="1" si="15"/>
        <v>-</v>
      </c>
      <c r="F152" s="369" t="str">
        <f t="shared" ca="1" si="15"/>
        <v>-</v>
      </c>
      <c r="G152" s="369" t="str">
        <f t="shared" ca="1" si="15"/>
        <v>-</v>
      </c>
      <c r="H152" s="369" t="str">
        <f t="shared" ca="1" si="15"/>
        <v>-</v>
      </c>
      <c r="I152" s="370">
        <f t="shared" ca="1" si="15"/>
        <v>0</v>
      </c>
      <c r="J152" s="391">
        <f ca="1">IF($A152="*","",OFFSET(COM_2012!$B$60,AW152,SUMIF($B$10:$B$16,B152,$AX$10:$AX$16)))</f>
        <v>15</v>
      </c>
      <c r="K152" s="369" t="str">
        <f ca="1">IF($B152&lt;&gt;"PRC_RESID","",IF(K$7=2005+OFFSET(COM_2012!$B$60,$AW152,SUMIF($B$10:$B$16,"NCAP_TLIFE",$AX$10:$AX$16)),0,""))</f>
        <v/>
      </c>
      <c r="L152" s="369" t="str">
        <f ca="1">IF($B152&lt;&gt;"PRC_RESID","",IF(L$7=2005+OFFSET(COM_2012!$B$60,$AW152,SUMIF($B$10:$B$16,"NCAP_TLIFE",$AX$10:$AX$16)),0,""))</f>
        <v/>
      </c>
      <c r="M152" s="369" t="str">
        <f ca="1">IF($B152&lt;&gt;"PRC_RESID","",IF(M$7=2005+OFFSET(COM_2012!$B$60,$AW152,SUMIF($B$10:$B$16,"NCAP_TLIFE",$AX$10:$AX$16)),0,""))</f>
        <v/>
      </c>
      <c r="N152" s="369" t="str">
        <f ca="1">IF($B152&lt;&gt;"PRC_RESID","",IF(N$7=2005+OFFSET(COM_2012!$B$60,$AW152,SUMIF($B$10:$B$16,"NCAP_TLIFE",$AX$10:$AX$16)),0,""))</f>
        <v/>
      </c>
      <c r="O152" s="658" t="str">
        <f ca="1">IF($B152&lt;&gt;"PRC_RESID","",IF(O$7=2005+OFFSET(COM_2012!$B$60,$AW152,SUMIF($B$10:$B$16,"NCAP_TLIFE",$AX$10:$AX$16)),0,""))</f>
        <v/>
      </c>
      <c r="P152" s="369" t="str">
        <f ca="1">IF($B152&lt;&gt;"PRC_RESID","",IF(P$7=2005+OFFSET(COM_2012!$B$60,$AW152,SUMIF($B$10:$B$16,"NCAP_TLIFE",$AX$10:$AX$16)),0,""))</f>
        <v/>
      </c>
      <c r="Q152" s="369" t="str">
        <f ca="1">IF($B152&lt;&gt;"PRC_RESID","",IF(Q$7=2005+OFFSET(COM_2012!$B$60,$AW152,SUMIF($B$10:$B$16,"NCAP_TLIFE",$AX$10:$AX$16)),0,""))</f>
        <v/>
      </c>
      <c r="R152" s="369" t="str">
        <f ca="1">IF($B152&lt;&gt;"PRC_RESID","",IF(R$7=2005+OFFSET(COM_2012!$B$60,$AW152,SUMIF($B$10:$B$16,"NCAP_TLIFE",$AX$10:$AX$16)),0,""))</f>
        <v/>
      </c>
      <c r="S152" s="369" t="str">
        <f ca="1">IF($B152&lt;&gt;"PRC_RESID","",IF(S$7=2005+OFFSET(COM_2012!$B$60,$AW152,SUMIF($B$10:$B$16,"NCAP_TLIFE",$AX$10:$AX$16)),0,""))</f>
        <v/>
      </c>
      <c r="T152" s="369" t="str">
        <f ca="1">IF($B152&lt;&gt;"PRC_RESID","",IF(T$7=2005+OFFSET(COM_2012!$B$60,$AW152,SUMIF($B$10:$B$16,"NCAP_TLIFE",$AX$10:$AX$16)),0,""))</f>
        <v/>
      </c>
      <c r="U152" s="369" t="str">
        <f ca="1">IF($B152&lt;&gt;"PRC_RESID","",IF(U$7=2005+OFFSET(COM_2012!$B$60,$AW152,SUMIF($B$10:$B$16,"NCAP_TLIFE",$AX$10:$AX$16)),0,""))</f>
        <v/>
      </c>
      <c r="V152" s="369" t="str">
        <f ca="1">IF($B152&lt;&gt;"PRC_RESID","",IF(V$7=2005+OFFSET(COM_2012!$B$60,$AW152,SUMIF($B$10:$B$16,"NCAP_TLIFE",$AX$10:$AX$16)),0,""))</f>
        <v/>
      </c>
      <c r="W152" s="369" t="str">
        <f ca="1">IF($B152&lt;&gt;"PRC_RESID","",IF(W$7=2005+OFFSET(COM_2012!$B$60,$AW152,SUMIF($B$10:$B$16,"NCAP_TLIFE",$AX$10:$AX$16)),0,""))</f>
        <v/>
      </c>
      <c r="X152" s="369" t="str">
        <f ca="1">IF($B152&lt;&gt;"PRC_RESID","",IF(X$7=2005+OFFSET(COM_2012!$B$60,$AW152,SUMIF($B$10:$B$16,"NCAP_TLIFE",$AX$10:$AX$16)),0,""))</f>
        <v/>
      </c>
      <c r="Y152" 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IF($B152&lt;&gt;"PRC_RESID","",IF(AA$7=2005+OFFSET(COM_2012!$B$60,$AW152,SUMIF($B$10:$B$16,"NCAP_TLIFE",$AX$10:$AX$16)),0,""))</f>
        <v/>
      </c>
      <c r="AB152" s="369" t="str">
        <f ca="1">IF($B152&lt;&gt;"PRC_RESID","",IF(AB$7=2005+OFFSET(COM_2012!$B$60,$AW152,SUMIF($B$10:$B$16,"NCAP_TLIFE",$AX$10:$AX$16)),0,""))</f>
        <v/>
      </c>
      <c r="AC152" s="369" t="str">
        <f ca="1">IF($B152&lt;&gt;"PRC_RESID","",IF(AC$7=2005+OFFSET(COM_2012!$B$60,$AW152,SUMIF($B$10:$B$16,"NCAP_TLIFE",$AX$10:$AX$16)),0,""))</f>
        <v/>
      </c>
      <c r="AD152" s="369" t="str">
        <f ca="1">IF($B152&lt;&gt;"PRC_RESID","",IF(AD$7=2005+OFFSET(COM_2012!$B$60,$AW152,SUMIF($B$10:$B$16,"NCAP_TLIFE",$AX$10:$AX$16)),0,""))</f>
        <v/>
      </c>
      <c r="AE152" s="369" t="str">
        <f ca="1">IF($B152&lt;&gt;"PRC_RESID","",IF(AE$7=2005+OFFSET(COM_2012!$B$60,$AW152,SUMIF($B$10:$B$16,"NCAP_TLIFE",$AX$10:$AX$16)),0,""))</f>
        <v/>
      </c>
      <c r="AF152" s="369" t="str">
        <f ca="1">IF($B152&lt;&gt;"PRC_RESID","",IF(AF$7=2005+OFFSET(COM_2012!$B$60,$AW152,SUMIF($B$10:$B$16,"NCAP_TLIFE",$AX$10:$AX$16)),0,""))</f>
        <v/>
      </c>
      <c r="AG152" s="369" t="str">
        <f ca="1">IF($B152&lt;&gt;"PRC_RESID","",IF(AG$7=2005+OFFSET(COM_2012!$B$60,$AW152,SUMIF($B$10:$B$16,"NCAP_TLIFE",$AX$10:$AX$16)),0,""))</f>
        <v/>
      </c>
      <c r="AH152" s="369" t="str">
        <f ca="1">IF($B152&lt;&gt;"PRC_RESID","",IF(AH$7=2005+OFFSET(COM_2012!$B$60,$AW152,SUMIF($B$10:$B$16,"NCAP_TLIFE",$AX$10:$AX$16)),0,""))</f>
        <v/>
      </c>
      <c r="AI152" s="369" t="str">
        <f ca="1">IF($B152&lt;&gt;"PRC_RESID","",IF(AI$7=2005+OFFSET(COM_2012!$B$60,$AW152,SUMIF($B$10:$B$16,"NCAP_TLIFE",$AX$10:$AX$16)),0,""))</f>
        <v/>
      </c>
      <c r="AJ152" s="369" t="str">
        <f ca="1">IF($B152&lt;&gt;"PRC_RESID","",IF(AJ$7=2005+OFFSET(COM_2012!$B$60,$AW152,SUMIF($B$10:$B$16,"NCAP_TLIFE",$AX$10:$AX$16)),0,""))</f>
        <v/>
      </c>
      <c r="AK152" s="369" t="str">
        <f ca="1">IF($B152&lt;&gt;"PRC_RESID","",IF(AK$7=2005+OFFSET(COM_2012!$B$60,$AW152,SUMIF($B$10:$B$16,"NCAP_TLIFE",$AX$10:$AX$16)),0,""))</f>
        <v/>
      </c>
      <c r="AL152" s="369" t="str">
        <f ca="1">IF($B152&lt;&gt;"PRC_RESID","",IF(AL$7=2005+OFFSET(COM_2012!$B$60,$AW152,SUMIF($B$10:$B$16,"NCAP_TLIFE",$AX$10:$AX$16)),0,""))</f>
        <v/>
      </c>
      <c r="AM152" s="369" t="str">
        <f ca="1">IF($B152&lt;&gt;"PRC_RESID","",IF(AM$7=2005+OFFSET(COM_2012!$B$60,$AW152,SUMIF($B$10:$B$16,"NCAP_TLIFE",$AX$10:$AX$16)),0,""))</f>
        <v/>
      </c>
      <c r="AN152" s="369" t="str">
        <f ca="1">IF($B152&lt;&gt;"PRC_RESID","",IF(AN$7=2005+OFFSET(COM_2012!$B$60,$AW152,SUMIF($B$10:$B$16,"NCAP_TLIFE",$AX$10:$AX$16)),0,""))</f>
        <v/>
      </c>
      <c r="AO152" s="369" t="str">
        <f ca="1">IF($B152&lt;&gt;"PRC_RESID","",IF(AO$7=2005+OFFSET(COM_2012!$B$60,$AW152,SUMIF($B$10:$B$16,"NCAP_TLIFE",$AX$10:$AX$16)),0,""))</f>
        <v/>
      </c>
      <c r="AP152" s="369" t="str">
        <f ca="1">IF($B152&lt;&gt;"PRC_RESID","",IF(AP$7=2005+OFFSET(COM_2012!$B$60,$AW152,SUMIF($B$10:$B$16,"NCAP_TLIFE",$AX$10:$AX$16)),0,""))</f>
        <v/>
      </c>
      <c r="AQ152" s="369" t="str">
        <f ca="1">IF($B152&lt;&gt;"PRC_RESID","",IF(AQ$7=2005+OFFSET(COM_2012!$B$60,$AW152,SUMIF($B$10:$B$16,"NCAP_TLIFE",$AX$10:$AX$16)),0,""))</f>
        <v/>
      </c>
      <c r="AR152" s="369" t="str">
        <f ca="1">IF($B152&lt;&gt;"PRC_RESID","",IF(AR$7=2005+OFFSET(COM_2012!$B$60,$AW152,SUMIF($B$10:$B$16,"NCAP_TLIFE",$AX$10:$AX$16)),0,""))</f>
        <v/>
      </c>
      <c r="AS152" s="369" t="str">
        <f ca="1">IF($B152&lt;&gt;"PRC_RESID","",IF(AS$7=2005+OFFSET(COM_2012!$B$60,$AW152,SUMIF($B$10:$B$16,"NCAP_TLIFE",$AX$10:$AX$16)),0,""))</f>
        <v/>
      </c>
      <c r="AT152" s="369" t="str">
        <f ca="1">IF($B152&lt;&gt;"PRC_RESID","",IF(AT$7=2005+OFFSET(COM_2012!$B$60,$AW152,SUMIF($B$10:$B$16,"NCAP_TLIFE",$AX$10:$AX$16)),0,""))</f>
        <v/>
      </c>
      <c r="AU152" s="369" t="str">
        <f ca="1">IF($B152&lt;&gt;"PRC_RESID","",IF(AU$7=2005+OFFSET(COM_2012!$B$60,$AW152,SUMIF($B$10:$B$16,"NCAP_TLIFE",$AX$10:$AX$16)),0,""))</f>
        <v/>
      </c>
      <c r="AV152" s="304">
        <f>IF(AW151=COM_2012!$AI$121,AV151+1,AV151)</f>
        <v>3</v>
      </c>
      <c r="AW152" s="304">
        <f t="shared" si="12"/>
        <v>3</v>
      </c>
    </row>
    <row r="153" spans="1:49">
      <c r="A153" s="304" t="str">
        <f ca="1">IF(LEFT(OFFSET(COM_2012!$A$60,AW153,0),2)="\I","*","")</f>
        <v/>
      </c>
      <c r="B153" s="369" t="str">
        <f t="shared" ca="1" si="10"/>
        <v>NCAP_TLIFE</v>
      </c>
      <c r="C153" s="369" t="str">
        <f ca="1">IF($A153="*","",OFFSET(COM_2012!$B$60,AW153,0))</f>
        <v>CECELCROOM-E</v>
      </c>
      <c r="D153" s="369" t="str">
        <f t="shared" ca="1" si="15"/>
        <v>-</v>
      </c>
      <c r="E153" s="369" t="str">
        <f t="shared" ca="1" si="15"/>
        <v>-</v>
      </c>
      <c r="F153" s="369" t="str">
        <f t="shared" ca="1" si="15"/>
        <v>-</v>
      </c>
      <c r="G153" s="369" t="str">
        <f t="shared" ca="1" si="15"/>
        <v>-</v>
      </c>
      <c r="H153" s="369" t="str">
        <f t="shared" ca="1" si="15"/>
        <v>-</v>
      </c>
      <c r="I153" s="370">
        <f t="shared" ca="1" si="15"/>
        <v>0</v>
      </c>
      <c r="J153" s="391">
        <f ca="1">IF($A153="*","",OFFSET(COM_2012!$B$60,AW153,SUMIF($B$10:$B$16,B153,$AX$10:$AX$16)))</f>
        <v>15</v>
      </c>
      <c r="K153" s="369" t="str">
        <f ca="1">IF($B153&lt;&gt;"PRC_RESID","",IF(K$7=2005+OFFSET(COM_2012!$B$60,$AW153,SUMIF($B$10:$B$16,"NCAP_TLIFE",$AX$10:$AX$16)),0,""))</f>
        <v/>
      </c>
      <c r="L153" s="369" t="str">
        <f ca="1">IF($B153&lt;&gt;"PRC_RESID","",IF(L$7=2005+OFFSET(COM_2012!$B$60,$AW153,SUMIF($B$10:$B$16,"NCAP_TLIFE",$AX$10:$AX$16)),0,""))</f>
        <v/>
      </c>
      <c r="M153" s="369" t="str">
        <f ca="1">IF($B153&lt;&gt;"PRC_RESID","",IF(M$7=2005+OFFSET(COM_2012!$B$60,$AW153,SUMIF($B$10:$B$16,"NCAP_TLIFE",$AX$10:$AX$16)),0,""))</f>
        <v/>
      </c>
      <c r="N153" s="369" t="str">
        <f ca="1">IF($B153&lt;&gt;"PRC_RESID","",IF(N$7=2005+OFFSET(COM_2012!$B$60,$AW153,SUMIF($B$10:$B$16,"NCAP_TLIFE",$AX$10:$AX$16)),0,""))</f>
        <v/>
      </c>
      <c r="O153" s="658" t="str">
        <f ca="1">IF($B153&lt;&gt;"PRC_RESID","",IF(O$7=2005+OFFSET(COM_2012!$B$60,$AW153,SUMIF($B$10:$B$16,"NCAP_TLIFE",$AX$10:$AX$16)),0,""))</f>
        <v/>
      </c>
      <c r="P153" s="369" t="str">
        <f ca="1">IF($B153&lt;&gt;"PRC_RESID","",IF(P$7=2005+OFFSET(COM_2012!$B$60,$AW153,SUMIF($B$10:$B$16,"NCAP_TLIFE",$AX$10:$AX$16)),0,""))</f>
        <v/>
      </c>
      <c r="Q153" s="369" t="str">
        <f ca="1">IF($B153&lt;&gt;"PRC_RESID","",IF(Q$7=2005+OFFSET(COM_2012!$B$60,$AW153,SUMIF($B$10:$B$16,"NCAP_TLIFE",$AX$10:$AX$16)),0,""))</f>
        <v/>
      </c>
      <c r="R153" s="369" t="str">
        <f ca="1">IF($B153&lt;&gt;"PRC_RESID","",IF(R$7=2005+OFFSET(COM_2012!$B$60,$AW153,SUMIF($B$10:$B$16,"NCAP_TLIFE",$AX$10:$AX$16)),0,""))</f>
        <v/>
      </c>
      <c r="S153" s="369" t="str">
        <f ca="1">IF($B153&lt;&gt;"PRC_RESID","",IF(S$7=2005+OFFSET(COM_2012!$B$60,$AW153,SUMIF($B$10:$B$16,"NCAP_TLIFE",$AX$10:$AX$16)),0,""))</f>
        <v/>
      </c>
      <c r="T153" s="369" t="str">
        <f ca="1">IF($B153&lt;&gt;"PRC_RESID","",IF(T$7=2005+OFFSET(COM_2012!$B$60,$AW153,SUMIF($B$10:$B$16,"NCAP_TLIFE",$AX$10:$AX$16)),0,""))</f>
        <v/>
      </c>
      <c r="U153" s="369" t="str">
        <f ca="1">IF($B153&lt;&gt;"PRC_RESID","",IF(U$7=2005+OFFSET(COM_2012!$B$60,$AW153,SUMIF($B$10:$B$16,"NCAP_TLIFE",$AX$10:$AX$16)),0,""))</f>
        <v/>
      </c>
      <c r="V153" s="369" t="str">
        <f ca="1">IF($B153&lt;&gt;"PRC_RESID","",IF(V$7=2005+OFFSET(COM_2012!$B$60,$AW153,SUMIF($B$10:$B$16,"NCAP_TLIFE",$AX$10:$AX$16)),0,""))</f>
        <v/>
      </c>
      <c r="W153" s="369" t="str">
        <f ca="1">IF($B153&lt;&gt;"PRC_RESID","",IF(W$7=2005+OFFSET(COM_2012!$B$60,$AW153,SUMIF($B$10:$B$16,"NCAP_TLIFE",$AX$10:$AX$16)),0,""))</f>
        <v/>
      </c>
      <c r="X153" s="369" t="str">
        <f ca="1">IF($B153&lt;&gt;"PRC_RESID","",IF(X$7=2005+OFFSET(COM_2012!$B$60,$AW153,SUMIF($B$10:$B$16,"NCAP_TLIFE",$AX$10:$AX$16)),0,""))</f>
        <v/>
      </c>
      <c r="Y153" s="369" t="str">
        <f ca="1">IF($B153&lt;&gt;"PRC_RESID","",IF(Y$7=2005+OFFSET(COM_2012!$B$60,$AW153,SUMIF($B$10:$B$16,"NCAP_TLIFE",$AX$10:$AX$16)),0,""))</f>
        <v/>
      </c>
      <c r="Z153" s="369" t="str">
        <f ca="1">IF($B153&lt;&gt;"PRC_RESID","",IF(Z$7=2005+OFFSET(COM_2012!$B$60,$AW153,SUMIF($B$10:$B$16,"NCAP_TLIFE",$AX$10:$AX$16)),0,""))</f>
        <v/>
      </c>
      <c r="AA153" s="369" t="str">
        <f ca="1">IF($B153&lt;&gt;"PRC_RESID","",IF(AA$7=2005+OFFSET(COM_2012!$B$60,$AW153,SUMIF($B$10:$B$16,"NCAP_TLIFE",$AX$10:$AX$16)),0,""))</f>
        <v/>
      </c>
      <c r="AB153" s="369" t="str">
        <f ca="1">IF($B153&lt;&gt;"PRC_RESID","",IF(AB$7=2005+OFFSET(COM_2012!$B$60,$AW153,SUMIF($B$10:$B$16,"NCAP_TLIFE",$AX$10:$AX$16)),0,""))</f>
        <v/>
      </c>
      <c r="AC153" s="369" t="str">
        <f ca="1">IF($B153&lt;&gt;"PRC_RESID","",IF(AC$7=2005+OFFSET(COM_2012!$B$60,$AW153,SUMIF($B$10:$B$16,"NCAP_TLIFE",$AX$10:$AX$16)),0,""))</f>
        <v/>
      </c>
      <c r="AD153" s="369" t="str">
        <f ca="1">IF($B153&lt;&gt;"PRC_RESID","",IF(AD$7=2005+OFFSET(COM_2012!$B$60,$AW153,SUMIF($B$10:$B$16,"NCAP_TLIFE",$AX$10:$AX$16)),0,""))</f>
        <v/>
      </c>
      <c r="AE153" s="369" t="str">
        <f ca="1">IF($B153&lt;&gt;"PRC_RESID","",IF(AE$7=2005+OFFSET(COM_2012!$B$60,$AW153,SUMIF($B$10:$B$16,"NCAP_TLIFE",$AX$10:$AX$16)),0,""))</f>
        <v/>
      </c>
      <c r="AF153" s="369" t="str">
        <f ca="1">IF($B153&lt;&gt;"PRC_RESID","",IF(AF$7=2005+OFFSET(COM_2012!$B$60,$AW153,SUMIF($B$10:$B$16,"NCAP_TLIFE",$AX$10:$AX$16)),0,""))</f>
        <v/>
      </c>
      <c r="AG153" s="369" t="str">
        <f ca="1">IF($B153&lt;&gt;"PRC_RESID","",IF(AG$7=2005+OFFSET(COM_2012!$B$60,$AW153,SUMIF($B$10:$B$16,"NCAP_TLIFE",$AX$10:$AX$16)),0,""))</f>
        <v/>
      </c>
      <c r="AH153" s="369" t="str">
        <f ca="1">IF($B153&lt;&gt;"PRC_RESID","",IF(AH$7=2005+OFFSET(COM_2012!$B$60,$AW153,SUMIF($B$10:$B$16,"NCAP_TLIFE",$AX$10:$AX$16)),0,""))</f>
        <v/>
      </c>
      <c r="AI153" s="369" t="str">
        <f ca="1">IF($B153&lt;&gt;"PRC_RESID","",IF(AI$7=2005+OFFSET(COM_2012!$B$60,$AW153,SUMIF($B$10:$B$16,"NCAP_TLIFE",$AX$10:$AX$16)),0,""))</f>
        <v/>
      </c>
      <c r="AJ153" s="369" t="str">
        <f ca="1">IF($B153&lt;&gt;"PRC_RESID","",IF(AJ$7=2005+OFFSET(COM_2012!$B$60,$AW153,SUMIF($B$10:$B$16,"NCAP_TLIFE",$AX$10:$AX$16)),0,""))</f>
        <v/>
      </c>
      <c r="AK153" s="369" t="str">
        <f ca="1">IF($B153&lt;&gt;"PRC_RESID","",IF(AK$7=2005+OFFSET(COM_2012!$B$60,$AW153,SUMIF($B$10:$B$16,"NCAP_TLIFE",$AX$10:$AX$16)),0,""))</f>
        <v/>
      </c>
      <c r="AL153" s="369" t="str">
        <f ca="1">IF($B153&lt;&gt;"PRC_RESID","",IF(AL$7=2005+OFFSET(COM_2012!$B$60,$AW153,SUMIF($B$10:$B$16,"NCAP_TLIFE",$AX$10:$AX$16)),0,""))</f>
        <v/>
      </c>
      <c r="AM153" s="369" t="str">
        <f ca="1">IF($B153&lt;&gt;"PRC_RESID","",IF(AM$7=2005+OFFSET(COM_2012!$B$60,$AW153,SUMIF($B$10:$B$16,"NCAP_TLIFE",$AX$10:$AX$16)),0,""))</f>
        <v/>
      </c>
      <c r="AN153" s="369" t="str">
        <f ca="1">IF($B153&lt;&gt;"PRC_RESID","",IF(AN$7=2005+OFFSET(COM_2012!$B$60,$AW153,SUMIF($B$10:$B$16,"NCAP_TLIFE",$AX$10:$AX$16)),0,""))</f>
        <v/>
      </c>
      <c r="AO153" s="369" t="str">
        <f ca="1">IF($B153&lt;&gt;"PRC_RESID","",IF(AO$7=2005+OFFSET(COM_2012!$B$60,$AW153,SUMIF($B$10:$B$16,"NCAP_TLIFE",$AX$10:$AX$16)),0,""))</f>
        <v/>
      </c>
      <c r="AP153" s="369" t="str">
        <f ca="1">IF($B153&lt;&gt;"PRC_RESID","",IF(AP$7=2005+OFFSET(COM_2012!$B$60,$AW153,SUMIF($B$10:$B$16,"NCAP_TLIFE",$AX$10:$AX$16)),0,""))</f>
        <v/>
      </c>
      <c r="AQ153" s="369" t="str">
        <f ca="1">IF($B153&lt;&gt;"PRC_RESID","",IF(AQ$7=2005+OFFSET(COM_2012!$B$60,$AW153,SUMIF($B$10:$B$16,"NCAP_TLIFE",$AX$10:$AX$16)),0,""))</f>
        <v/>
      </c>
      <c r="AR153" s="369" t="str">
        <f ca="1">IF($B153&lt;&gt;"PRC_RESID","",IF(AR$7=2005+OFFSET(COM_2012!$B$60,$AW153,SUMIF($B$10:$B$16,"NCAP_TLIFE",$AX$10:$AX$16)),0,""))</f>
        <v/>
      </c>
      <c r="AS153" s="369" t="str">
        <f ca="1">IF($B153&lt;&gt;"PRC_RESID","",IF(AS$7=2005+OFFSET(COM_2012!$B$60,$AW153,SUMIF($B$10:$B$16,"NCAP_TLIFE",$AX$10:$AX$16)),0,""))</f>
        <v/>
      </c>
      <c r="AT153" s="369" t="str">
        <f ca="1">IF($B153&lt;&gt;"PRC_RESID","",IF(AT$7=2005+OFFSET(COM_2012!$B$60,$AW153,SUMIF($B$10:$B$16,"NCAP_TLIFE",$AX$10:$AX$16)),0,""))</f>
        <v/>
      </c>
      <c r="AU153" s="369" t="str">
        <f ca="1">IF($B153&lt;&gt;"PRC_RESID","",IF(AU$7=2005+OFFSET(COM_2012!$B$60,$AW153,SUMIF($B$10:$B$16,"NCAP_TLIFE",$AX$10:$AX$16)),0,""))</f>
        <v/>
      </c>
      <c r="AV153" s="304">
        <f>IF(AW152=COM_2012!$AI$121,AV152+1,AV152)</f>
        <v>3</v>
      </c>
      <c r="AW153" s="304">
        <f t="shared" si="12"/>
        <v>4</v>
      </c>
    </row>
    <row r="154" spans="1:49">
      <c r="A154" s="304" t="str">
        <f ca="1">IF(LEFT(OFFSET(COM_2012!$A$60,AW154,0),2)="\I","*","")</f>
        <v/>
      </c>
      <c r="B154" s="369" t="str">
        <f t="shared" ca="1" si="10"/>
        <v>NCAP_TLIFE</v>
      </c>
      <c r="C154" s="369" t="str">
        <f ca="1">IF($A154="*","",OFFSET(COM_2012!$B$60,AW154,0))</f>
        <v>CECELCCEN-N</v>
      </c>
      <c r="D154" s="369" t="str">
        <f t="shared" ca="1" si="15"/>
        <v>-</v>
      </c>
      <c r="E154" s="369" t="str">
        <f t="shared" ca="1" si="15"/>
        <v>-</v>
      </c>
      <c r="F154" s="369" t="str">
        <f t="shared" ca="1" si="15"/>
        <v>-</v>
      </c>
      <c r="G154" s="369" t="str">
        <f t="shared" ca="1" si="15"/>
        <v>-</v>
      </c>
      <c r="H154" s="369" t="str">
        <f t="shared" ca="1" si="15"/>
        <v>-</v>
      </c>
      <c r="I154" s="370">
        <f t="shared" ca="1" si="15"/>
        <v>0</v>
      </c>
      <c r="J154" s="391">
        <f ca="1">IF($A154="*","",OFFSET(COM_2012!$B$60,AW154,SUMIF($B$10:$B$16,B154,$AX$10:$AX$16)))</f>
        <v>15</v>
      </c>
      <c r="K154" s="369" t="str">
        <f ca="1">IF($B154&lt;&gt;"PRC_RESID","",IF(K$7=2005+OFFSET(COM_2012!$B$60,$AW154,SUMIF($B$10:$B$16,"NCAP_TLIFE",$AX$10:$AX$16)),0,""))</f>
        <v/>
      </c>
      <c r="L154" s="369" t="str">
        <f ca="1">IF($B154&lt;&gt;"PRC_RESID","",IF(L$7=2005+OFFSET(COM_2012!$B$60,$AW154,SUMIF($B$10:$B$16,"NCAP_TLIFE",$AX$10:$AX$16)),0,""))</f>
        <v/>
      </c>
      <c r="M154" s="369" t="str">
        <f ca="1">IF($B154&lt;&gt;"PRC_RESID","",IF(M$7=2005+OFFSET(COM_2012!$B$60,$AW154,SUMIF($B$10:$B$16,"NCAP_TLIFE",$AX$10:$AX$16)),0,""))</f>
        <v/>
      </c>
      <c r="N154" s="369" t="str">
        <f ca="1">IF($B154&lt;&gt;"PRC_RESID","",IF(N$7=2005+OFFSET(COM_2012!$B$60,$AW154,SUMIF($B$10:$B$16,"NCAP_TLIFE",$AX$10:$AX$16)),0,""))</f>
        <v/>
      </c>
      <c r="O154" s="658" t="str">
        <f ca="1">IF($B154&lt;&gt;"PRC_RESID","",IF(O$7=2005+OFFSET(COM_2012!$B$60,$AW154,SUMIF($B$10:$B$16,"NCAP_TLIFE",$AX$10:$AX$16)),0,""))</f>
        <v/>
      </c>
      <c r="P154" s="369" t="str">
        <f ca="1">IF($B154&lt;&gt;"PRC_RESID","",IF(P$7=2005+OFFSET(COM_2012!$B$60,$AW154,SUMIF($B$10:$B$16,"NCAP_TLIFE",$AX$10:$AX$16)),0,""))</f>
        <v/>
      </c>
      <c r="Q154" s="369" t="str">
        <f ca="1">IF($B154&lt;&gt;"PRC_RESID","",IF(Q$7=2005+OFFSET(COM_2012!$B$60,$AW154,SUMIF($B$10:$B$16,"NCAP_TLIFE",$AX$10:$AX$16)),0,""))</f>
        <v/>
      </c>
      <c r="R154" s="369" t="str">
        <f ca="1">IF($B154&lt;&gt;"PRC_RESID","",IF(R$7=2005+OFFSET(COM_2012!$B$60,$AW154,SUMIF($B$10:$B$16,"NCAP_TLIFE",$AX$10:$AX$16)),0,""))</f>
        <v/>
      </c>
      <c r="S154" s="369" t="str">
        <f ca="1">IF($B154&lt;&gt;"PRC_RESID","",IF(S$7=2005+OFFSET(COM_2012!$B$60,$AW154,SUMIF($B$10:$B$16,"NCAP_TLIFE",$AX$10:$AX$16)),0,""))</f>
        <v/>
      </c>
      <c r="T154" s="369" t="str">
        <f ca="1">IF($B154&lt;&gt;"PRC_RESID","",IF(T$7=2005+OFFSET(COM_2012!$B$60,$AW154,SUMIF($B$10:$B$16,"NCAP_TLIFE",$AX$10:$AX$16)),0,""))</f>
        <v/>
      </c>
      <c r="U154" s="369" t="str">
        <f ca="1">IF($B154&lt;&gt;"PRC_RESID","",IF(U$7=2005+OFFSET(COM_2012!$B$60,$AW154,SUMIF($B$10:$B$16,"NCAP_TLIFE",$AX$10:$AX$16)),0,""))</f>
        <v/>
      </c>
      <c r="V154" s="369" t="str">
        <f ca="1">IF($B154&lt;&gt;"PRC_RESID","",IF(V$7=2005+OFFSET(COM_2012!$B$60,$AW154,SUMIF($B$10:$B$16,"NCAP_TLIFE",$AX$10:$AX$16)),0,""))</f>
        <v/>
      </c>
      <c r="W154" s="369" t="str">
        <f ca="1">IF($B154&lt;&gt;"PRC_RESID","",IF(W$7=2005+OFFSET(COM_2012!$B$60,$AW154,SUMIF($B$10:$B$16,"NCAP_TLIFE",$AX$10:$AX$16)),0,""))</f>
        <v/>
      </c>
      <c r="X154" s="369" t="str">
        <f ca="1">IF($B154&lt;&gt;"PRC_RESID","",IF(X$7=2005+OFFSET(COM_2012!$B$60,$AW154,SUMIF($B$10:$B$16,"NCAP_TLIFE",$AX$10:$AX$16)),0,""))</f>
        <v/>
      </c>
      <c r="Y154" s="369" t="str">
        <f ca="1">IF($B154&lt;&gt;"PRC_RESID","",IF(Y$7=2005+OFFSET(COM_2012!$B$60,$AW154,SUMIF($B$10:$B$16,"NCAP_TLIFE",$AX$10:$AX$16)),0,""))</f>
        <v/>
      </c>
      <c r="Z154" s="369" t="str">
        <f ca="1">IF($B154&lt;&gt;"PRC_RESID","",IF(Z$7=2005+OFFSET(COM_2012!$B$60,$AW154,SUMIF($B$10:$B$16,"NCAP_TLIFE",$AX$10:$AX$16)),0,""))</f>
        <v/>
      </c>
      <c r="AA154" s="369" t="str">
        <f ca="1">IF($B154&lt;&gt;"PRC_RESID","",IF(AA$7=2005+OFFSET(COM_2012!$B$60,$AW154,SUMIF($B$10:$B$16,"NCAP_TLIFE",$AX$10:$AX$16)),0,""))</f>
        <v/>
      </c>
      <c r="AB154" s="369" t="str">
        <f ca="1">IF($B154&lt;&gt;"PRC_RESID","",IF(AB$7=2005+OFFSET(COM_2012!$B$60,$AW154,SUMIF($B$10:$B$16,"NCAP_TLIFE",$AX$10:$AX$16)),0,""))</f>
        <v/>
      </c>
      <c r="AC154" s="369" t="str">
        <f ca="1">IF($B154&lt;&gt;"PRC_RESID","",IF(AC$7=2005+OFFSET(COM_2012!$B$60,$AW154,SUMIF($B$10:$B$16,"NCAP_TLIFE",$AX$10:$AX$16)),0,""))</f>
        <v/>
      </c>
      <c r="AD154" s="369" t="str">
        <f ca="1">IF($B154&lt;&gt;"PRC_RESID","",IF(AD$7=2005+OFFSET(COM_2012!$B$60,$AW154,SUMIF($B$10:$B$16,"NCAP_TLIFE",$AX$10:$AX$16)),0,""))</f>
        <v/>
      </c>
      <c r="AE154" s="369" t="str">
        <f ca="1">IF($B154&lt;&gt;"PRC_RESID","",IF(AE$7=2005+OFFSET(COM_2012!$B$60,$AW154,SUMIF($B$10:$B$16,"NCAP_TLIFE",$AX$10:$AX$16)),0,""))</f>
        <v/>
      </c>
      <c r="AF154" s="369" t="str">
        <f ca="1">IF($B154&lt;&gt;"PRC_RESID","",IF(AF$7=2005+OFFSET(COM_2012!$B$60,$AW154,SUMIF($B$10:$B$16,"NCAP_TLIFE",$AX$10:$AX$16)),0,""))</f>
        <v/>
      </c>
      <c r="AG154" s="369" t="str">
        <f ca="1">IF($B154&lt;&gt;"PRC_RESID","",IF(AG$7=2005+OFFSET(COM_2012!$B$60,$AW154,SUMIF($B$10:$B$16,"NCAP_TLIFE",$AX$10:$AX$16)),0,""))</f>
        <v/>
      </c>
      <c r="AH154" s="369" t="str">
        <f ca="1">IF($B154&lt;&gt;"PRC_RESID","",IF(AH$7=2005+OFFSET(COM_2012!$B$60,$AW154,SUMIF($B$10:$B$16,"NCAP_TLIFE",$AX$10:$AX$16)),0,""))</f>
        <v/>
      </c>
      <c r="AI154" s="369" t="str">
        <f ca="1">IF($B154&lt;&gt;"PRC_RESID","",IF(AI$7=2005+OFFSET(COM_2012!$B$60,$AW154,SUMIF($B$10:$B$16,"NCAP_TLIFE",$AX$10:$AX$16)),0,""))</f>
        <v/>
      </c>
      <c r="AJ154" s="369" t="str">
        <f ca="1">IF($B154&lt;&gt;"PRC_RESID","",IF(AJ$7=2005+OFFSET(COM_2012!$B$60,$AW154,SUMIF($B$10:$B$16,"NCAP_TLIFE",$AX$10:$AX$16)),0,""))</f>
        <v/>
      </c>
      <c r="AK154" s="369" t="str">
        <f ca="1">IF($B154&lt;&gt;"PRC_RESID","",IF(AK$7=2005+OFFSET(COM_2012!$B$60,$AW154,SUMIF($B$10:$B$16,"NCAP_TLIFE",$AX$10:$AX$16)),0,""))</f>
        <v/>
      </c>
      <c r="AL154" s="369" t="str">
        <f ca="1">IF($B154&lt;&gt;"PRC_RESID","",IF(AL$7=2005+OFFSET(COM_2012!$B$60,$AW154,SUMIF($B$10:$B$16,"NCAP_TLIFE",$AX$10:$AX$16)),0,""))</f>
        <v/>
      </c>
      <c r="AM154" s="369" t="str">
        <f ca="1">IF($B154&lt;&gt;"PRC_RESID","",IF(AM$7=2005+OFFSET(COM_2012!$B$60,$AW154,SUMIF($B$10:$B$16,"NCAP_TLIFE",$AX$10:$AX$16)),0,""))</f>
        <v/>
      </c>
      <c r="AN154" s="369" t="str">
        <f ca="1">IF($B154&lt;&gt;"PRC_RESID","",IF(AN$7=2005+OFFSET(COM_2012!$B$60,$AW154,SUMIF($B$10:$B$16,"NCAP_TLIFE",$AX$10:$AX$16)),0,""))</f>
        <v/>
      </c>
      <c r="AO154" s="369" t="str">
        <f ca="1">IF($B154&lt;&gt;"PRC_RESID","",IF(AO$7=2005+OFFSET(COM_2012!$B$60,$AW154,SUMIF($B$10:$B$16,"NCAP_TLIFE",$AX$10:$AX$16)),0,""))</f>
        <v/>
      </c>
      <c r="AP154" s="369" t="str">
        <f ca="1">IF($B154&lt;&gt;"PRC_RESID","",IF(AP$7=2005+OFFSET(COM_2012!$B$60,$AW154,SUMIF($B$10:$B$16,"NCAP_TLIFE",$AX$10:$AX$16)),0,""))</f>
        <v/>
      </c>
      <c r="AQ154" s="369" t="str">
        <f ca="1">IF($B154&lt;&gt;"PRC_RESID","",IF(AQ$7=2005+OFFSET(COM_2012!$B$60,$AW154,SUMIF($B$10:$B$16,"NCAP_TLIFE",$AX$10:$AX$16)),0,""))</f>
        <v/>
      </c>
      <c r="AR154" s="369" t="str">
        <f ca="1">IF($B154&lt;&gt;"PRC_RESID","",IF(AR$7=2005+OFFSET(COM_2012!$B$60,$AW154,SUMIF($B$10:$B$16,"NCAP_TLIFE",$AX$10:$AX$16)),0,""))</f>
        <v/>
      </c>
      <c r="AS154" s="369" t="str">
        <f ca="1">IF($B154&lt;&gt;"PRC_RESID","",IF(AS$7=2005+OFFSET(COM_2012!$B$60,$AW154,SUMIF($B$10:$B$16,"NCAP_TLIFE",$AX$10:$AX$16)),0,""))</f>
        <v/>
      </c>
      <c r="AT154" s="369" t="str">
        <f ca="1">IF($B154&lt;&gt;"PRC_RESID","",IF(AT$7=2005+OFFSET(COM_2012!$B$60,$AW154,SUMIF($B$10:$B$16,"NCAP_TLIFE",$AX$10:$AX$16)),0,""))</f>
        <v/>
      </c>
      <c r="AU154" s="369" t="str">
        <f ca="1">IF($B154&lt;&gt;"PRC_RESID","",IF(AU$7=2005+OFFSET(COM_2012!$B$60,$AW154,SUMIF($B$10:$B$16,"NCAP_TLIFE",$AX$10:$AX$16)),0,""))</f>
        <v/>
      </c>
      <c r="AV154" s="304">
        <f>IF(AW153=COM_2012!$AI$121,AV153+1,AV153)</f>
        <v>3</v>
      </c>
      <c r="AW154" s="304">
        <f t="shared" si="12"/>
        <v>5</v>
      </c>
    </row>
    <row r="155" spans="1:49">
      <c r="A155" s="304" t="str">
        <f ca="1">IF(LEFT(OFFSET(COM_2012!$A$60,AW155,0),2)="\I","*","")</f>
        <v/>
      </c>
      <c r="B155" s="369" t="str">
        <f t="shared" ca="1" si="10"/>
        <v>NCAP_TLIFE</v>
      </c>
      <c r="C155" s="369" t="str">
        <f ca="1">IF($A155="*","",OFFSET(COM_2012!$B$60,AW155,0))</f>
        <v>CECELCHP-N</v>
      </c>
      <c r="D155" s="369" t="str">
        <f t="shared" ca="1" si="15"/>
        <v>-</v>
      </c>
      <c r="E155" s="369" t="str">
        <f t="shared" ca="1" si="15"/>
        <v>-</v>
      </c>
      <c r="F155" s="369" t="str">
        <f t="shared" ca="1" si="15"/>
        <v>-</v>
      </c>
      <c r="G155" s="369" t="str">
        <f t="shared" ca="1" si="15"/>
        <v>-</v>
      </c>
      <c r="H155" s="369" t="str">
        <f t="shared" ca="1" si="15"/>
        <v>-</v>
      </c>
      <c r="I155" s="370">
        <f t="shared" ca="1" si="15"/>
        <v>0</v>
      </c>
      <c r="J155" s="391">
        <f ca="1">IF($A155="*","",OFFSET(COM_2012!$B$60,AW155,SUMIF($B$10:$B$16,B155,$AX$10:$AX$16)))</f>
        <v>15</v>
      </c>
      <c r="K155" s="369" t="str">
        <f ca="1">IF($B155&lt;&gt;"PRC_RESID","",IF(K$7=2005+OFFSET(COM_2012!$B$60,$AW155,SUMIF($B$10:$B$16,"NCAP_TLIFE",$AX$10:$AX$16)),0,""))</f>
        <v/>
      </c>
      <c r="L155" s="369" t="str">
        <f ca="1">IF($B155&lt;&gt;"PRC_RESID","",IF(L$7=2005+OFFSET(COM_2012!$B$60,$AW155,SUMIF($B$10:$B$16,"NCAP_TLIFE",$AX$10:$AX$16)),0,""))</f>
        <v/>
      </c>
      <c r="M155" s="369" t="str">
        <f ca="1">IF($B155&lt;&gt;"PRC_RESID","",IF(M$7=2005+OFFSET(COM_2012!$B$60,$AW155,SUMIF($B$10:$B$16,"NCAP_TLIFE",$AX$10:$AX$16)),0,""))</f>
        <v/>
      </c>
      <c r="N155" s="369" t="str">
        <f ca="1">IF($B155&lt;&gt;"PRC_RESID","",IF(N$7=2005+OFFSET(COM_2012!$B$60,$AW155,SUMIF($B$10:$B$16,"NCAP_TLIFE",$AX$10:$AX$16)),0,""))</f>
        <v/>
      </c>
      <c r="O155" s="658" t="str">
        <f ca="1">IF($B155&lt;&gt;"PRC_RESID","",IF(O$7=2005+OFFSET(COM_2012!$B$60,$AW155,SUMIF($B$10:$B$16,"NCAP_TLIFE",$AX$10:$AX$16)),0,""))</f>
        <v/>
      </c>
      <c r="P155" s="369" t="str">
        <f ca="1">IF($B155&lt;&gt;"PRC_RESID","",IF(P$7=2005+OFFSET(COM_2012!$B$60,$AW155,SUMIF($B$10:$B$16,"NCAP_TLIFE",$AX$10:$AX$16)),0,""))</f>
        <v/>
      </c>
      <c r="Q155" s="369" t="str">
        <f ca="1">IF($B155&lt;&gt;"PRC_RESID","",IF(Q$7=2005+OFFSET(COM_2012!$B$60,$AW155,SUMIF($B$10:$B$16,"NCAP_TLIFE",$AX$10:$AX$16)),0,""))</f>
        <v/>
      </c>
      <c r="R155" s="369" t="str">
        <f ca="1">IF($B155&lt;&gt;"PRC_RESID","",IF(R$7=2005+OFFSET(COM_2012!$B$60,$AW155,SUMIF($B$10:$B$16,"NCAP_TLIFE",$AX$10:$AX$16)),0,""))</f>
        <v/>
      </c>
      <c r="S155" s="369" t="str">
        <f ca="1">IF($B155&lt;&gt;"PRC_RESID","",IF(S$7=2005+OFFSET(COM_2012!$B$60,$AW155,SUMIF($B$10:$B$16,"NCAP_TLIFE",$AX$10:$AX$16)),0,""))</f>
        <v/>
      </c>
      <c r="T155" s="369" t="str">
        <f ca="1">IF($B155&lt;&gt;"PRC_RESID","",IF(T$7=2005+OFFSET(COM_2012!$B$60,$AW155,SUMIF($B$10:$B$16,"NCAP_TLIFE",$AX$10:$AX$16)),0,""))</f>
        <v/>
      </c>
      <c r="U155" s="369" t="str">
        <f ca="1">IF($B155&lt;&gt;"PRC_RESID","",IF(U$7=2005+OFFSET(COM_2012!$B$60,$AW155,SUMIF($B$10:$B$16,"NCAP_TLIFE",$AX$10:$AX$16)),0,""))</f>
        <v/>
      </c>
      <c r="V155" s="369" t="str">
        <f ca="1">IF($B155&lt;&gt;"PRC_RESID","",IF(V$7=2005+OFFSET(COM_2012!$B$60,$AW155,SUMIF($B$10:$B$16,"NCAP_TLIFE",$AX$10:$AX$16)),0,""))</f>
        <v/>
      </c>
      <c r="W155" s="369" t="str">
        <f ca="1">IF($B155&lt;&gt;"PRC_RESID","",IF(W$7=2005+OFFSET(COM_2012!$B$60,$AW155,SUMIF($B$10:$B$16,"NCAP_TLIFE",$AX$10:$AX$16)),0,""))</f>
        <v/>
      </c>
      <c r="X155" s="369" t="str">
        <f ca="1">IF($B155&lt;&gt;"PRC_RESID","",IF(X$7=2005+OFFSET(COM_2012!$B$60,$AW155,SUMIF($B$10:$B$16,"NCAP_TLIFE",$AX$10:$AX$16)),0,""))</f>
        <v/>
      </c>
      <c r="Y155" s="369" t="str">
        <f ca="1">IF($B155&lt;&gt;"PRC_RESID","",IF(Y$7=2005+OFFSET(COM_2012!$B$60,$AW155,SUMIF($B$10:$B$16,"NCAP_TLIFE",$AX$10:$AX$16)),0,""))</f>
        <v/>
      </c>
      <c r="Z155" s="369" t="str">
        <f ca="1">IF($B155&lt;&gt;"PRC_RESID","",IF(Z$7=2005+OFFSET(COM_2012!$B$60,$AW155,SUMIF($B$10:$B$16,"NCAP_TLIFE",$AX$10:$AX$16)),0,""))</f>
        <v/>
      </c>
      <c r="AA155" s="369" t="str">
        <f ca="1">IF($B155&lt;&gt;"PRC_RESID","",IF(AA$7=2005+OFFSET(COM_2012!$B$60,$AW155,SUMIF($B$10:$B$16,"NCAP_TLIFE",$AX$10:$AX$16)),0,""))</f>
        <v/>
      </c>
      <c r="AB155" s="369" t="str">
        <f ca="1">IF($B155&lt;&gt;"PRC_RESID","",IF(AB$7=2005+OFFSET(COM_2012!$B$60,$AW155,SUMIF($B$10:$B$16,"NCAP_TLIFE",$AX$10:$AX$16)),0,""))</f>
        <v/>
      </c>
      <c r="AC155" s="369" t="str">
        <f ca="1">IF($B155&lt;&gt;"PRC_RESID","",IF(AC$7=2005+OFFSET(COM_2012!$B$60,$AW155,SUMIF($B$10:$B$16,"NCAP_TLIFE",$AX$10:$AX$16)),0,""))</f>
        <v/>
      </c>
      <c r="AD155" s="369" t="str">
        <f ca="1">IF($B155&lt;&gt;"PRC_RESID","",IF(AD$7=2005+OFFSET(COM_2012!$B$60,$AW155,SUMIF($B$10:$B$16,"NCAP_TLIFE",$AX$10:$AX$16)),0,""))</f>
        <v/>
      </c>
      <c r="AE155" s="369" t="str">
        <f ca="1">IF($B155&lt;&gt;"PRC_RESID","",IF(AE$7=2005+OFFSET(COM_2012!$B$60,$AW155,SUMIF($B$10:$B$16,"NCAP_TLIFE",$AX$10:$AX$16)),0,""))</f>
        <v/>
      </c>
      <c r="AF155" s="369" t="str">
        <f ca="1">IF($B155&lt;&gt;"PRC_RESID","",IF(AF$7=2005+OFFSET(COM_2012!$B$60,$AW155,SUMIF($B$10:$B$16,"NCAP_TLIFE",$AX$10:$AX$16)),0,""))</f>
        <v/>
      </c>
      <c r="AG155" s="369" t="str">
        <f ca="1">IF($B155&lt;&gt;"PRC_RESID","",IF(AG$7=2005+OFFSET(COM_2012!$B$60,$AW155,SUMIF($B$10:$B$16,"NCAP_TLIFE",$AX$10:$AX$16)),0,""))</f>
        <v/>
      </c>
      <c r="AH155" s="369" t="str">
        <f ca="1">IF($B155&lt;&gt;"PRC_RESID","",IF(AH$7=2005+OFFSET(COM_2012!$B$60,$AW155,SUMIF($B$10:$B$16,"NCAP_TLIFE",$AX$10:$AX$16)),0,""))</f>
        <v/>
      </c>
      <c r="AI155" s="369" t="str">
        <f ca="1">IF($B155&lt;&gt;"PRC_RESID","",IF(AI$7=2005+OFFSET(COM_2012!$B$60,$AW155,SUMIF($B$10:$B$16,"NCAP_TLIFE",$AX$10:$AX$16)),0,""))</f>
        <v/>
      </c>
      <c r="AJ155" s="369" t="str">
        <f ca="1">IF($B155&lt;&gt;"PRC_RESID","",IF(AJ$7=2005+OFFSET(COM_2012!$B$60,$AW155,SUMIF($B$10:$B$16,"NCAP_TLIFE",$AX$10:$AX$16)),0,""))</f>
        <v/>
      </c>
      <c r="AK155" s="369" t="str">
        <f ca="1">IF($B155&lt;&gt;"PRC_RESID","",IF(AK$7=2005+OFFSET(COM_2012!$B$60,$AW155,SUMIF($B$10:$B$16,"NCAP_TLIFE",$AX$10:$AX$16)),0,""))</f>
        <v/>
      </c>
      <c r="AL155" s="369" t="str">
        <f ca="1">IF($B155&lt;&gt;"PRC_RESID","",IF(AL$7=2005+OFFSET(COM_2012!$B$60,$AW155,SUMIF($B$10:$B$16,"NCAP_TLIFE",$AX$10:$AX$16)),0,""))</f>
        <v/>
      </c>
      <c r="AM155" s="369" t="str">
        <f ca="1">IF($B155&lt;&gt;"PRC_RESID","",IF(AM$7=2005+OFFSET(COM_2012!$B$60,$AW155,SUMIF($B$10:$B$16,"NCAP_TLIFE",$AX$10:$AX$16)),0,""))</f>
        <v/>
      </c>
      <c r="AN155" s="369" t="str">
        <f ca="1">IF($B155&lt;&gt;"PRC_RESID","",IF(AN$7=2005+OFFSET(COM_2012!$B$60,$AW155,SUMIF($B$10:$B$16,"NCAP_TLIFE",$AX$10:$AX$16)),0,""))</f>
        <v/>
      </c>
      <c r="AO155" s="369" t="str">
        <f ca="1">IF($B155&lt;&gt;"PRC_RESID","",IF(AO$7=2005+OFFSET(COM_2012!$B$60,$AW155,SUMIF($B$10:$B$16,"NCAP_TLIFE",$AX$10:$AX$16)),0,""))</f>
        <v/>
      </c>
      <c r="AP155" s="369" t="str">
        <f ca="1">IF($B155&lt;&gt;"PRC_RESID","",IF(AP$7=2005+OFFSET(COM_2012!$B$60,$AW155,SUMIF($B$10:$B$16,"NCAP_TLIFE",$AX$10:$AX$16)),0,""))</f>
        <v/>
      </c>
      <c r="AQ155" s="369" t="str">
        <f ca="1">IF($B155&lt;&gt;"PRC_RESID","",IF(AQ$7=2005+OFFSET(COM_2012!$B$60,$AW155,SUMIF($B$10:$B$16,"NCAP_TLIFE",$AX$10:$AX$16)),0,""))</f>
        <v/>
      </c>
      <c r="AR155" s="369" t="str">
        <f ca="1">IF($B155&lt;&gt;"PRC_RESID","",IF(AR$7=2005+OFFSET(COM_2012!$B$60,$AW155,SUMIF($B$10:$B$16,"NCAP_TLIFE",$AX$10:$AX$16)),0,""))</f>
        <v/>
      </c>
      <c r="AS155" s="369" t="str">
        <f ca="1">IF($B155&lt;&gt;"PRC_RESID","",IF(AS$7=2005+OFFSET(COM_2012!$B$60,$AW155,SUMIF($B$10:$B$16,"NCAP_TLIFE",$AX$10:$AX$16)),0,""))</f>
        <v/>
      </c>
      <c r="AT155" s="369" t="str">
        <f ca="1">IF($B155&lt;&gt;"PRC_RESID","",IF(AT$7=2005+OFFSET(COM_2012!$B$60,$AW155,SUMIF($B$10:$B$16,"NCAP_TLIFE",$AX$10:$AX$16)),0,""))</f>
        <v/>
      </c>
      <c r="AU155" s="369" t="str">
        <f ca="1">IF($B155&lt;&gt;"PRC_RESID","",IF(AU$7=2005+OFFSET(COM_2012!$B$60,$AW155,SUMIF($B$10:$B$16,"NCAP_TLIFE",$AX$10:$AX$16)),0,""))</f>
        <v/>
      </c>
      <c r="AV155" s="304">
        <f>IF(AW154=COM_2012!$AI$121,AV154+1,AV154)</f>
        <v>3</v>
      </c>
      <c r="AW155" s="304">
        <f t="shared" si="12"/>
        <v>6</v>
      </c>
    </row>
    <row r="156" spans="1:49">
      <c r="A156" s="304" t="str">
        <f ca="1">IF(LEFT(OFFSET(COM_2012!$A$60,AW156,0),2)="\I","*","")</f>
        <v>*</v>
      </c>
      <c r="B156" s="369" t="str">
        <f t="shared" ref="B156:B219" ca="1" si="16">IF(A156="*","",VLOOKUP("*"&amp;AV156,$A$9:$B$16,2,FALSE))</f>
        <v/>
      </c>
      <c r="C156" s="369" t="str">
        <f ca="1">IF($A156="*","",OFFSET(COM_2012!$B$60,AW156,0))</f>
        <v/>
      </c>
      <c r="D156" s="369" t="str">
        <f t="shared" ca="1" si="15"/>
        <v/>
      </c>
      <c r="E156" s="369" t="str">
        <f t="shared" ca="1" si="15"/>
        <v/>
      </c>
      <c r="F156" s="369" t="str">
        <f t="shared" ca="1" si="15"/>
        <v/>
      </c>
      <c r="G156" s="369" t="str">
        <f t="shared" ca="1" si="15"/>
        <v/>
      </c>
      <c r="H156" s="369" t="str">
        <f t="shared" ca="1" si="15"/>
        <v/>
      </c>
      <c r="I156" s="370" t="str">
        <f t="shared" ca="1" si="15"/>
        <v/>
      </c>
      <c r="J156" s="391" t="str">
        <f ca="1">IF($A156="*","",OFFSET(COM_2012!$B$60,AW156,SUMIF($B$10:$B$16,B156,$AX$10:$AX$16)))</f>
        <v/>
      </c>
      <c r="K156" s="369" t="str">
        <f ca="1">IF($B156&lt;&gt;"PRC_RESID","",IF(K$7=2005+OFFSET(COM_2012!$B$60,$AW156,SUMIF($B$10:$B$16,"NCAP_TLIFE",$AX$10:$AX$16)),0,""))</f>
        <v/>
      </c>
      <c r="L156" s="369" t="str">
        <f ca="1">IF($B156&lt;&gt;"PRC_RESID","",IF(L$7=2005+OFFSET(COM_2012!$B$60,$AW156,SUMIF($B$10:$B$16,"NCAP_TLIFE",$AX$10:$AX$16)),0,""))</f>
        <v/>
      </c>
      <c r="M156" s="369" t="str">
        <f ca="1">IF($B156&lt;&gt;"PRC_RESID","",IF(M$7=2005+OFFSET(COM_2012!$B$60,$AW156,SUMIF($B$10:$B$16,"NCAP_TLIFE",$AX$10:$AX$16)),0,""))</f>
        <v/>
      </c>
      <c r="N156" s="369" t="str">
        <f ca="1">IF($B156&lt;&gt;"PRC_RESID","",IF(N$7=2005+OFFSET(COM_2012!$B$60,$AW156,SUMIF($B$10:$B$16,"NCAP_TLIFE",$AX$10:$AX$16)),0,""))</f>
        <v/>
      </c>
      <c r="O156" s="658" t="str">
        <f ca="1">IF($B156&lt;&gt;"PRC_RESID","",IF(O$7=2005+OFFSET(COM_2012!$B$60,$AW156,SUMIF($B$10:$B$16,"NCAP_TLIFE",$AX$10:$AX$16)),0,""))</f>
        <v/>
      </c>
      <c r="P156" s="369" t="str">
        <f ca="1">IF($B156&lt;&gt;"PRC_RESID","",IF(P$7=2005+OFFSET(COM_2012!$B$60,$AW156,SUMIF($B$10:$B$16,"NCAP_TLIFE",$AX$10:$AX$16)),0,""))</f>
        <v/>
      </c>
      <c r="Q156" s="369" t="str">
        <f ca="1">IF($B156&lt;&gt;"PRC_RESID","",IF(Q$7=2005+OFFSET(COM_2012!$B$60,$AW156,SUMIF($B$10:$B$16,"NCAP_TLIFE",$AX$10:$AX$16)),0,""))</f>
        <v/>
      </c>
      <c r="R156" s="369" t="str">
        <f ca="1">IF($B156&lt;&gt;"PRC_RESID","",IF(R$7=2005+OFFSET(COM_2012!$B$60,$AW156,SUMIF($B$10:$B$16,"NCAP_TLIFE",$AX$10:$AX$16)),0,""))</f>
        <v/>
      </c>
      <c r="S156" s="369" t="str">
        <f ca="1">IF($B156&lt;&gt;"PRC_RESID","",IF(S$7=2005+OFFSET(COM_2012!$B$60,$AW156,SUMIF($B$10:$B$16,"NCAP_TLIFE",$AX$10:$AX$16)),0,""))</f>
        <v/>
      </c>
      <c r="T156" s="369" t="str">
        <f ca="1">IF($B156&lt;&gt;"PRC_RESID","",IF(T$7=2005+OFFSET(COM_2012!$B$60,$AW156,SUMIF($B$10:$B$16,"NCAP_TLIFE",$AX$10:$AX$16)),0,""))</f>
        <v/>
      </c>
      <c r="U156" s="369" t="str">
        <f ca="1">IF($B156&lt;&gt;"PRC_RESID","",IF(U$7=2005+OFFSET(COM_2012!$B$60,$AW156,SUMIF($B$10:$B$16,"NCAP_TLIFE",$AX$10:$AX$16)),0,""))</f>
        <v/>
      </c>
      <c r="V156" s="369" t="str">
        <f ca="1">IF($B156&lt;&gt;"PRC_RESID","",IF(V$7=2005+OFFSET(COM_2012!$B$60,$AW156,SUMIF($B$10:$B$16,"NCAP_TLIFE",$AX$10:$AX$16)),0,""))</f>
        <v/>
      </c>
      <c r="W156" s="369" t="str">
        <f ca="1">IF($B156&lt;&gt;"PRC_RESID","",IF(W$7=2005+OFFSET(COM_2012!$B$60,$AW156,SUMIF($B$10:$B$16,"NCAP_TLIFE",$AX$10:$AX$16)),0,""))</f>
        <v/>
      </c>
      <c r="X156" s="369" t="str">
        <f ca="1">IF($B156&lt;&gt;"PRC_RESID","",IF(X$7=2005+OFFSET(COM_2012!$B$60,$AW156,SUMIF($B$10:$B$16,"NCAP_TLIFE",$AX$10:$AX$16)),0,""))</f>
        <v/>
      </c>
      <c r="Y156" s="369" t="str">
        <f ca="1">IF($B156&lt;&gt;"PRC_RESID","",IF(Y$7=2005+OFFSET(COM_2012!$B$60,$AW156,SUMIF($B$10:$B$16,"NCAP_TLIFE",$AX$10:$AX$16)),0,""))</f>
        <v/>
      </c>
      <c r="Z156" s="369" t="str">
        <f ca="1">IF($B156&lt;&gt;"PRC_RESID","",IF(Z$7=2005+OFFSET(COM_2012!$B$60,$AW156,SUMIF($B$10:$B$16,"NCAP_TLIFE",$AX$10:$AX$16)),0,""))</f>
        <v/>
      </c>
      <c r="AA156" s="369" t="str">
        <f ca="1">IF($B156&lt;&gt;"PRC_RESID","",IF(AA$7=2005+OFFSET(COM_2012!$B$60,$AW156,SUMIF($B$10:$B$16,"NCAP_TLIFE",$AX$10:$AX$16)),0,""))</f>
        <v/>
      </c>
      <c r="AB156" s="369" t="str">
        <f ca="1">IF($B156&lt;&gt;"PRC_RESID","",IF(AB$7=2005+OFFSET(COM_2012!$B$60,$AW156,SUMIF($B$10:$B$16,"NCAP_TLIFE",$AX$10:$AX$16)),0,""))</f>
        <v/>
      </c>
      <c r="AC156" s="369" t="str">
        <f ca="1">IF($B156&lt;&gt;"PRC_RESID","",IF(AC$7=2005+OFFSET(COM_2012!$B$60,$AW156,SUMIF($B$10:$B$16,"NCAP_TLIFE",$AX$10:$AX$16)),0,""))</f>
        <v/>
      </c>
      <c r="AD156" s="369" t="str">
        <f ca="1">IF($B156&lt;&gt;"PRC_RESID","",IF(AD$7=2005+OFFSET(COM_2012!$B$60,$AW156,SUMIF($B$10:$B$16,"NCAP_TLIFE",$AX$10:$AX$16)),0,""))</f>
        <v/>
      </c>
      <c r="AE156" s="369" t="str">
        <f ca="1">IF($B156&lt;&gt;"PRC_RESID","",IF(AE$7=2005+OFFSET(COM_2012!$B$60,$AW156,SUMIF($B$10:$B$16,"NCAP_TLIFE",$AX$10:$AX$16)),0,""))</f>
        <v/>
      </c>
      <c r="AF156" s="369" t="str">
        <f ca="1">IF($B156&lt;&gt;"PRC_RESID","",IF(AF$7=2005+OFFSET(COM_2012!$B$60,$AW156,SUMIF($B$10:$B$16,"NCAP_TLIFE",$AX$10:$AX$16)),0,""))</f>
        <v/>
      </c>
      <c r="AG156" s="369" t="str">
        <f ca="1">IF($B156&lt;&gt;"PRC_RESID","",IF(AG$7=2005+OFFSET(COM_2012!$B$60,$AW156,SUMIF($B$10:$B$16,"NCAP_TLIFE",$AX$10:$AX$16)),0,""))</f>
        <v/>
      </c>
      <c r="AH156" s="369" t="str">
        <f ca="1">IF($B156&lt;&gt;"PRC_RESID","",IF(AH$7=2005+OFFSET(COM_2012!$B$60,$AW156,SUMIF($B$10:$B$16,"NCAP_TLIFE",$AX$10:$AX$16)),0,""))</f>
        <v/>
      </c>
      <c r="AI156" s="369" t="str">
        <f ca="1">IF($B156&lt;&gt;"PRC_RESID","",IF(AI$7=2005+OFFSET(COM_2012!$B$60,$AW156,SUMIF($B$10:$B$16,"NCAP_TLIFE",$AX$10:$AX$16)),0,""))</f>
        <v/>
      </c>
      <c r="AJ156" s="369" t="str">
        <f ca="1">IF($B156&lt;&gt;"PRC_RESID","",IF(AJ$7=2005+OFFSET(COM_2012!$B$60,$AW156,SUMIF($B$10:$B$16,"NCAP_TLIFE",$AX$10:$AX$16)),0,""))</f>
        <v/>
      </c>
      <c r="AK156" s="369" t="str">
        <f ca="1">IF($B156&lt;&gt;"PRC_RESID","",IF(AK$7=2005+OFFSET(COM_2012!$B$60,$AW156,SUMIF($B$10:$B$16,"NCAP_TLIFE",$AX$10:$AX$16)),0,""))</f>
        <v/>
      </c>
      <c r="AL156" s="369" t="str">
        <f ca="1">IF($B156&lt;&gt;"PRC_RESID","",IF(AL$7=2005+OFFSET(COM_2012!$B$60,$AW156,SUMIF($B$10:$B$16,"NCAP_TLIFE",$AX$10:$AX$16)),0,""))</f>
        <v/>
      </c>
      <c r="AM156" s="369" t="str">
        <f ca="1">IF($B156&lt;&gt;"PRC_RESID","",IF(AM$7=2005+OFFSET(COM_2012!$B$60,$AW156,SUMIF($B$10:$B$16,"NCAP_TLIFE",$AX$10:$AX$16)),0,""))</f>
        <v/>
      </c>
      <c r="AN156" s="369" t="str">
        <f ca="1">IF($B156&lt;&gt;"PRC_RESID","",IF(AN$7=2005+OFFSET(COM_2012!$B$60,$AW156,SUMIF($B$10:$B$16,"NCAP_TLIFE",$AX$10:$AX$16)),0,""))</f>
        <v/>
      </c>
      <c r="AO156" s="369" t="str">
        <f ca="1">IF($B156&lt;&gt;"PRC_RESID","",IF(AO$7=2005+OFFSET(COM_2012!$B$60,$AW156,SUMIF($B$10:$B$16,"NCAP_TLIFE",$AX$10:$AX$16)),0,""))</f>
        <v/>
      </c>
      <c r="AP156" s="369" t="str">
        <f ca="1">IF($B156&lt;&gt;"PRC_RESID","",IF(AP$7=2005+OFFSET(COM_2012!$B$60,$AW156,SUMIF($B$10:$B$16,"NCAP_TLIFE",$AX$10:$AX$16)),0,""))</f>
        <v/>
      </c>
      <c r="AQ156" s="369" t="str">
        <f ca="1">IF($B156&lt;&gt;"PRC_RESID","",IF(AQ$7=2005+OFFSET(COM_2012!$B$60,$AW156,SUMIF($B$10:$B$16,"NCAP_TLIFE",$AX$10:$AX$16)),0,""))</f>
        <v/>
      </c>
      <c r="AR156" s="369" t="str">
        <f ca="1">IF($B156&lt;&gt;"PRC_RESID","",IF(AR$7=2005+OFFSET(COM_2012!$B$60,$AW156,SUMIF($B$10:$B$16,"NCAP_TLIFE",$AX$10:$AX$16)),0,""))</f>
        <v/>
      </c>
      <c r="AS156" s="369" t="str">
        <f ca="1">IF($B156&lt;&gt;"PRC_RESID","",IF(AS$7=2005+OFFSET(COM_2012!$B$60,$AW156,SUMIF($B$10:$B$16,"NCAP_TLIFE",$AX$10:$AX$16)),0,""))</f>
        <v/>
      </c>
      <c r="AT156" s="369" t="str">
        <f ca="1">IF($B156&lt;&gt;"PRC_RESID","",IF(AT$7=2005+OFFSET(COM_2012!$B$60,$AW156,SUMIF($B$10:$B$16,"NCAP_TLIFE",$AX$10:$AX$16)),0,""))</f>
        <v/>
      </c>
      <c r="AU156" s="369" t="str">
        <f ca="1">IF($B156&lt;&gt;"PRC_RESID","",IF(AU$7=2005+OFFSET(COM_2012!$B$60,$AW156,SUMIF($B$10:$B$16,"NCAP_TLIFE",$AX$10:$AX$16)),0,""))</f>
        <v/>
      </c>
      <c r="AV156" s="304">
        <f>IF(AW155=COM_2012!$AI$121,AV155+1,AV155)</f>
        <v>3</v>
      </c>
      <c r="AW156" s="304">
        <f t="shared" si="12"/>
        <v>7</v>
      </c>
    </row>
    <row r="157" spans="1:49">
      <c r="A157" s="304" t="str">
        <f ca="1">IF(LEFT(OFFSET(COM_2012!$A$60,AW157,0),2)="\I","*","")</f>
        <v>*</v>
      </c>
      <c r="B157" s="369" t="str">
        <f t="shared" ca="1" si="16"/>
        <v/>
      </c>
      <c r="C157" s="369" t="str">
        <f ca="1">IF($A157="*","",OFFSET(COM_2012!$B$60,AW157,0))</f>
        <v/>
      </c>
      <c r="D157" s="369" t="str">
        <f t="shared" ca="1" si="15"/>
        <v/>
      </c>
      <c r="E157" s="369" t="str">
        <f t="shared" ca="1" si="15"/>
        <v/>
      </c>
      <c r="F157" s="369" t="str">
        <f t="shared" ca="1" si="15"/>
        <v/>
      </c>
      <c r="G157" s="369" t="str">
        <f t="shared" ca="1" si="15"/>
        <v/>
      </c>
      <c r="H157" s="369" t="str">
        <f t="shared" ca="1" si="15"/>
        <v/>
      </c>
      <c r="I157" s="370" t="str">
        <f t="shared" ca="1" si="15"/>
        <v/>
      </c>
      <c r="J157" s="391" t="str">
        <f ca="1">IF($A157="*","",OFFSET(COM_2012!$B$60,AW157,SUMIF($B$10:$B$16,B157,$AX$10:$AX$16)))</f>
        <v/>
      </c>
      <c r="K157" s="369" t="str">
        <f ca="1">IF($B157&lt;&gt;"PRC_RESID","",IF(K$7=2005+OFFSET(COM_2012!$B$60,$AW157,SUMIF($B$10:$B$16,"NCAP_TLIFE",$AX$10:$AX$16)),0,""))</f>
        <v/>
      </c>
      <c r="L157" s="369" t="str">
        <f ca="1">IF($B157&lt;&gt;"PRC_RESID","",IF(L$7=2005+OFFSET(COM_2012!$B$60,$AW157,SUMIF($B$10:$B$16,"NCAP_TLIFE",$AX$10:$AX$16)),0,""))</f>
        <v/>
      </c>
      <c r="M157" s="369" t="str">
        <f ca="1">IF($B157&lt;&gt;"PRC_RESID","",IF(M$7=2005+OFFSET(COM_2012!$B$60,$AW157,SUMIF($B$10:$B$16,"NCAP_TLIFE",$AX$10:$AX$16)),0,""))</f>
        <v/>
      </c>
      <c r="N157" s="369" t="str">
        <f ca="1">IF($B157&lt;&gt;"PRC_RESID","",IF(N$7=2005+OFFSET(COM_2012!$B$60,$AW157,SUMIF($B$10:$B$16,"NCAP_TLIFE",$AX$10:$AX$16)),0,""))</f>
        <v/>
      </c>
      <c r="O157" s="658" t="str">
        <f ca="1">IF($B157&lt;&gt;"PRC_RESID","",IF(O$7=2005+OFFSET(COM_2012!$B$60,$AW157,SUMIF($B$10:$B$16,"NCAP_TLIFE",$AX$10:$AX$16)),0,""))</f>
        <v/>
      </c>
      <c r="P157" s="369" t="str">
        <f ca="1">IF($B157&lt;&gt;"PRC_RESID","",IF(P$7=2005+OFFSET(COM_2012!$B$60,$AW157,SUMIF($B$10:$B$16,"NCAP_TLIFE",$AX$10:$AX$16)),0,""))</f>
        <v/>
      </c>
      <c r="Q157" s="369" t="str">
        <f ca="1">IF($B157&lt;&gt;"PRC_RESID","",IF(Q$7=2005+OFFSET(COM_2012!$B$60,$AW157,SUMIF($B$10:$B$16,"NCAP_TLIFE",$AX$10:$AX$16)),0,""))</f>
        <v/>
      </c>
      <c r="R157" s="369" t="str">
        <f ca="1">IF($B157&lt;&gt;"PRC_RESID","",IF(R$7=2005+OFFSET(COM_2012!$B$60,$AW157,SUMIF($B$10:$B$16,"NCAP_TLIFE",$AX$10:$AX$16)),0,""))</f>
        <v/>
      </c>
      <c r="S157" s="369" t="str">
        <f ca="1">IF($B157&lt;&gt;"PRC_RESID","",IF(S$7=2005+OFFSET(COM_2012!$B$60,$AW157,SUMIF($B$10:$B$16,"NCAP_TLIFE",$AX$10:$AX$16)),0,""))</f>
        <v/>
      </c>
      <c r="T157" s="369" t="str">
        <f ca="1">IF($B157&lt;&gt;"PRC_RESID","",IF(T$7=2005+OFFSET(COM_2012!$B$60,$AW157,SUMIF($B$10:$B$16,"NCAP_TLIFE",$AX$10:$AX$16)),0,""))</f>
        <v/>
      </c>
      <c r="U157" s="369" t="str">
        <f ca="1">IF($B157&lt;&gt;"PRC_RESID","",IF(U$7=2005+OFFSET(COM_2012!$B$60,$AW157,SUMIF($B$10:$B$16,"NCAP_TLIFE",$AX$10:$AX$16)),0,""))</f>
        <v/>
      </c>
      <c r="V157" s="369" t="str">
        <f ca="1">IF($B157&lt;&gt;"PRC_RESID","",IF(V$7=2005+OFFSET(COM_2012!$B$60,$AW157,SUMIF($B$10:$B$16,"NCAP_TLIFE",$AX$10:$AX$16)),0,""))</f>
        <v/>
      </c>
      <c r="W157" s="369" t="str">
        <f ca="1">IF($B157&lt;&gt;"PRC_RESID","",IF(W$7=2005+OFFSET(COM_2012!$B$60,$AW157,SUMIF($B$10:$B$16,"NCAP_TLIFE",$AX$10:$AX$16)),0,""))</f>
        <v/>
      </c>
      <c r="X157" s="369" t="str">
        <f ca="1">IF($B157&lt;&gt;"PRC_RESID","",IF(X$7=2005+OFFSET(COM_2012!$B$60,$AW157,SUMIF($B$10:$B$16,"NCAP_TLIFE",$AX$10:$AX$16)),0,""))</f>
        <v/>
      </c>
      <c r="Y157" s="369" t="str">
        <f ca="1">IF($B157&lt;&gt;"PRC_RESID","",IF(Y$7=2005+OFFSET(COM_2012!$B$60,$AW157,SUMIF($B$10:$B$16,"NCAP_TLIFE",$AX$10:$AX$16)),0,""))</f>
        <v/>
      </c>
      <c r="Z157" s="369" t="str">
        <f ca="1">IF($B157&lt;&gt;"PRC_RESID","",IF(Z$7=2005+OFFSET(COM_2012!$B$60,$AW157,SUMIF($B$10:$B$16,"NCAP_TLIFE",$AX$10:$AX$16)),0,""))</f>
        <v/>
      </c>
      <c r="AA157" s="369" t="str">
        <f ca="1">IF($B157&lt;&gt;"PRC_RESID","",IF(AA$7=2005+OFFSET(COM_2012!$B$60,$AW157,SUMIF($B$10:$B$16,"NCAP_TLIFE",$AX$10:$AX$16)),0,""))</f>
        <v/>
      </c>
      <c r="AB157" s="369" t="str">
        <f ca="1">IF($B157&lt;&gt;"PRC_RESID","",IF(AB$7=2005+OFFSET(COM_2012!$B$60,$AW157,SUMIF($B$10:$B$16,"NCAP_TLIFE",$AX$10:$AX$16)),0,""))</f>
        <v/>
      </c>
      <c r="AC157" s="369" t="str">
        <f ca="1">IF($B157&lt;&gt;"PRC_RESID","",IF(AC$7=2005+OFFSET(COM_2012!$B$60,$AW157,SUMIF($B$10:$B$16,"NCAP_TLIFE",$AX$10:$AX$16)),0,""))</f>
        <v/>
      </c>
      <c r="AD157" s="369" t="str">
        <f ca="1">IF($B157&lt;&gt;"PRC_RESID","",IF(AD$7=2005+OFFSET(COM_2012!$B$60,$AW157,SUMIF($B$10:$B$16,"NCAP_TLIFE",$AX$10:$AX$16)),0,""))</f>
        <v/>
      </c>
      <c r="AE157" s="369" t="str">
        <f ca="1">IF($B157&lt;&gt;"PRC_RESID","",IF(AE$7=2005+OFFSET(COM_2012!$B$60,$AW157,SUMIF($B$10:$B$16,"NCAP_TLIFE",$AX$10:$AX$16)),0,""))</f>
        <v/>
      </c>
      <c r="AF157" s="369" t="str">
        <f ca="1">IF($B157&lt;&gt;"PRC_RESID","",IF(AF$7=2005+OFFSET(COM_2012!$B$60,$AW157,SUMIF($B$10:$B$16,"NCAP_TLIFE",$AX$10:$AX$16)),0,""))</f>
        <v/>
      </c>
      <c r="AG157" s="369" t="str">
        <f ca="1">IF($B157&lt;&gt;"PRC_RESID","",IF(AG$7=2005+OFFSET(COM_2012!$B$60,$AW157,SUMIF($B$10:$B$16,"NCAP_TLIFE",$AX$10:$AX$16)),0,""))</f>
        <v/>
      </c>
      <c r="AH157" s="369" t="str">
        <f ca="1">IF($B157&lt;&gt;"PRC_RESID","",IF(AH$7=2005+OFFSET(COM_2012!$B$60,$AW157,SUMIF($B$10:$B$16,"NCAP_TLIFE",$AX$10:$AX$16)),0,""))</f>
        <v/>
      </c>
      <c r="AI157" s="369" t="str">
        <f ca="1">IF($B157&lt;&gt;"PRC_RESID","",IF(AI$7=2005+OFFSET(COM_2012!$B$60,$AW157,SUMIF($B$10:$B$16,"NCAP_TLIFE",$AX$10:$AX$16)),0,""))</f>
        <v/>
      </c>
      <c r="AJ157" s="369" t="str">
        <f ca="1">IF($B157&lt;&gt;"PRC_RESID","",IF(AJ$7=2005+OFFSET(COM_2012!$B$60,$AW157,SUMIF($B$10:$B$16,"NCAP_TLIFE",$AX$10:$AX$16)),0,""))</f>
        <v/>
      </c>
      <c r="AK157" s="369" t="str">
        <f ca="1">IF($B157&lt;&gt;"PRC_RESID","",IF(AK$7=2005+OFFSET(COM_2012!$B$60,$AW157,SUMIF($B$10:$B$16,"NCAP_TLIFE",$AX$10:$AX$16)),0,""))</f>
        <v/>
      </c>
      <c r="AL157" s="369" t="str">
        <f ca="1">IF($B157&lt;&gt;"PRC_RESID","",IF(AL$7=2005+OFFSET(COM_2012!$B$60,$AW157,SUMIF($B$10:$B$16,"NCAP_TLIFE",$AX$10:$AX$16)),0,""))</f>
        <v/>
      </c>
      <c r="AM157" s="369" t="str">
        <f ca="1">IF($B157&lt;&gt;"PRC_RESID","",IF(AM$7=2005+OFFSET(COM_2012!$B$60,$AW157,SUMIF($B$10:$B$16,"NCAP_TLIFE",$AX$10:$AX$16)),0,""))</f>
        <v/>
      </c>
      <c r="AN157" s="369" t="str">
        <f ca="1">IF($B157&lt;&gt;"PRC_RESID","",IF(AN$7=2005+OFFSET(COM_2012!$B$60,$AW157,SUMIF($B$10:$B$16,"NCAP_TLIFE",$AX$10:$AX$16)),0,""))</f>
        <v/>
      </c>
      <c r="AO157" s="369" t="str">
        <f ca="1">IF($B157&lt;&gt;"PRC_RESID","",IF(AO$7=2005+OFFSET(COM_2012!$B$60,$AW157,SUMIF($B$10:$B$16,"NCAP_TLIFE",$AX$10:$AX$16)),0,""))</f>
        <v/>
      </c>
      <c r="AP157" s="369" t="str">
        <f ca="1">IF($B157&lt;&gt;"PRC_RESID","",IF(AP$7=2005+OFFSET(COM_2012!$B$60,$AW157,SUMIF($B$10:$B$16,"NCAP_TLIFE",$AX$10:$AX$16)),0,""))</f>
        <v/>
      </c>
      <c r="AQ157" s="369" t="str">
        <f ca="1">IF($B157&lt;&gt;"PRC_RESID","",IF(AQ$7=2005+OFFSET(COM_2012!$B$60,$AW157,SUMIF($B$10:$B$16,"NCAP_TLIFE",$AX$10:$AX$16)),0,""))</f>
        <v/>
      </c>
      <c r="AR157" s="369" t="str">
        <f ca="1">IF($B157&lt;&gt;"PRC_RESID","",IF(AR$7=2005+OFFSET(COM_2012!$B$60,$AW157,SUMIF($B$10:$B$16,"NCAP_TLIFE",$AX$10:$AX$16)),0,""))</f>
        <v/>
      </c>
      <c r="AS157" s="369" t="str">
        <f ca="1">IF($B157&lt;&gt;"PRC_RESID","",IF(AS$7=2005+OFFSET(COM_2012!$B$60,$AW157,SUMIF($B$10:$B$16,"NCAP_TLIFE",$AX$10:$AX$16)),0,""))</f>
        <v/>
      </c>
      <c r="AT157" s="369" t="str">
        <f ca="1">IF($B157&lt;&gt;"PRC_RESID","",IF(AT$7=2005+OFFSET(COM_2012!$B$60,$AW157,SUMIF($B$10:$B$16,"NCAP_TLIFE",$AX$10:$AX$16)),0,""))</f>
        <v/>
      </c>
      <c r="AU157" s="369" t="str">
        <f ca="1">IF($B157&lt;&gt;"PRC_RESID","",IF(AU$7=2005+OFFSET(COM_2012!$B$60,$AW157,SUMIF($B$10:$B$16,"NCAP_TLIFE",$AX$10:$AX$16)),0,""))</f>
        <v/>
      </c>
      <c r="AV157" s="304">
        <f>IF(AW156=COM_2012!$AI$121,AV156+1,AV156)</f>
        <v>3</v>
      </c>
      <c r="AW157" s="304">
        <f t="shared" si="12"/>
        <v>8</v>
      </c>
    </row>
    <row r="158" spans="1:49">
      <c r="A158" s="304" t="str">
        <f ca="1">IF(LEFT(OFFSET(COM_2012!$A$60,AW158,0),2)="\I","*","")</f>
        <v/>
      </c>
      <c r="B158" s="369" t="str">
        <f t="shared" ca="1" si="16"/>
        <v>NCAP_TLIFE</v>
      </c>
      <c r="C158" s="369" t="str">
        <f ca="1">IF($A158="*","",OFFSET(COM_2012!$B$60,AW158,0))</f>
        <v>CEHCOA-E</v>
      </c>
      <c r="D158" s="369" t="str">
        <f t="shared" ca="1" si="15"/>
        <v>-</v>
      </c>
      <c r="E158" s="369" t="str">
        <f t="shared" ca="1" si="15"/>
        <v>-</v>
      </c>
      <c r="F158" s="369" t="str">
        <f t="shared" ca="1" si="15"/>
        <v>-</v>
      </c>
      <c r="G158" s="369" t="str">
        <f t="shared" ca="1" si="15"/>
        <v>-</v>
      </c>
      <c r="H158" s="369" t="str">
        <f t="shared" ca="1" si="15"/>
        <v>-</v>
      </c>
      <c r="I158" s="370">
        <f t="shared" ca="1" si="15"/>
        <v>0</v>
      </c>
      <c r="J158" s="391">
        <f ca="1">IF($A158="*","",OFFSET(COM_2012!$B$60,AW158,SUMIF($B$10:$B$16,B158,$AX$10:$AX$16)))</f>
        <v>15</v>
      </c>
      <c r="K158" s="369" t="str">
        <f ca="1">IF($B158&lt;&gt;"PRC_RESID","",IF(K$7=2005+OFFSET(COM_2012!$B$60,$AW158,SUMIF($B$10:$B$16,"NCAP_TLIFE",$AX$10:$AX$16)),0,""))</f>
        <v/>
      </c>
      <c r="L158" s="369" t="str">
        <f ca="1">IF($B158&lt;&gt;"PRC_RESID","",IF(L$7=2005+OFFSET(COM_2012!$B$60,$AW158,SUMIF($B$10:$B$16,"NCAP_TLIFE",$AX$10:$AX$16)),0,""))</f>
        <v/>
      </c>
      <c r="M158" s="369" t="str">
        <f ca="1">IF($B158&lt;&gt;"PRC_RESID","",IF(M$7=2005+OFFSET(COM_2012!$B$60,$AW158,SUMIF($B$10:$B$16,"NCAP_TLIFE",$AX$10:$AX$16)),0,""))</f>
        <v/>
      </c>
      <c r="N158" s="369" t="str">
        <f ca="1">IF($B158&lt;&gt;"PRC_RESID","",IF(N$7=2005+OFFSET(COM_2012!$B$60,$AW158,SUMIF($B$10:$B$16,"NCAP_TLIFE",$AX$10:$AX$16)),0,""))</f>
        <v/>
      </c>
      <c r="O158" s="658" t="str">
        <f ca="1">IF($B158&lt;&gt;"PRC_RESID","",IF(O$7=2005+OFFSET(COM_2012!$B$60,$AW158,SUMIF($B$10:$B$16,"NCAP_TLIFE",$AX$10:$AX$16)),0,""))</f>
        <v/>
      </c>
      <c r="P158" s="369" t="str">
        <f ca="1">IF($B158&lt;&gt;"PRC_RESID","",IF(P$7=2005+OFFSET(COM_2012!$B$60,$AW158,SUMIF($B$10:$B$16,"NCAP_TLIFE",$AX$10:$AX$16)),0,""))</f>
        <v/>
      </c>
      <c r="Q158" s="369" t="str">
        <f ca="1">IF($B158&lt;&gt;"PRC_RESID","",IF(Q$7=2005+OFFSET(COM_2012!$B$60,$AW158,SUMIF($B$10:$B$16,"NCAP_TLIFE",$AX$10:$AX$16)),0,""))</f>
        <v/>
      </c>
      <c r="R158" s="369" t="str">
        <f ca="1">IF($B158&lt;&gt;"PRC_RESID","",IF(R$7=2005+OFFSET(COM_2012!$B$60,$AW158,SUMIF($B$10:$B$16,"NCAP_TLIFE",$AX$10:$AX$16)),0,""))</f>
        <v/>
      </c>
      <c r="S158" s="369" t="str">
        <f ca="1">IF($B158&lt;&gt;"PRC_RESID","",IF(S$7=2005+OFFSET(COM_2012!$B$60,$AW158,SUMIF($B$10:$B$16,"NCAP_TLIFE",$AX$10:$AX$16)),0,""))</f>
        <v/>
      </c>
      <c r="T158" s="369" t="str">
        <f ca="1">IF($B158&lt;&gt;"PRC_RESID","",IF(T$7=2005+OFFSET(COM_2012!$B$60,$AW158,SUMIF($B$10:$B$16,"NCAP_TLIFE",$AX$10:$AX$16)),0,""))</f>
        <v/>
      </c>
      <c r="U158" s="369" t="str">
        <f ca="1">IF($B158&lt;&gt;"PRC_RESID","",IF(U$7=2005+OFFSET(COM_2012!$B$60,$AW158,SUMIF($B$10:$B$16,"NCAP_TLIFE",$AX$10:$AX$16)),0,""))</f>
        <v/>
      </c>
      <c r="V158" s="369" t="str">
        <f ca="1">IF($B158&lt;&gt;"PRC_RESID","",IF(V$7=2005+OFFSET(COM_2012!$B$60,$AW158,SUMIF($B$10:$B$16,"NCAP_TLIFE",$AX$10:$AX$16)),0,""))</f>
        <v/>
      </c>
      <c r="W158" s="369" t="str">
        <f ca="1">IF($B158&lt;&gt;"PRC_RESID","",IF(W$7=2005+OFFSET(COM_2012!$B$60,$AW158,SUMIF($B$10:$B$16,"NCAP_TLIFE",$AX$10:$AX$16)),0,""))</f>
        <v/>
      </c>
      <c r="X158" s="369" t="str">
        <f ca="1">IF($B158&lt;&gt;"PRC_RESID","",IF(X$7=2005+OFFSET(COM_2012!$B$60,$AW158,SUMIF($B$10:$B$16,"NCAP_TLIFE",$AX$10:$AX$16)),0,""))</f>
        <v/>
      </c>
      <c r="Y158" s="369" t="str">
        <f ca="1">IF($B158&lt;&gt;"PRC_RESID","",IF(Y$7=2005+OFFSET(COM_2012!$B$60,$AW158,SUMIF($B$10:$B$16,"NCAP_TLIFE",$AX$10:$AX$16)),0,""))</f>
        <v/>
      </c>
      <c r="Z158" s="369" t="str">
        <f ca="1">IF($B158&lt;&gt;"PRC_RESID","",IF(Z$7=2005+OFFSET(COM_2012!$B$60,$AW158,SUMIF($B$10:$B$16,"NCAP_TLIFE",$AX$10:$AX$16)),0,""))</f>
        <v/>
      </c>
      <c r="AA158" s="369" t="str">
        <f ca="1">IF($B158&lt;&gt;"PRC_RESID","",IF(AA$7=2005+OFFSET(COM_2012!$B$60,$AW158,SUMIF($B$10:$B$16,"NCAP_TLIFE",$AX$10:$AX$16)),0,""))</f>
        <v/>
      </c>
      <c r="AB158" s="369" t="str">
        <f ca="1">IF($B158&lt;&gt;"PRC_RESID","",IF(AB$7=2005+OFFSET(COM_2012!$B$60,$AW158,SUMIF($B$10:$B$16,"NCAP_TLIFE",$AX$10:$AX$16)),0,""))</f>
        <v/>
      </c>
      <c r="AC158" s="369" t="str">
        <f ca="1">IF($B158&lt;&gt;"PRC_RESID","",IF(AC$7=2005+OFFSET(COM_2012!$B$60,$AW158,SUMIF($B$10:$B$16,"NCAP_TLIFE",$AX$10:$AX$16)),0,""))</f>
        <v/>
      </c>
      <c r="AD158" s="369" t="str">
        <f ca="1">IF($B158&lt;&gt;"PRC_RESID","",IF(AD$7=2005+OFFSET(COM_2012!$B$60,$AW158,SUMIF($B$10:$B$16,"NCAP_TLIFE",$AX$10:$AX$16)),0,""))</f>
        <v/>
      </c>
      <c r="AE158" s="369" t="str">
        <f ca="1">IF($B158&lt;&gt;"PRC_RESID","",IF(AE$7=2005+OFFSET(COM_2012!$B$60,$AW158,SUMIF($B$10:$B$16,"NCAP_TLIFE",$AX$10:$AX$16)),0,""))</f>
        <v/>
      </c>
      <c r="AF158" s="369" t="str">
        <f ca="1">IF($B158&lt;&gt;"PRC_RESID","",IF(AF$7=2005+OFFSET(COM_2012!$B$60,$AW158,SUMIF($B$10:$B$16,"NCAP_TLIFE",$AX$10:$AX$16)),0,""))</f>
        <v/>
      </c>
      <c r="AG158" s="369" t="str">
        <f ca="1">IF($B158&lt;&gt;"PRC_RESID","",IF(AG$7=2005+OFFSET(COM_2012!$B$60,$AW158,SUMIF($B$10:$B$16,"NCAP_TLIFE",$AX$10:$AX$16)),0,""))</f>
        <v/>
      </c>
      <c r="AH158" s="369" t="str">
        <f ca="1">IF($B158&lt;&gt;"PRC_RESID","",IF(AH$7=2005+OFFSET(COM_2012!$B$60,$AW158,SUMIF($B$10:$B$16,"NCAP_TLIFE",$AX$10:$AX$16)),0,""))</f>
        <v/>
      </c>
      <c r="AI158" s="369" t="str">
        <f ca="1">IF($B158&lt;&gt;"PRC_RESID","",IF(AI$7=2005+OFFSET(COM_2012!$B$60,$AW158,SUMIF($B$10:$B$16,"NCAP_TLIFE",$AX$10:$AX$16)),0,""))</f>
        <v/>
      </c>
      <c r="AJ158" s="369" t="str">
        <f ca="1">IF($B158&lt;&gt;"PRC_RESID","",IF(AJ$7=2005+OFFSET(COM_2012!$B$60,$AW158,SUMIF($B$10:$B$16,"NCAP_TLIFE",$AX$10:$AX$16)),0,""))</f>
        <v/>
      </c>
      <c r="AK158" s="369" t="str">
        <f ca="1">IF($B158&lt;&gt;"PRC_RESID","",IF(AK$7=2005+OFFSET(COM_2012!$B$60,$AW158,SUMIF($B$10:$B$16,"NCAP_TLIFE",$AX$10:$AX$16)),0,""))</f>
        <v/>
      </c>
      <c r="AL158" s="369" t="str">
        <f ca="1">IF($B158&lt;&gt;"PRC_RESID","",IF(AL$7=2005+OFFSET(COM_2012!$B$60,$AW158,SUMIF($B$10:$B$16,"NCAP_TLIFE",$AX$10:$AX$16)),0,""))</f>
        <v/>
      </c>
      <c r="AM158" s="369" t="str">
        <f ca="1">IF($B158&lt;&gt;"PRC_RESID","",IF(AM$7=2005+OFFSET(COM_2012!$B$60,$AW158,SUMIF($B$10:$B$16,"NCAP_TLIFE",$AX$10:$AX$16)),0,""))</f>
        <v/>
      </c>
      <c r="AN158" s="369" t="str">
        <f ca="1">IF($B158&lt;&gt;"PRC_RESID","",IF(AN$7=2005+OFFSET(COM_2012!$B$60,$AW158,SUMIF($B$10:$B$16,"NCAP_TLIFE",$AX$10:$AX$16)),0,""))</f>
        <v/>
      </c>
      <c r="AO158" s="369" t="str">
        <f ca="1">IF($B158&lt;&gt;"PRC_RESID","",IF(AO$7=2005+OFFSET(COM_2012!$B$60,$AW158,SUMIF($B$10:$B$16,"NCAP_TLIFE",$AX$10:$AX$16)),0,""))</f>
        <v/>
      </c>
      <c r="AP158" s="369" t="str">
        <f ca="1">IF($B158&lt;&gt;"PRC_RESID","",IF(AP$7=2005+OFFSET(COM_2012!$B$60,$AW158,SUMIF($B$10:$B$16,"NCAP_TLIFE",$AX$10:$AX$16)),0,""))</f>
        <v/>
      </c>
      <c r="AQ158" s="369" t="str">
        <f ca="1">IF($B158&lt;&gt;"PRC_RESID","",IF(AQ$7=2005+OFFSET(COM_2012!$B$60,$AW158,SUMIF($B$10:$B$16,"NCAP_TLIFE",$AX$10:$AX$16)),0,""))</f>
        <v/>
      </c>
      <c r="AR158" s="369" t="str">
        <f ca="1">IF($B158&lt;&gt;"PRC_RESID","",IF(AR$7=2005+OFFSET(COM_2012!$B$60,$AW158,SUMIF($B$10:$B$16,"NCAP_TLIFE",$AX$10:$AX$16)),0,""))</f>
        <v/>
      </c>
      <c r="AS158" s="369" t="str">
        <f ca="1">IF($B158&lt;&gt;"PRC_RESID","",IF(AS$7=2005+OFFSET(COM_2012!$B$60,$AW158,SUMIF($B$10:$B$16,"NCAP_TLIFE",$AX$10:$AX$16)),0,""))</f>
        <v/>
      </c>
      <c r="AT158" s="369" t="str">
        <f ca="1">IF($B158&lt;&gt;"PRC_RESID","",IF(AT$7=2005+OFFSET(COM_2012!$B$60,$AW158,SUMIF($B$10:$B$16,"NCAP_TLIFE",$AX$10:$AX$16)),0,""))</f>
        <v/>
      </c>
      <c r="AU158" s="369" t="str">
        <f ca="1">IF($B158&lt;&gt;"PRC_RESID","",IF(AU$7=2005+OFFSET(COM_2012!$B$60,$AW158,SUMIF($B$10:$B$16,"NCAP_TLIFE",$AX$10:$AX$16)),0,""))</f>
        <v/>
      </c>
      <c r="AV158" s="304">
        <f>IF(AW157=COM_2012!$AI$121,AV157+1,AV157)</f>
        <v>3</v>
      </c>
      <c r="AW158" s="304">
        <f t="shared" si="12"/>
        <v>9</v>
      </c>
    </row>
    <row r="159" spans="1:49">
      <c r="A159" s="304" t="str">
        <f ca="1">IF(LEFT(OFFSET(COM_2012!$A$60,AW159,0),2)="\I","*","")</f>
        <v/>
      </c>
      <c r="B159" s="369" t="str">
        <f t="shared" ca="1" si="16"/>
        <v>NCAP_TLIFE</v>
      </c>
      <c r="C159" s="369" t="str">
        <f ca="1">IF($A159="*","",OFFSET(COM_2012!$B$60,AW159,0))</f>
        <v>CEHELC-E</v>
      </c>
      <c r="D159" s="369" t="str">
        <f t="shared" ca="1" si="15"/>
        <v>-</v>
      </c>
      <c r="E159" s="369" t="str">
        <f t="shared" ca="1" si="15"/>
        <v>-</v>
      </c>
      <c r="F159" s="369" t="str">
        <f t="shared" ca="1" si="15"/>
        <v>-</v>
      </c>
      <c r="G159" s="369" t="str">
        <f t="shared" ca="1" si="15"/>
        <v>-</v>
      </c>
      <c r="H159" s="369" t="str">
        <f t="shared" ca="1" si="15"/>
        <v>-</v>
      </c>
      <c r="I159" s="370">
        <f t="shared" ca="1" si="15"/>
        <v>0</v>
      </c>
      <c r="J159" s="391">
        <f ca="1">IF($A159="*","",OFFSET(COM_2012!$B$60,AW159,SUMIF($B$10:$B$16,B159,$AX$10:$AX$16)))</f>
        <v>15</v>
      </c>
      <c r="K159" s="369" t="str">
        <f ca="1">IF($B159&lt;&gt;"PRC_RESID","",IF(K$7=2005+OFFSET(COM_2012!$B$60,$AW159,SUMIF($B$10:$B$16,"NCAP_TLIFE",$AX$10:$AX$16)),0,""))</f>
        <v/>
      </c>
      <c r="L159" s="369" t="str">
        <f ca="1">IF($B159&lt;&gt;"PRC_RESID","",IF(L$7=2005+OFFSET(COM_2012!$B$60,$AW159,SUMIF($B$10:$B$16,"NCAP_TLIFE",$AX$10:$AX$16)),0,""))</f>
        <v/>
      </c>
      <c r="M159" s="369" t="str">
        <f ca="1">IF($B159&lt;&gt;"PRC_RESID","",IF(M$7=2005+OFFSET(COM_2012!$B$60,$AW159,SUMIF($B$10:$B$16,"NCAP_TLIFE",$AX$10:$AX$16)),0,""))</f>
        <v/>
      </c>
      <c r="N159" s="369" t="str">
        <f ca="1">IF($B159&lt;&gt;"PRC_RESID","",IF(N$7=2005+OFFSET(COM_2012!$B$60,$AW159,SUMIF($B$10:$B$16,"NCAP_TLIFE",$AX$10:$AX$16)),0,""))</f>
        <v/>
      </c>
      <c r="O159" s="658" t="str">
        <f ca="1">IF($B159&lt;&gt;"PRC_RESID","",IF(O$7=2005+OFFSET(COM_2012!$B$60,$AW159,SUMIF($B$10:$B$16,"NCAP_TLIFE",$AX$10:$AX$16)),0,""))</f>
        <v/>
      </c>
      <c r="P159" s="369" t="str">
        <f ca="1">IF($B159&lt;&gt;"PRC_RESID","",IF(P$7=2005+OFFSET(COM_2012!$B$60,$AW159,SUMIF($B$10:$B$16,"NCAP_TLIFE",$AX$10:$AX$16)),0,""))</f>
        <v/>
      </c>
      <c r="Q159" s="369" t="str">
        <f ca="1">IF($B159&lt;&gt;"PRC_RESID","",IF(Q$7=2005+OFFSET(COM_2012!$B$60,$AW159,SUMIF($B$10:$B$16,"NCAP_TLIFE",$AX$10:$AX$16)),0,""))</f>
        <v/>
      </c>
      <c r="R159" s="369" t="str">
        <f ca="1">IF($B159&lt;&gt;"PRC_RESID","",IF(R$7=2005+OFFSET(COM_2012!$B$60,$AW159,SUMIF($B$10:$B$16,"NCAP_TLIFE",$AX$10:$AX$16)),0,""))</f>
        <v/>
      </c>
      <c r="S159" s="369" t="str">
        <f ca="1">IF($B159&lt;&gt;"PRC_RESID","",IF(S$7=2005+OFFSET(COM_2012!$B$60,$AW159,SUMIF($B$10:$B$16,"NCAP_TLIFE",$AX$10:$AX$16)),0,""))</f>
        <v/>
      </c>
      <c r="T159" s="369" t="str">
        <f ca="1">IF($B159&lt;&gt;"PRC_RESID","",IF(T$7=2005+OFFSET(COM_2012!$B$60,$AW159,SUMIF($B$10:$B$16,"NCAP_TLIFE",$AX$10:$AX$16)),0,""))</f>
        <v/>
      </c>
      <c r="U159" s="369" t="str">
        <f ca="1">IF($B159&lt;&gt;"PRC_RESID","",IF(U$7=2005+OFFSET(COM_2012!$B$60,$AW159,SUMIF($B$10:$B$16,"NCAP_TLIFE",$AX$10:$AX$16)),0,""))</f>
        <v/>
      </c>
      <c r="V159" s="369" t="str">
        <f ca="1">IF($B159&lt;&gt;"PRC_RESID","",IF(V$7=2005+OFFSET(COM_2012!$B$60,$AW159,SUMIF($B$10:$B$16,"NCAP_TLIFE",$AX$10:$AX$16)),0,""))</f>
        <v/>
      </c>
      <c r="W159" s="369" t="str">
        <f ca="1">IF($B159&lt;&gt;"PRC_RESID","",IF(W$7=2005+OFFSET(COM_2012!$B$60,$AW159,SUMIF($B$10:$B$16,"NCAP_TLIFE",$AX$10:$AX$16)),0,""))</f>
        <v/>
      </c>
      <c r="X159" s="369" t="str">
        <f ca="1">IF($B159&lt;&gt;"PRC_RESID","",IF(X$7=2005+OFFSET(COM_2012!$B$60,$AW159,SUMIF($B$10:$B$16,"NCAP_TLIFE",$AX$10:$AX$16)),0,""))</f>
        <v/>
      </c>
      <c r="Y159" s="369" t="str">
        <f ca="1">IF($B159&lt;&gt;"PRC_RESID","",IF(Y$7=2005+OFFSET(COM_2012!$B$60,$AW159,SUMIF($B$10:$B$16,"NCAP_TLIFE",$AX$10:$AX$16)),0,""))</f>
        <v/>
      </c>
      <c r="Z159" s="369" t="str">
        <f ca="1">IF($B159&lt;&gt;"PRC_RESID","",IF(Z$7=2005+OFFSET(COM_2012!$B$60,$AW159,SUMIF($B$10:$B$16,"NCAP_TLIFE",$AX$10:$AX$16)),0,""))</f>
        <v/>
      </c>
      <c r="AA159" s="369" t="str">
        <f ca="1">IF($B159&lt;&gt;"PRC_RESID","",IF(AA$7=2005+OFFSET(COM_2012!$B$60,$AW159,SUMIF($B$10:$B$16,"NCAP_TLIFE",$AX$10:$AX$16)),0,""))</f>
        <v/>
      </c>
      <c r="AB159" s="369" t="str">
        <f ca="1">IF($B159&lt;&gt;"PRC_RESID","",IF(AB$7=2005+OFFSET(COM_2012!$B$60,$AW159,SUMIF($B$10:$B$16,"NCAP_TLIFE",$AX$10:$AX$16)),0,""))</f>
        <v/>
      </c>
      <c r="AC159" s="369" t="str">
        <f ca="1">IF($B159&lt;&gt;"PRC_RESID","",IF(AC$7=2005+OFFSET(COM_2012!$B$60,$AW159,SUMIF($B$10:$B$16,"NCAP_TLIFE",$AX$10:$AX$16)),0,""))</f>
        <v/>
      </c>
      <c r="AD159" s="369" t="str">
        <f ca="1">IF($B159&lt;&gt;"PRC_RESID","",IF(AD$7=2005+OFFSET(COM_2012!$B$60,$AW159,SUMIF($B$10:$B$16,"NCAP_TLIFE",$AX$10:$AX$16)),0,""))</f>
        <v/>
      </c>
      <c r="AE159" s="369" t="str">
        <f ca="1">IF($B159&lt;&gt;"PRC_RESID","",IF(AE$7=2005+OFFSET(COM_2012!$B$60,$AW159,SUMIF($B$10:$B$16,"NCAP_TLIFE",$AX$10:$AX$16)),0,""))</f>
        <v/>
      </c>
      <c r="AF159" s="369" t="str">
        <f ca="1">IF($B159&lt;&gt;"PRC_RESID","",IF(AF$7=2005+OFFSET(COM_2012!$B$60,$AW159,SUMIF($B$10:$B$16,"NCAP_TLIFE",$AX$10:$AX$16)),0,""))</f>
        <v/>
      </c>
      <c r="AG159" s="369" t="str">
        <f ca="1">IF($B159&lt;&gt;"PRC_RESID","",IF(AG$7=2005+OFFSET(COM_2012!$B$60,$AW159,SUMIF($B$10:$B$16,"NCAP_TLIFE",$AX$10:$AX$16)),0,""))</f>
        <v/>
      </c>
      <c r="AH159" s="369" t="str">
        <f ca="1">IF($B159&lt;&gt;"PRC_RESID","",IF(AH$7=2005+OFFSET(COM_2012!$B$60,$AW159,SUMIF($B$10:$B$16,"NCAP_TLIFE",$AX$10:$AX$16)),0,""))</f>
        <v/>
      </c>
      <c r="AI159" s="369" t="str">
        <f ca="1">IF($B159&lt;&gt;"PRC_RESID","",IF(AI$7=2005+OFFSET(COM_2012!$B$60,$AW159,SUMIF($B$10:$B$16,"NCAP_TLIFE",$AX$10:$AX$16)),0,""))</f>
        <v/>
      </c>
      <c r="AJ159" s="369" t="str">
        <f ca="1">IF($B159&lt;&gt;"PRC_RESID","",IF(AJ$7=2005+OFFSET(COM_2012!$B$60,$AW159,SUMIF($B$10:$B$16,"NCAP_TLIFE",$AX$10:$AX$16)),0,""))</f>
        <v/>
      </c>
      <c r="AK159" s="369" t="str">
        <f ca="1">IF($B159&lt;&gt;"PRC_RESID","",IF(AK$7=2005+OFFSET(COM_2012!$B$60,$AW159,SUMIF($B$10:$B$16,"NCAP_TLIFE",$AX$10:$AX$16)),0,""))</f>
        <v/>
      </c>
      <c r="AL159" s="369" t="str">
        <f ca="1">IF($B159&lt;&gt;"PRC_RESID","",IF(AL$7=2005+OFFSET(COM_2012!$B$60,$AW159,SUMIF($B$10:$B$16,"NCAP_TLIFE",$AX$10:$AX$16)),0,""))</f>
        <v/>
      </c>
      <c r="AM159" s="369" t="str">
        <f ca="1">IF($B159&lt;&gt;"PRC_RESID","",IF(AM$7=2005+OFFSET(COM_2012!$B$60,$AW159,SUMIF($B$10:$B$16,"NCAP_TLIFE",$AX$10:$AX$16)),0,""))</f>
        <v/>
      </c>
      <c r="AN159" s="369" t="str">
        <f ca="1">IF($B159&lt;&gt;"PRC_RESID","",IF(AN$7=2005+OFFSET(COM_2012!$B$60,$AW159,SUMIF($B$10:$B$16,"NCAP_TLIFE",$AX$10:$AX$16)),0,""))</f>
        <v/>
      </c>
      <c r="AO159" s="369" t="str">
        <f ca="1">IF($B159&lt;&gt;"PRC_RESID","",IF(AO$7=2005+OFFSET(COM_2012!$B$60,$AW159,SUMIF($B$10:$B$16,"NCAP_TLIFE",$AX$10:$AX$16)),0,""))</f>
        <v/>
      </c>
      <c r="AP159" s="369" t="str">
        <f ca="1">IF($B159&lt;&gt;"PRC_RESID","",IF(AP$7=2005+OFFSET(COM_2012!$B$60,$AW159,SUMIF($B$10:$B$16,"NCAP_TLIFE",$AX$10:$AX$16)),0,""))</f>
        <v/>
      </c>
      <c r="AQ159" s="369" t="str">
        <f ca="1">IF($B159&lt;&gt;"PRC_RESID","",IF(AQ$7=2005+OFFSET(COM_2012!$B$60,$AW159,SUMIF($B$10:$B$16,"NCAP_TLIFE",$AX$10:$AX$16)),0,""))</f>
        <v/>
      </c>
      <c r="AR159" s="369" t="str">
        <f ca="1">IF($B159&lt;&gt;"PRC_RESID","",IF(AR$7=2005+OFFSET(COM_2012!$B$60,$AW159,SUMIF($B$10:$B$16,"NCAP_TLIFE",$AX$10:$AX$16)),0,""))</f>
        <v/>
      </c>
      <c r="AS159" s="369" t="str">
        <f ca="1">IF($B159&lt;&gt;"PRC_RESID","",IF(AS$7=2005+OFFSET(COM_2012!$B$60,$AW159,SUMIF($B$10:$B$16,"NCAP_TLIFE",$AX$10:$AX$16)),0,""))</f>
        <v/>
      </c>
      <c r="AT159" s="369" t="str">
        <f ca="1">IF($B159&lt;&gt;"PRC_RESID","",IF(AT$7=2005+OFFSET(COM_2012!$B$60,$AW159,SUMIF($B$10:$B$16,"NCAP_TLIFE",$AX$10:$AX$16)),0,""))</f>
        <v/>
      </c>
      <c r="AU159" s="369" t="str">
        <f ca="1">IF($B159&lt;&gt;"PRC_RESID","",IF(AU$7=2005+OFFSET(COM_2012!$B$60,$AW159,SUMIF($B$10:$B$16,"NCAP_TLIFE",$AX$10:$AX$16)),0,""))</f>
        <v/>
      </c>
      <c r="AV159" s="304">
        <f>IF(AW158=COM_2012!$AI$121,AV158+1,AV158)</f>
        <v>3</v>
      </c>
      <c r="AW159" s="304">
        <f t="shared" si="12"/>
        <v>10</v>
      </c>
    </row>
    <row r="160" spans="1:49">
      <c r="A160" s="304" t="str">
        <f ca="1">IF(LEFT(OFFSET(COM_2012!$A$60,AW160,0),2)="\I","*","")</f>
        <v/>
      </c>
      <c r="B160" s="369" t="str">
        <f t="shared" ca="1" si="16"/>
        <v>NCAP_TLIFE</v>
      </c>
      <c r="C160" s="369" t="str">
        <f ca="1">IF($A160="*","",OFFSET(COM_2012!$B$60,AW160,0))</f>
        <v>CEHGAS-E</v>
      </c>
      <c r="D160" s="369" t="str">
        <f t="shared" ca="1" si="15"/>
        <v>-</v>
      </c>
      <c r="E160" s="369" t="str">
        <f t="shared" ca="1" si="15"/>
        <v>-</v>
      </c>
      <c r="F160" s="369" t="str">
        <f t="shared" ca="1" si="15"/>
        <v>-</v>
      </c>
      <c r="G160" s="369" t="str">
        <f t="shared" ca="1" si="15"/>
        <v>-</v>
      </c>
      <c r="H160" s="369" t="str">
        <f t="shared" ca="1" si="15"/>
        <v>-</v>
      </c>
      <c r="I160" s="370">
        <f t="shared" ca="1" si="15"/>
        <v>0</v>
      </c>
      <c r="J160" s="391">
        <f ca="1">IF($A160="*","",OFFSET(COM_2012!$B$60,AW160,SUMIF($B$10:$B$16,B160,$AX$10:$AX$16)))</f>
        <v>15</v>
      </c>
      <c r="K160" s="369" t="str">
        <f ca="1">IF($B160&lt;&gt;"PRC_RESID","",IF(K$7=2005+OFFSET(COM_2012!$B$60,$AW160,SUMIF($B$10:$B$16,"NCAP_TLIFE",$AX$10:$AX$16)),0,""))</f>
        <v/>
      </c>
      <c r="L160" s="369" t="str">
        <f ca="1">IF($B160&lt;&gt;"PRC_RESID","",IF(L$7=2005+OFFSET(COM_2012!$B$60,$AW160,SUMIF($B$10:$B$16,"NCAP_TLIFE",$AX$10:$AX$16)),0,""))</f>
        <v/>
      </c>
      <c r="M160" s="369" t="str">
        <f ca="1">IF($B160&lt;&gt;"PRC_RESID","",IF(M$7=2005+OFFSET(COM_2012!$B$60,$AW160,SUMIF($B$10:$B$16,"NCAP_TLIFE",$AX$10:$AX$16)),0,""))</f>
        <v/>
      </c>
      <c r="N160" s="369" t="str">
        <f ca="1">IF($B160&lt;&gt;"PRC_RESID","",IF(N$7=2005+OFFSET(COM_2012!$B$60,$AW160,SUMIF($B$10:$B$16,"NCAP_TLIFE",$AX$10:$AX$16)),0,""))</f>
        <v/>
      </c>
      <c r="O160" s="658" t="str">
        <f ca="1">IF($B160&lt;&gt;"PRC_RESID","",IF(O$7=2005+OFFSET(COM_2012!$B$60,$AW160,SUMIF($B$10:$B$16,"NCAP_TLIFE",$AX$10:$AX$16)),0,""))</f>
        <v/>
      </c>
      <c r="P160" s="369" t="str">
        <f ca="1">IF($B160&lt;&gt;"PRC_RESID","",IF(P$7=2005+OFFSET(COM_2012!$B$60,$AW160,SUMIF($B$10:$B$16,"NCAP_TLIFE",$AX$10:$AX$16)),0,""))</f>
        <v/>
      </c>
      <c r="Q160" s="369" t="str">
        <f ca="1">IF($B160&lt;&gt;"PRC_RESID","",IF(Q$7=2005+OFFSET(COM_2012!$B$60,$AW160,SUMIF($B$10:$B$16,"NCAP_TLIFE",$AX$10:$AX$16)),0,""))</f>
        <v/>
      </c>
      <c r="R160" s="369" t="str">
        <f ca="1">IF($B160&lt;&gt;"PRC_RESID","",IF(R$7=2005+OFFSET(COM_2012!$B$60,$AW160,SUMIF($B$10:$B$16,"NCAP_TLIFE",$AX$10:$AX$16)),0,""))</f>
        <v/>
      </c>
      <c r="S160" s="369" t="str">
        <f ca="1">IF($B160&lt;&gt;"PRC_RESID","",IF(S$7=2005+OFFSET(COM_2012!$B$60,$AW160,SUMIF($B$10:$B$16,"NCAP_TLIFE",$AX$10:$AX$16)),0,""))</f>
        <v/>
      </c>
      <c r="T160" s="369" t="str">
        <f ca="1">IF($B160&lt;&gt;"PRC_RESID","",IF(T$7=2005+OFFSET(COM_2012!$B$60,$AW160,SUMIF($B$10:$B$16,"NCAP_TLIFE",$AX$10:$AX$16)),0,""))</f>
        <v/>
      </c>
      <c r="U160" s="369" t="str">
        <f ca="1">IF($B160&lt;&gt;"PRC_RESID","",IF(U$7=2005+OFFSET(COM_2012!$B$60,$AW160,SUMIF($B$10:$B$16,"NCAP_TLIFE",$AX$10:$AX$16)),0,""))</f>
        <v/>
      </c>
      <c r="V160" s="369" t="str">
        <f ca="1">IF($B160&lt;&gt;"PRC_RESID","",IF(V$7=2005+OFFSET(COM_2012!$B$60,$AW160,SUMIF($B$10:$B$16,"NCAP_TLIFE",$AX$10:$AX$16)),0,""))</f>
        <v/>
      </c>
      <c r="W160" s="369" t="str">
        <f ca="1">IF($B160&lt;&gt;"PRC_RESID","",IF(W$7=2005+OFFSET(COM_2012!$B$60,$AW160,SUMIF($B$10:$B$16,"NCAP_TLIFE",$AX$10:$AX$16)),0,""))</f>
        <v/>
      </c>
      <c r="X160" s="369" t="str">
        <f ca="1">IF($B160&lt;&gt;"PRC_RESID","",IF(X$7=2005+OFFSET(COM_2012!$B$60,$AW160,SUMIF($B$10:$B$16,"NCAP_TLIFE",$AX$10:$AX$16)),0,""))</f>
        <v/>
      </c>
      <c r="Y160" s="369" t="str">
        <f ca="1">IF($B160&lt;&gt;"PRC_RESID","",IF(Y$7=2005+OFFSET(COM_2012!$B$60,$AW160,SUMIF($B$10:$B$16,"NCAP_TLIFE",$AX$10:$AX$16)),0,""))</f>
        <v/>
      </c>
      <c r="Z160" s="369" t="str">
        <f ca="1">IF($B160&lt;&gt;"PRC_RESID","",IF(Z$7=2005+OFFSET(COM_2012!$B$60,$AW160,SUMIF($B$10:$B$16,"NCAP_TLIFE",$AX$10:$AX$16)),0,""))</f>
        <v/>
      </c>
      <c r="AA160" s="369" t="str">
        <f ca="1">IF($B160&lt;&gt;"PRC_RESID","",IF(AA$7=2005+OFFSET(COM_2012!$B$60,$AW160,SUMIF($B$10:$B$16,"NCAP_TLIFE",$AX$10:$AX$16)),0,""))</f>
        <v/>
      </c>
      <c r="AB160" s="369" t="str">
        <f ca="1">IF($B160&lt;&gt;"PRC_RESID","",IF(AB$7=2005+OFFSET(COM_2012!$B$60,$AW160,SUMIF($B$10:$B$16,"NCAP_TLIFE",$AX$10:$AX$16)),0,""))</f>
        <v/>
      </c>
      <c r="AC160" s="369" t="str">
        <f ca="1">IF($B160&lt;&gt;"PRC_RESID","",IF(AC$7=2005+OFFSET(COM_2012!$B$60,$AW160,SUMIF($B$10:$B$16,"NCAP_TLIFE",$AX$10:$AX$16)),0,""))</f>
        <v/>
      </c>
      <c r="AD160" s="369" t="str">
        <f ca="1">IF($B160&lt;&gt;"PRC_RESID","",IF(AD$7=2005+OFFSET(COM_2012!$B$60,$AW160,SUMIF($B$10:$B$16,"NCAP_TLIFE",$AX$10:$AX$16)),0,""))</f>
        <v/>
      </c>
      <c r="AE160" s="369" t="str">
        <f ca="1">IF($B160&lt;&gt;"PRC_RESID","",IF(AE$7=2005+OFFSET(COM_2012!$B$60,$AW160,SUMIF($B$10:$B$16,"NCAP_TLIFE",$AX$10:$AX$16)),0,""))</f>
        <v/>
      </c>
      <c r="AF160" s="369" t="str">
        <f ca="1">IF($B160&lt;&gt;"PRC_RESID","",IF(AF$7=2005+OFFSET(COM_2012!$B$60,$AW160,SUMIF($B$10:$B$16,"NCAP_TLIFE",$AX$10:$AX$16)),0,""))</f>
        <v/>
      </c>
      <c r="AG160" s="369" t="str">
        <f ca="1">IF($B160&lt;&gt;"PRC_RESID","",IF(AG$7=2005+OFFSET(COM_2012!$B$60,$AW160,SUMIF($B$10:$B$16,"NCAP_TLIFE",$AX$10:$AX$16)),0,""))</f>
        <v/>
      </c>
      <c r="AH160" s="369" t="str">
        <f ca="1">IF($B160&lt;&gt;"PRC_RESID","",IF(AH$7=2005+OFFSET(COM_2012!$B$60,$AW160,SUMIF($B$10:$B$16,"NCAP_TLIFE",$AX$10:$AX$16)),0,""))</f>
        <v/>
      </c>
      <c r="AI160" s="369" t="str">
        <f ca="1">IF($B160&lt;&gt;"PRC_RESID","",IF(AI$7=2005+OFFSET(COM_2012!$B$60,$AW160,SUMIF($B$10:$B$16,"NCAP_TLIFE",$AX$10:$AX$16)),0,""))</f>
        <v/>
      </c>
      <c r="AJ160" s="369" t="str">
        <f ca="1">IF($B160&lt;&gt;"PRC_RESID","",IF(AJ$7=2005+OFFSET(COM_2012!$B$60,$AW160,SUMIF($B$10:$B$16,"NCAP_TLIFE",$AX$10:$AX$16)),0,""))</f>
        <v/>
      </c>
      <c r="AK160" s="369" t="str">
        <f ca="1">IF($B160&lt;&gt;"PRC_RESID","",IF(AK$7=2005+OFFSET(COM_2012!$B$60,$AW160,SUMIF($B$10:$B$16,"NCAP_TLIFE",$AX$10:$AX$16)),0,""))</f>
        <v/>
      </c>
      <c r="AL160" s="369" t="str">
        <f ca="1">IF($B160&lt;&gt;"PRC_RESID","",IF(AL$7=2005+OFFSET(COM_2012!$B$60,$AW160,SUMIF($B$10:$B$16,"NCAP_TLIFE",$AX$10:$AX$16)),0,""))</f>
        <v/>
      </c>
      <c r="AM160" s="369" t="str">
        <f ca="1">IF($B160&lt;&gt;"PRC_RESID","",IF(AM$7=2005+OFFSET(COM_2012!$B$60,$AW160,SUMIF($B$10:$B$16,"NCAP_TLIFE",$AX$10:$AX$16)),0,""))</f>
        <v/>
      </c>
      <c r="AN160" s="369" t="str">
        <f ca="1">IF($B160&lt;&gt;"PRC_RESID","",IF(AN$7=2005+OFFSET(COM_2012!$B$60,$AW160,SUMIF($B$10:$B$16,"NCAP_TLIFE",$AX$10:$AX$16)),0,""))</f>
        <v/>
      </c>
      <c r="AO160" s="369" t="str">
        <f ca="1">IF($B160&lt;&gt;"PRC_RESID","",IF(AO$7=2005+OFFSET(COM_2012!$B$60,$AW160,SUMIF($B$10:$B$16,"NCAP_TLIFE",$AX$10:$AX$16)),0,""))</f>
        <v/>
      </c>
      <c r="AP160" s="369" t="str">
        <f ca="1">IF($B160&lt;&gt;"PRC_RESID","",IF(AP$7=2005+OFFSET(COM_2012!$B$60,$AW160,SUMIF($B$10:$B$16,"NCAP_TLIFE",$AX$10:$AX$16)),0,""))</f>
        <v/>
      </c>
      <c r="AQ160" s="369" t="str">
        <f ca="1">IF($B160&lt;&gt;"PRC_RESID","",IF(AQ$7=2005+OFFSET(COM_2012!$B$60,$AW160,SUMIF($B$10:$B$16,"NCAP_TLIFE",$AX$10:$AX$16)),0,""))</f>
        <v/>
      </c>
      <c r="AR160" s="369" t="str">
        <f ca="1">IF($B160&lt;&gt;"PRC_RESID","",IF(AR$7=2005+OFFSET(COM_2012!$B$60,$AW160,SUMIF($B$10:$B$16,"NCAP_TLIFE",$AX$10:$AX$16)),0,""))</f>
        <v/>
      </c>
      <c r="AS160" s="369" t="str">
        <f ca="1">IF($B160&lt;&gt;"PRC_RESID","",IF(AS$7=2005+OFFSET(COM_2012!$B$60,$AW160,SUMIF($B$10:$B$16,"NCAP_TLIFE",$AX$10:$AX$16)),0,""))</f>
        <v/>
      </c>
      <c r="AT160" s="369" t="str">
        <f ca="1">IF($B160&lt;&gt;"PRC_RESID","",IF(AT$7=2005+OFFSET(COM_2012!$B$60,$AW160,SUMIF($B$10:$B$16,"NCAP_TLIFE",$AX$10:$AX$16)),0,""))</f>
        <v/>
      </c>
      <c r="AU160" s="369" t="str">
        <f ca="1">IF($B160&lt;&gt;"PRC_RESID","",IF(AU$7=2005+OFFSET(COM_2012!$B$60,$AW160,SUMIF($B$10:$B$16,"NCAP_TLIFE",$AX$10:$AX$16)),0,""))</f>
        <v/>
      </c>
      <c r="AV160" s="304">
        <f>IF(AW159=COM_2012!$AI$121,AV159+1,AV159)</f>
        <v>3</v>
      </c>
      <c r="AW160" s="304">
        <f t="shared" ref="AW160:AW223" si="17">IF(AV160=AV159,AW159+1,1)</f>
        <v>11</v>
      </c>
    </row>
    <row r="161" spans="1:49">
      <c r="A161" s="304" t="str">
        <f ca="1">IF(LEFT(OFFSET(COM_2012!$A$60,AW161,0),2)="\I","*","")</f>
        <v/>
      </c>
      <c r="B161" s="369" t="str">
        <f t="shared" ca="1" si="16"/>
        <v>NCAP_TLIFE</v>
      </c>
      <c r="C161" s="369" t="str">
        <f ca="1">IF($A161="*","",OFFSET(COM_2012!$B$60,AW161,0))</f>
        <v>CEHELC-N</v>
      </c>
      <c r="D161" s="369" t="str">
        <f t="shared" ca="1" si="15"/>
        <v>-</v>
      </c>
      <c r="E161" s="369" t="str">
        <f t="shared" ca="1" si="15"/>
        <v>-</v>
      </c>
      <c r="F161" s="369" t="str">
        <f t="shared" ca="1" si="15"/>
        <v>-</v>
      </c>
      <c r="G161" s="369" t="str">
        <f t="shared" ca="1" si="15"/>
        <v>-</v>
      </c>
      <c r="H161" s="369" t="str">
        <f t="shared" ca="1" si="15"/>
        <v>-</v>
      </c>
      <c r="I161" s="370">
        <f t="shared" ca="1" si="15"/>
        <v>0</v>
      </c>
      <c r="J161" s="391">
        <f ca="1">IF($A161="*","",OFFSET(COM_2012!$B$60,AW161,SUMIF($B$10:$B$16,B161,$AX$10:$AX$16)))</f>
        <v>15</v>
      </c>
      <c r="K161" s="369" t="str">
        <f ca="1">IF($B161&lt;&gt;"PRC_RESID","",IF(K$7=2005+OFFSET(COM_2012!$B$60,$AW161,SUMIF($B$10:$B$16,"NCAP_TLIFE",$AX$10:$AX$16)),0,""))</f>
        <v/>
      </c>
      <c r="L161" s="369" t="str">
        <f ca="1">IF($B161&lt;&gt;"PRC_RESID","",IF(L$7=2005+OFFSET(COM_2012!$B$60,$AW161,SUMIF($B$10:$B$16,"NCAP_TLIFE",$AX$10:$AX$16)),0,""))</f>
        <v/>
      </c>
      <c r="M161" s="369" t="str">
        <f ca="1">IF($B161&lt;&gt;"PRC_RESID","",IF(M$7=2005+OFFSET(COM_2012!$B$60,$AW161,SUMIF($B$10:$B$16,"NCAP_TLIFE",$AX$10:$AX$16)),0,""))</f>
        <v/>
      </c>
      <c r="N161" s="369" t="str">
        <f ca="1">IF($B161&lt;&gt;"PRC_RESID","",IF(N$7=2005+OFFSET(COM_2012!$B$60,$AW161,SUMIF($B$10:$B$16,"NCAP_TLIFE",$AX$10:$AX$16)),0,""))</f>
        <v/>
      </c>
      <c r="O161" s="658" t="str">
        <f ca="1">IF($B161&lt;&gt;"PRC_RESID","",IF(O$7=2005+OFFSET(COM_2012!$B$60,$AW161,SUMIF($B$10:$B$16,"NCAP_TLIFE",$AX$10:$AX$16)),0,""))</f>
        <v/>
      </c>
      <c r="P161" s="369" t="str">
        <f ca="1">IF($B161&lt;&gt;"PRC_RESID","",IF(P$7=2005+OFFSET(COM_2012!$B$60,$AW161,SUMIF($B$10:$B$16,"NCAP_TLIFE",$AX$10:$AX$16)),0,""))</f>
        <v/>
      </c>
      <c r="Q161" s="369" t="str">
        <f ca="1">IF($B161&lt;&gt;"PRC_RESID","",IF(Q$7=2005+OFFSET(COM_2012!$B$60,$AW161,SUMIF($B$10:$B$16,"NCAP_TLIFE",$AX$10:$AX$16)),0,""))</f>
        <v/>
      </c>
      <c r="R161" s="369" t="str">
        <f ca="1">IF($B161&lt;&gt;"PRC_RESID","",IF(R$7=2005+OFFSET(COM_2012!$B$60,$AW161,SUMIF($B$10:$B$16,"NCAP_TLIFE",$AX$10:$AX$16)),0,""))</f>
        <v/>
      </c>
      <c r="S161" s="369" t="str">
        <f ca="1">IF($B161&lt;&gt;"PRC_RESID","",IF(S$7=2005+OFFSET(COM_2012!$B$60,$AW161,SUMIF($B$10:$B$16,"NCAP_TLIFE",$AX$10:$AX$16)),0,""))</f>
        <v/>
      </c>
      <c r="T161" s="369" t="str">
        <f ca="1">IF($B161&lt;&gt;"PRC_RESID","",IF(T$7=2005+OFFSET(COM_2012!$B$60,$AW161,SUMIF($B$10:$B$16,"NCAP_TLIFE",$AX$10:$AX$16)),0,""))</f>
        <v/>
      </c>
      <c r="U161" s="369" t="str">
        <f ca="1">IF($B161&lt;&gt;"PRC_RESID","",IF(U$7=2005+OFFSET(COM_2012!$B$60,$AW161,SUMIF($B$10:$B$16,"NCAP_TLIFE",$AX$10:$AX$16)),0,""))</f>
        <v/>
      </c>
      <c r="V161" s="369" t="str">
        <f ca="1">IF($B161&lt;&gt;"PRC_RESID","",IF(V$7=2005+OFFSET(COM_2012!$B$60,$AW161,SUMIF($B$10:$B$16,"NCAP_TLIFE",$AX$10:$AX$16)),0,""))</f>
        <v/>
      </c>
      <c r="W161" s="369" t="str">
        <f ca="1">IF($B161&lt;&gt;"PRC_RESID","",IF(W$7=2005+OFFSET(COM_2012!$B$60,$AW161,SUMIF($B$10:$B$16,"NCAP_TLIFE",$AX$10:$AX$16)),0,""))</f>
        <v/>
      </c>
      <c r="X161" s="369" t="str">
        <f ca="1">IF($B161&lt;&gt;"PRC_RESID","",IF(X$7=2005+OFFSET(COM_2012!$B$60,$AW161,SUMIF($B$10:$B$16,"NCAP_TLIFE",$AX$10:$AX$16)),0,""))</f>
        <v/>
      </c>
      <c r="Y161" s="369" t="str">
        <f ca="1">IF($B161&lt;&gt;"PRC_RESID","",IF(Y$7=2005+OFFSET(COM_2012!$B$60,$AW161,SUMIF($B$10:$B$16,"NCAP_TLIFE",$AX$10:$AX$16)),0,""))</f>
        <v/>
      </c>
      <c r="Z161" s="369" t="str">
        <f ca="1">IF($B161&lt;&gt;"PRC_RESID","",IF(Z$7=2005+OFFSET(COM_2012!$B$60,$AW161,SUMIF($B$10:$B$16,"NCAP_TLIFE",$AX$10:$AX$16)),0,""))</f>
        <v/>
      </c>
      <c r="AA161" s="369" t="str">
        <f ca="1">IF($B161&lt;&gt;"PRC_RESID","",IF(AA$7=2005+OFFSET(COM_2012!$B$60,$AW161,SUMIF($B$10:$B$16,"NCAP_TLIFE",$AX$10:$AX$16)),0,""))</f>
        <v/>
      </c>
      <c r="AB161" s="369" t="str">
        <f ca="1">IF($B161&lt;&gt;"PRC_RESID","",IF(AB$7=2005+OFFSET(COM_2012!$B$60,$AW161,SUMIF($B$10:$B$16,"NCAP_TLIFE",$AX$10:$AX$16)),0,""))</f>
        <v/>
      </c>
      <c r="AC161" s="369" t="str">
        <f ca="1">IF($B161&lt;&gt;"PRC_RESID","",IF(AC$7=2005+OFFSET(COM_2012!$B$60,$AW161,SUMIF($B$10:$B$16,"NCAP_TLIFE",$AX$10:$AX$16)),0,""))</f>
        <v/>
      </c>
      <c r="AD161" s="369" t="str">
        <f ca="1">IF($B161&lt;&gt;"PRC_RESID","",IF(AD$7=2005+OFFSET(COM_2012!$B$60,$AW161,SUMIF($B$10:$B$16,"NCAP_TLIFE",$AX$10:$AX$16)),0,""))</f>
        <v/>
      </c>
      <c r="AE161" s="369" t="str">
        <f ca="1">IF($B161&lt;&gt;"PRC_RESID","",IF(AE$7=2005+OFFSET(COM_2012!$B$60,$AW161,SUMIF($B$10:$B$16,"NCAP_TLIFE",$AX$10:$AX$16)),0,""))</f>
        <v/>
      </c>
      <c r="AF161" s="369" t="str">
        <f ca="1">IF($B161&lt;&gt;"PRC_RESID","",IF(AF$7=2005+OFFSET(COM_2012!$B$60,$AW161,SUMIF($B$10:$B$16,"NCAP_TLIFE",$AX$10:$AX$16)),0,""))</f>
        <v/>
      </c>
      <c r="AG161" s="369" t="str">
        <f ca="1">IF($B161&lt;&gt;"PRC_RESID","",IF(AG$7=2005+OFFSET(COM_2012!$B$60,$AW161,SUMIF($B$10:$B$16,"NCAP_TLIFE",$AX$10:$AX$16)),0,""))</f>
        <v/>
      </c>
      <c r="AH161" s="369" t="str">
        <f ca="1">IF($B161&lt;&gt;"PRC_RESID","",IF(AH$7=2005+OFFSET(COM_2012!$B$60,$AW161,SUMIF($B$10:$B$16,"NCAP_TLIFE",$AX$10:$AX$16)),0,""))</f>
        <v/>
      </c>
      <c r="AI161" s="369" t="str">
        <f ca="1">IF($B161&lt;&gt;"PRC_RESID","",IF(AI$7=2005+OFFSET(COM_2012!$B$60,$AW161,SUMIF($B$10:$B$16,"NCAP_TLIFE",$AX$10:$AX$16)),0,""))</f>
        <v/>
      </c>
      <c r="AJ161" s="369" t="str">
        <f ca="1">IF($B161&lt;&gt;"PRC_RESID","",IF(AJ$7=2005+OFFSET(COM_2012!$B$60,$AW161,SUMIF($B$10:$B$16,"NCAP_TLIFE",$AX$10:$AX$16)),0,""))</f>
        <v/>
      </c>
      <c r="AK161" s="369" t="str">
        <f ca="1">IF($B161&lt;&gt;"PRC_RESID","",IF(AK$7=2005+OFFSET(COM_2012!$B$60,$AW161,SUMIF($B$10:$B$16,"NCAP_TLIFE",$AX$10:$AX$16)),0,""))</f>
        <v/>
      </c>
      <c r="AL161" s="369" t="str">
        <f ca="1">IF($B161&lt;&gt;"PRC_RESID","",IF(AL$7=2005+OFFSET(COM_2012!$B$60,$AW161,SUMIF($B$10:$B$16,"NCAP_TLIFE",$AX$10:$AX$16)),0,""))</f>
        <v/>
      </c>
      <c r="AM161" s="369" t="str">
        <f ca="1">IF($B161&lt;&gt;"PRC_RESID","",IF(AM$7=2005+OFFSET(COM_2012!$B$60,$AW161,SUMIF($B$10:$B$16,"NCAP_TLIFE",$AX$10:$AX$16)),0,""))</f>
        <v/>
      </c>
      <c r="AN161" s="369" t="str">
        <f ca="1">IF($B161&lt;&gt;"PRC_RESID","",IF(AN$7=2005+OFFSET(COM_2012!$B$60,$AW161,SUMIF($B$10:$B$16,"NCAP_TLIFE",$AX$10:$AX$16)),0,""))</f>
        <v/>
      </c>
      <c r="AO161" s="369" t="str">
        <f ca="1">IF($B161&lt;&gt;"PRC_RESID","",IF(AO$7=2005+OFFSET(COM_2012!$B$60,$AW161,SUMIF($B$10:$B$16,"NCAP_TLIFE",$AX$10:$AX$16)),0,""))</f>
        <v/>
      </c>
      <c r="AP161" s="369" t="str">
        <f ca="1">IF($B161&lt;&gt;"PRC_RESID","",IF(AP$7=2005+OFFSET(COM_2012!$B$60,$AW161,SUMIF($B$10:$B$16,"NCAP_TLIFE",$AX$10:$AX$16)),0,""))</f>
        <v/>
      </c>
      <c r="AQ161" s="369" t="str">
        <f ca="1">IF($B161&lt;&gt;"PRC_RESID","",IF(AQ$7=2005+OFFSET(COM_2012!$B$60,$AW161,SUMIF($B$10:$B$16,"NCAP_TLIFE",$AX$10:$AX$16)),0,""))</f>
        <v/>
      </c>
      <c r="AR161" s="369" t="str">
        <f ca="1">IF($B161&lt;&gt;"PRC_RESID","",IF(AR$7=2005+OFFSET(COM_2012!$B$60,$AW161,SUMIF($B$10:$B$16,"NCAP_TLIFE",$AX$10:$AX$16)),0,""))</f>
        <v/>
      </c>
      <c r="AS161" s="369" t="str">
        <f ca="1">IF($B161&lt;&gt;"PRC_RESID","",IF(AS$7=2005+OFFSET(COM_2012!$B$60,$AW161,SUMIF($B$10:$B$16,"NCAP_TLIFE",$AX$10:$AX$16)),0,""))</f>
        <v/>
      </c>
      <c r="AT161" s="369" t="str">
        <f ca="1">IF($B161&lt;&gt;"PRC_RESID","",IF(AT$7=2005+OFFSET(COM_2012!$B$60,$AW161,SUMIF($B$10:$B$16,"NCAP_TLIFE",$AX$10:$AX$16)),0,""))</f>
        <v/>
      </c>
      <c r="AU161" s="369" t="str">
        <f ca="1">IF($B161&lt;&gt;"PRC_RESID","",IF(AU$7=2005+OFFSET(COM_2012!$B$60,$AW161,SUMIF($B$10:$B$16,"NCAP_TLIFE",$AX$10:$AX$16)),0,""))</f>
        <v/>
      </c>
      <c r="AV161" s="304">
        <f>IF(AW160=COM_2012!$AI$121,AV160+1,AV160)</f>
        <v>3</v>
      </c>
      <c r="AW161" s="304">
        <f t="shared" si="17"/>
        <v>12</v>
      </c>
    </row>
    <row r="162" spans="1:49">
      <c r="A162" s="304" t="str">
        <f ca="1">IF(LEFT(OFFSET(COM_2012!$A$60,AW162,0),2)="\I","*","")</f>
        <v/>
      </c>
      <c r="B162" s="369" t="str">
        <f t="shared" ca="1" si="16"/>
        <v>NCAP_TLIFE</v>
      </c>
      <c r="C162" s="369" t="str">
        <f ca="1">IF($A162="*","",OFFSET(COM_2012!$B$60,AW162,0))</f>
        <v>CEHGAS-N</v>
      </c>
      <c r="D162" s="369" t="str">
        <f t="shared" ref="D162:I178" ca="1" si="18">IF($A162="*","",VLOOKUP($B162,$B$10:$I$16,D$9,FALSE))</f>
        <v>-</v>
      </c>
      <c r="E162" s="369" t="str">
        <f t="shared" ca="1" si="18"/>
        <v>-</v>
      </c>
      <c r="F162" s="369" t="str">
        <f t="shared" ca="1" si="18"/>
        <v>-</v>
      </c>
      <c r="G162" s="369" t="str">
        <f t="shared" ca="1" si="18"/>
        <v>-</v>
      </c>
      <c r="H162" s="369" t="str">
        <f t="shared" ca="1" si="18"/>
        <v>-</v>
      </c>
      <c r="I162" s="370">
        <f t="shared" ca="1" si="18"/>
        <v>0</v>
      </c>
      <c r="J162" s="391">
        <f ca="1">IF($A162="*","",OFFSET(COM_2012!$B$60,AW162,SUMIF($B$10:$B$16,B162,$AX$10:$AX$16)))</f>
        <v>15</v>
      </c>
      <c r="K162" s="369" t="str">
        <f ca="1">IF($B162&lt;&gt;"PRC_RESID","",IF(K$7=2005+OFFSET(COM_2012!$B$60,$AW162,SUMIF($B$10:$B$16,"NCAP_TLIFE",$AX$10:$AX$16)),0,""))</f>
        <v/>
      </c>
      <c r="L162" s="369" t="str">
        <f ca="1">IF($B162&lt;&gt;"PRC_RESID","",IF(L$7=2005+OFFSET(COM_2012!$B$60,$AW162,SUMIF($B$10:$B$16,"NCAP_TLIFE",$AX$10:$AX$16)),0,""))</f>
        <v/>
      </c>
      <c r="M162" s="369" t="str">
        <f ca="1">IF($B162&lt;&gt;"PRC_RESID","",IF(M$7=2005+OFFSET(COM_2012!$B$60,$AW162,SUMIF($B$10:$B$16,"NCAP_TLIFE",$AX$10:$AX$16)),0,""))</f>
        <v/>
      </c>
      <c r="N162" s="369" t="str">
        <f ca="1">IF($B162&lt;&gt;"PRC_RESID","",IF(N$7=2005+OFFSET(COM_2012!$B$60,$AW162,SUMIF($B$10:$B$16,"NCAP_TLIFE",$AX$10:$AX$16)),0,""))</f>
        <v/>
      </c>
      <c r="O162" s="658" t="str">
        <f ca="1">IF($B162&lt;&gt;"PRC_RESID","",IF(O$7=2005+OFFSET(COM_2012!$B$60,$AW162,SUMIF($B$10:$B$16,"NCAP_TLIFE",$AX$10:$AX$16)),0,""))</f>
        <v/>
      </c>
      <c r="P162" s="369" t="str">
        <f ca="1">IF($B162&lt;&gt;"PRC_RESID","",IF(P$7=2005+OFFSET(COM_2012!$B$60,$AW162,SUMIF($B$10:$B$16,"NCAP_TLIFE",$AX$10:$AX$16)),0,""))</f>
        <v/>
      </c>
      <c r="Q162" s="369" t="str">
        <f ca="1">IF($B162&lt;&gt;"PRC_RESID","",IF(Q$7=2005+OFFSET(COM_2012!$B$60,$AW162,SUMIF($B$10:$B$16,"NCAP_TLIFE",$AX$10:$AX$16)),0,""))</f>
        <v/>
      </c>
      <c r="R162" s="369" t="str">
        <f ca="1">IF($B162&lt;&gt;"PRC_RESID","",IF(R$7=2005+OFFSET(COM_2012!$B$60,$AW162,SUMIF($B$10:$B$16,"NCAP_TLIFE",$AX$10:$AX$16)),0,""))</f>
        <v/>
      </c>
      <c r="S162" s="369" t="str">
        <f ca="1">IF($B162&lt;&gt;"PRC_RESID","",IF(S$7=2005+OFFSET(COM_2012!$B$60,$AW162,SUMIF($B$10:$B$16,"NCAP_TLIFE",$AX$10:$AX$16)),0,""))</f>
        <v/>
      </c>
      <c r="T162" s="369" t="str">
        <f ca="1">IF($B162&lt;&gt;"PRC_RESID","",IF(T$7=2005+OFFSET(COM_2012!$B$60,$AW162,SUMIF($B$10:$B$16,"NCAP_TLIFE",$AX$10:$AX$16)),0,""))</f>
        <v/>
      </c>
      <c r="U162" s="369" t="str">
        <f ca="1">IF($B162&lt;&gt;"PRC_RESID","",IF(U$7=2005+OFFSET(COM_2012!$B$60,$AW162,SUMIF($B$10:$B$16,"NCAP_TLIFE",$AX$10:$AX$16)),0,""))</f>
        <v/>
      </c>
      <c r="V162" s="369" t="str">
        <f ca="1">IF($B162&lt;&gt;"PRC_RESID","",IF(V$7=2005+OFFSET(COM_2012!$B$60,$AW162,SUMIF($B$10:$B$16,"NCAP_TLIFE",$AX$10:$AX$16)),0,""))</f>
        <v/>
      </c>
      <c r="W162" s="369" t="str">
        <f ca="1">IF($B162&lt;&gt;"PRC_RESID","",IF(W$7=2005+OFFSET(COM_2012!$B$60,$AW162,SUMIF($B$10:$B$16,"NCAP_TLIFE",$AX$10:$AX$16)),0,""))</f>
        <v/>
      </c>
      <c r="X162" s="369" t="str">
        <f ca="1">IF($B162&lt;&gt;"PRC_RESID","",IF(X$7=2005+OFFSET(COM_2012!$B$60,$AW162,SUMIF($B$10:$B$16,"NCAP_TLIFE",$AX$10:$AX$16)),0,""))</f>
        <v/>
      </c>
      <c r="Y162" s="369" t="str">
        <f ca="1">IF($B162&lt;&gt;"PRC_RESID","",IF(Y$7=2005+OFFSET(COM_2012!$B$60,$AW162,SUMIF($B$10:$B$16,"NCAP_TLIFE",$AX$10:$AX$16)),0,""))</f>
        <v/>
      </c>
      <c r="Z162" s="369" t="str">
        <f ca="1">IF($B162&lt;&gt;"PRC_RESID","",IF(Z$7=2005+OFFSET(COM_2012!$B$60,$AW162,SUMIF($B$10:$B$16,"NCAP_TLIFE",$AX$10:$AX$16)),0,""))</f>
        <v/>
      </c>
      <c r="AA162" s="369" t="str">
        <f ca="1">IF($B162&lt;&gt;"PRC_RESID","",IF(AA$7=2005+OFFSET(COM_2012!$B$60,$AW162,SUMIF($B$10:$B$16,"NCAP_TLIFE",$AX$10:$AX$16)),0,""))</f>
        <v/>
      </c>
      <c r="AB162" s="369" t="str">
        <f ca="1">IF($B162&lt;&gt;"PRC_RESID","",IF(AB$7=2005+OFFSET(COM_2012!$B$60,$AW162,SUMIF($B$10:$B$16,"NCAP_TLIFE",$AX$10:$AX$16)),0,""))</f>
        <v/>
      </c>
      <c r="AC162" s="369" t="str">
        <f ca="1">IF($B162&lt;&gt;"PRC_RESID","",IF(AC$7=2005+OFFSET(COM_2012!$B$60,$AW162,SUMIF($B$10:$B$16,"NCAP_TLIFE",$AX$10:$AX$16)),0,""))</f>
        <v/>
      </c>
      <c r="AD162" s="369" t="str">
        <f ca="1">IF($B162&lt;&gt;"PRC_RESID","",IF(AD$7=2005+OFFSET(COM_2012!$B$60,$AW162,SUMIF($B$10:$B$16,"NCAP_TLIFE",$AX$10:$AX$16)),0,""))</f>
        <v/>
      </c>
      <c r="AE162" s="369" t="str">
        <f ca="1">IF($B162&lt;&gt;"PRC_RESID","",IF(AE$7=2005+OFFSET(COM_2012!$B$60,$AW162,SUMIF($B$10:$B$16,"NCAP_TLIFE",$AX$10:$AX$16)),0,""))</f>
        <v/>
      </c>
      <c r="AF162" s="369" t="str">
        <f ca="1">IF($B162&lt;&gt;"PRC_RESID","",IF(AF$7=2005+OFFSET(COM_2012!$B$60,$AW162,SUMIF($B$10:$B$16,"NCAP_TLIFE",$AX$10:$AX$16)),0,""))</f>
        <v/>
      </c>
      <c r="AG162" s="369" t="str">
        <f ca="1">IF($B162&lt;&gt;"PRC_RESID","",IF(AG$7=2005+OFFSET(COM_2012!$B$60,$AW162,SUMIF($B$10:$B$16,"NCAP_TLIFE",$AX$10:$AX$16)),0,""))</f>
        <v/>
      </c>
      <c r="AH162" s="369" t="str">
        <f ca="1">IF($B162&lt;&gt;"PRC_RESID","",IF(AH$7=2005+OFFSET(COM_2012!$B$60,$AW162,SUMIF($B$10:$B$16,"NCAP_TLIFE",$AX$10:$AX$16)),0,""))</f>
        <v/>
      </c>
      <c r="AI162" s="369" t="str">
        <f ca="1">IF($B162&lt;&gt;"PRC_RESID","",IF(AI$7=2005+OFFSET(COM_2012!$B$60,$AW162,SUMIF($B$10:$B$16,"NCAP_TLIFE",$AX$10:$AX$16)),0,""))</f>
        <v/>
      </c>
      <c r="AJ162" s="369" t="str">
        <f ca="1">IF($B162&lt;&gt;"PRC_RESID","",IF(AJ$7=2005+OFFSET(COM_2012!$B$60,$AW162,SUMIF($B$10:$B$16,"NCAP_TLIFE",$AX$10:$AX$16)),0,""))</f>
        <v/>
      </c>
      <c r="AK162" s="369" t="str">
        <f ca="1">IF($B162&lt;&gt;"PRC_RESID","",IF(AK$7=2005+OFFSET(COM_2012!$B$60,$AW162,SUMIF($B$10:$B$16,"NCAP_TLIFE",$AX$10:$AX$16)),0,""))</f>
        <v/>
      </c>
      <c r="AL162" s="369" t="str">
        <f ca="1">IF($B162&lt;&gt;"PRC_RESID","",IF(AL$7=2005+OFFSET(COM_2012!$B$60,$AW162,SUMIF($B$10:$B$16,"NCAP_TLIFE",$AX$10:$AX$16)),0,""))</f>
        <v/>
      </c>
      <c r="AM162" s="369" t="str">
        <f ca="1">IF($B162&lt;&gt;"PRC_RESID","",IF(AM$7=2005+OFFSET(COM_2012!$B$60,$AW162,SUMIF($B$10:$B$16,"NCAP_TLIFE",$AX$10:$AX$16)),0,""))</f>
        <v/>
      </c>
      <c r="AN162" s="369" t="str">
        <f ca="1">IF($B162&lt;&gt;"PRC_RESID","",IF(AN$7=2005+OFFSET(COM_2012!$B$60,$AW162,SUMIF($B$10:$B$16,"NCAP_TLIFE",$AX$10:$AX$16)),0,""))</f>
        <v/>
      </c>
      <c r="AO162" s="369" t="str">
        <f ca="1">IF($B162&lt;&gt;"PRC_RESID","",IF(AO$7=2005+OFFSET(COM_2012!$B$60,$AW162,SUMIF($B$10:$B$16,"NCAP_TLIFE",$AX$10:$AX$16)),0,""))</f>
        <v/>
      </c>
      <c r="AP162" s="369" t="str">
        <f ca="1">IF($B162&lt;&gt;"PRC_RESID","",IF(AP$7=2005+OFFSET(COM_2012!$B$60,$AW162,SUMIF($B$10:$B$16,"NCAP_TLIFE",$AX$10:$AX$16)),0,""))</f>
        <v/>
      </c>
      <c r="AQ162" s="369" t="str">
        <f ca="1">IF($B162&lt;&gt;"PRC_RESID","",IF(AQ$7=2005+OFFSET(COM_2012!$B$60,$AW162,SUMIF($B$10:$B$16,"NCAP_TLIFE",$AX$10:$AX$16)),0,""))</f>
        <v/>
      </c>
      <c r="AR162" s="369" t="str">
        <f ca="1">IF($B162&lt;&gt;"PRC_RESID","",IF(AR$7=2005+OFFSET(COM_2012!$B$60,$AW162,SUMIF($B$10:$B$16,"NCAP_TLIFE",$AX$10:$AX$16)),0,""))</f>
        <v/>
      </c>
      <c r="AS162" s="369" t="str">
        <f ca="1">IF($B162&lt;&gt;"PRC_RESID","",IF(AS$7=2005+OFFSET(COM_2012!$B$60,$AW162,SUMIF($B$10:$B$16,"NCAP_TLIFE",$AX$10:$AX$16)),0,""))</f>
        <v/>
      </c>
      <c r="AT162" s="369" t="str">
        <f ca="1">IF($B162&lt;&gt;"PRC_RESID","",IF(AT$7=2005+OFFSET(COM_2012!$B$60,$AW162,SUMIF($B$10:$B$16,"NCAP_TLIFE",$AX$10:$AX$16)),0,""))</f>
        <v/>
      </c>
      <c r="AU162" s="369" t="str">
        <f ca="1">IF($B162&lt;&gt;"PRC_RESID","",IF(AU$7=2005+OFFSET(COM_2012!$B$60,$AW162,SUMIF($B$10:$B$16,"NCAP_TLIFE",$AX$10:$AX$16)),0,""))</f>
        <v/>
      </c>
      <c r="AV162" s="304">
        <f>IF(AW161=COM_2012!$AI$121,AV161+1,AV161)</f>
        <v>3</v>
      </c>
      <c r="AW162" s="304">
        <f t="shared" si="17"/>
        <v>13</v>
      </c>
    </row>
    <row r="163" spans="1:49">
      <c r="A163" s="304" t="str">
        <f ca="1">IF(LEFT(OFFSET(COM_2012!$A$60,AW163,0),2)="\I","*","")</f>
        <v>*</v>
      </c>
      <c r="B163" s="369" t="str">
        <f t="shared" ca="1" si="16"/>
        <v/>
      </c>
      <c r="C163" s="369" t="str">
        <f ca="1">IF($A163="*","",OFFSET(COM_2012!$B$60,AW163,0))</f>
        <v/>
      </c>
      <c r="D163" s="369" t="str">
        <f t="shared" ca="1" si="18"/>
        <v/>
      </c>
      <c r="E163" s="369" t="str">
        <f t="shared" ca="1" si="18"/>
        <v/>
      </c>
      <c r="F163" s="369" t="str">
        <f t="shared" ca="1" si="18"/>
        <v/>
      </c>
      <c r="G163" s="369" t="str">
        <f t="shared" ca="1" si="18"/>
        <v/>
      </c>
      <c r="H163" s="369" t="str">
        <f t="shared" ca="1" si="18"/>
        <v/>
      </c>
      <c r="I163" s="370" t="str">
        <f t="shared" ca="1" si="18"/>
        <v/>
      </c>
      <c r="J163" s="391" t="str">
        <f ca="1">IF($A163="*","",OFFSET(COM_2012!$B$60,AW163,SUMIF($B$10:$B$16,B163,$AX$10:$AX$16)))</f>
        <v/>
      </c>
      <c r="K163" s="369" t="str">
        <f ca="1">IF($B163&lt;&gt;"PRC_RESID","",IF(K$7=2005+OFFSET(COM_2012!$B$60,$AW163,SUMIF($B$10:$B$16,"NCAP_TLIFE",$AX$10:$AX$16)),0,""))</f>
        <v/>
      </c>
      <c r="L163" s="369" t="str">
        <f ca="1">IF($B163&lt;&gt;"PRC_RESID","",IF(L$7=2005+OFFSET(COM_2012!$B$60,$AW163,SUMIF($B$10:$B$16,"NCAP_TLIFE",$AX$10:$AX$16)),0,""))</f>
        <v/>
      </c>
      <c r="M163" s="369" t="str">
        <f ca="1">IF($B163&lt;&gt;"PRC_RESID","",IF(M$7=2005+OFFSET(COM_2012!$B$60,$AW163,SUMIF($B$10:$B$16,"NCAP_TLIFE",$AX$10:$AX$16)),0,""))</f>
        <v/>
      </c>
      <c r="N163" s="369" t="str">
        <f ca="1">IF($B163&lt;&gt;"PRC_RESID","",IF(N$7=2005+OFFSET(COM_2012!$B$60,$AW163,SUMIF($B$10:$B$16,"NCAP_TLIFE",$AX$10:$AX$16)),0,""))</f>
        <v/>
      </c>
      <c r="O163" s="658" t="str">
        <f ca="1">IF($B163&lt;&gt;"PRC_RESID","",IF(O$7=2005+OFFSET(COM_2012!$B$60,$AW163,SUMIF($B$10:$B$16,"NCAP_TLIFE",$AX$10:$AX$16)),0,""))</f>
        <v/>
      </c>
      <c r="P163" s="369" t="str">
        <f ca="1">IF($B163&lt;&gt;"PRC_RESID","",IF(P$7=2005+OFFSET(COM_2012!$B$60,$AW163,SUMIF($B$10:$B$16,"NCAP_TLIFE",$AX$10:$AX$16)),0,""))</f>
        <v/>
      </c>
      <c r="Q163" s="369" t="str">
        <f ca="1">IF($B163&lt;&gt;"PRC_RESID","",IF(Q$7=2005+OFFSET(COM_2012!$B$60,$AW163,SUMIF($B$10:$B$16,"NCAP_TLIFE",$AX$10:$AX$16)),0,""))</f>
        <v/>
      </c>
      <c r="R163" s="369" t="str">
        <f ca="1">IF($B163&lt;&gt;"PRC_RESID","",IF(R$7=2005+OFFSET(COM_2012!$B$60,$AW163,SUMIF($B$10:$B$16,"NCAP_TLIFE",$AX$10:$AX$16)),0,""))</f>
        <v/>
      </c>
      <c r="S163" s="369" t="str">
        <f ca="1">IF($B163&lt;&gt;"PRC_RESID","",IF(S$7=2005+OFFSET(COM_2012!$B$60,$AW163,SUMIF($B$10:$B$16,"NCAP_TLIFE",$AX$10:$AX$16)),0,""))</f>
        <v/>
      </c>
      <c r="T163" s="369" t="str">
        <f ca="1">IF($B163&lt;&gt;"PRC_RESID","",IF(T$7=2005+OFFSET(COM_2012!$B$60,$AW163,SUMIF($B$10:$B$16,"NCAP_TLIFE",$AX$10:$AX$16)),0,""))</f>
        <v/>
      </c>
      <c r="U163" s="369" t="str">
        <f ca="1">IF($B163&lt;&gt;"PRC_RESID","",IF(U$7=2005+OFFSET(COM_2012!$B$60,$AW163,SUMIF($B$10:$B$16,"NCAP_TLIFE",$AX$10:$AX$16)),0,""))</f>
        <v/>
      </c>
      <c r="V163" s="369" t="str">
        <f ca="1">IF($B163&lt;&gt;"PRC_RESID","",IF(V$7=2005+OFFSET(COM_2012!$B$60,$AW163,SUMIF($B$10:$B$16,"NCAP_TLIFE",$AX$10:$AX$16)),0,""))</f>
        <v/>
      </c>
      <c r="W163" s="369" t="str">
        <f ca="1">IF($B163&lt;&gt;"PRC_RESID","",IF(W$7=2005+OFFSET(COM_2012!$B$60,$AW163,SUMIF($B$10:$B$16,"NCAP_TLIFE",$AX$10:$AX$16)),0,""))</f>
        <v/>
      </c>
      <c r="X163" s="369" t="str">
        <f ca="1">IF($B163&lt;&gt;"PRC_RESID","",IF(X$7=2005+OFFSET(COM_2012!$B$60,$AW163,SUMIF($B$10:$B$16,"NCAP_TLIFE",$AX$10:$AX$16)),0,""))</f>
        <v/>
      </c>
      <c r="Y163" s="369" t="str">
        <f ca="1">IF($B163&lt;&gt;"PRC_RESID","",IF(Y$7=2005+OFFSET(COM_2012!$B$60,$AW163,SUMIF($B$10:$B$16,"NCAP_TLIFE",$AX$10:$AX$16)),0,""))</f>
        <v/>
      </c>
      <c r="Z163" s="369" t="str">
        <f ca="1">IF($B163&lt;&gt;"PRC_RESID","",IF(Z$7=2005+OFFSET(COM_2012!$B$60,$AW163,SUMIF($B$10:$B$16,"NCAP_TLIFE",$AX$10:$AX$16)),0,""))</f>
        <v/>
      </c>
      <c r="AA163" s="369" t="str">
        <f ca="1">IF($B163&lt;&gt;"PRC_RESID","",IF(AA$7=2005+OFFSET(COM_2012!$B$60,$AW163,SUMIF($B$10:$B$16,"NCAP_TLIFE",$AX$10:$AX$16)),0,""))</f>
        <v/>
      </c>
      <c r="AB163" s="369" t="str">
        <f ca="1">IF($B163&lt;&gt;"PRC_RESID","",IF(AB$7=2005+OFFSET(COM_2012!$B$60,$AW163,SUMIF($B$10:$B$16,"NCAP_TLIFE",$AX$10:$AX$16)),0,""))</f>
        <v/>
      </c>
      <c r="AC163" s="369" t="str">
        <f ca="1">IF($B163&lt;&gt;"PRC_RESID","",IF(AC$7=2005+OFFSET(COM_2012!$B$60,$AW163,SUMIF($B$10:$B$16,"NCAP_TLIFE",$AX$10:$AX$16)),0,""))</f>
        <v/>
      </c>
      <c r="AD163" s="369" t="str">
        <f ca="1">IF($B163&lt;&gt;"PRC_RESID","",IF(AD$7=2005+OFFSET(COM_2012!$B$60,$AW163,SUMIF($B$10:$B$16,"NCAP_TLIFE",$AX$10:$AX$16)),0,""))</f>
        <v/>
      </c>
      <c r="AE163" s="369" t="str">
        <f ca="1">IF($B163&lt;&gt;"PRC_RESID","",IF(AE$7=2005+OFFSET(COM_2012!$B$60,$AW163,SUMIF($B$10:$B$16,"NCAP_TLIFE",$AX$10:$AX$16)),0,""))</f>
        <v/>
      </c>
      <c r="AF163" s="369" t="str">
        <f ca="1">IF($B163&lt;&gt;"PRC_RESID","",IF(AF$7=2005+OFFSET(COM_2012!$B$60,$AW163,SUMIF($B$10:$B$16,"NCAP_TLIFE",$AX$10:$AX$16)),0,""))</f>
        <v/>
      </c>
      <c r="AG163" s="369" t="str">
        <f ca="1">IF($B163&lt;&gt;"PRC_RESID","",IF(AG$7=2005+OFFSET(COM_2012!$B$60,$AW163,SUMIF($B$10:$B$16,"NCAP_TLIFE",$AX$10:$AX$16)),0,""))</f>
        <v/>
      </c>
      <c r="AH163" s="369" t="str">
        <f ca="1">IF($B163&lt;&gt;"PRC_RESID","",IF(AH$7=2005+OFFSET(COM_2012!$B$60,$AW163,SUMIF($B$10:$B$16,"NCAP_TLIFE",$AX$10:$AX$16)),0,""))</f>
        <v/>
      </c>
      <c r="AI163" s="369" t="str">
        <f ca="1">IF($B163&lt;&gt;"PRC_RESID","",IF(AI$7=2005+OFFSET(COM_2012!$B$60,$AW163,SUMIF($B$10:$B$16,"NCAP_TLIFE",$AX$10:$AX$16)),0,""))</f>
        <v/>
      </c>
      <c r="AJ163" s="369" t="str">
        <f ca="1">IF($B163&lt;&gt;"PRC_RESID","",IF(AJ$7=2005+OFFSET(COM_2012!$B$60,$AW163,SUMIF($B$10:$B$16,"NCAP_TLIFE",$AX$10:$AX$16)),0,""))</f>
        <v/>
      </c>
      <c r="AK163" s="369" t="str">
        <f ca="1">IF($B163&lt;&gt;"PRC_RESID","",IF(AK$7=2005+OFFSET(COM_2012!$B$60,$AW163,SUMIF($B$10:$B$16,"NCAP_TLIFE",$AX$10:$AX$16)),0,""))</f>
        <v/>
      </c>
      <c r="AL163" s="369" t="str">
        <f ca="1">IF($B163&lt;&gt;"PRC_RESID","",IF(AL$7=2005+OFFSET(COM_2012!$B$60,$AW163,SUMIF($B$10:$B$16,"NCAP_TLIFE",$AX$10:$AX$16)),0,""))</f>
        <v/>
      </c>
      <c r="AM163" s="369" t="str">
        <f ca="1">IF($B163&lt;&gt;"PRC_RESID","",IF(AM$7=2005+OFFSET(COM_2012!$B$60,$AW163,SUMIF($B$10:$B$16,"NCAP_TLIFE",$AX$10:$AX$16)),0,""))</f>
        <v/>
      </c>
      <c r="AN163" s="369" t="str">
        <f ca="1">IF($B163&lt;&gt;"PRC_RESID","",IF(AN$7=2005+OFFSET(COM_2012!$B$60,$AW163,SUMIF($B$10:$B$16,"NCAP_TLIFE",$AX$10:$AX$16)),0,""))</f>
        <v/>
      </c>
      <c r="AO163" s="369" t="str">
        <f ca="1">IF($B163&lt;&gt;"PRC_RESID","",IF(AO$7=2005+OFFSET(COM_2012!$B$60,$AW163,SUMIF($B$10:$B$16,"NCAP_TLIFE",$AX$10:$AX$16)),0,""))</f>
        <v/>
      </c>
      <c r="AP163" s="369" t="str">
        <f ca="1">IF($B163&lt;&gt;"PRC_RESID","",IF(AP$7=2005+OFFSET(COM_2012!$B$60,$AW163,SUMIF($B$10:$B$16,"NCAP_TLIFE",$AX$10:$AX$16)),0,""))</f>
        <v/>
      </c>
      <c r="AQ163" s="369" t="str">
        <f ca="1">IF($B163&lt;&gt;"PRC_RESID","",IF(AQ$7=2005+OFFSET(COM_2012!$B$60,$AW163,SUMIF($B$10:$B$16,"NCAP_TLIFE",$AX$10:$AX$16)),0,""))</f>
        <v/>
      </c>
      <c r="AR163" s="369" t="str">
        <f ca="1">IF($B163&lt;&gt;"PRC_RESID","",IF(AR$7=2005+OFFSET(COM_2012!$B$60,$AW163,SUMIF($B$10:$B$16,"NCAP_TLIFE",$AX$10:$AX$16)),0,""))</f>
        <v/>
      </c>
      <c r="AS163" s="369" t="str">
        <f ca="1">IF($B163&lt;&gt;"PRC_RESID","",IF(AS$7=2005+OFFSET(COM_2012!$B$60,$AW163,SUMIF($B$10:$B$16,"NCAP_TLIFE",$AX$10:$AX$16)),0,""))</f>
        <v/>
      </c>
      <c r="AT163" s="369" t="str">
        <f ca="1">IF($B163&lt;&gt;"PRC_RESID","",IF(AT$7=2005+OFFSET(COM_2012!$B$60,$AW163,SUMIF($B$10:$B$16,"NCAP_TLIFE",$AX$10:$AX$16)),0,""))</f>
        <v/>
      </c>
      <c r="AU163" s="369" t="str">
        <f ca="1">IF($B163&lt;&gt;"PRC_RESID","",IF(AU$7=2005+OFFSET(COM_2012!$B$60,$AW163,SUMIF($B$10:$B$16,"NCAP_TLIFE",$AX$10:$AX$16)),0,""))</f>
        <v/>
      </c>
      <c r="AV163" s="304">
        <f>IF(AW162=COM_2012!$AI$121,AV162+1,AV162)</f>
        <v>3</v>
      </c>
      <c r="AW163" s="304">
        <f t="shared" si="17"/>
        <v>14</v>
      </c>
    </row>
    <row r="164" spans="1:49">
      <c r="A164" s="304" t="str">
        <f ca="1">IF(LEFT(OFFSET(COM_2012!$A$60,AW164,0),2)="\I","*","")</f>
        <v>*</v>
      </c>
      <c r="B164" s="369" t="str">
        <f t="shared" ca="1" si="16"/>
        <v/>
      </c>
      <c r="C164" s="369" t="str">
        <f ca="1">IF($A164="*","",OFFSET(COM_2012!$B$60,AW164,0))</f>
        <v/>
      </c>
      <c r="D164" s="369" t="str">
        <f t="shared" ca="1" si="18"/>
        <v/>
      </c>
      <c r="E164" s="369" t="str">
        <f t="shared" ca="1" si="18"/>
        <v/>
      </c>
      <c r="F164" s="369" t="str">
        <f t="shared" ca="1" si="18"/>
        <v/>
      </c>
      <c r="G164" s="369" t="str">
        <f t="shared" ca="1" si="18"/>
        <v/>
      </c>
      <c r="H164" s="369" t="str">
        <f t="shared" ca="1" si="18"/>
        <v/>
      </c>
      <c r="I164" s="370" t="str">
        <f t="shared" ca="1" si="18"/>
        <v/>
      </c>
      <c r="J164" s="391" t="str">
        <f ca="1">IF($A164="*","",OFFSET(COM_2012!$B$60,AW164,SUMIF($B$10:$B$16,B164,$AX$10:$AX$16)))</f>
        <v/>
      </c>
      <c r="K164" s="369" t="str">
        <f ca="1">IF($B164&lt;&gt;"PRC_RESID","",IF(K$7=2005+OFFSET(COM_2012!$B$60,$AW164,SUMIF($B$10:$B$16,"NCAP_TLIFE",$AX$10:$AX$16)),0,""))</f>
        <v/>
      </c>
      <c r="L164" s="369" t="str">
        <f ca="1">IF($B164&lt;&gt;"PRC_RESID","",IF(L$7=2005+OFFSET(COM_2012!$B$60,$AW164,SUMIF($B$10:$B$16,"NCAP_TLIFE",$AX$10:$AX$16)),0,""))</f>
        <v/>
      </c>
      <c r="M164" s="369" t="str">
        <f ca="1">IF($B164&lt;&gt;"PRC_RESID","",IF(M$7=2005+OFFSET(COM_2012!$B$60,$AW164,SUMIF($B$10:$B$16,"NCAP_TLIFE",$AX$10:$AX$16)),0,""))</f>
        <v/>
      </c>
      <c r="N164" s="369" t="str">
        <f ca="1">IF($B164&lt;&gt;"PRC_RESID","",IF(N$7=2005+OFFSET(COM_2012!$B$60,$AW164,SUMIF($B$10:$B$16,"NCAP_TLIFE",$AX$10:$AX$16)),0,""))</f>
        <v/>
      </c>
      <c r="O164" s="658" t="str">
        <f ca="1">IF($B164&lt;&gt;"PRC_RESID","",IF(O$7=2005+OFFSET(COM_2012!$B$60,$AW164,SUMIF($B$10:$B$16,"NCAP_TLIFE",$AX$10:$AX$16)),0,""))</f>
        <v/>
      </c>
      <c r="P164" s="369" t="str">
        <f ca="1">IF($B164&lt;&gt;"PRC_RESID","",IF(P$7=2005+OFFSET(COM_2012!$B$60,$AW164,SUMIF($B$10:$B$16,"NCAP_TLIFE",$AX$10:$AX$16)),0,""))</f>
        <v/>
      </c>
      <c r="Q164" s="369" t="str">
        <f ca="1">IF($B164&lt;&gt;"PRC_RESID","",IF(Q$7=2005+OFFSET(COM_2012!$B$60,$AW164,SUMIF($B$10:$B$16,"NCAP_TLIFE",$AX$10:$AX$16)),0,""))</f>
        <v/>
      </c>
      <c r="R164" s="369" t="str">
        <f ca="1">IF($B164&lt;&gt;"PRC_RESID","",IF(R$7=2005+OFFSET(COM_2012!$B$60,$AW164,SUMIF($B$10:$B$16,"NCAP_TLIFE",$AX$10:$AX$16)),0,""))</f>
        <v/>
      </c>
      <c r="S164" s="369" t="str">
        <f ca="1">IF($B164&lt;&gt;"PRC_RESID","",IF(S$7=2005+OFFSET(COM_2012!$B$60,$AW164,SUMIF($B$10:$B$16,"NCAP_TLIFE",$AX$10:$AX$16)),0,""))</f>
        <v/>
      </c>
      <c r="T164" s="369" t="str">
        <f ca="1">IF($B164&lt;&gt;"PRC_RESID","",IF(T$7=2005+OFFSET(COM_2012!$B$60,$AW164,SUMIF($B$10:$B$16,"NCAP_TLIFE",$AX$10:$AX$16)),0,""))</f>
        <v/>
      </c>
      <c r="U164" s="369" t="str">
        <f ca="1">IF($B164&lt;&gt;"PRC_RESID","",IF(U$7=2005+OFFSET(COM_2012!$B$60,$AW164,SUMIF($B$10:$B$16,"NCAP_TLIFE",$AX$10:$AX$16)),0,""))</f>
        <v/>
      </c>
      <c r="V164" s="369" t="str">
        <f ca="1">IF($B164&lt;&gt;"PRC_RESID","",IF(V$7=2005+OFFSET(COM_2012!$B$60,$AW164,SUMIF($B$10:$B$16,"NCAP_TLIFE",$AX$10:$AX$16)),0,""))</f>
        <v/>
      </c>
      <c r="W164" s="369" t="str">
        <f ca="1">IF($B164&lt;&gt;"PRC_RESID","",IF(W$7=2005+OFFSET(COM_2012!$B$60,$AW164,SUMIF($B$10:$B$16,"NCAP_TLIFE",$AX$10:$AX$16)),0,""))</f>
        <v/>
      </c>
      <c r="X164" s="369" t="str">
        <f ca="1">IF($B164&lt;&gt;"PRC_RESID","",IF(X$7=2005+OFFSET(COM_2012!$B$60,$AW164,SUMIF($B$10:$B$16,"NCAP_TLIFE",$AX$10:$AX$16)),0,""))</f>
        <v/>
      </c>
      <c r="Y164" s="369" t="str">
        <f ca="1">IF($B164&lt;&gt;"PRC_RESID","",IF(Y$7=2005+OFFSET(COM_2012!$B$60,$AW164,SUMIF($B$10:$B$16,"NCAP_TLIFE",$AX$10:$AX$16)),0,""))</f>
        <v/>
      </c>
      <c r="Z164" s="369" t="str">
        <f ca="1">IF($B164&lt;&gt;"PRC_RESID","",IF(Z$7=2005+OFFSET(COM_2012!$B$60,$AW164,SUMIF($B$10:$B$16,"NCAP_TLIFE",$AX$10:$AX$16)),0,""))</f>
        <v/>
      </c>
      <c r="AA164" s="369" t="str">
        <f ca="1">IF($B164&lt;&gt;"PRC_RESID","",IF(AA$7=2005+OFFSET(COM_2012!$B$60,$AW164,SUMIF($B$10:$B$16,"NCAP_TLIFE",$AX$10:$AX$16)),0,""))</f>
        <v/>
      </c>
      <c r="AB164" s="369" t="str">
        <f ca="1">IF($B164&lt;&gt;"PRC_RESID","",IF(AB$7=2005+OFFSET(COM_2012!$B$60,$AW164,SUMIF($B$10:$B$16,"NCAP_TLIFE",$AX$10:$AX$16)),0,""))</f>
        <v/>
      </c>
      <c r="AC164" s="369" t="str">
        <f ca="1">IF($B164&lt;&gt;"PRC_RESID","",IF(AC$7=2005+OFFSET(COM_2012!$B$60,$AW164,SUMIF($B$10:$B$16,"NCAP_TLIFE",$AX$10:$AX$16)),0,""))</f>
        <v/>
      </c>
      <c r="AD164" s="369" t="str">
        <f ca="1">IF($B164&lt;&gt;"PRC_RESID","",IF(AD$7=2005+OFFSET(COM_2012!$B$60,$AW164,SUMIF($B$10:$B$16,"NCAP_TLIFE",$AX$10:$AX$16)),0,""))</f>
        <v/>
      </c>
      <c r="AE164" s="369" t="str">
        <f ca="1">IF($B164&lt;&gt;"PRC_RESID","",IF(AE$7=2005+OFFSET(COM_2012!$B$60,$AW164,SUMIF($B$10:$B$16,"NCAP_TLIFE",$AX$10:$AX$16)),0,""))</f>
        <v/>
      </c>
      <c r="AF164" s="369" t="str">
        <f ca="1">IF($B164&lt;&gt;"PRC_RESID","",IF(AF$7=2005+OFFSET(COM_2012!$B$60,$AW164,SUMIF($B$10:$B$16,"NCAP_TLIFE",$AX$10:$AX$16)),0,""))</f>
        <v/>
      </c>
      <c r="AG164" s="369" t="str">
        <f ca="1">IF($B164&lt;&gt;"PRC_RESID","",IF(AG$7=2005+OFFSET(COM_2012!$B$60,$AW164,SUMIF($B$10:$B$16,"NCAP_TLIFE",$AX$10:$AX$16)),0,""))</f>
        <v/>
      </c>
      <c r="AH164" s="369" t="str">
        <f ca="1">IF($B164&lt;&gt;"PRC_RESID","",IF(AH$7=2005+OFFSET(COM_2012!$B$60,$AW164,SUMIF($B$10:$B$16,"NCAP_TLIFE",$AX$10:$AX$16)),0,""))</f>
        <v/>
      </c>
      <c r="AI164" s="369" t="str">
        <f ca="1">IF($B164&lt;&gt;"PRC_RESID","",IF(AI$7=2005+OFFSET(COM_2012!$B$60,$AW164,SUMIF($B$10:$B$16,"NCAP_TLIFE",$AX$10:$AX$16)),0,""))</f>
        <v/>
      </c>
      <c r="AJ164" s="369" t="str">
        <f ca="1">IF($B164&lt;&gt;"PRC_RESID","",IF(AJ$7=2005+OFFSET(COM_2012!$B$60,$AW164,SUMIF($B$10:$B$16,"NCAP_TLIFE",$AX$10:$AX$16)),0,""))</f>
        <v/>
      </c>
      <c r="AK164" s="369" t="str">
        <f ca="1">IF($B164&lt;&gt;"PRC_RESID","",IF(AK$7=2005+OFFSET(COM_2012!$B$60,$AW164,SUMIF($B$10:$B$16,"NCAP_TLIFE",$AX$10:$AX$16)),0,""))</f>
        <v/>
      </c>
      <c r="AL164" s="369" t="str">
        <f ca="1">IF($B164&lt;&gt;"PRC_RESID","",IF(AL$7=2005+OFFSET(COM_2012!$B$60,$AW164,SUMIF($B$10:$B$16,"NCAP_TLIFE",$AX$10:$AX$16)),0,""))</f>
        <v/>
      </c>
      <c r="AM164" s="369" t="str">
        <f ca="1">IF($B164&lt;&gt;"PRC_RESID","",IF(AM$7=2005+OFFSET(COM_2012!$B$60,$AW164,SUMIF($B$10:$B$16,"NCAP_TLIFE",$AX$10:$AX$16)),0,""))</f>
        <v/>
      </c>
      <c r="AN164" s="369" t="str">
        <f ca="1">IF($B164&lt;&gt;"PRC_RESID","",IF(AN$7=2005+OFFSET(COM_2012!$B$60,$AW164,SUMIF($B$10:$B$16,"NCAP_TLIFE",$AX$10:$AX$16)),0,""))</f>
        <v/>
      </c>
      <c r="AO164" s="369" t="str">
        <f ca="1">IF($B164&lt;&gt;"PRC_RESID","",IF(AO$7=2005+OFFSET(COM_2012!$B$60,$AW164,SUMIF($B$10:$B$16,"NCAP_TLIFE",$AX$10:$AX$16)),0,""))</f>
        <v/>
      </c>
      <c r="AP164" s="369" t="str">
        <f ca="1">IF($B164&lt;&gt;"PRC_RESID","",IF(AP$7=2005+OFFSET(COM_2012!$B$60,$AW164,SUMIF($B$10:$B$16,"NCAP_TLIFE",$AX$10:$AX$16)),0,""))</f>
        <v/>
      </c>
      <c r="AQ164" s="369" t="str">
        <f ca="1">IF($B164&lt;&gt;"PRC_RESID","",IF(AQ$7=2005+OFFSET(COM_2012!$B$60,$AW164,SUMIF($B$10:$B$16,"NCAP_TLIFE",$AX$10:$AX$16)),0,""))</f>
        <v/>
      </c>
      <c r="AR164" s="369" t="str">
        <f ca="1">IF($B164&lt;&gt;"PRC_RESID","",IF(AR$7=2005+OFFSET(COM_2012!$B$60,$AW164,SUMIF($B$10:$B$16,"NCAP_TLIFE",$AX$10:$AX$16)),0,""))</f>
        <v/>
      </c>
      <c r="AS164" s="369" t="str">
        <f ca="1">IF($B164&lt;&gt;"PRC_RESID","",IF(AS$7=2005+OFFSET(COM_2012!$B$60,$AW164,SUMIF($B$10:$B$16,"NCAP_TLIFE",$AX$10:$AX$16)),0,""))</f>
        <v/>
      </c>
      <c r="AT164" s="369" t="str">
        <f ca="1">IF($B164&lt;&gt;"PRC_RESID","",IF(AT$7=2005+OFFSET(COM_2012!$B$60,$AW164,SUMIF($B$10:$B$16,"NCAP_TLIFE",$AX$10:$AX$16)),0,""))</f>
        <v/>
      </c>
      <c r="AU164" s="369" t="str">
        <f ca="1">IF($B164&lt;&gt;"PRC_RESID","",IF(AU$7=2005+OFFSET(COM_2012!$B$60,$AW164,SUMIF($B$10:$B$16,"NCAP_TLIFE",$AX$10:$AX$16)),0,""))</f>
        <v/>
      </c>
      <c r="AV164" s="304">
        <f>IF(AW163=COM_2012!$AI$121,AV163+1,AV163)</f>
        <v>3</v>
      </c>
      <c r="AW164" s="304">
        <f t="shared" si="17"/>
        <v>15</v>
      </c>
    </row>
    <row r="165" spans="1:49">
      <c r="A165" s="304" t="str">
        <f ca="1">IF(LEFT(OFFSET(COM_2012!$A$60,AW165,0),2)="\I","*","")</f>
        <v/>
      </c>
      <c r="B165" s="369" t="str">
        <f t="shared" ca="1" si="16"/>
        <v>NCAP_TLIFE</v>
      </c>
      <c r="C165" s="369" t="str">
        <f ca="1">IF($A165="*","",OFFSET(COM_2012!$B$60,AW165,0))</f>
        <v>CEKOLP-E</v>
      </c>
      <c r="D165" s="369" t="str">
        <f t="shared" ca="1" si="18"/>
        <v>-</v>
      </c>
      <c r="E165" s="369" t="str">
        <f t="shared" ca="1" si="18"/>
        <v>-</v>
      </c>
      <c r="F165" s="369" t="str">
        <f t="shared" ca="1" si="18"/>
        <v>-</v>
      </c>
      <c r="G165" s="369" t="str">
        <f t="shared" ca="1" si="18"/>
        <v>-</v>
      </c>
      <c r="H165" s="369" t="str">
        <f t="shared" ca="1" si="18"/>
        <v>-</v>
      </c>
      <c r="I165" s="370">
        <f t="shared" ca="1" si="18"/>
        <v>0</v>
      </c>
      <c r="J165" s="391">
        <f ca="1">IF($A165="*","",OFFSET(COM_2012!$B$60,AW165,SUMIF($B$10:$B$16,B165,$AX$10:$AX$16)))</f>
        <v>15</v>
      </c>
      <c r="K165" s="369" t="str">
        <f ca="1">IF($B165&lt;&gt;"PRC_RESID","",IF(K$7=2005+OFFSET(COM_2012!$B$60,$AW165,SUMIF($B$10:$B$16,"NCAP_TLIFE",$AX$10:$AX$16)),0,""))</f>
        <v/>
      </c>
      <c r="L165" s="369" t="str">
        <f ca="1">IF($B165&lt;&gt;"PRC_RESID","",IF(L$7=2005+OFFSET(COM_2012!$B$60,$AW165,SUMIF($B$10:$B$16,"NCAP_TLIFE",$AX$10:$AX$16)),0,""))</f>
        <v/>
      </c>
      <c r="M165" s="369" t="str">
        <f ca="1">IF($B165&lt;&gt;"PRC_RESID","",IF(M$7=2005+OFFSET(COM_2012!$B$60,$AW165,SUMIF($B$10:$B$16,"NCAP_TLIFE",$AX$10:$AX$16)),0,""))</f>
        <v/>
      </c>
      <c r="N165" s="369" t="str">
        <f ca="1">IF($B165&lt;&gt;"PRC_RESID","",IF(N$7=2005+OFFSET(COM_2012!$B$60,$AW165,SUMIF($B$10:$B$16,"NCAP_TLIFE",$AX$10:$AX$16)),0,""))</f>
        <v/>
      </c>
      <c r="O165" s="658" t="str">
        <f ca="1">IF($B165&lt;&gt;"PRC_RESID","",IF(O$7=2005+OFFSET(COM_2012!$B$60,$AW165,SUMIF($B$10:$B$16,"NCAP_TLIFE",$AX$10:$AX$16)),0,""))</f>
        <v/>
      </c>
      <c r="P165" s="369" t="str">
        <f ca="1">IF($B165&lt;&gt;"PRC_RESID","",IF(P$7=2005+OFFSET(COM_2012!$B$60,$AW165,SUMIF($B$10:$B$16,"NCAP_TLIFE",$AX$10:$AX$16)),0,""))</f>
        <v/>
      </c>
      <c r="Q165" s="369" t="str">
        <f ca="1">IF($B165&lt;&gt;"PRC_RESID","",IF(Q$7=2005+OFFSET(COM_2012!$B$60,$AW165,SUMIF($B$10:$B$16,"NCAP_TLIFE",$AX$10:$AX$16)),0,""))</f>
        <v/>
      </c>
      <c r="R165" s="369" t="str">
        <f ca="1">IF($B165&lt;&gt;"PRC_RESID","",IF(R$7=2005+OFFSET(COM_2012!$B$60,$AW165,SUMIF($B$10:$B$16,"NCAP_TLIFE",$AX$10:$AX$16)),0,""))</f>
        <v/>
      </c>
      <c r="S165" s="369" t="str">
        <f ca="1">IF($B165&lt;&gt;"PRC_RESID","",IF(S$7=2005+OFFSET(COM_2012!$B$60,$AW165,SUMIF($B$10:$B$16,"NCAP_TLIFE",$AX$10:$AX$16)),0,""))</f>
        <v/>
      </c>
      <c r="T165" s="369" t="str">
        <f ca="1">IF($B165&lt;&gt;"PRC_RESID","",IF(T$7=2005+OFFSET(COM_2012!$B$60,$AW165,SUMIF($B$10:$B$16,"NCAP_TLIFE",$AX$10:$AX$16)),0,""))</f>
        <v/>
      </c>
      <c r="U165" s="369" t="str">
        <f ca="1">IF($B165&lt;&gt;"PRC_RESID","",IF(U$7=2005+OFFSET(COM_2012!$B$60,$AW165,SUMIF($B$10:$B$16,"NCAP_TLIFE",$AX$10:$AX$16)),0,""))</f>
        <v/>
      </c>
      <c r="V165" s="369" t="str">
        <f ca="1">IF($B165&lt;&gt;"PRC_RESID","",IF(V$7=2005+OFFSET(COM_2012!$B$60,$AW165,SUMIF($B$10:$B$16,"NCAP_TLIFE",$AX$10:$AX$16)),0,""))</f>
        <v/>
      </c>
      <c r="W165" s="369" t="str">
        <f ca="1">IF($B165&lt;&gt;"PRC_RESID","",IF(W$7=2005+OFFSET(COM_2012!$B$60,$AW165,SUMIF($B$10:$B$16,"NCAP_TLIFE",$AX$10:$AX$16)),0,""))</f>
        <v/>
      </c>
      <c r="X165" s="369" t="str">
        <f ca="1">IF($B165&lt;&gt;"PRC_RESID","",IF(X$7=2005+OFFSET(COM_2012!$B$60,$AW165,SUMIF($B$10:$B$16,"NCAP_TLIFE",$AX$10:$AX$16)),0,""))</f>
        <v/>
      </c>
      <c r="Y165" s="369" t="str">
        <f ca="1">IF($B165&lt;&gt;"PRC_RESID","",IF(Y$7=2005+OFFSET(COM_2012!$B$60,$AW165,SUMIF($B$10:$B$16,"NCAP_TLIFE",$AX$10:$AX$16)),0,""))</f>
        <v/>
      </c>
      <c r="Z165" s="369" t="str">
        <f ca="1">IF($B165&lt;&gt;"PRC_RESID","",IF(Z$7=2005+OFFSET(COM_2012!$B$60,$AW165,SUMIF($B$10:$B$16,"NCAP_TLIFE",$AX$10:$AX$16)),0,""))</f>
        <v/>
      </c>
      <c r="AA165" s="369" t="str">
        <f ca="1">IF($B165&lt;&gt;"PRC_RESID","",IF(AA$7=2005+OFFSET(COM_2012!$B$60,$AW165,SUMIF($B$10:$B$16,"NCAP_TLIFE",$AX$10:$AX$16)),0,""))</f>
        <v/>
      </c>
      <c r="AB165" s="369" t="str">
        <f ca="1">IF($B165&lt;&gt;"PRC_RESID","",IF(AB$7=2005+OFFSET(COM_2012!$B$60,$AW165,SUMIF($B$10:$B$16,"NCAP_TLIFE",$AX$10:$AX$16)),0,""))</f>
        <v/>
      </c>
      <c r="AC165" s="369" t="str">
        <f ca="1">IF($B165&lt;&gt;"PRC_RESID","",IF(AC$7=2005+OFFSET(COM_2012!$B$60,$AW165,SUMIF($B$10:$B$16,"NCAP_TLIFE",$AX$10:$AX$16)),0,""))</f>
        <v/>
      </c>
      <c r="AD165" s="369" t="str">
        <f ca="1">IF($B165&lt;&gt;"PRC_RESID","",IF(AD$7=2005+OFFSET(COM_2012!$B$60,$AW165,SUMIF($B$10:$B$16,"NCAP_TLIFE",$AX$10:$AX$16)),0,""))</f>
        <v/>
      </c>
      <c r="AE165" s="369" t="str">
        <f ca="1">IF($B165&lt;&gt;"PRC_RESID","",IF(AE$7=2005+OFFSET(COM_2012!$B$60,$AW165,SUMIF($B$10:$B$16,"NCAP_TLIFE",$AX$10:$AX$16)),0,""))</f>
        <v/>
      </c>
      <c r="AF165" s="369" t="str">
        <f ca="1">IF($B165&lt;&gt;"PRC_RESID","",IF(AF$7=2005+OFFSET(COM_2012!$B$60,$AW165,SUMIF($B$10:$B$16,"NCAP_TLIFE",$AX$10:$AX$16)),0,""))</f>
        <v/>
      </c>
      <c r="AG165" s="369" t="str">
        <f ca="1">IF($B165&lt;&gt;"PRC_RESID","",IF(AG$7=2005+OFFSET(COM_2012!$B$60,$AW165,SUMIF($B$10:$B$16,"NCAP_TLIFE",$AX$10:$AX$16)),0,""))</f>
        <v/>
      </c>
      <c r="AH165" s="369" t="str">
        <f ca="1">IF($B165&lt;&gt;"PRC_RESID","",IF(AH$7=2005+OFFSET(COM_2012!$B$60,$AW165,SUMIF($B$10:$B$16,"NCAP_TLIFE",$AX$10:$AX$16)),0,""))</f>
        <v/>
      </c>
      <c r="AI165" s="369" t="str">
        <f ca="1">IF($B165&lt;&gt;"PRC_RESID","",IF(AI$7=2005+OFFSET(COM_2012!$B$60,$AW165,SUMIF($B$10:$B$16,"NCAP_TLIFE",$AX$10:$AX$16)),0,""))</f>
        <v/>
      </c>
      <c r="AJ165" s="369" t="str">
        <f ca="1">IF($B165&lt;&gt;"PRC_RESID","",IF(AJ$7=2005+OFFSET(COM_2012!$B$60,$AW165,SUMIF($B$10:$B$16,"NCAP_TLIFE",$AX$10:$AX$16)),0,""))</f>
        <v/>
      </c>
      <c r="AK165" s="369" t="str">
        <f ca="1">IF($B165&lt;&gt;"PRC_RESID","",IF(AK$7=2005+OFFSET(COM_2012!$B$60,$AW165,SUMIF($B$10:$B$16,"NCAP_TLIFE",$AX$10:$AX$16)),0,""))</f>
        <v/>
      </c>
      <c r="AL165" s="369" t="str">
        <f ca="1">IF($B165&lt;&gt;"PRC_RESID","",IF(AL$7=2005+OFFSET(COM_2012!$B$60,$AW165,SUMIF($B$10:$B$16,"NCAP_TLIFE",$AX$10:$AX$16)),0,""))</f>
        <v/>
      </c>
      <c r="AM165" s="369" t="str">
        <f ca="1">IF($B165&lt;&gt;"PRC_RESID","",IF(AM$7=2005+OFFSET(COM_2012!$B$60,$AW165,SUMIF($B$10:$B$16,"NCAP_TLIFE",$AX$10:$AX$16)),0,""))</f>
        <v/>
      </c>
      <c r="AN165" s="369" t="str">
        <f ca="1">IF($B165&lt;&gt;"PRC_RESID","",IF(AN$7=2005+OFFSET(COM_2012!$B$60,$AW165,SUMIF($B$10:$B$16,"NCAP_TLIFE",$AX$10:$AX$16)),0,""))</f>
        <v/>
      </c>
      <c r="AO165" s="369" t="str">
        <f ca="1">IF($B165&lt;&gt;"PRC_RESID","",IF(AO$7=2005+OFFSET(COM_2012!$B$60,$AW165,SUMIF($B$10:$B$16,"NCAP_TLIFE",$AX$10:$AX$16)),0,""))</f>
        <v/>
      </c>
      <c r="AP165" s="369" t="str">
        <f ca="1">IF($B165&lt;&gt;"PRC_RESID","",IF(AP$7=2005+OFFSET(COM_2012!$B$60,$AW165,SUMIF($B$10:$B$16,"NCAP_TLIFE",$AX$10:$AX$16)),0,""))</f>
        <v/>
      </c>
      <c r="AQ165" s="369" t="str">
        <f ca="1">IF($B165&lt;&gt;"PRC_RESID","",IF(AQ$7=2005+OFFSET(COM_2012!$B$60,$AW165,SUMIF($B$10:$B$16,"NCAP_TLIFE",$AX$10:$AX$16)),0,""))</f>
        <v/>
      </c>
      <c r="AR165" s="369" t="str">
        <f ca="1">IF($B165&lt;&gt;"PRC_RESID","",IF(AR$7=2005+OFFSET(COM_2012!$B$60,$AW165,SUMIF($B$10:$B$16,"NCAP_TLIFE",$AX$10:$AX$16)),0,""))</f>
        <v/>
      </c>
      <c r="AS165" s="369" t="str">
        <f ca="1">IF($B165&lt;&gt;"PRC_RESID","",IF(AS$7=2005+OFFSET(COM_2012!$B$60,$AW165,SUMIF($B$10:$B$16,"NCAP_TLIFE",$AX$10:$AX$16)),0,""))</f>
        <v/>
      </c>
      <c r="AT165" s="369" t="str">
        <f ca="1">IF($B165&lt;&gt;"PRC_RESID","",IF(AT$7=2005+OFFSET(COM_2012!$B$60,$AW165,SUMIF($B$10:$B$16,"NCAP_TLIFE",$AX$10:$AX$16)),0,""))</f>
        <v/>
      </c>
      <c r="AU165" s="369" t="str">
        <f ca="1">IF($B165&lt;&gt;"PRC_RESID","",IF(AU$7=2005+OFFSET(COM_2012!$B$60,$AW165,SUMIF($B$10:$B$16,"NCAP_TLIFE",$AX$10:$AX$16)),0,""))</f>
        <v/>
      </c>
      <c r="AV165" s="304">
        <f>IF(AW164=COM_2012!$AI$121,AV164+1,AV164)</f>
        <v>3</v>
      </c>
      <c r="AW165" s="304">
        <f t="shared" si="17"/>
        <v>16</v>
      </c>
    </row>
    <row r="166" spans="1:49">
      <c r="A166" s="304" t="str">
        <f ca="1">IF(LEFT(OFFSET(COM_2012!$A$60,AW166,0),2)="\I","*","")</f>
        <v/>
      </c>
      <c r="B166" s="369" t="str">
        <f t="shared" ca="1" si="16"/>
        <v>NCAP_TLIFE</v>
      </c>
      <c r="C166" s="369" t="str">
        <f ca="1">IF($A166="*","",OFFSET(COM_2012!$B$60,AW166,0))</f>
        <v>CEKELC-E</v>
      </c>
      <c r="D166" s="369" t="str">
        <f t="shared" ca="1" si="18"/>
        <v>-</v>
      </c>
      <c r="E166" s="369" t="str">
        <f t="shared" ca="1" si="18"/>
        <v>-</v>
      </c>
      <c r="F166" s="369" t="str">
        <f t="shared" ca="1" si="18"/>
        <v>-</v>
      </c>
      <c r="G166" s="369" t="str">
        <f t="shared" ca="1" si="18"/>
        <v>-</v>
      </c>
      <c r="H166" s="369" t="str">
        <f t="shared" ca="1" si="18"/>
        <v>-</v>
      </c>
      <c r="I166" s="370">
        <f t="shared" ca="1" si="18"/>
        <v>0</v>
      </c>
      <c r="J166" s="391">
        <f ca="1">IF($A166="*","",OFFSET(COM_2012!$B$60,AW166,SUMIF($B$10:$B$16,B166,$AX$10:$AX$16)))</f>
        <v>15</v>
      </c>
      <c r="K166" s="369" t="str">
        <f ca="1">IF($B166&lt;&gt;"PRC_RESID","",IF(K$7=2005+OFFSET(COM_2012!$B$60,$AW166,SUMIF($B$10:$B$16,"NCAP_TLIFE",$AX$10:$AX$16)),0,""))</f>
        <v/>
      </c>
      <c r="L166" s="369" t="str">
        <f ca="1">IF($B166&lt;&gt;"PRC_RESID","",IF(L$7=2005+OFFSET(COM_2012!$B$60,$AW166,SUMIF($B$10:$B$16,"NCAP_TLIFE",$AX$10:$AX$16)),0,""))</f>
        <v/>
      </c>
      <c r="M166" s="369" t="str">
        <f ca="1">IF($B166&lt;&gt;"PRC_RESID","",IF(M$7=2005+OFFSET(COM_2012!$B$60,$AW166,SUMIF($B$10:$B$16,"NCAP_TLIFE",$AX$10:$AX$16)),0,""))</f>
        <v/>
      </c>
      <c r="N166" s="369" t="str">
        <f ca="1">IF($B166&lt;&gt;"PRC_RESID","",IF(N$7=2005+OFFSET(COM_2012!$B$60,$AW166,SUMIF($B$10:$B$16,"NCAP_TLIFE",$AX$10:$AX$16)),0,""))</f>
        <v/>
      </c>
      <c r="O166" s="658" t="str">
        <f ca="1">IF($B166&lt;&gt;"PRC_RESID","",IF(O$7=2005+OFFSET(COM_2012!$B$60,$AW166,SUMIF($B$10:$B$16,"NCAP_TLIFE",$AX$10:$AX$16)),0,""))</f>
        <v/>
      </c>
      <c r="P166" s="369" t="str">
        <f ca="1">IF($B166&lt;&gt;"PRC_RESID","",IF(P$7=2005+OFFSET(COM_2012!$B$60,$AW166,SUMIF($B$10:$B$16,"NCAP_TLIFE",$AX$10:$AX$16)),0,""))</f>
        <v/>
      </c>
      <c r="Q166" s="369" t="str">
        <f ca="1">IF($B166&lt;&gt;"PRC_RESID","",IF(Q$7=2005+OFFSET(COM_2012!$B$60,$AW166,SUMIF($B$10:$B$16,"NCAP_TLIFE",$AX$10:$AX$16)),0,""))</f>
        <v/>
      </c>
      <c r="R166" s="369" t="str">
        <f ca="1">IF($B166&lt;&gt;"PRC_RESID","",IF(R$7=2005+OFFSET(COM_2012!$B$60,$AW166,SUMIF($B$10:$B$16,"NCAP_TLIFE",$AX$10:$AX$16)),0,""))</f>
        <v/>
      </c>
      <c r="S166" s="369" t="str">
        <f ca="1">IF($B166&lt;&gt;"PRC_RESID","",IF(S$7=2005+OFFSET(COM_2012!$B$60,$AW166,SUMIF($B$10:$B$16,"NCAP_TLIFE",$AX$10:$AX$16)),0,""))</f>
        <v/>
      </c>
      <c r="T166" s="369" t="str">
        <f ca="1">IF($B166&lt;&gt;"PRC_RESID","",IF(T$7=2005+OFFSET(COM_2012!$B$60,$AW166,SUMIF($B$10:$B$16,"NCAP_TLIFE",$AX$10:$AX$16)),0,""))</f>
        <v/>
      </c>
      <c r="U166" s="369" t="str">
        <f ca="1">IF($B166&lt;&gt;"PRC_RESID","",IF(U$7=2005+OFFSET(COM_2012!$B$60,$AW166,SUMIF($B$10:$B$16,"NCAP_TLIFE",$AX$10:$AX$16)),0,""))</f>
        <v/>
      </c>
      <c r="V166" s="369" t="str">
        <f ca="1">IF($B166&lt;&gt;"PRC_RESID","",IF(V$7=2005+OFFSET(COM_2012!$B$60,$AW166,SUMIF($B$10:$B$16,"NCAP_TLIFE",$AX$10:$AX$16)),0,""))</f>
        <v/>
      </c>
      <c r="W166" s="369" t="str">
        <f ca="1">IF($B166&lt;&gt;"PRC_RESID","",IF(W$7=2005+OFFSET(COM_2012!$B$60,$AW166,SUMIF($B$10:$B$16,"NCAP_TLIFE",$AX$10:$AX$16)),0,""))</f>
        <v/>
      </c>
      <c r="X166" s="369" t="str">
        <f ca="1">IF($B166&lt;&gt;"PRC_RESID","",IF(X$7=2005+OFFSET(COM_2012!$B$60,$AW166,SUMIF($B$10:$B$16,"NCAP_TLIFE",$AX$10:$AX$16)),0,""))</f>
        <v/>
      </c>
      <c r="Y166" s="369" t="str">
        <f ca="1">IF($B166&lt;&gt;"PRC_RESID","",IF(Y$7=2005+OFFSET(COM_2012!$B$60,$AW166,SUMIF($B$10:$B$16,"NCAP_TLIFE",$AX$10:$AX$16)),0,""))</f>
        <v/>
      </c>
      <c r="Z166" s="369" t="str">
        <f ca="1">IF($B166&lt;&gt;"PRC_RESID","",IF(Z$7=2005+OFFSET(COM_2012!$B$60,$AW166,SUMIF($B$10:$B$16,"NCAP_TLIFE",$AX$10:$AX$16)),0,""))</f>
        <v/>
      </c>
      <c r="AA166" s="369" t="str">
        <f ca="1">IF($B166&lt;&gt;"PRC_RESID","",IF(AA$7=2005+OFFSET(COM_2012!$B$60,$AW166,SUMIF($B$10:$B$16,"NCAP_TLIFE",$AX$10:$AX$16)),0,""))</f>
        <v/>
      </c>
      <c r="AB166" s="369" t="str">
        <f ca="1">IF($B166&lt;&gt;"PRC_RESID","",IF(AB$7=2005+OFFSET(COM_2012!$B$60,$AW166,SUMIF($B$10:$B$16,"NCAP_TLIFE",$AX$10:$AX$16)),0,""))</f>
        <v/>
      </c>
      <c r="AC166" s="369" t="str">
        <f ca="1">IF($B166&lt;&gt;"PRC_RESID","",IF(AC$7=2005+OFFSET(COM_2012!$B$60,$AW166,SUMIF($B$10:$B$16,"NCAP_TLIFE",$AX$10:$AX$16)),0,""))</f>
        <v/>
      </c>
      <c r="AD166" s="369" t="str">
        <f ca="1">IF($B166&lt;&gt;"PRC_RESID","",IF(AD$7=2005+OFFSET(COM_2012!$B$60,$AW166,SUMIF($B$10:$B$16,"NCAP_TLIFE",$AX$10:$AX$16)),0,""))</f>
        <v/>
      </c>
      <c r="AE166" s="369" t="str">
        <f ca="1">IF($B166&lt;&gt;"PRC_RESID","",IF(AE$7=2005+OFFSET(COM_2012!$B$60,$AW166,SUMIF($B$10:$B$16,"NCAP_TLIFE",$AX$10:$AX$16)),0,""))</f>
        <v/>
      </c>
      <c r="AF166" s="369" t="str">
        <f ca="1">IF($B166&lt;&gt;"PRC_RESID","",IF(AF$7=2005+OFFSET(COM_2012!$B$60,$AW166,SUMIF($B$10:$B$16,"NCAP_TLIFE",$AX$10:$AX$16)),0,""))</f>
        <v/>
      </c>
      <c r="AG166" s="369" t="str">
        <f ca="1">IF($B166&lt;&gt;"PRC_RESID","",IF(AG$7=2005+OFFSET(COM_2012!$B$60,$AW166,SUMIF($B$10:$B$16,"NCAP_TLIFE",$AX$10:$AX$16)),0,""))</f>
        <v/>
      </c>
      <c r="AH166" s="369" t="str">
        <f ca="1">IF($B166&lt;&gt;"PRC_RESID","",IF(AH$7=2005+OFFSET(COM_2012!$B$60,$AW166,SUMIF($B$10:$B$16,"NCAP_TLIFE",$AX$10:$AX$16)),0,""))</f>
        <v/>
      </c>
      <c r="AI166" s="369" t="str">
        <f ca="1">IF($B166&lt;&gt;"PRC_RESID","",IF(AI$7=2005+OFFSET(COM_2012!$B$60,$AW166,SUMIF($B$10:$B$16,"NCAP_TLIFE",$AX$10:$AX$16)),0,""))</f>
        <v/>
      </c>
      <c r="AJ166" s="369" t="str">
        <f ca="1">IF($B166&lt;&gt;"PRC_RESID","",IF(AJ$7=2005+OFFSET(COM_2012!$B$60,$AW166,SUMIF($B$10:$B$16,"NCAP_TLIFE",$AX$10:$AX$16)),0,""))</f>
        <v/>
      </c>
      <c r="AK166" s="369" t="str">
        <f ca="1">IF($B166&lt;&gt;"PRC_RESID","",IF(AK$7=2005+OFFSET(COM_2012!$B$60,$AW166,SUMIF($B$10:$B$16,"NCAP_TLIFE",$AX$10:$AX$16)),0,""))</f>
        <v/>
      </c>
      <c r="AL166" s="369" t="str">
        <f ca="1">IF($B166&lt;&gt;"PRC_RESID","",IF(AL$7=2005+OFFSET(COM_2012!$B$60,$AW166,SUMIF($B$10:$B$16,"NCAP_TLIFE",$AX$10:$AX$16)),0,""))</f>
        <v/>
      </c>
      <c r="AM166" s="369" t="str">
        <f ca="1">IF($B166&lt;&gt;"PRC_RESID","",IF(AM$7=2005+OFFSET(COM_2012!$B$60,$AW166,SUMIF($B$10:$B$16,"NCAP_TLIFE",$AX$10:$AX$16)),0,""))</f>
        <v/>
      </c>
      <c r="AN166" s="369" t="str">
        <f ca="1">IF($B166&lt;&gt;"PRC_RESID","",IF(AN$7=2005+OFFSET(COM_2012!$B$60,$AW166,SUMIF($B$10:$B$16,"NCAP_TLIFE",$AX$10:$AX$16)),0,""))</f>
        <v/>
      </c>
      <c r="AO166" s="369" t="str">
        <f ca="1">IF($B166&lt;&gt;"PRC_RESID","",IF(AO$7=2005+OFFSET(COM_2012!$B$60,$AW166,SUMIF($B$10:$B$16,"NCAP_TLIFE",$AX$10:$AX$16)),0,""))</f>
        <v/>
      </c>
      <c r="AP166" s="369" t="str">
        <f ca="1">IF($B166&lt;&gt;"PRC_RESID","",IF(AP$7=2005+OFFSET(COM_2012!$B$60,$AW166,SUMIF($B$10:$B$16,"NCAP_TLIFE",$AX$10:$AX$16)),0,""))</f>
        <v/>
      </c>
      <c r="AQ166" s="369" t="str">
        <f ca="1">IF($B166&lt;&gt;"PRC_RESID","",IF(AQ$7=2005+OFFSET(COM_2012!$B$60,$AW166,SUMIF($B$10:$B$16,"NCAP_TLIFE",$AX$10:$AX$16)),0,""))</f>
        <v/>
      </c>
      <c r="AR166" s="369" t="str">
        <f ca="1">IF($B166&lt;&gt;"PRC_RESID","",IF(AR$7=2005+OFFSET(COM_2012!$B$60,$AW166,SUMIF($B$10:$B$16,"NCAP_TLIFE",$AX$10:$AX$16)),0,""))</f>
        <v/>
      </c>
      <c r="AS166" s="369" t="str">
        <f ca="1">IF($B166&lt;&gt;"PRC_RESID","",IF(AS$7=2005+OFFSET(COM_2012!$B$60,$AW166,SUMIF($B$10:$B$16,"NCAP_TLIFE",$AX$10:$AX$16)),0,""))</f>
        <v/>
      </c>
      <c r="AT166" s="369" t="str">
        <f ca="1">IF($B166&lt;&gt;"PRC_RESID","",IF(AT$7=2005+OFFSET(COM_2012!$B$60,$AW166,SUMIF($B$10:$B$16,"NCAP_TLIFE",$AX$10:$AX$16)),0,""))</f>
        <v/>
      </c>
      <c r="AU166" s="369" t="str">
        <f ca="1">IF($B166&lt;&gt;"PRC_RESID","",IF(AU$7=2005+OFFSET(COM_2012!$B$60,$AW166,SUMIF($B$10:$B$16,"NCAP_TLIFE",$AX$10:$AX$16)),0,""))</f>
        <v/>
      </c>
      <c r="AV166" s="304">
        <f>IF(AW165=COM_2012!$AI$121,AV165+1,AV165)</f>
        <v>3</v>
      </c>
      <c r="AW166" s="304">
        <f t="shared" si="17"/>
        <v>17</v>
      </c>
    </row>
    <row r="167" spans="1:49">
      <c r="A167" s="304" t="str">
        <f ca="1">IF(LEFT(OFFSET(COM_2012!$A$60,AW167,0),2)="\I","*","")</f>
        <v/>
      </c>
      <c r="B167" s="369" t="str">
        <f t="shared" ca="1" si="16"/>
        <v>NCAP_TLIFE</v>
      </c>
      <c r="C167" s="369" t="str">
        <f ca="1">IF($A167="*","",OFFSET(COM_2012!$B$60,AW167,0))</f>
        <v>CEKCOA-E</v>
      </c>
      <c r="D167" s="369" t="str">
        <f t="shared" ca="1" si="18"/>
        <v>-</v>
      </c>
      <c r="E167" s="369" t="str">
        <f t="shared" ca="1" si="18"/>
        <v>-</v>
      </c>
      <c r="F167" s="369" t="str">
        <f t="shared" ca="1" si="18"/>
        <v>-</v>
      </c>
      <c r="G167" s="369" t="str">
        <f t="shared" ca="1" si="18"/>
        <v>-</v>
      </c>
      <c r="H167" s="369" t="str">
        <f t="shared" ca="1" si="18"/>
        <v>-</v>
      </c>
      <c r="I167" s="370">
        <f t="shared" ca="1" si="18"/>
        <v>0</v>
      </c>
      <c r="J167" s="391">
        <f ca="1">IF($A167="*","",OFFSET(COM_2012!$B$60,AW167,SUMIF($B$10:$B$16,B167,$AX$10:$AX$16)))</f>
        <v>15</v>
      </c>
      <c r="K167" s="369" t="str">
        <f ca="1">IF($B167&lt;&gt;"PRC_RESID","",IF(K$7=2005+OFFSET(COM_2012!$B$60,$AW167,SUMIF($B$10:$B$16,"NCAP_TLIFE",$AX$10:$AX$16)),0,""))</f>
        <v/>
      </c>
      <c r="L167" s="369" t="str">
        <f ca="1">IF($B167&lt;&gt;"PRC_RESID","",IF(L$7=2005+OFFSET(COM_2012!$B$60,$AW167,SUMIF($B$10:$B$16,"NCAP_TLIFE",$AX$10:$AX$16)),0,""))</f>
        <v/>
      </c>
      <c r="M167" s="369" t="str">
        <f ca="1">IF($B167&lt;&gt;"PRC_RESID","",IF(M$7=2005+OFFSET(COM_2012!$B$60,$AW167,SUMIF($B$10:$B$16,"NCAP_TLIFE",$AX$10:$AX$16)),0,""))</f>
        <v/>
      </c>
      <c r="N167" s="369" t="str">
        <f ca="1">IF($B167&lt;&gt;"PRC_RESID","",IF(N$7=2005+OFFSET(COM_2012!$B$60,$AW167,SUMIF($B$10:$B$16,"NCAP_TLIFE",$AX$10:$AX$16)),0,""))</f>
        <v/>
      </c>
      <c r="O167" s="658" t="str">
        <f ca="1">IF($B167&lt;&gt;"PRC_RESID","",IF(O$7=2005+OFFSET(COM_2012!$B$60,$AW167,SUMIF($B$10:$B$16,"NCAP_TLIFE",$AX$10:$AX$16)),0,""))</f>
        <v/>
      </c>
      <c r="P167" s="369" t="str">
        <f ca="1">IF($B167&lt;&gt;"PRC_RESID","",IF(P$7=2005+OFFSET(COM_2012!$B$60,$AW167,SUMIF($B$10:$B$16,"NCAP_TLIFE",$AX$10:$AX$16)),0,""))</f>
        <v/>
      </c>
      <c r="Q167" s="369" t="str">
        <f ca="1">IF($B167&lt;&gt;"PRC_RESID","",IF(Q$7=2005+OFFSET(COM_2012!$B$60,$AW167,SUMIF($B$10:$B$16,"NCAP_TLIFE",$AX$10:$AX$16)),0,""))</f>
        <v/>
      </c>
      <c r="R167" s="369" t="str">
        <f ca="1">IF($B167&lt;&gt;"PRC_RESID","",IF(R$7=2005+OFFSET(COM_2012!$B$60,$AW167,SUMIF($B$10:$B$16,"NCAP_TLIFE",$AX$10:$AX$16)),0,""))</f>
        <v/>
      </c>
      <c r="S167" s="369" t="str">
        <f ca="1">IF($B167&lt;&gt;"PRC_RESID","",IF(S$7=2005+OFFSET(COM_2012!$B$60,$AW167,SUMIF($B$10:$B$16,"NCAP_TLIFE",$AX$10:$AX$16)),0,""))</f>
        <v/>
      </c>
      <c r="T167" s="369" t="str">
        <f ca="1">IF($B167&lt;&gt;"PRC_RESID","",IF(T$7=2005+OFFSET(COM_2012!$B$60,$AW167,SUMIF($B$10:$B$16,"NCAP_TLIFE",$AX$10:$AX$16)),0,""))</f>
        <v/>
      </c>
      <c r="U167" s="369" t="str">
        <f ca="1">IF($B167&lt;&gt;"PRC_RESID","",IF(U$7=2005+OFFSET(COM_2012!$B$60,$AW167,SUMIF($B$10:$B$16,"NCAP_TLIFE",$AX$10:$AX$16)),0,""))</f>
        <v/>
      </c>
      <c r="V167" s="369" t="str">
        <f ca="1">IF($B167&lt;&gt;"PRC_RESID","",IF(V$7=2005+OFFSET(COM_2012!$B$60,$AW167,SUMIF($B$10:$B$16,"NCAP_TLIFE",$AX$10:$AX$16)),0,""))</f>
        <v/>
      </c>
      <c r="W167" s="369" t="str">
        <f ca="1">IF($B167&lt;&gt;"PRC_RESID","",IF(W$7=2005+OFFSET(COM_2012!$B$60,$AW167,SUMIF($B$10:$B$16,"NCAP_TLIFE",$AX$10:$AX$16)),0,""))</f>
        <v/>
      </c>
      <c r="X167" s="369" t="str">
        <f ca="1">IF($B167&lt;&gt;"PRC_RESID","",IF(X$7=2005+OFFSET(COM_2012!$B$60,$AW167,SUMIF($B$10:$B$16,"NCAP_TLIFE",$AX$10:$AX$16)),0,""))</f>
        <v/>
      </c>
      <c r="Y167" s="369" t="str">
        <f ca="1">IF($B167&lt;&gt;"PRC_RESID","",IF(Y$7=2005+OFFSET(COM_2012!$B$60,$AW167,SUMIF($B$10:$B$16,"NCAP_TLIFE",$AX$10:$AX$16)),0,""))</f>
        <v/>
      </c>
      <c r="Z167" s="369" t="str">
        <f ca="1">IF($B167&lt;&gt;"PRC_RESID","",IF(Z$7=2005+OFFSET(COM_2012!$B$60,$AW167,SUMIF($B$10:$B$16,"NCAP_TLIFE",$AX$10:$AX$16)),0,""))</f>
        <v/>
      </c>
      <c r="AA167" s="369" t="str">
        <f ca="1">IF($B167&lt;&gt;"PRC_RESID","",IF(AA$7=2005+OFFSET(COM_2012!$B$60,$AW167,SUMIF($B$10:$B$16,"NCAP_TLIFE",$AX$10:$AX$16)),0,""))</f>
        <v/>
      </c>
      <c r="AB167" s="369" t="str">
        <f ca="1">IF($B167&lt;&gt;"PRC_RESID","",IF(AB$7=2005+OFFSET(COM_2012!$B$60,$AW167,SUMIF($B$10:$B$16,"NCAP_TLIFE",$AX$10:$AX$16)),0,""))</f>
        <v/>
      </c>
      <c r="AC167" s="369" t="str">
        <f ca="1">IF($B167&lt;&gt;"PRC_RESID","",IF(AC$7=2005+OFFSET(COM_2012!$B$60,$AW167,SUMIF($B$10:$B$16,"NCAP_TLIFE",$AX$10:$AX$16)),0,""))</f>
        <v/>
      </c>
      <c r="AD167" s="369" t="str">
        <f ca="1">IF($B167&lt;&gt;"PRC_RESID","",IF(AD$7=2005+OFFSET(COM_2012!$B$60,$AW167,SUMIF($B$10:$B$16,"NCAP_TLIFE",$AX$10:$AX$16)),0,""))</f>
        <v/>
      </c>
      <c r="AE167" s="369" t="str">
        <f ca="1">IF($B167&lt;&gt;"PRC_RESID","",IF(AE$7=2005+OFFSET(COM_2012!$B$60,$AW167,SUMIF($B$10:$B$16,"NCAP_TLIFE",$AX$10:$AX$16)),0,""))</f>
        <v/>
      </c>
      <c r="AF167" s="369" t="str">
        <f ca="1">IF($B167&lt;&gt;"PRC_RESID","",IF(AF$7=2005+OFFSET(COM_2012!$B$60,$AW167,SUMIF($B$10:$B$16,"NCAP_TLIFE",$AX$10:$AX$16)),0,""))</f>
        <v/>
      </c>
      <c r="AG167" s="369" t="str">
        <f ca="1">IF($B167&lt;&gt;"PRC_RESID","",IF(AG$7=2005+OFFSET(COM_2012!$B$60,$AW167,SUMIF($B$10:$B$16,"NCAP_TLIFE",$AX$10:$AX$16)),0,""))</f>
        <v/>
      </c>
      <c r="AH167" s="369" t="str">
        <f ca="1">IF($B167&lt;&gt;"PRC_RESID","",IF(AH$7=2005+OFFSET(COM_2012!$B$60,$AW167,SUMIF($B$10:$B$16,"NCAP_TLIFE",$AX$10:$AX$16)),0,""))</f>
        <v/>
      </c>
      <c r="AI167" s="369" t="str">
        <f ca="1">IF($B167&lt;&gt;"PRC_RESID","",IF(AI$7=2005+OFFSET(COM_2012!$B$60,$AW167,SUMIF($B$10:$B$16,"NCAP_TLIFE",$AX$10:$AX$16)),0,""))</f>
        <v/>
      </c>
      <c r="AJ167" s="369" t="str">
        <f ca="1">IF($B167&lt;&gt;"PRC_RESID","",IF(AJ$7=2005+OFFSET(COM_2012!$B$60,$AW167,SUMIF($B$10:$B$16,"NCAP_TLIFE",$AX$10:$AX$16)),0,""))</f>
        <v/>
      </c>
      <c r="AK167" s="369" t="str">
        <f ca="1">IF($B167&lt;&gt;"PRC_RESID","",IF(AK$7=2005+OFFSET(COM_2012!$B$60,$AW167,SUMIF($B$10:$B$16,"NCAP_TLIFE",$AX$10:$AX$16)),0,""))</f>
        <v/>
      </c>
      <c r="AL167" s="369" t="str">
        <f ca="1">IF($B167&lt;&gt;"PRC_RESID","",IF(AL$7=2005+OFFSET(COM_2012!$B$60,$AW167,SUMIF($B$10:$B$16,"NCAP_TLIFE",$AX$10:$AX$16)),0,""))</f>
        <v/>
      </c>
      <c r="AM167" s="369" t="str">
        <f ca="1">IF($B167&lt;&gt;"PRC_RESID","",IF(AM$7=2005+OFFSET(COM_2012!$B$60,$AW167,SUMIF($B$10:$B$16,"NCAP_TLIFE",$AX$10:$AX$16)),0,""))</f>
        <v/>
      </c>
      <c r="AN167" s="369" t="str">
        <f ca="1">IF($B167&lt;&gt;"PRC_RESID","",IF(AN$7=2005+OFFSET(COM_2012!$B$60,$AW167,SUMIF($B$10:$B$16,"NCAP_TLIFE",$AX$10:$AX$16)),0,""))</f>
        <v/>
      </c>
      <c r="AO167" s="369" t="str">
        <f ca="1">IF($B167&lt;&gt;"PRC_RESID","",IF(AO$7=2005+OFFSET(COM_2012!$B$60,$AW167,SUMIF($B$10:$B$16,"NCAP_TLIFE",$AX$10:$AX$16)),0,""))</f>
        <v/>
      </c>
      <c r="AP167" s="369" t="str">
        <f ca="1">IF($B167&lt;&gt;"PRC_RESID","",IF(AP$7=2005+OFFSET(COM_2012!$B$60,$AW167,SUMIF($B$10:$B$16,"NCAP_TLIFE",$AX$10:$AX$16)),0,""))</f>
        <v/>
      </c>
      <c r="AQ167" s="369" t="str">
        <f ca="1">IF($B167&lt;&gt;"PRC_RESID","",IF(AQ$7=2005+OFFSET(COM_2012!$B$60,$AW167,SUMIF($B$10:$B$16,"NCAP_TLIFE",$AX$10:$AX$16)),0,""))</f>
        <v/>
      </c>
      <c r="AR167" s="369" t="str">
        <f ca="1">IF($B167&lt;&gt;"PRC_RESID","",IF(AR$7=2005+OFFSET(COM_2012!$B$60,$AW167,SUMIF($B$10:$B$16,"NCAP_TLIFE",$AX$10:$AX$16)),0,""))</f>
        <v/>
      </c>
      <c r="AS167" s="369" t="str">
        <f ca="1">IF($B167&lt;&gt;"PRC_RESID","",IF(AS$7=2005+OFFSET(COM_2012!$B$60,$AW167,SUMIF($B$10:$B$16,"NCAP_TLIFE",$AX$10:$AX$16)),0,""))</f>
        <v/>
      </c>
      <c r="AT167" s="369" t="str">
        <f ca="1">IF($B167&lt;&gt;"PRC_RESID","",IF(AT$7=2005+OFFSET(COM_2012!$B$60,$AW167,SUMIF($B$10:$B$16,"NCAP_TLIFE",$AX$10:$AX$16)),0,""))</f>
        <v/>
      </c>
      <c r="AU167" s="369" t="str">
        <f ca="1">IF($B167&lt;&gt;"PRC_RESID","",IF(AU$7=2005+OFFSET(COM_2012!$B$60,$AW167,SUMIF($B$10:$B$16,"NCAP_TLIFE",$AX$10:$AX$16)),0,""))</f>
        <v/>
      </c>
      <c r="AV167" s="304">
        <f>IF(AW166=COM_2012!$AI$121,AV166+1,AV166)</f>
        <v>3</v>
      </c>
      <c r="AW167" s="304">
        <f t="shared" si="17"/>
        <v>18</v>
      </c>
    </row>
    <row r="168" spans="1:49">
      <c r="A168" s="304" t="str">
        <f ca="1">IF(LEFT(OFFSET(COM_2012!$A$60,AW168,0),2)="\I","*","")</f>
        <v>*</v>
      </c>
      <c r="B168" s="369" t="str">
        <f t="shared" ca="1" si="16"/>
        <v/>
      </c>
      <c r="C168" s="369" t="str">
        <f ca="1">IF($A168="*","",OFFSET(COM_2012!$B$60,AW168,0))</f>
        <v/>
      </c>
      <c r="D168" s="369" t="str">
        <f t="shared" ca="1" si="18"/>
        <v/>
      </c>
      <c r="E168" s="369" t="str">
        <f t="shared" ca="1" si="18"/>
        <v/>
      </c>
      <c r="F168" s="369" t="str">
        <f t="shared" ca="1" si="18"/>
        <v/>
      </c>
      <c r="G168" s="369" t="str">
        <f t="shared" ca="1" si="18"/>
        <v/>
      </c>
      <c r="H168" s="369" t="str">
        <f t="shared" ca="1" si="18"/>
        <v/>
      </c>
      <c r="I168" s="370" t="str">
        <f t="shared" ca="1" si="18"/>
        <v/>
      </c>
      <c r="J168" s="391" t="str">
        <f ca="1">IF($A168="*","",OFFSET(COM_2012!$B$60,AW168,SUMIF($B$10:$B$16,B168,$AX$10:$AX$16)))</f>
        <v/>
      </c>
      <c r="K168" s="369" t="str">
        <f ca="1">IF($B168&lt;&gt;"PRC_RESID","",IF(K$7=2005+OFFSET(COM_2012!$B$60,$AW168,SUMIF($B$10:$B$16,"NCAP_TLIFE",$AX$10:$AX$16)),0,""))</f>
        <v/>
      </c>
      <c r="L168" s="369" t="str">
        <f ca="1">IF($B168&lt;&gt;"PRC_RESID","",IF(L$7=2005+OFFSET(COM_2012!$B$60,$AW168,SUMIF($B$10:$B$16,"NCAP_TLIFE",$AX$10:$AX$16)),0,""))</f>
        <v/>
      </c>
      <c r="M168" s="369" t="str">
        <f ca="1">IF($B168&lt;&gt;"PRC_RESID","",IF(M$7=2005+OFFSET(COM_2012!$B$60,$AW168,SUMIF($B$10:$B$16,"NCAP_TLIFE",$AX$10:$AX$16)),0,""))</f>
        <v/>
      </c>
      <c r="N168" s="369" t="str">
        <f ca="1">IF($B168&lt;&gt;"PRC_RESID","",IF(N$7=2005+OFFSET(COM_2012!$B$60,$AW168,SUMIF($B$10:$B$16,"NCAP_TLIFE",$AX$10:$AX$16)),0,""))</f>
        <v/>
      </c>
      <c r="O168" s="658" t="str">
        <f ca="1">IF($B168&lt;&gt;"PRC_RESID","",IF(O$7=2005+OFFSET(COM_2012!$B$60,$AW168,SUMIF($B$10:$B$16,"NCAP_TLIFE",$AX$10:$AX$16)),0,""))</f>
        <v/>
      </c>
      <c r="P168" s="369" t="str">
        <f ca="1">IF($B168&lt;&gt;"PRC_RESID","",IF(P$7=2005+OFFSET(COM_2012!$B$60,$AW168,SUMIF($B$10:$B$16,"NCAP_TLIFE",$AX$10:$AX$16)),0,""))</f>
        <v/>
      </c>
      <c r="Q168" s="369" t="str">
        <f ca="1">IF($B168&lt;&gt;"PRC_RESID","",IF(Q$7=2005+OFFSET(COM_2012!$B$60,$AW168,SUMIF($B$10:$B$16,"NCAP_TLIFE",$AX$10:$AX$16)),0,""))</f>
        <v/>
      </c>
      <c r="R168" s="369" t="str">
        <f ca="1">IF($B168&lt;&gt;"PRC_RESID","",IF(R$7=2005+OFFSET(COM_2012!$B$60,$AW168,SUMIF($B$10:$B$16,"NCAP_TLIFE",$AX$10:$AX$16)),0,""))</f>
        <v/>
      </c>
      <c r="S168" s="369" t="str">
        <f ca="1">IF($B168&lt;&gt;"PRC_RESID","",IF(S$7=2005+OFFSET(COM_2012!$B$60,$AW168,SUMIF($B$10:$B$16,"NCAP_TLIFE",$AX$10:$AX$16)),0,""))</f>
        <v/>
      </c>
      <c r="T168" s="369" t="str">
        <f ca="1">IF($B168&lt;&gt;"PRC_RESID","",IF(T$7=2005+OFFSET(COM_2012!$B$60,$AW168,SUMIF($B$10:$B$16,"NCAP_TLIFE",$AX$10:$AX$16)),0,""))</f>
        <v/>
      </c>
      <c r="U168" s="369" t="str">
        <f ca="1">IF($B168&lt;&gt;"PRC_RESID","",IF(U$7=2005+OFFSET(COM_2012!$B$60,$AW168,SUMIF($B$10:$B$16,"NCAP_TLIFE",$AX$10:$AX$16)),0,""))</f>
        <v/>
      </c>
      <c r="V168" s="369" t="str">
        <f ca="1">IF($B168&lt;&gt;"PRC_RESID","",IF(V$7=2005+OFFSET(COM_2012!$B$60,$AW168,SUMIF($B$10:$B$16,"NCAP_TLIFE",$AX$10:$AX$16)),0,""))</f>
        <v/>
      </c>
      <c r="W168" s="369" t="str">
        <f ca="1">IF($B168&lt;&gt;"PRC_RESID","",IF(W$7=2005+OFFSET(COM_2012!$B$60,$AW168,SUMIF($B$10:$B$16,"NCAP_TLIFE",$AX$10:$AX$16)),0,""))</f>
        <v/>
      </c>
      <c r="X168" s="369" t="str">
        <f ca="1">IF($B168&lt;&gt;"PRC_RESID","",IF(X$7=2005+OFFSET(COM_2012!$B$60,$AW168,SUMIF($B$10:$B$16,"NCAP_TLIFE",$AX$10:$AX$16)),0,""))</f>
        <v/>
      </c>
      <c r="Y168" s="369" t="str">
        <f ca="1">IF($B168&lt;&gt;"PRC_RESID","",IF(Y$7=2005+OFFSET(COM_2012!$B$60,$AW168,SUMIF($B$10:$B$16,"NCAP_TLIFE",$AX$10:$AX$16)),0,""))</f>
        <v/>
      </c>
      <c r="Z168" s="369" t="str">
        <f ca="1">IF($B168&lt;&gt;"PRC_RESID","",IF(Z$7=2005+OFFSET(COM_2012!$B$60,$AW168,SUMIF($B$10:$B$16,"NCAP_TLIFE",$AX$10:$AX$16)),0,""))</f>
        <v/>
      </c>
      <c r="AA168" s="369" t="str">
        <f ca="1">IF($B168&lt;&gt;"PRC_RESID","",IF(AA$7=2005+OFFSET(COM_2012!$B$60,$AW168,SUMIF($B$10:$B$16,"NCAP_TLIFE",$AX$10:$AX$16)),0,""))</f>
        <v/>
      </c>
      <c r="AB168" s="369" t="str">
        <f ca="1">IF($B168&lt;&gt;"PRC_RESID","",IF(AB$7=2005+OFFSET(COM_2012!$B$60,$AW168,SUMIF($B$10:$B$16,"NCAP_TLIFE",$AX$10:$AX$16)),0,""))</f>
        <v/>
      </c>
      <c r="AC168" s="369" t="str">
        <f ca="1">IF($B168&lt;&gt;"PRC_RESID","",IF(AC$7=2005+OFFSET(COM_2012!$B$60,$AW168,SUMIF($B$10:$B$16,"NCAP_TLIFE",$AX$10:$AX$16)),0,""))</f>
        <v/>
      </c>
      <c r="AD168" s="369" t="str">
        <f ca="1">IF($B168&lt;&gt;"PRC_RESID","",IF(AD$7=2005+OFFSET(COM_2012!$B$60,$AW168,SUMIF($B$10:$B$16,"NCAP_TLIFE",$AX$10:$AX$16)),0,""))</f>
        <v/>
      </c>
      <c r="AE168" s="369" t="str">
        <f ca="1">IF($B168&lt;&gt;"PRC_RESID","",IF(AE$7=2005+OFFSET(COM_2012!$B$60,$AW168,SUMIF($B$10:$B$16,"NCAP_TLIFE",$AX$10:$AX$16)),0,""))</f>
        <v/>
      </c>
      <c r="AF168" s="369" t="str">
        <f ca="1">IF($B168&lt;&gt;"PRC_RESID","",IF(AF$7=2005+OFFSET(COM_2012!$B$60,$AW168,SUMIF($B$10:$B$16,"NCAP_TLIFE",$AX$10:$AX$16)),0,""))</f>
        <v/>
      </c>
      <c r="AG168" s="369" t="str">
        <f ca="1">IF($B168&lt;&gt;"PRC_RESID","",IF(AG$7=2005+OFFSET(COM_2012!$B$60,$AW168,SUMIF($B$10:$B$16,"NCAP_TLIFE",$AX$10:$AX$16)),0,""))</f>
        <v/>
      </c>
      <c r="AH168" s="369" t="str">
        <f ca="1">IF($B168&lt;&gt;"PRC_RESID","",IF(AH$7=2005+OFFSET(COM_2012!$B$60,$AW168,SUMIF($B$10:$B$16,"NCAP_TLIFE",$AX$10:$AX$16)),0,""))</f>
        <v/>
      </c>
      <c r="AI168" s="369" t="str">
        <f ca="1">IF($B168&lt;&gt;"PRC_RESID","",IF(AI$7=2005+OFFSET(COM_2012!$B$60,$AW168,SUMIF($B$10:$B$16,"NCAP_TLIFE",$AX$10:$AX$16)),0,""))</f>
        <v/>
      </c>
      <c r="AJ168" s="369" t="str">
        <f ca="1">IF($B168&lt;&gt;"PRC_RESID","",IF(AJ$7=2005+OFFSET(COM_2012!$B$60,$AW168,SUMIF($B$10:$B$16,"NCAP_TLIFE",$AX$10:$AX$16)),0,""))</f>
        <v/>
      </c>
      <c r="AK168" s="369" t="str">
        <f ca="1">IF($B168&lt;&gt;"PRC_RESID","",IF(AK$7=2005+OFFSET(COM_2012!$B$60,$AW168,SUMIF($B$10:$B$16,"NCAP_TLIFE",$AX$10:$AX$16)),0,""))</f>
        <v/>
      </c>
      <c r="AL168" s="369" t="str">
        <f ca="1">IF($B168&lt;&gt;"PRC_RESID","",IF(AL$7=2005+OFFSET(COM_2012!$B$60,$AW168,SUMIF($B$10:$B$16,"NCAP_TLIFE",$AX$10:$AX$16)),0,""))</f>
        <v/>
      </c>
      <c r="AM168" s="369" t="str">
        <f ca="1">IF($B168&lt;&gt;"PRC_RESID","",IF(AM$7=2005+OFFSET(COM_2012!$B$60,$AW168,SUMIF($B$10:$B$16,"NCAP_TLIFE",$AX$10:$AX$16)),0,""))</f>
        <v/>
      </c>
      <c r="AN168" s="369" t="str">
        <f ca="1">IF($B168&lt;&gt;"PRC_RESID","",IF(AN$7=2005+OFFSET(COM_2012!$B$60,$AW168,SUMIF($B$10:$B$16,"NCAP_TLIFE",$AX$10:$AX$16)),0,""))</f>
        <v/>
      </c>
      <c r="AO168" s="369" t="str">
        <f ca="1">IF($B168&lt;&gt;"PRC_RESID","",IF(AO$7=2005+OFFSET(COM_2012!$B$60,$AW168,SUMIF($B$10:$B$16,"NCAP_TLIFE",$AX$10:$AX$16)),0,""))</f>
        <v/>
      </c>
      <c r="AP168" s="369" t="str">
        <f ca="1">IF($B168&lt;&gt;"PRC_RESID","",IF(AP$7=2005+OFFSET(COM_2012!$B$60,$AW168,SUMIF($B$10:$B$16,"NCAP_TLIFE",$AX$10:$AX$16)),0,""))</f>
        <v/>
      </c>
      <c r="AQ168" s="369" t="str">
        <f ca="1">IF($B168&lt;&gt;"PRC_RESID","",IF(AQ$7=2005+OFFSET(COM_2012!$B$60,$AW168,SUMIF($B$10:$B$16,"NCAP_TLIFE",$AX$10:$AX$16)),0,""))</f>
        <v/>
      </c>
      <c r="AR168" s="369" t="str">
        <f ca="1">IF($B168&lt;&gt;"PRC_RESID","",IF(AR$7=2005+OFFSET(COM_2012!$B$60,$AW168,SUMIF($B$10:$B$16,"NCAP_TLIFE",$AX$10:$AX$16)),0,""))</f>
        <v/>
      </c>
      <c r="AS168" s="369" t="str">
        <f ca="1">IF($B168&lt;&gt;"PRC_RESID","",IF(AS$7=2005+OFFSET(COM_2012!$B$60,$AW168,SUMIF($B$10:$B$16,"NCAP_TLIFE",$AX$10:$AX$16)),0,""))</f>
        <v/>
      </c>
      <c r="AT168" s="369" t="str">
        <f ca="1">IF($B168&lt;&gt;"PRC_RESID","",IF(AT$7=2005+OFFSET(COM_2012!$B$60,$AW168,SUMIF($B$10:$B$16,"NCAP_TLIFE",$AX$10:$AX$16)),0,""))</f>
        <v/>
      </c>
      <c r="AU168" s="369" t="str">
        <f ca="1">IF($B168&lt;&gt;"PRC_RESID","",IF(AU$7=2005+OFFSET(COM_2012!$B$60,$AW168,SUMIF($B$10:$B$16,"NCAP_TLIFE",$AX$10:$AX$16)),0,""))</f>
        <v/>
      </c>
      <c r="AV168" s="304">
        <f>IF(AW167=COM_2012!$AI$121,AV167+1,AV167)</f>
        <v>3</v>
      </c>
      <c r="AW168" s="304">
        <f t="shared" si="17"/>
        <v>19</v>
      </c>
    </row>
    <row r="169" spans="1:49">
      <c r="A169" s="304" t="str">
        <f ca="1">IF(LEFT(OFFSET(COM_2012!$A$60,AW169,0),2)="\I","*","")</f>
        <v>*</v>
      </c>
      <c r="B169" s="369" t="str">
        <f t="shared" ca="1" si="16"/>
        <v/>
      </c>
      <c r="C169" s="369" t="str">
        <f ca="1">IF($A169="*","",OFFSET(COM_2012!$B$60,AW169,0))</f>
        <v/>
      </c>
      <c r="D169" s="369" t="str">
        <f t="shared" ca="1" si="18"/>
        <v/>
      </c>
      <c r="E169" s="369" t="str">
        <f t="shared" ca="1" si="18"/>
        <v/>
      </c>
      <c r="F169" s="369" t="str">
        <f t="shared" ca="1" si="18"/>
        <v/>
      </c>
      <c r="G169" s="369" t="str">
        <f t="shared" ca="1" si="18"/>
        <v/>
      </c>
      <c r="H169" s="369" t="str">
        <f t="shared" ca="1" si="18"/>
        <v/>
      </c>
      <c r="I169" s="370" t="str">
        <f t="shared" ca="1" si="18"/>
        <v/>
      </c>
      <c r="J169" s="391" t="str">
        <f ca="1">IF($A169="*","",OFFSET(COM_2012!$B$60,AW169,SUMIF($B$10:$B$16,B169,$AX$10:$AX$16)))</f>
        <v/>
      </c>
      <c r="K169" s="369" t="str">
        <f ca="1">IF($B169&lt;&gt;"PRC_RESID","",IF(K$7=2005+OFFSET(COM_2012!$B$60,$AW169,SUMIF($B$10:$B$16,"NCAP_TLIFE",$AX$10:$AX$16)),0,""))</f>
        <v/>
      </c>
      <c r="L169" s="369" t="str">
        <f ca="1">IF($B169&lt;&gt;"PRC_RESID","",IF(L$7=2005+OFFSET(COM_2012!$B$60,$AW169,SUMIF($B$10:$B$16,"NCAP_TLIFE",$AX$10:$AX$16)),0,""))</f>
        <v/>
      </c>
      <c r="M169" s="369" t="str">
        <f ca="1">IF($B169&lt;&gt;"PRC_RESID","",IF(M$7=2005+OFFSET(COM_2012!$B$60,$AW169,SUMIF($B$10:$B$16,"NCAP_TLIFE",$AX$10:$AX$16)),0,""))</f>
        <v/>
      </c>
      <c r="N169" s="369" t="str">
        <f ca="1">IF($B169&lt;&gt;"PRC_RESID","",IF(N$7=2005+OFFSET(COM_2012!$B$60,$AW169,SUMIF($B$10:$B$16,"NCAP_TLIFE",$AX$10:$AX$16)),0,""))</f>
        <v/>
      </c>
      <c r="O169" s="658" t="str">
        <f ca="1">IF($B169&lt;&gt;"PRC_RESID","",IF(O$7=2005+OFFSET(COM_2012!$B$60,$AW169,SUMIF($B$10:$B$16,"NCAP_TLIFE",$AX$10:$AX$16)),0,""))</f>
        <v/>
      </c>
      <c r="P169" s="369" t="str">
        <f ca="1">IF($B169&lt;&gt;"PRC_RESID","",IF(P$7=2005+OFFSET(COM_2012!$B$60,$AW169,SUMIF($B$10:$B$16,"NCAP_TLIFE",$AX$10:$AX$16)),0,""))</f>
        <v/>
      </c>
      <c r="Q169" s="369" t="str">
        <f ca="1">IF($B169&lt;&gt;"PRC_RESID","",IF(Q$7=2005+OFFSET(COM_2012!$B$60,$AW169,SUMIF($B$10:$B$16,"NCAP_TLIFE",$AX$10:$AX$16)),0,""))</f>
        <v/>
      </c>
      <c r="R169" s="369" t="str">
        <f ca="1">IF($B169&lt;&gt;"PRC_RESID","",IF(R$7=2005+OFFSET(COM_2012!$B$60,$AW169,SUMIF($B$10:$B$16,"NCAP_TLIFE",$AX$10:$AX$16)),0,""))</f>
        <v/>
      </c>
      <c r="S169" s="369" t="str">
        <f ca="1">IF($B169&lt;&gt;"PRC_RESID","",IF(S$7=2005+OFFSET(COM_2012!$B$60,$AW169,SUMIF($B$10:$B$16,"NCAP_TLIFE",$AX$10:$AX$16)),0,""))</f>
        <v/>
      </c>
      <c r="T169" s="369" t="str">
        <f ca="1">IF($B169&lt;&gt;"PRC_RESID","",IF(T$7=2005+OFFSET(COM_2012!$B$60,$AW169,SUMIF($B$10:$B$16,"NCAP_TLIFE",$AX$10:$AX$16)),0,""))</f>
        <v/>
      </c>
      <c r="U169" s="369" t="str">
        <f ca="1">IF($B169&lt;&gt;"PRC_RESID","",IF(U$7=2005+OFFSET(COM_2012!$B$60,$AW169,SUMIF($B$10:$B$16,"NCAP_TLIFE",$AX$10:$AX$16)),0,""))</f>
        <v/>
      </c>
      <c r="V169" s="369" t="str">
        <f ca="1">IF($B169&lt;&gt;"PRC_RESID","",IF(V$7=2005+OFFSET(COM_2012!$B$60,$AW169,SUMIF($B$10:$B$16,"NCAP_TLIFE",$AX$10:$AX$16)),0,""))</f>
        <v/>
      </c>
      <c r="W169" s="369" t="str">
        <f ca="1">IF($B169&lt;&gt;"PRC_RESID","",IF(W$7=2005+OFFSET(COM_2012!$B$60,$AW169,SUMIF($B$10:$B$16,"NCAP_TLIFE",$AX$10:$AX$16)),0,""))</f>
        <v/>
      </c>
      <c r="X169" s="369" t="str">
        <f ca="1">IF($B169&lt;&gt;"PRC_RESID","",IF(X$7=2005+OFFSET(COM_2012!$B$60,$AW169,SUMIF($B$10:$B$16,"NCAP_TLIFE",$AX$10:$AX$16)),0,""))</f>
        <v/>
      </c>
      <c r="Y169" s="369" t="str">
        <f ca="1">IF($B169&lt;&gt;"PRC_RESID","",IF(Y$7=2005+OFFSET(COM_2012!$B$60,$AW169,SUMIF($B$10:$B$16,"NCAP_TLIFE",$AX$10:$AX$16)),0,""))</f>
        <v/>
      </c>
      <c r="Z169" s="369" t="str">
        <f ca="1">IF($B169&lt;&gt;"PRC_RESID","",IF(Z$7=2005+OFFSET(COM_2012!$B$60,$AW169,SUMIF($B$10:$B$16,"NCAP_TLIFE",$AX$10:$AX$16)),0,""))</f>
        <v/>
      </c>
      <c r="AA169" s="369" t="str">
        <f ca="1">IF($B169&lt;&gt;"PRC_RESID","",IF(AA$7=2005+OFFSET(COM_2012!$B$60,$AW169,SUMIF($B$10:$B$16,"NCAP_TLIFE",$AX$10:$AX$16)),0,""))</f>
        <v/>
      </c>
      <c r="AB169" s="369" t="str">
        <f ca="1">IF($B169&lt;&gt;"PRC_RESID","",IF(AB$7=2005+OFFSET(COM_2012!$B$60,$AW169,SUMIF($B$10:$B$16,"NCAP_TLIFE",$AX$10:$AX$16)),0,""))</f>
        <v/>
      </c>
      <c r="AC169" s="369" t="str">
        <f ca="1">IF($B169&lt;&gt;"PRC_RESID","",IF(AC$7=2005+OFFSET(COM_2012!$B$60,$AW169,SUMIF($B$10:$B$16,"NCAP_TLIFE",$AX$10:$AX$16)),0,""))</f>
        <v/>
      </c>
      <c r="AD169" s="369" t="str">
        <f ca="1">IF($B169&lt;&gt;"PRC_RESID","",IF(AD$7=2005+OFFSET(COM_2012!$B$60,$AW169,SUMIF($B$10:$B$16,"NCAP_TLIFE",$AX$10:$AX$16)),0,""))</f>
        <v/>
      </c>
      <c r="AE169" s="369" t="str">
        <f ca="1">IF($B169&lt;&gt;"PRC_RESID","",IF(AE$7=2005+OFFSET(COM_2012!$B$60,$AW169,SUMIF($B$10:$B$16,"NCAP_TLIFE",$AX$10:$AX$16)),0,""))</f>
        <v/>
      </c>
      <c r="AF169" s="369" t="str">
        <f ca="1">IF($B169&lt;&gt;"PRC_RESID","",IF(AF$7=2005+OFFSET(COM_2012!$B$60,$AW169,SUMIF($B$10:$B$16,"NCAP_TLIFE",$AX$10:$AX$16)),0,""))</f>
        <v/>
      </c>
      <c r="AG169" s="369" t="str">
        <f ca="1">IF($B169&lt;&gt;"PRC_RESID","",IF(AG$7=2005+OFFSET(COM_2012!$B$60,$AW169,SUMIF($B$10:$B$16,"NCAP_TLIFE",$AX$10:$AX$16)),0,""))</f>
        <v/>
      </c>
      <c r="AH169" s="369" t="str">
        <f ca="1">IF($B169&lt;&gt;"PRC_RESID","",IF(AH$7=2005+OFFSET(COM_2012!$B$60,$AW169,SUMIF($B$10:$B$16,"NCAP_TLIFE",$AX$10:$AX$16)),0,""))</f>
        <v/>
      </c>
      <c r="AI169" s="369" t="str">
        <f ca="1">IF($B169&lt;&gt;"PRC_RESID","",IF(AI$7=2005+OFFSET(COM_2012!$B$60,$AW169,SUMIF($B$10:$B$16,"NCAP_TLIFE",$AX$10:$AX$16)),0,""))</f>
        <v/>
      </c>
      <c r="AJ169" s="369" t="str">
        <f ca="1">IF($B169&lt;&gt;"PRC_RESID","",IF(AJ$7=2005+OFFSET(COM_2012!$B$60,$AW169,SUMIF($B$10:$B$16,"NCAP_TLIFE",$AX$10:$AX$16)),0,""))</f>
        <v/>
      </c>
      <c r="AK169" s="369" t="str">
        <f ca="1">IF($B169&lt;&gt;"PRC_RESID","",IF(AK$7=2005+OFFSET(COM_2012!$B$60,$AW169,SUMIF($B$10:$B$16,"NCAP_TLIFE",$AX$10:$AX$16)),0,""))</f>
        <v/>
      </c>
      <c r="AL169" s="369" t="str">
        <f ca="1">IF($B169&lt;&gt;"PRC_RESID","",IF(AL$7=2005+OFFSET(COM_2012!$B$60,$AW169,SUMIF($B$10:$B$16,"NCAP_TLIFE",$AX$10:$AX$16)),0,""))</f>
        <v/>
      </c>
      <c r="AM169" s="369" t="str">
        <f ca="1">IF($B169&lt;&gt;"PRC_RESID","",IF(AM$7=2005+OFFSET(COM_2012!$B$60,$AW169,SUMIF($B$10:$B$16,"NCAP_TLIFE",$AX$10:$AX$16)),0,""))</f>
        <v/>
      </c>
      <c r="AN169" s="369" t="str">
        <f ca="1">IF($B169&lt;&gt;"PRC_RESID","",IF(AN$7=2005+OFFSET(COM_2012!$B$60,$AW169,SUMIF($B$10:$B$16,"NCAP_TLIFE",$AX$10:$AX$16)),0,""))</f>
        <v/>
      </c>
      <c r="AO169" s="369" t="str">
        <f ca="1">IF($B169&lt;&gt;"PRC_RESID","",IF(AO$7=2005+OFFSET(COM_2012!$B$60,$AW169,SUMIF($B$10:$B$16,"NCAP_TLIFE",$AX$10:$AX$16)),0,""))</f>
        <v/>
      </c>
      <c r="AP169" s="369" t="str">
        <f ca="1">IF($B169&lt;&gt;"PRC_RESID","",IF(AP$7=2005+OFFSET(COM_2012!$B$60,$AW169,SUMIF($B$10:$B$16,"NCAP_TLIFE",$AX$10:$AX$16)),0,""))</f>
        <v/>
      </c>
      <c r="AQ169" s="369" t="str">
        <f ca="1">IF($B169&lt;&gt;"PRC_RESID","",IF(AQ$7=2005+OFFSET(COM_2012!$B$60,$AW169,SUMIF($B$10:$B$16,"NCAP_TLIFE",$AX$10:$AX$16)),0,""))</f>
        <v/>
      </c>
      <c r="AR169" s="369" t="str">
        <f ca="1">IF($B169&lt;&gt;"PRC_RESID","",IF(AR$7=2005+OFFSET(COM_2012!$B$60,$AW169,SUMIF($B$10:$B$16,"NCAP_TLIFE",$AX$10:$AX$16)),0,""))</f>
        <v/>
      </c>
      <c r="AS169" s="369" t="str">
        <f ca="1">IF($B169&lt;&gt;"PRC_RESID","",IF(AS$7=2005+OFFSET(COM_2012!$B$60,$AW169,SUMIF($B$10:$B$16,"NCAP_TLIFE",$AX$10:$AX$16)),0,""))</f>
        <v/>
      </c>
      <c r="AT169" s="369" t="str">
        <f ca="1">IF($B169&lt;&gt;"PRC_RESID","",IF(AT$7=2005+OFFSET(COM_2012!$B$60,$AW169,SUMIF($B$10:$B$16,"NCAP_TLIFE",$AX$10:$AX$16)),0,""))</f>
        <v/>
      </c>
      <c r="AU169" s="369" t="str">
        <f ca="1">IF($B169&lt;&gt;"PRC_RESID","",IF(AU$7=2005+OFFSET(COM_2012!$B$60,$AW169,SUMIF($B$10:$B$16,"NCAP_TLIFE",$AX$10:$AX$16)),0,""))</f>
        <v/>
      </c>
      <c r="AV169" s="304">
        <f>IF(AW168=COM_2012!$AI$121,AV168+1,AV168)</f>
        <v>3</v>
      </c>
      <c r="AW169" s="304">
        <f t="shared" si="17"/>
        <v>20</v>
      </c>
    </row>
    <row r="170" spans="1:49">
      <c r="A170" s="304" t="str">
        <f ca="1">IF(LEFT(OFFSET(COM_2012!$A$60,AW170,0),2)="\I","*","")</f>
        <v/>
      </c>
      <c r="B170" s="369" t="str">
        <f t="shared" ca="1" si="16"/>
        <v>NCAP_TLIFE</v>
      </c>
      <c r="C170" s="369" t="str">
        <f ca="1">IF($A170="*","",OFFSET(COM_2012!$B$60,AW170,0))</f>
        <v>CELELCCFL-E</v>
      </c>
      <c r="D170" s="369" t="str">
        <f t="shared" ca="1" si="18"/>
        <v>-</v>
      </c>
      <c r="E170" s="369" t="str">
        <f t="shared" ca="1" si="18"/>
        <v>-</v>
      </c>
      <c r="F170" s="369" t="str">
        <f t="shared" ca="1" si="18"/>
        <v>-</v>
      </c>
      <c r="G170" s="369" t="str">
        <f t="shared" ca="1" si="18"/>
        <v>-</v>
      </c>
      <c r="H170" s="369" t="str">
        <f t="shared" ca="1" si="18"/>
        <v>-</v>
      </c>
      <c r="I170" s="370">
        <f t="shared" ca="1" si="18"/>
        <v>0</v>
      </c>
      <c r="J170" s="304">
        <v>1</v>
      </c>
      <c r="K170" s="369" t="str">
        <f ca="1">IF($B170&lt;&gt;"PRC_RESID","",IF(K$7=2005+OFFSET(COM_2012!$B$60,$AW170,SUMIF($B$10:$B$16,"NCAP_TLIFE",$AX$10:$AX$16)),0,""))</f>
        <v/>
      </c>
      <c r="L170" s="369" t="str">
        <f ca="1">IF($B170&lt;&gt;"PRC_RESID","",IF(L$7=2005+OFFSET(COM_2012!$B$60,$AW170,SUMIF($B$10:$B$16,"NCAP_TLIFE",$AX$10:$AX$16)),0,""))</f>
        <v/>
      </c>
      <c r="M170" s="369" t="str">
        <f ca="1">IF($B170&lt;&gt;"PRC_RESID","",IF(M$7=2005+OFFSET(COM_2012!$B$60,$AW170,SUMIF($B$10:$B$16,"NCAP_TLIFE",$AX$10:$AX$16)),0,""))</f>
        <v/>
      </c>
      <c r="N170" s="369" t="str">
        <f ca="1">IF($B170&lt;&gt;"PRC_RESID","",IF(N$7=2005+OFFSET(COM_2012!$B$60,$AW170,SUMIF($B$10:$B$16,"NCAP_TLIFE",$AX$10:$AX$16)),0,""))</f>
        <v/>
      </c>
      <c r="O170" s="658">
        <v>5</v>
      </c>
      <c r="P170" s="369" t="str">
        <f ca="1">IF($B170&lt;&gt;"PRC_RESID","",IF(P$7=2005+OFFSET(COM_2012!$B$60,$AW170,SUMIF($B$10:$B$16,"NCAP_TLIFE",$AX$10:$AX$16)),0,""))</f>
        <v/>
      </c>
      <c r="Q170" s="369" t="str">
        <f ca="1">IF($B170&lt;&gt;"PRC_RESID","",IF(Q$7=2005+OFFSET(COM_2012!$B$60,$AW170,SUMIF($B$10:$B$16,"NCAP_TLIFE",$AX$10:$AX$16)),0,""))</f>
        <v/>
      </c>
      <c r="R170" s="369" t="str">
        <f ca="1">IF($B170&lt;&gt;"PRC_RESID","",IF(R$7=2005+OFFSET(COM_2012!$B$60,$AW170,SUMIF($B$10:$B$16,"NCAP_TLIFE",$AX$10:$AX$16)),0,""))</f>
        <v/>
      </c>
      <c r="S170" s="369" t="str">
        <f ca="1">IF($B170&lt;&gt;"PRC_RESID","",IF(S$7=2005+OFFSET(COM_2012!$B$60,$AW170,SUMIF($B$10:$B$16,"NCAP_TLIFE",$AX$10:$AX$16)),0,""))</f>
        <v/>
      </c>
      <c r="T170" s="369" t="str">
        <f ca="1">IF($B170&lt;&gt;"PRC_RESID","",IF(T$7=2005+OFFSET(COM_2012!$B$60,$AW170,SUMIF($B$10:$B$16,"NCAP_TLIFE",$AX$10:$AX$16)),0,""))</f>
        <v/>
      </c>
      <c r="U170" s="369" t="str">
        <f ca="1">IF($B170&lt;&gt;"PRC_RESID","",IF(U$7=2005+OFFSET(COM_2012!$B$60,$AW170,SUMIF($B$10:$B$16,"NCAP_TLIFE",$AX$10:$AX$16)),0,""))</f>
        <v/>
      </c>
      <c r="V170" s="369" t="str">
        <f ca="1">IF($B170&lt;&gt;"PRC_RESID","",IF(V$7=2005+OFFSET(COM_2012!$B$60,$AW170,SUMIF($B$10:$B$16,"NCAP_TLIFE",$AX$10:$AX$16)),0,""))</f>
        <v/>
      </c>
      <c r="W170" s="369" t="str">
        <f ca="1">IF($B170&lt;&gt;"PRC_RESID","",IF(W$7=2005+OFFSET(COM_2012!$B$60,$AW170,SUMIF($B$10:$B$16,"NCAP_TLIFE",$AX$10:$AX$16)),0,""))</f>
        <v/>
      </c>
      <c r="X170" s="369" t="str">
        <f ca="1">IF($B170&lt;&gt;"PRC_RESID","",IF(X$7=2005+OFFSET(COM_2012!$B$60,$AW170,SUMIF($B$10:$B$16,"NCAP_TLIFE",$AX$10:$AX$16)),0,""))</f>
        <v/>
      </c>
      <c r="Y170" s="369" t="str">
        <f ca="1">IF($B170&lt;&gt;"PRC_RESID","",IF(Y$7=2005+OFFSET(COM_2012!$B$60,$AW170,SUMIF($B$10:$B$16,"NCAP_TLIFE",$AX$10:$AX$16)),0,""))</f>
        <v/>
      </c>
      <c r="Z170" s="369" t="str">
        <f ca="1">IF($B170&lt;&gt;"PRC_RESID","",IF(Z$7=2005+OFFSET(COM_2012!$B$60,$AW170,SUMIF($B$10:$B$16,"NCAP_TLIFE",$AX$10:$AX$16)),0,""))</f>
        <v/>
      </c>
      <c r="AA170" s="369" t="str">
        <f ca="1">IF($B170&lt;&gt;"PRC_RESID","",IF(AA$7=2005+OFFSET(COM_2012!$B$60,$AW170,SUMIF($B$10:$B$16,"NCAP_TLIFE",$AX$10:$AX$16)),0,""))</f>
        <v/>
      </c>
      <c r="AB170" s="369" t="str">
        <f ca="1">IF($B170&lt;&gt;"PRC_RESID","",IF(AB$7=2005+OFFSET(COM_2012!$B$60,$AW170,SUMIF($B$10:$B$16,"NCAP_TLIFE",$AX$10:$AX$16)),0,""))</f>
        <v/>
      </c>
      <c r="AC170" s="369" t="str">
        <f ca="1">IF($B170&lt;&gt;"PRC_RESID","",IF(AC$7=2005+OFFSET(COM_2012!$B$60,$AW170,SUMIF($B$10:$B$16,"NCAP_TLIFE",$AX$10:$AX$16)),0,""))</f>
        <v/>
      </c>
      <c r="AD170" s="369" t="str">
        <f ca="1">IF($B170&lt;&gt;"PRC_RESID","",IF(AD$7=2005+OFFSET(COM_2012!$B$60,$AW170,SUMIF($B$10:$B$16,"NCAP_TLIFE",$AX$10:$AX$16)),0,""))</f>
        <v/>
      </c>
      <c r="AE170" s="369" t="str">
        <f ca="1">IF($B170&lt;&gt;"PRC_RESID","",IF(AE$7=2005+OFFSET(COM_2012!$B$60,$AW170,SUMIF($B$10:$B$16,"NCAP_TLIFE",$AX$10:$AX$16)),0,""))</f>
        <v/>
      </c>
      <c r="AF170" s="369" t="str">
        <f ca="1">IF($B170&lt;&gt;"PRC_RESID","",IF(AF$7=2005+OFFSET(COM_2012!$B$60,$AW170,SUMIF($B$10:$B$16,"NCAP_TLIFE",$AX$10:$AX$16)),0,""))</f>
        <v/>
      </c>
      <c r="AG170" s="369" t="str">
        <f ca="1">IF($B170&lt;&gt;"PRC_RESID","",IF(AG$7=2005+OFFSET(COM_2012!$B$60,$AW170,SUMIF($B$10:$B$16,"NCAP_TLIFE",$AX$10:$AX$16)),0,""))</f>
        <v/>
      </c>
      <c r="AH170" s="369" t="str">
        <f ca="1">IF($B170&lt;&gt;"PRC_RESID","",IF(AH$7=2005+OFFSET(COM_2012!$B$60,$AW170,SUMIF($B$10:$B$16,"NCAP_TLIFE",$AX$10:$AX$16)),0,""))</f>
        <v/>
      </c>
      <c r="AI170" s="369" t="str">
        <f ca="1">IF($B170&lt;&gt;"PRC_RESID","",IF(AI$7=2005+OFFSET(COM_2012!$B$60,$AW170,SUMIF($B$10:$B$16,"NCAP_TLIFE",$AX$10:$AX$16)),0,""))</f>
        <v/>
      </c>
      <c r="AJ170" s="369" t="str">
        <f ca="1">IF($B170&lt;&gt;"PRC_RESID","",IF(AJ$7=2005+OFFSET(COM_2012!$B$60,$AW170,SUMIF($B$10:$B$16,"NCAP_TLIFE",$AX$10:$AX$16)),0,""))</f>
        <v/>
      </c>
      <c r="AK170" s="369" t="str">
        <f ca="1">IF($B170&lt;&gt;"PRC_RESID","",IF(AK$7=2005+OFFSET(COM_2012!$B$60,$AW170,SUMIF($B$10:$B$16,"NCAP_TLIFE",$AX$10:$AX$16)),0,""))</f>
        <v/>
      </c>
      <c r="AL170" s="369" t="str">
        <f ca="1">IF($B170&lt;&gt;"PRC_RESID","",IF(AL$7=2005+OFFSET(COM_2012!$B$60,$AW170,SUMIF($B$10:$B$16,"NCAP_TLIFE",$AX$10:$AX$16)),0,""))</f>
        <v/>
      </c>
      <c r="AM170" s="369" t="str">
        <f ca="1">IF($B170&lt;&gt;"PRC_RESID","",IF(AM$7=2005+OFFSET(COM_2012!$B$60,$AW170,SUMIF($B$10:$B$16,"NCAP_TLIFE",$AX$10:$AX$16)),0,""))</f>
        <v/>
      </c>
      <c r="AN170" s="369" t="str">
        <f ca="1">IF($B170&lt;&gt;"PRC_RESID","",IF(AN$7=2005+OFFSET(COM_2012!$B$60,$AW170,SUMIF($B$10:$B$16,"NCAP_TLIFE",$AX$10:$AX$16)),0,""))</f>
        <v/>
      </c>
      <c r="AO170" s="369" t="str">
        <f ca="1">IF($B170&lt;&gt;"PRC_RESID","",IF(AO$7=2005+OFFSET(COM_2012!$B$60,$AW170,SUMIF($B$10:$B$16,"NCAP_TLIFE",$AX$10:$AX$16)),0,""))</f>
        <v/>
      </c>
      <c r="AP170" s="369" t="str">
        <f ca="1">IF($B170&lt;&gt;"PRC_RESID","",IF(AP$7=2005+OFFSET(COM_2012!$B$60,$AW170,SUMIF($B$10:$B$16,"NCAP_TLIFE",$AX$10:$AX$16)),0,""))</f>
        <v/>
      </c>
      <c r="AQ170" s="369" t="str">
        <f ca="1">IF($B170&lt;&gt;"PRC_RESID","",IF(AQ$7=2005+OFFSET(COM_2012!$B$60,$AW170,SUMIF($B$10:$B$16,"NCAP_TLIFE",$AX$10:$AX$16)),0,""))</f>
        <v/>
      </c>
      <c r="AR170" s="369" t="str">
        <f ca="1">IF($B170&lt;&gt;"PRC_RESID","",IF(AR$7=2005+OFFSET(COM_2012!$B$60,$AW170,SUMIF($B$10:$B$16,"NCAP_TLIFE",$AX$10:$AX$16)),0,""))</f>
        <v/>
      </c>
      <c r="AS170" s="369" t="str">
        <f ca="1">IF($B170&lt;&gt;"PRC_RESID","",IF(AS$7=2005+OFFSET(COM_2012!$B$60,$AW170,SUMIF($B$10:$B$16,"NCAP_TLIFE",$AX$10:$AX$16)),0,""))</f>
        <v/>
      </c>
      <c r="AT170" s="369" t="str">
        <f ca="1">IF($B170&lt;&gt;"PRC_RESID","",IF(AT$7=2005+OFFSET(COM_2012!$B$60,$AW170,SUMIF($B$10:$B$16,"NCAP_TLIFE",$AX$10:$AX$16)),0,""))</f>
        <v/>
      </c>
      <c r="AU170" s="369" t="str">
        <f ca="1">IF($B170&lt;&gt;"PRC_RESID","",IF(AU$7=2005+OFFSET(COM_2012!$B$60,$AW170,SUMIF($B$10:$B$16,"NCAP_TLIFE",$AX$10:$AX$16)),0,""))</f>
        <v/>
      </c>
      <c r="AV170" s="304">
        <f>IF(AW169=COM_2012!$AI$121,AV169+1,AV169)</f>
        <v>3</v>
      </c>
      <c r="AW170" s="304">
        <f t="shared" si="17"/>
        <v>21</v>
      </c>
    </row>
    <row r="171" spans="1:49">
      <c r="A171" s="304" t="str">
        <f ca="1">IF(LEFT(OFFSET(COM_2012!$A$60,AW171,0),2)="\I","*","")</f>
        <v/>
      </c>
      <c r="B171" s="369" t="str">
        <f t="shared" ca="1" si="16"/>
        <v>NCAP_TLIFE</v>
      </c>
      <c r="C171" s="369" t="str">
        <f ca="1">IF($A171="*","",OFFSET(COM_2012!$B$60,AW171,0))</f>
        <v>CELELCFLU-E</v>
      </c>
      <c r="D171" s="369" t="str">
        <f t="shared" ca="1" si="18"/>
        <v>-</v>
      </c>
      <c r="E171" s="369" t="str">
        <f t="shared" ca="1" si="18"/>
        <v>-</v>
      </c>
      <c r="F171" s="369" t="str">
        <f t="shared" ca="1" si="18"/>
        <v>-</v>
      </c>
      <c r="G171" s="369" t="str">
        <f t="shared" ca="1" si="18"/>
        <v>-</v>
      </c>
      <c r="H171" s="369" t="str">
        <f t="shared" ca="1" si="18"/>
        <v>-</v>
      </c>
      <c r="I171" s="370">
        <f t="shared" ca="1" si="18"/>
        <v>0</v>
      </c>
      <c r="J171" s="304">
        <v>1</v>
      </c>
      <c r="K171" s="369" t="str">
        <f ca="1">IF($B171&lt;&gt;"PRC_RESID","",IF(K$7=2005+OFFSET(COM_2012!$B$60,$AW171,SUMIF($B$10:$B$16,"NCAP_TLIFE",$AX$10:$AX$16)),0,""))</f>
        <v/>
      </c>
      <c r="L171" s="369" t="str">
        <f ca="1">IF($B171&lt;&gt;"PRC_RESID","",IF(L$7=2005+OFFSET(COM_2012!$B$60,$AW171,SUMIF($B$10:$B$16,"NCAP_TLIFE",$AX$10:$AX$16)),0,""))</f>
        <v/>
      </c>
      <c r="M171" s="369" t="str">
        <f ca="1">IF($B171&lt;&gt;"PRC_RESID","",IF(M$7=2005+OFFSET(COM_2012!$B$60,$AW171,SUMIF($B$10:$B$16,"NCAP_TLIFE",$AX$10:$AX$16)),0,""))</f>
        <v/>
      </c>
      <c r="N171" s="369" t="str">
        <f ca="1">IF($B171&lt;&gt;"PRC_RESID","",IF(N$7=2005+OFFSET(COM_2012!$B$60,$AW171,SUMIF($B$10:$B$16,"NCAP_TLIFE",$AX$10:$AX$16)),0,""))</f>
        <v/>
      </c>
      <c r="O171" s="658">
        <v>5</v>
      </c>
      <c r="P171" s="369" t="str">
        <f ca="1">IF($B171&lt;&gt;"PRC_RESID","",IF(P$7=2005+OFFSET(COM_2012!$B$60,$AW171,SUMIF($B$10:$B$16,"NCAP_TLIFE",$AX$10:$AX$16)),0,""))</f>
        <v/>
      </c>
      <c r="Q171" s="369" t="str">
        <f ca="1">IF($B171&lt;&gt;"PRC_RESID","",IF(Q$7=2005+OFFSET(COM_2012!$B$60,$AW171,SUMIF($B$10:$B$16,"NCAP_TLIFE",$AX$10:$AX$16)),0,""))</f>
        <v/>
      </c>
      <c r="R171" s="369" t="str">
        <f ca="1">IF($B171&lt;&gt;"PRC_RESID","",IF(R$7=2005+OFFSET(COM_2012!$B$60,$AW171,SUMIF($B$10:$B$16,"NCAP_TLIFE",$AX$10:$AX$16)),0,""))</f>
        <v/>
      </c>
      <c r="S171" s="369" t="str">
        <f ca="1">IF($B171&lt;&gt;"PRC_RESID","",IF(S$7=2005+OFFSET(COM_2012!$B$60,$AW171,SUMIF($B$10:$B$16,"NCAP_TLIFE",$AX$10:$AX$16)),0,""))</f>
        <v/>
      </c>
      <c r="T171" s="369" t="str">
        <f ca="1">IF($B171&lt;&gt;"PRC_RESID","",IF(T$7=2005+OFFSET(COM_2012!$B$60,$AW171,SUMIF($B$10:$B$16,"NCAP_TLIFE",$AX$10:$AX$16)),0,""))</f>
        <v/>
      </c>
      <c r="U171" s="369" t="str">
        <f ca="1">IF($B171&lt;&gt;"PRC_RESID","",IF(U$7=2005+OFFSET(COM_2012!$B$60,$AW171,SUMIF($B$10:$B$16,"NCAP_TLIFE",$AX$10:$AX$16)),0,""))</f>
        <v/>
      </c>
      <c r="V171" s="369" t="str">
        <f ca="1">IF($B171&lt;&gt;"PRC_RESID","",IF(V$7=2005+OFFSET(COM_2012!$B$60,$AW171,SUMIF($B$10:$B$16,"NCAP_TLIFE",$AX$10:$AX$16)),0,""))</f>
        <v/>
      </c>
      <c r="W171" s="369" t="str">
        <f ca="1">IF($B171&lt;&gt;"PRC_RESID","",IF(W$7=2005+OFFSET(COM_2012!$B$60,$AW171,SUMIF($B$10:$B$16,"NCAP_TLIFE",$AX$10:$AX$16)),0,""))</f>
        <v/>
      </c>
      <c r="X171" s="369" t="str">
        <f ca="1">IF($B171&lt;&gt;"PRC_RESID","",IF(X$7=2005+OFFSET(COM_2012!$B$60,$AW171,SUMIF($B$10:$B$16,"NCAP_TLIFE",$AX$10:$AX$16)),0,""))</f>
        <v/>
      </c>
      <c r="Y171" s="369" t="str">
        <f ca="1">IF($B171&lt;&gt;"PRC_RESID","",IF(Y$7=2005+OFFSET(COM_2012!$B$60,$AW171,SUMIF($B$10:$B$16,"NCAP_TLIFE",$AX$10:$AX$16)),0,""))</f>
        <v/>
      </c>
      <c r="Z171" s="369" t="str">
        <f ca="1">IF($B171&lt;&gt;"PRC_RESID","",IF(Z$7=2005+OFFSET(COM_2012!$B$60,$AW171,SUMIF($B$10:$B$16,"NCAP_TLIFE",$AX$10:$AX$16)),0,""))</f>
        <v/>
      </c>
      <c r="AA171" s="369" t="str">
        <f ca="1">IF($B171&lt;&gt;"PRC_RESID","",IF(AA$7=2005+OFFSET(COM_2012!$B$60,$AW171,SUMIF($B$10:$B$16,"NCAP_TLIFE",$AX$10:$AX$16)),0,""))</f>
        <v/>
      </c>
      <c r="AB171" s="369" t="str">
        <f ca="1">IF($B171&lt;&gt;"PRC_RESID","",IF(AB$7=2005+OFFSET(COM_2012!$B$60,$AW171,SUMIF($B$10:$B$16,"NCAP_TLIFE",$AX$10:$AX$16)),0,""))</f>
        <v/>
      </c>
      <c r="AC171" s="369" t="str">
        <f ca="1">IF($B171&lt;&gt;"PRC_RESID","",IF(AC$7=2005+OFFSET(COM_2012!$B$60,$AW171,SUMIF($B$10:$B$16,"NCAP_TLIFE",$AX$10:$AX$16)),0,""))</f>
        <v/>
      </c>
      <c r="AD171" s="369" t="str">
        <f ca="1">IF($B171&lt;&gt;"PRC_RESID","",IF(AD$7=2005+OFFSET(COM_2012!$B$60,$AW171,SUMIF($B$10:$B$16,"NCAP_TLIFE",$AX$10:$AX$16)),0,""))</f>
        <v/>
      </c>
      <c r="AE171" s="369" t="str">
        <f ca="1">IF($B171&lt;&gt;"PRC_RESID","",IF(AE$7=2005+OFFSET(COM_2012!$B$60,$AW171,SUMIF($B$10:$B$16,"NCAP_TLIFE",$AX$10:$AX$16)),0,""))</f>
        <v/>
      </c>
      <c r="AF171" s="369" t="str">
        <f ca="1">IF($B171&lt;&gt;"PRC_RESID","",IF(AF$7=2005+OFFSET(COM_2012!$B$60,$AW171,SUMIF($B$10:$B$16,"NCAP_TLIFE",$AX$10:$AX$16)),0,""))</f>
        <v/>
      </c>
      <c r="AG171" s="369" t="str">
        <f ca="1">IF($B171&lt;&gt;"PRC_RESID","",IF(AG$7=2005+OFFSET(COM_2012!$B$60,$AW171,SUMIF($B$10:$B$16,"NCAP_TLIFE",$AX$10:$AX$16)),0,""))</f>
        <v/>
      </c>
      <c r="AH171" s="369" t="str">
        <f ca="1">IF($B171&lt;&gt;"PRC_RESID","",IF(AH$7=2005+OFFSET(COM_2012!$B$60,$AW171,SUMIF($B$10:$B$16,"NCAP_TLIFE",$AX$10:$AX$16)),0,""))</f>
        <v/>
      </c>
      <c r="AI171" s="369" t="str">
        <f ca="1">IF($B171&lt;&gt;"PRC_RESID","",IF(AI$7=2005+OFFSET(COM_2012!$B$60,$AW171,SUMIF($B$10:$B$16,"NCAP_TLIFE",$AX$10:$AX$16)),0,""))</f>
        <v/>
      </c>
      <c r="AJ171" s="369" t="str">
        <f ca="1">IF($B171&lt;&gt;"PRC_RESID","",IF(AJ$7=2005+OFFSET(COM_2012!$B$60,$AW171,SUMIF($B$10:$B$16,"NCAP_TLIFE",$AX$10:$AX$16)),0,""))</f>
        <v/>
      </c>
      <c r="AK171" s="369" t="str">
        <f ca="1">IF($B171&lt;&gt;"PRC_RESID","",IF(AK$7=2005+OFFSET(COM_2012!$B$60,$AW171,SUMIF($B$10:$B$16,"NCAP_TLIFE",$AX$10:$AX$16)),0,""))</f>
        <v/>
      </c>
      <c r="AL171" s="369" t="str">
        <f ca="1">IF($B171&lt;&gt;"PRC_RESID","",IF(AL$7=2005+OFFSET(COM_2012!$B$60,$AW171,SUMIF($B$10:$B$16,"NCAP_TLIFE",$AX$10:$AX$16)),0,""))</f>
        <v/>
      </c>
      <c r="AM171" s="369" t="str">
        <f ca="1">IF($B171&lt;&gt;"PRC_RESID","",IF(AM$7=2005+OFFSET(COM_2012!$B$60,$AW171,SUMIF($B$10:$B$16,"NCAP_TLIFE",$AX$10:$AX$16)),0,""))</f>
        <v/>
      </c>
      <c r="AN171" s="369" t="str">
        <f ca="1">IF($B171&lt;&gt;"PRC_RESID","",IF(AN$7=2005+OFFSET(COM_2012!$B$60,$AW171,SUMIF($B$10:$B$16,"NCAP_TLIFE",$AX$10:$AX$16)),0,""))</f>
        <v/>
      </c>
      <c r="AO171" s="369" t="str">
        <f ca="1">IF($B171&lt;&gt;"PRC_RESID","",IF(AO$7=2005+OFFSET(COM_2012!$B$60,$AW171,SUMIF($B$10:$B$16,"NCAP_TLIFE",$AX$10:$AX$16)),0,""))</f>
        <v/>
      </c>
      <c r="AP171" s="369" t="str">
        <f ca="1">IF($B171&lt;&gt;"PRC_RESID","",IF(AP$7=2005+OFFSET(COM_2012!$B$60,$AW171,SUMIF($B$10:$B$16,"NCAP_TLIFE",$AX$10:$AX$16)),0,""))</f>
        <v/>
      </c>
      <c r="AQ171" s="369" t="str">
        <f ca="1">IF($B171&lt;&gt;"PRC_RESID","",IF(AQ$7=2005+OFFSET(COM_2012!$B$60,$AW171,SUMIF($B$10:$B$16,"NCAP_TLIFE",$AX$10:$AX$16)),0,""))</f>
        <v/>
      </c>
      <c r="AR171" s="369" t="str">
        <f ca="1">IF($B171&lt;&gt;"PRC_RESID","",IF(AR$7=2005+OFFSET(COM_2012!$B$60,$AW171,SUMIF($B$10:$B$16,"NCAP_TLIFE",$AX$10:$AX$16)),0,""))</f>
        <v/>
      </c>
      <c r="AS171" s="369" t="str">
        <f ca="1">IF($B171&lt;&gt;"PRC_RESID","",IF(AS$7=2005+OFFSET(COM_2012!$B$60,$AW171,SUMIF($B$10:$B$16,"NCAP_TLIFE",$AX$10:$AX$16)),0,""))</f>
        <v/>
      </c>
      <c r="AT171" s="369" t="str">
        <f ca="1">IF($B171&lt;&gt;"PRC_RESID","",IF(AT$7=2005+OFFSET(COM_2012!$B$60,$AW171,SUMIF($B$10:$B$16,"NCAP_TLIFE",$AX$10:$AX$16)),0,""))</f>
        <v/>
      </c>
      <c r="AU171" s="369" t="str">
        <f ca="1">IF($B171&lt;&gt;"PRC_RESID","",IF(AU$7=2005+OFFSET(COM_2012!$B$60,$AW171,SUMIF($B$10:$B$16,"NCAP_TLIFE",$AX$10:$AX$16)),0,""))</f>
        <v/>
      </c>
      <c r="AV171" s="304">
        <f>IF(AW170=COM_2012!$AI$121,AV170+1,AV170)</f>
        <v>3</v>
      </c>
      <c r="AW171" s="304">
        <f t="shared" si="17"/>
        <v>22</v>
      </c>
    </row>
    <row r="172" spans="1:49">
      <c r="A172" s="304" t="str">
        <f ca="1">IF(LEFT(OFFSET(COM_2012!$A$60,AW172,0),2)="\I","*","")</f>
        <v/>
      </c>
      <c r="B172" s="369" t="str">
        <f t="shared" ca="1" si="16"/>
        <v>NCAP_TLIFE</v>
      </c>
      <c r="C172" s="369" t="str">
        <f ca="1">IF($A172="*","",OFFSET(COM_2012!$B$60,AW172,0))</f>
        <v>CELELCHAL-E</v>
      </c>
      <c r="D172" s="369" t="str">
        <f t="shared" ca="1" si="18"/>
        <v>-</v>
      </c>
      <c r="E172" s="369" t="str">
        <f t="shared" ca="1" si="18"/>
        <v>-</v>
      </c>
      <c r="F172" s="369" t="str">
        <f t="shared" ca="1" si="18"/>
        <v>-</v>
      </c>
      <c r="G172" s="369" t="str">
        <f t="shared" ca="1" si="18"/>
        <v>-</v>
      </c>
      <c r="H172" s="369" t="str">
        <f t="shared" ca="1" si="18"/>
        <v>-</v>
      </c>
      <c r="I172" s="370">
        <f t="shared" ca="1" si="18"/>
        <v>0</v>
      </c>
      <c r="J172" s="304">
        <v>1</v>
      </c>
      <c r="K172" s="369" t="str">
        <f ca="1">IF($B172&lt;&gt;"PRC_RESID","",IF(K$7=2005+OFFSET(COM_2012!$B$60,$AW172,SUMIF($B$10:$B$16,"NCAP_TLIFE",$AX$10:$AX$16)),0,""))</f>
        <v/>
      </c>
      <c r="L172" s="369" t="str">
        <f ca="1">IF($B172&lt;&gt;"PRC_RESID","",IF(L$7=2005+OFFSET(COM_2012!$B$60,$AW172,SUMIF($B$10:$B$16,"NCAP_TLIFE",$AX$10:$AX$16)),0,""))</f>
        <v/>
      </c>
      <c r="M172" s="369" t="str">
        <f ca="1">IF($B172&lt;&gt;"PRC_RESID","",IF(M$7=2005+OFFSET(COM_2012!$B$60,$AW172,SUMIF($B$10:$B$16,"NCAP_TLIFE",$AX$10:$AX$16)),0,""))</f>
        <v/>
      </c>
      <c r="N172" s="369" t="str">
        <f ca="1">IF($B172&lt;&gt;"PRC_RESID","",IF(N$7=2005+OFFSET(COM_2012!$B$60,$AW172,SUMIF($B$10:$B$16,"NCAP_TLIFE",$AX$10:$AX$16)),0,""))</f>
        <v/>
      </c>
      <c r="O172" s="658">
        <v>5</v>
      </c>
      <c r="P172" s="369" t="str">
        <f ca="1">IF($B172&lt;&gt;"PRC_RESID","",IF(P$7=2005+OFFSET(COM_2012!$B$60,$AW172,SUMIF($B$10:$B$16,"NCAP_TLIFE",$AX$10:$AX$16)),0,""))</f>
        <v/>
      </c>
      <c r="Q172" s="369" t="str">
        <f ca="1">IF($B172&lt;&gt;"PRC_RESID","",IF(Q$7=2005+OFFSET(COM_2012!$B$60,$AW172,SUMIF($B$10:$B$16,"NCAP_TLIFE",$AX$10:$AX$16)),0,""))</f>
        <v/>
      </c>
      <c r="R172" s="369" t="str">
        <f ca="1">IF($B172&lt;&gt;"PRC_RESID","",IF(R$7=2005+OFFSET(COM_2012!$B$60,$AW172,SUMIF($B$10:$B$16,"NCAP_TLIFE",$AX$10:$AX$16)),0,""))</f>
        <v/>
      </c>
      <c r="S172" s="369" t="str">
        <f ca="1">IF($B172&lt;&gt;"PRC_RESID","",IF(S$7=2005+OFFSET(COM_2012!$B$60,$AW172,SUMIF($B$10:$B$16,"NCAP_TLIFE",$AX$10:$AX$16)),0,""))</f>
        <v/>
      </c>
      <c r="T172" s="369" t="str">
        <f ca="1">IF($B172&lt;&gt;"PRC_RESID","",IF(T$7=2005+OFFSET(COM_2012!$B$60,$AW172,SUMIF($B$10:$B$16,"NCAP_TLIFE",$AX$10:$AX$16)),0,""))</f>
        <v/>
      </c>
      <c r="U172" s="369" t="str">
        <f ca="1">IF($B172&lt;&gt;"PRC_RESID","",IF(U$7=2005+OFFSET(COM_2012!$B$60,$AW172,SUMIF($B$10:$B$16,"NCAP_TLIFE",$AX$10:$AX$16)),0,""))</f>
        <v/>
      </c>
      <c r="V172" s="369" t="str">
        <f ca="1">IF($B172&lt;&gt;"PRC_RESID","",IF(V$7=2005+OFFSET(COM_2012!$B$60,$AW172,SUMIF($B$10:$B$16,"NCAP_TLIFE",$AX$10:$AX$16)),0,""))</f>
        <v/>
      </c>
      <c r="W172" s="369" t="str">
        <f ca="1">IF($B172&lt;&gt;"PRC_RESID","",IF(W$7=2005+OFFSET(COM_2012!$B$60,$AW172,SUMIF($B$10:$B$16,"NCAP_TLIFE",$AX$10:$AX$16)),0,""))</f>
        <v/>
      </c>
      <c r="X172" s="369" t="str">
        <f ca="1">IF($B172&lt;&gt;"PRC_RESID","",IF(X$7=2005+OFFSET(COM_2012!$B$60,$AW172,SUMIF($B$10:$B$16,"NCAP_TLIFE",$AX$10:$AX$16)),0,""))</f>
        <v/>
      </c>
      <c r="Y172" s="369" t="str">
        <f ca="1">IF($B172&lt;&gt;"PRC_RESID","",IF(Y$7=2005+OFFSET(COM_2012!$B$60,$AW172,SUMIF($B$10:$B$16,"NCAP_TLIFE",$AX$10:$AX$16)),0,""))</f>
        <v/>
      </c>
      <c r="Z172" s="369" t="str">
        <f ca="1">IF($B172&lt;&gt;"PRC_RESID","",IF(Z$7=2005+OFFSET(COM_2012!$B$60,$AW172,SUMIF($B$10:$B$16,"NCAP_TLIFE",$AX$10:$AX$16)),0,""))</f>
        <v/>
      </c>
      <c r="AA172" s="369" t="str">
        <f ca="1">IF($B172&lt;&gt;"PRC_RESID","",IF(AA$7=2005+OFFSET(COM_2012!$B$60,$AW172,SUMIF($B$10:$B$16,"NCAP_TLIFE",$AX$10:$AX$16)),0,""))</f>
        <v/>
      </c>
      <c r="AB172" s="369" t="str">
        <f ca="1">IF($B172&lt;&gt;"PRC_RESID","",IF(AB$7=2005+OFFSET(COM_2012!$B$60,$AW172,SUMIF($B$10:$B$16,"NCAP_TLIFE",$AX$10:$AX$16)),0,""))</f>
        <v/>
      </c>
      <c r="AC172" s="369" t="str">
        <f ca="1">IF($B172&lt;&gt;"PRC_RESID","",IF(AC$7=2005+OFFSET(COM_2012!$B$60,$AW172,SUMIF($B$10:$B$16,"NCAP_TLIFE",$AX$10:$AX$16)),0,""))</f>
        <v/>
      </c>
      <c r="AD172" s="369" t="str">
        <f ca="1">IF($B172&lt;&gt;"PRC_RESID","",IF(AD$7=2005+OFFSET(COM_2012!$B$60,$AW172,SUMIF($B$10:$B$16,"NCAP_TLIFE",$AX$10:$AX$16)),0,""))</f>
        <v/>
      </c>
      <c r="AE172" s="369" t="str">
        <f ca="1">IF($B172&lt;&gt;"PRC_RESID","",IF(AE$7=2005+OFFSET(COM_2012!$B$60,$AW172,SUMIF($B$10:$B$16,"NCAP_TLIFE",$AX$10:$AX$16)),0,""))</f>
        <v/>
      </c>
      <c r="AF172" s="369" t="str">
        <f ca="1">IF($B172&lt;&gt;"PRC_RESID","",IF(AF$7=2005+OFFSET(COM_2012!$B$60,$AW172,SUMIF($B$10:$B$16,"NCAP_TLIFE",$AX$10:$AX$16)),0,""))</f>
        <v/>
      </c>
      <c r="AG172" s="369" t="str">
        <f ca="1">IF($B172&lt;&gt;"PRC_RESID","",IF(AG$7=2005+OFFSET(COM_2012!$B$60,$AW172,SUMIF($B$10:$B$16,"NCAP_TLIFE",$AX$10:$AX$16)),0,""))</f>
        <v/>
      </c>
      <c r="AH172" s="369" t="str">
        <f ca="1">IF($B172&lt;&gt;"PRC_RESID","",IF(AH$7=2005+OFFSET(COM_2012!$B$60,$AW172,SUMIF($B$10:$B$16,"NCAP_TLIFE",$AX$10:$AX$16)),0,""))</f>
        <v/>
      </c>
      <c r="AI172" s="369" t="str">
        <f ca="1">IF($B172&lt;&gt;"PRC_RESID","",IF(AI$7=2005+OFFSET(COM_2012!$B$60,$AW172,SUMIF($B$10:$B$16,"NCAP_TLIFE",$AX$10:$AX$16)),0,""))</f>
        <v/>
      </c>
      <c r="AJ172" s="369" t="str">
        <f ca="1">IF($B172&lt;&gt;"PRC_RESID","",IF(AJ$7=2005+OFFSET(COM_2012!$B$60,$AW172,SUMIF($B$10:$B$16,"NCAP_TLIFE",$AX$10:$AX$16)),0,""))</f>
        <v/>
      </c>
      <c r="AK172" s="369" t="str">
        <f ca="1">IF($B172&lt;&gt;"PRC_RESID","",IF(AK$7=2005+OFFSET(COM_2012!$B$60,$AW172,SUMIF($B$10:$B$16,"NCAP_TLIFE",$AX$10:$AX$16)),0,""))</f>
        <v/>
      </c>
      <c r="AL172" s="369" t="str">
        <f ca="1">IF($B172&lt;&gt;"PRC_RESID","",IF(AL$7=2005+OFFSET(COM_2012!$B$60,$AW172,SUMIF($B$10:$B$16,"NCAP_TLIFE",$AX$10:$AX$16)),0,""))</f>
        <v/>
      </c>
      <c r="AM172" s="369" t="str">
        <f ca="1">IF($B172&lt;&gt;"PRC_RESID","",IF(AM$7=2005+OFFSET(COM_2012!$B$60,$AW172,SUMIF($B$10:$B$16,"NCAP_TLIFE",$AX$10:$AX$16)),0,""))</f>
        <v/>
      </c>
      <c r="AN172" s="369" t="str">
        <f ca="1">IF($B172&lt;&gt;"PRC_RESID","",IF(AN$7=2005+OFFSET(COM_2012!$B$60,$AW172,SUMIF($B$10:$B$16,"NCAP_TLIFE",$AX$10:$AX$16)),0,""))</f>
        <v/>
      </c>
      <c r="AO172" s="369" t="str">
        <f ca="1">IF($B172&lt;&gt;"PRC_RESID","",IF(AO$7=2005+OFFSET(COM_2012!$B$60,$AW172,SUMIF($B$10:$B$16,"NCAP_TLIFE",$AX$10:$AX$16)),0,""))</f>
        <v/>
      </c>
      <c r="AP172" s="369" t="str">
        <f ca="1">IF($B172&lt;&gt;"PRC_RESID","",IF(AP$7=2005+OFFSET(COM_2012!$B$60,$AW172,SUMIF($B$10:$B$16,"NCAP_TLIFE",$AX$10:$AX$16)),0,""))</f>
        <v/>
      </c>
      <c r="AQ172" s="369" t="str">
        <f ca="1">IF($B172&lt;&gt;"PRC_RESID","",IF(AQ$7=2005+OFFSET(COM_2012!$B$60,$AW172,SUMIF($B$10:$B$16,"NCAP_TLIFE",$AX$10:$AX$16)),0,""))</f>
        <v/>
      </c>
      <c r="AR172" s="369" t="str">
        <f ca="1">IF($B172&lt;&gt;"PRC_RESID","",IF(AR$7=2005+OFFSET(COM_2012!$B$60,$AW172,SUMIF($B$10:$B$16,"NCAP_TLIFE",$AX$10:$AX$16)),0,""))</f>
        <v/>
      </c>
      <c r="AS172" s="369" t="str">
        <f ca="1">IF($B172&lt;&gt;"PRC_RESID","",IF(AS$7=2005+OFFSET(COM_2012!$B$60,$AW172,SUMIF($B$10:$B$16,"NCAP_TLIFE",$AX$10:$AX$16)),0,""))</f>
        <v/>
      </c>
      <c r="AT172" s="369" t="str">
        <f ca="1">IF($B172&lt;&gt;"PRC_RESID","",IF(AT$7=2005+OFFSET(COM_2012!$B$60,$AW172,SUMIF($B$10:$B$16,"NCAP_TLIFE",$AX$10:$AX$16)),0,""))</f>
        <v/>
      </c>
      <c r="AU172" s="369" t="str">
        <f ca="1">IF($B172&lt;&gt;"PRC_RESID","",IF(AU$7=2005+OFFSET(COM_2012!$B$60,$AW172,SUMIF($B$10:$B$16,"NCAP_TLIFE",$AX$10:$AX$16)),0,""))</f>
        <v/>
      </c>
      <c r="AV172" s="304">
        <f>IF(AW171=COM_2012!$AI$121,AV171+1,AV171)</f>
        <v>3</v>
      </c>
      <c r="AW172" s="304">
        <f t="shared" si="17"/>
        <v>23</v>
      </c>
    </row>
    <row r="173" spans="1:49">
      <c r="A173" s="304" t="str">
        <f ca="1">IF(LEFT(OFFSET(COM_2012!$A$60,AW173,0),2)="\I","*","")</f>
        <v/>
      </c>
      <c r="B173" s="369" t="str">
        <f t="shared" ca="1" si="16"/>
        <v>NCAP_TLIFE</v>
      </c>
      <c r="C173" s="369" t="str">
        <f ca="1">IF($A173="*","",OFFSET(COM_2012!$B$60,AW173,0))</f>
        <v>CELELCHID-E</v>
      </c>
      <c r="D173" s="369" t="str">
        <f t="shared" ca="1" si="18"/>
        <v>-</v>
      </c>
      <c r="E173" s="369" t="str">
        <f t="shared" ca="1" si="18"/>
        <v>-</v>
      </c>
      <c r="F173" s="369" t="str">
        <f t="shared" ca="1" si="18"/>
        <v>-</v>
      </c>
      <c r="G173" s="369" t="str">
        <f t="shared" ca="1" si="18"/>
        <v>-</v>
      </c>
      <c r="H173" s="369" t="str">
        <f t="shared" ca="1" si="18"/>
        <v>-</v>
      </c>
      <c r="I173" s="370">
        <f t="shared" ca="1" si="18"/>
        <v>0</v>
      </c>
      <c r="J173" s="304">
        <v>1</v>
      </c>
      <c r="K173" s="369" t="str">
        <f ca="1">IF($B173&lt;&gt;"PRC_RESID","",IF(K$7=2005+OFFSET(COM_2012!$B$60,$AW173,SUMIF($B$10:$B$16,"NCAP_TLIFE",$AX$10:$AX$16)),0,""))</f>
        <v/>
      </c>
      <c r="L173" s="369" t="str">
        <f ca="1">IF($B173&lt;&gt;"PRC_RESID","",IF(L$7=2005+OFFSET(COM_2012!$B$60,$AW173,SUMIF($B$10:$B$16,"NCAP_TLIFE",$AX$10:$AX$16)),0,""))</f>
        <v/>
      </c>
      <c r="M173" s="369" t="str">
        <f ca="1">IF($B173&lt;&gt;"PRC_RESID","",IF(M$7=2005+OFFSET(COM_2012!$B$60,$AW173,SUMIF($B$10:$B$16,"NCAP_TLIFE",$AX$10:$AX$16)),0,""))</f>
        <v/>
      </c>
      <c r="N173" s="369" t="str">
        <f ca="1">IF($B173&lt;&gt;"PRC_RESID","",IF(N$7=2005+OFFSET(COM_2012!$B$60,$AW173,SUMIF($B$10:$B$16,"NCAP_TLIFE",$AX$10:$AX$16)),0,""))</f>
        <v/>
      </c>
      <c r="O173" s="658">
        <v>5</v>
      </c>
      <c r="P173" s="369" t="str">
        <f ca="1">IF($B173&lt;&gt;"PRC_RESID","",IF(P$7=2005+OFFSET(COM_2012!$B$60,$AW173,SUMIF($B$10:$B$16,"NCAP_TLIFE",$AX$10:$AX$16)),0,""))</f>
        <v/>
      </c>
      <c r="Q173" s="369" t="str">
        <f ca="1">IF($B173&lt;&gt;"PRC_RESID","",IF(Q$7=2005+OFFSET(COM_2012!$B$60,$AW173,SUMIF($B$10:$B$16,"NCAP_TLIFE",$AX$10:$AX$16)),0,""))</f>
        <v/>
      </c>
      <c r="R173" s="369" t="str">
        <f ca="1">IF($B173&lt;&gt;"PRC_RESID","",IF(R$7=2005+OFFSET(COM_2012!$B$60,$AW173,SUMIF($B$10:$B$16,"NCAP_TLIFE",$AX$10:$AX$16)),0,""))</f>
        <v/>
      </c>
      <c r="S173" s="369" t="str">
        <f ca="1">IF($B173&lt;&gt;"PRC_RESID","",IF(S$7=2005+OFFSET(COM_2012!$B$60,$AW173,SUMIF($B$10:$B$16,"NCAP_TLIFE",$AX$10:$AX$16)),0,""))</f>
        <v/>
      </c>
      <c r="T173" s="369" t="str">
        <f ca="1">IF($B173&lt;&gt;"PRC_RESID","",IF(T$7=2005+OFFSET(COM_2012!$B$60,$AW173,SUMIF($B$10:$B$16,"NCAP_TLIFE",$AX$10:$AX$16)),0,""))</f>
        <v/>
      </c>
      <c r="U173" s="369" t="str">
        <f ca="1">IF($B173&lt;&gt;"PRC_RESID","",IF(U$7=2005+OFFSET(COM_2012!$B$60,$AW173,SUMIF($B$10:$B$16,"NCAP_TLIFE",$AX$10:$AX$16)),0,""))</f>
        <v/>
      </c>
      <c r="V173" s="369" t="str">
        <f ca="1">IF($B173&lt;&gt;"PRC_RESID","",IF(V$7=2005+OFFSET(COM_2012!$B$60,$AW173,SUMIF($B$10:$B$16,"NCAP_TLIFE",$AX$10:$AX$16)),0,""))</f>
        <v/>
      </c>
      <c r="W173" s="369" t="str">
        <f ca="1">IF($B173&lt;&gt;"PRC_RESID","",IF(W$7=2005+OFFSET(COM_2012!$B$60,$AW173,SUMIF($B$10:$B$16,"NCAP_TLIFE",$AX$10:$AX$16)),0,""))</f>
        <v/>
      </c>
      <c r="X173" s="369" t="str">
        <f ca="1">IF($B173&lt;&gt;"PRC_RESID","",IF(X$7=2005+OFFSET(COM_2012!$B$60,$AW173,SUMIF($B$10:$B$16,"NCAP_TLIFE",$AX$10:$AX$16)),0,""))</f>
        <v/>
      </c>
      <c r="Y173" s="369" t="str">
        <f ca="1">IF($B173&lt;&gt;"PRC_RESID","",IF(Y$7=2005+OFFSET(COM_2012!$B$60,$AW173,SUMIF($B$10:$B$16,"NCAP_TLIFE",$AX$10:$AX$16)),0,""))</f>
        <v/>
      </c>
      <c r="Z173" s="369" t="str">
        <f ca="1">IF($B173&lt;&gt;"PRC_RESID","",IF(Z$7=2005+OFFSET(COM_2012!$B$60,$AW173,SUMIF($B$10:$B$16,"NCAP_TLIFE",$AX$10:$AX$16)),0,""))</f>
        <v/>
      </c>
      <c r="AA173" s="369" t="str">
        <f ca="1">IF($B173&lt;&gt;"PRC_RESID","",IF(AA$7=2005+OFFSET(COM_2012!$B$60,$AW173,SUMIF($B$10:$B$16,"NCAP_TLIFE",$AX$10:$AX$16)),0,""))</f>
        <v/>
      </c>
      <c r="AB173" s="369" t="str">
        <f ca="1">IF($B173&lt;&gt;"PRC_RESID","",IF(AB$7=2005+OFFSET(COM_2012!$B$60,$AW173,SUMIF($B$10:$B$16,"NCAP_TLIFE",$AX$10:$AX$16)),0,""))</f>
        <v/>
      </c>
      <c r="AC173" s="369" t="str">
        <f ca="1">IF($B173&lt;&gt;"PRC_RESID","",IF(AC$7=2005+OFFSET(COM_2012!$B$60,$AW173,SUMIF($B$10:$B$16,"NCAP_TLIFE",$AX$10:$AX$16)),0,""))</f>
        <v/>
      </c>
      <c r="AD173" s="369" t="str">
        <f ca="1">IF($B173&lt;&gt;"PRC_RESID","",IF(AD$7=2005+OFFSET(COM_2012!$B$60,$AW173,SUMIF($B$10:$B$16,"NCAP_TLIFE",$AX$10:$AX$16)),0,""))</f>
        <v/>
      </c>
      <c r="AE173" s="369" t="str">
        <f ca="1">IF($B173&lt;&gt;"PRC_RESID","",IF(AE$7=2005+OFFSET(COM_2012!$B$60,$AW173,SUMIF($B$10:$B$16,"NCAP_TLIFE",$AX$10:$AX$16)),0,""))</f>
        <v/>
      </c>
      <c r="AF173" s="369" t="str">
        <f ca="1">IF($B173&lt;&gt;"PRC_RESID","",IF(AF$7=2005+OFFSET(COM_2012!$B$60,$AW173,SUMIF($B$10:$B$16,"NCAP_TLIFE",$AX$10:$AX$16)),0,""))</f>
        <v/>
      </c>
      <c r="AG173" s="369" t="str">
        <f ca="1">IF($B173&lt;&gt;"PRC_RESID","",IF(AG$7=2005+OFFSET(COM_2012!$B$60,$AW173,SUMIF($B$10:$B$16,"NCAP_TLIFE",$AX$10:$AX$16)),0,""))</f>
        <v/>
      </c>
      <c r="AH173" s="369" t="str">
        <f ca="1">IF($B173&lt;&gt;"PRC_RESID","",IF(AH$7=2005+OFFSET(COM_2012!$B$60,$AW173,SUMIF($B$10:$B$16,"NCAP_TLIFE",$AX$10:$AX$16)),0,""))</f>
        <v/>
      </c>
      <c r="AI173" s="369" t="str">
        <f ca="1">IF($B173&lt;&gt;"PRC_RESID","",IF(AI$7=2005+OFFSET(COM_2012!$B$60,$AW173,SUMIF($B$10:$B$16,"NCAP_TLIFE",$AX$10:$AX$16)),0,""))</f>
        <v/>
      </c>
      <c r="AJ173" s="369" t="str">
        <f ca="1">IF($B173&lt;&gt;"PRC_RESID","",IF(AJ$7=2005+OFFSET(COM_2012!$B$60,$AW173,SUMIF($B$10:$B$16,"NCAP_TLIFE",$AX$10:$AX$16)),0,""))</f>
        <v/>
      </c>
      <c r="AK173" s="369" t="str">
        <f ca="1">IF($B173&lt;&gt;"PRC_RESID","",IF(AK$7=2005+OFFSET(COM_2012!$B$60,$AW173,SUMIF($B$10:$B$16,"NCAP_TLIFE",$AX$10:$AX$16)),0,""))</f>
        <v/>
      </c>
      <c r="AL173" s="369" t="str">
        <f ca="1">IF($B173&lt;&gt;"PRC_RESID","",IF(AL$7=2005+OFFSET(COM_2012!$B$60,$AW173,SUMIF($B$10:$B$16,"NCAP_TLIFE",$AX$10:$AX$16)),0,""))</f>
        <v/>
      </c>
      <c r="AM173" s="369" t="str">
        <f ca="1">IF($B173&lt;&gt;"PRC_RESID","",IF(AM$7=2005+OFFSET(COM_2012!$B$60,$AW173,SUMIF($B$10:$B$16,"NCAP_TLIFE",$AX$10:$AX$16)),0,""))</f>
        <v/>
      </c>
      <c r="AN173" s="369" t="str">
        <f ca="1">IF($B173&lt;&gt;"PRC_RESID","",IF(AN$7=2005+OFFSET(COM_2012!$B$60,$AW173,SUMIF($B$10:$B$16,"NCAP_TLIFE",$AX$10:$AX$16)),0,""))</f>
        <v/>
      </c>
      <c r="AO173" s="369" t="str">
        <f ca="1">IF($B173&lt;&gt;"PRC_RESID","",IF(AO$7=2005+OFFSET(COM_2012!$B$60,$AW173,SUMIF($B$10:$B$16,"NCAP_TLIFE",$AX$10:$AX$16)),0,""))</f>
        <v/>
      </c>
      <c r="AP173" s="369" t="str">
        <f ca="1">IF($B173&lt;&gt;"PRC_RESID","",IF(AP$7=2005+OFFSET(COM_2012!$B$60,$AW173,SUMIF($B$10:$B$16,"NCAP_TLIFE",$AX$10:$AX$16)),0,""))</f>
        <v/>
      </c>
      <c r="AQ173" s="369" t="str">
        <f ca="1">IF($B173&lt;&gt;"PRC_RESID","",IF(AQ$7=2005+OFFSET(COM_2012!$B$60,$AW173,SUMIF($B$10:$B$16,"NCAP_TLIFE",$AX$10:$AX$16)),0,""))</f>
        <v/>
      </c>
      <c r="AR173" s="369" t="str">
        <f ca="1">IF($B173&lt;&gt;"PRC_RESID","",IF(AR$7=2005+OFFSET(COM_2012!$B$60,$AW173,SUMIF($B$10:$B$16,"NCAP_TLIFE",$AX$10:$AX$16)),0,""))</f>
        <v/>
      </c>
      <c r="AS173" s="369" t="str">
        <f ca="1">IF($B173&lt;&gt;"PRC_RESID","",IF(AS$7=2005+OFFSET(COM_2012!$B$60,$AW173,SUMIF($B$10:$B$16,"NCAP_TLIFE",$AX$10:$AX$16)),0,""))</f>
        <v/>
      </c>
      <c r="AT173" s="369" t="str">
        <f ca="1">IF($B173&lt;&gt;"PRC_RESID","",IF(AT$7=2005+OFFSET(COM_2012!$B$60,$AW173,SUMIF($B$10:$B$16,"NCAP_TLIFE",$AX$10:$AX$16)),0,""))</f>
        <v/>
      </c>
      <c r="AU173" s="369" t="str">
        <f ca="1">IF($B173&lt;&gt;"PRC_RESID","",IF(AU$7=2005+OFFSET(COM_2012!$B$60,$AW173,SUMIF($B$10:$B$16,"NCAP_TLIFE",$AX$10:$AX$16)),0,""))</f>
        <v/>
      </c>
      <c r="AV173" s="304">
        <f>IF(AW172=COM_2012!$AI$121,AV172+1,AV172)</f>
        <v>3</v>
      </c>
      <c r="AW173" s="304">
        <f t="shared" si="17"/>
        <v>24</v>
      </c>
    </row>
    <row r="174" spans="1:49">
      <c r="A174" s="304" t="str">
        <f ca="1">IF(LEFT(OFFSET(COM_2012!$A$60,AW174,0),2)="\I","*","")</f>
        <v/>
      </c>
      <c r="B174" s="369" t="str">
        <f t="shared" ca="1" si="16"/>
        <v>NCAP_TLIFE</v>
      </c>
      <c r="C174" s="369" t="str">
        <f ca="1">IF($A174="*","",OFFSET(COM_2012!$B$60,AW174,0))</f>
        <v>CELELCINC-E</v>
      </c>
      <c r="D174" s="369" t="str">
        <f t="shared" ca="1" si="18"/>
        <v>-</v>
      </c>
      <c r="E174" s="369" t="str">
        <f t="shared" ca="1" si="18"/>
        <v>-</v>
      </c>
      <c r="F174" s="369" t="str">
        <f t="shared" ca="1" si="18"/>
        <v>-</v>
      </c>
      <c r="G174" s="369" t="str">
        <f t="shared" ca="1" si="18"/>
        <v>-</v>
      </c>
      <c r="H174" s="369" t="str">
        <f t="shared" ca="1" si="18"/>
        <v>-</v>
      </c>
      <c r="I174" s="370">
        <f t="shared" ca="1" si="18"/>
        <v>0</v>
      </c>
      <c r="J174" s="304">
        <v>1</v>
      </c>
      <c r="K174" s="369" t="str">
        <f ca="1">IF($B174&lt;&gt;"PRC_RESID","",IF(K$7=2005+OFFSET(COM_2012!$B$60,$AW174,SUMIF($B$10:$B$16,"NCAP_TLIFE",$AX$10:$AX$16)),0,""))</f>
        <v/>
      </c>
      <c r="L174" s="369" t="str">
        <f ca="1">IF($B174&lt;&gt;"PRC_RESID","",IF(L$7=2005+OFFSET(COM_2012!$B$60,$AW174,SUMIF($B$10:$B$16,"NCAP_TLIFE",$AX$10:$AX$16)),0,""))</f>
        <v/>
      </c>
      <c r="M174" s="369" t="str">
        <f ca="1">IF($B174&lt;&gt;"PRC_RESID","",IF(M$7=2005+OFFSET(COM_2012!$B$60,$AW174,SUMIF($B$10:$B$16,"NCAP_TLIFE",$AX$10:$AX$16)),0,""))</f>
        <v/>
      </c>
      <c r="N174" s="369" t="str">
        <f ca="1">IF($B174&lt;&gt;"PRC_RESID","",IF(N$7=2005+OFFSET(COM_2012!$B$60,$AW174,SUMIF($B$10:$B$16,"NCAP_TLIFE",$AX$10:$AX$16)),0,""))</f>
        <v/>
      </c>
      <c r="O174" s="658">
        <v>2</v>
      </c>
      <c r="P174" s="369" t="str">
        <f ca="1">IF($B174&lt;&gt;"PRC_RESID","",IF(P$7=2005+OFFSET(COM_2012!$B$60,$AW174,SUMIF($B$10:$B$16,"NCAP_TLIFE",$AX$10:$AX$16)),0,""))</f>
        <v/>
      </c>
      <c r="Q174" s="369" t="str">
        <f ca="1">IF($B174&lt;&gt;"PRC_RESID","",IF(Q$7=2005+OFFSET(COM_2012!$B$60,$AW174,SUMIF($B$10:$B$16,"NCAP_TLIFE",$AX$10:$AX$16)),0,""))</f>
        <v/>
      </c>
      <c r="R174" s="369" t="str">
        <f ca="1">IF($B174&lt;&gt;"PRC_RESID","",IF(R$7=2005+OFFSET(COM_2012!$B$60,$AW174,SUMIF($B$10:$B$16,"NCAP_TLIFE",$AX$10:$AX$16)),0,""))</f>
        <v/>
      </c>
      <c r="S174" s="369" t="str">
        <f ca="1">IF($B174&lt;&gt;"PRC_RESID","",IF(S$7=2005+OFFSET(COM_2012!$B$60,$AW174,SUMIF($B$10:$B$16,"NCAP_TLIFE",$AX$10:$AX$16)),0,""))</f>
        <v/>
      </c>
      <c r="T174" s="369" t="str">
        <f ca="1">IF($B174&lt;&gt;"PRC_RESID","",IF(T$7=2005+OFFSET(COM_2012!$B$60,$AW174,SUMIF($B$10:$B$16,"NCAP_TLIFE",$AX$10:$AX$16)),0,""))</f>
        <v/>
      </c>
      <c r="U174" s="369" t="str">
        <f ca="1">IF($B174&lt;&gt;"PRC_RESID","",IF(U$7=2005+OFFSET(COM_2012!$B$60,$AW174,SUMIF($B$10:$B$16,"NCAP_TLIFE",$AX$10:$AX$16)),0,""))</f>
        <v/>
      </c>
      <c r="V174" s="369" t="str">
        <f ca="1">IF($B174&lt;&gt;"PRC_RESID","",IF(V$7=2005+OFFSET(COM_2012!$B$60,$AW174,SUMIF($B$10:$B$16,"NCAP_TLIFE",$AX$10:$AX$16)),0,""))</f>
        <v/>
      </c>
      <c r="W174" s="369" t="str">
        <f ca="1">IF($B174&lt;&gt;"PRC_RESID","",IF(W$7=2005+OFFSET(COM_2012!$B$60,$AW174,SUMIF($B$10:$B$16,"NCAP_TLIFE",$AX$10:$AX$16)),0,""))</f>
        <v/>
      </c>
      <c r="X174" s="369" t="str">
        <f ca="1">IF($B174&lt;&gt;"PRC_RESID","",IF(X$7=2005+OFFSET(COM_2012!$B$60,$AW174,SUMIF($B$10:$B$16,"NCAP_TLIFE",$AX$10:$AX$16)),0,""))</f>
        <v/>
      </c>
      <c r="Y174" s="369" t="str">
        <f ca="1">IF($B174&lt;&gt;"PRC_RESID","",IF(Y$7=2005+OFFSET(COM_2012!$B$60,$AW174,SUMIF($B$10:$B$16,"NCAP_TLIFE",$AX$10:$AX$16)),0,""))</f>
        <v/>
      </c>
      <c r="Z174" s="369" t="str">
        <f ca="1">IF($B174&lt;&gt;"PRC_RESID","",IF(Z$7=2005+OFFSET(COM_2012!$B$60,$AW174,SUMIF($B$10:$B$16,"NCAP_TLIFE",$AX$10:$AX$16)),0,""))</f>
        <v/>
      </c>
      <c r="AA174" s="369" t="str">
        <f ca="1">IF($B174&lt;&gt;"PRC_RESID","",IF(AA$7=2005+OFFSET(COM_2012!$B$60,$AW174,SUMIF($B$10:$B$16,"NCAP_TLIFE",$AX$10:$AX$16)),0,""))</f>
        <v/>
      </c>
      <c r="AB174" s="369" t="str">
        <f ca="1">IF($B174&lt;&gt;"PRC_RESID","",IF(AB$7=2005+OFFSET(COM_2012!$B$60,$AW174,SUMIF($B$10:$B$16,"NCAP_TLIFE",$AX$10:$AX$16)),0,""))</f>
        <v/>
      </c>
      <c r="AC174" s="369" t="str">
        <f ca="1">IF($B174&lt;&gt;"PRC_RESID","",IF(AC$7=2005+OFFSET(COM_2012!$B$60,$AW174,SUMIF($B$10:$B$16,"NCAP_TLIFE",$AX$10:$AX$16)),0,""))</f>
        <v/>
      </c>
      <c r="AD174" s="369" t="str">
        <f ca="1">IF($B174&lt;&gt;"PRC_RESID","",IF(AD$7=2005+OFFSET(COM_2012!$B$60,$AW174,SUMIF($B$10:$B$16,"NCAP_TLIFE",$AX$10:$AX$16)),0,""))</f>
        <v/>
      </c>
      <c r="AE174" s="369" t="str">
        <f ca="1">IF($B174&lt;&gt;"PRC_RESID","",IF(AE$7=2005+OFFSET(COM_2012!$B$60,$AW174,SUMIF($B$10:$B$16,"NCAP_TLIFE",$AX$10:$AX$16)),0,""))</f>
        <v/>
      </c>
      <c r="AF174" s="369" t="str">
        <f ca="1">IF($B174&lt;&gt;"PRC_RESID","",IF(AF$7=2005+OFFSET(COM_2012!$B$60,$AW174,SUMIF($B$10:$B$16,"NCAP_TLIFE",$AX$10:$AX$16)),0,""))</f>
        <v/>
      </c>
      <c r="AG174" s="369" t="str">
        <f ca="1">IF($B174&lt;&gt;"PRC_RESID","",IF(AG$7=2005+OFFSET(COM_2012!$B$60,$AW174,SUMIF($B$10:$B$16,"NCAP_TLIFE",$AX$10:$AX$16)),0,""))</f>
        <v/>
      </c>
      <c r="AH174" s="369" t="str">
        <f ca="1">IF($B174&lt;&gt;"PRC_RESID","",IF(AH$7=2005+OFFSET(COM_2012!$B$60,$AW174,SUMIF($B$10:$B$16,"NCAP_TLIFE",$AX$10:$AX$16)),0,""))</f>
        <v/>
      </c>
      <c r="AI174" s="369" t="str">
        <f ca="1">IF($B174&lt;&gt;"PRC_RESID","",IF(AI$7=2005+OFFSET(COM_2012!$B$60,$AW174,SUMIF($B$10:$B$16,"NCAP_TLIFE",$AX$10:$AX$16)),0,""))</f>
        <v/>
      </c>
      <c r="AJ174" s="369" t="str">
        <f ca="1">IF($B174&lt;&gt;"PRC_RESID","",IF(AJ$7=2005+OFFSET(COM_2012!$B$60,$AW174,SUMIF($B$10:$B$16,"NCAP_TLIFE",$AX$10:$AX$16)),0,""))</f>
        <v/>
      </c>
      <c r="AK174" s="369" t="str">
        <f ca="1">IF($B174&lt;&gt;"PRC_RESID","",IF(AK$7=2005+OFFSET(COM_2012!$B$60,$AW174,SUMIF($B$10:$B$16,"NCAP_TLIFE",$AX$10:$AX$16)),0,""))</f>
        <v/>
      </c>
      <c r="AL174" s="369" t="str">
        <f ca="1">IF($B174&lt;&gt;"PRC_RESID","",IF(AL$7=2005+OFFSET(COM_2012!$B$60,$AW174,SUMIF($B$10:$B$16,"NCAP_TLIFE",$AX$10:$AX$16)),0,""))</f>
        <v/>
      </c>
      <c r="AM174" s="369" t="str">
        <f ca="1">IF($B174&lt;&gt;"PRC_RESID","",IF(AM$7=2005+OFFSET(COM_2012!$B$60,$AW174,SUMIF($B$10:$B$16,"NCAP_TLIFE",$AX$10:$AX$16)),0,""))</f>
        <v/>
      </c>
      <c r="AN174" s="369" t="str">
        <f ca="1">IF($B174&lt;&gt;"PRC_RESID","",IF(AN$7=2005+OFFSET(COM_2012!$B$60,$AW174,SUMIF($B$10:$B$16,"NCAP_TLIFE",$AX$10:$AX$16)),0,""))</f>
        <v/>
      </c>
      <c r="AO174" s="369" t="str">
        <f ca="1">IF($B174&lt;&gt;"PRC_RESID","",IF(AO$7=2005+OFFSET(COM_2012!$B$60,$AW174,SUMIF($B$10:$B$16,"NCAP_TLIFE",$AX$10:$AX$16)),0,""))</f>
        <v/>
      </c>
      <c r="AP174" s="369" t="str">
        <f ca="1">IF($B174&lt;&gt;"PRC_RESID","",IF(AP$7=2005+OFFSET(COM_2012!$B$60,$AW174,SUMIF($B$10:$B$16,"NCAP_TLIFE",$AX$10:$AX$16)),0,""))</f>
        <v/>
      </c>
      <c r="AQ174" s="369" t="str">
        <f ca="1">IF($B174&lt;&gt;"PRC_RESID","",IF(AQ$7=2005+OFFSET(COM_2012!$B$60,$AW174,SUMIF($B$10:$B$16,"NCAP_TLIFE",$AX$10:$AX$16)),0,""))</f>
        <v/>
      </c>
      <c r="AR174" s="369" t="str">
        <f ca="1">IF($B174&lt;&gt;"PRC_RESID","",IF(AR$7=2005+OFFSET(COM_2012!$B$60,$AW174,SUMIF($B$10:$B$16,"NCAP_TLIFE",$AX$10:$AX$16)),0,""))</f>
        <v/>
      </c>
      <c r="AS174" s="369" t="str">
        <f ca="1">IF($B174&lt;&gt;"PRC_RESID","",IF(AS$7=2005+OFFSET(COM_2012!$B$60,$AW174,SUMIF($B$10:$B$16,"NCAP_TLIFE",$AX$10:$AX$16)),0,""))</f>
        <v/>
      </c>
      <c r="AT174" s="369" t="str">
        <f ca="1">IF($B174&lt;&gt;"PRC_RESID","",IF(AT$7=2005+OFFSET(COM_2012!$B$60,$AW174,SUMIF($B$10:$B$16,"NCAP_TLIFE",$AX$10:$AX$16)),0,""))</f>
        <v/>
      </c>
      <c r="AU174" s="369" t="str">
        <f ca="1">IF($B174&lt;&gt;"PRC_RESID","",IF(AU$7=2005+OFFSET(COM_2012!$B$60,$AW174,SUMIF($B$10:$B$16,"NCAP_TLIFE",$AX$10:$AX$16)),0,""))</f>
        <v/>
      </c>
      <c r="AV174" s="304">
        <f>IF(AW173=COM_2012!$AI$121,AV173+1,AV173)</f>
        <v>3</v>
      </c>
      <c r="AW174" s="304">
        <f t="shared" si="17"/>
        <v>25</v>
      </c>
    </row>
    <row r="175" spans="1:49">
      <c r="A175" s="304" t="str">
        <f ca="1">IF(LEFT(OFFSET(COM_2012!$A$60,AW175,0),2)="\I","*","")</f>
        <v/>
      </c>
      <c r="B175" s="369" t="str">
        <f t="shared" ca="1" si="16"/>
        <v>NCAP_TLIFE</v>
      </c>
      <c r="C175" s="369" t="str">
        <f ca="1">IF($A175="*","",OFFSET(COM_2012!$B$60,AW175,0))</f>
        <v>CELELCLED-N</v>
      </c>
      <c r="D175" s="369" t="str">
        <f t="shared" ca="1" si="18"/>
        <v>-</v>
      </c>
      <c r="E175" s="369" t="str">
        <f t="shared" ca="1" si="18"/>
        <v>-</v>
      </c>
      <c r="F175" s="369" t="str">
        <f t="shared" ca="1" si="18"/>
        <v>-</v>
      </c>
      <c r="G175" s="369" t="str">
        <f t="shared" ca="1" si="18"/>
        <v>-</v>
      </c>
      <c r="H175" s="369" t="str">
        <f t="shared" ca="1" si="18"/>
        <v>-</v>
      </c>
      <c r="I175" s="370">
        <f t="shared" ca="1" si="18"/>
        <v>0</v>
      </c>
      <c r="J175" s="304">
        <v>1</v>
      </c>
      <c r="K175" s="369" t="str">
        <f ca="1">IF($B175&lt;&gt;"PRC_RESID","",IF(K$7=2005+OFFSET(COM_2012!$B$60,$AW175,SUMIF($B$10:$B$16,"NCAP_TLIFE",$AX$10:$AX$16)),0,""))</f>
        <v/>
      </c>
      <c r="L175" s="369" t="str">
        <f ca="1">IF($B175&lt;&gt;"PRC_RESID","",IF(L$7=2005+OFFSET(COM_2012!$B$60,$AW175,SUMIF($B$10:$B$16,"NCAP_TLIFE",$AX$10:$AX$16)),0,""))</f>
        <v/>
      </c>
      <c r="M175" s="369" t="str">
        <f ca="1">IF($B175&lt;&gt;"PRC_RESID","",IF(M$7=2005+OFFSET(COM_2012!$B$60,$AW175,SUMIF($B$10:$B$16,"NCAP_TLIFE",$AX$10:$AX$16)),0,""))</f>
        <v/>
      </c>
      <c r="N175" s="369" t="str">
        <f ca="1">IF($B175&lt;&gt;"PRC_RESID","",IF(N$7=2005+OFFSET(COM_2012!$B$60,$AW175,SUMIF($B$10:$B$16,"NCAP_TLIFE",$AX$10:$AX$16)),0,""))</f>
        <v/>
      </c>
      <c r="O175" s="658">
        <v>10</v>
      </c>
      <c r="P175" s="369" t="str">
        <f ca="1">IF($B175&lt;&gt;"PRC_RESID","",IF(P$7=2005+OFFSET(COM_2012!$B$60,$AW175,SUMIF($B$10:$B$16,"NCAP_TLIFE",$AX$10:$AX$16)),0,""))</f>
        <v/>
      </c>
      <c r="Q175" s="369" t="str">
        <f ca="1">IF($B175&lt;&gt;"PRC_RESID","",IF(Q$7=2005+OFFSET(COM_2012!$B$60,$AW175,SUMIF($B$10:$B$16,"NCAP_TLIFE",$AX$10:$AX$16)),0,""))</f>
        <v/>
      </c>
      <c r="R175" s="369" t="str">
        <f ca="1">IF($B175&lt;&gt;"PRC_RESID","",IF(R$7=2005+OFFSET(COM_2012!$B$60,$AW175,SUMIF($B$10:$B$16,"NCAP_TLIFE",$AX$10:$AX$16)),0,""))</f>
        <v/>
      </c>
      <c r="S175" s="369" t="str">
        <f ca="1">IF($B175&lt;&gt;"PRC_RESID","",IF(S$7=2005+OFFSET(COM_2012!$B$60,$AW175,SUMIF($B$10:$B$16,"NCAP_TLIFE",$AX$10:$AX$16)),0,""))</f>
        <v/>
      </c>
      <c r="T175" s="369" t="str">
        <f ca="1">IF($B175&lt;&gt;"PRC_RESID","",IF(T$7=2005+OFFSET(COM_2012!$B$60,$AW175,SUMIF($B$10:$B$16,"NCAP_TLIFE",$AX$10:$AX$16)),0,""))</f>
        <v/>
      </c>
      <c r="U175" s="369" t="str">
        <f ca="1">IF($B175&lt;&gt;"PRC_RESID","",IF(U$7=2005+OFFSET(COM_2012!$B$60,$AW175,SUMIF($B$10:$B$16,"NCAP_TLIFE",$AX$10:$AX$16)),0,""))</f>
        <v/>
      </c>
      <c r="V175" s="369" t="str">
        <f ca="1">IF($B175&lt;&gt;"PRC_RESID","",IF(V$7=2005+OFFSET(COM_2012!$B$60,$AW175,SUMIF($B$10:$B$16,"NCAP_TLIFE",$AX$10:$AX$16)),0,""))</f>
        <v/>
      </c>
      <c r="W175" s="369" t="str">
        <f ca="1">IF($B175&lt;&gt;"PRC_RESID","",IF(W$7=2005+OFFSET(COM_2012!$B$60,$AW175,SUMIF($B$10:$B$16,"NCAP_TLIFE",$AX$10:$AX$16)),0,""))</f>
        <v/>
      </c>
      <c r="X175" s="369" t="str">
        <f ca="1">IF($B175&lt;&gt;"PRC_RESID","",IF(X$7=2005+OFFSET(COM_2012!$B$60,$AW175,SUMIF($B$10:$B$16,"NCAP_TLIFE",$AX$10:$AX$16)),0,""))</f>
        <v/>
      </c>
      <c r="Y175" s="369" t="str">
        <f ca="1">IF($B175&lt;&gt;"PRC_RESID","",IF(Y$7=2005+OFFSET(COM_2012!$B$60,$AW175,SUMIF($B$10:$B$16,"NCAP_TLIFE",$AX$10:$AX$16)),0,""))</f>
        <v/>
      </c>
      <c r="Z175" s="369" t="str">
        <f ca="1">IF($B175&lt;&gt;"PRC_RESID","",IF(Z$7=2005+OFFSET(COM_2012!$B$60,$AW175,SUMIF($B$10:$B$16,"NCAP_TLIFE",$AX$10:$AX$16)),0,""))</f>
        <v/>
      </c>
      <c r="AA175" s="369" t="str">
        <f ca="1">IF($B175&lt;&gt;"PRC_RESID","",IF(AA$7=2005+OFFSET(COM_2012!$B$60,$AW175,SUMIF($B$10:$B$16,"NCAP_TLIFE",$AX$10:$AX$16)),0,""))</f>
        <v/>
      </c>
      <c r="AB175" s="369" t="str">
        <f ca="1">IF($B175&lt;&gt;"PRC_RESID","",IF(AB$7=2005+OFFSET(COM_2012!$B$60,$AW175,SUMIF($B$10:$B$16,"NCAP_TLIFE",$AX$10:$AX$16)),0,""))</f>
        <v/>
      </c>
      <c r="AC175" s="369" t="str">
        <f ca="1">IF($B175&lt;&gt;"PRC_RESID","",IF(AC$7=2005+OFFSET(COM_2012!$B$60,$AW175,SUMIF($B$10:$B$16,"NCAP_TLIFE",$AX$10:$AX$16)),0,""))</f>
        <v/>
      </c>
      <c r="AD175" s="369" t="str">
        <f ca="1">IF($B175&lt;&gt;"PRC_RESID","",IF(AD$7=2005+OFFSET(COM_2012!$B$60,$AW175,SUMIF($B$10:$B$16,"NCAP_TLIFE",$AX$10:$AX$16)),0,""))</f>
        <v/>
      </c>
      <c r="AE175" s="369" t="str">
        <f ca="1">IF($B175&lt;&gt;"PRC_RESID","",IF(AE$7=2005+OFFSET(COM_2012!$B$60,$AW175,SUMIF($B$10:$B$16,"NCAP_TLIFE",$AX$10:$AX$16)),0,""))</f>
        <v/>
      </c>
      <c r="AF175" s="369" t="str">
        <f ca="1">IF($B175&lt;&gt;"PRC_RESID","",IF(AF$7=2005+OFFSET(COM_2012!$B$60,$AW175,SUMIF($B$10:$B$16,"NCAP_TLIFE",$AX$10:$AX$16)),0,""))</f>
        <v/>
      </c>
      <c r="AG175" s="369" t="str">
        <f ca="1">IF($B175&lt;&gt;"PRC_RESID","",IF(AG$7=2005+OFFSET(COM_2012!$B$60,$AW175,SUMIF($B$10:$B$16,"NCAP_TLIFE",$AX$10:$AX$16)),0,""))</f>
        <v/>
      </c>
      <c r="AH175" s="369" t="str">
        <f ca="1">IF($B175&lt;&gt;"PRC_RESID","",IF(AH$7=2005+OFFSET(COM_2012!$B$60,$AW175,SUMIF($B$10:$B$16,"NCAP_TLIFE",$AX$10:$AX$16)),0,""))</f>
        <v/>
      </c>
      <c r="AI175" s="369" t="str">
        <f ca="1">IF($B175&lt;&gt;"PRC_RESID","",IF(AI$7=2005+OFFSET(COM_2012!$B$60,$AW175,SUMIF($B$10:$B$16,"NCAP_TLIFE",$AX$10:$AX$16)),0,""))</f>
        <v/>
      </c>
      <c r="AJ175" s="369" t="str">
        <f ca="1">IF($B175&lt;&gt;"PRC_RESID","",IF(AJ$7=2005+OFFSET(COM_2012!$B$60,$AW175,SUMIF($B$10:$B$16,"NCAP_TLIFE",$AX$10:$AX$16)),0,""))</f>
        <v/>
      </c>
      <c r="AK175" s="369" t="str">
        <f ca="1">IF($B175&lt;&gt;"PRC_RESID","",IF(AK$7=2005+OFFSET(COM_2012!$B$60,$AW175,SUMIF($B$10:$B$16,"NCAP_TLIFE",$AX$10:$AX$16)),0,""))</f>
        <v/>
      </c>
      <c r="AL175" s="369" t="str">
        <f ca="1">IF($B175&lt;&gt;"PRC_RESID","",IF(AL$7=2005+OFFSET(COM_2012!$B$60,$AW175,SUMIF($B$10:$B$16,"NCAP_TLIFE",$AX$10:$AX$16)),0,""))</f>
        <v/>
      </c>
      <c r="AM175" s="369" t="str">
        <f ca="1">IF($B175&lt;&gt;"PRC_RESID","",IF(AM$7=2005+OFFSET(COM_2012!$B$60,$AW175,SUMIF($B$10:$B$16,"NCAP_TLIFE",$AX$10:$AX$16)),0,""))</f>
        <v/>
      </c>
      <c r="AN175" s="369" t="str">
        <f ca="1">IF($B175&lt;&gt;"PRC_RESID","",IF(AN$7=2005+OFFSET(COM_2012!$B$60,$AW175,SUMIF($B$10:$B$16,"NCAP_TLIFE",$AX$10:$AX$16)),0,""))</f>
        <v/>
      </c>
      <c r="AO175" s="369" t="str">
        <f ca="1">IF($B175&lt;&gt;"PRC_RESID","",IF(AO$7=2005+OFFSET(COM_2012!$B$60,$AW175,SUMIF($B$10:$B$16,"NCAP_TLIFE",$AX$10:$AX$16)),0,""))</f>
        <v/>
      </c>
      <c r="AP175" s="369" t="str">
        <f ca="1">IF($B175&lt;&gt;"PRC_RESID","",IF(AP$7=2005+OFFSET(COM_2012!$B$60,$AW175,SUMIF($B$10:$B$16,"NCAP_TLIFE",$AX$10:$AX$16)),0,""))</f>
        <v/>
      </c>
      <c r="AQ175" s="369" t="str">
        <f ca="1">IF($B175&lt;&gt;"PRC_RESID","",IF(AQ$7=2005+OFFSET(COM_2012!$B$60,$AW175,SUMIF($B$10:$B$16,"NCAP_TLIFE",$AX$10:$AX$16)),0,""))</f>
        <v/>
      </c>
      <c r="AR175" s="369" t="str">
        <f ca="1">IF($B175&lt;&gt;"PRC_RESID","",IF(AR$7=2005+OFFSET(COM_2012!$B$60,$AW175,SUMIF($B$10:$B$16,"NCAP_TLIFE",$AX$10:$AX$16)),0,""))</f>
        <v/>
      </c>
      <c r="AS175" s="369" t="str">
        <f ca="1">IF($B175&lt;&gt;"PRC_RESID","",IF(AS$7=2005+OFFSET(COM_2012!$B$60,$AW175,SUMIF($B$10:$B$16,"NCAP_TLIFE",$AX$10:$AX$16)),0,""))</f>
        <v/>
      </c>
      <c r="AT175" s="369" t="str">
        <f ca="1">IF($B175&lt;&gt;"PRC_RESID","",IF(AT$7=2005+OFFSET(COM_2012!$B$60,$AW175,SUMIF($B$10:$B$16,"NCAP_TLIFE",$AX$10:$AX$16)),0,""))</f>
        <v/>
      </c>
      <c r="AU175" s="369" t="str">
        <f ca="1">IF($B175&lt;&gt;"PRC_RESID","",IF(AU$7=2005+OFFSET(COM_2012!$B$60,$AW175,SUMIF($B$10:$B$16,"NCAP_TLIFE",$AX$10:$AX$16)),0,""))</f>
        <v/>
      </c>
      <c r="AV175" s="304">
        <f>IF(AW174=COM_2012!$AI$121,AV174+1,AV174)</f>
        <v>3</v>
      </c>
      <c r="AW175" s="304">
        <f t="shared" si="17"/>
        <v>26</v>
      </c>
    </row>
    <row r="176" spans="1:49">
      <c r="A176" s="304" t="str">
        <f ca="1">IF(LEFT(OFFSET(COM_2012!$A$60,AW176,0),2)="\I","*","")</f>
        <v>*</v>
      </c>
      <c r="B176" s="369" t="str">
        <f t="shared" ca="1" si="16"/>
        <v/>
      </c>
      <c r="C176" s="369" t="str">
        <f ca="1">IF($A176="*","",OFFSET(COM_2012!$B$60,AW176,0))</f>
        <v/>
      </c>
      <c r="D176" s="369" t="str">
        <f t="shared" ca="1" si="18"/>
        <v/>
      </c>
      <c r="E176" s="369" t="str">
        <f t="shared" ca="1" si="18"/>
        <v/>
      </c>
      <c r="F176" s="369" t="str">
        <f t="shared" ca="1" si="18"/>
        <v/>
      </c>
      <c r="G176" s="369" t="str">
        <f t="shared" ca="1" si="18"/>
        <v/>
      </c>
      <c r="H176" s="369" t="str">
        <f t="shared" ca="1" si="18"/>
        <v/>
      </c>
      <c r="I176" s="370" t="str">
        <f t="shared" ca="1" si="18"/>
        <v/>
      </c>
      <c r="J176" s="391" t="str">
        <f ca="1">IF($A176="*","",OFFSET(COM_2012!$B$60,AW176,SUMIF($B$10:$B$16,B176,$AX$10:$AX$16)))</f>
        <v/>
      </c>
      <c r="K176" s="369" t="str">
        <f ca="1">IF($B176&lt;&gt;"PRC_RESID","",IF(K$7=2005+OFFSET(COM_2012!$B$60,$AW176,SUMIF($B$10:$B$16,"NCAP_TLIFE",$AX$10:$AX$16)),0,""))</f>
        <v/>
      </c>
      <c r="L176" s="369" t="str">
        <f ca="1">IF($B176&lt;&gt;"PRC_RESID","",IF(L$7=2005+OFFSET(COM_2012!$B$60,$AW176,SUMIF($B$10:$B$16,"NCAP_TLIFE",$AX$10:$AX$16)),0,""))</f>
        <v/>
      </c>
      <c r="M176" s="369" t="str">
        <f ca="1">IF($B176&lt;&gt;"PRC_RESID","",IF(M$7=2005+OFFSET(COM_2012!$B$60,$AW176,SUMIF($B$10:$B$16,"NCAP_TLIFE",$AX$10:$AX$16)),0,""))</f>
        <v/>
      </c>
      <c r="N176" s="369" t="str">
        <f ca="1">IF($B176&lt;&gt;"PRC_RESID","",IF(N$7=2005+OFFSET(COM_2012!$B$60,$AW176,SUMIF($B$10:$B$16,"NCAP_TLIFE",$AX$10:$AX$16)),0,""))</f>
        <v/>
      </c>
      <c r="O176" s="658" t="str">
        <f ca="1">IF($B176&lt;&gt;"PRC_RESID","",IF(O$7=2005+OFFSET(COM_2012!$B$60,$AW176,SUMIF($B$10:$B$16,"NCAP_TLIFE",$AX$10:$AX$16)),0,""))</f>
        <v/>
      </c>
      <c r="P176" s="369" t="str">
        <f ca="1">IF($B176&lt;&gt;"PRC_RESID","",IF(P$7=2005+OFFSET(COM_2012!$B$60,$AW176,SUMIF($B$10:$B$16,"NCAP_TLIFE",$AX$10:$AX$16)),0,""))</f>
        <v/>
      </c>
      <c r="Q176" s="369" t="str">
        <f ca="1">IF($B176&lt;&gt;"PRC_RESID","",IF(Q$7=2005+OFFSET(COM_2012!$B$60,$AW176,SUMIF($B$10:$B$16,"NCAP_TLIFE",$AX$10:$AX$16)),0,""))</f>
        <v/>
      </c>
      <c r="R176" s="369" t="str">
        <f ca="1">IF($B176&lt;&gt;"PRC_RESID","",IF(R$7=2005+OFFSET(COM_2012!$B$60,$AW176,SUMIF($B$10:$B$16,"NCAP_TLIFE",$AX$10:$AX$16)),0,""))</f>
        <v/>
      </c>
      <c r="S176" s="369" t="str">
        <f ca="1">IF($B176&lt;&gt;"PRC_RESID","",IF(S$7=2005+OFFSET(COM_2012!$B$60,$AW176,SUMIF($B$10:$B$16,"NCAP_TLIFE",$AX$10:$AX$16)),0,""))</f>
        <v/>
      </c>
      <c r="T176" s="369" t="str">
        <f ca="1">IF($B176&lt;&gt;"PRC_RESID","",IF(T$7=2005+OFFSET(COM_2012!$B$60,$AW176,SUMIF($B$10:$B$16,"NCAP_TLIFE",$AX$10:$AX$16)),0,""))</f>
        <v/>
      </c>
      <c r="U176" s="369" t="str">
        <f ca="1">IF($B176&lt;&gt;"PRC_RESID","",IF(U$7=2005+OFFSET(COM_2012!$B$60,$AW176,SUMIF($B$10:$B$16,"NCAP_TLIFE",$AX$10:$AX$16)),0,""))</f>
        <v/>
      </c>
      <c r="V176" s="369" t="str">
        <f ca="1">IF($B176&lt;&gt;"PRC_RESID","",IF(V$7=2005+OFFSET(COM_2012!$B$60,$AW176,SUMIF($B$10:$B$16,"NCAP_TLIFE",$AX$10:$AX$16)),0,""))</f>
        <v/>
      </c>
      <c r="W176" s="369" t="str">
        <f ca="1">IF($B176&lt;&gt;"PRC_RESID","",IF(W$7=2005+OFFSET(COM_2012!$B$60,$AW176,SUMIF($B$10:$B$16,"NCAP_TLIFE",$AX$10:$AX$16)),0,""))</f>
        <v/>
      </c>
      <c r="X176" s="369" t="str">
        <f ca="1">IF($B176&lt;&gt;"PRC_RESID","",IF(X$7=2005+OFFSET(COM_2012!$B$60,$AW176,SUMIF($B$10:$B$16,"NCAP_TLIFE",$AX$10:$AX$16)),0,""))</f>
        <v/>
      </c>
      <c r="Y176" s="369" t="str">
        <f ca="1">IF($B176&lt;&gt;"PRC_RESID","",IF(Y$7=2005+OFFSET(COM_2012!$B$60,$AW176,SUMIF($B$10:$B$16,"NCAP_TLIFE",$AX$10:$AX$16)),0,""))</f>
        <v/>
      </c>
      <c r="Z176" s="369" t="str">
        <f ca="1">IF($B176&lt;&gt;"PRC_RESID","",IF(Z$7=2005+OFFSET(COM_2012!$B$60,$AW176,SUMIF($B$10:$B$16,"NCAP_TLIFE",$AX$10:$AX$16)),0,""))</f>
        <v/>
      </c>
      <c r="AA176" s="369" t="str">
        <f ca="1">IF($B176&lt;&gt;"PRC_RESID","",IF(AA$7=2005+OFFSET(COM_2012!$B$60,$AW176,SUMIF($B$10:$B$16,"NCAP_TLIFE",$AX$10:$AX$16)),0,""))</f>
        <v/>
      </c>
      <c r="AB176" s="369" t="str">
        <f ca="1">IF($B176&lt;&gt;"PRC_RESID","",IF(AB$7=2005+OFFSET(COM_2012!$B$60,$AW176,SUMIF($B$10:$B$16,"NCAP_TLIFE",$AX$10:$AX$16)),0,""))</f>
        <v/>
      </c>
      <c r="AC176" s="369" t="str">
        <f ca="1">IF($B176&lt;&gt;"PRC_RESID","",IF(AC$7=2005+OFFSET(COM_2012!$B$60,$AW176,SUMIF($B$10:$B$16,"NCAP_TLIFE",$AX$10:$AX$16)),0,""))</f>
        <v/>
      </c>
      <c r="AD176" s="369" t="str">
        <f ca="1">IF($B176&lt;&gt;"PRC_RESID","",IF(AD$7=2005+OFFSET(COM_2012!$B$60,$AW176,SUMIF($B$10:$B$16,"NCAP_TLIFE",$AX$10:$AX$16)),0,""))</f>
        <v/>
      </c>
      <c r="AE176" s="369" t="str">
        <f ca="1">IF($B176&lt;&gt;"PRC_RESID","",IF(AE$7=2005+OFFSET(COM_2012!$B$60,$AW176,SUMIF($B$10:$B$16,"NCAP_TLIFE",$AX$10:$AX$16)),0,""))</f>
        <v/>
      </c>
      <c r="AF176" s="369" t="str">
        <f ca="1">IF($B176&lt;&gt;"PRC_RESID","",IF(AF$7=2005+OFFSET(COM_2012!$B$60,$AW176,SUMIF($B$10:$B$16,"NCAP_TLIFE",$AX$10:$AX$16)),0,""))</f>
        <v/>
      </c>
      <c r="AG176" s="369" t="str">
        <f ca="1">IF($B176&lt;&gt;"PRC_RESID","",IF(AG$7=2005+OFFSET(COM_2012!$B$60,$AW176,SUMIF($B$10:$B$16,"NCAP_TLIFE",$AX$10:$AX$16)),0,""))</f>
        <v/>
      </c>
      <c r="AH176" s="369" t="str">
        <f ca="1">IF($B176&lt;&gt;"PRC_RESID","",IF(AH$7=2005+OFFSET(COM_2012!$B$60,$AW176,SUMIF($B$10:$B$16,"NCAP_TLIFE",$AX$10:$AX$16)),0,""))</f>
        <v/>
      </c>
      <c r="AI176" s="369" t="str">
        <f ca="1">IF($B176&lt;&gt;"PRC_RESID","",IF(AI$7=2005+OFFSET(COM_2012!$B$60,$AW176,SUMIF($B$10:$B$16,"NCAP_TLIFE",$AX$10:$AX$16)),0,""))</f>
        <v/>
      </c>
      <c r="AJ176" s="369" t="str">
        <f ca="1">IF($B176&lt;&gt;"PRC_RESID","",IF(AJ$7=2005+OFFSET(COM_2012!$B$60,$AW176,SUMIF($B$10:$B$16,"NCAP_TLIFE",$AX$10:$AX$16)),0,""))</f>
        <v/>
      </c>
      <c r="AK176" s="369" t="str">
        <f ca="1">IF($B176&lt;&gt;"PRC_RESID","",IF(AK$7=2005+OFFSET(COM_2012!$B$60,$AW176,SUMIF($B$10:$B$16,"NCAP_TLIFE",$AX$10:$AX$16)),0,""))</f>
        <v/>
      </c>
      <c r="AL176" s="369" t="str">
        <f ca="1">IF($B176&lt;&gt;"PRC_RESID","",IF(AL$7=2005+OFFSET(COM_2012!$B$60,$AW176,SUMIF($B$10:$B$16,"NCAP_TLIFE",$AX$10:$AX$16)),0,""))</f>
        <v/>
      </c>
      <c r="AM176" s="369" t="str">
        <f ca="1">IF($B176&lt;&gt;"PRC_RESID","",IF(AM$7=2005+OFFSET(COM_2012!$B$60,$AW176,SUMIF($B$10:$B$16,"NCAP_TLIFE",$AX$10:$AX$16)),0,""))</f>
        <v/>
      </c>
      <c r="AN176" s="369" t="str">
        <f ca="1">IF($B176&lt;&gt;"PRC_RESID","",IF(AN$7=2005+OFFSET(COM_2012!$B$60,$AW176,SUMIF($B$10:$B$16,"NCAP_TLIFE",$AX$10:$AX$16)),0,""))</f>
        <v/>
      </c>
      <c r="AO176" s="369" t="str">
        <f ca="1">IF($B176&lt;&gt;"PRC_RESID","",IF(AO$7=2005+OFFSET(COM_2012!$B$60,$AW176,SUMIF($B$10:$B$16,"NCAP_TLIFE",$AX$10:$AX$16)),0,""))</f>
        <v/>
      </c>
      <c r="AP176" s="369" t="str">
        <f ca="1">IF($B176&lt;&gt;"PRC_RESID","",IF(AP$7=2005+OFFSET(COM_2012!$B$60,$AW176,SUMIF($B$10:$B$16,"NCAP_TLIFE",$AX$10:$AX$16)),0,""))</f>
        <v/>
      </c>
      <c r="AQ176" s="369" t="str">
        <f ca="1">IF($B176&lt;&gt;"PRC_RESID","",IF(AQ$7=2005+OFFSET(COM_2012!$B$60,$AW176,SUMIF($B$10:$B$16,"NCAP_TLIFE",$AX$10:$AX$16)),0,""))</f>
        <v/>
      </c>
      <c r="AR176" s="369" t="str">
        <f ca="1">IF($B176&lt;&gt;"PRC_RESID","",IF(AR$7=2005+OFFSET(COM_2012!$B$60,$AW176,SUMIF($B$10:$B$16,"NCAP_TLIFE",$AX$10:$AX$16)),0,""))</f>
        <v/>
      </c>
      <c r="AS176" s="369" t="str">
        <f ca="1">IF($B176&lt;&gt;"PRC_RESID","",IF(AS$7=2005+OFFSET(COM_2012!$B$60,$AW176,SUMIF($B$10:$B$16,"NCAP_TLIFE",$AX$10:$AX$16)),0,""))</f>
        <v/>
      </c>
      <c r="AT176" s="369" t="str">
        <f ca="1">IF($B176&lt;&gt;"PRC_RESID","",IF(AT$7=2005+OFFSET(COM_2012!$B$60,$AW176,SUMIF($B$10:$B$16,"NCAP_TLIFE",$AX$10:$AX$16)),0,""))</f>
        <v/>
      </c>
      <c r="AU176" s="369" t="str">
        <f ca="1">IF($B176&lt;&gt;"PRC_RESID","",IF(AU$7=2005+OFFSET(COM_2012!$B$60,$AW176,SUMIF($B$10:$B$16,"NCAP_TLIFE",$AX$10:$AX$16)),0,""))</f>
        <v/>
      </c>
      <c r="AV176" s="304">
        <f>IF(AW175=COM_2012!$AI$121,AV175+1,AV175)</f>
        <v>3</v>
      </c>
      <c r="AW176" s="304">
        <f t="shared" si="17"/>
        <v>27</v>
      </c>
    </row>
    <row r="177" spans="1:49">
      <c r="A177" s="304" t="str">
        <f ca="1">IF(LEFT(OFFSET(COM_2012!$A$60,AW177,0),2)="\I","*","")</f>
        <v>*</v>
      </c>
      <c r="B177" s="369" t="str">
        <f t="shared" ca="1" si="16"/>
        <v/>
      </c>
      <c r="C177" s="369" t="str">
        <f ca="1">IF($A177="*","",OFFSET(COM_2012!$B$60,AW177,0))</f>
        <v/>
      </c>
      <c r="D177" s="369" t="str">
        <f t="shared" ca="1" si="18"/>
        <v/>
      </c>
      <c r="E177" s="369" t="str">
        <f t="shared" ca="1" si="18"/>
        <v/>
      </c>
      <c r="F177" s="369" t="str">
        <f t="shared" ca="1" si="18"/>
        <v/>
      </c>
      <c r="G177" s="369" t="str">
        <f t="shared" ca="1" si="18"/>
        <v/>
      </c>
      <c r="H177" s="369" t="str">
        <f t="shared" ca="1" si="18"/>
        <v/>
      </c>
      <c r="I177" s="370" t="str">
        <f t="shared" ca="1" si="18"/>
        <v/>
      </c>
      <c r="J177" s="391" t="str">
        <f ca="1">IF($A177="*","",OFFSET(COM_2012!$B$60,AW177,SUMIF($B$10:$B$16,B177,$AX$10:$AX$16)))</f>
        <v/>
      </c>
      <c r="K177" s="369" t="str">
        <f ca="1">IF($B177&lt;&gt;"PRC_RESID","",IF(K$7=2005+OFFSET(COM_2012!$B$60,$AW177,SUMIF($B$10:$B$16,"NCAP_TLIFE",$AX$10:$AX$16)),0,""))</f>
        <v/>
      </c>
      <c r="L177" s="369" t="str">
        <f ca="1">IF($B177&lt;&gt;"PRC_RESID","",IF(L$7=2005+OFFSET(COM_2012!$B$60,$AW177,SUMIF($B$10:$B$16,"NCAP_TLIFE",$AX$10:$AX$16)),0,""))</f>
        <v/>
      </c>
      <c r="M177" s="369" t="str">
        <f ca="1">IF($B177&lt;&gt;"PRC_RESID","",IF(M$7=2005+OFFSET(COM_2012!$B$60,$AW177,SUMIF($B$10:$B$16,"NCAP_TLIFE",$AX$10:$AX$16)),0,""))</f>
        <v/>
      </c>
      <c r="N177" s="369" t="str">
        <f ca="1">IF($B177&lt;&gt;"PRC_RESID","",IF(N$7=2005+OFFSET(COM_2012!$B$60,$AW177,SUMIF($B$10:$B$16,"NCAP_TLIFE",$AX$10:$AX$16)),0,""))</f>
        <v/>
      </c>
      <c r="O177" s="658" t="str">
        <f ca="1">IF($B177&lt;&gt;"PRC_RESID","",IF(O$7=2005+OFFSET(COM_2012!$B$60,$AW177,SUMIF($B$10:$B$16,"NCAP_TLIFE",$AX$10:$AX$16)),0,""))</f>
        <v/>
      </c>
      <c r="P177" s="369" t="str">
        <f ca="1">IF($B177&lt;&gt;"PRC_RESID","",IF(P$7=2005+OFFSET(COM_2012!$B$60,$AW177,SUMIF($B$10:$B$16,"NCAP_TLIFE",$AX$10:$AX$16)),0,""))</f>
        <v/>
      </c>
      <c r="Q177" s="369" t="str">
        <f ca="1">IF($B177&lt;&gt;"PRC_RESID","",IF(Q$7=2005+OFFSET(COM_2012!$B$60,$AW177,SUMIF($B$10:$B$16,"NCAP_TLIFE",$AX$10:$AX$16)),0,""))</f>
        <v/>
      </c>
      <c r="R177" s="369" t="str">
        <f ca="1">IF($B177&lt;&gt;"PRC_RESID","",IF(R$7=2005+OFFSET(COM_2012!$B$60,$AW177,SUMIF($B$10:$B$16,"NCAP_TLIFE",$AX$10:$AX$16)),0,""))</f>
        <v/>
      </c>
      <c r="S177" s="369" t="str">
        <f ca="1">IF($B177&lt;&gt;"PRC_RESID","",IF(S$7=2005+OFFSET(COM_2012!$B$60,$AW177,SUMIF($B$10:$B$16,"NCAP_TLIFE",$AX$10:$AX$16)),0,""))</f>
        <v/>
      </c>
      <c r="T177" s="369" t="str">
        <f ca="1">IF($B177&lt;&gt;"PRC_RESID","",IF(T$7=2005+OFFSET(COM_2012!$B$60,$AW177,SUMIF($B$10:$B$16,"NCAP_TLIFE",$AX$10:$AX$16)),0,""))</f>
        <v/>
      </c>
      <c r="U177" s="369" t="str">
        <f ca="1">IF($B177&lt;&gt;"PRC_RESID","",IF(U$7=2005+OFFSET(COM_2012!$B$60,$AW177,SUMIF($B$10:$B$16,"NCAP_TLIFE",$AX$10:$AX$16)),0,""))</f>
        <v/>
      </c>
      <c r="V177" s="369" t="str">
        <f ca="1">IF($B177&lt;&gt;"PRC_RESID","",IF(V$7=2005+OFFSET(COM_2012!$B$60,$AW177,SUMIF($B$10:$B$16,"NCAP_TLIFE",$AX$10:$AX$16)),0,""))</f>
        <v/>
      </c>
      <c r="W177" s="369" t="str">
        <f ca="1">IF($B177&lt;&gt;"PRC_RESID","",IF(W$7=2005+OFFSET(COM_2012!$B$60,$AW177,SUMIF($B$10:$B$16,"NCAP_TLIFE",$AX$10:$AX$16)),0,""))</f>
        <v/>
      </c>
      <c r="X177" s="369" t="str">
        <f ca="1">IF($B177&lt;&gt;"PRC_RESID","",IF(X$7=2005+OFFSET(COM_2012!$B$60,$AW177,SUMIF($B$10:$B$16,"NCAP_TLIFE",$AX$10:$AX$16)),0,""))</f>
        <v/>
      </c>
      <c r="Y177" s="369" t="str">
        <f ca="1">IF($B177&lt;&gt;"PRC_RESID","",IF(Y$7=2005+OFFSET(COM_2012!$B$60,$AW177,SUMIF($B$10:$B$16,"NCAP_TLIFE",$AX$10:$AX$16)),0,""))</f>
        <v/>
      </c>
      <c r="Z177" s="369" t="str">
        <f ca="1">IF($B177&lt;&gt;"PRC_RESID","",IF(Z$7=2005+OFFSET(COM_2012!$B$60,$AW177,SUMIF($B$10:$B$16,"NCAP_TLIFE",$AX$10:$AX$16)),0,""))</f>
        <v/>
      </c>
      <c r="AA177" s="369" t="str">
        <f ca="1">IF($B177&lt;&gt;"PRC_RESID","",IF(AA$7=2005+OFFSET(COM_2012!$B$60,$AW177,SUMIF($B$10:$B$16,"NCAP_TLIFE",$AX$10:$AX$16)),0,""))</f>
        <v/>
      </c>
      <c r="AB177" s="369" t="str">
        <f ca="1">IF($B177&lt;&gt;"PRC_RESID","",IF(AB$7=2005+OFFSET(COM_2012!$B$60,$AW177,SUMIF($B$10:$B$16,"NCAP_TLIFE",$AX$10:$AX$16)),0,""))</f>
        <v/>
      </c>
      <c r="AC177" s="369" t="str">
        <f ca="1">IF($B177&lt;&gt;"PRC_RESID","",IF(AC$7=2005+OFFSET(COM_2012!$B$60,$AW177,SUMIF($B$10:$B$16,"NCAP_TLIFE",$AX$10:$AX$16)),0,""))</f>
        <v/>
      </c>
      <c r="AD177" s="369" t="str">
        <f ca="1">IF($B177&lt;&gt;"PRC_RESID","",IF(AD$7=2005+OFFSET(COM_2012!$B$60,$AW177,SUMIF($B$10:$B$16,"NCAP_TLIFE",$AX$10:$AX$16)),0,""))</f>
        <v/>
      </c>
      <c r="AE177" s="369" t="str">
        <f ca="1">IF($B177&lt;&gt;"PRC_RESID","",IF(AE$7=2005+OFFSET(COM_2012!$B$60,$AW177,SUMIF($B$10:$B$16,"NCAP_TLIFE",$AX$10:$AX$16)),0,""))</f>
        <v/>
      </c>
      <c r="AF177" s="369" t="str">
        <f ca="1">IF($B177&lt;&gt;"PRC_RESID","",IF(AF$7=2005+OFFSET(COM_2012!$B$60,$AW177,SUMIF($B$10:$B$16,"NCAP_TLIFE",$AX$10:$AX$16)),0,""))</f>
        <v/>
      </c>
      <c r="AG177" s="369" t="str">
        <f ca="1">IF($B177&lt;&gt;"PRC_RESID","",IF(AG$7=2005+OFFSET(COM_2012!$B$60,$AW177,SUMIF($B$10:$B$16,"NCAP_TLIFE",$AX$10:$AX$16)),0,""))</f>
        <v/>
      </c>
      <c r="AH177" s="369" t="str">
        <f ca="1">IF($B177&lt;&gt;"PRC_RESID","",IF(AH$7=2005+OFFSET(COM_2012!$B$60,$AW177,SUMIF($B$10:$B$16,"NCAP_TLIFE",$AX$10:$AX$16)),0,""))</f>
        <v/>
      </c>
      <c r="AI177" s="369" t="str">
        <f ca="1">IF($B177&lt;&gt;"PRC_RESID","",IF(AI$7=2005+OFFSET(COM_2012!$B$60,$AW177,SUMIF($B$10:$B$16,"NCAP_TLIFE",$AX$10:$AX$16)),0,""))</f>
        <v/>
      </c>
      <c r="AJ177" s="369" t="str">
        <f ca="1">IF($B177&lt;&gt;"PRC_RESID","",IF(AJ$7=2005+OFFSET(COM_2012!$B$60,$AW177,SUMIF($B$10:$B$16,"NCAP_TLIFE",$AX$10:$AX$16)),0,""))</f>
        <v/>
      </c>
      <c r="AK177" s="369" t="str">
        <f ca="1">IF($B177&lt;&gt;"PRC_RESID","",IF(AK$7=2005+OFFSET(COM_2012!$B$60,$AW177,SUMIF($B$10:$B$16,"NCAP_TLIFE",$AX$10:$AX$16)),0,""))</f>
        <v/>
      </c>
      <c r="AL177" s="369" t="str">
        <f ca="1">IF($B177&lt;&gt;"PRC_RESID","",IF(AL$7=2005+OFFSET(COM_2012!$B$60,$AW177,SUMIF($B$10:$B$16,"NCAP_TLIFE",$AX$10:$AX$16)),0,""))</f>
        <v/>
      </c>
      <c r="AM177" s="369" t="str">
        <f ca="1">IF($B177&lt;&gt;"PRC_RESID","",IF(AM$7=2005+OFFSET(COM_2012!$B$60,$AW177,SUMIF($B$10:$B$16,"NCAP_TLIFE",$AX$10:$AX$16)),0,""))</f>
        <v/>
      </c>
      <c r="AN177" s="369" t="str">
        <f ca="1">IF($B177&lt;&gt;"PRC_RESID","",IF(AN$7=2005+OFFSET(COM_2012!$B$60,$AW177,SUMIF($B$10:$B$16,"NCAP_TLIFE",$AX$10:$AX$16)),0,""))</f>
        <v/>
      </c>
      <c r="AO177" s="369" t="str">
        <f ca="1">IF($B177&lt;&gt;"PRC_RESID","",IF(AO$7=2005+OFFSET(COM_2012!$B$60,$AW177,SUMIF($B$10:$B$16,"NCAP_TLIFE",$AX$10:$AX$16)),0,""))</f>
        <v/>
      </c>
      <c r="AP177" s="369" t="str">
        <f ca="1">IF($B177&lt;&gt;"PRC_RESID","",IF(AP$7=2005+OFFSET(COM_2012!$B$60,$AW177,SUMIF($B$10:$B$16,"NCAP_TLIFE",$AX$10:$AX$16)),0,""))</f>
        <v/>
      </c>
      <c r="AQ177" s="369" t="str">
        <f ca="1">IF($B177&lt;&gt;"PRC_RESID","",IF(AQ$7=2005+OFFSET(COM_2012!$B$60,$AW177,SUMIF($B$10:$B$16,"NCAP_TLIFE",$AX$10:$AX$16)),0,""))</f>
        <v/>
      </c>
      <c r="AR177" s="369" t="str">
        <f ca="1">IF($B177&lt;&gt;"PRC_RESID","",IF(AR$7=2005+OFFSET(COM_2012!$B$60,$AW177,SUMIF($B$10:$B$16,"NCAP_TLIFE",$AX$10:$AX$16)),0,""))</f>
        <v/>
      </c>
      <c r="AS177" s="369" t="str">
        <f ca="1">IF($B177&lt;&gt;"PRC_RESID","",IF(AS$7=2005+OFFSET(COM_2012!$B$60,$AW177,SUMIF($B$10:$B$16,"NCAP_TLIFE",$AX$10:$AX$16)),0,""))</f>
        <v/>
      </c>
      <c r="AT177" s="369" t="str">
        <f ca="1">IF($B177&lt;&gt;"PRC_RESID","",IF(AT$7=2005+OFFSET(COM_2012!$B$60,$AW177,SUMIF($B$10:$B$16,"NCAP_TLIFE",$AX$10:$AX$16)),0,""))</f>
        <v/>
      </c>
      <c r="AU177" s="369" t="str">
        <f ca="1">IF($B177&lt;&gt;"PRC_RESID","",IF(AU$7=2005+OFFSET(COM_2012!$B$60,$AW177,SUMIF($B$10:$B$16,"NCAP_TLIFE",$AX$10:$AX$16)),0,""))</f>
        <v/>
      </c>
      <c r="AV177" s="304">
        <f>IF(AW176=COM_2012!$AI$121,AV176+1,AV176)</f>
        <v>3</v>
      </c>
      <c r="AW177" s="304">
        <f t="shared" si="17"/>
        <v>28</v>
      </c>
    </row>
    <row r="178" spans="1:49">
      <c r="A178" s="304" t="str">
        <f ca="1">IF(LEFT(OFFSET(COM_2012!$A$60,AW178,0),2)="\I","*","")</f>
        <v/>
      </c>
      <c r="B178" s="369" t="str">
        <f t="shared" ca="1" si="16"/>
        <v>NCAP_TLIFE</v>
      </c>
      <c r="C178" s="369" t="str">
        <f ca="1">IF($A178="*","",OFFSET(COM_2012!$B$60,AW178,0))</f>
        <v>CERELC-E</v>
      </c>
      <c r="D178" s="369" t="str">
        <f t="shared" ca="1" si="18"/>
        <v>-</v>
      </c>
      <c r="E178" s="369" t="str">
        <f t="shared" ca="1" si="18"/>
        <v>-</v>
      </c>
      <c r="F178" s="369" t="str">
        <f t="shared" ca="1" si="18"/>
        <v>-</v>
      </c>
      <c r="G178" s="369" t="str">
        <f t="shared" ca="1" si="18"/>
        <v>-</v>
      </c>
      <c r="H178" s="369" t="str">
        <f t="shared" ca="1" si="18"/>
        <v>-</v>
      </c>
      <c r="I178" s="370">
        <f t="shared" ca="1" si="18"/>
        <v>0</v>
      </c>
      <c r="J178" s="391">
        <f ca="1">IF($A178="*","",OFFSET(COM_2012!$B$60,AW178,SUMIF($B$10:$B$16,B178,$AX$10:$AX$16)))</f>
        <v>10</v>
      </c>
      <c r="K178" s="369" t="str">
        <f ca="1">IF($B178&lt;&gt;"PRC_RESID","",IF(K$7=2005+OFFSET(COM_2012!$B$60,$AW178,SUMIF($B$10:$B$16,"NCAP_TLIFE",$AX$10:$AX$16)),0,""))</f>
        <v/>
      </c>
      <c r="L178" s="369" t="str">
        <f ca="1">IF($B178&lt;&gt;"PRC_RESID","",IF(L$7=2005+OFFSET(COM_2012!$B$60,$AW178,SUMIF($B$10:$B$16,"NCAP_TLIFE",$AX$10:$AX$16)),0,""))</f>
        <v/>
      </c>
      <c r="M178" s="369" t="str">
        <f ca="1">IF($B178&lt;&gt;"PRC_RESID","",IF(M$7=2005+OFFSET(COM_2012!$B$60,$AW178,SUMIF($B$10:$B$16,"NCAP_TLIFE",$AX$10:$AX$16)),0,""))</f>
        <v/>
      </c>
      <c r="N178" s="369" t="str">
        <f ca="1">IF($B178&lt;&gt;"PRC_RESID","",IF(N$7=2005+OFFSET(COM_2012!$B$60,$AW178,SUMIF($B$10:$B$16,"NCAP_TLIFE",$AX$10:$AX$16)),0,""))</f>
        <v/>
      </c>
      <c r="O178" s="658" t="str">
        <f ca="1">IF($B178&lt;&gt;"PRC_RESID","",IF(O$7=2005+OFFSET(COM_2012!$B$60,$AW178,SUMIF($B$10:$B$16,"NCAP_TLIFE",$AX$10:$AX$16)),0,""))</f>
        <v/>
      </c>
      <c r="P178" s="369" t="str">
        <f ca="1">IF($B178&lt;&gt;"PRC_RESID","",IF(P$7=2005+OFFSET(COM_2012!$B$60,$AW178,SUMIF($B$10:$B$16,"NCAP_TLIFE",$AX$10:$AX$16)),0,""))</f>
        <v/>
      </c>
      <c r="Q178" s="369" t="str">
        <f ca="1">IF($B178&lt;&gt;"PRC_RESID","",IF(Q$7=2005+OFFSET(COM_2012!$B$60,$AW178,SUMIF($B$10:$B$16,"NCAP_TLIFE",$AX$10:$AX$16)),0,""))</f>
        <v/>
      </c>
      <c r="R178" s="369" t="str">
        <f ca="1">IF($B178&lt;&gt;"PRC_RESID","",IF(R$7=2005+OFFSET(COM_2012!$B$60,$AW178,SUMIF($B$10:$B$16,"NCAP_TLIFE",$AX$10:$AX$16)),0,""))</f>
        <v/>
      </c>
      <c r="S178" s="369" t="str">
        <f ca="1">IF($B178&lt;&gt;"PRC_RESID","",IF(S$7=2005+OFFSET(COM_2012!$B$60,$AW178,SUMIF($B$10:$B$16,"NCAP_TLIFE",$AX$10:$AX$16)),0,""))</f>
        <v/>
      </c>
      <c r="T178" s="369" t="str">
        <f ca="1">IF($B178&lt;&gt;"PRC_RESID","",IF(T$7=2005+OFFSET(COM_2012!$B$60,$AW178,SUMIF($B$10:$B$16,"NCAP_TLIFE",$AX$10:$AX$16)),0,""))</f>
        <v/>
      </c>
      <c r="U178" s="369" t="str">
        <f ca="1">IF($B178&lt;&gt;"PRC_RESID","",IF(U$7=2005+OFFSET(COM_2012!$B$60,$AW178,SUMIF($B$10:$B$16,"NCAP_TLIFE",$AX$10:$AX$16)),0,""))</f>
        <v/>
      </c>
      <c r="V178" s="369" t="str">
        <f ca="1">IF($B178&lt;&gt;"PRC_RESID","",IF(V$7=2005+OFFSET(COM_2012!$B$60,$AW178,SUMIF($B$10:$B$16,"NCAP_TLIFE",$AX$10:$AX$16)),0,""))</f>
        <v/>
      </c>
      <c r="W178" s="369" t="str">
        <f ca="1">IF($B178&lt;&gt;"PRC_RESID","",IF(W$7=2005+OFFSET(COM_2012!$B$60,$AW178,SUMIF($B$10:$B$16,"NCAP_TLIFE",$AX$10:$AX$16)),0,""))</f>
        <v/>
      </c>
      <c r="X178" s="369" t="str">
        <f ca="1">IF($B178&lt;&gt;"PRC_RESID","",IF(X$7=2005+OFFSET(COM_2012!$B$60,$AW178,SUMIF($B$10:$B$16,"NCAP_TLIFE",$AX$10:$AX$16)),0,""))</f>
        <v/>
      </c>
      <c r="Y178" s="369" t="str">
        <f ca="1">IF($B178&lt;&gt;"PRC_RESID","",IF(Y$7=2005+OFFSET(COM_2012!$B$60,$AW178,SUMIF($B$10:$B$16,"NCAP_TLIFE",$AX$10:$AX$16)),0,""))</f>
        <v/>
      </c>
      <c r="Z178" s="369" t="str">
        <f ca="1">IF($B178&lt;&gt;"PRC_RESID","",IF(Z$7=2005+OFFSET(COM_2012!$B$60,$AW178,SUMIF($B$10:$B$16,"NCAP_TLIFE",$AX$10:$AX$16)),0,""))</f>
        <v/>
      </c>
      <c r="AA178" s="369" t="str">
        <f ca="1">IF($B178&lt;&gt;"PRC_RESID","",IF(AA$7=2005+OFFSET(COM_2012!$B$60,$AW178,SUMIF($B$10:$B$16,"NCAP_TLIFE",$AX$10:$AX$16)),0,""))</f>
        <v/>
      </c>
      <c r="AB178" s="369" t="str">
        <f ca="1">IF($B178&lt;&gt;"PRC_RESID","",IF(AB$7=2005+OFFSET(COM_2012!$B$60,$AW178,SUMIF($B$10:$B$16,"NCAP_TLIFE",$AX$10:$AX$16)),0,""))</f>
        <v/>
      </c>
      <c r="AC178" s="369" t="str">
        <f ca="1">IF($B178&lt;&gt;"PRC_RESID","",IF(AC$7=2005+OFFSET(COM_2012!$B$60,$AW178,SUMIF($B$10:$B$16,"NCAP_TLIFE",$AX$10:$AX$16)),0,""))</f>
        <v/>
      </c>
      <c r="AD178" s="369" t="str">
        <f ca="1">IF($B178&lt;&gt;"PRC_RESID","",IF(AD$7=2005+OFFSET(COM_2012!$B$60,$AW178,SUMIF($B$10:$B$16,"NCAP_TLIFE",$AX$10:$AX$16)),0,""))</f>
        <v/>
      </c>
      <c r="AE178" s="369" t="str">
        <f ca="1">IF($B178&lt;&gt;"PRC_RESID","",IF(AE$7=2005+OFFSET(COM_2012!$B$60,$AW178,SUMIF($B$10:$B$16,"NCAP_TLIFE",$AX$10:$AX$16)),0,""))</f>
        <v/>
      </c>
      <c r="AF178" s="369" t="str">
        <f ca="1">IF($B178&lt;&gt;"PRC_RESID","",IF(AF$7=2005+OFFSET(COM_2012!$B$60,$AW178,SUMIF($B$10:$B$16,"NCAP_TLIFE",$AX$10:$AX$16)),0,""))</f>
        <v/>
      </c>
      <c r="AG178" s="369" t="str">
        <f ca="1">IF($B178&lt;&gt;"PRC_RESID","",IF(AG$7=2005+OFFSET(COM_2012!$B$60,$AW178,SUMIF($B$10:$B$16,"NCAP_TLIFE",$AX$10:$AX$16)),0,""))</f>
        <v/>
      </c>
      <c r="AH178" s="369" t="str">
        <f ca="1">IF($B178&lt;&gt;"PRC_RESID","",IF(AH$7=2005+OFFSET(COM_2012!$B$60,$AW178,SUMIF($B$10:$B$16,"NCAP_TLIFE",$AX$10:$AX$16)),0,""))</f>
        <v/>
      </c>
      <c r="AI178" s="369" t="str">
        <f ca="1">IF($B178&lt;&gt;"PRC_RESID","",IF(AI$7=2005+OFFSET(COM_2012!$B$60,$AW178,SUMIF($B$10:$B$16,"NCAP_TLIFE",$AX$10:$AX$16)),0,""))</f>
        <v/>
      </c>
      <c r="AJ178" s="369" t="str">
        <f ca="1">IF($B178&lt;&gt;"PRC_RESID","",IF(AJ$7=2005+OFFSET(COM_2012!$B$60,$AW178,SUMIF($B$10:$B$16,"NCAP_TLIFE",$AX$10:$AX$16)),0,""))</f>
        <v/>
      </c>
      <c r="AK178" s="369" t="str">
        <f ca="1">IF($B178&lt;&gt;"PRC_RESID","",IF(AK$7=2005+OFFSET(COM_2012!$B$60,$AW178,SUMIF($B$10:$B$16,"NCAP_TLIFE",$AX$10:$AX$16)),0,""))</f>
        <v/>
      </c>
      <c r="AL178" s="369" t="str">
        <f ca="1">IF($B178&lt;&gt;"PRC_RESID","",IF(AL$7=2005+OFFSET(COM_2012!$B$60,$AW178,SUMIF($B$10:$B$16,"NCAP_TLIFE",$AX$10:$AX$16)),0,""))</f>
        <v/>
      </c>
      <c r="AM178" s="369" t="str">
        <f ca="1">IF($B178&lt;&gt;"PRC_RESID","",IF(AM$7=2005+OFFSET(COM_2012!$B$60,$AW178,SUMIF($B$10:$B$16,"NCAP_TLIFE",$AX$10:$AX$16)),0,""))</f>
        <v/>
      </c>
      <c r="AN178" s="369" t="str">
        <f ca="1">IF($B178&lt;&gt;"PRC_RESID","",IF(AN$7=2005+OFFSET(COM_2012!$B$60,$AW178,SUMIF($B$10:$B$16,"NCAP_TLIFE",$AX$10:$AX$16)),0,""))</f>
        <v/>
      </c>
      <c r="AO178" s="369" t="str">
        <f ca="1">IF($B178&lt;&gt;"PRC_RESID","",IF(AO$7=2005+OFFSET(COM_2012!$B$60,$AW178,SUMIF($B$10:$B$16,"NCAP_TLIFE",$AX$10:$AX$16)),0,""))</f>
        <v/>
      </c>
      <c r="AP178" s="369" t="str">
        <f ca="1">IF($B178&lt;&gt;"PRC_RESID","",IF(AP$7=2005+OFFSET(COM_2012!$B$60,$AW178,SUMIF($B$10:$B$16,"NCAP_TLIFE",$AX$10:$AX$16)),0,""))</f>
        <v/>
      </c>
      <c r="AQ178" s="369" t="str">
        <f ca="1">IF($B178&lt;&gt;"PRC_RESID","",IF(AQ$7=2005+OFFSET(COM_2012!$B$60,$AW178,SUMIF($B$10:$B$16,"NCAP_TLIFE",$AX$10:$AX$16)),0,""))</f>
        <v/>
      </c>
      <c r="AR178" s="369" t="str">
        <f ca="1">IF($B178&lt;&gt;"PRC_RESID","",IF(AR$7=2005+OFFSET(COM_2012!$B$60,$AW178,SUMIF($B$10:$B$16,"NCAP_TLIFE",$AX$10:$AX$16)),0,""))</f>
        <v/>
      </c>
      <c r="AS178" s="369" t="str">
        <f ca="1">IF($B178&lt;&gt;"PRC_RESID","",IF(AS$7=2005+OFFSET(COM_2012!$B$60,$AW178,SUMIF($B$10:$B$16,"NCAP_TLIFE",$AX$10:$AX$16)),0,""))</f>
        <v/>
      </c>
      <c r="AT178" s="369" t="str">
        <f ca="1">IF($B178&lt;&gt;"PRC_RESID","",IF(AT$7=2005+OFFSET(COM_2012!$B$60,$AW178,SUMIF($B$10:$B$16,"NCAP_TLIFE",$AX$10:$AX$16)),0,""))</f>
        <v/>
      </c>
      <c r="AU178" s="369" t="str">
        <f ca="1">IF($B178&lt;&gt;"PRC_RESID","",IF(AU$7=2005+OFFSET(COM_2012!$B$60,$AW178,SUMIF($B$10:$B$16,"NCAP_TLIFE",$AX$10:$AX$16)),0,""))</f>
        <v/>
      </c>
      <c r="AV178" s="304">
        <f>IF(AW177=COM_2012!$AI$121,AV177+1,AV177)</f>
        <v>3</v>
      </c>
      <c r="AW178" s="304">
        <f t="shared" si="17"/>
        <v>29</v>
      </c>
    </row>
    <row r="179" spans="1:49">
      <c r="A179" s="304" t="str">
        <f ca="1">IF(LEFT(OFFSET(COM_2012!$A$60,AW179,0),2)="\I","*","")</f>
        <v/>
      </c>
      <c r="B179" s="369" t="str">
        <f t="shared" ca="1" si="16"/>
        <v>NCAP_TLIFE</v>
      </c>
      <c r="C179" s="369" t="str">
        <f ca="1">IF($A179="*","",OFFSET(COM_2012!$B$60,AW179,0))</f>
        <v>CERELC-N</v>
      </c>
      <c r="D179" s="369" t="str">
        <f t="shared" ref="D179:I197" ca="1" si="19">IF($A179="*","",VLOOKUP($B179,$B$10:$I$16,D$9,FALSE))</f>
        <v>-</v>
      </c>
      <c r="E179" s="369" t="str">
        <f t="shared" ca="1" si="19"/>
        <v>-</v>
      </c>
      <c r="F179" s="369" t="str">
        <f t="shared" ca="1" si="19"/>
        <v>-</v>
      </c>
      <c r="G179" s="369" t="str">
        <f t="shared" ca="1" si="19"/>
        <v>-</v>
      </c>
      <c r="H179" s="369" t="str">
        <f t="shared" ca="1" si="19"/>
        <v>-</v>
      </c>
      <c r="I179" s="370">
        <f t="shared" ca="1" si="19"/>
        <v>0</v>
      </c>
      <c r="J179" s="391">
        <f ca="1">IF($A179="*","",OFFSET(COM_2012!$B$60,AW179,SUMIF($B$10:$B$16,B179,$AX$10:$AX$16)))</f>
        <v>10</v>
      </c>
      <c r="K179" s="369" t="str">
        <f ca="1">IF($B179&lt;&gt;"PRC_RESID","",IF(K$7=2005+OFFSET(COM_2012!$B$60,$AW179,SUMIF($B$10:$B$16,"NCAP_TLIFE",$AX$10:$AX$16)),0,""))</f>
        <v/>
      </c>
      <c r="L179" s="369" t="str">
        <f ca="1">IF($B179&lt;&gt;"PRC_RESID","",IF(L$7=2005+OFFSET(COM_2012!$B$60,$AW179,SUMIF($B$10:$B$16,"NCAP_TLIFE",$AX$10:$AX$16)),0,""))</f>
        <v/>
      </c>
      <c r="M179" s="369" t="str">
        <f ca="1">IF($B179&lt;&gt;"PRC_RESID","",IF(M$7=2005+OFFSET(COM_2012!$B$60,$AW179,SUMIF($B$10:$B$16,"NCAP_TLIFE",$AX$10:$AX$16)),0,""))</f>
        <v/>
      </c>
      <c r="N179" s="369" t="str">
        <f ca="1">IF($B179&lt;&gt;"PRC_RESID","",IF(N$7=2005+OFFSET(COM_2012!$B$60,$AW179,SUMIF($B$10:$B$16,"NCAP_TLIFE",$AX$10:$AX$16)),0,""))</f>
        <v/>
      </c>
      <c r="O179" s="658" t="str">
        <f ca="1">IF($B179&lt;&gt;"PRC_RESID","",IF(O$7=2005+OFFSET(COM_2012!$B$60,$AW179,SUMIF($B$10:$B$16,"NCAP_TLIFE",$AX$10:$AX$16)),0,""))</f>
        <v/>
      </c>
      <c r="P179" s="369" t="str">
        <f ca="1">IF($B179&lt;&gt;"PRC_RESID","",IF(P$7=2005+OFFSET(COM_2012!$B$60,$AW179,SUMIF($B$10:$B$16,"NCAP_TLIFE",$AX$10:$AX$16)),0,""))</f>
        <v/>
      </c>
      <c r="Q179" s="369" t="str">
        <f ca="1">IF($B179&lt;&gt;"PRC_RESID","",IF(Q$7=2005+OFFSET(COM_2012!$B$60,$AW179,SUMIF($B$10:$B$16,"NCAP_TLIFE",$AX$10:$AX$16)),0,""))</f>
        <v/>
      </c>
      <c r="R179" s="369" t="str">
        <f ca="1">IF($B179&lt;&gt;"PRC_RESID","",IF(R$7=2005+OFFSET(COM_2012!$B$60,$AW179,SUMIF($B$10:$B$16,"NCAP_TLIFE",$AX$10:$AX$16)),0,""))</f>
        <v/>
      </c>
      <c r="S179" s="369" t="str">
        <f ca="1">IF($B179&lt;&gt;"PRC_RESID","",IF(S$7=2005+OFFSET(COM_2012!$B$60,$AW179,SUMIF($B$10:$B$16,"NCAP_TLIFE",$AX$10:$AX$16)),0,""))</f>
        <v/>
      </c>
      <c r="T179" s="369" t="str">
        <f ca="1">IF($B179&lt;&gt;"PRC_RESID","",IF(T$7=2005+OFFSET(COM_2012!$B$60,$AW179,SUMIF($B$10:$B$16,"NCAP_TLIFE",$AX$10:$AX$16)),0,""))</f>
        <v/>
      </c>
      <c r="U179" s="369" t="str">
        <f ca="1">IF($B179&lt;&gt;"PRC_RESID","",IF(U$7=2005+OFFSET(COM_2012!$B$60,$AW179,SUMIF($B$10:$B$16,"NCAP_TLIFE",$AX$10:$AX$16)),0,""))</f>
        <v/>
      </c>
      <c r="V179" s="369" t="str">
        <f ca="1">IF($B179&lt;&gt;"PRC_RESID","",IF(V$7=2005+OFFSET(COM_2012!$B$60,$AW179,SUMIF($B$10:$B$16,"NCAP_TLIFE",$AX$10:$AX$16)),0,""))</f>
        <v/>
      </c>
      <c r="W179" s="369" t="str">
        <f ca="1">IF($B179&lt;&gt;"PRC_RESID","",IF(W$7=2005+OFFSET(COM_2012!$B$60,$AW179,SUMIF($B$10:$B$16,"NCAP_TLIFE",$AX$10:$AX$16)),0,""))</f>
        <v/>
      </c>
      <c r="X179" s="369" t="str">
        <f ca="1">IF($B179&lt;&gt;"PRC_RESID","",IF(X$7=2005+OFFSET(COM_2012!$B$60,$AW179,SUMIF($B$10:$B$16,"NCAP_TLIFE",$AX$10:$AX$16)),0,""))</f>
        <v/>
      </c>
      <c r="Y179" s="369" t="str">
        <f ca="1">IF($B179&lt;&gt;"PRC_RESID","",IF(Y$7=2005+OFFSET(COM_2012!$B$60,$AW179,SUMIF($B$10:$B$16,"NCAP_TLIFE",$AX$10:$AX$16)),0,""))</f>
        <v/>
      </c>
      <c r="Z179" s="369" t="str">
        <f ca="1">IF($B179&lt;&gt;"PRC_RESID","",IF(Z$7=2005+OFFSET(COM_2012!$B$60,$AW179,SUMIF($B$10:$B$16,"NCAP_TLIFE",$AX$10:$AX$16)),0,""))</f>
        <v/>
      </c>
      <c r="AA179" s="369" t="str">
        <f ca="1">IF($B179&lt;&gt;"PRC_RESID","",IF(AA$7=2005+OFFSET(COM_2012!$B$60,$AW179,SUMIF($B$10:$B$16,"NCAP_TLIFE",$AX$10:$AX$16)),0,""))</f>
        <v/>
      </c>
      <c r="AB179" s="369" t="str">
        <f ca="1">IF($B179&lt;&gt;"PRC_RESID","",IF(AB$7=2005+OFFSET(COM_2012!$B$60,$AW179,SUMIF($B$10:$B$16,"NCAP_TLIFE",$AX$10:$AX$16)),0,""))</f>
        <v/>
      </c>
      <c r="AC179" s="369" t="str">
        <f ca="1">IF($B179&lt;&gt;"PRC_RESID","",IF(AC$7=2005+OFFSET(COM_2012!$B$60,$AW179,SUMIF($B$10:$B$16,"NCAP_TLIFE",$AX$10:$AX$16)),0,""))</f>
        <v/>
      </c>
      <c r="AD179" s="369" t="str">
        <f ca="1">IF($B179&lt;&gt;"PRC_RESID","",IF(AD$7=2005+OFFSET(COM_2012!$B$60,$AW179,SUMIF($B$10:$B$16,"NCAP_TLIFE",$AX$10:$AX$16)),0,""))</f>
        <v/>
      </c>
      <c r="AE179" s="369" t="str">
        <f ca="1">IF($B179&lt;&gt;"PRC_RESID","",IF(AE$7=2005+OFFSET(COM_2012!$B$60,$AW179,SUMIF($B$10:$B$16,"NCAP_TLIFE",$AX$10:$AX$16)),0,""))</f>
        <v/>
      </c>
      <c r="AF179" s="369" t="str">
        <f ca="1">IF($B179&lt;&gt;"PRC_RESID","",IF(AF$7=2005+OFFSET(COM_2012!$B$60,$AW179,SUMIF($B$10:$B$16,"NCAP_TLIFE",$AX$10:$AX$16)),0,""))</f>
        <v/>
      </c>
      <c r="AG179" s="369" t="str">
        <f ca="1">IF($B179&lt;&gt;"PRC_RESID","",IF(AG$7=2005+OFFSET(COM_2012!$B$60,$AW179,SUMIF($B$10:$B$16,"NCAP_TLIFE",$AX$10:$AX$16)),0,""))</f>
        <v/>
      </c>
      <c r="AH179" s="369" t="str">
        <f ca="1">IF($B179&lt;&gt;"PRC_RESID","",IF(AH$7=2005+OFFSET(COM_2012!$B$60,$AW179,SUMIF($B$10:$B$16,"NCAP_TLIFE",$AX$10:$AX$16)),0,""))</f>
        <v/>
      </c>
      <c r="AI179" s="369" t="str">
        <f ca="1">IF($B179&lt;&gt;"PRC_RESID","",IF(AI$7=2005+OFFSET(COM_2012!$B$60,$AW179,SUMIF($B$10:$B$16,"NCAP_TLIFE",$AX$10:$AX$16)),0,""))</f>
        <v/>
      </c>
      <c r="AJ179" s="369" t="str">
        <f ca="1">IF($B179&lt;&gt;"PRC_RESID","",IF(AJ$7=2005+OFFSET(COM_2012!$B$60,$AW179,SUMIF($B$10:$B$16,"NCAP_TLIFE",$AX$10:$AX$16)),0,""))</f>
        <v/>
      </c>
      <c r="AK179" s="369" t="str">
        <f ca="1">IF($B179&lt;&gt;"PRC_RESID","",IF(AK$7=2005+OFFSET(COM_2012!$B$60,$AW179,SUMIF($B$10:$B$16,"NCAP_TLIFE",$AX$10:$AX$16)),0,""))</f>
        <v/>
      </c>
      <c r="AL179" s="369" t="str">
        <f ca="1">IF($B179&lt;&gt;"PRC_RESID","",IF(AL$7=2005+OFFSET(COM_2012!$B$60,$AW179,SUMIF($B$10:$B$16,"NCAP_TLIFE",$AX$10:$AX$16)),0,""))</f>
        <v/>
      </c>
      <c r="AM179" s="369" t="str">
        <f ca="1">IF($B179&lt;&gt;"PRC_RESID","",IF(AM$7=2005+OFFSET(COM_2012!$B$60,$AW179,SUMIF($B$10:$B$16,"NCAP_TLIFE",$AX$10:$AX$16)),0,""))</f>
        <v/>
      </c>
      <c r="AN179" s="369" t="str">
        <f ca="1">IF($B179&lt;&gt;"PRC_RESID","",IF(AN$7=2005+OFFSET(COM_2012!$B$60,$AW179,SUMIF($B$10:$B$16,"NCAP_TLIFE",$AX$10:$AX$16)),0,""))</f>
        <v/>
      </c>
      <c r="AO179" s="369" t="str">
        <f ca="1">IF($B179&lt;&gt;"PRC_RESID","",IF(AO$7=2005+OFFSET(COM_2012!$B$60,$AW179,SUMIF($B$10:$B$16,"NCAP_TLIFE",$AX$10:$AX$16)),0,""))</f>
        <v/>
      </c>
      <c r="AP179" s="369" t="str">
        <f ca="1">IF($B179&lt;&gt;"PRC_RESID","",IF(AP$7=2005+OFFSET(COM_2012!$B$60,$AW179,SUMIF($B$10:$B$16,"NCAP_TLIFE",$AX$10:$AX$16)),0,""))</f>
        <v/>
      </c>
      <c r="AQ179" s="369" t="str">
        <f ca="1">IF($B179&lt;&gt;"PRC_RESID","",IF(AQ$7=2005+OFFSET(COM_2012!$B$60,$AW179,SUMIF($B$10:$B$16,"NCAP_TLIFE",$AX$10:$AX$16)),0,""))</f>
        <v/>
      </c>
      <c r="AR179" s="369" t="str">
        <f ca="1">IF($B179&lt;&gt;"PRC_RESID","",IF(AR$7=2005+OFFSET(COM_2012!$B$60,$AW179,SUMIF($B$10:$B$16,"NCAP_TLIFE",$AX$10:$AX$16)),0,""))</f>
        <v/>
      </c>
      <c r="AS179" s="369" t="str">
        <f ca="1">IF($B179&lt;&gt;"PRC_RESID","",IF(AS$7=2005+OFFSET(COM_2012!$B$60,$AW179,SUMIF($B$10:$B$16,"NCAP_TLIFE",$AX$10:$AX$16)),0,""))</f>
        <v/>
      </c>
      <c r="AT179" s="369" t="str">
        <f ca="1">IF($B179&lt;&gt;"PRC_RESID","",IF(AT$7=2005+OFFSET(COM_2012!$B$60,$AW179,SUMIF($B$10:$B$16,"NCAP_TLIFE",$AX$10:$AX$16)),0,""))</f>
        <v/>
      </c>
      <c r="AU179" s="369" t="str">
        <f ca="1">IF($B179&lt;&gt;"PRC_RESID","",IF(AU$7=2005+OFFSET(COM_2012!$B$60,$AW179,SUMIF($B$10:$B$16,"NCAP_TLIFE",$AX$10:$AX$16)),0,""))</f>
        <v/>
      </c>
      <c r="AV179" s="304">
        <f>IF(AW178=COM_2012!$AI$121,AV178+1,AV178)</f>
        <v>3</v>
      </c>
      <c r="AW179" s="304">
        <f t="shared" si="17"/>
        <v>30</v>
      </c>
    </row>
    <row r="180" spans="1:49">
      <c r="A180" s="304" t="str">
        <f ca="1">IF(LEFT(OFFSET(COM_2012!$A$60,AW180,0),2)="\I","*","")</f>
        <v>*</v>
      </c>
      <c r="B180" s="369" t="str">
        <f t="shared" ca="1" si="16"/>
        <v/>
      </c>
      <c r="C180" s="369" t="str">
        <f ca="1">IF($A180="*","",OFFSET(COM_2012!$B$60,AW180,0))</f>
        <v/>
      </c>
      <c r="D180" s="369" t="str">
        <f t="shared" ca="1" si="19"/>
        <v/>
      </c>
      <c r="E180" s="369" t="str">
        <f t="shared" ca="1" si="19"/>
        <v/>
      </c>
      <c r="F180" s="369" t="str">
        <f t="shared" ca="1" si="19"/>
        <v/>
      </c>
      <c r="G180" s="369" t="str">
        <f t="shared" ca="1" si="19"/>
        <v/>
      </c>
      <c r="H180" s="369" t="str">
        <f t="shared" ca="1" si="19"/>
        <v/>
      </c>
      <c r="I180" s="370" t="str">
        <f t="shared" ca="1" si="19"/>
        <v/>
      </c>
      <c r="J180" s="391" t="str">
        <f ca="1">IF($A180="*","",OFFSET(COM_2012!$B$60,AW180,SUMIF($B$10:$B$16,B180,$AX$10:$AX$16)))</f>
        <v/>
      </c>
      <c r="K180" s="369" t="str">
        <f ca="1">IF($B180&lt;&gt;"PRC_RESID","",IF(K$7=2005+OFFSET(COM_2012!$B$60,$AW180,SUMIF($B$10:$B$16,"NCAP_TLIFE",$AX$10:$AX$16)),0,""))</f>
        <v/>
      </c>
      <c r="L180" s="369" t="str">
        <f ca="1">IF($B180&lt;&gt;"PRC_RESID","",IF(L$7=2005+OFFSET(COM_2012!$B$60,$AW180,SUMIF($B$10:$B$16,"NCAP_TLIFE",$AX$10:$AX$16)),0,""))</f>
        <v/>
      </c>
      <c r="M180" s="369" t="str">
        <f ca="1">IF($B180&lt;&gt;"PRC_RESID","",IF(M$7=2005+OFFSET(COM_2012!$B$60,$AW180,SUMIF($B$10:$B$16,"NCAP_TLIFE",$AX$10:$AX$16)),0,""))</f>
        <v/>
      </c>
      <c r="N180" s="369" t="str">
        <f ca="1">IF($B180&lt;&gt;"PRC_RESID","",IF(N$7=2005+OFFSET(COM_2012!$B$60,$AW180,SUMIF($B$10:$B$16,"NCAP_TLIFE",$AX$10:$AX$16)),0,""))</f>
        <v/>
      </c>
      <c r="O180" s="658" t="str">
        <f ca="1">IF($B180&lt;&gt;"PRC_RESID","",IF(O$7=2005+OFFSET(COM_2012!$B$60,$AW180,SUMIF($B$10:$B$16,"NCAP_TLIFE",$AX$10:$AX$16)),0,""))</f>
        <v/>
      </c>
      <c r="P180" s="369" t="str">
        <f ca="1">IF($B180&lt;&gt;"PRC_RESID","",IF(P$7=2005+OFFSET(COM_2012!$B$60,$AW180,SUMIF($B$10:$B$16,"NCAP_TLIFE",$AX$10:$AX$16)),0,""))</f>
        <v/>
      </c>
      <c r="Q180" s="369" t="str">
        <f ca="1">IF($B180&lt;&gt;"PRC_RESID","",IF(Q$7=2005+OFFSET(COM_2012!$B$60,$AW180,SUMIF($B$10:$B$16,"NCAP_TLIFE",$AX$10:$AX$16)),0,""))</f>
        <v/>
      </c>
      <c r="R180" s="369" t="str">
        <f ca="1">IF($B180&lt;&gt;"PRC_RESID","",IF(R$7=2005+OFFSET(COM_2012!$B$60,$AW180,SUMIF($B$10:$B$16,"NCAP_TLIFE",$AX$10:$AX$16)),0,""))</f>
        <v/>
      </c>
      <c r="S180" s="369" t="str">
        <f ca="1">IF($B180&lt;&gt;"PRC_RESID","",IF(S$7=2005+OFFSET(COM_2012!$B$60,$AW180,SUMIF($B$10:$B$16,"NCAP_TLIFE",$AX$10:$AX$16)),0,""))</f>
        <v/>
      </c>
      <c r="T180" s="369" t="str">
        <f ca="1">IF($B180&lt;&gt;"PRC_RESID","",IF(T$7=2005+OFFSET(COM_2012!$B$60,$AW180,SUMIF($B$10:$B$16,"NCAP_TLIFE",$AX$10:$AX$16)),0,""))</f>
        <v/>
      </c>
      <c r="U180" s="369" t="str">
        <f ca="1">IF($B180&lt;&gt;"PRC_RESID","",IF(U$7=2005+OFFSET(COM_2012!$B$60,$AW180,SUMIF($B$10:$B$16,"NCAP_TLIFE",$AX$10:$AX$16)),0,""))</f>
        <v/>
      </c>
      <c r="V180" s="369" t="str">
        <f ca="1">IF($B180&lt;&gt;"PRC_RESID","",IF(V$7=2005+OFFSET(COM_2012!$B$60,$AW180,SUMIF($B$10:$B$16,"NCAP_TLIFE",$AX$10:$AX$16)),0,""))</f>
        <v/>
      </c>
      <c r="W180" s="369" t="str">
        <f ca="1">IF($B180&lt;&gt;"PRC_RESID","",IF(W$7=2005+OFFSET(COM_2012!$B$60,$AW180,SUMIF($B$10:$B$16,"NCAP_TLIFE",$AX$10:$AX$16)),0,""))</f>
        <v/>
      </c>
      <c r="X180" s="369" t="str">
        <f ca="1">IF($B180&lt;&gt;"PRC_RESID","",IF(X$7=2005+OFFSET(COM_2012!$B$60,$AW180,SUMIF($B$10:$B$16,"NCAP_TLIFE",$AX$10:$AX$16)),0,""))</f>
        <v/>
      </c>
      <c r="Y180" s="369" t="str">
        <f ca="1">IF($B180&lt;&gt;"PRC_RESID","",IF(Y$7=2005+OFFSET(COM_2012!$B$60,$AW180,SUMIF($B$10:$B$16,"NCAP_TLIFE",$AX$10:$AX$16)),0,""))</f>
        <v/>
      </c>
      <c r="Z180" s="369" t="str">
        <f ca="1">IF($B180&lt;&gt;"PRC_RESID","",IF(Z$7=2005+OFFSET(COM_2012!$B$60,$AW180,SUMIF($B$10:$B$16,"NCAP_TLIFE",$AX$10:$AX$16)),0,""))</f>
        <v/>
      </c>
      <c r="AA180" s="369" t="str">
        <f ca="1">IF($B180&lt;&gt;"PRC_RESID","",IF(AA$7=2005+OFFSET(COM_2012!$B$60,$AW180,SUMIF($B$10:$B$16,"NCAP_TLIFE",$AX$10:$AX$16)),0,""))</f>
        <v/>
      </c>
      <c r="AB180" s="369" t="str">
        <f ca="1">IF($B180&lt;&gt;"PRC_RESID","",IF(AB$7=2005+OFFSET(COM_2012!$B$60,$AW180,SUMIF($B$10:$B$16,"NCAP_TLIFE",$AX$10:$AX$16)),0,""))</f>
        <v/>
      </c>
      <c r="AC180" s="369" t="str">
        <f ca="1">IF($B180&lt;&gt;"PRC_RESID","",IF(AC$7=2005+OFFSET(COM_2012!$B$60,$AW180,SUMIF($B$10:$B$16,"NCAP_TLIFE",$AX$10:$AX$16)),0,""))</f>
        <v/>
      </c>
      <c r="AD180" s="369" t="str">
        <f ca="1">IF($B180&lt;&gt;"PRC_RESID","",IF(AD$7=2005+OFFSET(COM_2012!$B$60,$AW180,SUMIF($B$10:$B$16,"NCAP_TLIFE",$AX$10:$AX$16)),0,""))</f>
        <v/>
      </c>
      <c r="AE180" s="369" t="str">
        <f ca="1">IF($B180&lt;&gt;"PRC_RESID","",IF(AE$7=2005+OFFSET(COM_2012!$B$60,$AW180,SUMIF($B$10:$B$16,"NCAP_TLIFE",$AX$10:$AX$16)),0,""))</f>
        <v/>
      </c>
      <c r="AF180" s="369" t="str">
        <f ca="1">IF($B180&lt;&gt;"PRC_RESID","",IF(AF$7=2005+OFFSET(COM_2012!$B$60,$AW180,SUMIF($B$10:$B$16,"NCAP_TLIFE",$AX$10:$AX$16)),0,""))</f>
        <v/>
      </c>
      <c r="AG180" s="369" t="str">
        <f ca="1">IF($B180&lt;&gt;"PRC_RESID","",IF(AG$7=2005+OFFSET(COM_2012!$B$60,$AW180,SUMIF($B$10:$B$16,"NCAP_TLIFE",$AX$10:$AX$16)),0,""))</f>
        <v/>
      </c>
      <c r="AH180" s="369" t="str">
        <f ca="1">IF($B180&lt;&gt;"PRC_RESID","",IF(AH$7=2005+OFFSET(COM_2012!$B$60,$AW180,SUMIF($B$10:$B$16,"NCAP_TLIFE",$AX$10:$AX$16)),0,""))</f>
        <v/>
      </c>
      <c r="AI180" s="369" t="str">
        <f ca="1">IF($B180&lt;&gt;"PRC_RESID","",IF(AI$7=2005+OFFSET(COM_2012!$B$60,$AW180,SUMIF($B$10:$B$16,"NCAP_TLIFE",$AX$10:$AX$16)),0,""))</f>
        <v/>
      </c>
      <c r="AJ180" s="369" t="str">
        <f ca="1">IF($B180&lt;&gt;"PRC_RESID","",IF(AJ$7=2005+OFFSET(COM_2012!$B$60,$AW180,SUMIF($B$10:$B$16,"NCAP_TLIFE",$AX$10:$AX$16)),0,""))</f>
        <v/>
      </c>
      <c r="AK180" s="369" t="str">
        <f ca="1">IF($B180&lt;&gt;"PRC_RESID","",IF(AK$7=2005+OFFSET(COM_2012!$B$60,$AW180,SUMIF($B$10:$B$16,"NCAP_TLIFE",$AX$10:$AX$16)),0,""))</f>
        <v/>
      </c>
      <c r="AL180" s="369" t="str">
        <f ca="1">IF($B180&lt;&gt;"PRC_RESID","",IF(AL$7=2005+OFFSET(COM_2012!$B$60,$AW180,SUMIF($B$10:$B$16,"NCAP_TLIFE",$AX$10:$AX$16)),0,""))</f>
        <v/>
      </c>
      <c r="AM180" s="369" t="str">
        <f ca="1">IF($B180&lt;&gt;"PRC_RESID","",IF(AM$7=2005+OFFSET(COM_2012!$B$60,$AW180,SUMIF($B$10:$B$16,"NCAP_TLIFE",$AX$10:$AX$16)),0,""))</f>
        <v/>
      </c>
      <c r="AN180" s="369" t="str">
        <f ca="1">IF($B180&lt;&gt;"PRC_RESID","",IF(AN$7=2005+OFFSET(COM_2012!$B$60,$AW180,SUMIF($B$10:$B$16,"NCAP_TLIFE",$AX$10:$AX$16)),0,""))</f>
        <v/>
      </c>
      <c r="AO180" s="369" t="str">
        <f ca="1">IF($B180&lt;&gt;"PRC_RESID","",IF(AO$7=2005+OFFSET(COM_2012!$B$60,$AW180,SUMIF($B$10:$B$16,"NCAP_TLIFE",$AX$10:$AX$16)),0,""))</f>
        <v/>
      </c>
      <c r="AP180" s="369" t="str">
        <f ca="1">IF($B180&lt;&gt;"PRC_RESID","",IF(AP$7=2005+OFFSET(COM_2012!$B$60,$AW180,SUMIF($B$10:$B$16,"NCAP_TLIFE",$AX$10:$AX$16)),0,""))</f>
        <v/>
      </c>
      <c r="AQ180" s="369" t="str">
        <f ca="1">IF($B180&lt;&gt;"PRC_RESID","",IF(AQ$7=2005+OFFSET(COM_2012!$B$60,$AW180,SUMIF($B$10:$B$16,"NCAP_TLIFE",$AX$10:$AX$16)),0,""))</f>
        <v/>
      </c>
      <c r="AR180" s="369" t="str">
        <f ca="1">IF($B180&lt;&gt;"PRC_RESID","",IF(AR$7=2005+OFFSET(COM_2012!$B$60,$AW180,SUMIF($B$10:$B$16,"NCAP_TLIFE",$AX$10:$AX$16)),0,""))</f>
        <v/>
      </c>
      <c r="AS180" s="369" t="str">
        <f ca="1">IF($B180&lt;&gt;"PRC_RESID","",IF(AS$7=2005+OFFSET(COM_2012!$B$60,$AW180,SUMIF($B$10:$B$16,"NCAP_TLIFE",$AX$10:$AX$16)),0,""))</f>
        <v/>
      </c>
      <c r="AT180" s="369" t="str">
        <f ca="1">IF($B180&lt;&gt;"PRC_RESID","",IF(AT$7=2005+OFFSET(COM_2012!$B$60,$AW180,SUMIF($B$10:$B$16,"NCAP_TLIFE",$AX$10:$AX$16)),0,""))</f>
        <v/>
      </c>
      <c r="AU180" s="369" t="str">
        <f ca="1">IF($B180&lt;&gt;"PRC_RESID","",IF(AU$7=2005+OFFSET(COM_2012!$B$60,$AW180,SUMIF($B$10:$B$16,"NCAP_TLIFE",$AX$10:$AX$16)),0,""))</f>
        <v/>
      </c>
      <c r="AV180" s="304">
        <f>IF(AW179=COM_2012!$AI$121,AV179+1,AV179)</f>
        <v>3</v>
      </c>
      <c r="AW180" s="304">
        <f t="shared" si="17"/>
        <v>31</v>
      </c>
    </row>
    <row r="181" spans="1:49">
      <c r="A181" s="304" t="str">
        <f ca="1">IF(LEFT(OFFSET(COM_2012!$A$60,AW181,0),2)="\I","*","")</f>
        <v>*</v>
      </c>
      <c r="B181" s="369" t="str">
        <f t="shared" ca="1" si="16"/>
        <v/>
      </c>
      <c r="C181" s="369" t="str">
        <f ca="1">IF($A181="*","",OFFSET(COM_2012!$B$60,AW181,0))</f>
        <v/>
      </c>
      <c r="D181" s="369" t="str">
        <f t="shared" ca="1" si="19"/>
        <v/>
      </c>
      <c r="E181" s="369" t="str">
        <f t="shared" ca="1" si="19"/>
        <v/>
      </c>
      <c r="F181" s="369" t="str">
        <f t="shared" ca="1" si="19"/>
        <v/>
      </c>
      <c r="G181" s="369" t="str">
        <f t="shared" ca="1" si="19"/>
        <v/>
      </c>
      <c r="H181" s="369" t="str">
        <f t="shared" ca="1" si="19"/>
        <v/>
      </c>
      <c r="I181" s="370" t="str">
        <f t="shared" ca="1" si="19"/>
        <v/>
      </c>
      <c r="J181" s="391" t="str">
        <f ca="1">IF($A181="*","",OFFSET(COM_2012!$B$60,AW181,SUMIF($B$10:$B$16,B181,$AX$10:$AX$16)))</f>
        <v/>
      </c>
      <c r="K181" s="369" t="str">
        <f ca="1">IF($B181&lt;&gt;"PRC_RESID","",IF(K$7=2005+OFFSET(COM_2012!$B$60,$AW181,SUMIF($B$10:$B$16,"NCAP_TLIFE",$AX$10:$AX$16)),0,""))</f>
        <v/>
      </c>
      <c r="L181" s="369" t="str">
        <f ca="1">IF($B181&lt;&gt;"PRC_RESID","",IF(L$7=2005+OFFSET(COM_2012!$B$60,$AW181,SUMIF($B$10:$B$16,"NCAP_TLIFE",$AX$10:$AX$16)),0,""))</f>
        <v/>
      </c>
      <c r="M181" s="369" t="str">
        <f ca="1">IF($B181&lt;&gt;"PRC_RESID","",IF(M$7=2005+OFFSET(COM_2012!$B$60,$AW181,SUMIF($B$10:$B$16,"NCAP_TLIFE",$AX$10:$AX$16)),0,""))</f>
        <v/>
      </c>
      <c r="N181" s="369" t="str">
        <f ca="1">IF($B181&lt;&gt;"PRC_RESID","",IF(N$7=2005+OFFSET(COM_2012!$B$60,$AW181,SUMIF($B$10:$B$16,"NCAP_TLIFE",$AX$10:$AX$16)),0,""))</f>
        <v/>
      </c>
      <c r="O181" s="658" t="str">
        <f ca="1">IF($B181&lt;&gt;"PRC_RESID","",IF(O$7=2005+OFFSET(COM_2012!$B$60,$AW181,SUMIF($B$10:$B$16,"NCAP_TLIFE",$AX$10:$AX$16)),0,""))</f>
        <v/>
      </c>
      <c r="P181" s="369" t="str">
        <f ca="1">IF($B181&lt;&gt;"PRC_RESID","",IF(P$7=2005+OFFSET(COM_2012!$B$60,$AW181,SUMIF($B$10:$B$16,"NCAP_TLIFE",$AX$10:$AX$16)),0,""))</f>
        <v/>
      </c>
      <c r="Q181" s="369" t="str">
        <f ca="1">IF($B181&lt;&gt;"PRC_RESID","",IF(Q$7=2005+OFFSET(COM_2012!$B$60,$AW181,SUMIF($B$10:$B$16,"NCAP_TLIFE",$AX$10:$AX$16)),0,""))</f>
        <v/>
      </c>
      <c r="R181" s="369" t="str">
        <f ca="1">IF($B181&lt;&gt;"PRC_RESID","",IF(R$7=2005+OFFSET(COM_2012!$B$60,$AW181,SUMIF($B$10:$B$16,"NCAP_TLIFE",$AX$10:$AX$16)),0,""))</f>
        <v/>
      </c>
      <c r="S181" s="369" t="str">
        <f ca="1">IF($B181&lt;&gt;"PRC_RESID","",IF(S$7=2005+OFFSET(COM_2012!$B$60,$AW181,SUMIF($B$10:$B$16,"NCAP_TLIFE",$AX$10:$AX$16)),0,""))</f>
        <v/>
      </c>
      <c r="T181" s="369" t="str">
        <f ca="1">IF($B181&lt;&gt;"PRC_RESID","",IF(T$7=2005+OFFSET(COM_2012!$B$60,$AW181,SUMIF($B$10:$B$16,"NCAP_TLIFE",$AX$10:$AX$16)),0,""))</f>
        <v/>
      </c>
      <c r="U181" s="369" t="str">
        <f ca="1">IF($B181&lt;&gt;"PRC_RESID","",IF(U$7=2005+OFFSET(COM_2012!$B$60,$AW181,SUMIF($B$10:$B$16,"NCAP_TLIFE",$AX$10:$AX$16)),0,""))</f>
        <v/>
      </c>
      <c r="V181" s="369" t="str">
        <f ca="1">IF($B181&lt;&gt;"PRC_RESID","",IF(V$7=2005+OFFSET(COM_2012!$B$60,$AW181,SUMIF($B$10:$B$16,"NCAP_TLIFE",$AX$10:$AX$16)),0,""))</f>
        <v/>
      </c>
      <c r="W181" s="369" t="str">
        <f ca="1">IF($B181&lt;&gt;"PRC_RESID","",IF(W$7=2005+OFFSET(COM_2012!$B$60,$AW181,SUMIF($B$10:$B$16,"NCAP_TLIFE",$AX$10:$AX$16)),0,""))</f>
        <v/>
      </c>
      <c r="X181" s="369" t="str">
        <f ca="1">IF($B181&lt;&gt;"PRC_RESID","",IF(X$7=2005+OFFSET(COM_2012!$B$60,$AW181,SUMIF($B$10:$B$16,"NCAP_TLIFE",$AX$10:$AX$16)),0,""))</f>
        <v/>
      </c>
      <c r="Y181" s="369" t="str">
        <f ca="1">IF($B181&lt;&gt;"PRC_RESID","",IF(Y$7=2005+OFFSET(COM_2012!$B$60,$AW181,SUMIF($B$10:$B$16,"NCAP_TLIFE",$AX$10:$AX$16)),0,""))</f>
        <v/>
      </c>
      <c r="Z181" s="369" t="str">
        <f ca="1">IF($B181&lt;&gt;"PRC_RESID","",IF(Z$7=2005+OFFSET(COM_2012!$B$60,$AW181,SUMIF($B$10:$B$16,"NCAP_TLIFE",$AX$10:$AX$16)),0,""))</f>
        <v/>
      </c>
      <c r="AA181" s="369" t="str">
        <f ca="1">IF($B181&lt;&gt;"PRC_RESID","",IF(AA$7=2005+OFFSET(COM_2012!$B$60,$AW181,SUMIF($B$10:$B$16,"NCAP_TLIFE",$AX$10:$AX$16)),0,""))</f>
        <v/>
      </c>
      <c r="AB181" s="369" t="str">
        <f ca="1">IF($B181&lt;&gt;"PRC_RESID","",IF(AB$7=2005+OFFSET(COM_2012!$B$60,$AW181,SUMIF($B$10:$B$16,"NCAP_TLIFE",$AX$10:$AX$16)),0,""))</f>
        <v/>
      </c>
      <c r="AC181" s="369" t="str">
        <f ca="1">IF($B181&lt;&gt;"PRC_RESID","",IF(AC$7=2005+OFFSET(COM_2012!$B$60,$AW181,SUMIF($B$10:$B$16,"NCAP_TLIFE",$AX$10:$AX$16)),0,""))</f>
        <v/>
      </c>
      <c r="AD181" s="369" t="str">
        <f ca="1">IF($B181&lt;&gt;"PRC_RESID","",IF(AD$7=2005+OFFSET(COM_2012!$B$60,$AW181,SUMIF($B$10:$B$16,"NCAP_TLIFE",$AX$10:$AX$16)),0,""))</f>
        <v/>
      </c>
      <c r="AE181" s="369" t="str">
        <f ca="1">IF($B181&lt;&gt;"PRC_RESID","",IF(AE$7=2005+OFFSET(COM_2012!$B$60,$AW181,SUMIF($B$10:$B$16,"NCAP_TLIFE",$AX$10:$AX$16)),0,""))</f>
        <v/>
      </c>
      <c r="AF181" s="369" t="str">
        <f ca="1">IF($B181&lt;&gt;"PRC_RESID","",IF(AF$7=2005+OFFSET(COM_2012!$B$60,$AW181,SUMIF($B$10:$B$16,"NCAP_TLIFE",$AX$10:$AX$16)),0,""))</f>
        <v/>
      </c>
      <c r="AG181" s="369" t="str">
        <f ca="1">IF($B181&lt;&gt;"PRC_RESID","",IF(AG$7=2005+OFFSET(COM_2012!$B$60,$AW181,SUMIF($B$10:$B$16,"NCAP_TLIFE",$AX$10:$AX$16)),0,""))</f>
        <v/>
      </c>
      <c r="AH181" s="369" t="str">
        <f ca="1">IF($B181&lt;&gt;"PRC_RESID","",IF(AH$7=2005+OFFSET(COM_2012!$B$60,$AW181,SUMIF($B$10:$B$16,"NCAP_TLIFE",$AX$10:$AX$16)),0,""))</f>
        <v/>
      </c>
      <c r="AI181" s="369" t="str">
        <f ca="1">IF($B181&lt;&gt;"PRC_RESID","",IF(AI$7=2005+OFFSET(COM_2012!$B$60,$AW181,SUMIF($B$10:$B$16,"NCAP_TLIFE",$AX$10:$AX$16)),0,""))</f>
        <v/>
      </c>
      <c r="AJ181" s="369" t="str">
        <f ca="1">IF($B181&lt;&gt;"PRC_RESID","",IF(AJ$7=2005+OFFSET(COM_2012!$B$60,$AW181,SUMIF($B$10:$B$16,"NCAP_TLIFE",$AX$10:$AX$16)),0,""))</f>
        <v/>
      </c>
      <c r="AK181" s="369" t="str">
        <f ca="1">IF($B181&lt;&gt;"PRC_RESID","",IF(AK$7=2005+OFFSET(COM_2012!$B$60,$AW181,SUMIF($B$10:$B$16,"NCAP_TLIFE",$AX$10:$AX$16)),0,""))</f>
        <v/>
      </c>
      <c r="AL181" s="369" t="str">
        <f ca="1">IF($B181&lt;&gt;"PRC_RESID","",IF(AL$7=2005+OFFSET(COM_2012!$B$60,$AW181,SUMIF($B$10:$B$16,"NCAP_TLIFE",$AX$10:$AX$16)),0,""))</f>
        <v/>
      </c>
      <c r="AM181" s="369" t="str">
        <f ca="1">IF($B181&lt;&gt;"PRC_RESID","",IF(AM$7=2005+OFFSET(COM_2012!$B$60,$AW181,SUMIF($B$10:$B$16,"NCAP_TLIFE",$AX$10:$AX$16)),0,""))</f>
        <v/>
      </c>
      <c r="AN181" s="369" t="str">
        <f ca="1">IF($B181&lt;&gt;"PRC_RESID","",IF(AN$7=2005+OFFSET(COM_2012!$B$60,$AW181,SUMIF($B$10:$B$16,"NCAP_TLIFE",$AX$10:$AX$16)),0,""))</f>
        <v/>
      </c>
      <c r="AO181" s="369" t="str">
        <f ca="1">IF($B181&lt;&gt;"PRC_RESID","",IF(AO$7=2005+OFFSET(COM_2012!$B$60,$AW181,SUMIF($B$10:$B$16,"NCAP_TLIFE",$AX$10:$AX$16)),0,""))</f>
        <v/>
      </c>
      <c r="AP181" s="369" t="str">
        <f ca="1">IF($B181&lt;&gt;"PRC_RESID","",IF(AP$7=2005+OFFSET(COM_2012!$B$60,$AW181,SUMIF($B$10:$B$16,"NCAP_TLIFE",$AX$10:$AX$16)),0,""))</f>
        <v/>
      </c>
      <c r="AQ181" s="369" t="str">
        <f ca="1">IF($B181&lt;&gt;"PRC_RESID","",IF(AQ$7=2005+OFFSET(COM_2012!$B$60,$AW181,SUMIF($B$10:$B$16,"NCAP_TLIFE",$AX$10:$AX$16)),0,""))</f>
        <v/>
      </c>
      <c r="AR181" s="369" t="str">
        <f ca="1">IF($B181&lt;&gt;"PRC_RESID","",IF(AR$7=2005+OFFSET(COM_2012!$B$60,$AW181,SUMIF($B$10:$B$16,"NCAP_TLIFE",$AX$10:$AX$16)),0,""))</f>
        <v/>
      </c>
      <c r="AS181" s="369" t="str">
        <f ca="1">IF($B181&lt;&gt;"PRC_RESID","",IF(AS$7=2005+OFFSET(COM_2012!$B$60,$AW181,SUMIF($B$10:$B$16,"NCAP_TLIFE",$AX$10:$AX$16)),0,""))</f>
        <v/>
      </c>
      <c r="AT181" s="369" t="str">
        <f ca="1">IF($B181&lt;&gt;"PRC_RESID","",IF(AT$7=2005+OFFSET(COM_2012!$B$60,$AW181,SUMIF($B$10:$B$16,"NCAP_TLIFE",$AX$10:$AX$16)),0,""))</f>
        <v/>
      </c>
      <c r="AU181" s="369" t="str">
        <f ca="1">IF($B181&lt;&gt;"PRC_RESID","",IF(AU$7=2005+OFFSET(COM_2012!$B$60,$AW181,SUMIF($B$10:$B$16,"NCAP_TLIFE",$AX$10:$AX$16)),0,""))</f>
        <v/>
      </c>
      <c r="AV181" s="304">
        <f>IF(AW180=COM_2012!$AI$121,AV180+1,AV180)</f>
        <v>3</v>
      </c>
      <c r="AW181" s="304">
        <f t="shared" si="17"/>
        <v>32</v>
      </c>
    </row>
    <row r="182" spans="1:49">
      <c r="A182" s="304" t="str">
        <f ca="1">IF(LEFT(OFFSET(COM_2012!$A$60,AW182,0),2)="\I","*","")</f>
        <v/>
      </c>
      <c r="B182" s="369" t="str">
        <f t="shared" ca="1" si="16"/>
        <v>NCAP_TLIFE</v>
      </c>
      <c r="C182" s="369" t="str">
        <f ca="1">IF($A182="*","",OFFSET(COM_2012!$B$60,AW182,0))</f>
        <v>CEWELC-E</v>
      </c>
      <c r="D182" s="369" t="str">
        <f t="shared" ca="1" si="19"/>
        <v>-</v>
      </c>
      <c r="E182" s="369" t="str">
        <f t="shared" ca="1" si="19"/>
        <v>-</v>
      </c>
      <c r="F182" s="369" t="str">
        <f t="shared" ca="1" si="19"/>
        <v>-</v>
      </c>
      <c r="G182" s="369" t="str">
        <f t="shared" ca="1" si="19"/>
        <v>-</v>
      </c>
      <c r="H182" s="369" t="str">
        <f t="shared" ca="1" si="19"/>
        <v>-</v>
      </c>
      <c r="I182" s="370">
        <f t="shared" ca="1" si="19"/>
        <v>0</v>
      </c>
      <c r="J182" s="391">
        <f ca="1">IF($A182="*","",OFFSET(COM_2012!$B$60,AW182,SUMIF($B$10:$B$16,B182,$AX$10:$AX$16)))</f>
        <v>14</v>
      </c>
      <c r="K182" s="369" t="str">
        <f ca="1">IF($B182&lt;&gt;"PRC_RESID","",IF(K$7=2005+OFFSET(COM_2012!$B$60,$AW182,SUMIF($B$10:$B$16,"NCAP_TLIFE",$AX$10:$AX$16)),0,""))</f>
        <v/>
      </c>
      <c r="L182" s="369" t="str">
        <f ca="1">IF($B182&lt;&gt;"PRC_RESID","",IF(L$7=2005+OFFSET(COM_2012!$B$60,$AW182,SUMIF($B$10:$B$16,"NCAP_TLIFE",$AX$10:$AX$16)),0,""))</f>
        <v/>
      </c>
      <c r="M182" s="369" t="str">
        <f ca="1">IF($B182&lt;&gt;"PRC_RESID","",IF(M$7=2005+OFFSET(COM_2012!$B$60,$AW182,SUMIF($B$10:$B$16,"NCAP_TLIFE",$AX$10:$AX$16)),0,""))</f>
        <v/>
      </c>
      <c r="N182" s="369" t="str">
        <f ca="1">IF($B182&lt;&gt;"PRC_RESID","",IF(N$7=2005+OFFSET(COM_2012!$B$60,$AW182,SUMIF($B$10:$B$16,"NCAP_TLIFE",$AX$10:$AX$16)),0,""))</f>
        <v/>
      </c>
      <c r="O182" s="658" t="str">
        <f ca="1">IF($B182&lt;&gt;"PRC_RESID","",IF(O$7=2005+OFFSET(COM_2012!$B$60,$AW182,SUMIF($B$10:$B$16,"NCAP_TLIFE",$AX$10:$AX$16)),0,""))</f>
        <v/>
      </c>
      <c r="P182" s="369" t="str">
        <f ca="1">IF($B182&lt;&gt;"PRC_RESID","",IF(P$7=2005+OFFSET(COM_2012!$B$60,$AW182,SUMIF($B$10:$B$16,"NCAP_TLIFE",$AX$10:$AX$16)),0,""))</f>
        <v/>
      </c>
      <c r="Q182" s="369" t="str">
        <f ca="1">IF($B182&lt;&gt;"PRC_RESID","",IF(Q$7=2005+OFFSET(COM_2012!$B$60,$AW182,SUMIF($B$10:$B$16,"NCAP_TLIFE",$AX$10:$AX$16)),0,""))</f>
        <v/>
      </c>
      <c r="R182" s="369" t="str">
        <f ca="1">IF($B182&lt;&gt;"PRC_RESID","",IF(R$7=2005+OFFSET(COM_2012!$B$60,$AW182,SUMIF($B$10:$B$16,"NCAP_TLIFE",$AX$10:$AX$16)),0,""))</f>
        <v/>
      </c>
      <c r="S182" s="369" t="str">
        <f ca="1">IF($B182&lt;&gt;"PRC_RESID","",IF(S$7=2005+OFFSET(COM_2012!$B$60,$AW182,SUMIF($B$10:$B$16,"NCAP_TLIFE",$AX$10:$AX$16)),0,""))</f>
        <v/>
      </c>
      <c r="T182" s="369" t="str">
        <f ca="1">IF($B182&lt;&gt;"PRC_RESID","",IF(T$7=2005+OFFSET(COM_2012!$B$60,$AW182,SUMIF($B$10:$B$16,"NCAP_TLIFE",$AX$10:$AX$16)),0,""))</f>
        <v/>
      </c>
      <c r="U182" s="369" t="str">
        <f ca="1">IF($B182&lt;&gt;"PRC_RESID","",IF(U$7=2005+OFFSET(COM_2012!$B$60,$AW182,SUMIF($B$10:$B$16,"NCAP_TLIFE",$AX$10:$AX$16)),0,""))</f>
        <v/>
      </c>
      <c r="V182" s="369" t="str">
        <f ca="1">IF($B182&lt;&gt;"PRC_RESID","",IF(V$7=2005+OFFSET(COM_2012!$B$60,$AW182,SUMIF($B$10:$B$16,"NCAP_TLIFE",$AX$10:$AX$16)),0,""))</f>
        <v/>
      </c>
      <c r="W182" s="369" t="str">
        <f ca="1">IF($B182&lt;&gt;"PRC_RESID","",IF(W$7=2005+OFFSET(COM_2012!$B$60,$AW182,SUMIF($B$10:$B$16,"NCAP_TLIFE",$AX$10:$AX$16)),0,""))</f>
        <v/>
      </c>
      <c r="X182" s="369" t="str">
        <f ca="1">IF($B182&lt;&gt;"PRC_RESID","",IF(X$7=2005+OFFSET(COM_2012!$B$60,$AW182,SUMIF($B$10:$B$16,"NCAP_TLIFE",$AX$10:$AX$16)),0,""))</f>
        <v/>
      </c>
      <c r="Y182" s="369" t="str">
        <f ca="1">IF($B182&lt;&gt;"PRC_RESID","",IF(Y$7=2005+OFFSET(COM_2012!$B$60,$AW182,SUMIF($B$10:$B$16,"NCAP_TLIFE",$AX$10:$AX$16)),0,""))</f>
        <v/>
      </c>
      <c r="Z182" s="369" t="str">
        <f ca="1">IF($B182&lt;&gt;"PRC_RESID","",IF(Z$7=2005+OFFSET(COM_2012!$B$60,$AW182,SUMIF($B$10:$B$16,"NCAP_TLIFE",$AX$10:$AX$16)),0,""))</f>
        <v/>
      </c>
      <c r="AA182" s="369" t="str">
        <f ca="1">IF($B182&lt;&gt;"PRC_RESID","",IF(AA$7=2005+OFFSET(COM_2012!$B$60,$AW182,SUMIF($B$10:$B$16,"NCAP_TLIFE",$AX$10:$AX$16)),0,""))</f>
        <v/>
      </c>
      <c r="AB182" s="369" t="str">
        <f ca="1">IF($B182&lt;&gt;"PRC_RESID","",IF(AB$7=2005+OFFSET(COM_2012!$B$60,$AW182,SUMIF($B$10:$B$16,"NCAP_TLIFE",$AX$10:$AX$16)),0,""))</f>
        <v/>
      </c>
      <c r="AC182" s="369" t="str">
        <f ca="1">IF($B182&lt;&gt;"PRC_RESID","",IF(AC$7=2005+OFFSET(COM_2012!$B$60,$AW182,SUMIF($B$10:$B$16,"NCAP_TLIFE",$AX$10:$AX$16)),0,""))</f>
        <v/>
      </c>
      <c r="AD182" s="369" t="str">
        <f ca="1">IF($B182&lt;&gt;"PRC_RESID","",IF(AD$7=2005+OFFSET(COM_2012!$B$60,$AW182,SUMIF($B$10:$B$16,"NCAP_TLIFE",$AX$10:$AX$16)),0,""))</f>
        <v/>
      </c>
      <c r="AE182" s="369" t="str">
        <f ca="1">IF($B182&lt;&gt;"PRC_RESID","",IF(AE$7=2005+OFFSET(COM_2012!$B$60,$AW182,SUMIF($B$10:$B$16,"NCAP_TLIFE",$AX$10:$AX$16)),0,""))</f>
        <v/>
      </c>
      <c r="AF182" s="369" t="str">
        <f ca="1">IF($B182&lt;&gt;"PRC_RESID","",IF(AF$7=2005+OFFSET(COM_2012!$B$60,$AW182,SUMIF($B$10:$B$16,"NCAP_TLIFE",$AX$10:$AX$16)),0,""))</f>
        <v/>
      </c>
      <c r="AG182" s="369" t="str">
        <f ca="1">IF($B182&lt;&gt;"PRC_RESID","",IF(AG$7=2005+OFFSET(COM_2012!$B$60,$AW182,SUMIF($B$10:$B$16,"NCAP_TLIFE",$AX$10:$AX$16)),0,""))</f>
        <v/>
      </c>
      <c r="AH182" s="369" t="str">
        <f ca="1">IF($B182&lt;&gt;"PRC_RESID","",IF(AH$7=2005+OFFSET(COM_2012!$B$60,$AW182,SUMIF($B$10:$B$16,"NCAP_TLIFE",$AX$10:$AX$16)),0,""))</f>
        <v/>
      </c>
      <c r="AI182" s="369" t="str">
        <f ca="1">IF($B182&lt;&gt;"PRC_RESID","",IF(AI$7=2005+OFFSET(COM_2012!$B$60,$AW182,SUMIF($B$10:$B$16,"NCAP_TLIFE",$AX$10:$AX$16)),0,""))</f>
        <v/>
      </c>
      <c r="AJ182" s="369" t="str">
        <f ca="1">IF($B182&lt;&gt;"PRC_RESID","",IF(AJ$7=2005+OFFSET(COM_2012!$B$60,$AW182,SUMIF($B$10:$B$16,"NCAP_TLIFE",$AX$10:$AX$16)),0,""))</f>
        <v/>
      </c>
      <c r="AK182" s="369" t="str">
        <f ca="1">IF($B182&lt;&gt;"PRC_RESID","",IF(AK$7=2005+OFFSET(COM_2012!$B$60,$AW182,SUMIF($B$10:$B$16,"NCAP_TLIFE",$AX$10:$AX$16)),0,""))</f>
        <v/>
      </c>
      <c r="AL182" s="369" t="str">
        <f ca="1">IF($B182&lt;&gt;"PRC_RESID","",IF(AL$7=2005+OFFSET(COM_2012!$B$60,$AW182,SUMIF($B$10:$B$16,"NCAP_TLIFE",$AX$10:$AX$16)),0,""))</f>
        <v/>
      </c>
      <c r="AM182" s="369" t="str">
        <f ca="1">IF($B182&lt;&gt;"PRC_RESID","",IF(AM$7=2005+OFFSET(COM_2012!$B$60,$AW182,SUMIF($B$10:$B$16,"NCAP_TLIFE",$AX$10:$AX$16)),0,""))</f>
        <v/>
      </c>
      <c r="AN182" s="369" t="str">
        <f ca="1">IF($B182&lt;&gt;"PRC_RESID","",IF(AN$7=2005+OFFSET(COM_2012!$B$60,$AW182,SUMIF($B$10:$B$16,"NCAP_TLIFE",$AX$10:$AX$16)),0,""))</f>
        <v/>
      </c>
      <c r="AO182" s="369" t="str">
        <f ca="1">IF($B182&lt;&gt;"PRC_RESID","",IF(AO$7=2005+OFFSET(COM_2012!$B$60,$AW182,SUMIF($B$10:$B$16,"NCAP_TLIFE",$AX$10:$AX$16)),0,""))</f>
        <v/>
      </c>
      <c r="AP182" s="369" t="str">
        <f ca="1">IF($B182&lt;&gt;"PRC_RESID","",IF(AP$7=2005+OFFSET(COM_2012!$B$60,$AW182,SUMIF($B$10:$B$16,"NCAP_TLIFE",$AX$10:$AX$16)),0,""))</f>
        <v/>
      </c>
      <c r="AQ182" s="369" t="str">
        <f ca="1">IF($B182&lt;&gt;"PRC_RESID","",IF(AQ$7=2005+OFFSET(COM_2012!$B$60,$AW182,SUMIF($B$10:$B$16,"NCAP_TLIFE",$AX$10:$AX$16)),0,""))</f>
        <v/>
      </c>
      <c r="AR182" s="369" t="str">
        <f ca="1">IF($B182&lt;&gt;"PRC_RESID","",IF(AR$7=2005+OFFSET(COM_2012!$B$60,$AW182,SUMIF($B$10:$B$16,"NCAP_TLIFE",$AX$10:$AX$16)),0,""))</f>
        <v/>
      </c>
      <c r="AS182" s="369" t="str">
        <f ca="1">IF($B182&lt;&gt;"PRC_RESID","",IF(AS$7=2005+OFFSET(COM_2012!$B$60,$AW182,SUMIF($B$10:$B$16,"NCAP_TLIFE",$AX$10:$AX$16)),0,""))</f>
        <v/>
      </c>
      <c r="AT182" s="369" t="str">
        <f ca="1">IF($B182&lt;&gt;"PRC_RESID","",IF(AT$7=2005+OFFSET(COM_2012!$B$60,$AW182,SUMIF($B$10:$B$16,"NCAP_TLIFE",$AX$10:$AX$16)),0,""))</f>
        <v/>
      </c>
      <c r="AU182" s="369" t="str">
        <f ca="1">IF($B182&lt;&gt;"PRC_RESID","",IF(AU$7=2005+OFFSET(COM_2012!$B$60,$AW182,SUMIF($B$10:$B$16,"NCAP_TLIFE",$AX$10:$AX$16)),0,""))</f>
        <v/>
      </c>
      <c r="AV182" s="304">
        <f>IF(AW181=COM_2012!$AI$121,AV181+1,AV181)</f>
        <v>3</v>
      </c>
      <c r="AW182" s="304">
        <f t="shared" si="17"/>
        <v>33</v>
      </c>
    </row>
    <row r="183" spans="1:49">
      <c r="A183" s="304" t="str">
        <f ca="1">IF(LEFT(OFFSET(COM_2012!$A$60,AW183,0),2)="\I","*","")</f>
        <v/>
      </c>
      <c r="B183" s="369" t="str">
        <f t="shared" ca="1" si="16"/>
        <v>NCAP_TLIFE</v>
      </c>
      <c r="C183" s="369" t="str">
        <f ca="1">IF($A183="*","",OFFSET(COM_2012!$B$60,AW183,0))</f>
        <v>CEWCOA-E</v>
      </c>
      <c r="D183" s="369" t="str">
        <f t="shared" ca="1" si="19"/>
        <v>-</v>
      </c>
      <c r="E183" s="369" t="str">
        <f t="shared" ca="1" si="19"/>
        <v>-</v>
      </c>
      <c r="F183" s="369" t="str">
        <f t="shared" ca="1" si="19"/>
        <v>-</v>
      </c>
      <c r="G183" s="369" t="str">
        <f t="shared" ca="1" si="19"/>
        <v>-</v>
      </c>
      <c r="H183" s="369" t="str">
        <f t="shared" ca="1" si="19"/>
        <v>-</v>
      </c>
      <c r="I183" s="370">
        <f t="shared" ca="1" si="19"/>
        <v>0</v>
      </c>
      <c r="J183" s="391">
        <f ca="1">IF($A183="*","",OFFSET(COM_2012!$B$60,AW183,SUMIF($B$10:$B$16,B183,$AX$10:$AX$16)))</f>
        <v>14</v>
      </c>
      <c r="K183" s="369" t="str">
        <f ca="1">IF($B183&lt;&gt;"PRC_RESID","",IF(K$7=2005+OFFSET(COM_2012!$B$60,$AW183,SUMIF($B$10:$B$16,"NCAP_TLIFE",$AX$10:$AX$16)),0,""))</f>
        <v/>
      </c>
      <c r="L183" s="369" t="str">
        <f ca="1">IF($B183&lt;&gt;"PRC_RESID","",IF(L$7=2005+OFFSET(COM_2012!$B$60,$AW183,SUMIF($B$10:$B$16,"NCAP_TLIFE",$AX$10:$AX$16)),0,""))</f>
        <v/>
      </c>
      <c r="M183" s="369" t="str">
        <f ca="1">IF($B183&lt;&gt;"PRC_RESID","",IF(M$7=2005+OFFSET(COM_2012!$B$60,$AW183,SUMIF($B$10:$B$16,"NCAP_TLIFE",$AX$10:$AX$16)),0,""))</f>
        <v/>
      </c>
      <c r="N183" s="369" t="str">
        <f ca="1">IF($B183&lt;&gt;"PRC_RESID","",IF(N$7=2005+OFFSET(COM_2012!$B$60,$AW183,SUMIF($B$10:$B$16,"NCAP_TLIFE",$AX$10:$AX$16)),0,""))</f>
        <v/>
      </c>
      <c r="O183" s="658" t="str">
        <f ca="1">IF($B183&lt;&gt;"PRC_RESID","",IF(O$7=2005+OFFSET(COM_2012!$B$60,$AW183,SUMIF($B$10:$B$16,"NCAP_TLIFE",$AX$10:$AX$16)),0,""))</f>
        <v/>
      </c>
      <c r="P183" s="369" t="str">
        <f ca="1">IF($B183&lt;&gt;"PRC_RESID","",IF(P$7=2005+OFFSET(COM_2012!$B$60,$AW183,SUMIF($B$10:$B$16,"NCAP_TLIFE",$AX$10:$AX$16)),0,""))</f>
        <v/>
      </c>
      <c r="Q183" s="369" t="str">
        <f ca="1">IF($B183&lt;&gt;"PRC_RESID","",IF(Q$7=2005+OFFSET(COM_2012!$B$60,$AW183,SUMIF($B$10:$B$16,"NCAP_TLIFE",$AX$10:$AX$16)),0,""))</f>
        <v/>
      </c>
      <c r="R183" s="369" t="str">
        <f ca="1">IF($B183&lt;&gt;"PRC_RESID","",IF(R$7=2005+OFFSET(COM_2012!$B$60,$AW183,SUMIF($B$10:$B$16,"NCAP_TLIFE",$AX$10:$AX$16)),0,""))</f>
        <v/>
      </c>
      <c r="S183" s="369" t="str">
        <f ca="1">IF($B183&lt;&gt;"PRC_RESID","",IF(S$7=2005+OFFSET(COM_2012!$B$60,$AW183,SUMIF($B$10:$B$16,"NCAP_TLIFE",$AX$10:$AX$16)),0,""))</f>
        <v/>
      </c>
      <c r="T183" s="369" t="str">
        <f ca="1">IF($B183&lt;&gt;"PRC_RESID","",IF(T$7=2005+OFFSET(COM_2012!$B$60,$AW183,SUMIF($B$10:$B$16,"NCAP_TLIFE",$AX$10:$AX$16)),0,""))</f>
        <v/>
      </c>
      <c r="U183" s="369" t="str">
        <f ca="1">IF($B183&lt;&gt;"PRC_RESID","",IF(U$7=2005+OFFSET(COM_2012!$B$60,$AW183,SUMIF($B$10:$B$16,"NCAP_TLIFE",$AX$10:$AX$16)),0,""))</f>
        <v/>
      </c>
      <c r="V183" s="369" t="str">
        <f ca="1">IF($B183&lt;&gt;"PRC_RESID","",IF(V$7=2005+OFFSET(COM_2012!$B$60,$AW183,SUMIF($B$10:$B$16,"NCAP_TLIFE",$AX$10:$AX$16)),0,""))</f>
        <v/>
      </c>
      <c r="W183" s="369" t="str">
        <f ca="1">IF($B183&lt;&gt;"PRC_RESID","",IF(W$7=2005+OFFSET(COM_2012!$B$60,$AW183,SUMIF($B$10:$B$16,"NCAP_TLIFE",$AX$10:$AX$16)),0,""))</f>
        <v/>
      </c>
      <c r="X183" s="369" t="str">
        <f ca="1">IF($B183&lt;&gt;"PRC_RESID","",IF(X$7=2005+OFFSET(COM_2012!$B$60,$AW183,SUMIF($B$10:$B$16,"NCAP_TLIFE",$AX$10:$AX$16)),0,""))</f>
        <v/>
      </c>
      <c r="Y183" s="369" t="str">
        <f ca="1">IF($B183&lt;&gt;"PRC_RESID","",IF(Y$7=2005+OFFSET(COM_2012!$B$60,$AW183,SUMIF($B$10:$B$16,"NCAP_TLIFE",$AX$10:$AX$16)),0,""))</f>
        <v/>
      </c>
      <c r="Z183" s="369" t="str">
        <f ca="1">IF($B183&lt;&gt;"PRC_RESID","",IF(Z$7=2005+OFFSET(COM_2012!$B$60,$AW183,SUMIF($B$10:$B$16,"NCAP_TLIFE",$AX$10:$AX$16)),0,""))</f>
        <v/>
      </c>
      <c r="AA183" s="369" t="str">
        <f ca="1">IF($B183&lt;&gt;"PRC_RESID","",IF(AA$7=2005+OFFSET(COM_2012!$B$60,$AW183,SUMIF($B$10:$B$16,"NCAP_TLIFE",$AX$10:$AX$16)),0,""))</f>
        <v/>
      </c>
      <c r="AB183" s="369" t="str">
        <f ca="1">IF($B183&lt;&gt;"PRC_RESID","",IF(AB$7=2005+OFFSET(COM_2012!$B$60,$AW183,SUMIF($B$10:$B$16,"NCAP_TLIFE",$AX$10:$AX$16)),0,""))</f>
        <v/>
      </c>
      <c r="AC183" s="369" t="str">
        <f ca="1">IF($B183&lt;&gt;"PRC_RESID","",IF(AC$7=2005+OFFSET(COM_2012!$B$60,$AW183,SUMIF($B$10:$B$16,"NCAP_TLIFE",$AX$10:$AX$16)),0,""))</f>
        <v/>
      </c>
      <c r="AD183" s="369" t="str">
        <f ca="1">IF($B183&lt;&gt;"PRC_RESID","",IF(AD$7=2005+OFFSET(COM_2012!$B$60,$AW183,SUMIF($B$10:$B$16,"NCAP_TLIFE",$AX$10:$AX$16)),0,""))</f>
        <v/>
      </c>
      <c r="AE183" s="369" t="str">
        <f ca="1">IF($B183&lt;&gt;"PRC_RESID","",IF(AE$7=2005+OFFSET(COM_2012!$B$60,$AW183,SUMIF($B$10:$B$16,"NCAP_TLIFE",$AX$10:$AX$16)),0,""))</f>
        <v/>
      </c>
      <c r="AF183" s="369" t="str">
        <f ca="1">IF($B183&lt;&gt;"PRC_RESID","",IF(AF$7=2005+OFFSET(COM_2012!$B$60,$AW183,SUMIF($B$10:$B$16,"NCAP_TLIFE",$AX$10:$AX$16)),0,""))</f>
        <v/>
      </c>
      <c r="AG183" s="369" t="str">
        <f ca="1">IF($B183&lt;&gt;"PRC_RESID","",IF(AG$7=2005+OFFSET(COM_2012!$B$60,$AW183,SUMIF($B$10:$B$16,"NCAP_TLIFE",$AX$10:$AX$16)),0,""))</f>
        <v/>
      </c>
      <c r="AH183" s="369" t="str">
        <f ca="1">IF($B183&lt;&gt;"PRC_RESID","",IF(AH$7=2005+OFFSET(COM_2012!$B$60,$AW183,SUMIF($B$10:$B$16,"NCAP_TLIFE",$AX$10:$AX$16)),0,""))</f>
        <v/>
      </c>
      <c r="AI183" s="369" t="str">
        <f ca="1">IF($B183&lt;&gt;"PRC_RESID","",IF(AI$7=2005+OFFSET(COM_2012!$B$60,$AW183,SUMIF($B$10:$B$16,"NCAP_TLIFE",$AX$10:$AX$16)),0,""))</f>
        <v/>
      </c>
      <c r="AJ183" s="369" t="str">
        <f ca="1">IF($B183&lt;&gt;"PRC_RESID","",IF(AJ$7=2005+OFFSET(COM_2012!$B$60,$AW183,SUMIF($B$10:$B$16,"NCAP_TLIFE",$AX$10:$AX$16)),0,""))</f>
        <v/>
      </c>
      <c r="AK183" s="369" t="str">
        <f ca="1">IF($B183&lt;&gt;"PRC_RESID","",IF(AK$7=2005+OFFSET(COM_2012!$B$60,$AW183,SUMIF($B$10:$B$16,"NCAP_TLIFE",$AX$10:$AX$16)),0,""))</f>
        <v/>
      </c>
      <c r="AL183" s="369" t="str">
        <f ca="1">IF($B183&lt;&gt;"PRC_RESID","",IF(AL$7=2005+OFFSET(COM_2012!$B$60,$AW183,SUMIF($B$10:$B$16,"NCAP_TLIFE",$AX$10:$AX$16)),0,""))</f>
        <v/>
      </c>
      <c r="AM183" s="369" t="str">
        <f ca="1">IF($B183&lt;&gt;"PRC_RESID","",IF(AM$7=2005+OFFSET(COM_2012!$B$60,$AW183,SUMIF($B$10:$B$16,"NCAP_TLIFE",$AX$10:$AX$16)),0,""))</f>
        <v/>
      </c>
      <c r="AN183" s="369" t="str">
        <f ca="1">IF($B183&lt;&gt;"PRC_RESID","",IF(AN$7=2005+OFFSET(COM_2012!$B$60,$AW183,SUMIF($B$10:$B$16,"NCAP_TLIFE",$AX$10:$AX$16)),0,""))</f>
        <v/>
      </c>
      <c r="AO183" s="369" t="str">
        <f ca="1">IF($B183&lt;&gt;"PRC_RESID","",IF(AO$7=2005+OFFSET(COM_2012!$B$60,$AW183,SUMIF($B$10:$B$16,"NCAP_TLIFE",$AX$10:$AX$16)),0,""))</f>
        <v/>
      </c>
      <c r="AP183" s="369" t="str">
        <f ca="1">IF($B183&lt;&gt;"PRC_RESID","",IF(AP$7=2005+OFFSET(COM_2012!$B$60,$AW183,SUMIF($B$10:$B$16,"NCAP_TLIFE",$AX$10:$AX$16)),0,""))</f>
        <v/>
      </c>
      <c r="AQ183" s="369" t="str">
        <f ca="1">IF($B183&lt;&gt;"PRC_RESID","",IF(AQ$7=2005+OFFSET(COM_2012!$B$60,$AW183,SUMIF($B$10:$B$16,"NCAP_TLIFE",$AX$10:$AX$16)),0,""))</f>
        <v/>
      </c>
      <c r="AR183" s="369" t="str">
        <f ca="1">IF($B183&lt;&gt;"PRC_RESID","",IF(AR$7=2005+OFFSET(COM_2012!$B$60,$AW183,SUMIF($B$10:$B$16,"NCAP_TLIFE",$AX$10:$AX$16)),0,""))</f>
        <v/>
      </c>
      <c r="AS183" s="369" t="str">
        <f ca="1">IF($B183&lt;&gt;"PRC_RESID","",IF(AS$7=2005+OFFSET(COM_2012!$B$60,$AW183,SUMIF($B$10:$B$16,"NCAP_TLIFE",$AX$10:$AX$16)),0,""))</f>
        <v/>
      </c>
      <c r="AT183" s="369" t="str">
        <f ca="1">IF($B183&lt;&gt;"PRC_RESID","",IF(AT$7=2005+OFFSET(COM_2012!$B$60,$AW183,SUMIF($B$10:$B$16,"NCAP_TLIFE",$AX$10:$AX$16)),0,""))</f>
        <v/>
      </c>
      <c r="AU183" s="369" t="str">
        <f ca="1">IF($B183&lt;&gt;"PRC_RESID","",IF(AU$7=2005+OFFSET(COM_2012!$B$60,$AW183,SUMIF($B$10:$B$16,"NCAP_TLIFE",$AX$10:$AX$16)),0,""))</f>
        <v/>
      </c>
      <c r="AV183" s="304">
        <f>IF(AW182=COM_2012!$AI$121,AV182+1,AV182)</f>
        <v>3</v>
      </c>
      <c r="AW183" s="304">
        <f t="shared" si="17"/>
        <v>34</v>
      </c>
    </row>
    <row r="184" spans="1:49">
      <c r="A184" s="304" t="str">
        <f ca="1">IF(LEFT(OFFSET(COM_2012!$A$60,AW184,0),2)="\I","*","")</f>
        <v/>
      </c>
      <c r="B184" s="369" t="str">
        <f t="shared" ca="1" si="16"/>
        <v>NCAP_TLIFE</v>
      </c>
      <c r="C184" s="369" t="str">
        <f ca="1">IF($A184="*","",OFFSET(COM_2012!$B$60,AW184,0))</f>
        <v>CEWOLP-E</v>
      </c>
      <c r="D184" s="369" t="str">
        <f t="shared" ca="1" si="19"/>
        <v>-</v>
      </c>
      <c r="E184" s="369" t="str">
        <f t="shared" ca="1" si="19"/>
        <v>-</v>
      </c>
      <c r="F184" s="369" t="str">
        <f t="shared" ca="1" si="19"/>
        <v>-</v>
      </c>
      <c r="G184" s="369" t="str">
        <f t="shared" ca="1" si="19"/>
        <v>-</v>
      </c>
      <c r="H184" s="369" t="str">
        <f t="shared" ca="1" si="19"/>
        <v>-</v>
      </c>
      <c r="I184" s="370">
        <f t="shared" ca="1" si="19"/>
        <v>0</v>
      </c>
      <c r="J184" s="391">
        <f ca="1">IF($A184="*","",OFFSET(COM_2012!$B$60,AW184,SUMIF($B$10:$B$16,B184,$AX$10:$AX$16)))</f>
        <v>12</v>
      </c>
      <c r="K184" s="369" t="str">
        <f ca="1">IF($B184&lt;&gt;"PRC_RESID","",IF(K$7=2005+OFFSET(COM_2012!$B$60,$AW184,SUMIF($B$10:$B$16,"NCAP_TLIFE",$AX$10:$AX$16)),0,""))</f>
        <v/>
      </c>
      <c r="L184" s="369" t="str">
        <f ca="1">IF($B184&lt;&gt;"PRC_RESID","",IF(L$7=2005+OFFSET(COM_2012!$B$60,$AW184,SUMIF($B$10:$B$16,"NCAP_TLIFE",$AX$10:$AX$16)),0,""))</f>
        <v/>
      </c>
      <c r="M184" s="369" t="str">
        <f ca="1">IF($B184&lt;&gt;"PRC_RESID","",IF(M$7=2005+OFFSET(COM_2012!$B$60,$AW184,SUMIF($B$10:$B$16,"NCAP_TLIFE",$AX$10:$AX$16)),0,""))</f>
        <v/>
      </c>
      <c r="N184" s="369" t="str">
        <f ca="1">IF($B184&lt;&gt;"PRC_RESID","",IF(N$7=2005+OFFSET(COM_2012!$B$60,$AW184,SUMIF($B$10:$B$16,"NCAP_TLIFE",$AX$10:$AX$16)),0,""))</f>
        <v/>
      </c>
      <c r="O184" s="658" t="str">
        <f ca="1">IF($B184&lt;&gt;"PRC_RESID","",IF(O$7=2005+OFFSET(COM_2012!$B$60,$AW184,SUMIF($B$10:$B$16,"NCAP_TLIFE",$AX$10:$AX$16)),0,""))</f>
        <v/>
      </c>
      <c r="P184" s="369" t="str">
        <f ca="1">IF($B184&lt;&gt;"PRC_RESID","",IF(P$7=2005+OFFSET(COM_2012!$B$60,$AW184,SUMIF($B$10:$B$16,"NCAP_TLIFE",$AX$10:$AX$16)),0,""))</f>
        <v/>
      </c>
      <c r="Q184" s="369" t="str">
        <f ca="1">IF($B184&lt;&gt;"PRC_RESID","",IF(Q$7=2005+OFFSET(COM_2012!$B$60,$AW184,SUMIF($B$10:$B$16,"NCAP_TLIFE",$AX$10:$AX$16)),0,""))</f>
        <v/>
      </c>
      <c r="R184" s="369" t="str">
        <f ca="1">IF($B184&lt;&gt;"PRC_RESID","",IF(R$7=2005+OFFSET(COM_2012!$B$60,$AW184,SUMIF($B$10:$B$16,"NCAP_TLIFE",$AX$10:$AX$16)),0,""))</f>
        <v/>
      </c>
      <c r="S184" s="369" t="str">
        <f ca="1">IF($B184&lt;&gt;"PRC_RESID","",IF(S$7=2005+OFFSET(COM_2012!$B$60,$AW184,SUMIF($B$10:$B$16,"NCAP_TLIFE",$AX$10:$AX$16)),0,""))</f>
        <v/>
      </c>
      <c r="T184" s="369" t="str">
        <f ca="1">IF($B184&lt;&gt;"PRC_RESID","",IF(T$7=2005+OFFSET(COM_2012!$B$60,$AW184,SUMIF($B$10:$B$16,"NCAP_TLIFE",$AX$10:$AX$16)),0,""))</f>
        <v/>
      </c>
      <c r="U184" s="369" t="str">
        <f ca="1">IF($B184&lt;&gt;"PRC_RESID","",IF(U$7=2005+OFFSET(COM_2012!$B$60,$AW184,SUMIF($B$10:$B$16,"NCAP_TLIFE",$AX$10:$AX$16)),0,""))</f>
        <v/>
      </c>
      <c r="V184" s="369" t="str">
        <f ca="1">IF($B184&lt;&gt;"PRC_RESID","",IF(V$7=2005+OFFSET(COM_2012!$B$60,$AW184,SUMIF($B$10:$B$16,"NCAP_TLIFE",$AX$10:$AX$16)),0,""))</f>
        <v/>
      </c>
      <c r="W184" s="369" t="str">
        <f ca="1">IF($B184&lt;&gt;"PRC_RESID","",IF(W$7=2005+OFFSET(COM_2012!$B$60,$AW184,SUMIF($B$10:$B$16,"NCAP_TLIFE",$AX$10:$AX$16)),0,""))</f>
        <v/>
      </c>
      <c r="X184" s="369" t="str">
        <f ca="1">IF($B184&lt;&gt;"PRC_RESID","",IF(X$7=2005+OFFSET(COM_2012!$B$60,$AW184,SUMIF($B$10:$B$16,"NCAP_TLIFE",$AX$10:$AX$16)),0,""))</f>
        <v/>
      </c>
      <c r="Y184" s="369" t="str">
        <f ca="1">IF($B184&lt;&gt;"PRC_RESID","",IF(Y$7=2005+OFFSET(COM_2012!$B$60,$AW184,SUMIF($B$10:$B$16,"NCAP_TLIFE",$AX$10:$AX$16)),0,""))</f>
        <v/>
      </c>
      <c r="Z184" s="369" t="str">
        <f ca="1">IF($B184&lt;&gt;"PRC_RESID","",IF(Z$7=2005+OFFSET(COM_2012!$B$60,$AW184,SUMIF($B$10:$B$16,"NCAP_TLIFE",$AX$10:$AX$16)),0,""))</f>
        <v/>
      </c>
      <c r="AA184" s="369" t="str">
        <f ca="1">IF($B184&lt;&gt;"PRC_RESID","",IF(AA$7=2005+OFFSET(COM_2012!$B$60,$AW184,SUMIF($B$10:$B$16,"NCAP_TLIFE",$AX$10:$AX$16)),0,""))</f>
        <v/>
      </c>
      <c r="AB184" s="369" t="str">
        <f ca="1">IF($B184&lt;&gt;"PRC_RESID","",IF(AB$7=2005+OFFSET(COM_2012!$B$60,$AW184,SUMIF($B$10:$B$16,"NCAP_TLIFE",$AX$10:$AX$16)),0,""))</f>
        <v/>
      </c>
      <c r="AC184" s="369" t="str">
        <f ca="1">IF($B184&lt;&gt;"PRC_RESID","",IF(AC$7=2005+OFFSET(COM_2012!$B$60,$AW184,SUMIF($B$10:$B$16,"NCAP_TLIFE",$AX$10:$AX$16)),0,""))</f>
        <v/>
      </c>
      <c r="AD184" s="369" t="str">
        <f ca="1">IF($B184&lt;&gt;"PRC_RESID","",IF(AD$7=2005+OFFSET(COM_2012!$B$60,$AW184,SUMIF($B$10:$B$16,"NCAP_TLIFE",$AX$10:$AX$16)),0,""))</f>
        <v/>
      </c>
      <c r="AE184" s="369" t="str">
        <f ca="1">IF($B184&lt;&gt;"PRC_RESID","",IF(AE$7=2005+OFFSET(COM_2012!$B$60,$AW184,SUMIF($B$10:$B$16,"NCAP_TLIFE",$AX$10:$AX$16)),0,""))</f>
        <v/>
      </c>
      <c r="AF184" s="369" t="str">
        <f ca="1">IF($B184&lt;&gt;"PRC_RESID","",IF(AF$7=2005+OFFSET(COM_2012!$B$60,$AW184,SUMIF($B$10:$B$16,"NCAP_TLIFE",$AX$10:$AX$16)),0,""))</f>
        <v/>
      </c>
      <c r="AG184" s="369" t="str">
        <f ca="1">IF($B184&lt;&gt;"PRC_RESID","",IF(AG$7=2005+OFFSET(COM_2012!$B$60,$AW184,SUMIF($B$10:$B$16,"NCAP_TLIFE",$AX$10:$AX$16)),0,""))</f>
        <v/>
      </c>
      <c r="AH184" s="369" t="str">
        <f ca="1">IF($B184&lt;&gt;"PRC_RESID","",IF(AH$7=2005+OFFSET(COM_2012!$B$60,$AW184,SUMIF($B$10:$B$16,"NCAP_TLIFE",$AX$10:$AX$16)),0,""))</f>
        <v/>
      </c>
      <c r="AI184" s="369" t="str">
        <f ca="1">IF($B184&lt;&gt;"PRC_RESID","",IF(AI$7=2005+OFFSET(COM_2012!$B$60,$AW184,SUMIF($B$10:$B$16,"NCAP_TLIFE",$AX$10:$AX$16)),0,""))</f>
        <v/>
      </c>
      <c r="AJ184" s="369" t="str">
        <f ca="1">IF($B184&lt;&gt;"PRC_RESID","",IF(AJ$7=2005+OFFSET(COM_2012!$B$60,$AW184,SUMIF($B$10:$B$16,"NCAP_TLIFE",$AX$10:$AX$16)),0,""))</f>
        <v/>
      </c>
      <c r="AK184" s="369" t="str">
        <f ca="1">IF($B184&lt;&gt;"PRC_RESID","",IF(AK$7=2005+OFFSET(COM_2012!$B$60,$AW184,SUMIF($B$10:$B$16,"NCAP_TLIFE",$AX$10:$AX$16)),0,""))</f>
        <v/>
      </c>
      <c r="AL184" s="369" t="str">
        <f ca="1">IF($B184&lt;&gt;"PRC_RESID","",IF(AL$7=2005+OFFSET(COM_2012!$B$60,$AW184,SUMIF($B$10:$B$16,"NCAP_TLIFE",$AX$10:$AX$16)),0,""))</f>
        <v/>
      </c>
      <c r="AM184" s="369" t="str">
        <f ca="1">IF($B184&lt;&gt;"PRC_RESID","",IF(AM$7=2005+OFFSET(COM_2012!$B$60,$AW184,SUMIF($B$10:$B$16,"NCAP_TLIFE",$AX$10:$AX$16)),0,""))</f>
        <v/>
      </c>
      <c r="AN184" s="369" t="str">
        <f ca="1">IF($B184&lt;&gt;"PRC_RESID","",IF(AN$7=2005+OFFSET(COM_2012!$B$60,$AW184,SUMIF($B$10:$B$16,"NCAP_TLIFE",$AX$10:$AX$16)),0,""))</f>
        <v/>
      </c>
      <c r="AO184" s="369" t="str">
        <f ca="1">IF($B184&lt;&gt;"PRC_RESID","",IF(AO$7=2005+OFFSET(COM_2012!$B$60,$AW184,SUMIF($B$10:$B$16,"NCAP_TLIFE",$AX$10:$AX$16)),0,""))</f>
        <v/>
      </c>
      <c r="AP184" s="369" t="str">
        <f ca="1">IF($B184&lt;&gt;"PRC_RESID","",IF(AP$7=2005+OFFSET(COM_2012!$B$60,$AW184,SUMIF($B$10:$B$16,"NCAP_TLIFE",$AX$10:$AX$16)),0,""))</f>
        <v/>
      </c>
      <c r="AQ184" s="369" t="str">
        <f ca="1">IF($B184&lt;&gt;"PRC_RESID","",IF(AQ$7=2005+OFFSET(COM_2012!$B$60,$AW184,SUMIF($B$10:$B$16,"NCAP_TLIFE",$AX$10:$AX$16)),0,""))</f>
        <v/>
      </c>
      <c r="AR184" s="369" t="str">
        <f ca="1">IF($B184&lt;&gt;"PRC_RESID","",IF(AR$7=2005+OFFSET(COM_2012!$B$60,$AW184,SUMIF($B$10:$B$16,"NCAP_TLIFE",$AX$10:$AX$16)),0,""))</f>
        <v/>
      </c>
      <c r="AS184" s="369" t="str">
        <f ca="1">IF($B184&lt;&gt;"PRC_RESID","",IF(AS$7=2005+OFFSET(COM_2012!$B$60,$AW184,SUMIF($B$10:$B$16,"NCAP_TLIFE",$AX$10:$AX$16)),0,""))</f>
        <v/>
      </c>
      <c r="AT184" s="369" t="str">
        <f ca="1">IF($B184&lt;&gt;"PRC_RESID","",IF(AT$7=2005+OFFSET(COM_2012!$B$60,$AW184,SUMIF($B$10:$B$16,"NCAP_TLIFE",$AX$10:$AX$16)),0,""))</f>
        <v/>
      </c>
      <c r="AU184" s="369" t="str">
        <f ca="1">IF($B184&lt;&gt;"PRC_RESID","",IF(AU$7=2005+OFFSET(COM_2012!$B$60,$AW184,SUMIF($B$10:$B$16,"NCAP_TLIFE",$AX$10:$AX$16)),0,""))</f>
        <v/>
      </c>
      <c r="AV184" s="304">
        <f>IF(AW183=COM_2012!$AI$121,AV183+1,AV183)</f>
        <v>3</v>
      </c>
      <c r="AW184" s="304">
        <f t="shared" si="17"/>
        <v>35</v>
      </c>
    </row>
    <row r="185" spans="1:49">
      <c r="A185" s="304" t="str">
        <f ca="1">IF(LEFT(OFFSET(COM_2012!$A$60,AW185,0),2)="\I","*","")</f>
        <v/>
      </c>
      <c r="B185" s="369" t="str">
        <f t="shared" ca="1" si="16"/>
        <v>NCAP_TLIFE</v>
      </c>
      <c r="C185" s="369" t="str">
        <f ca="1">IF($A185="*","",OFFSET(COM_2012!$B$60,AW185,0))</f>
        <v>CEWGAS-E</v>
      </c>
      <c r="D185" s="369" t="str">
        <f t="shared" ca="1" si="19"/>
        <v>-</v>
      </c>
      <c r="E185" s="369" t="str">
        <f t="shared" ca="1" si="19"/>
        <v>-</v>
      </c>
      <c r="F185" s="369" t="str">
        <f t="shared" ca="1" si="19"/>
        <v>-</v>
      </c>
      <c r="G185" s="369" t="str">
        <f t="shared" ca="1" si="19"/>
        <v>-</v>
      </c>
      <c r="H185" s="369" t="str">
        <f t="shared" ca="1" si="19"/>
        <v>-</v>
      </c>
      <c r="I185" s="370">
        <f t="shared" ca="1" si="19"/>
        <v>0</v>
      </c>
      <c r="J185" s="391">
        <f ca="1">IF($A185="*","",OFFSET(COM_2012!$B$60,AW185,SUMIF($B$10:$B$16,B185,$AX$10:$AX$16)))</f>
        <v>12</v>
      </c>
      <c r="K185" s="369" t="str">
        <f ca="1">IF($B185&lt;&gt;"PRC_RESID","",IF(K$7=2005+OFFSET(COM_2012!$B$60,$AW185,SUMIF($B$10:$B$16,"NCAP_TLIFE",$AX$10:$AX$16)),0,""))</f>
        <v/>
      </c>
      <c r="L185" s="369" t="str">
        <f ca="1">IF($B185&lt;&gt;"PRC_RESID","",IF(L$7=2005+OFFSET(COM_2012!$B$60,$AW185,SUMIF($B$10:$B$16,"NCAP_TLIFE",$AX$10:$AX$16)),0,""))</f>
        <v/>
      </c>
      <c r="M185" s="369" t="str">
        <f ca="1">IF($B185&lt;&gt;"PRC_RESID","",IF(M$7=2005+OFFSET(COM_2012!$B$60,$AW185,SUMIF($B$10:$B$16,"NCAP_TLIFE",$AX$10:$AX$16)),0,""))</f>
        <v/>
      </c>
      <c r="N185" s="369" t="str">
        <f ca="1">IF($B185&lt;&gt;"PRC_RESID","",IF(N$7=2005+OFFSET(COM_2012!$B$60,$AW185,SUMIF($B$10:$B$16,"NCAP_TLIFE",$AX$10:$AX$16)),0,""))</f>
        <v/>
      </c>
      <c r="O185" s="658" t="str">
        <f ca="1">IF($B185&lt;&gt;"PRC_RESID","",IF(O$7=2005+OFFSET(COM_2012!$B$60,$AW185,SUMIF($B$10:$B$16,"NCAP_TLIFE",$AX$10:$AX$16)),0,""))</f>
        <v/>
      </c>
      <c r="P185" s="369" t="str">
        <f ca="1">IF($B185&lt;&gt;"PRC_RESID","",IF(P$7=2005+OFFSET(COM_2012!$B$60,$AW185,SUMIF($B$10:$B$16,"NCAP_TLIFE",$AX$10:$AX$16)),0,""))</f>
        <v/>
      </c>
      <c r="Q185" s="369" t="str">
        <f ca="1">IF($B185&lt;&gt;"PRC_RESID","",IF(Q$7=2005+OFFSET(COM_2012!$B$60,$AW185,SUMIF($B$10:$B$16,"NCAP_TLIFE",$AX$10:$AX$16)),0,""))</f>
        <v/>
      </c>
      <c r="R185" s="369" t="str">
        <f ca="1">IF($B185&lt;&gt;"PRC_RESID","",IF(R$7=2005+OFFSET(COM_2012!$B$60,$AW185,SUMIF($B$10:$B$16,"NCAP_TLIFE",$AX$10:$AX$16)),0,""))</f>
        <v/>
      </c>
      <c r="S185" s="369" t="str">
        <f ca="1">IF($B185&lt;&gt;"PRC_RESID","",IF(S$7=2005+OFFSET(COM_2012!$B$60,$AW185,SUMIF($B$10:$B$16,"NCAP_TLIFE",$AX$10:$AX$16)),0,""))</f>
        <v/>
      </c>
      <c r="T185" s="369" t="str">
        <f ca="1">IF($B185&lt;&gt;"PRC_RESID","",IF(T$7=2005+OFFSET(COM_2012!$B$60,$AW185,SUMIF($B$10:$B$16,"NCAP_TLIFE",$AX$10:$AX$16)),0,""))</f>
        <v/>
      </c>
      <c r="U185" s="369" t="str">
        <f ca="1">IF($B185&lt;&gt;"PRC_RESID","",IF(U$7=2005+OFFSET(COM_2012!$B$60,$AW185,SUMIF($B$10:$B$16,"NCAP_TLIFE",$AX$10:$AX$16)),0,""))</f>
        <v/>
      </c>
      <c r="V185" s="369" t="str">
        <f ca="1">IF($B185&lt;&gt;"PRC_RESID","",IF(V$7=2005+OFFSET(COM_2012!$B$60,$AW185,SUMIF($B$10:$B$16,"NCAP_TLIFE",$AX$10:$AX$16)),0,""))</f>
        <v/>
      </c>
      <c r="W185" s="369" t="str">
        <f ca="1">IF($B185&lt;&gt;"PRC_RESID","",IF(W$7=2005+OFFSET(COM_2012!$B$60,$AW185,SUMIF($B$10:$B$16,"NCAP_TLIFE",$AX$10:$AX$16)),0,""))</f>
        <v/>
      </c>
      <c r="X185" s="369" t="str">
        <f ca="1">IF($B185&lt;&gt;"PRC_RESID","",IF(X$7=2005+OFFSET(COM_2012!$B$60,$AW185,SUMIF($B$10:$B$16,"NCAP_TLIFE",$AX$10:$AX$16)),0,""))</f>
        <v/>
      </c>
      <c r="Y185" s="369" t="str">
        <f ca="1">IF($B185&lt;&gt;"PRC_RESID","",IF(Y$7=2005+OFFSET(COM_2012!$B$60,$AW185,SUMIF($B$10:$B$16,"NCAP_TLIFE",$AX$10:$AX$16)),0,""))</f>
        <v/>
      </c>
      <c r="Z185" s="369" t="str">
        <f ca="1">IF($B185&lt;&gt;"PRC_RESID","",IF(Z$7=2005+OFFSET(COM_2012!$B$60,$AW185,SUMIF($B$10:$B$16,"NCAP_TLIFE",$AX$10:$AX$16)),0,""))</f>
        <v/>
      </c>
      <c r="AA185" s="369" t="str">
        <f ca="1">IF($B185&lt;&gt;"PRC_RESID","",IF(AA$7=2005+OFFSET(COM_2012!$B$60,$AW185,SUMIF($B$10:$B$16,"NCAP_TLIFE",$AX$10:$AX$16)),0,""))</f>
        <v/>
      </c>
      <c r="AB185" s="369" t="str">
        <f ca="1">IF($B185&lt;&gt;"PRC_RESID","",IF(AB$7=2005+OFFSET(COM_2012!$B$60,$AW185,SUMIF($B$10:$B$16,"NCAP_TLIFE",$AX$10:$AX$16)),0,""))</f>
        <v/>
      </c>
      <c r="AC185" s="369" t="str">
        <f ca="1">IF($B185&lt;&gt;"PRC_RESID","",IF(AC$7=2005+OFFSET(COM_2012!$B$60,$AW185,SUMIF($B$10:$B$16,"NCAP_TLIFE",$AX$10:$AX$16)),0,""))</f>
        <v/>
      </c>
      <c r="AD185" s="369" t="str">
        <f ca="1">IF($B185&lt;&gt;"PRC_RESID","",IF(AD$7=2005+OFFSET(COM_2012!$B$60,$AW185,SUMIF($B$10:$B$16,"NCAP_TLIFE",$AX$10:$AX$16)),0,""))</f>
        <v/>
      </c>
      <c r="AE185" s="369" t="str">
        <f ca="1">IF($B185&lt;&gt;"PRC_RESID","",IF(AE$7=2005+OFFSET(COM_2012!$B$60,$AW185,SUMIF($B$10:$B$16,"NCAP_TLIFE",$AX$10:$AX$16)),0,""))</f>
        <v/>
      </c>
      <c r="AF185" s="369" t="str">
        <f ca="1">IF($B185&lt;&gt;"PRC_RESID","",IF(AF$7=2005+OFFSET(COM_2012!$B$60,$AW185,SUMIF($B$10:$B$16,"NCAP_TLIFE",$AX$10:$AX$16)),0,""))</f>
        <v/>
      </c>
      <c r="AG185" s="369" t="str">
        <f ca="1">IF($B185&lt;&gt;"PRC_RESID","",IF(AG$7=2005+OFFSET(COM_2012!$B$60,$AW185,SUMIF($B$10:$B$16,"NCAP_TLIFE",$AX$10:$AX$16)),0,""))</f>
        <v/>
      </c>
      <c r="AH185" s="369" t="str">
        <f ca="1">IF($B185&lt;&gt;"PRC_RESID","",IF(AH$7=2005+OFFSET(COM_2012!$B$60,$AW185,SUMIF($B$10:$B$16,"NCAP_TLIFE",$AX$10:$AX$16)),0,""))</f>
        <v/>
      </c>
      <c r="AI185" s="369" t="str">
        <f ca="1">IF($B185&lt;&gt;"PRC_RESID","",IF(AI$7=2005+OFFSET(COM_2012!$B$60,$AW185,SUMIF($B$10:$B$16,"NCAP_TLIFE",$AX$10:$AX$16)),0,""))</f>
        <v/>
      </c>
      <c r="AJ185" s="369" t="str">
        <f ca="1">IF($B185&lt;&gt;"PRC_RESID","",IF(AJ$7=2005+OFFSET(COM_2012!$B$60,$AW185,SUMIF($B$10:$B$16,"NCAP_TLIFE",$AX$10:$AX$16)),0,""))</f>
        <v/>
      </c>
      <c r="AK185" s="369" t="str">
        <f ca="1">IF($B185&lt;&gt;"PRC_RESID","",IF(AK$7=2005+OFFSET(COM_2012!$B$60,$AW185,SUMIF($B$10:$B$16,"NCAP_TLIFE",$AX$10:$AX$16)),0,""))</f>
        <v/>
      </c>
      <c r="AL185" s="369" t="str">
        <f ca="1">IF($B185&lt;&gt;"PRC_RESID","",IF(AL$7=2005+OFFSET(COM_2012!$B$60,$AW185,SUMIF($B$10:$B$16,"NCAP_TLIFE",$AX$10:$AX$16)),0,""))</f>
        <v/>
      </c>
      <c r="AM185" s="369" t="str">
        <f ca="1">IF($B185&lt;&gt;"PRC_RESID","",IF(AM$7=2005+OFFSET(COM_2012!$B$60,$AW185,SUMIF($B$10:$B$16,"NCAP_TLIFE",$AX$10:$AX$16)),0,""))</f>
        <v/>
      </c>
      <c r="AN185" s="369" t="str">
        <f ca="1">IF($B185&lt;&gt;"PRC_RESID","",IF(AN$7=2005+OFFSET(COM_2012!$B$60,$AW185,SUMIF($B$10:$B$16,"NCAP_TLIFE",$AX$10:$AX$16)),0,""))</f>
        <v/>
      </c>
      <c r="AO185" s="369" t="str">
        <f ca="1">IF($B185&lt;&gt;"PRC_RESID","",IF(AO$7=2005+OFFSET(COM_2012!$B$60,$AW185,SUMIF($B$10:$B$16,"NCAP_TLIFE",$AX$10:$AX$16)),0,""))</f>
        <v/>
      </c>
      <c r="AP185" s="369" t="str">
        <f ca="1">IF($B185&lt;&gt;"PRC_RESID","",IF(AP$7=2005+OFFSET(COM_2012!$B$60,$AW185,SUMIF($B$10:$B$16,"NCAP_TLIFE",$AX$10:$AX$16)),0,""))</f>
        <v/>
      </c>
      <c r="AQ185" s="369" t="str">
        <f ca="1">IF($B185&lt;&gt;"PRC_RESID","",IF(AQ$7=2005+OFFSET(COM_2012!$B$60,$AW185,SUMIF($B$10:$B$16,"NCAP_TLIFE",$AX$10:$AX$16)),0,""))</f>
        <v/>
      </c>
      <c r="AR185" s="369" t="str">
        <f ca="1">IF($B185&lt;&gt;"PRC_RESID","",IF(AR$7=2005+OFFSET(COM_2012!$B$60,$AW185,SUMIF($B$10:$B$16,"NCAP_TLIFE",$AX$10:$AX$16)),0,""))</f>
        <v/>
      </c>
      <c r="AS185" s="369" t="str">
        <f ca="1">IF($B185&lt;&gt;"PRC_RESID","",IF(AS$7=2005+OFFSET(COM_2012!$B$60,$AW185,SUMIF($B$10:$B$16,"NCAP_TLIFE",$AX$10:$AX$16)),0,""))</f>
        <v/>
      </c>
      <c r="AT185" s="369" t="str">
        <f ca="1">IF($B185&lt;&gt;"PRC_RESID","",IF(AT$7=2005+OFFSET(COM_2012!$B$60,$AW185,SUMIF($B$10:$B$16,"NCAP_TLIFE",$AX$10:$AX$16)),0,""))</f>
        <v/>
      </c>
      <c r="AU185" s="369" t="str">
        <f ca="1">IF($B185&lt;&gt;"PRC_RESID","",IF(AU$7=2005+OFFSET(COM_2012!$B$60,$AW185,SUMIF($B$10:$B$16,"NCAP_TLIFE",$AX$10:$AX$16)),0,""))</f>
        <v/>
      </c>
      <c r="AV185" s="304">
        <f>IF(AW184=COM_2012!$AI$121,AV184+1,AV184)</f>
        <v>3</v>
      </c>
      <c r="AW185" s="304">
        <f t="shared" si="17"/>
        <v>36</v>
      </c>
    </row>
    <row r="186" spans="1:49">
      <c r="A186" s="304" t="str">
        <f ca="1">IF(LEFT(OFFSET(COM_2012!$A$60,AW186,0),2)="\I","*","")</f>
        <v/>
      </c>
      <c r="B186" s="369" t="str">
        <f t="shared" ca="1" si="16"/>
        <v>NCAP_TLIFE</v>
      </c>
      <c r="C186" s="369" t="str">
        <f ca="1">IF($A186="*","",OFFSET(COM_2012!$B$60,AW186,0))</f>
        <v>CEWOKE-E</v>
      </c>
      <c r="D186" s="369" t="str">
        <f t="shared" ca="1" si="19"/>
        <v>-</v>
      </c>
      <c r="E186" s="369" t="str">
        <f t="shared" ca="1" si="19"/>
        <v>-</v>
      </c>
      <c r="F186" s="369" t="str">
        <f t="shared" ca="1" si="19"/>
        <v>-</v>
      </c>
      <c r="G186" s="369" t="str">
        <f t="shared" ca="1" si="19"/>
        <v>-</v>
      </c>
      <c r="H186" s="369" t="str">
        <f t="shared" ca="1" si="19"/>
        <v>-</v>
      </c>
      <c r="I186" s="370">
        <f t="shared" ca="1" si="19"/>
        <v>0</v>
      </c>
      <c r="J186" s="391">
        <f ca="1">IF($A186="*","",OFFSET(COM_2012!$B$60,AW186,SUMIF($B$10:$B$16,B186,$AX$10:$AX$16)))</f>
        <v>12</v>
      </c>
      <c r="K186" s="369" t="str">
        <f ca="1">IF($B186&lt;&gt;"PRC_RESID","",IF(K$7=2005+OFFSET(COM_2012!$B$60,$AW186,SUMIF($B$10:$B$16,"NCAP_TLIFE",$AX$10:$AX$16)),0,""))</f>
        <v/>
      </c>
      <c r="L186" s="369" t="str">
        <f ca="1">IF($B186&lt;&gt;"PRC_RESID","",IF(L$7=2005+OFFSET(COM_2012!$B$60,$AW186,SUMIF($B$10:$B$16,"NCAP_TLIFE",$AX$10:$AX$16)),0,""))</f>
        <v/>
      </c>
      <c r="M186" s="369" t="str">
        <f ca="1">IF($B186&lt;&gt;"PRC_RESID","",IF(M$7=2005+OFFSET(COM_2012!$B$60,$AW186,SUMIF($B$10:$B$16,"NCAP_TLIFE",$AX$10:$AX$16)),0,""))</f>
        <v/>
      </c>
      <c r="N186" s="369" t="str">
        <f ca="1">IF($B186&lt;&gt;"PRC_RESID","",IF(N$7=2005+OFFSET(COM_2012!$B$60,$AW186,SUMIF($B$10:$B$16,"NCAP_TLIFE",$AX$10:$AX$16)),0,""))</f>
        <v/>
      </c>
      <c r="O186" s="658" t="str">
        <f ca="1">IF($B186&lt;&gt;"PRC_RESID","",IF(O$7=2005+OFFSET(COM_2012!$B$60,$AW186,SUMIF($B$10:$B$16,"NCAP_TLIFE",$AX$10:$AX$16)),0,""))</f>
        <v/>
      </c>
      <c r="P186" s="369" t="str">
        <f ca="1">IF($B186&lt;&gt;"PRC_RESID","",IF(P$7=2005+OFFSET(COM_2012!$B$60,$AW186,SUMIF($B$10:$B$16,"NCAP_TLIFE",$AX$10:$AX$16)),0,""))</f>
        <v/>
      </c>
      <c r="Q186" s="369" t="str">
        <f ca="1">IF($B186&lt;&gt;"PRC_RESID","",IF(Q$7=2005+OFFSET(COM_2012!$B$60,$AW186,SUMIF($B$10:$B$16,"NCAP_TLIFE",$AX$10:$AX$16)),0,""))</f>
        <v/>
      </c>
      <c r="R186" s="369" t="str">
        <f ca="1">IF($B186&lt;&gt;"PRC_RESID","",IF(R$7=2005+OFFSET(COM_2012!$B$60,$AW186,SUMIF($B$10:$B$16,"NCAP_TLIFE",$AX$10:$AX$16)),0,""))</f>
        <v/>
      </c>
      <c r="S186" s="369" t="str">
        <f ca="1">IF($B186&lt;&gt;"PRC_RESID","",IF(S$7=2005+OFFSET(COM_2012!$B$60,$AW186,SUMIF($B$10:$B$16,"NCAP_TLIFE",$AX$10:$AX$16)),0,""))</f>
        <v/>
      </c>
      <c r="T186" s="369" t="str">
        <f ca="1">IF($B186&lt;&gt;"PRC_RESID","",IF(T$7=2005+OFFSET(COM_2012!$B$60,$AW186,SUMIF($B$10:$B$16,"NCAP_TLIFE",$AX$10:$AX$16)),0,""))</f>
        <v/>
      </c>
      <c r="U186" s="369" t="str">
        <f ca="1">IF($B186&lt;&gt;"PRC_RESID","",IF(U$7=2005+OFFSET(COM_2012!$B$60,$AW186,SUMIF($B$10:$B$16,"NCAP_TLIFE",$AX$10:$AX$16)),0,""))</f>
        <v/>
      </c>
      <c r="V186" s="369" t="str">
        <f ca="1">IF($B186&lt;&gt;"PRC_RESID","",IF(V$7=2005+OFFSET(COM_2012!$B$60,$AW186,SUMIF($B$10:$B$16,"NCAP_TLIFE",$AX$10:$AX$16)),0,""))</f>
        <v/>
      </c>
      <c r="W186" s="369" t="str">
        <f ca="1">IF($B186&lt;&gt;"PRC_RESID","",IF(W$7=2005+OFFSET(COM_2012!$B$60,$AW186,SUMIF($B$10:$B$16,"NCAP_TLIFE",$AX$10:$AX$16)),0,""))</f>
        <v/>
      </c>
      <c r="X186" s="369" t="str">
        <f ca="1">IF($B186&lt;&gt;"PRC_RESID","",IF(X$7=2005+OFFSET(COM_2012!$B$60,$AW186,SUMIF($B$10:$B$16,"NCAP_TLIFE",$AX$10:$AX$16)),0,""))</f>
        <v/>
      </c>
      <c r="Y186" s="369" t="str">
        <f ca="1">IF($B186&lt;&gt;"PRC_RESID","",IF(Y$7=2005+OFFSET(COM_2012!$B$60,$AW186,SUMIF($B$10:$B$16,"NCAP_TLIFE",$AX$10:$AX$16)),0,""))</f>
        <v/>
      </c>
      <c r="Z186" s="369" t="str">
        <f ca="1">IF($B186&lt;&gt;"PRC_RESID","",IF(Z$7=2005+OFFSET(COM_2012!$B$60,$AW186,SUMIF($B$10:$B$16,"NCAP_TLIFE",$AX$10:$AX$16)),0,""))</f>
        <v/>
      </c>
      <c r="AA186" s="369" t="str">
        <f ca="1">IF($B186&lt;&gt;"PRC_RESID","",IF(AA$7=2005+OFFSET(COM_2012!$B$60,$AW186,SUMIF($B$10:$B$16,"NCAP_TLIFE",$AX$10:$AX$16)),0,""))</f>
        <v/>
      </c>
      <c r="AB186" s="369" t="str">
        <f ca="1">IF($B186&lt;&gt;"PRC_RESID","",IF(AB$7=2005+OFFSET(COM_2012!$B$60,$AW186,SUMIF($B$10:$B$16,"NCAP_TLIFE",$AX$10:$AX$16)),0,""))</f>
        <v/>
      </c>
      <c r="AC186" s="369" t="str">
        <f ca="1">IF($B186&lt;&gt;"PRC_RESID","",IF(AC$7=2005+OFFSET(COM_2012!$B$60,$AW186,SUMIF($B$10:$B$16,"NCAP_TLIFE",$AX$10:$AX$16)),0,""))</f>
        <v/>
      </c>
      <c r="AD186" s="369" t="str">
        <f ca="1">IF($B186&lt;&gt;"PRC_RESID","",IF(AD$7=2005+OFFSET(COM_2012!$B$60,$AW186,SUMIF($B$10:$B$16,"NCAP_TLIFE",$AX$10:$AX$16)),0,""))</f>
        <v/>
      </c>
      <c r="AE186" s="369" t="str">
        <f ca="1">IF($B186&lt;&gt;"PRC_RESID","",IF(AE$7=2005+OFFSET(COM_2012!$B$60,$AW186,SUMIF($B$10:$B$16,"NCAP_TLIFE",$AX$10:$AX$16)),0,""))</f>
        <v/>
      </c>
      <c r="AF186" s="369" t="str">
        <f ca="1">IF($B186&lt;&gt;"PRC_RESID","",IF(AF$7=2005+OFFSET(COM_2012!$B$60,$AW186,SUMIF($B$10:$B$16,"NCAP_TLIFE",$AX$10:$AX$16)),0,""))</f>
        <v/>
      </c>
      <c r="AG186" s="369" t="str">
        <f ca="1">IF($B186&lt;&gt;"PRC_RESID","",IF(AG$7=2005+OFFSET(COM_2012!$B$60,$AW186,SUMIF($B$10:$B$16,"NCAP_TLIFE",$AX$10:$AX$16)),0,""))</f>
        <v/>
      </c>
      <c r="AH186" s="369" t="str">
        <f ca="1">IF($B186&lt;&gt;"PRC_RESID","",IF(AH$7=2005+OFFSET(COM_2012!$B$60,$AW186,SUMIF($B$10:$B$16,"NCAP_TLIFE",$AX$10:$AX$16)),0,""))</f>
        <v/>
      </c>
      <c r="AI186" s="369" t="str">
        <f ca="1">IF($B186&lt;&gt;"PRC_RESID","",IF(AI$7=2005+OFFSET(COM_2012!$B$60,$AW186,SUMIF($B$10:$B$16,"NCAP_TLIFE",$AX$10:$AX$16)),0,""))</f>
        <v/>
      </c>
      <c r="AJ186" s="369" t="str">
        <f ca="1">IF($B186&lt;&gt;"PRC_RESID","",IF(AJ$7=2005+OFFSET(COM_2012!$B$60,$AW186,SUMIF($B$10:$B$16,"NCAP_TLIFE",$AX$10:$AX$16)),0,""))</f>
        <v/>
      </c>
      <c r="AK186" s="369" t="str">
        <f ca="1">IF($B186&lt;&gt;"PRC_RESID","",IF(AK$7=2005+OFFSET(COM_2012!$B$60,$AW186,SUMIF($B$10:$B$16,"NCAP_TLIFE",$AX$10:$AX$16)),0,""))</f>
        <v/>
      </c>
      <c r="AL186" s="369" t="str">
        <f ca="1">IF($B186&lt;&gt;"PRC_RESID","",IF(AL$7=2005+OFFSET(COM_2012!$B$60,$AW186,SUMIF($B$10:$B$16,"NCAP_TLIFE",$AX$10:$AX$16)),0,""))</f>
        <v/>
      </c>
      <c r="AM186" s="369" t="str">
        <f ca="1">IF($B186&lt;&gt;"PRC_RESID","",IF(AM$7=2005+OFFSET(COM_2012!$B$60,$AW186,SUMIF($B$10:$B$16,"NCAP_TLIFE",$AX$10:$AX$16)),0,""))</f>
        <v/>
      </c>
      <c r="AN186" s="369" t="str">
        <f ca="1">IF($B186&lt;&gt;"PRC_RESID","",IF(AN$7=2005+OFFSET(COM_2012!$B$60,$AW186,SUMIF($B$10:$B$16,"NCAP_TLIFE",$AX$10:$AX$16)),0,""))</f>
        <v/>
      </c>
      <c r="AO186" s="369" t="str">
        <f ca="1">IF($B186&lt;&gt;"PRC_RESID","",IF(AO$7=2005+OFFSET(COM_2012!$B$60,$AW186,SUMIF($B$10:$B$16,"NCAP_TLIFE",$AX$10:$AX$16)),0,""))</f>
        <v/>
      </c>
      <c r="AP186" s="369" t="str">
        <f ca="1">IF($B186&lt;&gt;"PRC_RESID","",IF(AP$7=2005+OFFSET(COM_2012!$B$60,$AW186,SUMIF($B$10:$B$16,"NCAP_TLIFE",$AX$10:$AX$16)),0,""))</f>
        <v/>
      </c>
      <c r="AQ186" s="369" t="str">
        <f ca="1">IF($B186&lt;&gt;"PRC_RESID","",IF(AQ$7=2005+OFFSET(COM_2012!$B$60,$AW186,SUMIF($B$10:$B$16,"NCAP_TLIFE",$AX$10:$AX$16)),0,""))</f>
        <v/>
      </c>
      <c r="AR186" s="369" t="str">
        <f ca="1">IF($B186&lt;&gt;"PRC_RESID","",IF(AR$7=2005+OFFSET(COM_2012!$B$60,$AW186,SUMIF($B$10:$B$16,"NCAP_TLIFE",$AX$10:$AX$16)),0,""))</f>
        <v/>
      </c>
      <c r="AS186" s="369" t="str">
        <f ca="1">IF($B186&lt;&gt;"PRC_RESID","",IF(AS$7=2005+OFFSET(COM_2012!$B$60,$AW186,SUMIF($B$10:$B$16,"NCAP_TLIFE",$AX$10:$AX$16)),0,""))</f>
        <v/>
      </c>
      <c r="AT186" s="369" t="str">
        <f ca="1">IF($B186&lt;&gt;"PRC_RESID","",IF(AT$7=2005+OFFSET(COM_2012!$B$60,$AW186,SUMIF($B$10:$B$16,"NCAP_TLIFE",$AX$10:$AX$16)),0,""))</f>
        <v/>
      </c>
      <c r="AU186" s="369" t="str">
        <f ca="1">IF($B186&lt;&gt;"PRC_RESID","",IF(AU$7=2005+OFFSET(COM_2012!$B$60,$AW186,SUMIF($B$10:$B$16,"NCAP_TLIFE",$AX$10:$AX$16)),0,""))</f>
        <v/>
      </c>
      <c r="AV186" s="304">
        <f>IF(AW185=COM_2012!$AI$121,AV185+1,AV185)</f>
        <v>3</v>
      </c>
      <c r="AW186" s="304">
        <f t="shared" si="17"/>
        <v>37</v>
      </c>
    </row>
    <row r="187" spans="1:49">
      <c r="A187" s="304" t="str">
        <f ca="1">IF(LEFT(OFFSET(COM_2012!$A$60,AW187,0),2)="\I","*","")</f>
        <v/>
      </c>
      <c r="B187" s="369" t="str">
        <f t="shared" ca="1" si="16"/>
        <v>NCAP_TLIFE</v>
      </c>
      <c r="C187" s="369" t="str">
        <f ca="1">IF($A187="*","",OFFSET(COM_2012!$B$60,AW187,0))</f>
        <v>CEWELC-N</v>
      </c>
      <c r="D187" s="369" t="str">
        <f t="shared" ca="1" si="19"/>
        <v>-</v>
      </c>
      <c r="E187" s="369" t="str">
        <f t="shared" ca="1" si="19"/>
        <v>-</v>
      </c>
      <c r="F187" s="369" t="str">
        <f t="shared" ca="1" si="19"/>
        <v>-</v>
      </c>
      <c r="G187" s="369" t="str">
        <f t="shared" ca="1" si="19"/>
        <v>-</v>
      </c>
      <c r="H187" s="369" t="str">
        <f t="shared" ca="1" si="19"/>
        <v>-</v>
      </c>
      <c r="I187" s="370">
        <f t="shared" ca="1" si="19"/>
        <v>0</v>
      </c>
      <c r="J187" s="391">
        <f ca="1">IF($A187="*","",OFFSET(COM_2012!$B$60,AW187,SUMIF($B$10:$B$16,B187,$AX$10:$AX$16)))</f>
        <v>14</v>
      </c>
      <c r="K187" s="369" t="str">
        <f ca="1">IF($B187&lt;&gt;"PRC_RESID","",IF(K$7=2005+OFFSET(COM_2012!$B$60,$AW187,SUMIF($B$10:$B$16,"NCAP_TLIFE",$AX$10:$AX$16)),0,""))</f>
        <v/>
      </c>
      <c r="L187" s="369" t="str">
        <f ca="1">IF($B187&lt;&gt;"PRC_RESID","",IF(L$7=2005+OFFSET(COM_2012!$B$60,$AW187,SUMIF($B$10:$B$16,"NCAP_TLIFE",$AX$10:$AX$16)),0,""))</f>
        <v/>
      </c>
      <c r="M187" s="369" t="str">
        <f ca="1">IF($B187&lt;&gt;"PRC_RESID","",IF(M$7=2005+OFFSET(COM_2012!$B$60,$AW187,SUMIF($B$10:$B$16,"NCAP_TLIFE",$AX$10:$AX$16)),0,""))</f>
        <v/>
      </c>
      <c r="N187" s="369" t="str">
        <f ca="1">IF($B187&lt;&gt;"PRC_RESID","",IF(N$7=2005+OFFSET(COM_2012!$B$60,$AW187,SUMIF($B$10:$B$16,"NCAP_TLIFE",$AX$10:$AX$16)),0,""))</f>
        <v/>
      </c>
      <c r="O187" s="658" t="str">
        <f ca="1">IF($B187&lt;&gt;"PRC_RESID","",IF(O$7=2005+OFFSET(COM_2012!$B$60,$AW187,SUMIF($B$10:$B$16,"NCAP_TLIFE",$AX$10:$AX$16)),0,""))</f>
        <v/>
      </c>
      <c r="P187" s="369" t="str">
        <f ca="1">IF($B187&lt;&gt;"PRC_RESID","",IF(P$7=2005+OFFSET(COM_2012!$B$60,$AW187,SUMIF($B$10:$B$16,"NCAP_TLIFE",$AX$10:$AX$16)),0,""))</f>
        <v/>
      </c>
      <c r="Q187" s="369" t="str">
        <f ca="1">IF($B187&lt;&gt;"PRC_RESID","",IF(Q$7=2005+OFFSET(COM_2012!$B$60,$AW187,SUMIF($B$10:$B$16,"NCAP_TLIFE",$AX$10:$AX$16)),0,""))</f>
        <v/>
      </c>
      <c r="R187" s="369" t="str">
        <f ca="1">IF($B187&lt;&gt;"PRC_RESID","",IF(R$7=2005+OFFSET(COM_2012!$B$60,$AW187,SUMIF($B$10:$B$16,"NCAP_TLIFE",$AX$10:$AX$16)),0,""))</f>
        <v/>
      </c>
      <c r="S187" s="369" t="str">
        <f ca="1">IF($B187&lt;&gt;"PRC_RESID","",IF(S$7=2005+OFFSET(COM_2012!$B$60,$AW187,SUMIF($B$10:$B$16,"NCAP_TLIFE",$AX$10:$AX$16)),0,""))</f>
        <v/>
      </c>
      <c r="T187" s="369" t="str">
        <f ca="1">IF($B187&lt;&gt;"PRC_RESID","",IF(T$7=2005+OFFSET(COM_2012!$B$60,$AW187,SUMIF($B$10:$B$16,"NCAP_TLIFE",$AX$10:$AX$16)),0,""))</f>
        <v/>
      </c>
      <c r="U187" s="369" t="str">
        <f ca="1">IF($B187&lt;&gt;"PRC_RESID","",IF(U$7=2005+OFFSET(COM_2012!$B$60,$AW187,SUMIF($B$10:$B$16,"NCAP_TLIFE",$AX$10:$AX$16)),0,""))</f>
        <v/>
      </c>
      <c r="V187" s="369" t="str">
        <f ca="1">IF($B187&lt;&gt;"PRC_RESID","",IF(V$7=2005+OFFSET(COM_2012!$B$60,$AW187,SUMIF($B$10:$B$16,"NCAP_TLIFE",$AX$10:$AX$16)),0,""))</f>
        <v/>
      </c>
      <c r="W187" s="369" t="str">
        <f ca="1">IF($B187&lt;&gt;"PRC_RESID","",IF(W$7=2005+OFFSET(COM_2012!$B$60,$AW187,SUMIF($B$10:$B$16,"NCAP_TLIFE",$AX$10:$AX$16)),0,""))</f>
        <v/>
      </c>
      <c r="X187" s="369" t="str">
        <f ca="1">IF($B187&lt;&gt;"PRC_RESID","",IF(X$7=2005+OFFSET(COM_2012!$B$60,$AW187,SUMIF($B$10:$B$16,"NCAP_TLIFE",$AX$10:$AX$16)),0,""))</f>
        <v/>
      </c>
      <c r="Y187" s="369" t="str">
        <f ca="1">IF($B187&lt;&gt;"PRC_RESID","",IF(Y$7=2005+OFFSET(COM_2012!$B$60,$AW187,SUMIF($B$10:$B$16,"NCAP_TLIFE",$AX$10:$AX$16)),0,""))</f>
        <v/>
      </c>
      <c r="Z187" s="369" t="str">
        <f ca="1">IF($B187&lt;&gt;"PRC_RESID","",IF(Z$7=2005+OFFSET(COM_2012!$B$60,$AW187,SUMIF($B$10:$B$16,"NCAP_TLIFE",$AX$10:$AX$16)),0,""))</f>
        <v/>
      </c>
      <c r="AA187" s="369" t="str">
        <f ca="1">IF($B187&lt;&gt;"PRC_RESID","",IF(AA$7=2005+OFFSET(COM_2012!$B$60,$AW187,SUMIF($B$10:$B$16,"NCAP_TLIFE",$AX$10:$AX$16)),0,""))</f>
        <v/>
      </c>
      <c r="AB187" s="369" t="str">
        <f ca="1">IF($B187&lt;&gt;"PRC_RESID","",IF(AB$7=2005+OFFSET(COM_2012!$B$60,$AW187,SUMIF($B$10:$B$16,"NCAP_TLIFE",$AX$10:$AX$16)),0,""))</f>
        <v/>
      </c>
      <c r="AC187" s="369" t="str">
        <f ca="1">IF($B187&lt;&gt;"PRC_RESID","",IF(AC$7=2005+OFFSET(COM_2012!$B$60,$AW187,SUMIF($B$10:$B$16,"NCAP_TLIFE",$AX$10:$AX$16)),0,""))</f>
        <v/>
      </c>
      <c r="AD187" s="369" t="str">
        <f ca="1">IF($B187&lt;&gt;"PRC_RESID","",IF(AD$7=2005+OFFSET(COM_2012!$B$60,$AW187,SUMIF($B$10:$B$16,"NCAP_TLIFE",$AX$10:$AX$16)),0,""))</f>
        <v/>
      </c>
      <c r="AE187" s="369" t="str">
        <f ca="1">IF($B187&lt;&gt;"PRC_RESID","",IF(AE$7=2005+OFFSET(COM_2012!$B$60,$AW187,SUMIF($B$10:$B$16,"NCAP_TLIFE",$AX$10:$AX$16)),0,""))</f>
        <v/>
      </c>
      <c r="AF187" s="369" t="str">
        <f ca="1">IF($B187&lt;&gt;"PRC_RESID","",IF(AF$7=2005+OFFSET(COM_2012!$B$60,$AW187,SUMIF($B$10:$B$16,"NCAP_TLIFE",$AX$10:$AX$16)),0,""))</f>
        <v/>
      </c>
      <c r="AG187" s="369" t="str">
        <f ca="1">IF($B187&lt;&gt;"PRC_RESID","",IF(AG$7=2005+OFFSET(COM_2012!$B$60,$AW187,SUMIF($B$10:$B$16,"NCAP_TLIFE",$AX$10:$AX$16)),0,""))</f>
        <v/>
      </c>
      <c r="AH187" s="369" t="str">
        <f ca="1">IF($B187&lt;&gt;"PRC_RESID","",IF(AH$7=2005+OFFSET(COM_2012!$B$60,$AW187,SUMIF($B$10:$B$16,"NCAP_TLIFE",$AX$10:$AX$16)),0,""))</f>
        <v/>
      </c>
      <c r="AI187" s="369" t="str">
        <f ca="1">IF($B187&lt;&gt;"PRC_RESID","",IF(AI$7=2005+OFFSET(COM_2012!$B$60,$AW187,SUMIF($B$10:$B$16,"NCAP_TLIFE",$AX$10:$AX$16)),0,""))</f>
        <v/>
      </c>
      <c r="AJ187" s="369" t="str">
        <f ca="1">IF($B187&lt;&gt;"PRC_RESID","",IF(AJ$7=2005+OFFSET(COM_2012!$B$60,$AW187,SUMIF($B$10:$B$16,"NCAP_TLIFE",$AX$10:$AX$16)),0,""))</f>
        <v/>
      </c>
      <c r="AK187" s="369" t="str">
        <f ca="1">IF($B187&lt;&gt;"PRC_RESID","",IF(AK$7=2005+OFFSET(COM_2012!$B$60,$AW187,SUMIF($B$10:$B$16,"NCAP_TLIFE",$AX$10:$AX$16)),0,""))</f>
        <v/>
      </c>
      <c r="AL187" s="369" t="str">
        <f ca="1">IF($B187&lt;&gt;"PRC_RESID","",IF(AL$7=2005+OFFSET(COM_2012!$B$60,$AW187,SUMIF($B$10:$B$16,"NCAP_TLIFE",$AX$10:$AX$16)),0,""))</f>
        <v/>
      </c>
      <c r="AM187" s="369" t="str">
        <f ca="1">IF($B187&lt;&gt;"PRC_RESID","",IF(AM$7=2005+OFFSET(COM_2012!$B$60,$AW187,SUMIF($B$10:$B$16,"NCAP_TLIFE",$AX$10:$AX$16)),0,""))</f>
        <v/>
      </c>
      <c r="AN187" s="369" t="str">
        <f ca="1">IF($B187&lt;&gt;"PRC_RESID","",IF(AN$7=2005+OFFSET(COM_2012!$B$60,$AW187,SUMIF($B$10:$B$16,"NCAP_TLIFE",$AX$10:$AX$16)),0,""))</f>
        <v/>
      </c>
      <c r="AO187" s="369" t="str">
        <f ca="1">IF($B187&lt;&gt;"PRC_RESID","",IF(AO$7=2005+OFFSET(COM_2012!$B$60,$AW187,SUMIF($B$10:$B$16,"NCAP_TLIFE",$AX$10:$AX$16)),0,""))</f>
        <v/>
      </c>
      <c r="AP187" s="369" t="str">
        <f ca="1">IF($B187&lt;&gt;"PRC_RESID","",IF(AP$7=2005+OFFSET(COM_2012!$B$60,$AW187,SUMIF($B$10:$B$16,"NCAP_TLIFE",$AX$10:$AX$16)),0,""))</f>
        <v/>
      </c>
      <c r="AQ187" s="369" t="str">
        <f ca="1">IF($B187&lt;&gt;"PRC_RESID","",IF(AQ$7=2005+OFFSET(COM_2012!$B$60,$AW187,SUMIF($B$10:$B$16,"NCAP_TLIFE",$AX$10:$AX$16)),0,""))</f>
        <v/>
      </c>
      <c r="AR187" s="369" t="str">
        <f ca="1">IF($B187&lt;&gt;"PRC_RESID","",IF(AR$7=2005+OFFSET(COM_2012!$B$60,$AW187,SUMIF($B$10:$B$16,"NCAP_TLIFE",$AX$10:$AX$16)),0,""))</f>
        <v/>
      </c>
      <c r="AS187" s="369" t="str">
        <f ca="1">IF($B187&lt;&gt;"PRC_RESID","",IF(AS$7=2005+OFFSET(COM_2012!$B$60,$AW187,SUMIF($B$10:$B$16,"NCAP_TLIFE",$AX$10:$AX$16)),0,""))</f>
        <v/>
      </c>
      <c r="AT187" s="369" t="str">
        <f ca="1">IF($B187&lt;&gt;"PRC_RESID","",IF(AT$7=2005+OFFSET(COM_2012!$B$60,$AW187,SUMIF($B$10:$B$16,"NCAP_TLIFE",$AX$10:$AX$16)),0,""))</f>
        <v/>
      </c>
      <c r="AU187" s="369" t="str">
        <f ca="1">IF($B187&lt;&gt;"PRC_RESID","",IF(AU$7=2005+OFFSET(COM_2012!$B$60,$AW187,SUMIF($B$10:$B$16,"NCAP_TLIFE",$AX$10:$AX$16)),0,""))</f>
        <v/>
      </c>
      <c r="AV187" s="304">
        <f>IF(AW186=COM_2012!$AI$121,AV186+1,AV186)</f>
        <v>3</v>
      </c>
      <c r="AW187" s="304">
        <f t="shared" si="17"/>
        <v>38</v>
      </c>
    </row>
    <row r="188" spans="1:49">
      <c r="A188" s="304" t="str">
        <f ca="1">IF(LEFT(OFFSET(COM_2012!$A$60,AW188,0),2)="\I","*","")</f>
        <v/>
      </c>
      <c r="B188" s="369" t="str">
        <f t="shared" ca="1" si="16"/>
        <v>NCAP_TLIFE</v>
      </c>
      <c r="C188" s="369" t="str">
        <f ca="1">IF($A188="*","",OFFSET(COM_2012!$B$60,AW188,0))</f>
        <v>CEWELCHP-N</v>
      </c>
      <c r="D188" s="369" t="str">
        <f t="shared" ca="1" si="19"/>
        <v>-</v>
      </c>
      <c r="E188" s="369" t="str">
        <f t="shared" ca="1" si="19"/>
        <v>-</v>
      </c>
      <c r="F188" s="369" t="str">
        <f t="shared" ca="1" si="19"/>
        <v>-</v>
      </c>
      <c r="G188" s="369" t="str">
        <f t="shared" ca="1" si="19"/>
        <v>-</v>
      </c>
      <c r="H188" s="369" t="str">
        <f t="shared" ca="1" si="19"/>
        <v>-</v>
      </c>
      <c r="I188" s="370">
        <f t="shared" ca="1" si="19"/>
        <v>0</v>
      </c>
      <c r="J188" s="391">
        <f ca="1">IF($A188="*","",OFFSET(COM_2012!$B$60,AW188,SUMIF($B$10:$B$16,B188,$AX$10:$AX$16)))</f>
        <v>10</v>
      </c>
      <c r="K188" s="369" t="str">
        <f ca="1">IF($B188&lt;&gt;"PRC_RESID","",IF(K$7=2005+OFFSET(COM_2012!$B$60,$AW188,SUMIF($B$10:$B$16,"NCAP_TLIFE",$AX$10:$AX$16)),0,""))</f>
        <v/>
      </c>
      <c r="L188" s="369" t="str">
        <f ca="1">IF($B188&lt;&gt;"PRC_RESID","",IF(L$7=2005+OFFSET(COM_2012!$B$60,$AW188,SUMIF($B$10:$B$16,"NCAP_TLIFE",$AX$10:$AX$16)),0,""))</f>
        <v/>
      </c>
      <c r="M188" s="369" t="str">
        <f ca="1">IF($B188&lt;&gt;"PRC_RESID","",IF(M$7=2005+OFFSET(COM_2012!$B$60,$AW188,SUMIF($B$10:$B$16,"NCAP_TLIFE",$AX$10:$AX$16)),0,""))</f>
        <v/>
      </c>
      <c r="N188" s="369" t="str">
        <f ca="1">IF($B188&lt;&gt;"PRC_RESID","",IF(N$7=2005+OFFSET(COM_2012!$B$60,$AW188,SUMIF($B$10:$B$16,"NCAP_TLIFE",$AX$10:$AX$16)),0,""))</f>
        <v/>
      </c>
      <c r="O188" s="658" t="str">
        <f ca="1">IF($B188&lt;&gt;"PRC_RESID","",IF(O$7=2005+OFFSET(COM_2012!$B$60,$AW188,SUMIF($B$10:$B$16,"NCAP_TLIFE",$AX$10:$AX$16)),0,""))</f>
        <v/>
      </c>
      <c r="P188" s="369" t="str">
        <f ca="1">IF($B188&lt;&gt;"PRC_RESID","",IF(P$7=2005+OFFSET(COM_2012!$B$60,$AW188,SUMIF($B$10:$B$16,"NCAP_TLIFE",$AX$10:$AX$16)),0,""))</f>
        <v/>
      </c>
      <c r="Q188" s="369" t="str">
        <f ca="1">IF($B188&lt;&gt;"PRC_RESID","",IF(Q$7=2005+OFFSET(COM_2012!$B$60,$AW188,SUMIF($B$10:$B$16,"NCAP_TLIFE",$AX$10:$AX$16)),0,""))</f>
        <v/>
      </c>
      <c r="R188" s="369" t="str">
        <f ca="1">IF($B188&lt;&gt;"PRC_RESID","",IF(R$7=2005+OFFSET(COM_2012!$B$60,$AW188,SUMIF($B$10:$B$16,"NCAP_TLIFE",$AX$10:$AX$16)),0,""))</f>
        <v/>
      </c>
      <c r="S188" s="369" t="str">
        <f ca="1">IF($B188&lt;&gt;"PRC_RESID","",IF(S$7=2005+OFFSET(COM_2012!$B$60,$AW188,SUMIF($B$10:$B$16,"NCAP_TLIFE",$AX$10:$AX$16)),0,""))</f>
        <v/>
      </c>
      <c r="T188" s="369" t="str">
        <f ca="1">IF($B188&lt;&gt;"PRC_RESID","",IF(T$7=2005+OFFSET(COM_2012!$B$60,$AW188,SUMIF($B$10:$B$16,"NCAP_TLIFE",$AX$10:$AX$16)),0,""))</f>
        <v/>
      </c>
      <c r="U188" s="369" t="str">
        <f ca="1">IF($B188&lt;&gt;"PRC_RESID","",IF(U$7=2005+OFFSET(COM_2012!$B$60,$AW188,SUMIF($B$10:$B$16,"NCAP_TLIFE",$AX$10:$AX$16)),0,""))</f>
        <v/>
      </c>
      <c r="V188" s="369" t="str">
        <f ca="1">IF($B188&lt;&gt;"PRC_RESID","",IF(V$7=2005+OFFSET(COM_2012!$B$60,$AW188,SUMIF($B$10:$B$16,"NCAP_TLIFE",$AX$10:$AX$16)),0,""))</f>
        <v/>
      </c>
      <c r="W188" s="369" t="str">
        <f ca="1">IF($B188&lt;&gt;"PRC_RESID","",IF(W$7=2005+OFFSET(COM_2012!$B$60,$AW188,SUMIF($B$10:$B$16,"NCAP_TLIFE",$AX$10:$AX$16)),0,""))</f>
        <v/>
      </c>
      <c r="X188" s="369" t="str">
        <f ca="1">IF($B188&lt;&gt;"PRC_RESID","",IF(X$7=2005+OFFSET(COM_2012!$B$60,$AW188,SUMIF($B$10:$B$16,"NCAP_TLIFE",$AX$10:$AX$16)),0,""))</f>
        <v/>
      </c>
      <c r="Y188" s="369" t="str">
        <f ca="1">IF($B188&lt;&gt;"PRC_RESID","",IF(Y$7=2005+OFFSET(COM_2012!$B$60,$AW188,SUMIF($B$10:$B$16,"NCAP_TLIFE",$AX$10:$AX$16)),0,""))</f>
        <v/>
      </c>
      <c r="Z188" s="369" t="str">
        <f ca="1">IF($B188&lt;&gt;"PRC_RESID","",IF(Z$7=2005+OFFSET(COM_2012!$B$60,$AW188,SUMIF($B$10:$B$16,"NCAP_TLIFE",$AX$10:$AX$16)),0,""))</f>
        <v/>
      </c>
      <c r="AA188" s="369" t="str">
        <f ca="1">IF($B188&lt;&gt;"PRC_RESID","",IF(AA$7=2005+OFFSET(COM_2012!$B$60,$AW188,SUMIF($B$10:$B$16,"NCAP_TLIFE",$AX$10:$AX$16)),0,""))</f>
        <v/>
      </c>
      <c r="AB188" s="369" t="str">
        <f ca="1">IF($B188&lt;&gt;"PRC_RESID","",IF(AB$7=2005+OFFSET(COM_2012!$B$60,$AW188,SUMIF($B$10:$B$16,"NCAP_TLIFE",$AX$10:$AX$16)),0,""))</f>
        <v/>
      </c>
      <c r="AC188" s="369" t="str">
        <f ca="1">IF($B188&lt;&gt;"PRC_RESID","",IF(AC$7=2005+OFFSET(COM_2012!$B$60,$AW188,SUMIF($B$10:$B$16,"NCAP_TLIFE",$AX$10:$AX$16)),0,""))</f>
        <v/>
      </c>
      <c r="AD188" s="369" t="str">
        <f ca="1">IF($B188&lt;&gt;"PRC_RESID","",IF(AD$7=2005+OFFSET(COM_2012!$B$60,$AW188,SUMIF($B$10:$B$16,"NCAP_TLIFE",$AX$10:$AX$16)),0,""))</f>
        <v/>
      </c>
      <c r="AE188" s="369" t="str">
        <f ca="1">IF($B188&lt;&gt;"PRC_RESID","",IF(AE$7=2005+OFFSET(COM_2012!$B$60,$AW188,SUMIF($B$10:$B$16,"NCAP_TLIFE",$AX$10:$AX$16)),0,""))</f>
        <v/>
      </c>
      <c r="AF188" s="369" t="str">
        <f ca="1">IF($B188&lt;&gt;"PRC_RESID","",IF(AF$7=2005+OFFSET(COM_2012!$B$60,$AW188,SUMIF($B$10:$B$16,"NCAP_TLIFE",$AX$10:$AX$16)),0,""))</f>
        <v/>
      </c>
      <c r="AG188" s="369" t="str">
        <f ca="1">IF($B188&lt;&gt;"PRC_RESID","",IF(AG$7=2005+OFFSET(COM_2012!$B$60,$AW188,SUMIF($B$10:$B$16,"NCAP_TLIFE",$AX$10:$AX$16)),0,""))</f>
        <v/>
      </c>
      <c r="AH188" s="369" t="str">
        <f ca="1">IF($B188&lt;&gt;"PRC_RESID","",IF(AH$7=2005+OFFSET(COM_2012!$B$60,$AW188,SUMIF($B$10:$B$16,"NCAP_TLIFE",$AX$10:$AX$16)),0,""))</f>
        <v/>
      </c>
      <c r="AI188" s="369" t="str">
        <f ca="1">IF($B188&lt;&gt;"PRC_RESID","",IF(AI$7=2005+OFFSET(COM_2012!$B$60,$AW188,SUMIF($B$10:$B$16,"NCAP_TLIFE",$AX$10:$AX$16)),0,""))</f>
        <v/>
      </c>
      <c r="AJ188" s="369" t="str">
        <f ca="1">IF($B188&lt;&gt;"PRC_RESID","",IF(AJ$7=2005+OFFSET(COM_2012!$B$60,$AW188,SUMIF($B$10:$B$16,"NCAP_TLIFE",$AX$10:$AX$16)),0,""))</f>
        <v/>
      </c>
      <c r="AK188" s="369" t="str">
        <f ca="1">IF($B188&lt;&gt;"PRC_RESID","",IF(AK$7=2005+OFFSET(COM_2012!$B$60,$AW188,SUMIF($B$10:$B$16,"NCAP_TLIFE",$AX$10:$AX$16)),0,""))</f>
        <v/>
      </c>
      <c r="AL188" s="369" t="str">
        <f ca="1">IF($B188&lt;&gt;"PRC_RESID","",IF(AL$7=2005+OFFSET(COM_2012!$B$60,$AW188,SUMIF($B$10:$B$16,"NCAP_TLIFE",$AX$10:$AX$16)),0,""))</f>
        <v/>
      </c>
      <c r="AM188" s="369" t="str">
        <f ca="1">IF($B188&lt;&gt;"PRC_RESID","",IF(AM$7=2005+OFFSET(COM_2012!$B$60,$AW188,SUMIF($B$10:$B$16,"NCAP_TLIFE",$AX$10:$AX$16)),0,""))</f>
        <v/>
      </c>
      <c r="AN188" s="369" t="str">
        <f ca="1">IF($B188&lt;&gt;"PRC_RESID","",IF(AN$7=2005+OFFSET(COM_2012!$B$60,$AW188,SUMIF($B$10:$B$16,"NCAP_TLIFE",$AX$10:$AX$16)),0,""))</f>
        <v/>
      </c>
      <c r="AO188" s="369" t="str">
        <f ca="1">IF($B188&lt;&gt;"PRC_RESID","",IF(AO$7=2005+OFFSET(COM_2012!$B$60,$AW188,SUMIF($B$10:$B$16,"NCAP_TLIFE",$AX$10:$AX$16)),0,""))</f>
        <v/>
      </c>
      <c r="AP188" s="369" t="str">
        <f ca="1">IF($B188&lt;&gt;"PRC_RESID","",IF(AP$7=2005+OFFSET(COM_2012!$B$60,$AW188,SUMIF($B$10:$B$16,"NCAP_TLIFE",$AX$10:$AX$16)),0,""))</f>
        <v/>
      </c>
      <c r="AQ188" s="369" t="str">
        <f ca="1">IF($B188&lt;&gt;"PRC_RESID","",IF(AQ$7=2005+OFFSET(COM_2012!$B$60,$AW188,SUMIF($B$10:$B$16,"NCAP_TLIFE",$AX$10:$AX$16)),0,""))</f>
        <v/>
      </c>
      <c r="AR188" s="369" t="str">
        <f ca="1">IF($B188&lt;&gt;"PRC_RESID","",IF(AR$7=2005+OFFSET(COM_2012!$B$60,$AW188,SUMIF($B$10:$B$16,"NCAP_TLIFE",$AX$10:$AX$16)),0,""))</f>
        <v/>
      </c>
      <c r="AS188" s="369" t="str">
        <f ca="1">IF($B188&lt;&gt;"PRC_RESID","",IF(AS$7=2005+OFFSET(COM_2012!$B$60,$AW188,SUMIF($B$10:$B$16,"NCAP_TLIFE",$AX$10:$AX$16)),0,""))</f>
        <v/>
      </c>
      <c r="AT188" s="369" t="str">
        <f ca="1">IF($B188&lt;&gt;"PRC_RESID","",IF(AT$7=2005+OFFSET(COM_2012!$B$60,$AW188,SUMIF($B$10:$B$16,"NCAP_TLIFE",$AX$10:$AX$16)),0,""))</f>
        <v/>
      </c>
      <c r="AU188" s="369" t="str">
        <f ca="1">IF($B188&lt;&gt;"PRC_RESID","",IF(AU$7=2005+OFFSET(COM_2012!$B$60,$AW188,SUMIF($B$10:$B$16,"NCAP_TLIFE",$AX$10:$AX$16)),0,""))</f>
        <v/>
      </c>
      <c r="AV188" s="304">
        <f>IF(AW187=COM_2012!$AI$121,AV187+1,AV187)</f>
        <v>3</v>
      </c>
      <c r="AW188" s="304">
        <f t="shared" si="17"/>
        <v>39</v>
      </c>
    </row>
    <row r="189" spans="1:49">
      <c r="A189" s="304" t="str">
        <f ca="1">IF(LEFT(OFFSET(COM_2012!$A$60,AW189,0),2)="\I","*","")</f>
        <v>*</v>
      </c>
      <c r="B189" s="369" t="str">
        <f t="shared" ca="1" si="16"/>
        <v/>
      </c>
      <c r="C189" s="369" t="str">
        <f ca="1">IF($A189="*","",OFFSET(COM_2012!$B$60,AW189,0))</f>
        <v/>
      </c>
      <c r="D189" s="369" t="str">
        <f t="shared" ca="1" si="19"/>
        <v/>
      </c>
      <c r="E189" s="369" t="str">
        <f t="shared" ca="1" si="19"/>
        <v/>
      </c>
      <c r="F189" s="369" t="str">
        <f t="shared" ca="1" si="19"/>
        <v/>
      </c>
      <c r="G189" s="369" t="str">
        <f t="shared" ca="1" si="19"/>
        <v/>
      </c>
      <c r="H189" s="369" t="str">
        <f t="shared" ca="1" si="19"/>
        <v/>
      </c>
      <c r="I189" s="370" t="str">
        <f t="shared" ca="1" si="19"/>
        <v/>
      </c>
      <c r="J189" s="391" t="str">
        <f ca="1">IF($A189="*","",OFFSET(COM_2012!$B$60,AW189,SUMIF($B$10:$B$16,B189,$AX$10:$AX$16)))</f>
        <v/>
      </c>
      <c r="K189" s="369" t="str">
        <f ca="1">IF($B189&lt;&gt;"PRC_RESID","",IF(K$7=2005+OFFSET(COM_2012!$B$60,$AW189,SUMIF($B$10:$B$16,"NCAP_TLIFE",$AX$10:$AX$16)),0,""))</f>
        <v/>
      </c>
      <c r="L189" s="369" t="str">
        <f ca="1">IF($B189&lt;&gt;"PRC_RESID","",IF(L$7=2005+OFFSET(COM_2012!$B$60,$AW189,SUMIF($B$10:$B$16,"NCAP_TLIFE",$AX$10:$AX$16)),0,""))</f>
        <v/>
      </c>
      <c r="M189" s="369" t="str">
        <f ca="1">IF($B189&lt;&gt;"PRC_RESID","",IF(M$7=2005+OFFSET(COM_2012!$B$60,$AW189,SUMIF($B$10:$B$16,"NCAP_TLIFE",$AX$10:$AX$16)),0,""))</f>
        <v/>
      </c>
      <c r="N189" s="369" t="str">
        <f ca="1">IF($B189&lt;&gt;"PRC_RESID","",IF(N$7=2005+OFFSET(COM_2012!$B$60,$AW189,SUMIF($B$10:$B$16,"NCAP_TLIFE",$AX$10:$AX$16)),0,""))</f>
        <v/>
      </c>
      <c r="O189" s="658" t="str">
        <f ca="1">IF($B189&lt;&gt;"PRC_RESID","",IF(O$7=2005+OFFSET(COM_2012!$B$60,$AW189,SUMIF($B$10:$B$16,"NCAP_TLIFE",$AX$10:$AX$16)),0,""))</f>
        <v/>
      </c>
      <c r="P189" s="369" t="str">
        <f ca="1">IF($B189&lt;&gt;"PRC_RESID","",IF(P$7=2005+OFFSET(COM_2012!$B$60,$AW189,SUMIF($B$10:$B$16,"NCAP_TLIFE",$AX$10:$AX$16)),0,""))</f>
        <v/>
      </c>
      <c r="Q189" s="369" t="str">
        <f ca="1">IF($B189&lt;&gt;"PRC_RESID","",IF(Q$7=2005+OFFSET(COM_2012!$B$60,$AW189,SUMIF($B$10:$B$16,"NCAP_TLIFE",$AX$10:$AX$16)),0,""))</f>
        <v/>
      </c>
      <c r="R189" s="369" t="str">
        <f ca="1">IF($B189&lt;&gt;"PRC_RESID","",IF(R$7=2005+OFFSET(COM_2012!$B$60,$AW189,SUMIF($B$10:$B$16,"NCAP_TLIFE",$AX$10:$AX$16)),0,""))</f>
        <v/>
      </c>
      <c r="S189" s="369" t="str">
        <f ca="1">IF($B189&lt;&gt;"PRC_RESID","",IF(S$7=2005+OFFSET(COM_2012!$B$60,$AW189,SUMIF($B$10:$B$16,"NCAP_TLIFE",$AX$10:$AX$16)),0,""))</f>
        <v/>
      </c>
      <c r="T189" s="369" t="str">
        <f ca="1">IF($B189&lt;&gt;"PRC_RESID","",IF(T$7=2005+OFFSET(COM_2012!$B$60,$AW189,SUMIF($B$10:$B$16,"NCAP_TLIFE",$AX$10:$AX$16)),0,""))</f>
        <v/>
      </c>
      <c r="U189" s="369" t="str">
        <f ca="1">IF($B189&lt;&gt;"PRC_RESID","",IF(U$7=2005+OFFSET(COM_2012!$B$60,$AW189,SUMIF($B$10:$B$16,"NCAP_TLIFE",$AX$10:$AX$16)),0,""))</f>
        <v/>
      </c>
      <c r="V189" s="369" t="str">
        <f ca="1">IF($B189&lt;&gt;"PRC_RESID","",IF(V$7=2005+OFFSET(COM_2012!$B$60,$AW189,SUMIF($B$10:$B$16,"NCAP_TLIFE",$AX$10:$AX$16)),0,""))</f>
        <v/>
      </c>
      <c r="W189" s="369" t="str">
        <f ca="1">IF($B189&lt;&gt;"PRC_RESID","",IF(W$7=2005+OFFSET(COM_2012!$B$60,$AW189,SUMIF($B$10:$B$16,"NCAP_TLIFE",$AX$10:$AX$16)),0,""))</f>
        <v/>
      </c>
      <c r="X189" s="369" t="str">
        <f ca="1">IF($B189&lt;&gt;"PRC_RESID","",IF(X$7=2005+OFFSET(COM_2012!$B$60,$AW189,SUMIF($B$10:$B$16,"NCAP_TLIFE",$AX$10:$AX$16)),0,""))</f>
        <v/>
      </c>
      <c r="Y189" s="369" t="str">
        <f ca="1">IF($B189&lt;&gt;"PRC_RESID","",IF(Y$7=2005+OFFSET(COM_2012!$B$60,$AW189,SUMIF($B$10:$B$16,"NCAP_TLIFE",$AX$10:$AX$16)),0,""))</f>
        <v/>
      </c>
      <c r="Z189" s="369" t="str">
        <f ca="1">IF($B189&lt;&gt;"PRC_RESID","",IF(Z$7=2005+OFFSET(COM_2012!$B$60,$AW189,SUMIF($B$10:$B$16,"NCAP_TLIFE",$AX$10:$AX$16)),0,""))</f>
        <v/>
      </c>
      <c r="AA189" s="369" t="str">
        <f ca="1">IF($B189&lt;&gt;"PRC_RESID","",IF(AA$7=2005+OFFSET(COM_2012!$B$60,$AW189,SUMIF($B$10:$B$16,"NCAP_TLIFE",$AX$10:$AX$16)),0,""))</f>
        <v/>
      </c>
      <c r="AB189" s="369" t="str">
        <f ca="1">IF($B189&lt;&gt;"PRC_RESID","",IF(AB$7=2005+OFFSET(COM_2012!$B$60,$AW189,SUMIF($B$10:$B$16,"NCAP_TLIFE",$AX$10:$AX$16)),0,""))</f>
        <v/>
      </c>
      <c r="AC189" s="369" t="str">
        <f ca="1">IF($B189&lt;&gt;"PRC_RESID","",IF(AC$7=2005+OFFSET(COM_2012!$B$60,$AW189,SUMIF($B$10:$B$16,"NCAP_TLIFE",$AX$10:$AX$16)),0,""))</f>
        <v/>
      </c>
      <c r="AD189" s="369" t="str">
        <f ca="1">IF($B189&lt;&gt;"PRC_RESID","",IF(AD$7=2005+OFFSET(COM_2012!$B$60,$AW189,SUMIF($B$10:$B$16,"NCAP_TLIFE",$AX$10:$AX$16)),0,""))</f>
        <v/>
      </c>
      <c r="AE189" s="369" t="str">
        <f ca="1">IF($B189&lt;&gt;"PRC_RESID","",IF(AE$7=2005+OFFSET(COM_2012!$B$60,$AW189,SUMIF($B$10:$B$16,"NCAP_TLIFE",$AX$10:$AX$16)),0,""))</f>
        <v/>
      </c>
      <c r="AF189" s="369" t="str">
        <f ca="1">IF($B189&lt;&gt;"PRC_RESID","",IF(AF$7=2005+OFFSET(COM_2012!$B$60,$AW189,SUMIF($B$10:$B$16,"NCAP_TLIFE",$AX$10:$AX$16)),0,""))</f>
        <v/>
      </c>
      <c r="AG189" s="369" t="str">
        <f ca="1">IF($B189&lt;&gt;"PRC_RESID","",IF(AG$7=2005+OFFSET(COM_2012!$B$60,$AW189,SUMIF($B$10:$B$16,"NCAP_TLIFE",$AX$10:$AX$16)),0,""))</f>
        <v/>
      </c>
      <c r="AH189" s="369" t="str">
        <f ca="1">IF($B189&lt;&gt;"PRC_RESID","",IF(AH$7=2005+OFFSET(COM_2012!$B$60,$AW189,SUMIF($B$10:$B$16,"NCAP_TLIFE",$AX$10:$AX$16)),0,""))</f>
        <v/>
      </c>
      <c r="AI189" s="369" t="str">
        <f ca="1">IF($B189&lt;&gt;"PRC_RESID","",IF(AI$7=2005+OFFSET(COM_2012!$B$60,$AW189,SUMIF($B$10:$B$16,"NCAP_TLIFE",$AX$10:$AX$16)),0,""))</f>
        <v/>
      </c>
      <c r="AJ189" s="369" t="str">
        <f ca="1">IF($B189&lt;&gt;"PRC_RESID","",IF(AJ$7=2005+OFFSET(COM_2012!$B$60,$AW189,SUMIF($B$10:$B$16,"NCAP_TLIFE",$AX$10:$AX$16)),0,""))</f>
        <v/>
      </c>
      <c r="AK189" s="369" t="str">
        <f ca="1">IF($B189&lt;&gt;"PRC_RESID","",IF(AK$7=2005+OFFSET(COM_2012!$B$60,$AW189,SUMIF($B$10:$B$16,"NCAP_TLIFE",$AX$10:$AX$16)),0,""))</f>
        <v/>
      </c>
      <c r="AL189" s="369" t="str">
        <f ca="1">IF($B189&lt;&gt;"PRC_RESID","",IF(AL$7=2005+OFFSET(COM_2012!$B$60,$AW189,SUMIF($B$10:$B$16,"NCAP_TLIFE",$AX$10:$AX$16)),0,""))</f>
        <v/>
      </c>
      <c r="AM189" s="369" t="str">
        <f ca="1">IF($B189&lt;&gt;"PRC_RESID","",IF(AM$7=2005+OFFSET(COM_2012!$B$60,$AW189,SUMIF($B$10:$B$16,"NCAP_TLIFE",$AX$10:$AX$16)),0,""))</f>
        <v/>
      </c>
      <c r="AN189" s="369" t="str">
        <f ca="1">IF($B189&lt;&gt;"PRC_RESID","",IF(AN$7=2005+OFFSET(COM_2012!$B$60,$AW189,SUMIF($B$10:$B$16,"NCAP_TLIFE",$AX$10:$AX$16)),0,""))</f>
        <v/>
      </c>
      <c r="AO189" s="369" t="str">
        <f ca="1">IF($B189&lt;&gt;"PRC_RESID","",IF(AO$7=2005+OFFSET(COM_2012!$B$60,$AW189,SUMIF($B$10:$B$16,"NCAP_TLIFE",$AX$10:$AX$16)),0,""))</f>
        <v/>
      </c>
      <c r="AP189" s="369" t="str">
        <f ca="1">IF($B189&lt;&gt;"PRC_RESID","",IF(AP$7=2005+OFFSET(COM_2012!$B$60,$AW189,SUMIF($B$10:$B$16,"NCAP_TLIFE",$AX$10:$AX$16)),0,""))</f>
        <v/>
      </c>
      <c r="AQ189" s="369" t="str">
        <f ca="1">IF($B189&lt;&gt;"PRC_RESID","",IF(AQ$7=2005+OFFSET(COM_2012!$B$60,$AW189,SUMIF($B$10:$B$16,"NCAP_TLIFE",$AX$10:$AX$16)),0,""))</f>
        <v/>
      </c>
      <c r="AR189" s="369" t="str">
        <f ca="1">IF($B189&lt;&gt;"PRC_RESID","",IF(AR$7=2005+OFFSET(COM_2012!$B$60,$AW189,SUMIF($B$10:$B$16,"NCAP_TLIFE",$AX$10:$AX$16)),0,""))</f>
        <v/>
      </c>
      <c r="AS189" s="369" t="str">
        <f ca="1">IF($B189&lt;&gt;"PRC_RESID","",IF(AS$7=2005+OFFSET(COM_2012!$B$60,$AW189,SUMIF($B$10:$B$16,"NCAP_TLIFE",$AX$10:$AX$16)),0,""))</f>
        <v/>
      </c>
      <c r="AT189" s="369" t="str">
        <f ca="1">IF($B189&lt;&gt;"PRC_RESID","",IF(AT$7=2005+OFFSET(COM_2012!$B$60,$AW189,SUMIF($B$10:$B$16,"NCAP_TLIFE",$AX$10:$AX$16)),0,""))</f>
        <v/>
      </c>
      <c r="AU189" s="369" t="str">
        <f ca="1">IF($B189&lt;&gt;"PRC_RESID","",IF(AU$7=2005+OFFSET(COM_2012!$B$60,$AW189,SUMIF($B$10:$B$16,"NCAP_TLIFE",$AX$10:$AX$16)),0,""))</f>
        <v/>
      </c>
      <c r="AV189" s="304">
        <f>IF(AW188=COM_2012!$AI$121,AV188+1,AV188)</f>
        <v>3</v>
      </c>
      <c r="AW189" s="304">
        <f t="shared" si="17"/>
        <v>40</v>
      </c>
    </row>
    <row r="190" spans="1:49">
      <c r="A190" s="304" t="str">
        <f ca="1">IF(LEFT(OFFSET(COM_2012!$A$60,AW190,0),2)="\I","*","")</f>
        <v>*</v>
      </c>
      <c r="B190" s="369" t="str">
        <f t="shared" ca="1" si="16"/>
        <v/>
      </c>
      <c r="C190" s="369" t="str">
        <f ca="1">IF($A190="*","",OFFSET(COM_2012!$B$60,AW190,0))</f>
        <v/>
      </c>
      <c r="D190" s="369" t="str">
        <f t="shared" ca="1" si="19"/>
        <v/>
      </c>
      <c r="E190" s="369" t="str">
        <f t="shared" ca="1" si="19"/>
        <v/>
      </c>
      <c r="F190" s="369" t="str">
        <f t="shared" ca="1" si="19"/>
        <v/>
      </c>
      <c r="G190" s="369" t="str">
        <f t="shared" ca="1" si="19"/>
        <v/>
      </c>
      <c r="H190" s="369" t="str">
        <f t="shared" ca="1" si="19"/>
        <v/>
      </c>
      <c r="I190" s="370" t="str">
        <f t="shared" ca="1" si="19"/>
        <v/>
      </c>
      <c r="J190" s="391" t="str">
        <f ca="1">IF($A190="*","",OFFSET(COM_2012!$B$60,AW190,SUMIF($B$10:$B$16,B190,$AX$10:$AX$16)))</f>
        <v/>
      </c>
      <c r="K190" s="369" t="str">
        <f ca="1">IF($B190&lt;&gt;"PRC_RESID","",IF(K$7=2005+OFFSET(COM_2012!$B$60,$AW190,SUMIF($B$10:$B$16,"NCAP_TLIFE",$AX$10:$AX$16)),0,""))</f>
        <v/>
      </c>
      <c r="L190" s="369" t="str">
        <f ca="1">IF($B190&lt;&gt;"PRC_RESID","",IF(L$7=2005+OFFSET(COM_2012!$B$60,$AW190,SUMIF($B$10:$B$16,"NCAP_TLIFE",$AX$10:$AX$16)),0,""))</f>
        <v/>
      </c>
      <c r="M190" s="369" t="str">
        <f ca="1">IF($B190&lt;&gt;"PRC_RESID","",IF(M$7=2005+OFFSET(COM_2012!$B$60,$AW190,SUMIF($B$10:$B$16,"NCAP_TLIFE",$AX$10:$AX$16)),0,""))</f>
        <v/>
      </c>
      <c r="N190" s="369" t="str">
        <f ca="1">IF($B190&lt;&gt;"PRC_RESID","",IF(N$7=2005+OFFSET(COM_2012!$B$60,$AW190,SUMIF($B$10:$B$16,"NCAP_TLIFE",$AX$10:$AX$16)),0,""))</f>
        <v/>
      </c>
      <c r="O190" s="658" t="str">
        <f ca="1">IF($B190&lt;&gt;"PRC_RESID","",IF(O$7=2005+OFFSET(COM_2012!$B$60,$AW190,SUMIF($B$10:$B$16,"NCAP_TLIFE",$AX$10:$AX$16)),0,""))</f>
        <v/>
      </c>
      <c r="P190" s="369" t="str">
        <f ca="1">IF($B190&lt;&gt;"PRC_RESID","",IF(P$7=2005+OFFSET(COM_2012!$B$60,$AW190,SUMIF($B$10:$B$16,"NCAP_TLIFE",$AX$10:$AX$16)),0,""))</f>
        <v/>
      </c>
      <c r="Q190" s="369" t="str">
        <f ca="1">IF($B190&lt;&gt;"PRC_RESID","",IF(Q$7=2005+OFFSET(COM_2012!$B$60,$AW190,SUMIF($B$10:$B$16,"NCAP_TLIFE",$AX$10:$AX$16)),0,""))</f>
        <v/>
      </c>
      <c r="R190" s="369" t="str">
        <f ca="1">IF($B190&lt;&gt;"PRC_RESID","",IF(R$7=2005+OFFSET(COM_2012!$B$60,$AW190,SUMIF($B$10:$B$16,"NCAP_TLIFE",$AX$10:$AX$16)),0,""))</f>
        <v/>
      </c>
      <c r="S190" s="369" t="str">
        <f ca="1">IF($B190&lt;&gt;"PRC_RESID","",IF(S$7=2005+OFFSET(COM_2012!$B$60,$AW190,SUMIF($B$10:$B$16,"NCAP_TLIFE",$AX$10:$AX$16)),0,""))</f>
        <v/>
      </c>
      <c r="T190" s="369" t="str">
        <f ca="1">IF($B190&lt;&gt;"PRC_RESID","",IF(T$7=2005+OFFSET(COM_2012!$B$60,$AW190,SUMIF($B$10:$B$16,"NCAP_TLIFE",$AX$10:$AX$16)),0,""))</f>
        <v/>
      </c>
      <c r="U190" s="369" t="str">
        <f ca="1">IF($B190&lt;&gt;"PRC_RESID","",IF(U$7=2005+OFFSET(COM_2012!$B$60,$AW190,SUMIF($B$10:$B$16,"NCAP_TLIFE",$AX$10:$AX$16)),0,""))</f>
        <v/>
      </c>
      <c r="V190" s="369" t="str">
        <f ca="1">IF($B190&lt;&gt;"PRC_RESID","",IF(V$7=2005+OFFSET(COM_2012!$B$60,$AW190,SUMIF($B$10:$B$16,"NCAP_TLIFE",$AX$10:$AX$16)),0,""))</f>
        <v/>
      </c>
      <c r="W190" s="369" t="str">
        <f ca="1">IF($B190&lt;&gt;"PRC_RESID","",IF(W$7=2005+OFFSET(COM_2012!$B$60,$AW190,SUMIF($B$10:$B$16,"NCAP_TLIFE",$AX$10:$AX$16)),0,""))</f>
        <v/>
      </c>
      <c r="X190" s="369" t="str">
        <f ca="1">IF($B190&lt;&gt;"PRC_RESID","",IF(X$7=2005+OFFSET(COM_2012!$B$60,$AW190,SUMIF($B$10:$B$16,"NCAP_TLIFE",$AX$10:$AX$16)),0,""))</f>
        <v/>
      </c>
      <c r="Y190" s="369" t="str">
        <f ca="1">IF($B190&lt;&gt;"PRC_RESID","",IF(Y$7=2005+OFFSET(COM_2012!$B$60,$AW190,SUMIF($B$10:$B$16,"NCAP_TLIFE",$AX$10:$AX$16)),0,""))</f>
        <v/>
      </c>
      <c r="Z190" s="369" t="str">
        <f ca="1">IF($B190&lt;&gt;"PRC_RESID","",IF(Z$7=2005+OFFSET(COM_2012!$B$60,$AW190,SUMIF($B$10:$B$16,"NCAP_TLIFE",$AX$10:$AX$16)),0,""))</f>
        <v/>
      </c>
      <c r="AA190" s="369" t="str">
        <f ca="1">IF($B190&lt;&gt;"PRC_RESID","",IF(AA$7=2005+OFFSET(COM_2012!$B$60,$AW190,SUMIF($B$10:$B$16,"NCAP_TLIFE",$AX$10:$AX$16)),0,""))</f>
        <v/>
      </c>
      <c r="AB190" s="369" t="str">
        <f ca="1">IF($B190&lt;&gt;"PRC_RESID","",IF(AB$7=2005+OFFSET(COM_2012!$B$60,$AW190,SUMIF($B$10:$B$16,"NCAP_TLIFE",$AX$10:$AX$16)),0,""))</f>
        <v/>
      </c>
      <c r="AC190" s="369" t="str">
        <f ca="1">IF($B190&lt;&gt;"PRC_RESID","",IF(AC$7=2005+OFFSET(COM_2012!$B$60,$AW190,SUMIF($B$10:$B$16,"NCAP_TLIFE",$AX$10:$AX$16)),0,""))</f>
        <v/>
      </c>
      <c r="AD190" s="369" t="str">
        <f ca="1">IF($B190&lt;&gt;"PRC_RESID","",IF(AD$7=2005+OFFSET(COM_2012!$B$60,$AW190,SUMIF($B$10:$B$16,"NCAP_TLIFE",$AX$10:$AX$16)),0,""))</f>
        <v/>
      </c>
      <c r="AE190" s="369" t="str">
        <f ca="1">IF($B190&lt;&gt;"PRC_RESID","",IF(AE$7=2005+OFFSET(COM_2012!$B$60,$AW190,SUMIF($B$10:$B$16,"NCAP_TLIFE",$AX$10:$AX$16)),0,""))</f>
        <v/>
      </c>
      <c r="AF190" s="369" t="str">
        <f ca="1">IF($B190&lt;&gt;"PRC_RESID","",IF(AF$7=2005+OFFSET(COM_2012!$B$60,$AW190,SUMIF($B$10:$B$16,"NCAP_TLIFE",$AX$10:$AX$16)),0,""))</f>
        <v/>
      </c>
      <c r="AG190" s="369" t="str">
        <f ca="1">IF($B190&lt;&gt;"PRC_RESID","",IF(AG$7=2005+OFFSET(COM_2012!$B$60,$AW190,SUMIF($B$10:$B$16,"NCAP_TLIFE",$AX$10:$AX$16)),0,""))</f>
        <v/>
      </c>
      <c r="AH190" s="369" t="str">
        <f ca="1">IF($B190&lt;&gt;"PRC_RESID","",IF(AH$7=2005+OFFSET(COM_2012!$B$60,$AW190,SUMIF($B$10:$B$16,"NCAP_TLIFE",$AX$10:$AX$16)),0,""))</f>
        <v/>
      </c>
      <c r="AI190" s="369" t="str">
        <f ca="1">IF($B190&lt;&gt;"PRC_RESID","",IF(AI$7=2005+OFFSET(COM_2012!$B$60,$AW190,SUMIF($B$10:$B$16,"NCAP_TLIFE",$AX$10:$AX$16)),0,""))</f>
        <v/>
      </c>
      <c r="AJ190" s="369" t="str">
        <f ca="1">IF($B190&lt;&gt;"PRC_RESID","",IF(AJ$7=2005+OFFSET(COM_2012!$B$60,$AW190,SUMIF($B$10:$B$16,"NCAP_TLIFE",$AX$10:$AX$16)),0,""))</f>
        <v/>
      </c>
      <c r="AK190" s="369" t="str">
        <f ca="1">IF($B190&lt;&gt;"PRC_RESID","",IF(AK$7=2005+OFFSET(COM_2012!$B$60,$AW190,SUMIF($B$10:$B$16,"NCAP_TLIFE",$AX$10:$AX$16)),0,""))</f>
        <v/>
      </c>
      <c r="AL190" s="369" t="str">
        <f ca="1">IF($B190&lt;&gt;"PRC_RESID","",IF(AL$7=2005+OFFSET(COM_2012!$B$60,$AW190,SUMIF($B$10:$B$16,"NCAP_TLIFE",$AX$10:$AX$16)),0,""))</f>
        <v/>
      </c>
      <c r="AM190" s="369" t="str">
        <f ca="1">IF($B190&lt;&gt;"PRC_RESID","",IF(AM$7=2005+OFFSET(COM_2012!$B$60,$AW190,SUMIF($B$10:$B$16,"NCAP_TLIFE",$AX$10:$AX$16)),0,""))</f>
        <v/>
      </c>
      <c r="AN190" s="369" t="str">
        <f ca="1">IF($B190&lt;&gt;"PRC_RESID","",IF(AN$7=2005+OFFSET(COM_2012!$B$60,$AW190,SUMIF($B$10:$B$16,"NCAP_TLIFE",$AX$10:$AX$16)),0,""))</f>
        <v/>
      </c>
      <c r="AO190" s="369" t="str">
        <f ca="1">IF($B190&lt;&gt;"PRC_RESID","",IF(AO$7=2005+OFFSET(COM_2012!$B$60,$AW190,SUMIF($B$10:$B$16,"NCAP_TLIFE",$AX$10:$AX$16)),0,""))</f>
        <v/>
      </c>
      <c r="AP190" s="369" t="str">
        <f ca="1">IF($B190&lt;&gt;"PRC_RESID","",IF(AP$7=2005+OFFSET(COM_2012!$B$60,$AW190,SUMIF($B$10:$B$16,"NCAP_TLIFE",$AX$10:$AX$16)),0,""))</f>
        <v/>
      </c>
      <c r="AQ190" s="369" t="str">
        <f ca="1">IF($B190&lt;&gt;"PRC_RESID","",IF(AQ$7=2005+OFFSET(COM_2012!$B$60,$AW190,SUMIF($B$10:$B$16,"NCAP_TLIFE",$AX$10:$AX$16)),0,""))</f>
        <v/>
      </c>
      <c r="AR190" s="369" t="str">
        <f ca="1">IF($B190&lt;&gt;"PRC_RESID","",IF(AR$7=2005+OFFSET(COM_2012!$B$60,$AW190,SUMIF($B$10:$B$16,"NCAP_TLIFE",$AX$10:$AX$16)),0,""))</f>
        <v/>
      </c>
      <c r="AS190" s="369" t="str">
        <f ca="1">IF($B190&lt;&gt;"PRC_RESID","",IF(AS$7=2005+OFFSET(COM_2012!$B$60,$AW190,SUMIF($B$10:$B$16,"NCAP_TLIFE",$AX$10:$AX$16)),0,""))</f>
        <v/>
      </c>
      <c r="AT190" s="369" t="str">
        <f ca="1">IF($B190&lt;&gt;"PRC_RESID","",IF(AT$7=2005+OFFSET(COM_2012!$B$60,$AW190,SUMIF($B$10:$B$16,"NCAP_TLIFE",$AX$10:$AX$16)),0,""))</f>
        <v/>
      </c>
      <c r="AU190" s="369" t="str">
        <f ca="1">IF($B190&lt;&gt;"PRC_RESID","",IF(AU$7=2005+OFFSET(COM_2012!$B$60,$AW190,SUMIF($B$10:$B$16,"NCAP_TLIFE",$AX$10:$AX$16)),0,""))</f>
        <v/>
      </c>
      <c r="AV190" s="304">
        <f>IF(AW189=COM_2012!$AI$121,AV189+1,AV189)</f>
        <v>3</v>
      </c>
      <c r="AW190" s="304">
        <f t="shared" si="17"/>
        <v>41</v>
      </c>
    </row>
    <row r="191" spans="1:49">
      <c r="A191" s="304" t="str">
        <f ca="1">IF(LEFT(OFFSET(COM_2012!$A$60,AW191,0),2)="\I","*","")</f>
        <v/>
      </c>
      <c r="B191" s="369" t="str">
        <f t="shared" ca="1" si="16"/>
        <v>NCAP_TLIFE</v>
      </c>
      <c r="C191" s="369" t="str">
        <f ca="1">IF($A191="*","",OFFSET(COM_2012!$B$60,AW191,0))</f>
        <v>CEGELCINC-E</v>
      </c>
      <c r="D191" s="369" t="str">
        <f t="shared" ca="1" si="19"/>
        <v>-</v>
      </c>
      <c r="E191" s="369" t="str">
        <f t="shared" ca="1" si="19"/>
        <v>-</v>
      </c>
      <c r="F191" s="369" t="str">
        <f t="shared" ca="1" si="19"/>
        <v>-</v>
      </c>
      <c r="G191" s="369" t="str">
        <f t="shared" ca="1" si="19"/>
        <v>-</v>
      </c>
      <c r="H191" s="369" t="str">
        <f t="shared" ca="1" si="19"/>
        <v>-</v>
      </c>
      <c r="I191" s="370">
        <f t="shared" ca="1" si="19"/>
        <v>0</v>
      </c>
      <c r="J191" s="391">
        <f ca="1">IF($A191="*","",OFFSET(COM_2012!$B$60,AW191,SUMIF($B$10:$B$16,B191,$AX$10:$AX$16)))</f>
        <v>10</v>
      </c>
      <c r="K191" s="369" t="str">
        <f ca="1">IF($B191&lt;&gt;"PRC_RESID","",IF(K$7=2005+OFFSET(COM_2012!$B$60,$AW191,SUMIF($B$10:$B$16,"NCAP_TLIFE",$AX$10:$AX$16)),0,""))</f>
        <v/>
      </c>
      <c r="L191" s="369" t="str">
        <f ca="1">IF($B191&lt;&gt;"PRC_RESID","",IF(L$7=2005+OFFSET(COM_2012!$B$60,$AW191,SUMIF($B$10:$B$16,"NCAP_TLIFE",$AX$10:$AX$16)),0,""))</f>
        <v/>
      </c>
      <c r="M191" s="369" t="str">
        <f ca="1">IF($B191&lt;&gt;"PRC_RESID","",IF(M$7=2005+OFFSET(COM_2012!$B$60,$AW191,SUMIF($B$10:$B$16,"NCAP_TLIFE",$AX$10:$AX$16)),0,""))</f>
        <v/>
      </c>
      <c r="N191" s="369" t="str">
        <f ca="1">IF($B191&lt;&gt;"PRC_RESID","",IF(N$7=2005+OFFSET(COM_2012!$B$60,$AW191,SUMIF($B$10:$B$16,"NCAP_TLIFE",$AX$10:$AX$16)),0,""))</f>
        <v/>
      </c>
      <c r="O191" s="658" t="str">
        <f ca="1">IF($B191&lt;&gt;"PRC_RESID","",IF(O$7=2005+OFFSET(COM_2012!$B$60,$AW191,SUMIF($B$10:$B$16,"NCAP_TLIFE",$AX$10:$AX$16)),0,""))</f>
        <v/>
      </c>
      <c r="P191" s="369" t="str">
        <f ca="1">IF($B191&lt;&gt;"PRC_RESID","",IF(P$7=2005+OFFSET(COM_2012!$B$60,$AW191,SUMIF($B$10:$B$16,"NCAP_TLIFE",$AX$10:$AX$16)),0,""))</f>
        <v/>
      </c>
      <c r="Q191" s="369" t="str">
        <f ca="1">IF($B191&lt;&gt;"PRC_RESID","",IF(Q$7=2005+OFFSET(COM_2012!$B$60,$AW191,SUMIF($B$10:$B$16,"NCAP_TLIFE",$AX$10:$AX$16)),0,""))</f>
        <v/>
      </c>
      <c r="R191" s="369" t="str">
        <f ca="1">IF($B191&lt;&gt;"PRC_RESID","",IF(R$7=2005+OFFSET(COM_2012!$B$60,$AW191,SUMIF($B$10:$B$16,"NCAP_TLIFE",$AX$10:$AX$16)),0,""))</f>
        <v/>
      </c>
      <c r="S191" s="369" t="str">
        <f ca="1">IF($B191&lt;&gt;"PRC_RESID","",IF(S$7=2005+OFFSET(COM_2012!$B$60,$AW191,SUMIF($B$10:$B$16,"NCAP_TLIFE",$AX$10:$AX$16)),0,""))</f>
        <v/>
      </c>
      <c r="T191" s="369" t="str">
        <f ca="1">IF($B191&lt;&gt;"PRC_RESID","",IF(T$7=2005+OFFSET(COM_2012!$B$60,$AW191,SUMIF($B$10:$B$16,"NCAP_TLIFE",$AX$10:$AX$16)),0,""))</f>
        <v/>
      </c>
      <c r="U191" s="369" t="str">
        <f ca="1">IF($B191&lt;&gt;"PRC_RESID","",IF(U$7=2005+OFFSET(COM_2012!$B$60,$AW191,SUMIF($B$10:$B$16,"NCAP_TLIFE",$AX$10:$AX$16)),0,""))</f>
        <v/>
      </c>
      <c r="V191" s="369" t="str">
        <f ca="1">IF($B191&lt;&gt;"PRC_RESID","",IF(V$7=2005+OFFSET(COM_2012!$B$60,$AW191,SUMIF($B$10:$B$16,"NCAP_TLIFE",$AX$10:$AX$16)),0,""))</f>
        <v/>
      </c>
      <c r="W191" s="369" t="str">
        <f ca="1">IF($B191&lt;&gt;"PRC_RESID","",IF(W$7=2005+OFFSET(COM_2012!$B$60,$AW191,SUMIF($B$10:$B$16,"NCAP_TLIFE",$AX$10:$AX$16)),0,""))</f>
        <v/>
      </c>
      <c r="X191" s="369" t="str">
        <f ca="1">IF($B191&lt;&gt;"PRC_RESID","",IF(X$7=2005+OFFSET(COM_2012!$B$60,$AW191,SUMIF($B$10:$B$16,"NCAP_TLIFE",$AX$10:$AX$16)),0,""))</f>
        <v/>
      </c>
      <c r="Y191" s="369" t="str">
        <f ca="1">IF($B191&lt;&gt;"PRC_RESID","",IF(Y$7=2005+OFFSET(COM_2012!$B$60,$AW191,SUMIF($B$10:$B$16,"NCAP_TLIFE",$AX$10:$AX$16)),0,""))</f>
        <v/>
      </c>
      <c r="Z191" s="369" t="str">
        <f ca="1">IF($B191&lt;&gt;"PRC_RESID","",IF(Z$7=2005+OFFSET(COM_2012!$B$60,$AW191,SUMIF($B$10:$B$16,"NCAP_TLIFE",$AX$10:$AX$16)),0,""))</f>
        <v/>
      </c>
      <c r="AA191" s="369" t="str">
        <f ca="1">IF($B191&lt;&gt;"PRC_RESID","",IF(AA$7=2005+OFFSET(COM_2012!$B$60,$AW191,SUMIF($B$10:$B$16,"NCAP_TLIFE",$AX$10:$AX$16)),0,""))</f>
        <v/>
      </c>
      <c r="AB191" s="369" t="str">
        <f ca="1">IF($B191&lt;&gt;"PRC_RESID","",IF(AB$7=2005+OFFSET(COM_2012!$B$60,$AW191,SUMIF($B$10:$B$16,"NCAP_TLIFE",$AX$10:$AX$16)),0,""))</f>
        <v/>
      </c>
      <c r="AC191" s="369" t="str">
        <f ca="1">IF($B191&lt;&gt;"PRC_RESID","",IF(AC$7=2005+OFFSET(COM_2012!$B$60,$AW191,SUMIF($B$10:$B$16,"NCAP_TLIFE",$AX$10:$AX$16)),0,""))</f>
        <v/>
      </c>
      <c r="AD191" s="369" t="str">
        <f ca="1">IF($B191&lt;&gt;"PRC_RESID","",IF(AD$7=2005+OFFSET(COM_2012!$B$60,$AW191,SUMIF($B$10:$B$16,"NCAP_TLIFE",$AX$10:$AX$16)),0,""))</f>
        <v/>
      </c>
      <c r="AE191" s="369" t="str">
        <f ca="1">IF($B191&lt;&gt;"PRC_RESID","",IF(AE$7=2005+OFFSET(COM_2012!$B$60,$AW191,SUMIF($B$10:$B$16,"NCAP_TLIFE",$AX$10:$AX$16)),0,""))</f>
        <v/>
      </c>
      <c r="AF191" s="369" t="str">
        <f ca="1">IF($B191&lt;&gt;"PRC_RESID","",IF(AF$7=2005+OFFSET(COM_2012!$B$60,$AW191,SUMIF($B$10:$B$16,"NCAP_TLIFE",$AX$10:$AX$16)),0,""))</f>
        <v/>
      </c>
      <c r="AG191" s="369" t="str">
        <f ca="1">IF($B191&lt;&gt;"PRC_RESID","",IF(AG$7=2005+OFFSET(COM_2012!$B$60,$AW191,SUMIF($B$10:$B$16,"NCAP_TLIFE",$AX$10:$AX$16)),0,""))</f>
        <v/>
      </c>
      <c r="AH191" s="369" t="str">
        <f ca="1">IF($B191&lt;&gt;"PRC_RESID","",IF(AH$7=2005+OFFSET(COM_2012!$B$60,$AW191,SUMIF($B$10:$B$16,"NCAP_TLIFE",$AX$10:$AX$16)),0,""))</f>
        <v/>
      </c>
      <c r="AI191" s="369" t="str">
        <f ca="1">IF($B191&lt;&gt;"PRC_RESID","",IF(AI$7=2005+OFFSET(COM_2012!$B$60,$AW191,SUMIF($B$10:$B$16,"NCAP_TLIFE",$AX$10:$AX$16)),0,""))</f>
        <v/>
      </c>
      <c r="AJ191" s="369" t="str">
        <f ca="1">IF($B191&lt;&gt;"PRC_RESID","",IF(AJ$7=2005+OFFSET(COM_2012!$B$60,$AW191,SUMIF($B$10:$B$16,"NCAP_TLIFE",$AX$10:$AX$16)),0,""))</f>
        <v/>
      </c>
      <c r="AK191" s="369" t="str">
        <f ca="1">IF($B191&lt;&gt;"PRC_RESID","",IF(AK$7=2005+OFFSET(COM_2012!$B$60,$AW191,SUMIF($B$10:$B$16,"NCAP_TLIFE",$AX$10:$AX$16)),0,""))</f>
        <v/>
      </c>
      <c r="AL191" s="369" t="str">
        <f ca="1">IF($B191&lt;&gt;"PRC_RESID","",IF(AL$7=2005+OFFSET(COM_2012!$B$60,$AW191,SUMIF($B$10:$B$16,"NCAP_TLIFE",$AX$10:$AX$16)),0,""))</f>
        <v/>
      </c>
      <c r="AM191" s="369" t="str">
        <f ca="1">IF($B191&lt;&gt;"PRC_RESID","",IF(AM$7=2005+OFFSET(COM_2012!$B$60,$AW191,SUMIF($B$10:$B$16,"NCAP_TLIFE",$AX$10:$AX$16)),0,""))</f>
        <v/>
      </c>
      <c r="AN191" s="369" t="str">
        <f ca="1">IF($B191&lt;&gt;"PRC_RESID","",IF(AN$7=2005+OFFSET(COM_2012!$B$60,$AW191,SUMIF($B$10:$B$16,"NCAP_TLIFE",$AX$10:$AX$16)),0,""))</f>
        <v/>
      </c>
      <c r="AO191" s="369" t="str">
        <f ca="1">IF($B191&lt;&gt;"PRC_RESID","",IF(AO$7=2005+OFFSET(COM_2012!$B$60,$AW191,SUMIF($B$10:$B$16,"NCAP_TLIFE",$AX$10:$AX$16)),0,""))</f>
        <v/>
      </c>
      <c r="AP191" s="369" t="str">
        <f ca="1">IF($B191&lt;&gt;"PRC_RESID","",IF(AP$7=2005+OFFSET(COM_2012!$B$60,$AW191,SUMIF($B$10:$B$16,"NCAP_TLIFE",$AX$10:$AX$16)),0,""))</f>
        <v/>
      </c>
      <c r="AQ191" s="369" t="str">
        <f ca="1">IF($B191&lt;&gt;"PRC_RESID","",IF(AQ$7=2005+OFFSET(COM_2012!$B$60,$AW191,SUMIF($B$10:$B$16,"NCAP_TLIFE",$AX$10:$AX$16)),0,""))</f>
        <v/>
      </c>
      <c r="AR191" s="369" t="str">
        <f ca="1">IF($B191&lt;&gt;"PRC_RESID","",IF(AR$7=2005+OFFSET(COM_2012!$B$60,$AW191,SUMIF($B$10:$B$16,"NCAP_TLIFE",$AX$10:$AX$16)),0,""))</f>
        <v/>
      </c>
      <c r="AS191" s="369" t="str">
        <f ca="1">IF($B191&lt;&gt;"PRC_RESID","",IF(AS$7=2005+OFFSET(COM_2012!$B$60,$AW191,SUMIF($B$10:$B$16,"NCAP_TLIFE",$AX$10:$AX$16)),0,""))</f>
        <v/>
      </c>
      <c r="AT191" s="369" t="str">
        <f ca="1">IF($B191&lt;&gt;"PRC_RESID","",IF(AT$7=2005+OFFSET(COM_2012!$B$60,$AW191,SUMIF($B$10:$B$16,"NCAP_TLIFE",$AX$10:$AX$16)),0,""))</f>
        <v/>
      </c>
      <c r="AU191" s="369" t="str">
        <f ca="1">IF($B191&lt;&gt;"PRC_RESID","",IF(AU$7=2005+OFFSET(COM_2012!$B$60,$AW191,SUMIF($B$10:$B$16,"NCAP_TLIFE",$AX$10:$AX$16)),0,""))</f>
        <v/>
      </c>
      <c r="AV191" s="304">
        <f>IF(AW190=COM_2012!$AI$121,AV190+1,AV190)</f>
        <v>3</v>
      </c>
      <c r="AW191" s="304">
        <f t="shared" si="17"/>
        <v>42</v>
      </c>
    </row>
    <row r="192" spans="1:49">
      <c r="A192" s="304" t="str">
        <f ca="1">IF(LEFT(OFFSET(COM_2012!$A$60,AW192,0),2)="\I","*","")</f>
        <v/>
      </c>
      <c r="B192" s="369" t="str">
        <f t="shared" ca="1" si="16"/>
        <v>NCAP_TLIFE</v>
      </c>
      <c r="C192" s="369" t="str">
        <f ca="1">IF($A192="*","",OFFSET(COM_2012!$B$60,AW192,0))</f>
        <v>CEGELCHAL-E</v>
      </c>
      <c r="D192" s="369" t="str">
        <f t="shared" ca="1" si="19"/>
        <v>-</v>
      </c>
      <c r="E192" s="369" t="str">
        <f t="shared" ca="1" si="19"/>
        <v>-</v>
      </c>
      <c r="F192" s="369" t="str">
        <f t="shared" ca="1" si="19"/>
        <v>-</v>
      </c>
      <c r="G192" s="369" t="str">
        <f t="shared" ca="1" si="19"/>
        <v>-</v>
      </c>
      <c r="H192" s="369" t="str">
        <f t="shared" ca="1" si="19"/>
        <v>-</v>
      </c>
      <c r="I192" s="370">
        <f t="shared" ca="1" si="19"/>
        <v>0</v>
      </c>
      <c r="J192" s="391">
        <f ca="1">IF($A192="*","",OFFSET(COM_2012!$B$60,AW192,SUMIF($B$10:$B$16,B192,$AX$10:$AX$16)))</f>
        <v>10</v>
      </c>
      <c r="K192" s="369" t="str">
        <f ca="1">IF($B192&lt;&gt;"PRC_RESID","",IF(K$7=2005+OFFSET(COM_2012!$B$60,$AW192,SUMIF($B$10:$B$16,"NCAP_TLIFE",$AX$10:$AX$16)),0,""))</f>
        <v/>
      </c>
      <c r="L192" s="369" t="str">
        <f ca="1">IF($B192&lt;&gt;"PRC_RESID","",IF(L$7=2005+OFFSET(COM_2012!$B$60,$AW192,SUMIF($B$10:$B$16,"NCAP_TLIFE",$AX$10:$AX$16)),0,""))</f>
        <v/>
      </c>
      <c r="M192" s="369" t="str">
        <f ca="1">IF($B192&lt;&gt;"PRC_RESID","",IF(M$7=2005+OFFSET(COM_2012!$B$60,$AW192,SUMIF($B$10:$B$16,"NCAP_TLIFE",$AX$10:$AX$16)),0,""))</f>
        <v/>
      </c>
      <c r="N192" s="369" t="str">
        <f ca="1">IF($B192&lt;&gt;"PRC_RESID","",IF(N$7=2005+OFFSET(COM_2012!$B$60,$AW192,SUMIF($B$10:$B$16,"NCAP_TLIFE",$AX$10:$AX$16)),0,""))</f>
        <v/>
      </c>
      <c r="O192" s="658" t="str">
        <f ca="1">IF($B192&lt;&gt;"PRC_RESID","",IF(O$7=2005+OFFSET(COM_2012!$B$60,$AW192,SUMIF($B$10:$B$16,"NCAP_TLIFE",$AX$10:$AX$16)),0,""))</f>
        <v/>
      </c>
      <c r="P192" s="369" t="str">
        <f ca="1">IF($B192&lt;&gt;"PRC_RESID","",IF(P$7=2005+OFFSET(COM_2012!$B$60,$AW192,SUMIF($B$10:$B$16,"NCAP_TLIFE",$AX$10:$AX$16)),0,""))</f>
        <v/>
      </c>
      <c r="Q192" s="369" t="str">
        <f ca="1">IF($B192&lt;&gt;"PRC_RESID","",IF(Q$7=2005+OFFSET(COM_2012!$B$60,$AW192,SUMIF($B$10:$B$16,"NCAP_TLIFE",$AX$10:$AX$16)),0,""))</f>
        <v/>
      </c>
      <c r="R192" s="369" t="str">
        <f ca="1">IF($B192&lt;&gt;"PRC_RESID","",IF(R$7=2005+OFFSET(COM_2012!$B$60,$AW192,SUMIF($B$10:$B$16,"NCAP_TLIFE",$AX$10:$AX$16)),0,""))</f>
        <v/>
      </c>
      <c r="S192" s="369" t="str">
        <f ca="1">IF($B192&lt;&gt;"PRC_RESID","",IF(S$7=2005+OFFSET(COM_2012!$B$60,$AW192,SUMIF($B$10:$B$16,"NCAP_TLIFE",$AX$10:$AX$16)),0,""))</f>
        <v/>
      </c>
      <c r="T192" s="369" t="str">
        <f ca="1">IF($B192&lt;&gt;"PRC_RESID","",IF(T$7=2005+OFFSET(COM_2012!$B$60,$AW192,SUMIF($B$10:$B$16,"NCAP_TLIFE",$AX$10:$AX$16)),0,""))</f>
        <v/>
      </c>
      <c r="U192" s="369" t="str">
        <f ca="1">IF($B192&lt;&gt;"PRC_RESID","",IF(U$7=2005+OFFSET(COM_2012!$B$60,$AW192,SUMIF($B$10:$B$16,"NCAP_TLIFE",$AX$10:$AX$16)),0,""))</f>
        <v/>
      </c>
      <c r="V192" s="369" t="str">
        <f ca="1">IF($B192&lt;&gt;"PRC_RESID","",IF(V$7=2005+OFFSET(COM_2012!$B$60,$AW192,SUMIF($B$10:$B$16,"NCAP_TLIFE",$AX$10:$AX$16)),0,""))</f>
        <v/>
      </c>
      <c r="W192" s="369" t="str">
        <f ca="1">IF($B192&lt;&gt;"PRC_RESID","",IF(W$7=2005+OFFSET(COM_2012!$B$60,$AW192,SUMIF($B$10:$B$16,"NCAP_TLIFE",$AX$10:$AX$16)),0,""))</f>
        <v/>
      </c>
      <c r="X192" s="369" t="str">
        <f ca="1">IF($B192&lt;&gt;"PRC_RESID","",IF(X$7=2005+OFFSET(COM_2012!$B$60,$AW192,SUMIF($B$10:$B$16,"NCAP_TLIFE",$AX$10:$AX$16)),0,""))</f>
        <v/>
      </c>
      <c r="Y192" s="369" t="str">
        <f ca="1">IF($B192&lt;&gt;"PRC_RESID","",IF(Y$7=2005+OFFSET(COM_2012!$B$60,$AW192,SUMIF($B$10:$B$16,"NCAP_TLIFE",$AX$10:$AX$16)),0,""))</f>
        <v/>
      </c>
      <c r="Z192" s="369" t="str">
        <f ca="1">IF($B192&lt;&gt;"PRC_RESID","",IF(Z$7=2005+OFFSET(COM_2012!$B$60,$AW192,SUMIF($B$10:$B$16,"NCAP_TLIFE",$AX$10:$AX$16)),0,""))</f>
        <v/>
      </c>
      <c r="AA192" s="369" t="str">
        <f ca="1">IF($B192&lt;&gt;"PRC_RESID","",IF(AA$7=2005+OFFSET(COM_2012!$B$60,$AW192,SUMIF($B$10:$B$16,"NCAP_TLIFE",$AX$10:$AX$16)),0,""))</f>
        <v/>
      </c>
      <c r="AB192" s="369" t="str">
        <f ca="1">IF($B192&lt;&gt;"PRC_RESID","",IF(AB$7=2005+OFFSET(COM_2012!$B$60,$AW192,SUMIF($B$10:$B$16,"NCAP_TLIFE",$AX$10:$AX$16)),0,""))</f>
        <v/>
      </c>
      <c r="AC192" s="369" t="str">
        <f ca="1">IF($B192&lt;&gt;"PRC_RESID","",IF(AC$7=2005+OFFSET(COM_2012!$B$60,$AW192,SUMIF($B$10:$B$16,"NCAP_TLIFE",$AX$10:$AX$16)),0,""))</f>
        <v/>
      </c>
      <c r="AD192" s="369" t="str">
        <f ca="1">IF($B192&lt;&gt;"PRC_RESID","",IF(AD$7=2005+OFFSET(COM_2012!$B$60,$AW192,SUMIF($B$10:$B$16,"NCAP_TLIFE",$AX$10:$AX$16)),0,""))</f>
        <v/>
      </c>
      <c r="AE192" s="369" t="str">
        <f ca="1">IF($B192&lt;&gt;"PRC_RESID","",IF(AE$7=2005+OFFSET(COM_2012!$B$60,$AW192,SUMIF($B$10:$B$16,"NCAP_TLIFE",$AX$10:$AX$16)),0,""))</f>
        <v/>
      </c>
      <c r="AF192" s="369" t="str">
        <f ca="1">IF($B192&lt;&gt;"PRC_RESID","",IF(AF$7=2005+OFFSET(COM_2012!$B$60,$AW192,SUMIF($B$10:$B$16,"NCAP_TLIFE",$AX$10:$AX$16)),0,""))</f>
        <v/>
      </c>
      <c r="AG192" s="369" t="str">
        <f ca="1">IF($B192&lt;&gt;"PRC_RESID","",IF(AG$7=2005+OFFSET(COM_2012!$B$60,$AW192,SUMIF($B$10:$B$16,"NCAP_TLIFE",$AX$10:$AX$16)),0,""))</f>
        <v/>
      </c>
      <c r="AH192" s="369" t="str">
        <f ca="1">IF($B192&lt;&gt;"PRC_RESID","",IF(AH$7=2005+OFFSET(COM_2012!$B$60,$AW192,SUMIF($B$10:$B$16,"NCAP_TLIFE",$AX$10:$AX$16)),0,""))</f>
        <v/>
      </c>
      <c r="AI192" s="369" t="str">
        <f ca="1">IF($B192&lt;&gt;"PRC_RESID","",IF(AI$7=2005+OFFSET(COM_2012!$B$60,$AW192,SUMIF($B$10:$B$16,"NCAP_TLIFE",$AX$10:$AX$16)),0,""))</f>
        <v/>
      </c>
      <c r="AJ192" s="369" t="str">
        <f ca="1">IF($B192&lt;&gt;"PRC_RESID","",IF(AJ$7=2005+OFFSET(COM_2012!$B$60,$AW192,SUMIF($B$10:$B$16,"NCAP_TLIFE",$AX$10:$AX$16)),0,""))</f>
        <v/>
      </c>
      <c r="AK192" s="369" t="str">
        <f ca="1">IF($B192&lt;&gt;"PRC_RESID","",IF(AK$7=2005+OFFSET(COM_2012!$B$60,$AW192,SUMIF($B$10:$B$16,"NCAP_TLIFE",$AX$10:$AX$16)),0,""))</f>
        <v/>
      </c>
      <c r="AL192" s="369" t="str">
        <f ca="1">IF($B192&lt;&gt;"PRC_RESID","",IF(AL$7=2005+OFFSET(COM_2012!$B$60,$AW192,SUMIF($B$10:$B$16,"NCAP_TLIFE",$AX$10:$AX$16)),0,""))</f>
        <v/>
      </c>
      <c r="AM192" s="369" t="str">
        <f ca="1">IF($B192&lt;&gt;"PRC_RESID","",IF(AM$7=2005+OFFSET(COM_2012!$B$60,$AW192,SUMIF($B$10:$B$16,"NCAP_TLIFE",$AX$10:$AX$16)),0,""))</f>
        <v/>
      </c>
      <c r="AN192" s="369" t="str">
        <f ca="1">IF($B192&lt;&gt;"PRC_RESID","",IF(AN$7=2005+OFFSET(COM_2012!$B$60,$AW192,SUMIF($B$10:$B$16,"NCAP_TLIFE",$AX$10:$AX$16)),0,""))</f>
        <v/>
      </c>
      <c r="AO192" s="369" t="str">
        <f ca="1">IF($B192&lt;&gt;"PRC_RESID","",IF(AO$7=2005+OFFSET(COM_2012!$B$60,$AW192,SUMIF($B$10:$B$16,"NCAP_TLIFE",$AX$10:$AX$16)),0,""))</f>
        <v/>
      </c>
      <c r="AP192" s="369" t="str">
        <f ca="1">IF($B192&lt;&gt;"PRC_RESID","",IF(AP$7=2005+OFFSET(COM_2012!$B$60,$AW192,SUMIF($B$10:$B$16,"NCAP_TLIFE",$AX$10:$AX$16)),0,""))</f>
        <v/>
      </c>
      <c r="AQ192" s="369" t="str">
        <f ca="1">IF($B192&lt;&gt;"PRC_RESID","",IF(AQ$7=2005+OFFSET(COM_2012!$B$60,$AW192,SUMIF($B$10:$B$16,"NCAP_TLIFE",$AX$10:$AX$16)),0,""))</f>
        <v/>
      </c>
      <c r="AR192" s="369" t="str">
        <f ca="1">IF($B192&lt;&gt;"PRC_RESID","",IF(AR$7=2005+OFFSET(COM_2012!$B$60,$AW192,SUMIF($B$10:$B$16,"NCAP_TLIFE",$AX$10:$AX$16)),0,""))</f>
        <v/>
      </c>
      <c r="AS192" s="369" t="str">
        <f ca="1">IF($B192&lt;&gt;"PRC_RESID","",IF(AS$7=2005+OFFSET(COM_2012!$B$60,$AW192,SUMIF($B$10:$B$16,"NCAP_TLIFE",$AX$10:$AX$16)),0,""))</f>
        <v/>
      </c>
      <c r="AT192" s="369" t="str">
        <f ca="1">IF($B192&lt;&gt;"PRC_RESID","",IF(AT$7=2005+OFFSET(COM_2012!$B$60,$AW192,SUMIF($B$10:$B$16,"NCAP_TLIFE",$AX$10:$AX$16)),0,""))</f>
        <v/>
      </c>
      <c r="AU192" s="369" t="str">
        <f ca="1">IF($B192&lt;&gt;"PRC_RESID","",IF(AU$7=2005+OFFSET(COM_2012!$B$60,$AW192,SUMIF($B$10:$B$16,"NCAP_TLIFE",$AX$10:$AX$16)),0,""))</f>
        <v/>
      </c>
      <c r="AV192" s="304">
        <f>IF(AW191=COM_2012!$AI$121,AV191+1,AV191)</f>
        <v>3</v>
      </c>
      <c r="AW192" s="304">
        <f t="shared" si="17"/>
        <v>43</v>
      </c>
    </row>
    <row r="193" spans="1:49">
      <c r="A193" s="304" t="str">
        <f ca="1">IF(LEFT(OFFSET(COM_2012!$A$60,AW193,0),2)="\I","*","")</f>
        <v/>
      </c>
      <c r="B193" s="369" t="str">
        <f t="shared" ca="1" si="16"/>
        <v>NCAP_TLIFE</v>
      </c>
      <c r="C193" s="369" t="str">
        <f ca="1">IF($A193="*","",OFFSET(COM_2012!$B$60,AW193,0))</f>
        <v>CEGELCHPM-E</v>
      </c>
      <c r="D193" s="369" t="str">
        <f t="shared" ca="1" si="19"/>
        <v>-</v>
      </c>
      <c r="E193" s="369" t="str">
        <f t="shared" ca="1" si="19"/>
        <v>-</v>
      </c>
      <c r="F193" s="369" t="str">
        <f t="shared" ca="1" si="19"/>
        <v>-</v>
      </c>
      <c r="G193" s="369" t="str">
        <f t="shared" ca="1" si="19"/>
        <v>-</v>
      </c>
      <c r="H193" s="369" t="str">
        <f t="shared" ca="1" si="19"/>
        <v>-</v>
      </c>
      <c r="I193" s="370">
        <f t="shared" ca="1" si="19"/>
        <v>0</v>
      </c>
      <c r="J193" s="391">
        <f ca="1">IF($A193="*","",OFFSET(COM_2012!$B$60,AW193,SUMIF($B$10:$B$16,B193,$AX$10:$AX$16)))</f>
        <v>10</v>
      </c>
      <c r="K193" s="369" t="str">
        <f ca="1">IF($B193&lt;&gt;"PRC_RESID","",IF(K$7=2005+OFFSET(COM_2012!$B$60,$AW193,SUMIF($B$10:$B$16,"NCAP_TLIFE",$AX$10:$AX$16)),0,""))</f>
        <v/>
      </c>
      <c r="L193" s="369" t="str">
        <f ca="1">IF($B193&lt;&gt;"PRC_RESID","",IF(L$7=2005+OFFSET(COM_2012!$B$60,$AW193,SUMIF($B$10:$B$16,"NCAP_TLIFE",$AX$10:$AX$16)),0,""))</f>
        <v/>
      </c>
      <c r="M193" s="369" t="str">
        <f ca="1">IF($B193&lt;&gt;"PRC_RESID","",IF(M$7=2005+OFFSET(COM_2012!$B$60,$AW193,SUMIF($B$10:$B$16,"NCAP_TLIFE",$AX$10:$AX$16)),0,""))</f>
        <v/>
      </c>
      <c r="N193" s="369" t="str">
        <f ca="1">IF($B193&lt;&gt;"PRC_RESID","",IF(N$7=2005+OFFSET(COM_2012!$B$60,$AW193,SUMIF($B$10:$B$16,"NCAP_TLIFE",$AX$10:$AX$16)),0,""))</f>
        <v/>
      </c>
      <c r="O193" s="658" t="str">
        <f ca="1">IF($B193&lt;&gt;"PRC_RESID","",IF(O$7=2005+OFFSET(COM_2012!$B$60,$AW193,SUMIF($B$10:$B$16,"NCAP_TLIFE",$AX$10:$AX$16)),0,""))</f>
        <v/>
      </c>
      <c r="P193" s="369" t="str">
        <f ca="1">IF($B193&lt;&gt;"PRC_RESID","",IF(P$7=2005+OFFSET(COM_2012!$B$60,$AW193,SUMIF($B$10:$B$16,"NCAP_TLIFE",$AX$10:$AX$16)),0,""))</f>
        <v/>
      </c>
      <c r="Q193" s="369" t="str">
        <f ca="1">IF($B193&lt;&gt;"PRC_RESID","",IF(Q$7=2005+OFFSET(COM_2012!$B$60,$AW193,SUMIF($B$10:$B$16,"NCAP_TLIFE",$AX$10:$AX$16)),0,""))</f>
        <v/>
      </c>
      <c r="R193" s="369" t="str">
        <f ca="1">IF($B193&lt;&gt;"PRC_RESID","",IF(R$7=2005+OFFSET(COM_2012!$B$60,$AW193,SUMIF($B$10:$B$16,"NCAP_TLIFE",$AX$10:$AX$16)),0,""))</f>
        <v/>
      </c>
      <c r="S193" s="369" t="str">
        <f ca="1">IF($B193&lt;&gt;"PRC_RESID","",IF(S$7=2005+OFFSET(COM_2012!$B$60,$AW193,SUMIF($B$10:$B$16,"NCAP_TLIFE",$AX$10:$AX$16)),0,""))</f>
        <v/>
      </c>
      <c r="T193" s="369" t="str">
        <f ca="1">IF($B193&lt;&gt;"PRC_RESID","",IF(T$7=2005+OFFSET(COM_2012!$B$60,$AW193,SUMIF($B$10:$B$16,"NCAP_TLIFE",$AX$10:$AX$16)),0,""))</f>
        <v/>
      </c>
      <c r="U193" s="369" t="str">
        <f ca="1">IF($B193&lt;&gt;"PRC_RESID","",IF(U$7=2005+OFFSET(COM_2012!$B$60,$AW193,SUMIF($B$10:$B$16,"NCAP_TLIFE",$AX$10:$AX$16)),0,""))</f>
        <v/>
      </c>
      <c r="V193" s="369" t="str">
        <f ca="1">IF($B193&lt;&gt;"PRC_RESID","",IF(V$7=2005+OFFSET(COM_2012!$B$60,$AW193,SUMIF($B$10:$B$16,"NCAP_TLIFE",$AX$10:$AX$16)),0,""))</f>
        <v/>
      </c>
      <c r="W193" s="369" t="str">
        <f ca="1">IF($B193&lt;&gt;"PRC_RESID","",IF(W$7=2005+OFFSET(COM_2012!$B$60,$AW193,SUMIF($B$10:$B$16,"NCAP_TLIFE",$AX$10:$AX$16)),0,""))</f>
        <v/>
      </c>
      <c r="X193" s="369" t="str">
        <f ca="1">IF($B193&lt;&gt;"PRC_RESID","",IF(X$7=2005+OFFSET(COM_2012!$B$60,$AW193,SUMIF($B$10:$B$16,"NCAP_TLIFE",$AX$10:$AX$16)),0,""))</f>
        <v/>
      </c>
      <c r="Y193" s="369" t="str">
        <f ca="1">IF($B193&lt;&gt;"PRC_RESID","",IF(Y$7=2005+OFFSET(COM_2012!$B$60,$AW193,SUMIF($B$10:$B$16,"NCAP_TLIFE",$AX$10:$AX$16)),0,""))</f>
        <v/>
      </c>
      <c r="Z193" s="369" t="str">
        <f ca="1">IF($B193&lt;&gt;"PRC_RESID","",IF(Z$7=2005+OFFSET(COM_2012!$B$60,$AW193,SUMIF($B$10:$B$16,"NCAP_TLIFE",$AX$10:$AX$16)),0,""))</f>
        <v/>
      </c>
      <c r="AA193" s="369" t="str">
        <f ca="1">IF($B193&lt;&gt;"PRC_RESID","",IF(AA$7=2005+OFFSET(COM_2012!$B$60,$AW193,SUMIF($B$10:$B$16,"NCAP_TLIFE",$AX$10:$AX$16)),0,""))</f>
        <v/>
      </c>
      <c r="AB193" s="369" t="str">
        <f ca="1">IF($B193&lt;&gt;"PRC_RESID","",IF(AB$7=2005+OFFSET(COM_2012!$B$60,$AW193,SUMIF($B$10:$B$16,"NCAP_TLIFE",$AX$10:$AX$16)),0,""))</f>
        <v/>
      </c>
      <c r="AC193" s="369" t="str">
        <f ca="1">IF($B193&lt;&gt;"PRC_RESID","",IF(AC$7=2005+OFFSET(COM_2012!$B$60,$AW193,SUMIF($B$10:$B$16,"NCAP_TLIFE",$AX$10:$AX$16)),0,""))</f>
        <v/>
      </c>
      <c r="AD193" s="369" t="str">
        <f ca="1">IF($B193&lt;&gt;"PRC_RESID","",IF(AD$7=2005+OFFSET(COM_2012!$B$60,$AW193,SUMIF($B$10:$B$16,"NCAP_TLIFE",$AX$10:$AX$16)),0,""))</f>
        <v/>
      </c>
      <c r="AE193" s="369" t="str">
        <f ca="1">IF($B193&lt;&gt;"PRC_RESID","",IF(AE$7=2005+OFFSET(COM_2012!$B$60,$AW193,SUMIF($B$10:$B$16,"NCAP_TLIFE",$AX$10:$AX$16)),0,""))</f>
        <v/>
      </c>
      <c r="AF193" s="369" t="str">
        <f ca="1">IF($B193&lt;&gt;"PRC_RESID","",IF(AF$7=2005+OFFSET(COM_2012!$B$60,$AW193,SUMIF($B$10:$B$16,"NCAP_TLIFE",$AX$10:$AX$16)),0,""))</f>
        <v/>
      </c>
      <c r="AG193" s="369" t="str">
        <f ca="1">IF($B193&lt;&gt;"PRC_RESID","",IF(AG$7=2005+OFFSET(COM_2012!$B$60,$AW193,SUMIF($B$10:$B$16,"NCAP_TLIFE",$AX$10:$AX$16)),0,""))</f>
        <v/>
      </c>
      <c r="AH193" s="369" t="str">
        <f ca="1">IF($B193&lt;&gt;"PRC_RESID","",IF(AH$7=2005+OFFSET(COM_2012!$B$60,$AW193,SUMIF($B$10:$B$16,"NCAP_TLIFE",$AX$10:$AX$16)),0,""))</f>
        <v/>
      </c>
      <c r="AI193" s="369" t="str">
        <f ca="1">IF($B193&lt;&gt;"PRC_RESID","",IF(AI$7=2005+OFFSET(COM_2012!$B$60,$AW193,SUMIF($B$10:$B$16,"NCAP_TLIFE",$AX$10:$AX$16)),0,""))</f>
        <v/>
      </c>
      <c r="AJ193" s="369" t="str">
        <f ca="1">IF($B193&lt;&gt;"PRC_RESID","",IF(AJ$7=2005+OFFSET(COM_2012!$B$60,$AW193,SUMIF($B$10:$B$16,"NCAP_TLIFE",$AX$10:$AX$16)),0,""))</f>
        <v/>
      </c>
      <c r="AK193" s="369" t="str">
        <f ca="1">IF($B193&lt;&gt;"PRC_RESID","",IF(AK$7=2005+OFFSET(COM_2012!$B$60,$AW193,SUMIF($B$10:$B$16,"NCAP_TLIFE",$AX$10:$AX$16)),0,""))</f>
        <v/>
      </c>
      <c r="AL193" s="369" t="str">
        <f ca="1">IF($B193&lt;&gt;"PRC_RESID","",IF(AL$7=2005+OFFSET(COM_2012!$B$60,$AW193,SUMIF($B$10:$B$16,"NCAP_TLIFE",$AX$10:$AX$16)),0,""))</f>
        <v/>
      </c>
      <c r="AM193" s="369" t="str">
        <f ca="1">IF($B193&lt;&gt;"PRC_RESID","",IF(AM$7=2005+OFFSET(COM_2012!$B$60,$AW193,SUMIF($B$10:$B$16,"NCAP_TLIFE",$AX$10:$AX$16)),0,""))</f>
        <v/>
      </c>
      <c r="AN193" s="369" t="str">
        <f ca="1">IF($B193&lt;&gt;"PRC_RESID","",IF(AN$7=2005+OFFSET(COM_2012!$B$60,$AW193,SUMIF($B$10:$B$16,"NCAP_TLIFE",$AX$10:$AX$16)),0,""))</f>
        <v/>
      </c>
      <c r="AO193" s="369" t="str">
        <f ca="1">IF($B193&lt;&gt;"PRC_RESID","",IF(AO$7=2005+OFFSET(COM_2012!$B$60,$AW193,SUMIF($B$10:$B$16,"NCAP_TLIFE",$AX$10:$AX$16)),0,""))</f>
        <v/>
      </c>
      <c r="AP193" s="369" t="str">
        <f ca="1">IF($B193&lt;&gt;"PRC_RESID","",IF(AP$7=2005+OFFSET(COM_2012!$B$60,$AW193,SUMIF($B$10:$B$16,"NCAP_TLIFE",$AX$10:$AX$16)),0,""))</f>
        <v/>
      </c>
      <c r="AQ193" s="369" t="str">
        <f ca="1">IF($B193&lt;&gt;"PRC_RESID","",IF(AQ$7=2005+OFFSET(COM_2012!$B$60,$AW193,SUMIF($B$10:$B$16,"NCAP_TLIFE",$AX$10:$AX$16)),0,""))</f>
        <v/>
      </c>
      <c r="AR193" s="369" t="str">
        <f ca="1">IF($B193&lt;&gt;"PRC_RESID","",IF(AR$7=2005+OFFSET(COM_2012!$B$60,$AW193,SUMIF($B$10:$B$16,"NCAP_TLIFE",$AX$10:$AX$16)),0,""))</f>
        <v/>
      </c>
      <c r="AS193" s="369" t="str">
        <f ca="1">IF($B193&lt;&gt;"PRC_RESID","",IF(AS$7=2005+OFFSET(COM_2012!$B$60,$AW193,SUMIF($B$10:$B$16,"NCAP_TLIFE",$AX$10:$AX$16)),0,""))</f>
        <v/>
      </c>
      <c r="AT193" s="369" t="str">
        <f ca="1">IF($B193&lt;&gt;"PRC_RESID","",IF(AT$7=2005+OFFSET(COM_2012!$B$60,$AW193,SUMIF($B$10:$B$16,"NCAP_TLIFE",$AX$10:$AX$16)),0,""))</f>
        <v/>
      </c>
      <c r="AU193" s="369" t="str">
        <f ca="1">IF($B193&lt;&gt;"PRC_RESID","",IF(AU$7=2005+OFFSET(COM_2012!$B$60,$AW193,SUMIF($B$10:$B$16,"NCAP_TLIFE",$AX$10:$AX$16)),0,""))</f>
        <v/>
      </c>
      <c r="AV193" s="304">
        <f>IF(AW192=COM_2012!$AI$121,AV192+1,AV192)</f>
        <v>3</v>
      </c>
      <c r="AW193" s="304">
        <f t="shared" si="17"/>
        <v>44</v>
      </c>
    </row>
    <row r="194" spans="1:49">
      <c r="A194" s="304" t="str">
        <f ca="1">IF(LEFT(OFFSET(COM_2012!$A$60,AW194,0),2)="\I","*","")</f>
        <v/>
      </c>
      <c r="B194" s="369" t="str">
        <f t="shared" ca="1" si="16"/>
        <v>NCAP_TLIFE</v>
      </c>
      <c r="C194" s="369" t="str">
        <f ca="1">IF($A194="*","",OFFSET(COM_2012!$B$60,AW194,0))</f>
        <v>CEGELCHPS-E</v>
      </c>
      <c r="D194" s="369" t="str">
        <f t="shared" ca="1" si="19"/>
        <v>-</v>
      </c>
      <c r="E194" s="369" t="str">
        <f t="shared" ca="1" si="19"/>
        <v>-</v>
      </c>
      <c r="F194" s="369" t="str">
        <f t="shared" ca="1" si="19"/>
        <v>-</v>
      </c>
      <c r="G194" s="369" t="str">
        <f t="shared" ca="1" si="19"/>
        <v>-</v>
      </c>
      <c r="H194" s="369" t="str">
        <f t="shared" ca="1" si="19"/>
        <v>-</v>
      </c>
      <c r="I194" s="370">
        <f t="shared" ca="1" si="19"/>
        <v>0</v>
      </c>
      <c r="J194" s="391">
        <f ca="1">IF($A194="*","",OFFSET(COM_2012!$B$60,AW194,SUMIF($B$10:$B$16,B194,$AX$10:$AX$16)))</f>
        <v>12</v>
      </c>
      <c r="K194" s="369" t="str">
        <f ca="1">IF($B194&lt;&gt;"PRC_RESID","",IF(K$7=2005+OFFSET(COM_2012!$B$60,$AW194,SUMIF($B$10:$B$16,"NCAP_TLIFE",$AX$10:$AX$16)),0,""))</f>
        <v/>
      </c>
      <c r="L194" s="369" t="str">
        <f ca="1">IF($B194&lt;&gt;"PRC_RESID","",IF(L$7=2005+OFFSET(COM_2012!$B$60,$AW194,SUMIF($B$10:$B$16,"NCAP_TLIFE",$AX$10:$AX$16)),0,""))</f>
        <v/>
      </c>
      <c r="M194" s="369" t="str">
        <f ca="1">IF($B194&lt;&gt;"PRC_RESID","",IF(M$7=2005+OFFSET(COM_2012!$B$60,$AW194,SUMIF($B$10:$B$16,"NCAP_TLIFE",$AX$10:$AX$16)),0,""))</f>
        <v/>
      </c>
      <c r="N194" s="369" t="str">
        <f ca="1">IF($B194&lt;&gt;"PRC_RESID","",IF(N$7=2005+OFFSET(COM_2012!$B$60,$AW194,SUMIF($B$10:$B$16,"NCAP_TLIFE",$AX$10:$AX$16)),0,""))</f>
        <v/>
      </c>
      <c r="O194" s="658" t="str">
        <f ca="1">IF($B194&lt;&gt;"PRC_RESID","",IF(O$7=2005+OFFSET(COM_2012!$B$60,$AW194,SUMIF($B$10:$B$16,"NCAP_TLIFE",$AX$10:$AX$16)),0,""))</f>
        <v/>
      </c>
      <c r="P194" s="369" t="str">
        <f ca="1">IF($B194&lt;&gt;"PRC_RESID","",IF(P$7=2005+OFFSET(COM_2012!$B$60,$AW194,SUMIF($B$10:$B$16,"NCAP_TLIFE",$AX$10:$AX$16)),0,""))</f>
        <v/>
      </c>
      <c r="Q194" s="369" t="str">
        <f ca="1">IF($B194&lt;&gt;"PRC_RESID","",IF(Q$7=2005+OFFSET(COM_2012!$B$60,$AW194,SUMIF($B$10:$B$16,"NCAP_TLIFE",$AX$10:$AX$16)),0,""))</f>
        <v/>
      </c>
      <c r="R194" s="369" t="str">
        <f ca="1">IF($B194&lt;&gt;"PRC_RESID","",IF(R$7=2005+OFFSET(COM_2012!$B$60,$AW194,SUMIF($B$10:$B$16,"NCAP_TLIFE",$AX$10:$AX$16)),0,""))</f>
        <v/>
      </c>
      <c r="S194" s="369" t="str">
        <f ca="1">IF($B194&lt;&gt;"PRC_RESID","",IF(S$7=2005+OFFSET(COM_2012!$B$60,$AW194,SUMIF($B$10:$B$16,"NCAP_TLIFE",$AX$10:$AX$16)),0,""))</f>
        <v/>
      </c>
      <c r="T194" s="369" t="str">
        <f ca="1">IF($B194&lt;&gt;"PRC_RESID","",IF(T$7=2005+OFFSET(COM_2012!$B$60,$AW194,SUMIF($B$10:$B$16,"NCAP_TLIFE",$AX$10:$AX$16)),0,""))</f>
        <v/>
      </c>
      <c r="U194" s="369" t="str">
        <f ca="1">IF($B194&lt;&gt;"PRC_RESID","",IF(U$7=2005+OFFSET(COM_2012!$B$60,$AW194,SUMIF($B$10:$B$16,"NCAP_TLIFE",$AX$10:$AX$16)),0,""))</f>
        <v/>
      </c>
      <c r="V194" s="369" t="str">
        <f ca="1">IF($B194&lt;&gt;"PRC_RESID","",IF(V$7=2005+OFFSET(COM_2012!$B$60,$AW194,SUMIF($B$10:$B$16,"NCAP_TLIFE",$AX$10:$AX$16)),0,""))</f>
        <v/>
      </c>
      <c r="W194" s="369" t="str">
        <f ca="1">IF($B194&lt;&gt;"PRC_RESID","",IF(W$7=2005+OFFSET(COM_2012!$B$60,$AW194,SUMIF($B$10:$B$16,"NCAP_TLIFE",$AX$10:$AX$16)),0,""))</f>
        <v/>
      </c>
      <c r="X194" s="369" t="str">
        <f ca="1">IF($B194&lt;&gt;"PRC_RESID","",IF(X$7=2005+OFFSET(COM_2012!$B$60,$AW194,SUMIF($B$10:$B$16,"NCAP_TLIFE",$AX$10:$AX$16)),0,""))</f>
        <v/>
      </c>
      <c r="Y194" s="369" t="str">
        <f ca="1">IF($B194&lt;&gt;"PRC_RESID","",IF(Y$7=2005+OFFSET(COM_2012!$B$60,$AW194,SUMIF($B$10:$B$16,"NCAP_TLIFE",$AX$10:$AX$16)),0,""))</f>
        <v/>
      </c>
      <c r="Z194" s="369" t="str">
        <f ca="1">IF($B194&lt;&gt;"PRC_RESID","",IF(Z$7=2005+OFFSET(COM_2012!$B$60,$AW194,SUMIF($B$10:$B$16,"NCAP_TLIFE",$AX$10:$AX$16)),0,""))</f>
        <v/>
      </c>
      <c r="AA194" s="369" t="str">
        <f ca="1">IF($B194&lt;&gt;"PRC_RESID","",IF(AA$7=2005+OFFSET(COM_2012!$B$60,$AW194,SUMIF($B$10:$B$16,"NCAP_TLIFE",$AX$10:$AX$16)),0,""))</f>
        <v/>
      </c>
      <c r="AB194" s="369" t="str">
        <f ca="1">IF($B194&lt;&gt;"PRC_RESID","",IF(AB$7=2005+OFFSET(COM_2012!$B$60,$AW194,SUMIF($B$10:$B$16,"NCAP_TLIFE",$AX$10:$AX$16)),0,""))</f>
        <v/>
      </c>
      <c r="AC194" s="369" t="str">
        <f ca="1">IF($B194&lt;&gt;"PRC_RESID","",IF(AC$7=2005+OFFSET(COM_2012!$B$60,$AW194,SUMIF($B$10:$B$16,"NCAP_TLIFE",$AX$10:$AX$16)),0,""))</f>
        <v/>
      </c>
      <c r="AD194" s="369" t="str">
        <f ca="1">IF($B194&lt;&gt;"PRC_RESID","",IF(AD$7=2005+OFFSET(COM_2012!$B$60,$AW194,SUMIF($B$10:$B$16,"NCAP_TLIFE",$AX$10:$AX$16)),0,""))</f>
        <v/>
      </c>
      <c r="AE194" s="369" t="str">
        <f ca="1">IF($B194&lt;&gt;"PRC_RESID","",IF(AE$7=2005+OFFSET(COM_2012!$B$60,$AW194,SUMIF($B$10:$B$16,"NCAP_TLIFE",$AX$10:$AX$16)),0,""))</f>
        <v/>
      </c>
      <c r="AF194" s="369" t="str">
        <f ca="1">IF($B194&lt;&gt;"PRC_RESID","",IF(AF$7=2005+OFFSET(COM_2012!$B$60,$AW194,SUMIF($B$10:$B$16,"NCAP_TLIFE",$AX$10:$AX$16)),0,""))</f>
        <v/>
      </c>
      <c r="AG194" s="369" t="str">
        <f ca="1">IF($B194&lt;&gt;"PRC_RESID","",IF(AG$7=2005+OFFSET(COM_2012!$B$60,$AW194,SUMIF($B$10:$B$16,"NCAP_TLIFE",$AX$10:$AX$16)),0,""))</f>
        <v/>
      </c>
      <c r="AH194" s="369" t="str">
        <f ca="1">IF($B194&lt;&gt;"PRC_RESID","",IF(AH$7=2005+OFFSET(COM_2012!$B$60,$AW194,SUMIF($B$10:$B$16,"NCAP_TLIFE",$AX$10:$AX$16)),0,""))</f>
        <v/>
      </c>
      <c r="AI194" s="369" t="str">
        <f ca="1">IF($B194&lt;&gt;"PRC_RESID","",IF(AI$7=2005+OFFSET(COM_2012!$B$60,$AW194,SUMIF($B$10:$B$16,"NCAP_TLIFE",$AX$10:$AX$16)),0,""))</f>
        <v/>
      </c>
      <c r="AJ194" s="369" t="str">
        <f ca="1">IF($B194&lt;&gt;"PRC_RESID","",IF(AJ$7=2005+OFFSET(COM_2012!$B$60,$AW194,SUMIF($B$10:$B$16,"NCAP_TLIFE",$AX$10:$AX$16)),0,""))</f>
        <v/>
      </c>
      <c r="AK194" s="369" t="str">
        <f ca="1">IF($B194&lt;&gt;"PRC_RESID","",IF(AK$7=2005+OFFSET(COM_2012!$B$60,$AW194,SUMIF($B$10:$B$16,"NCAP_TLIFE",$AX$10:$AX$16)),0,""))</f>
        <v/>
      </c>
      <c r="AL194" s="369" t="str">
        <f ca="1">IF($B194&lt;&gt;"PRC_RESID","",IF(AL$7=2005+OFFSET(COM_2012!$B$60,$AW194,SUMIF($B$10:$B$16,"NCAP_TLIFE",$AX$10:$AX$16)),0,""))</f>
        <v/>
      </c>
      <c r="AM194" s="369" t="str">
        <f ca="1">IF($B194&lt;&gt;"PRC_RESID","",IF(AM$7=2005+OFFSET(COM_2012!$B$60,$AW194,SUMIF($B$10:$B$16,"NCAP_TLIFE",$AX$10:$AX$16)),0,""))</f>
        <v/>
      </c>
      <c r="AN194" s="369" t="str">
        <f ca="1">IF($B194&lt;&gt;"PRC_RESID","",IF(AN$7=2005+OFFSET(COM_2012!$B$60,$AW194,SUMIF($B$10:$B$16,"NCAP_TLIFE",$AX$10:$AX$16)),0,""))</f>
        <v/>
      </c>
      <c r="AO194" s="369" t="str">
        <f ca="1">IF($B194&lt;&gt;"PRC_RESID","",IF(AO$7=2005+OFFSET(COM_2012!$B$60,$AW194,SUMIF($B$10:$B$16,"NCAP_TLIFE",$AX$10:$AX$16)),0,""))</f>
        <v/>
      </c>
      <c r="AP194" s="369" t="str">
        <f ca="1">IF($B194&lt;&gt;"PRC_RESID","",IF(AP$7=2005+OFFSET(COM_2012!$B$60,$AW194,SUMIF($B$10:$B$16,"NCAP_TLIFE",$AX$10:$AX$16)),0,""))</f>
        <v/>
      </c>
      <c r="AQ194" s="369" t="str">
        <f ca="1">IF($B194&lt;&gt;"PRC_RESID","",IF(AQ$7=2005+OFFSET(COM_2012!$B$60,$AW194,SUMIF($B$10:$B$16,"NCAP_TLIFE",$AX$10:$AX$16)),0,""))</f>
        <v/>
      </c>
      <c r="AR194" s="369" t="str">
        <f ca="1">IF($B194&lt;&gt;"PRC_RESID","",IF(AR$7=2005+OFFSET(COM_2012!$B$60,$AW194,SUMIF($B$10:$B$16,"NCAP_TLIFE",$AX$10:$AX$16)),0,""))</f>
        <v/>
      </c>
      <c r="AS194" s="369" t="str">
        <f ca="1">IF($B194&lt;&gt;"PRC_RESID","",IF(AS$7=2005+OFFSET(COM_2012!$B$60,$AW194,SUMIF($B$10:$B$16,"NCAP_TLIFE",$AX$10:$AX$16)),0,""))</f>
        <v/>
      </c>
      <c r="AT194" s="369" t="str">
        <f ca="1">IF($B194&lt;&gt;"PRC_RESID","",IF(AT$7=2005+OFFSET(COM_2012!$B$60,$AW194,SUMIF($B$10:$B$16,"NCAP_TLIFE",$AX$10:$AX$16)),0,""))</f>
        <v/>
      </c>
      <c r="AU194" s="369" t="str">
        <f ca="1">IF($B194&lt;&gt;"PRC_RESID","",IF(AU$7=2005+OFFSET(COM_2012!$B$60,$AW194,SUMIF($B$10:$B$16,"NCAP_TLIFE",$AX$10:$AX$16)),0,""))</f>
        <v/>
      </c>
      <c r="AV194" s="304">
        <f>IF(AW193=COM_2012!$AI$121,AV193+1,AV193)</f>
        <v>3</v>
      </c>
      <c r="AW194" s="304">
        <f t="shared" si="17"/>
        <v>45</v>
      </c>
    </row>
    <row r="195" spans="1:49">
      <c r="A195" s="304" t="str">
        <f ca="1">IF(LEFT(OFFSET(COM_2012!$A$60,AW195,0),2)="\I","*","")</f>
        <v/>
      </c>
      <c r="B195" s="369" t="str">
        <f t="shared" ca="1" si="16"/>
        <v>NCAP_TLIFE</v>
      </c>
      <c r="C195" s="369" t="str">
        <f ca="1">IF($A195="*","",OFFSET(COM_2012!$B$60,AW195,0))</f>
        <v>CEGELCMHL-E</v>
      </c>
      <c r="D195" s="369" t="str">
        <f t="shared" ca="1" si="19"/>
        <v>-</v>
      </c>
      <c r="E195" s="369" t="str">
        <f t="shared" ca="1" si="19"/>
        <v>-</v>
      </c>
      <c r="F195" s="369" t="str">
        <f t="shared" ca="1" si="19"/>
        <v>-</v>
      </c>
      <c r="G195" s="369" t="str">
        <f t="shared" ca="1" si="19"/>
        <v>-</v>
      </c>
      <c r="H195" s="369" t="str">
        <f t="shared" ca="1" si="19"/>
        <v>-</v>
      </c>
      <c r="I195" s="370">
        <f t="shared" ca="1" si="19"/>
        <v>0</v>
      </c>
      <c r="J195" s="391">
        <f ca="1">IF($A195="*","",OFFSET(COM_2012!$B$60,AW195,SUMIF($B$10:$B$16,B195,$AX$10:$AX$16)))</f>
        <v>10</v>
      </c>
      <c r="K195" s="369" t="str">
        <f ca="1">IF($B195&lt;&gt;"PRC_RESID","",IF(K$7=2005+OFFSET(COM_2012!$B$60,$AW195,SUMIF($B$10:$B$16,"NCAP_TLIFE",$AX$10:$AX$16)),0,""))</f>
        <v/>
      </c>
      <c r="L195" s="369" t="str">
        <f ca="1">IF($B195&lt;&gt;"PRC_RESID","",IF(L$7=2005+OFFSET(COM_2012!$B$60,$AW195,SUMIF($B$10:$B$16,"NCAP_TLIFE",$AX$10:$AX$16)),0,""))</f>
        <v/>
      </c>
      <c r="M195" s="369" t="str">
        <f ca="1">IF($B195&lt;&gt;"PRC_RESID","",IF(M$7=2005+OFFSET(COM_2012!$B$60,$AW195,SUMIF($B$10:$B$16,"NCAP_TLIFE",$AX$10:$AX$16)),0,""))</f>
        <v/>
      </c>
      <c r="N195" s="369" t="str">
        <f ca="1">IF($B195&lt;&gt;"PRC_RESID","",IF(N$7=2005+OFFSET(COM_2012!$B$60,$AW195,SUMIF($B$10:$B$16,"NCAP_TLIFE",$AX$10:$AX$16)),0,""))</f>
        <v/>
      </c>
      <c r="O195" s="658" t="str">
        <f ca="1">IF($B195&lt;&gt;"PRC_RESID","",IF(O$7=2005+OFFSET(COM_2012!$B$60,$AW195,SUMIF($B$10:$B$16,"NCAP_TLIFE",$AX$10:$AX$16)),0,""))</f>
        <v/>
      </c>
      <c r="P195" s="369" t="str">
        <f ca="1">IF($B195&lt;&gt;"PRC_RESID","",IF(P$7=2005+OFFSET(COM_2012!$B$60,$AW195,SUMIF($B$10:$B$16,"NCAP_TLIFE",$AX$10:$AX$16)),0,""))</f>
        <v/>
      </c>
      <c r="Q195" s="369" t="str">
        <f ca="1">IF($B195&lt;&gt;"PRC_RESID","",IF(Q$7=2005+OFFSET(COM_2012!$B$60,$AW195,SUMIF($B$10:$B$16,"NCAP_TLIFE",$AX$10:$AX$16)),0,""))</f>
        <v/>
      </c>
      <c r="R195" s="369" t="str">
        <f ca="1">IF($B195&lt;&gt;"PRC_RESID","",IF(R$7=2005+OFFSET(COM_2012!$B$60,$AW195,SUMIF($B$10:$B$16,"NCAP_TLIFE",$AX$10:$AX$16)),0,""))</f>
        <v/>
      </c>
      <c r="S195" s="369" t="str">
        <f ca="1">IF($B195&lt;&gt;"PRC_RESID","",IF(S$7=2005+OFFSET(COM_2012!$B$60,$AW195,SUMIF($B$10:$B$16,"NCAP_TLIFE",$AX$10:$AX$16)),0,""))</f>
        <v/>
      </c>
      <c r="T195" s="369" t="str">
        <f ca="1">IF($B195&lt;&gt;"PRC_RESID","",IF(T$7=2005+OFFSET(COM_2012!$B$60,$AW195,SUMIF($B$10:$B$16,"NCAP_TLIFE",$AX$10:$AX$16)),0,""))</f>
        <v/>
      </c>
      <c r="U195" s="369" t="str">
        <f ca="1">IF($B195&lt;&gt;"PRC_RESID","",IF(U$7=2005+OFFSET(COM_2012!$B$60,$AW195,SUMIF($B$10:$B$16,"NCAP_TLIFE",$AX$10:$AX$16)),0,""))</f>
        <v/>
      </c>
      <c r="V195" s="369" t="str">
        <f ca="1">IF($B195&lt;&gt;"PRC_RESID","",IF(V$7=2005+OFFSET(COM_2012!$B$60,$AW195,SUMIF($B$10:$B$16,"NCAP_TLIFE",$AX$10:$AX$16)),0,""))</f>
        <v/>
      </c>
      <c r="W195" s="369" t="str">
        <f ca="1">IF($B195&lt;&gt;"PRC_RESID","",IF(W$7=2005+OFFSET(COM_2012!$B$60,$AW195,SUMIF($B$10:$B$16,"NCAP_TLIFE",$AX$10:$AX$16)),0,""))</f>
        <v/>
      </c>
      <c r="X195" s="369" t="str">
        <f ca="1">IF($B195&lt;&gt;"PRC_RESID","",IF(X$7=2005+OFFSET(COM_2012!$B$60,$AW195,SUMIF($B$10:$B$16,"NCAP_TLIFE",$AX$10:$AX$16)),0,""))</f>
        <v/>
      </c>
      <c r="Y195" s="369" t="str">
        <f ca="1">IF($B195&lt;&gt;"PRC_RESID","",IF(Y$7=2005+OFFSET(COM_2012!$B$60,$AW195,SUMIF($B$10:$B$16,"NCAP_TLIFE",$AX$10:$AX$16)),0,""))</f>
        <v/>
      </c>
      <c r="Z195" s="369" t="str">
        <f ca="1">IF($B195&lt;&gt;"PRC_RESID","",IF(Z$7=2005+OFFSET(COM_2012!$B$60,$AW195,SUMIF($B$10:$B$16,"NCAP_TLIFE",$AX$10:$AX$16)),0,""))</f>
        <v/>
      </c>
      <c r="AA195" s="369" t="str">
        <f ca="1">IF($B195&lt;&gt;"PRC_RESID","",IF(AA$7=2005+OFFSET(COM_2012!$B$60,$AW195,SUMIF($B$10:$B$16,"NCAP_TLIFE",$AX$10:$AX$16)),0,""))</f>
        <v/>
      </c>
      <c r="AB195" s="369" t="str">
        <f ca="1">IF($B195&lt;&gt;"PRC_RESID","",IF(AB$7=2005+OFFSET(COM_2012!$B$60,$AW195,SUMIF($B$10:$B$16,"NCAP_TLIFE",$AX$10:$AX$16)),0,""))</f>
        <v/>
      </c>
      <c r="AC195" s="369" t="str">
        <f ca="1">IF($B195&lt;&gt;"PRC_RESID","",IF(AC$7=2005+OFFSET(COM_2012!$B$60,$AW195,SUMIF($B$10:$B$16,"NCAP_TLIFE",$AX$10:$AX$16)),0,""))</f>
        <v/>
      </c>
      <c r="AD195" s="369" t="str">
        <f ca="1">IF($B195&lt;&gt;"PRC_RESID","",IF(AD$7=2005+OFFSET(COM_2012!$B$60,$AW195,SUMIF($B$10:$B$16,"NCAP_TLIFE",$AX$10:$AX$16)),0,""))</f>
        <v/>
      </c>
      <c r="AE195" s="369" t="str">
        <f ca="1">IF($B195&lt;&gt;"PRC_RESID","",IF(AE$7=2005+OFFSET(COM_2012!$B$60,$AW195,SUMIF($B$10:$B$16,"NCAP_TLIFE",$AX$10:$AX$16)),0,""))</f>
        <v/>
      </c>
      <c r="AF195" s="369" t="str">
        <f ca="1">IF($B195&lt;&gt;"PRC_RESID","",IF(AF$7=2005+OFFSET(COM_2012!$B$60,$AW195,SUMIF($B$10:$B$16,"NCAP_TLIFE",$AX$10:$AX$16)),0,""))</f>
        <v/>
      </c>
      <c r="AG195" s="369" t="str">
        <f ca="1">IF($B195&lt;&gt;"PRC_RESID","",IF(AG$7=2005+OFFSET(COM_2012!$B$60,$AW195,SUMIF($B$10:$B$16,"NCAP_TLIFE",$AX$10:$AX$16)),0,""))</f>
        <v/>
      </c>
      <c r="AH195" s="369" t="str">
        <f ca="1">IF($B195&lt;&gt;"PRC_RESID","",IF(AH$7=2005+OFFSET(COM_2012!$B$60,$AW195,SUMIF($B$10:$B$16,"NCAP_TLIFE",$AX$10:$AX$16)),0,""))</f>
        <v/>
      </c>
      <c r="AI195" s="369" t="str">
        <f ca="1">IF($B195&lt;&gt;"PRC_RESID","",IF(AI$7=2005+OFFSET(COM_2012!$B$60,$AW195,SUMIF($B$10:$B$16,"NCAP_TLIFE",$AX$10:$AX$16)),0,""))</f>
        <v/>
      </c>
      <c r="AJ195" s="369" t="str">
        <f ca="1">IF($B195&lt;&gt;"PRC_RESID","",IF(AJ$7=2005+OFFSET(COM_2012!$B$60,$AW195,SUMIF($B$10:$B$16,"NCAP_TLIFE",$AX$10:$AX$16)),0,""))</f>
        <v/>
      </c>
      <c r="AK195" s="369" t="str">
        <f ca="1">IF($B195&lt;&gt;"PRC_RESID","",IF(AK$7=2005+OFFSET(COM_2012!$B$60,$AW195,SUMIF($B$10:$B$16,"NCAP_TLIFE",$AX$10:$AX$16)),0,""))</f>
        <v/>
      </c>
      <c r="AL195" s="369" t="str">
        <f ca="1">IF($B195&lt;&gt;"PRC_RESID","",IF(AL$7=2005+OFFSET(COM_2012!$B$60,$AW195,SUMIF($B$10:$B$16,"NCAP_TLIFE",$AX$10:$AX$16)),0,""))</f>
        <v/>
      </c>
      <c r="AM195" s="369" t="str">
        <f ca="1">IF($B195&lt;&gt;"PRC_RESID","",IF(AM$7=2005+OFFSET(COM_2012!$B$60,$AW195,SUMIF($B$10:$B$16,"NCAP_TLIFE",$AX$10:$AX$16)),0,""))</f>
        <v/>
      </c>
      <c r="AN195" s="369" t="str">
        <f ca="1">IF($B195&lt;&gt;"PRC_RESID","",IF(AN$7=2005+OFFSET(COM_2012!$B$60,$AW195,SUMIF($B$10:$B$16,"NCAP_TLIFE",$AX$10:$AX$16)),0,""))</f>
        <v/>
      </c>
      <c r="AO195" s="369" t="str">
        <f ca="1">IF($B195&lt;&gt;"PRC_RESID","",IF(AO$7=2005+OFFSET(COM_2012!$B$60,$AW195,SUMIF($B$10:$B$16,"NCAP_TLIFE",$AX$10:$AX$16)),0,""))</f>
        <v/>
      </c>
      <c r="AP195" s="369" t="str">
        <f ca="1">IF($B195&lt;&gt;"PRC_RESID","",IF(AP$7=2005+OFFSET(COM_2012!$B$60,$AW195,SUMIF($B$10:$B$16,"NCAP_TLIFE",$AX$10:$AX$16)),0,""))</f>
        <v/>
      </c>
      <c r="AQ195" s="369" t="str">
        <f ca="1">IF($B195&lt;&gt;"PRC_RESID","",IF(AQ$7=2005+OFFSET(COM_2012!$B$60,$AW195,SUMIF($B$10:$B$16,"NCAP_TLIFE",$AX$10:$AX$16)),0,""))</f>
        <v/>
      </c>
      <c r="AR195" s="369" t="str">
        <f ca="1">IF($B195&lt;&gt;"PRC_RESID","",IF(AR$7=2005+OFFSET(COM_2012!$B$60,$AW195,SUMIF($B$10:$B$16,"NCAP_TLIFE",$AX$10:$AX$16)),0,""))</f>
        <v/>
      </c>
      <c r="AS195" s="369" t="str">
        <f ca="1">IF($B195&lt;&gt;"PRC_RESID","",IF(AS$7=2005+OFFSET(COM_2012!$B$60,$AW195,SUMIF($B$10:$B$16,"NCAP_TLIFE",$AX$10:$AX$16)),0,""))</f>
        <v/>
      </c>
      <c r="AT195" s="369" t="str">
        <f ca="1">IF($B195&lt;&gt;"PRC_RESID","",IF(AT$7=2005+OFFSET(COM_2012!$B$60,$AW195,SUMIF($B$10:$B$16,"NCAP_TLIFE",$AX$10:$AX$16)),0,""))</f>
        <v/>
      </c>
      <c r="AU195" s="369" t="str">
        <f ca="1">IF($B195&lt;&gt;"PRC_RESID","",IF(AU$7=2005+OFFSET(COM_2012!$B$60,$AW195,SUMIF($B$10:$B$16,"NCAP_TLIFE",$AX$10:$AX$16)),0,""))</f>
        <v/>
      </c>
      <c r="AV195" s="304">
        <f>IF(AW194=COM_2012!$AI$121,AV194+1,AV194)</f>
        <v>3</v>
      </c>
      <c r="AW195" s="304">
        <f t="shared" si="17"/>
        <v>46</v>
      </c>
    </row>
    <row r="196" spans="1:49">
      <c r="A196" s="304" t="str">
        <f ca="1">IF(LEFT(OFFSET(COM_2012!$A$60,AW196,0),2)="\I","*","")</f>
        <v/>
      </c>
      <c r="B196" s="369" t="str">
        <f t="shared" ca="1" si="16"/>
        <v>NCAP_TLIFE</v>
      </c>
      <c r="C196" s="369" t="str">
        <f ca="1">IF($A196="*","",OFFSET(COM_2012!$B$60,AW196,0))</f>
        <v>CEGELCLED-N</v>
      </c>
      <c r="D196" s="369" t="str">
        <f t="shared" ca="1" si="19"/>
        <v>-</v>
      </c>
      <c r="E196" s="369" t="str">
        <f t="shared" ca="1" si="19"/>
        <v>-</v>
      </c>
      <c r="F196" s="369" t="str">
        <f t="shared" ca="1" si="19"/>
        <v>-</v>
      </c>
      <c r="G196" s="369" t="str">
        <f t="shared" ca="1" si="19"/>
        <v>-</v>
      </c>
      <c r="H196" s="369" t="str">
        <f t="shared" ca="1" si="19"/>
        <v>-</v>
      </c>
      <c r="I196" s="370">
        <f t="shared" ca="1" si="19"/>
        <v>0</v>
      </c>
      <c r="J196" s="391">
        <f ca="1">IF($A196="*","",OFFSET(COM_2012!$B$60,AW196,SUMIF($B$10:$B$16,B196,$AX$10:$AX$16)))</f>
        <v>10</v>
      </c>
      <c r="K196" s="369" t="str">
        <f ca="1">IF($B196&lt;&gt;"PRC_RESID","",IF(K$7=2005+OFFSET(COM_2012!$B$60,$AW196,SUMIF($B$10:$B$16,"NCAP_TLIFE",$AX$10:$AX$16)),0,""))</f>
        <v/>
      </c>
      <c r="L196" s="369" t="str">
        <f ca="1">IF($B196&lt;&gt;"PRC_RESID","",IF(L$7=2005+OFFSET(COM_2012!$B$60,$AW196,SUMIF($B$10:$B$16,"NCAP_TLIFE",$AX$10:$AX$16)),0,""))</f>
        <v/>
      </c>
      <c r="M196" s="369" t="str">
        <f ca="1">IF($B196&lt;&gt;"PRC_RESID","",IF(M$7=2005+OFFSET(COM_2012!$B$60,$AW196,SUMIF($B$10:$B$16,"NCAP_TLIFE",$AX$10:$AX$16)),0,""))</f>
        <v/>
      </c>
      <c r="N196" s="369" t="str">
        <f ca="1">IF($B196&lt;&gt;"PRC_RESID","",IF(N$7=2005+OFFSET(COM_2012!$B$60,$AW196,SUMIF($B$10:$B$16,"NCAP_TLIFE",$AX$10:$AX$16)),0,""))</f>
        <v/>
      </c>
      <c r="O196" s="658" t="str">
        <f ca="1">IF($B196&lt;&gt;"PRC_RESID","",IF(O$7=2005+OFFSET(COM_2012!$B$60,$AW196,SUMIF($B$10:$B$16,"NCAP_TLIFE",$AX$10:$AX$16)),0,""))</f>
        <v/>
      </c>
      <c r="P196" s="369" t="str">
        <f ca="1">IF($B196&lt;&gt;"PRC_RESID","",IF(P$7=2005+OFFSET(COM_2012!$B$60,$AW196,SUMIF($B$10:$B$16,"NCAP_TLIFE",$AX$10:$AX$16)),0,""))</f>
        <v/>
      </c>
      <c r="Q196" s="369" t="str">
        <f ca="1">IF($B196&lt;&gt;"PRC_RESID","",IF(Q$7=2005+OFFSET(COM_2012!$B$60,$AW196,SUMIF($B$10:$B$16,"NCAP_TLIFE",$AX$10:$AX$16)),0,""))</f>
        <v/>
      </c>
      <c r="R196" s="369" t="str">
        <f ca="1">IF($B196&lt;&gt;"PRC_RESID","",IF(R$7=2005+OFFSET(COM_2012!$B$60,$AW196,SUMIF($B$10:$B$16,"NCAP_TLIFE",$AX$10:$AX$16)),0,""))</f>
        <v/>
      </c>
      <c r="S196" s="369" t="str">
        <f ca="1">IF($B196&lt;&gt;"PRC_RESID","",IF(S$7=2005+OFFSET(COM_2012!$B$60,$AW196,SUMIF($B$10:$B$16,"NCAP_TLIFE",$AX$10:$AX$16)),0,""))</f>
        <v/>
      </c>
      <c r="T196" s="369" t="str">
        <f ca="1">IF($B196&lt;&gt;"PRC_RESID","",IF(T$7=2005+OFFSET(COM_2012!$B$60,$AW196,SUMIF($B$10:$B$16,"NCAP_TLIFE",$AX$10:$AX$16)),0,""))</f>
        <v/>
      </c>
      <c r="U196" s="369" t="str">
        <f ca="1">IF($B196&lt;&gt;"PRC_RESID","",IF(U$7=2005+OFFSET(COM_2012!$B$60,$AW196,SUMIF($B$10:$B$16,"NCAP_TLIFE",$AX$10:$AX$16)),0,""))</f>
        <v/>
      </c>
      <c r="V196" s="369" t="str">
        <f ca="1">IF($B196&lt;&gt;"PRC_RESID","",IF(V$7=2005+OFFSET(COM_2012!$B$60,$AW196,SUMIF($B$10:$B$16,"NCAP_TLIFE",$AX$10:$AX$16)),0,""))</f>
        <v/>
      </c>
      <c r="W196" s="369" t="str">
        <f ca="1">IF($B196&lt;&gt;"PRC_RESID","",IF(W$7=2005+OFFSET(COM_2012!$B$60,$AW196,SUMIF($B$10:$B$16,"NCAP_TLIFE",$AX$10:$AX$16)),0,""))</f>
        <v/>
      </c>
      <c r="X196" s="369" t="str">
        <f ca="1">IF($B196&lt;&gt;"PRC_RESID","",IF(X$7=2005+OFFSET(COM_2012!$B$60,$AW196,SUMIF($B$10:$B$16,"NCAP_TLIFE",$AX$10:$AX$16)),0,""))</f>
        <v/>
      </c>
      <c r="Y196" s="369" t="str">
        <f ca="1">IF($B196&lt;&gt;"PRC_RESID","",IF(Y$7=2005+OFFSET(COM_2012!$B$60,$AW196,SUMIF($B$10:$B$16,"NCAP_TLIFE",$AX$10:$AX$16)),0,""))</f>
        <v/>
      </c>
      <c r="Z196" s="369" t="str">
        <f ca="1">IF($B196&lt;&gt;"PRC_RESID","",IF(Z$7=2005+OFFSET(COM_2012!$B$60,$AW196,SUMIF($B$10:$B$16,"NCAP_TLIFE",$AX$10:$AX$16)),0,""))</f>
        <v/>
      </c>
      <c r="AA196" s="369" t="str">
        <f ca="1">IF($B196&lt;&gt;"PRC_RESID","",IF(AA$7=2005+OFFSET(COM_2012!$B$60,$AW196,SUMIF($B$10:$B$16,"NCAP_TLIFE",$AX$10:$AX$16)),0,""))</f>
        <v/>
      </c>
      <c r="AB196" s="369" t="str">
        <f ca="1">IF($B196&lt;&gt;"PRC_RESID","",IF(AB$7=2005+OFFSET(COM_2012!$B$60,$AW196,SUMIF($B$10:$B$16,"NCAP_TLIFE",$AX$10:$AX$16)),0,""))</f>
        <v/>
      </c>
      <c r="AC196" s="369" t="str">
        <f ca="1">IF($B196&lt;&gt;"PRC_RESID","",IF(AC$7=2005+OFFSET(COM_2012!$B$60,$AW196,SUMIF($B$10:$B$16,"NCAP_TLIFE",$AX$10:$AX$16)),0,""))</f>
        <v/>
      </c>
      <c r="AD196" s="369" t="str">
        <f ca="1">IF($B196&lt;&gt;"PRC_RESID","",IF(AD$7=2005+OFFSET(COM_2012!$B$60,$AW196,SUMIF($B$10:$B$16,"NCAP_TLIFE",$AX$10:$AX$16)),0,""))</f>
        <v/>
      </c>
      <c r="AE196" s="369" t="str">
        <f ca="1">IF($B196&lt;&gt;"PRC_RESID","",IF(AE$7=2005+OFFSET(COM_2012!$B$60,$AW196,SUMIF($B$10:$B$16,"NCAP_TLIFE",$AX$10:$AX$16)),0,""))</f>
        <v/>
      </c>
      <c r="AF196" s="369" t="str">
        <f ca="1">IF($B196&lt;&gt;"PRC_RESID","",IF(AF$7=2005+OFFSET(COM_2012!$B$60,$AW196,SUMIF($B$10:$B$16,"NCAP_TLIFE",$AX$10:$AX$16)),0,""))</f>
        <v/>
      </c>
      <c r="AG196" s="369" t="str">
        <f ca="1">IF($B196&lt;&gt;"PRC_RESID","",IF(AG$7=2005+OFFSET(COM_2012!$B$60,$AW196,SUMIF($B$10:$B$16,"NCAP_TLIFE",$AX$10:$AX$16)),0,""))</f>
        <v/>
      </c>
      <c r="AH196" s="369" t="str">
        <f ca="1">IF($B196&lt;&gt;"PRC_RESID","",IF(AH$7=2005+OFFSET(COM_2012!$B$60,$AW196,SUMIF($B$10:$B$16,"NCAP_TLIFE",$AX$10:$AX$16)),0,""))</f>
        <v/>
      </c>
      <c r="AI196" s="369" t="str">
        <f ca="1">IF($B196&lt;&gt;"PRC_RESID","",IF(AI$7=2005+OFFSET(COM_2012!$B$60,$AW196,SUMIF($B$10:$B$16,"NCAP_TLIFE",$AX$10:$AX$16)),0,""))</f>
        <v/>
      </c>
      <c r="AJ196" s="369" t="str">
        <f ca="1">IF($B196&lt;&gt;"PRC_RESID","",IF(AJ$7=2005+OFFSET(COM_2012!$B$60,$AW196,SUMIF($B$10:$B$16,"NCAP_TLIFE",$AX$10:$AX$16)),0,""))</f>
        <v/>
      </c>
      <c r="AK196" s="369" t="str">
        <f ca="1">IF($B196&lt;&gt;"PRC_RESID","",IF(AK$7=2005+OFFSET(COM_2012!$B$60,$AW196,SUMIF($B$10:$B$16,"NCAP_TLIFE",$AX$10:$AX$16)),0,""))</f>
        <v/>
      </c>
      <c r="AL196" s="369" t="str">
        <f ca="1">IF($B196&lt;&gt;"PRC_RESID","",IF(AL$7=2005+OFFSET(COM_2012!$B$60,$AW196,SUMIF($B$10:$B$16,"NCAP_TLIFE",$AX$10:$AX$16)),0,""))</f>
        <v/>
      </c>
      <c r="AM196" s="369" t="str">
        <f ca="1">IF($B196&lt;&gt;"PRC_RESID","",IF(AM$7=2005+OFFSET(COM_2012!$B$60,$AW196,SUMIF($B$10:$B$16,"NCAP_TLIFE",$AX$10:$AX$16)),0,""))</f>
        <v/>
      </c>
      <c r="AN196" s="369" t="str">
        <f ca="1">IF($B196&lt;&gt;"PRC_RESID","",IF(AN$7=2005+OFFSET(COM_2012!$B$60,$AW196,SUMIF($B$10:$B$16,"NCAP_TLIFE",$AX$10:$AX$16)),0,""))</f>
        <v/>
      </c>
      <c r="AO196" s="369" t="str">
        <f ca="1">IF($B196&lt;&gt;"PRC_RESID","",IF(AO$7=2005+OFFSET(COM_2012!$B$60,$AW196,SUMIF($B$10:$B$16,"NCAP_TLIFE",$AX$10:$AX$16)),0,""))</f>
        <v/>
      </c>
      <c r="AP196" s="369" t="str">
        <f ca="1">IF($B196&lt;&gt;"PRC_RESID","",IF(AP$7=2005+OFFSET(COM_2012!$B$60,$AW196,SUMIF($B$10:$B$16,"NCAP_TLIFE",$AX$10:$AX$16)),0,""))</f>
        <v/>
      </c>
      <c r="AQ196" s="369" t="str">
        <f ca="1">IF($B196&lt;&gt;"PRC_RESID","",IF(AQ$7=2005+OFFSET(COM_2012!$B$60,$AW196,SUMIF($B$10:$B$16,"NCAP_TLIFE",$AX$10:$AX$16)),0,""))</f>
        <v/>
      </c>
      <c r="AR196" s="369" t="str">
        <f ca="1">IF($B196&lt;&gt;"PRC_RESID","",IF(AR$7=2005+OFFSET(COM_2012!$B$60,$AW196,SUMIF($B$10:$B$16,"NCAP_TLIFE",$AX$10:$AX$16)),0,""))</f>
        <v/>
      </c>
      <c r="AS196" s="369" t="str">
        <f ca="1">IF($B196&lt;&gt;"PRC_RESID","",IF(AS$7=2005+OFFSET(COM_2012!$B$60,$AW196,SUMIF($B$10:$B$16,"NCAP_TLIFE",$AX$10:$AX$16)),0,""))</f>
        <v/>
      </c>
      <c r="AT196" s="369" t="str">
        <f ca="1">IF($B196&lt;&gt;"PRC_RESID","",IF(AT$7=2005+OFFSET(COM_2012!$B$60,$AW196,SUMIF($B$10:$B$16,"NCAP_TLIFE",$AX$10:$AX$16)),0,""))</f>
        <v/>
      </c>
      <c r="AU196" s="369" t="str">
        <f ca="1">IF($B196&lt;&gt;"PRC_RESID","",IF(AU$7=2005+OFFSET(COM_2012!$B$60,$AW196,SUMIF($B$10:$B$16,"NCAP_TLIFE",$AX$10:$AX$16)),0,""))</f>
        <v/>
      </c>
      <c r="AV196" s="304">
        <f>IF(AW195=COM_2012!$AI$121,AV195+1,AV195)</f>
        <v>3</v>
      </c>
      <c r="AW196" s="304">
        <f t="shared" si="17"/>
        <v>47</v>
      </c>
    </row>
    <row r="197" spans="1:49">
      <c r="A197" s="304" t="str">
        <f ca="1">IF(LEFT(OFFSET(COM_2012!$A$60,AW197,0),2)="\I","*","")</f>
        <v>*</v>
      </c>
      <c r="B197" s="369" t="str">
        <f t="shared" ca="1" si="16"/>
        <v/>
      </c>
      <c r="C197" s="369" t="str">
        <f ca="1">IF($A197="*","",OFFSET(COM_2012!$B$60,AW197,0))</f>
        <v/>
      </c>
      <c r="D197" s="369" t="str">
        <f t="shared" ca="1" si="19"/>
        <v/>
      </c>
      <c r="E197" s="369" t="str">
        <f t="shared" ca="1" si="19"/>
        <v/>
      </c>
      <c r="F197" s="369" t="str">
        <f t="shared" ca="1" si="19"/>
        <v/>
      </c>
      <c r="G197" s="369" t="str">
        <f t="shared" ca="1" si="19"/>
        <v/>
      </c>
      <c r="H197" s="369" t="str">
        <f t="shared" ca="1" si="19"/>
        <v/>
      </c>
      <c r="I197" s="370" t="str">
        <f t="shared" ca="1" si="19"/>
        <v/>
      </c>
      <c r="J197" s="391" t="str">
        <f ca="1">IF($A197="*","",OFFSET(COM_2012!$B$60,AW197,SUMIF($B$10:$B$16,B197,$AX$10:$AX$16)))</f>
        <v/>
      </c>
      <c r="K197" s="369" t="str">
        <f ca="1">IF($B197&lt;&gt;"PRC_RESID","",IF(K$7=2005+OFFSET(COM_2012!$B$60,$AW197,SUMIF($B$10:$B$16,"NCAP_TLIFE",$AX$10:$AX$16)),0,""))</f>
        <v/>
      </c>
      <c r="L197" s="369" t="str">
        <f ca="1">IF($B197&lt;&gt;"PRC_RESID","",IF(L$7=2005+OFFSET(COM_2012!$B$60,$AW197,SUMIF($B$10:$B$16,"NCAP_TLIFE",$AX$10:$AX$16)),0,""))</f>
        <v/>
      </c>
      <c r="M197" s="369" t="str">
        <f ca="1">IF($B197&lt;&gt;"PRC_RESID","",IF(M$7=2005+OFFSET(COM_2012!$B$60,$AW197,SUMIF($B$10:$B$16,"NCAP_TLIFE",$AX$10:$AX$16)),0,""))</f>
        <v/>
      </c>
      <c r="N197" s="369" t="str">
        <f ca="1">IF($B197&lt;&gt;"PRC_RESID","",IF(N$7=2005+OFFSET(COM_2012!$B$60,$AW197,SUMIF($B$10:$B$16,"NCAP_TLIFE",$AX$10:$AX$16)),0,""))</f>
        <v/>
      </c>
      <c r="O197" s="658" t="str">
        <f ca="1">IF($B197&lt;&gt;"PRC_RESID","",IF(O$7=2005+OFFSET(COM_2012!$B$60,$AW197,SUMIF($B$10:$B$16,"NCAP_TLIFE",$AX$10:$AX$16)),0,""))</f>
        <v/>
      </c>
      <c r="P197" s="369" t="str">
        <f ca="1">IF($B197&lt;&gt;"PRC_RESID","",IF(P$7=2005+OFFSET(COM_2012!$B$60,$AW197,SUMIF($B$10:$B$16,"NCAP_TLIFE",$AX$10:$AX$16)),0,""))</f>
        <v/>
      </c>
      <c r="Q197" s="369" t="str">
        <f ca="1">IF($B197&lt;&gt;"PRC_RESID","",IF(Q$7=2005+OFFSET(COM_2012!$B$60,$AW197,SUMIF($B$10:$B$16,"NCAP_TLIFE",$AX$10:$AX$16)),0,""))</f>
        <v/>
      </c>
      <c r="R197" s="369" t="str">
        <f ca="1">IF($B197&lt;&gt;"PRC_RESID","",IF(R$7=2005+OFFSET(COM_2012!$B$60,$AW197,SUMIF($B$10:$B$16,"NCAP_TLIFE",$AX$10:$AX$16)),0,""))</f>
        <v/>
      </c>
      <c r="S197" s="369" t="str">
        <f ca="1">IF($B197&lt;&gt;"PRC_RESID","",IF(S$7=2005+OFFSET(COM_2012!$B$60,$AW197,SUMIF($B$10:$B$16,"NCAP_TLIFE",$AX$10:$AX$16)),0,""))</f>
        <v/>
      </c>
      <c r="T197" s="369" t="str">
        <f ca="1">IF($B197&lt;&gt;"PRC_RESID","",IF(T$7=2005+OFFSET(COM_2012!$B$60,$AW197,SUMIF($B$10:$B$16,"NCAP_TLIFE",$AX$10:$AX$16)),0,""))</f>
        <v/>
      </c>
      <c r="U197" s="369" t="str">
        <f ca="1">IF($B197&lt;&gt;"PRC_RESID","",IF(U$7=2005+OFFSET(COM_2012!$B$60,$AW197,SUMIF($B$10:$B$16,"NCAP_TLIFE",$AX$10:$AX$16)),0,""))</f>
        <v/>
      </c>
      <c r="V197" s="369" t="str">
        <f ca="1">IF($B197&lt;&gt;"PRC_RESID","",IF(V$7=2005+OFFSET(COM_2012!$B$60,$AW197,SUMIF($B$10:$B$16,"NCAP_TLIFE",$AX$10:$AX$16)),0,""))</f>
        <v/>
      </c>
      <c r="W197" s="369" t="str">
        <f ca="1">IF($B197&lt;&gt;"PRC_RESID","",IF(W$7=2005+OFFSET(COM_2012!$B$60,$AW197,SUMIF($B$10:$B$16,"NCAP_TLIFE",$AX$10:$AX$16)),0,""))</f>
        <v/>
      </c>
      <c r="X197" s="369" t="str">
        <f ca="1">IF($B197&lt;&gt;"PRC_RESID","",IF(X$7=2005+OFFSET(COM_2012!$B$60,$AW197,SUMIF($B$10:$B$16,"NCAP_TLIFE",$AX$10:$AX$16)),0,""))</f>
        <v/>
      </c>
      <c r="Y197" s="369" t="str">
        <f ca="1">IF($B197&lt;&gt;"PRC_RESID","",IF(Y$7=2005+OFFSET(COM_2012!$B$60,$AW197,SUMIF($B$10:$B$16,"NCAP_TLIFE",$AX$10:$AX$16)),0,""))</f>
        <v/>
      </c>
      <c r="Z197" s="369" t="str">
        <f ca="1">IF($B197&lt;&gt;"PRC_RESID","",IF(Z$7=2005+OFFSET(COM_2012!$B$60,$AW197,SUMIF($B$10:$B$16,"NCAP_TLIFE",$AX$10:$AX$16)),0,""))</f>
        <v/>
      </c>
      <c r="AA197" s="369" t="str">
        <f ca="1">IF($B197&lt;&gt;"PRC_RESID","",IF(AA$7=2005+OFFSET(COM_2012!$B$60,$AW197,SUMIF($B$10:$B$16,"NCAP_TLIFE",$AX$10:$AX$16)),0,""))</f>
        <v/>
      </c>
      <c r="AB197" s="369" t="str">
        <f ca="1">IF($B197&lt;&gt;"PRC_RESID","",IF(AB$7=2005+OFFSET(COM_2012!$B$60,$AW197,SUMIF($B$10:$B$16,"NCAP_TLIFE",$AX$10:$AX$16)),0,""))</f>
        <v/>
      </c>
      <c r="AC197" s="369" t="str">
        <f ca="1">IF($B197&lt;&gt;"PRC_RESID","",IF(AC$7=2005+OFFSET(COM_2012!$B$60,$AW197,SUMIF($B$10:$B$16,"NCAP_TLIFE",$AX$10:$AX$16)),0,""))</f>
        <v/>
      </c>
      <c r="AD197" s="369" t="str">
        <f ca="1">IF($B197&lt;&gt;"PRC_RESID","",IF(AD$7=2005+OFFSET(COM_2012!$B$60,$AW197,SUMIF($B$10:$B$16,"NCAP_TLIFE",$AX$10:$AX$16)),0,""))</f>
        <v/>
      </c>
      <c r="AE197" s="369" t="str">
        <f ca="1">IF($B197&lt;&gt;"PRC_RESID","",IF(AE$7=2005+OFFSET(COM_2012!$B$60,$AW197,SUMIF($B$10:$B$16,"NCAP_TLIFE",$AX$10:$AX$16)),0,""))</f>
        <v/>
      </c>
      <c r="AF197" s="369" t="str">
        <f ca="1">IF($B197&lt;&gt;"PRC_RESID","",IF(AF$7=2005+OFFSET(COM_2012!$B$60,$AW197,SUMIF($B$10:$B$16,"NCAP_TLIFE",$AX$10:$AX$16)),0,""))</f>
        <v/>
      </c>
      <c r="AG197" s="369" t="str">
        <f ca="1">IF($B197&lt;&gt;"PRC_RESID","",IF(AG$7=2005+OFFSET(COM_2012!$B$60,$AW197,SUMIF($B$10:$B$16,"NCAP_TLIFE",$AX$10:$AX$16)),0,""))</f>
        <v/>
      </c>
      <c r="AH197" s="369" t="str">
        <f ca="1">IF($B197&lt;&gt;"PRC_RESID","",IF(AH$7=2005+OFFSET(COM_2012!$B$60,$AW197,SUMIF($B$10:$B$16,"NCAP_TLIFE",$AX$10:$AX$16)),0,""))</f>
        <v/>
      </c>
      <c r="AI197" s="369" t="str">
        <f ca="1">IF($B197&lt;&gt;"PRC_RESID","",IF(AI$7=2005+OFFSET(COM_2012!$B$60,$AW197,SUMIF($B$10:$B$16,"NCAP_TLIFE",$AX$10:$AX$16)),0,""))</f>
        <v/>
      </c>
      <c r="AJ197" s="369" t="str">
        <f ca="1">IF($B197&lt;&gt;"PRC_RESID","",IF(AJ$7=2005+OFFSET(COM_2012!$B$60,$AW197,SUMIF($B$10:$B$16,"NCAP_TLIFE",$AX$10:$AX$16)),0,""))</f>
        <v/>
      </c>
      <c r="AK197" s="369" t="str">
        <f ca="1">IF($B197&lt;&gt;"PRC_RESID","",IF(AK$7=2005+OFFSET(COM_2012!$B$60,$AW197,SUMIF($B$10:$B$16,"NCAP_TLIFE",$AX$10:$AX$16)),0,""))</f>
        <v/>
      </c>
      <c r="AL197" s="369" t="str">
        <f ca="1">IF($B197&lt;&gt;"PRC_RESID","",IF(AL$7=2005+OFFSET(COM_2012!$B$60,$AW197,SUMIF($B$10:$B$16,"NCAP_TLIFE",$AX$10:$AX$16)),0,""))</f>
        <v/>
      </c>
      <c r="AM197" s="369" t="str">
        <f ca="1">IF($B197&lt;&gt;"PRC_RESID","",IF(AM$7=2005+OFFSET(COM_2012!$B$60,$AW197,SUMIF($B$10:$B$16,"NCAP_TLIFE",$AX$10:$AX$16)),0,""))</f>
        <v/>
      </c>
      <c r="AN197" s="369" t="str">
        <f ca="1">IF($B197&lt;&gt;"PRC_RESID","",IF(AN$7=2005+OFFSET(COM_2012!$B$60,$AW197,SUMIF($B$10:$B$16,"NCAP_TLIFE",$AX$10:$AX$16)),0,""))</f>
        <v/>
      </c>
      <c r="AO197" s="369" t="str">
        <f ca="1">IF($B197&lt;&gt;"PRC_RESID","",IF(AO$7=2005+OFFSET(COM_2012!$B$60,$AW197,SUMIF($B$10:$B$16,"NCAP_TLIFE",$AX$10:$AX$16)),0,""))</f>
        <v/>
      </c>
      <c r="AP197" s="369" t="str">
        <f ca="1">IF($B197&lt;&gt;"PRC_RESID","",IF(AP$7=2005+OFFSET(COM_2012!$B$60,$AW197,SUMIF($B$10:$B$16,"NCAP_TLIFE",$AX$10:$AX$16)),0,""))</f>
        <v/>
      </c>
      <c r="AQ197" s="369" t="str">
        <f ca="1">IF($B197&lt;&gt;"PRC_RESID","",IF(AQ$7=2005+OFFSET(COM_2012!$B$60,$AW197,SUMIF($B$10:$B$16,"NCAP_TLIFE",$AX$10:$AX$16)),0,""))</f>
        <v/>
      </c>
      <c r="AR197" s="369" t="str">
        <f ca="1">IF($B197&lt;&gt;"PRC_RESID","",IF(AR$7=2005+OFFSET(COM_2012!$B$60,$AW197,SUMIF($B$10:$B$16,"NCAP_TLIFE",$AX$10:$AX$16)),0,""))</f>
        <v/>
      </c>
      <c r="AS197" s="369" t="str">
        <f ca="1">IF($B197&lt;&gt;"PRC_RESID","",IF(AS$7=2005+OFFSET(COM_2012!$B$60,$AW197,SUMIF($B$10:$B$16,"NCAP_TLIFE",$AX$10:$AX$16)),0,""))</f>
        <v/>
      </c>
      <c r="AT197" s="369" t="str">
        <f ca="1">IF($B197&lt;&gt;"PRC_RESID","",IF(AT$7=2005+OFFSET(COM_2012!$B$60,$AW197,SUMIF($B$10:$B$16,"NCAP_TLIFE",$AX$10:$AX$16)),0,""))</f>
        <v/>
      </c>
      <c r="AU197" s="369" t="str">
        <f ca="1">IF($B197&lt;&gt;"PRC_RESID","",IF(AU$7=2005+OFFSET(COM_2012!$B$60,$AW197,SUMIF($B$10:$B$16,"NCAP_TLIFE",$AX$10:$AX$16)),0,""))</f>
        <v/>
      </c>
      <c r="AV197" s="304">
        <f>IF(AW196=COM_2012!$AI$121,AV196+1,AV196)</f>
        <v>3</v>
      </c>
      <c r="AW197" s="304">
        <f t="shared" si="17"/>
        <v>48</v>
      </c>
    </row>
    <row r="198" spans="1:49">
      <c r="A198" s="304" t="str">
        <f ca="1">IF(LEFT(OFFSET(COM_2012!$A$60,AW198,0),2)="\I","*","")</f>
        <v>*</v>
      </c>
      <c r="B198" s="369" t="str">
        <f t="shared" ca="1" si="16"/>
        <v/>
      </c>
      <c r="C198" s="369" t="str">
        <f ca="1">IF($A198="*","",OFFSET(COM_2012!$B$60,AW198,0))</f>
        <v/>
      </c>
      <c r="D198" s="369" t="str">
        <f t="shared" ref="D198:I213" ca="1" si="20">IF($A198="*","",VLOOKUP($B198,$B$10:$I$16,D$9,FALSE))</f>
        <v/>
      </c>
      <c r="E198" s="369" t="str">
        <f t="shared" ca="1" si="20"/>
        <v/>
      </c>
      <c r="F198" s="369" t="str">
        <f t="shared" ca="1" si="20"/>
        <v/>
      </c>
      <c r="G198" s="369" t="str">
        <f t="shared" ca="1" si="20"/>
        <v/>
      </c>
      <c r="H198" s="369" t="str">
        <f t="shared" ca="1" si="20"/>
        <v/>
      </c>
      <c r="I198" s="370" t="str">
        <f t="shared" ca="1" si="20"/>
        <v/>
      </c>
      <c r="J198" s="391" t="str">
        <f ca="1">IF($A198="*","",OFFSET(COM_2012!$B$60,AW198,SUMIF($B$10:$B$16,B198,$AX$10:$AX$16)))</f>
        <v/>
      </c>
      <c r="K198" s="369" t="str">
        <f ca="1">IF($B198&lt;&gt;"PRC_RESID","",IF(K$7=2005+OFFSET(COM_2012!$B$60,$AW198,SUMIF($B$10:$B$16,"NCAP_TLIFE",$AX$10:$AX$16)),0,""))</f>
        <v/>
      </c>
      <c r="L198" s="369" t="str">
        <f ca="1">IF($B198&lt;&gt;"PRC_RESID","",IF(L$7=2005+OFFSET(COM_2012!$B$60,$AW198,SUMIF($B$10:$B$16,"NCAP_TLIFE",$AX$10:$AX$16)),0,""))</f>
        <v/>
      </c>
      <c r="M198" s="369" t="str">
        <f ca="1">IF($B198&lt;&gt;"PRC_RESID","",IF(M$7=2005+OFFSET(COM_2012!$B$60,$AW198,SUMIF($B$10:$B$16,"NCAP_TLIFE",$AX$10:$AX$16)),0,""))</f>
        <v/>
      </c>
      <c r="N198" s="369" t="str">
        <f ca="1">IF($B198&lt;&gt;"PRC_RESID","",IF(N$7=2005+OFFSET(COM_2012!$B$60,$AW198,SUMIF($B$10:$B$16,"NCAP_TLIFE",$AX$10:$AX$16)),0,""))</f>
        <v/>
      </c>
      <c r="O198" s="658" t="str">
        <f ca="1">IF($B198&lt;&gt;"PRC_RESID","",IF(O$7=2005+OFFSET(COM_2012!$B$60,$AW198,SUMIF($B$10:$B$16,"NCAP_TLIFE",$AX$10:$AX$16)),0,""))</f>
        <v/>
      </c>
      <c r="P198" s="369" t="str">
        <f ca="1">IF($B198&lt;&gt;"PRC_RESID","",IF(P$7=2005+OFFSET(COM_2012!$B$60,$AW198,SUMIF($B$10:$B$16,"NCAP_TLIFE",$AX$10:$AX$16)),0,""))</f>
        <v/>
      </c>
      <c r="Q198" s="369" t="str">
        <f ca="1">IF($B198&lt;&gt;"PRC_RESID","",IF(Q$7=2005+OFFSET(COM_2012!$B$60,$AW198,SUMIF($B$10:$B$16,"NCAP_TLIFE",$AX$10:$AX$16)),0,""))</f>
        <v/>
      </c>
      <c r="R198" s="369" t="str">
        <f ca="1">IF($B198&lt;&gt;"PRC_RESID","",IF(R$7=2005+OFFSET(COM_2012!$B$60,$AW198,SUMIF($B$10:$B$16,"NCAP_TLIFE",$AX$10:$AX$16)),0,""))</f>
        <v/>
      </c>
      <c r="S198" s="369" t="str">
        <f ca="1">IF($B198&lt;&gt;"PRC_RESID","",IF(S$7=2005+OFFSET(COM_2012!$B$60,$AW198,SUMIF($B$10:$B$16,"NCAP_TLIFE",$AX$10:$AX$16)),0,""))</f>
        <v/>
      </c>
      <c r="T198" s="369" t="str">
        <f ca="1">IF($B198&lt;&gt;"PRC_RESID","",IF(T$7=2005+OFFSET(COM_2012!$B$60,$AW198,SUMIF($B$10:$B$16,"NCAP_TLIFE",$AX$10:$AX$16)),0,""))</f>
        <v/>
      </c>
      <c r="U198" s="369" t="str">
        <f ca="1">IF($B198&lt;&gt;"PRC_RESID","",IF(U$7=2005+OFFSET(COM_2012!$B$60,$AW198,SUMIF($B$10:$B$16,"NCAP_TLIFE",$AX$10:$AX$16)),0,""))</f>
        <v/>
      </c>
      <c r="V198" s="369" t="str">
        <f ca="1">IF($B198&lt;&gt;"PRC_RESID","",IF(V$7=2005+OFFSET(COM_2012!$B$60,$AW198,SUMIF($B$10:$B$16,"NCAP_TLIFE",$AX$10:$AX$16)),0,""))</f>
        <v/>
      </c>
      <c r="W198" s="369" t="str">
        <f ca="1">IF($B198&lt;&gt;"PRC_RESID","",IF(W$7=2005+OFFSET(COM_2012!$B$60,$AW198,SUMIF($B$10:$B$16,"NCAP_TLIFE",$AX$10:$AX$16)),0,""))</f>
        <v/>
      </c>
      <c r="X198" s="369" t="str">
        <f ca="1">IF($B198&lt;&gt;"PRC_RESID","",IF(X$7=2005+OFFSET(COM_2012!$B$60,$AW198,SUMIF($B$10:$B$16,"NCAP_TLIFE",$AX$10:$AX$16)),0,""))</f>
        <v/>
      </c>
      <c r="Y198" s="369" t="str">
        <f ca="1">IF($B198&lt;&gt;"PRC_RESID","",IF(Y$7=2005+OFFSET(COM_2012!$B$60,$AW198,SUMIF($B$10:$B$16,"NCAP_TLIFE",$AX$10:$AX$16)),0,""))</f>
        <v/>
      </c>
      <c r="Z198" s="369" t="str">
        <f ca="1">IF($B198&lt;&gt;"PRC_RESID","",IF(Z$7=2005+OFFSET(COM_2012!$B$60,$AW198,SUMIF($B$10:$B$16,"NCAP_TLIFE",$AX$10:$AX$16)),0,""))</f>
        <v/>
      </c>
      <c r="AA198" s="369" t="str">
        <f ca="1">IF($B198&lt;&gt;"PRC_RESID","",IF(AA$7=2005+OFFSET(COM_2012!$B$60,$AW198,SUMIF($B$10:$B$16,"NCAP_TLIFE",$AX$10:$AX$16)),0,""))</f>
        <v/>
      </c>
      <c r="AB198" s="369" t="str">
        <f ca="1">IF($B198&lt;&gt;"PRC_RESID","",IF(AB$7=2005+OFFSET(COM_2012!$B$60,$AW198,SUMIF($B$10:$B$16,"NCAP_TLIFE",$AX$10:$AX$16)),0,""))</f>
        <v/>
      </c>
      <c r="AC198" s="369" t="str">
        <f ca="1">IF($B198&lt;&gt;"PRC_RESID","",IF(AC$7=2005+OFFSET(COM_2012!$B$60,$AW198,SUMIF($B$10:$B$16,"NCAP_TLIFE",$AX$10:$AX$16)),0,""))</f>
        <v/>
      </c>
      <c r="AD198" s="369" t="str">
        <f ca="1">IF($B198&lt;&gt;"PRC_RESID","",IF(AD$7=2005+OFFSET(COM_2012!$B$60,$AW198,SUMIF($B$10:$B$16,"NCAP_TLIFE",$AX$10:$AX$16)),0,""))</f>
        <v/>
      </c>
      <c r="AE198" s="369" t="str">
        <f ca="1">IF($B198&lt;&gt;"PRC_RESID","",IF(AE$7=2005+OFFSET(COM_2012!$B$60,$AW198,SUMIF($B$10:$B$16,"NCAP_TLIFE",$AX$10:$AX$16)),0,""))</f>
        <v/>
      </c>
      <c r="AF198" s="369" t="str">
        <f ca="1">IF($B198&lt;&gt;"PRC_RESID","",IF(AF$7=2005+OFFSET(COM_2012!$B$60,$AW198,SUMIF($B$10:$B$16,"NCAP_TLIFE",$AX$10:$AX$16)),0,""))</f>
        <v/>
      </c>
      <c r="AG198" s="369" t="str">
        <f ca="1">IF($B198&lt;&gt;"PRC_RESID","",IF(AG$7=2005+OFFSET(COM_2012!$B$60,$AW198,SUMIF($B$10:$B$16,"NCAP_TLIFE",$AX$10:$AX$16)),0,""))</f>
        <v/>
      </c>
      <c r="AH198" s="369" t="str">
        <f ca="1">IF($B198&lt;&gt;"PRC_RESID","",IF(AH$7=2005+OFFSET(COM_2012!$B$60,$AW198,SUMIF($B$10:$B$16,"NCAP_TLIFE",$AX$10:$AX$16)),0,""))</f>
        <v/>
      </c>
      <c r="AI198" s="369" t="str">
        <f ca="1">IF($B198&lt;&gt;"PRC_RESID","",IF(AI$7=2005+OFFSET(COM_2012!$B$60,$AW198,SUMIF($B$10:$B$16,"NCAP_TLIFE",$AX$10:$AX$16)),0,""))</f>
        <v/>
      </c>
      <c r="AJ198" s="369" t="str">
        <f ca="1">IF($B198&lt;&gt;"PRC_RESID","",IF(AJ$7=2005+OFFSET(COM_2012!$B$60,$AW198,SUMIF($B$10:$B$16,"NCAP_TLIFE",$AX$10:$AX$16)),0,""))</f>
        <v/>
      </c>
      <c r="AK198" s="369" t="str">
        <f ca="1">IF($B198&lt;&gt;"PRC_RESID","",IF(AK$7=2005+OFFSET(COM_2012!$B$60,$AW198,SUMIF($B$10:$B$16,"NCAP_TLIFE",$AX$10:$AX$16)),0,""))</f>
        <v/>
      </c>
      <c r="AL198" s="369" t="str">
        <f ca="1">IF($B198&lt;&gt;"PRC_RESID","",IF(AL$7=2005+OFFSET(COM_2012!$B$60,$AW198,SUMIF($B$10:$B$16,"NCAP_TLIFE",$AX$10:$AX$16)),0,""))</f>
        <v/>
      </c>
      <c r="AM198" s="369" t="str">
        <f ca="1">IF($B198&lt;&gt;"PRC_RESID","",IF(AM$7=2005+OFFSET(COM_2012!$B$60,$AW198,SUMIF($B$10:$B$16,"NCAP_TLIFE",$AX$10:$AX$16)),0,""))</f>
        <v/>
      </c>
      <c r="AN198" s="369" t="str">
        <f ca="1">IF($B198&lt;&gt;"PRC_RESID","",IF(AN$7=2005+OFFSET(COM_2012!$B$60,$AW198,SUMIF($B$10:$B$16,"NCAP_TLIFE",$AX$10:$AX$16)),0,""))</f>
        <v/>
      </c>
      <c r="AO198" s="369" t="str">
        <f ca="1">IF($B198&lt;&gt;"PRC_RESID","",IF(AO$7=2005+OFFSET(COM_2012!$B$60,$AW198,SUMIF($B$10:$B$16,"NCAP_TLIFE",$AX$10:$AX$16)),0,""))</f>
        <v/>
      </c>
      <c r="AP198" s="369" t="str">
        <f ca="1">IF($B198&lt;&gt;"PRC_RESID","",IF(AP$7=2005+OFFSET(COM_2012!$B$60,$AW198,SUMIF($B$10:$B$16,"NCAP_TLIFE",$AX$10:$AX$16)),0,""))</f>
        <v/>
      </c>
      <c r="AQ198" s="369" t="str">
        <f ca="1">IF($B198&lt;&gt;"PRC_RESID","",IF(AQ$7=2005+OFFSET(COM_2012!$B$60,$AW198,SUMIF($B$10:$B$16,"NCAP_TLIFE",$AX$10:$AX$16)),0,""))</f>
        <v/>
      </c>
      <c r="AR198" s="369" t="str">
        <f ca="1">IF($B198&lt;&gt;"PRC_RESID","",IF(AR$7=2005+OFFSET(COM_2012!$B$60,$AW198,SUMIF($B$10:$B$16,"NCAP_TLIFE",$AX$10:$AX$16)),0,""))</f>
        <v/>
      </c>
      <c r="AS198" s="369" t="str">
        <f ca="1">IF($B198&lt;&gt;"PRC_RESID","",IF(AS$7=2005+OFFSET(COM_2012!$B$60,$AW198,SUMIF($B$10:$B$16,"NCAP_TLIFE",$AX$10:$AX$16)),0,""))</f>
        <v/>
      </c>
      <c r="AT198" s="369" t="str">
        <f ca="1">IF($B198&lt;&gt;"PRC_RESID","",IF(AT$7=2005+OFFSET(COM_2012!$B$60,$AW198,SUMIF($B$10:$B$16,"NCAP_TLIFE",$AX$10:$AX$16)),0,""))</f>
        <v/>
      </c>
      <c r="AU198" s="369" t="str">
        <f ca="1">IF($B198&lt;&gt;"PRC_RESID","",IF(AU$7=2005+OFFSET(COM_2012!$B$60,$AW198,SUMIF($B$10:$B$16,"NCAP_TLIFE",$AX$10:$AX$16)),0,""))</f>
        <v/>
      </c>
      <c r="AV198" s="304">
        <f>IF(AW197=COM_2012!$AI$121,AV197+1,AV197)</f>
        <v>3</v>
      </c>
      <c r="AW198" s="304">
        <f t="shared" si="17"/>
        <v>49</v>
      </c>
    </row>
    <row r="199" spans="1:49">
      <c r="A199" s="304" t="str">
        <f ca="1">IF(LEFT(OFFSET(COM_2012!$A$60,AW199,0),2)="\I","*","")</f>
        <v/>
      </c>
      <c r="B199" s="369" t="str">
        <f t="shared" ca="1" si="16"/>
        <v>NCAP_TLIFE</v>
      </c>
      <c r="C199" s="369" t="str">
        <f ca="1">IF($A199="*","",OFFSET(COM_2012!$B$60,AW199,0))</f>
        <v>CETELC-E</v>
      </c>
      <c r="D199" s="369" t="str">
        <f t="shared" ca="1" si="20"/>
        <v>-</v>
      </c>
      <c r="E199" s="369" t="str">
        <f t="shared" ca="1" si="20"/>
        <v>-</v>
      </c>
      <c r="F199" s="369" t="str">
        <f t="shared" ca="1" si="20"/>
        <v>-</v>
      </c>
      <c r="G199" s="369" t="str">
        <f t="shared" ca="1" si="20"/>
        <v>-</v>
      </c>
      <c r="H199" s="369" t="str">
        <f t="shared" ca="1" si="20"/>
        <v>-</v>
      </c>
      <c r="I199" s="370">
        <f t="shared" ca="1" si="20"/>
        <v>0</v>
      </c>
      <c r="J199" s="391">
        <f ca="1">IF($A199="*","",OFFSET(COM_2012!$B$60,AW199,SUMIF($B$10:$B$16,B199,$AX$10:$AX$16)))</f>
        <v>15</v>
      </c>
      <c r="K199" s="369" t="str">
        <f ca="1">IF($B199&lt;&gt;"PRC_RESID","",IF(K$7=2005+OFFSET(COM_2012!$B$60,$AW199,SUMIF($B$10:$B$16,"NCAP_TLIFE",$AX$10:$AX$16)),0,""))</f>
        <v/>
      </c>
      <c r="L199" s="369" t="str">
        <f ca="1">IF($B199&lt;&gt;"PRC_RESID","",IF(L$7=2005+OFFSET(COM_2012!$B$60,$AW199,SUMIF($B$10:$B$16,"NCAP_TLIFE",$AX$10:$AX$16)),0,""))</f>
        <v/>
      </c>
      <c r="M199" s="369" t="str">
        <f ca="1">IF($B199&lt;&gt;"PRC_RESID","",IF(M$7=2005+OFFSET(COM_2012!$B$60,$AW199,SUMIF($B$10:$B$16,"NCAP_TLIFE",$AX$10:$AX$16)),0,""))</f>
        <v/>
      </c>
      <c r="N199" s="369" t="str">
        <f ca="1">IF($B199&lt;&gt;"PRC_RESID","",IF(N$7=2005+OFFSET(COM_2012!$B$60,$AW199,SUMIF($B$10:$B$16,"NCAP_TLIFE",$AX$10:$AX$16)),0,""))</f>
        <v/>
      </c>
      <c r="O199" s="658" t="str">
        <f ca="1">IF($B199&lt;&gt;"PRC_RESID","",IF(O$7=2005+OFFSET(COM_2012!$B$60,$AW199,SUMIF($B$10:$B$16,"NCAP_TLIFE",$AX$10:$AX$16)),0,""))</f>
        <v/>
      </c>
      <c r="P199" s="369" t="str">
        <f ca="1">IF($B199&lt;&gt;"PRC_RESID","",IF(P$7=2005+OFFSET(COM_2012!$B$60,$AW199,SUMIF($B$10:$B$16,"NCAP_TLIFE",$AX$10:$AX$16)),0,""))</f>
        <v/>
      </c>
      <c r="Q199" s="369" t="str">
        <f ca="1">IF($B199&lt;&gt;"PRC_RESID","",IF(Q$7=2005+OFFSET(COM_2012!$B$60,$AW199,SUMIF($B$10:$B$16,"NCAP_TLIFE",$AX$10:$AX$16)),0,""))</f>
        <v/>
      </c>
      <c r="R199" s="369" t="str">
        <f ca="1">IF($B199&lt;&gt;"PRC_RESID","",IF(R$7=2005+OFFSET(COM_2012!$B$60,$AW199,SUMIF($B$10:$B$16,"NCAP_TLIFE",$AX$10:$AX$16)),0,""))</f>
        <v/>
      </c>
      <c r="S199" s="369" t="str">
        <f ca="1">IF($B199&lt;&gt;"PRC_RESID","",IF(S$7=2005+OFFSET(COM_2012!$B$60,$AW199,SUMIF($B$10:$B$16,"NCAP_TLIFE",$AX$10:$AX$16)),0,""))</f>
        <v/>
      </c>
      <c r="T199" s="369" t="str">
        <f ca="1">IF($B199&lt;&gt;"PRC_RESID","",IF(T$7=2005+OFFSET(COM_2012!$B$60,$AW199,SUMIF($B$10:$B$16,"NCAP_TLIFE",$AX$10:$AX$16)),0,""))</f>
        <v/>
      </c>
      <c r="U199" s="369" t="str">
        <f ca="1">IF($B199&lt;&gt;"PRC_RESID","",IF(U$7=2005+OFFSET(COM_2012!$B$60,$AW199,SUMIF($B$10:$B$16,"NCAP_TLIFE",$AX$10:$AX$16)),0,""))</f>
        <v/>
      </c>
      <c r="V199" s="369" t="str">
        <f ca="1">IF($B199&lt;&gt;"PRC_RESID","",IF(V$7=2005+OFFSET(COM_2012!$B$60,$AW199,SUMIF($B$10:$B$16,"NCAP_TLIFE",$AX$10:$AX$16)),0,""))</f>
        <v/>
      </c>
      <c r="W199" s="369" t="str">
        <f ca="1">IF($B199&lt;&gt;"PRC_RESID","",IF(W$7=2005+OFFSET(COM_2012!$B$60,$AW199,SUMIF($B$10:$B$16,"NCAP_TLIFE",$AX$10:$AX$16)),0,""))</f>
        <v/>
      </c>
      <c r="X199" s="369" t="str">
        <f ca="1">IF($B199&lt;&gt;"PRC_RESID","",IF(X$7=2005+OFFSET(COM_2012!$B$60,$AW199,SUMIF($B$10:$B$16,"NCAP_TLIFE",$AX$10:$AX$16)),0,""))</f>
        <v/>
      </c>
      <c r="Y199" s="369" t="str">
        <f ca="1">IF($B199&lt;&gt;"PRC_RESID","",IF(Y$7=2005+OFFSET(COM_2012!$B$60,$AW199,SUMIF($B$10:$B$16,"NCAP_TLIFE",$AX$10:$AX$16)),0,""))</f>
        <v/>
      </c>
      <c r="Z199" s="369" t="str">
        <f ca="1">IF($B199&lt;&gt;"PRC_RESID","",IF(Z$7=2005+OFFSET(COM_2012!$B$60,$AW199,SUMIF($B$10:$B$16,"NCAP_TLIFE",$AX$10:$AX$16)),0,""))</f>
        <v/>
      </c>
      <c r="AA199" s="369" t="str">
        <f ca="1">IF($B199&lt;&gt;"PRC_RESID","",IF(AA$7=2005+OFFSET(COM_2012!$B$60,$AW199,SUMIF($B$10:$B$16,"NCAP_TLIFE",$AX$10:$AX$16)),0,""))</f>
        <v/>
      </c>
      <c r="AB199" s="369" t="str">
        <f ca="1">IF($B199&lt;&gt;"PRC_RESID","",IF(AB$7=2005+OFFSET(COM_2012!$B$60,$AW199,SUMIF($B$10:$B$16,"NCAP_TLIFE",$AX$10:$AX$16)),0,""))</f>
        <v/>
      </c>
      <c r="AC199" s="369" t="str">
        <f ca="1">IF($B199&lt;&gt;"PRC_RESID","",IF(AC$7=2005+OFFSET(COM_2012!$B$60,$AW199,SUMIF($B$10:$B$16,"NCAP_TLIFE",$AX$10:$AX$16)),0,""))</f>
        <v/>
      </c>
      <c r="AD199" s="369" t="str">
        <f ca="1">IF($B199&lt;&gt;"PRC_RESID","",IF(AD$7=2005+OFFSET(COM_2012!$B$60,$AW199,SUMIF($B$10:$B$16,"NCAP_TLIFE",$AX$10:$AX$16)),0,""))</f>
        <v/>
      </c>
      <c r="AE199" s="369" t="str">
        <f ca="1">IF($B199&lt;&gt;"PRC_RESID","",IF(AE$7=2005+OFFSET(COM_2012!$B$60,$AW199,SUMIF($B$10:$B$16,"NCAP_TLIFE",$AX$10:$AX$16)),0,""))</f>
        <v/>
      </c>
      <c r="AF199" s="369" t="str">
        <f ca="1">IF($B199&lt;&gt;"PRC_RESID","",IF(AF$7=2005+OFFSET(COM_2012!$B$60,$AW199,SUMIF($B$10:$B$16,"NCAP_TLIFE",$AX$10:$AX$16)),0,""))</f>
        <v/>
      </c>
      <c r="AG199" s="369" t="str">
        <f ca="1">IF($B199&lt;&gt;"PRC_RESID","",IF(AG$7=2005+OFFSET(COM_2012!$B$60,$AW199,SUMIF($B$10:$B$16,"NCAP_TLIFE",$AX$10:$AX$16)),0,""))</f>
        <v/>
      </c>
      <c r="AH199" s="369" t="str">
        <f ca="1">IF($B199&lt;&gt;"PRC_RESID","",IF(AH$7=2005+OFFSET(COM_2012!$B$60,$AW199,SUMIF($B$10:$B$16,"NCAP_TLIFE",$AX$10:$AX$16)),0,""))</f>
        <v/>
      </c>
      <c r="AI199" s="369" t="str">
        <f ca="1">IF($B199&lt;&gt;"PRC_RESID","",IF(AI$7=2005+OFFSET(COM_2012!$B$60,$AW199,SUMIF($B$10:$B$16,"NCAP_TLIFE",$AX$10:$AX$16)),0,""))</f>
        <v/>
      </c>
      <c r="AJ199" s="369" t="str">
        <f ca="1">IF($B199&lt;&gt;"PRC_RESID","",IF(AJ$7=2005+OFFSET(COM_2012!$B$60,$AW199,SUMIF($B$10:$B$16,"NCAP_TLIFE",$AX$10:$AX$16)),0,""))</f>
        <v/>
      </c>
      <c r="AK199" s="369" t="str">
        <f ca="1">IF($B199&lt;&gt;"PRC_RESID","",IF(AK$7=2005+OFFSET(COM_2012!$B$60,$AW199,SUMIF($B$10:$B$16,"NCAP_TLIFE",$AX$10:$AX$16)),0,""))</f>
        <v/>
      </c>
      <c r="AL199" s="369" t="str">
        <f ca="1">IF($B199&lt;&gt;"PRC_RESID","",IF(AL$7=2005+OFFSET(COM_2012!$B$60,$AW199,SUMIF($B$10:$B$16,"NCAP_TLIFE",$AX$10:$AX$16)),0,""))</f>
        <v/>
      </c>
      <c r="AM199" s="369" t="str">
        <f ca="1">IF($B199&lt;&gt;"PRC_RESID","",IF(AM$7=2005+OFFSET(COM_2012!$B$60,$AW199,SUMIF($B$10:$B$16,"NCAP_TLIFE",$AX$10:$AX$16)),0,""))</f>
        <v/>
      </c>
      <c r="AN199" s="369" t="str">
        <f ca="1">IF($B199&lt;&gt;"PRC_RESID","",IF(AN$7=2005+OFFSET(COM_2012!$B$60,$AW199,SUMIF($B$10:$B$16,"NCAP_TLIFE",$AX$10:$AX$16)),0,""))</f>
        <v/>
      </c>
      <c r="AO199" s="369" t="str">
        <f ca="1">IF($B199&lt;&gt;"PRC_RESID","",IF(AO$7=2005+OFFSET(COM_2012!$B$60,$AW199,SUMIF($B$10:$B$16,"NCAP_TLIFE",$AX$10:$AX$16)),0,""))</f>
        <v/>
      </c>
      <c r="AP199" s="369" t="str">
        <f ca="1">IF($B199&lt;&gt;"PRC_RESID","",IF(AP$7=2005+OFFSET(COM_2012!$B$60,$AW199,SUMIF($B$10:$B$16,"NCAP_TLIFE",$AX$10:$AX$16)),0,""))</f>
        <v/>
      </c>
      <c r="AQ199" s="369" t="str">
        <f ca="1">IF($B199&lt;&gt;"PRC_RESID","",IF(AQ$7=2005+OFFSET(COM_2012!$B$60,$AW199,SUMIF($B$10:$B$16,"NCAP_TLIFE",$AX$10:$AX$16)),0,""))</f>
        <v/>
      </c>
      <c r="AR199" s="369" t="str">
        <f ca="1">IF($B199&lt;&gt;"PRC_RESID","",IF(AR$7=2005+OFFSET(COM_2012!$B$60,$AW199,SUMIF($B$10:$B$16,"NCAP_TLIFE",$AX$10:$AX$16)),0,""))</f>
        <v/>
      </c>
      <c r="AS199" s="369" t="str">
        <f ca="1">IF($B199&lt;&gt;"PRC_RESID","",IF(AS$7=2005+OFFSET(COM_2012!$B$60,$AW199,SUMIF($B$10:$B$16,"NCAP_TLIFE",$AX$10:$AX$16)),0,""))</f>
        <v/>
      </c>
      <c r="AT199" s="369" t="str">
        <f ca="1">IF($B199&lt;&gt;"PRC_RESID","",IF(AT$7=2005+OFFSET(COM_2012!$B$60,$AW199,SUMIF($B$10:$B$16,"NCAP_TLIFE",$AX$10:$AX$16)),0,""))</f>
        <v/>
      </c>
      <c r="AU199" s="369" t="str">
        <f ca="1">IF($B199&lt;&gt;"PRC_RESID","",IF(AU$7=2005+OFFSET(COM_2012!$B$60,$AW199,SUMIF($B$10:$B$16,"NCAP_TLIFE",$AX$10:$AX$16)),0,""))</f>
        <v/>
      </c>
      <c r="AV199" s="304">
        <f>IF(AW198=COM_2012!$AI$121,AV198+1,AV198)</f>
        <v>3</v>
      </c>
      <c r="AW199" s="304">
        <f t="shared" si="17"/>
        <v>50</v>
      </c>
    </row>
    <row r="200" spans="1:49">
      <c r="A200" s="304" t="str">
        <f ca="1">IF(LEFT(OFFSET(COM_2012!$A$60,AW200,0),2)="\I","*","")</f>
        <v>*</v>
      </c>
      <c r="B200" s="369" t="str">
        <f t="shared" ca="1" si="16"/>
        <v/>
      </c>
      <c r="C200" s="369" t="str">
        <f ca="1">IF($A200="*","",OFFSET(COM_2012!$B$60,AW200,0))</f>
        <v/>
      </c>
      <c r="D200" s="369" t="str">
        <f t="shared" ca="1" si="20"/>
        <v/>
      </c>
      <c r="E200" s="369" t="str">
        <f t="shared" ca="1" si="20"/>
        <v/>
      </c>
      <c r="F200" s="369" t="str">
        <f t="shared" ca="1" si="20"/>
        <v/>
      </c>
      <c r="G200" s="369" t="str">
        <f t="shared" ca="1" si="20"/>
        <v/>
      </c>
      <c r="H200" s="369" t="str">
        <f t="shared" ca="1" si="20"/>
        <v/>
      </c>
      <c r="I200" s="370" t="str">
        <f t="shared" ca="1" si="20"/>
        <v/>
      </c>
      <c r="J200" s="391" t="str">
        <f ca="1">IF($A200="*","",OFFSET(COM_2012!$B$60,AW200,SUMIF($B$10:$B$16,B200,$AX$10:$AX$16)))</f>
        <v/>
      </c>
      <c r="K200" s="369" t="str">
        <f ca="1">IF($B200&lt;&gt;"PRC_RESID","",IF(K$7=2005+OFFSET(COM_2012!$B$60,$AW200,SUMIF($B$10:$B$16,"NCAP_TLIFE",$AX$10:$AX$16)),0,""))</f>
        <v/>
      </c>
      <c r="L200" s="369" t="str">
        <f ca="1">IF($B200&lt;&gt;"PRC_RESID","",IF(L$7=2005+OFFSET(COM_2012!$B$60,$AW200,SUMIF($B$10:$B$16,"NCAP_TLIFE",$AX$10:$AX$16)),0,""))</f>
        <v/>
      </c>
      <c r="M200" s="369" t="str">
        <f ca="1">IF($B200&lt;&gt;"PRC_RESID","",IF(M$7=2005+OFFSET(COM_2012!$B$60,$AW200,SUMIF($B$10:$B$16,"NCAP_TLIFE",$AX$10:$AX$16)),0,""))</f>
        <v/>
      </c>
      <c r="N200" s="369" t="str">
        <f ca="1">IF($B200&lt;&gt;"PRC_RESID","",IF(N$7=2005+OFFSET(COM_2012!$B$60,$AW200,SUMIF($B$10:$B$16,"NCAP_TLIFE",$AX$10:$AX$16)),0,""))</f>
        <v/>
      </c>
      <c r="O200" s="658" t="str">
        <f ca="1">IF($B200&lt;&gt;"PRC_RESID","",IF(O$7=2005+OFFSET(COM_2012!$B$60,$AW200,SUMIF($B$10:$B$16,"NCAP_TLIFE",$AX$10:$AX$16)),0,""))</f>
        <v/>
      </c>
      <c r="P200" s="369" t="str">
        <f ca="1">IF($B200&lt;&gt;"PRC_RESID","",IF(P$7=2005+OFFSET(COM_2012!$B$60,$AW200,SUMIF($B$10:$B$16,"NCAP_TLIFE",$AX$10:$AX$16)),0,""))</f>
        <v/>
      </c>
      <c r="Q200" s="369" t="str">
        <f ca="1">IF($B200&lt;&gt;"PRC_RESID","",IF(Q$7=2005+OFFSET(COM_2012!$B$60,$AW200,SUMIF($B$10:$B$16,"NCAP_TLIFE",$AX$10:$AX$16)),0,""))</f>
        <v/>
      </c>
      <c r="R200" s="369" t="str">
        <f ca="1">IF($B200&lt;&gt;"PRC_RESID","",IF(R$7=2005+OFFSET(COM_2012!$B$60,$AW200,SUMIF($B$10:$B$16,"NCAP_TLIFE",$AX$10:$AX$16)),0,""))</f>
        <v/>
      </c>
      <c r="S200" s="369" t="str">
        <f ca="1">IF($B200&lt;&gt;"PRC_RESID","",IF(S$7=2005+OFFSET(COM_2012!$B$60,$AW200,SUMIF($B$10:$B$16,"NCAP_TLIFE",$AX$10:$AX$16)),0,""))</f>
        <v/>
      </c>
      <c r="T200" s="369" t="str">
        <f ca="1">IF($B200&lt;&gt;"PRC_RESID","",IF(T$7=2005+OFFSET(COM_2012!$B$60,$AW200,SUMIF($B$10:$B$16,"NCAP_TLIFE",$AX$10:$AX$16)),0,""))</f>
        <v/>
      </c>
      <c r="U200" s="369" t="str">
        <f ca="1">IF($B200&lt;&gt;"PRC_RESID","",IF(U$7=2005+OFFSET(COM_2012!$B$60,$AW200,SUMIF($B$10:$B$16,"NCAP_TLIFE",$AX$10:$AX$16)),0,""))</f>
        <v/>
      </c>
      <c r="V200" s="369" t="str">
        <f ca="1">IF($B200&lt;&gt;"PRC_RESID","",IF(V$7=2005+OFFSET(COM_2012!$B$60,$AW200,SUMIF($B$10:$B$16,"NCAP_TLIFE",$AX$10:$AX$16)),0,""))</f>
        <v/>
      </c>
      <c r="W200" s="369" t="str">
        <f ca="1">IF($B200&lt;&gt;"PRC_RESID","",IF(W$7=2005+OFFSET(COM_2012!$B$60,$AW200,SUMIF($B$10:$B$16,"NCAP_TLIFE",$AX$10:$AX$16)),0,""))</f>
        <v/>
      </c>
      <c r="X200" s="369" t="str">
        <f ca="1">IF($B200&lt;&gt;"PRC_RESID","",IF(X$7=2005+OFFSET(COM_2012!$B$60,$AW200,SUMIF($B$10:$B$16,"NCAP_TLIFE",$AX$10:$AX$16)),0,""))</f>
        <v/>
      </c>
      <c r="Y200" s="369" t="str">
        <f ca="1">IF($B200&lt;&gt;"PRC_RESID","",IF(Y$7=2005+OFFSET(COM_2012!$B$60,$AW200,SUMIF($B$10:$B$16,"NCAP_TLIFE",$AX$10:$AX$16)),0,""))</f>
        <v/>
      </c>
      <c r="Z200" s="369" t="str">
        <f ca="1">IF($B200&lt;&gt;"PRC_RESID","",IF(Z$7=2005+OFFSET(COM_2012!$B$60,$AW200,SUMIF($B$10:$B$16,"NCAP_TLIFE",$AX$10:$AX$16)),0,""))</f>
        <v/>
      </c>
      <c r="AA200" s="369" t="str">
        <f ca="1">IF($B200&lt;&gt;"PRC_RESID","",IF(AA$7=2005+OFFSET(COM_2012!$B$60,$AW200,SUMIF($B$10:$B$16,"NCAP_TLIFE",$AX$10:$AX$16)),0,""))</f>
        <v/>
      </c>
      <c r="AB200" s="369" t="str">
        <f ca="1">IF($B200&lt;&gt;"PRC_RESID","",IF(AB$7=2005+OFFSET(COM_2012!$B$60,$AW200,SUMIF($B$10:$B$16,"NCAP_TLIFE",$AX$10:$AX$16)),0,""))</f>
        <v/>
      </c>
      <c r="AC200" s="369" t="str">
        <f ca="1">IF($B200&lt;&gt;"PRC_RESID","",IF(AC$7=2005+OFFSET(COM_2012!$B$60,$AW200,SUMIF($B$10:$B$16,"NCAP_TLIFE",$AX$10:$AX$16)),0,""))</f>
        <v/>
      </c>
      <c r="AD200" s="369" t="str">
        <f ca="1">IF($B200&lt;&gt;"PRC_RESID","",IF(AD$7=2005+OFFSET(COM_2012!$B$60,$AW200,SUMIF($B$10:$B$16,"NCAP_TLIFE",$AX$10:$AX$16)),0,""))</f>
        <v/>
      </c>
      <c r="AE200" s="369" t="str">
        <f ca="1">IF($B200&lt;&gt;"PRC_RESID","",IF(AE$7=2005+OFFSET(COM_2012!$B$60,$AW200,SUMIF($B$10:$B$16,"NCAP_TLIFE",$AX$10:$AX$16)),0,""))</f>
        <v/>
      </c>
      <c r="AF200" s="369" t="str">
        <f ca="1">IF($B200&lt;&gt;"PRC_RESID","",IF(AF$7=2005+OFFSET(COM_2012!$B$60,$AW200,SUMIF($B$10:$B$16,"NCAP_TLIFE",$AX$10:$AX$16)),0,""))</f>
        <v/>
      </c>
      <c r="AG200" s="369" t="str">
        <f ca="1">IF($B200&lt;&gt;"PRC_RESID","",IF(AG$7=2005+OFFSET(COM_2012!$B$60,$AW200,SUMIF($B$10:$B$16,"NCAP_TLIFE",$AX$10:$AX$16)),0,""))</f>
        <v/>
      </c>
      <c r="AH200" s="369" t="str">
        <f ca="1">IF($B200&lt;&gt;"PRC_RESID","",IF(AH$7=2005+OFFSET(COM_2012!$B$60,$AW200,SUMIF($B$10:$B$16,"NCAP_TLIFE",$AX$10:$AX$16)),0,""))</f>
        <v/>
      </c>
      <c r="AI200" s="369" t="str">
        <f ca="1">IF($B200&lt;&gt;"PRC_RESID","",IF(AI$7=2005+OFFSET(COM_2012!$B$60,$AW200,SUMIF($B$10:$B$16,"NCAP_TLIFE",$AX$10:$AX$16)),0,""))</f>
        <v/>
      </c>
      <c r="AJ200" s="369" t="str">
        <f ca="1">IF($B200&lt;&gt;"PRC_RESID","",IF(AJ$7=2005+OFFSET(COM_2012!$B$60,$AW200,SUMIF($B$10:$B$16,"NCAP_TLIFE",$AX$10:$AX$16)),0,""))</f>
        <v/>
      </c>
      <c r="AK200" s="369" t="str">
        <f ca="1">IF($B200&lt;&gt;"PRC_RESID","",IF(AK$7=2005+OFFSET(COM_2012!$B$60,$AW200,SUMIF($B$10:$B$16,"NCAP_TLIFE",$AX$10:$AX$16)),0,""))</f>
        <v/>
      </c>
      <c r="AL200" s="369" t="str">
        <f ca="1">IF($B200&lt;&gt;"PRC_RESID","",IF(AL$7=2005+OFFSET(COM_2012!$B$60,$AW200,SUMIF($B$10:$B$16,"NCAP_TLIFE",$AX$10:$AX$16)),0,""))</f>
        <v/>
      </c>
      <c r="AM200" s="369" t="str">
        <f ca="1">IF($B200&lt;&gt;"PRC_RESID","",IF(AM$7=2005+OFFSET(COM_2012!$B$60,$AW200,SUMIF($B$10:$B$16,"NCAP_TLIFE",$AX$10:$AX$16)),0,""))</f>
        <v/>
      </c>
      <c r="AN200" s="369" t="str">
        <f ca="1">IF($B200&lt;&gt;"PRC_RESID","",IF(AN$7=2005+OFFSET(COM_2012!$B$60,$AW200,SUMIF($B$10:$B$16,"NCAP_TLIFE",$AX$10:$AX$16)),0,""))</f>
        <v/>
      </c>
      <c r="AO200" s="369" t="str">
        <f ca="1">IF($B200&lt;&gt;"PRC_RESID","",IF(AO$7=2005+OFFSET(COM_2012!$B$60,$AW200,SUMIF($B$10:$B$16,"NCAP_TLIFE",$AX$10:$AX$16)),0,""))</f>
        <v/>
      </c>
      <c r="AP200" s="369" t="str">
        <f ca="1">IF($B200&lt;&gt;"PRC_RESID","",IF(AP$7=2005+OFFSET(COM_2012!$B$60,$AW200,SUMIF($B$10:$B$16,"NCAP_TLIFE",$AX$10:$AX$16)),0,""))</f>
        <v/>
      </c>
      <c r="AQ200" s="369" t="str">
        <f ca="1">IF($B200&lt;&gt;"PRC_RESID","",IF(AQ$7=2005+OFFSET(COM_2012!$B$60,$AW200,SUMIF($B$10:$B$16,"NCAP_TLIFE",$AX$10:$AX$16)),0,""))</f>
        <v/>
      </c>
      <c r="AR200" s="369" t="str">
        <f ca="1">IF($B200&lt;&gt;"PRC_RESID","",IF(AR$7=2005+OFFSET(COM_2012!$B$60,$AW200,SUMIF($B$10:$B$16,"NCAP_TLIFE",$AX$10:$AX$16)),0,""))</f>
        <v/>
      </c>
      <c r="AS200" s="369" t="str">
        <f ca="1">IF($B200&lt;&gt;"PRC_RESID","",IF(AS$7=2005+OFFSET(COM_2012!$B$60,$AW200,SUMIF($B$10:$B$16,"NCAP_TLIFE",$AX$10:$AX$16)),0,""))</f>
        <v/>
      </c>
      <c r="AT200" s="369" t="str">
        <f ca="1">IF($B200&lt;&gt;"PRC_RESID","",IF(AT$7=2005+OFFSET(COM_2012!$B$60,$AW200,SUMIF($B$10:$B$16,"NCAP_TLIFE",$AX$10:$AX$16)),0,""))</f>
        <v/>
      </c>
      <c r="AU200" s="369" t="str">
        <f ca="1">IF($B200&lt;&gt;"PRC_RESID","",IF(AU$7=2005+OFFSET(COM_2012!$B$60,$AW200,SUMIF($B$10:$B$16,"NCAP_TLIFE",$AX$10:$AX$16)),0,""))</f>
        <v/>
      </c>
      <c r="AV200" s="304">
        <f>IF(AW199=COM_2012!$AI$121,AV199+1,AV199)</f>
        <v>3</v>
      </c>
      <c r="AW200" s="304">
        <f t="shared" si="17"/>
        <v>51</v>
      </c>
    </row>
    <row r="201" spans="1:49">
      <c r="A201" s="304" t="str">
        <f ca="1">IF(LEFT(OFFSET(COM_2012!$A$60,AW201,0),2)="\I","*","")</f>
        <v>*</v>
      </c>
      <c r="B201" s="369" t="str">
        <f t="shared" ca="1" si="16"/>
        <v/>
      </c>
      <c r="C201" s="369" t="str">
        <f ca="1">IF($A201="*","",OFFSET(COM_2012!$B$60,AW201,0))</f>
        <v/>
      </c>
      <c r="D201" s="369" t="str">
        <f t="shared" ca="1" si="20"/>
        <v/>
      </c>
      <c r="E201" s="369" t="str">
        <f t="shared" ca="1" si="20"/>
        <v/>
      </c>
      <c r="F201" s="369" t="str">
        <f t="shared" ca="1" si="20"/>
        <v/>
      </c>
      <c r="G201" s="369" t="str">
        <f t="shared" ca="1" si="20"/>
        <v/>
      </c>
      <c r="H201" s="369" t="str">
        <f t="shared" ca="1" si="20"/>
        <v/>
      </c>
      <c r="I201" s="370" t="str">
        <f t="shared" ca="1" si="20"/>
        <v/>
      </c>
      <c r="J201" s="391" t="str">
        <f ca="1">IF($A201="*","",OFFSET(COM_2012!$B$60,AW201,SUMIF($B$10:$B$16,B201,$AX$10:$AX$16)))</f>
        <v/>
      </c>
      <c r="K201" s="369" t="str">
        <f ca="1">IF($B201&lt;&gt;"PRC_RESID","",IF(K$7=2005+OFFSET(COM_2012!$B$60,$AW201,SUMIF($B$10:$B$16,"NCAP_TLIFE",$AX$10:$AX$16)),0,""))</f>
        <v/>
      </c>
      <c r="L201" s="369" t="str">
        <f ca="1">IF($B201&lt;&gt;"PRC_RESID","",IF(L$7=2005+OFFSET(COM_2012!$B$60,$AW201,SUMIF($B$10:$B$16,"NCAP_TLIFE",$AX$10:$AX$16)),0,""))</f>
        <v/>
      </c>
      <c r="M201" s="369" t="str">
        <f ca="1">IF($B201&lt;&gt;"PRC_RESID","",IF(M$7=2005+OFFSET(COM_2012!$B$60,$AW201,SUMIF($B$10:$B$16,"NCAP_TLIFE",$AX$10:$AX$16)),0,""))</f>
        <v/>
      </c>
      <c r="N201" s="369" t="str">
        <f ca="1">IF($B201&lt;&gt;"PRC_RESID","",IF(N$7=2005+OFFSET(COM_2012!$B$60,$AW201,SUMIF($B$10:$B$16,"NCAP_TLIFE",$AX$10:$AX$16)),0,""))</f>
        <v/>
      </c>
      <c r="O201" s="658" t="str">
        <f ca="1">IF($B201&lt;&gt;"PRC_RESID","",IF(O$7=2005+OFFSET(COM_2012!$B$60,$AW201,SUMIF($B$10:$B$16,"NCAP_TLIFE",$AX$10:$AX$16)),0,""))</f>
        <v/>
      </c>
      <c r="P201" s="369" t="str">
        <f ca="1">IF($B201&lt;&gt;"PRC_RESID","",IF(P$7=2005+OFFSET(COM_2012!$B$60,$AW201,SUMIF($B$10:$B$16,"NCAP_TLIFE",$AX$10:$AX$16)),0,""))</f>
        <v/>
      </c>
      <c r="Q201" s="369" t="str">
        <f ca="1">IF($B201&lt;&gt;"PRC_RESID","",IF(Q$7=2005+OFFSET(COM_2012!$B$60,$AW201,SUMIF($B$10:$B$16,"NCAP_TLIFE",$AX$10:$AX$16)),0,""))</f>
        <v/>
      </c>
      <c r="R201" s="369" t="str">
        <f ca="1">IF($B201&lt;&gt;"PRC_RESID","",IF(R$7=2005+OFFSET(COM_2012!$B$60,$AW201,SUMIF($B$10:$B$16,"NCAP_TLIFE",$AX$10:$AX$16)),0,""))</f>
        <v/>
      </c>
      <c r="S201" s="369" t="str">
        <f ca="1">IF($B201&lt;&gt;"PRC_RESID","",IF(S$7=2005+OFFSET(COM_2012!$B$60,$AW201,SUMIF($B$10:$B$16,"NCAP_TLIFE",$AX$10:$AX$16)),0,""))</f>
        <v/>
      </c>
      <c r="T201" s="369" t="str">
        <f ca="1">IF($B201&lt;&gt;"PRC_RESID","",IF(T$7=2005+OFFSET(COM_2012!$B$60,$AW201,SUMIF($B$10:$B$16,"NCAP_TLIFE",$AX$10:$AX$16)),0,""))</f>
        <v/>
      </c>
      <c r="U201" s="369" t="str">
        <f ca="1">IF($B201&lt;&gt;"PRC_RESID","",IF(U$7=2005+OFFSET(COM_2012!$B$60,$AW201,SUMIF($B$10:$B$16,"NCAP_TLIFE",$AX$10:$AX$16)),0,""))</f>
        <v/>
      </c>
      <c r="V201" s="369" t="str">
        <f ca="1">IF($B201&lt;&gt;"PRC_RESID","",IF(V$7=2005+OFFSET(COM_2012!$B$60,$AW201,SUMIF($B$10:$B$16,"NCAP_TLIFE",$AX$10:$AX$16)),0,""))</f>
        <v/>
      </c>
      <c r="W201" s="369" t="str">
        <f ca="1">IF($B201&lt;&gt;"PRC_RESID","",IF(W$7=2005+OFFSET(COM_2012!$B$60,$AW201,SUMIF($B$10:$B$16,"NCAP_TLIFE",$AX$10:$AX$16)),0,""))</f>
        <v/>
      </c>
      <c r="X201" s="369" t="str">
        <f ca="1">IF($B201&lt;&gt;"PRC_RESID","",IF(X$7=2005+OFFSET(COM_2012!$B$60,$AW201,SUMIF($B$10:$B$16,"NCAP_TLIFE",$AX$10:$AX$16)),0,""))</f>
        <v/>
      </c>
      <c r="Y201" s="369" t="str">
        <f ca="1">IF($B201&lt;&gt;"PRC_RESID","",IF(Y$7=2005+OFFSET(COM_2012!$B$60,$AW201,SUMIF($B$10:$B$16,"NCAP_TLIFE",$AX$10:$AX$16)),0,""))</f>
        <v/>
      </c>
      <c r="Z201" s="369" t="str">
        <f ca="1">IF($B201&lt;&gt;"PRC_RESID","",IF(Z$7=2005+OFFSET(COM_2012!$B$60,$AW201,SUMIF($B$10:$B$16,"NCAP_TLIFE",$AX$10:$AX$16)),0,""))</f>
        <v/>
      </c>
      <c r="AA201" s="369" t="str">
        <f ca="1">IF($B201&lt;&gt;"PRC_RESID","",IF(AA$7=2005+OFFSET(COM_2012!$B$60,$AW201,SUMIF($B$10:$B$16,"NCAP_TLIFE",$AX$10:$AX$16)),0,""))</f>
        <v/>
      </c>
      <c r="AB201" s="369" t="str">
        <f ca="1">IF($B201&lt;&gt;"PRC_RESID","",IF(AB$7=2005+OFFSET(COM_2012!$B$60,$AW201,SUMIF($B$10:$B$16,"NCAP_TLIFE",$AX$10:$AX$16)),0,""))</f>
        <v/>
      </c>
      <c r="AC201" s="369" t="str">
        <f ca="1">IF($B201&lt;&gt;"PRC_RESID","",IF(AC$7=2005+OFFSET(COM_2012!$B$60,$AW201,SUMIF($B$10:$B$16,"NCAP_TLIFE",$AX$10:$AX$16)),0,""))</f>
        <v/>
      </c>
      <c r="AD201" s="369" t="str">
        <f ca="1">IF($B201&lt;&gt;"PRC_RESID","",IF(AD$7=2005+OFFSET(COM_2012!$B$60,$AW201,SUMIF($B$10:$B$16,"NCAP_TLIFE",$AX$10:$AX$16)),0,""))</f>
        <v/>
      </c>
      <c r="AE201" s="369" t="str">
        <f ca="1">IF($B201&lt;&gt;"PRC_RESID","",IF(AE$7=2005+OFFSET(COM_2012!$B$60,$AW201,SUMIF($B$10:$B$16,"NCAP_TLIFE",$AX$10:$AX$16)),0,""))</f>
        <v/>
      </c>
      <c r="AF201" s="369" t="str">
        <f ca="1">IF($B201&lt;&gt;"PRC_RESID","",IF(AF$7=2005+OFFSET(COM_2012!$B$60,$AW201,SUMIF($B$10:$B$16,"NCAP_TLIFE",$AX$10:$AX$16)),0,""))</f>
        <v/>
      </c>
      <c r="AG201" s="369" t="str">
        <f ca="1">IF($B201&lt;&gt;"PRC_RESID","",IF(AG$7=2005+OFFSET(COM_2012!$B$60,$AW201,SUMIF($B$10:$B$16,"NCAP_TLIFE",$AX$10:$AX$16)),0,""))</f>
        <v/>
      </c>
      <c r="AH201" s="369" t="str">
        <f ca="1">IF($B201&lt;&gt;"PRC_RESID","",IF(AH$7=2005+OFFSET(COM_2012!$B$60,$AW201,SUMIF($B$10:$B$16,"NCAP_TLIFE",$AX$10:$AX$16)),0,""))</f>
        <v/>
      </c>
      <c r="AI201" s="369" t="str">
        <f ca="1">IF($B201&lt;&gt;"PRC_RESID","",IF(AI$7=2005+OFFSET(COM_2012!$B$60,$AW201,SUMIF($B$10:$B$16,"NCAP_TLIFE",$AX$10:$AX$16)),0,""))</f>
        <v/>
      </c>
      <c r="AJ201" s="369" t="str">
        <f ca="1">IF($B201&lt;&gt;"PRC_RESID","",IF(AJ$7=2005+OFFSET(COM_2012!$B$60,$AW201,SUMIF($B$10:$B$16,"NCAP_TLIFE",$AX$10:$AX$16)),0,""))</f>
        <v/>
      </c>
      <c r="AK201" s="369" t="str">
        <f ca="1">IF($B201&lt;&gt;"PRC_RESID","",IF(AK$7=2005+OFFSET(COM_2012!$B$60,$AW201,SUMIF($B$10:$B$16,"NCAP_TLIFE",$AX$10:$AX$16)),0,""))</f>
        <v/>
      </c>
      <c r="AL201" s="369" t="str">
        <f ca="1">IF($B201&lt;&gt;"PRC_RESID","",IF(AL$7=2005+OFFSET(COM_2012!$B$60,$AW201,SUMIF($B$10:$B$16,"NCAP_TLIFE",$AX$10:$AX$16)),0,""))</f>
        <v/>
      </c>
      <c r="AM201" s="369" t="str">
        <f ca="1">IF($B201&lt;&gt;"PRC_RESID","",IF(AM$7=2005+OFFSET(COM_2012!$B$60,$AW201,SUMIF($B$10:$B$16,"NCAP_TLIFE",$AX$10:$AX$16)),0,""))</f>
        <v/>
      </c>
      <c r="AN201" s="369" t="str">
        <f ca="1">IF($B201&lt;&gt;"PRC_RESID","",IF(AN$7=2005+OFFSET(COM_2012!$B$60,$AW201,SUMIF($B$10:$B$16,"NCAP_TLIFE",$AX$10:$AX$16)),0,""))</f>
        <v/>
      </c>
      <c r="AO201" s="369" t="str">
        <f ca="1">IF($B201&lt;&gt;"PRC_RESID","",IF(AO$7=2005+OFFSET(COM_2012!$B$60,$AW201,SUMIF($B$10:$B$16,"NCAP_TLIFE",$AX$10:$AX$16)),0,""))</f>
        <v/>
      </c>
      <c r="AP201" s="369" t="str">
        <f ca="1">IF($B201&lt;&gt;"PRC_RESID","",IF(AP$7=2005+OFFSET(COM_2012!$B$60,$AW201,SUMIF($B$10:$B$16,"NCAP_TLIFE",$AX$10:$AX$16)),0,""))</f>
        <v/>
      </c>
      <c r="AQ201" s="369" t="str">
        <f ca="1">IF($B201&lt;&gt;"PRC_RESID","",IF(AQ$7=2005+OFFSET(COM_2012!$B$60,$AW201,SUMIF($B$10:$B$16,"NCAP_TLIFE",$AX$10:$AX$16)),0,""))</f>
        <v/>
      </c>
      <c r="AR201" s="369" t="str">
        <f ca="1">IF($B201&lt;&gt;"PRC_RESID","",IF(AR$7=2005+OFFSET(COM_2012!$B$60,$AW201,SUMIF($B$10:$B$16,"NCAP_TLIFE",$AX$10:$AX$16)),0,""))</f>
        <v/>
      </c>
      <c r="AS201" s="369" t="str">
        <f ca="1">IF($B201&lt;&gt;"PRC_RESID","",IF(AS$7=2005+OFFSET(COM_2012!$B$60,$AW201,SUMIF($B$10:$B$16,"NCAP_TLIFE",$AX$10:$AX$16)),0,""))</f>
        <v/>
      </c>
      <c r="AT201" s="369" t="str">
        <f ca="1">IF($B201&lt;&gt;"PRC_RESID","",IF(AT$7=2005+OFFSET(COM_2012!$B$60,$AW201,SUMIF($B$10:$B$16,"NCAP_TLIFE",$AX$10:$AX$16)),0,""))</f>
        <v/>
      </c>
      <c r="AU201" s="369" t="str">
        <f ca="1">IF($B201&lt;&gt;"PRC_RESID","",IF(AU$7=2005+OFFSET(COM_2012!$B$60,$AW201,SUMIF($B$10:$B$16,"NCAP_TLIFE",$AX$10:$AX$16)),0,""))</f>
        <v/>
      </c>
      <c r="AV201" s="304">
        <f>IF(AW200=COM_2012!$AI$121,AV200+1,AV200)</f>
        <v>3</v>
      </c>
      <c r="AW201" s="304">
        <f t="shared" si="17"/>
        <v>52</v>
      </c>
    </row>
    <row r="202" spans="1:49">
      <c r="A202" s="304" t="str">
        <f ca="1">IF(LEFT(OFFSET(COM_2012!$A$60,AW202,0),2)="\I","*","")</f>
        <v/>
      </c>
      <c r="B202" s="369" t="str">
        <f t="shared" ca="1" si="16"/>
        <v>NCAP_TLIFE</v>
      </c>
      <c r="C202" s="369" t="str">
        <f ca="1">IF($A202="*","",OFFSET(COM_2012!$B$60,AW202,0))</f>
        <v>CEOCOA-E</v>
      </c>
      <c r="D202" s="369" t="str">
        <f t="shared" ca="1" si="20"/>
        <v>-</v>
      </c>
      <c r="E202" s="369" t="str">
        <f t="shared" ca="1" si="20"/>
        <v>-</v>
      </c>
      <c r="F202" s="369" t="str">
        <f t="shared" ca="1" si="20"/>
        <v>-</v>
      </c>
      <c r="G202" s="369" t="str">
        <f t="shared" ca="1" si="20"/>
        <v>-</v>
      </c>
      <c r="H202" s="369" t="str">
        <f t="shared" ca="1" si="20"/>
        <v>-</v>
      </c>
      <c r="I202" s="370">
        <f t="shared" ca="1" si="20"/>
        <v>0</v>
      </c>
      <c r="J202" s="391">
        <f ca="1">IF($A202="*","",OFFSET(COM_2012!$B$60,AW202,SUMIF($B$10:$B$16,B202,$AX$10:$AX$16)))</f>
        <v>15</v>
      </c>
      <c r="K202" s="369" t="str">
        <f ca="1">IF($B202&lt;&gt;"PRC_RESID","",IF(K$7=2005+OFFSET(COM_2012!$B$60,$AW202,SUMIF($B$10:$B$16,"NCAP_TLIFE",$AX$10:$AX$16)),0,""))</f>
        <v/>
      </c>
      <c r="L202" s="369" t="str">
        <f ca="1">IF($B202&lt;&gt;"PRC_RESID","",IF(L$7=2005+OFFSET(COM_2012!$B$60,$AW202,SUMIF($B$10:$B$16,"NCAP_TLIFE",$AX$10:$AX$16)),0,""))</f>
        <v/>
      </c>
      <c r="M202" s="369" t="str">
        <f ca="1">IF($B202&lt;&gt;"PRC_RESID","",IF(M$7=2005+OFFSET(COM_2012!$B$60,$AW202,SUMIF($B$10:$B$16,"NCAP_TLIFE",$AX$10:$AX$16)),0,""))</f>
        <v/>
      </c>
      <c r="N202" s="369" t="str">
        <f ca="1">IF($B202&lt;&gt;"PRC_RESID","",IF(N$7=2005+OFFSET(COM_2012!$B$60,$AW202,SUMIF($B$10:$B$16,"NCAP_TLIFE",$AX$10:$AX$16)),0,""))</f>
        <v/>
      </c>
      <c r="O202" s="658" t="str">
        <f ca="1">IF($B202&lt;&gt;"PRC_RESID","",IF(O$7=2005+OFFSET(COM_2012!$B$60,$AW202,SUMIF($B$10:$B$16,"NCAP_TLIFE",$AX$10:$AX$16)),0,""))</f>
        <v/>
      </c>
      <c r="P202" s="369" t="str">
        <f ca="1">IF($B202&lt;&gt;"PRC_RESID","",IF(P$7=2005+OFFSET(COM_2012!$B$60,$AW202,SUMIF($B$10:$B$16,"NCAP_TLIFE",$AX$10:$AX$16)),0,""))</f>
        <v/>
      </c>
      <c r="Q202" s="369" t="str">
        <f ca="1">IF($B202&lt;&gt;"PRC_RESID","",IF(Q$7=2005+OFFSET(COM_2012!$B$60,$AW202,SUMIF($B$10:$B$16,"NCAP_TLIFE",$AX$10:$AX$16)),0,""))</f>
        <v/>
      </c>
      <c r="R202" s="369" t="str">
        <f ca="1">IF($B202&lt;&gt;"PRC_RESID","",IF(R$7=2005+OFFSET(COM_2012!$B$60,$AW202,SUMIF($B$10:$B$16,"NCAP_TLIFE",$AX$10:$AX$16)),0,""))</f>
        <v/>
      </c>
      <c r="S202" s="369" t="str">
        <f ca="1">IF($B202&lt;&gt;"PRC_RESID","",IF(S$7=2005+OFFSET(COM_2012!$B$60,$AW202,SUMIF($B$10:$B$16,"NCAP_TLIFE",$AX$10:$AX$16)),0,""))</f>
        <v/>
      </c>
      <c r="T202" s="369" t="str">
        <f ca="1">IF($B202&lt;&gt;"PRC_RESID","",IF(T$7=2005+OFFSET(COM_2012!$B$60,$AW202,SUMIF($B$10:$B$16,"NCAP_TLIFE",$AX$10:$AX$16)),0,""))</f>
        <v/>
      </c>
      <c r="U202" s="369" t="str">
        <f ca="1">IF($B202&lt;&gt;"PRC_RESID","",IF(U$7=2005+OFFSET(COM_2012!$B$60,$AW202,SUMIF($B$10:$B$16,"NCAP_TLIFE",$AX$10:$AX$16)),0,""))</f>
        <v/>
      </c>
      <c r="V202" s="369" t="str">
        <f ca="1">IF($B202&lt;&gt;"PRC_RESID","",IF(V$7=2005+OFFSET(COM_2012!$B$60,$AW202,SUMIF($B$10:$B$16,"NCAP_TLIFE",$AX$10:$AX$16)),0,""))</f>
        <v/>
      </c>
      <c r="W202" s="369" t="str">
        <f ca="1">IF($B202&lt;&gt;"PRC_RESID","",IF(W$7=2005+OFFSET(COM_2012!$B$60,$AW202,SUMIF($B$10:$B$16,"NCAP_TLIFE",$AX$10:$AX$16)),0,""))</f>
        <v/>
      </c>
      <c r="X202" s="369" t="str">
        <f ca="1">IF($B202&lt;&gt;"PRC_RESID","",IF(X$7=2005+OFFSET(COM_2012!$B$60,$AW202,SUMIF($B$10:$B$16,"NCAP_TLIFE",$AX$10:$AX$16)),0,""))</f>
        <v/>
      </c>
      <c r="Y202" s="369" t="str">
        <f ca="1">IF($B202&lt;&gt;"PRC_RESID","",IF(Y$7=2005+OFFSET(COM_2012!$B$60,$AW202,SUMIF($B$10:$B$16,"NCAP_TLIFE",$AX$10:$AX$16)),0,""))</f>
        <v/>
      </c>
      <c r="Z202" s="369" t="str">
        <f ca="1">IF($B202&lt;&gt;"PRC_RESID","",IF(Z$7=2005+OFFSET(COM_2012!$B$60,$AW202,SUMIF($B$10:$B$16,"NCAP_TLIFE",$AX$10:$AX$16)),0,""))</f>
        <v/>
      </c>
      <c r="AA202" s="369" t="str">
        <f ca="1">IF($B202&lt;&gt;"PRC_RESID","",IF(AA$7=2005+OFFSET(COM_2012!$B$60,$AW202,SUMIF($B$10:$B$16,"NCAP_TLIFE",$AX$10:$AX$16)),0,""))</f>
        <v/>
      </c>
      <c r="AB202" s="369" t="str">
        <f ca="1">IF($B202&lt;&gt;"PRC_RESID","",IF(AB$7=2005+OFFSET(COM_2012!$B$60,$AW202,SUMIF($B$10:$B$16,"NCAP_TLIFE",$AX$10:$AX$16)),0,""))</f>
        <v/>
      </c>
      <c r="AC202" s="369" t="str">
        <f ca="1">IF($B202&lt;&gt;"PRC_RESID","",IF(AC$7=2005+OFFSET(COM_2012!$B$60,$AW202,SUMIF($B$10:$B$16,"NCAP_TLIFE",$AX$10:$AX$16)),0,""))</f>
        <v/>
      </c>
      <c r="AD202" s="369" t="str">
        <f ca="1">IF($B202&lt;&gt;"PRC_RESID","",IF(AD$7=2005+OFFSET(COM_2012!$B$60,$AW202,SUMIF($B$10:$B$16,"NCAP_TLIFE",$AX$10:$AX$16)),0,""))</f>
        <v/>
      </c>
      <c r="AE202" s="369" t="str">
        <f ca="1">IF($B202&lt;&gt;"PRC_RESID","",IF(AE$7=2005+OFFSET(COM_2012!$B$60,$AW202,SUMIF($B$10:$B$16,"NCAP_TLIFE",$AX$10:$AX$16)),0,""))</f>
        <v/>
      </c>
      <c r="AF202" s="369" t="str">
        <f ca="1">IF($B202&lt;&gt;"PRC_RESID","",IF(AF$7=2005+OFFSET(COM_2012!$B$60,$AW202,SUMIF($B$10:$B$16,"NCAP_TLIFE",$AX$10:$AX$16)),0,""))</f>
        <v/>
      </c>
      <c r="AG202" s="369" t="str">
        <f ca="1">IF($B202&lt;&gt;"PRC_RESID","",IF(AG$7=2005+OFFSET(COM_2012!$B$60,$AW202,SUMIF($B$10:$B$16,"NCAP_TLIFE",$AX$10:$AX$16)),0,""))</f>
        <v/>
      </c>
      <c r="AH202" s="369" t="str">
        <f ca="1">IF($B202&lt;&gt;"PRC_RESID","",IF(AH$7=2005+OFFSET(COM_2012!$B$60,$AW202,SUMIF($B$10:$B$16,"NCAP_TLIFE",$AX$10:$AX$16)),0,""))</f>
        <v/>
      </c>
      <c r="AI202" s="369" t="str">
        <f ca="1">IF($B202&lt;&gt;"PRC_RESID","",IF(AI$7=2005+OFFSET(COM_2012!$B$60,$AW202,SUMIF($B$10:$B$16,"NCAP_TLIFE",$AX$10:$AX$16)),0,""))</f>
        <v/>
      </c>
      <c r="AJ202" s="369" t="str">
        <f ca="1">IF($B202&lt;&gt;"PRC_RESID","",IF(AJ$7=2005+OFFSET(COM_2012!$B$60,$AW202,SUMIF($B$10:$B$16,"NCAP_TLIFE",$AX$10:$AX$16)),0,""))</f>
        <v/>
      </c>
      <c r="AK202" s="369" t="str">
        <f ca="1">IF($B202&lt;&gt;"PRC_RESID","",IF(AK$7=2005+OFFSET(COM_2012!$B$60,$AW202,SUMIF($B$10:$B$16,"NCAP_TLIFE",$AX$10:$AX$16)),0,""))</f>
        <v/>
      </c>
      <c r="AL202" s="369" t="str">
        <f ca="1">IF($B202&lt;&gt;"PRC_RESID","",IF(AL$7=2005+OFFSET(COM_2012!$B$60,$AW202,SUMIF($B$10:$B$16,"NCAP_TLIFE",$AX$10:$AX$16)),0,""))</f>
        <v/>
      </c>
      <c r="AM202" s="369" t="str">
        <f ca="1">IF($B202&lt;&gt;"PRC_RESID","",IF(AM$7=2005+OFFSET(COM_2012!$B$60,$AW202,SUMIF($B$10:$B$16,"NCAP_TLIFE",$AX$10:$AX$16)),0,""))</f>
        <v/>
      </c>
      <c r="AN202" s="369" t="str">
        <f ca="1">IF($B202&lt;&gt;"PRC_RESID","",IF(AN$7=2005+OFFSET(COM_2012!$B$60,$AW202,SUMIF($B$10:$B$16,"NCAP_TLIFE",$AX$10:$AX$16)),0,""))</f>
        <v/>
      </c>
      <c r="AO202" s="369" t="str">
        <f ca="1">IF($B202&lt;&gt;"PRC_RESID","",IF(AO$7=2005+OFFSET(COM_2012!$B$60,$AW202,SUMIF($B$10:$B$16,"NCAP_TLIFE",$AX$10:$AX$16)),0,""))</f>
        <v/>
      </c>
      <c r="AP202" s="369" t="str">
        <f ca="1">IF($B202&lt;&gt;"PRC_RESID","",IF(AP$7=2005+OFFSET(COM_2012!$B$60,$AW202,SUMIF($B$10:$B$16,"NCAP_TLIFE",$AX$10:$AX$16)),0,""))</f>
        <v/>
      </c>
      <c r="AQ202" s="369" t="str">
        <f ca="1">IF($B202&lt;&gt;"PRC_RESID","",IF(AQ$7=2005+OFFSET(COM_2012!$B$60,$AW202,SUMIF($B$10:$B$16,"NCAP_TLIFE",$AX$10:$AX$16)),0,""))</f>
        <v/>
      </c>
      <c r="AR202" s="369" t="str">
        <f ca="1">IF($B202&lt;&gt;"PRC_RESID","",IF(AR$7=2005+OFFSET(COM_2012!$B$60,$AW202,SUMIF($B$10:$B$16,"NCAP_TLIFE",$AX$10:$AX$16)),0,""))</f>
        <v/>
      </c>
      <c r="AS202" s="369" t="str">
        <f ca="1">IF($B202&lt;&gt;"PRC_RESID","",IF(AS$7=2005+OFFSET(COM_2012!$B$60,$AW202,SUMIF($B$10:$B$16,"NCAP_TLIFE",$AX$10:$AX$16)),0,""))</f>
        <v/>
      </c>
      <c r="AT202" s="369" t="str">
        <f ca="1">IF($B202&lt;&gt;"PRC_RESID","",IF(AT$7=2005+OFFSET(COM_2012!$B$60,$AW202,SUMIF($B$10:$B$16,"NCAP_TLIFE",$AX$10:$AX$16)),0,""))</f>
        <v/>
      </c>
      <c r="AU202" s="369" t="str">
        <f ca="1">IF($B202&lt;&gt;"PRC_RESID","",IF(AU$7=2005+OFFSET(COM_2012!$B$60,$AW202,SUMIF($B$10:$B$16,"NCAP_TLIFE",$AX$10:$AX$16)),0,""))</f>
        <v/>
      </c>
      <c r="AV202" s="304">
        <f>IF(AW201=COM_2012!$AI$121,AV201+1,AV201)</f>
        <v>3</v>
      </c>
      <c r="AW202" s="304">
        <f t="shared" si="17"/>
        <v>53</v>
      </c>
    </row>
    <row r="203" spans="1:49">
      <c r="A203" s="304" t="str">
        <f ca="1">IF(LEFT(OFFSET(COM_2012!$A$60,AW203,0),2)="\I","*","")</f>
        <v/>
      </c>
      <c r="B203" s="369" t="str">
        <f t="shared" ca="1" si="16"/>
        <v>NCAP_TLIFE</v>
      </c>
      <c r="C203" s="369" t="str">
        <f ca="1">IF($A203="*","",OFFSET(COM_2012!$B$60,AW203,0))</f>
        <v>CEOODS-E</v>
      </c>
      <c r="D203" s="369" t="str">
        <f t="shared" ca="1" si="20"/>
        <v>-</v>
      </c>
      <c r="E203" s="369" t="str">
        <f t="shared" ca="1" si="20"/>
        <v>-</v>
      </c>
      <c r="F203" s="369" t="str">
        <f t="shared" ca="1" si="20"/>
        <v>-</v>
      </c>
      <c r="G203" s="369" t="str">
        <f t="shared" ca="1" si="20"/>
        <v>-</v>
      </c>
      <c r="H203" s="369" t="str">
        <f t="shared" ca="1" si="20"/>
        <v>-</v>
      </c>
      <c r="I203" s="370">
        <f t="shared" ca="1" si="20"/>
        <v>0</v>
      </c>
      <c r="J203" s="391">
        <f ca="1">IF($A203="*","",OFFSET(COM_2012!$B$60,AW203,SUMIF($B$10:$B$16,B203,$AX$10:$AX$16)))</f>
        <v>15</v>
      </c>
      <c r="K203" s="369" t="str">
        <f ca="1">IF($B203&lt;&gt;"PRC_RESID","",IF(K$7=2005+OFFSET(COM_2012!$B$60,$AW203,SUMIF($B$10:$B$16,"NCAP_TLIFE",$AX$10:$AX$16)),0,""))</f>
        <v/>
      </c>
      <c r="L203" s="369" t="str">
        <f ca="1">IF($B203&lt;&gt;"PRC_RESID","",IF(L$7=2005+OFFSET(COM_2012!$B$60,$AW203,SUMIF($B$10:$B$16,"NCAP_TLIFE",$AX$10:$AX$16)),0,""))</f>
        <v/>
      </c>
      <c r="M203" s="369" t="str">
        <f ca="1">IF($B203&lt;&gt;"PRC_RESID","",IF(M$7=2005+OFFSET(COM_2012!$B$60,$AW203,SUMIF($B$10:$B$16,"NCAP_TLIFE",$AX$10:$AX$16)),0,""))</f>
        <v/>
      </c>
      <c r="N203" s="369" t="str">
        <f ca="1">IF($B203&lt;&gt;"PRC_RESID","",IF(N$7=2005+OFFSET(COM_2012!$B$60,$AW203,SUMIF($B$10:$B$16,"NCAP_TLIFE",$AX$10:$AX$16)),0,""))</f>
        <v/>
      </c>
      <c r="O203" s="658" t="str">
        <f ca="1">IF($B203&lt;&gt;"PRC_RESID","",IF(O$7=2005+OFFSET(COM_2012!$B$60,$AW203,SUMIF($B$10:$B$16,"NCAP_TLIFE",$AX$10:$AX$16)),0,""))</f>
        <v/>
      </c>
      <c r="P203" s="369" t="str">
        <f ca="1">IF($B203&lt;&gt;"PRC_RESID","",IF(P$7=2005+OFFSET(COM_2012!$B$60,$AW203,SUMIF($B$10:$B$16,"NCAP_TLIFE",$AX$10:$AX$16)),0,""))</f>
        <v/>
      </c>
      <c r="Q203" s="369" t="str">
        <f ca="1">IF($B203&lt;&gt;"PRC_RESID","",IF(Q$7=2005+OFFSET(COM_2012!$B$60,$AW203,SUMIF($B$10:$B$16,"NCAP_TLIFE",$AX$10:$AX$16)),0,""))</f>
        <v/>
      </c>
      <c r="R203" s="369" t="str">
        <f ca="1">IF($B203&lt;&gt;"PRC_RESID","",IF(R$7=2005+OFFSET(COM_2012!$B$60,$AW203,SUMIF($B$10:$B$16,"NCAP_TLIFE",$AX$10:$AX$16)),0,""))</f>
        <v/>
      </c>
      <c r="S203" s="369" t="str">
        <f ca="1">IF($B203&lt;&gt;"PRC_RESID","",IF(S$7=2005+OFFSET(COM_2012!$B$60,$AW203,SUMIF($B$10:$B$16,"NCAP_TLIFE",$AX$10:$AX$16)),0,""))</f>
        <v/>
      </c>
      <c r="T203" s="369" t="str">
        <f ca="1">IF($B203&lt;&gt;"PRC_RESID","",IF(T$7=2005+OFFSET(COM_2012!$B$60,$AW203,SUMIF($B$10:$B$16,"NCAP_TLIFE",$AX$10:$AX$16)),0,""))</f>
        <v/>
      </c>
      <c r="U203" s="369" t="str">
        <f ca="1">IF($B203&lt;&gt;"PRC_RESID","",IF(U$7=2005+OFFSET(COM_2012!$B$60,$AW203,SUMIF($B$10:$B$16,"NCAP_TLIFE",$AX$10:$AX$16)),0,""))</f>
        <v/>
      </c>
      <c r="V203" s="369" t="str">
        <f ca="1">IF($B203&lt;&gt;"PRC_RESID","",IF(V$7=2005+OFFSET(COM_2012!$B$60,$AW203,SUMIF($B$10:$B$16,"NCAP_TLIFE",$AX$10:$AX$16)),0,""))</f>
        <v/>
      </c>
      <c r="W203" s="369" t="str">
        <f ca="1">IF($B203&lt;&gt;"PRC_RESID","",IF(W$7=2005+OFFSET(COM_2012!$B$60,$AW203,SUMIF($B$10:$B$16,"NCAP_TLIFE",$AX$10:$AX$16)),0,""))</f>
        <v/>
      </c>
      <c r="X203" s="369" t="str">
        <f ca="1">IF($B203&lt;&gt;"PRC_RESID","",IF(X$7=2005+OFFSET(COM_2012!$B$60,$AW203,SUMIF($B$10:$B$16,"NCAP_TLIFE",$AX$10:$AX$16)),0,""))</f>
        <v/>
      </c>
      <c r="Y203" s="369" t="str">
        <f ca="1">IF($B203&lt;&gt;"PRC_RESID","",IF(Y$7=2005+OFFSET(COM_2012!$B$60,$AW203,SUMIF($B$10:$B$16,"NCAP_TLIFE",$AX$10:$AX$16)),0,""))</f>
        <v/>
      </c>
      <c r="Z203" s="369" t="str">
        <f ca="1">IF($B203&lt;&gt;"PRC_RESID","",IF(Z$7=2005+OFFSET(COM_2012!$B$60,$AW203,SUMIF($B$10:$B$16,"NCAP_TLIFE",$AX$10:$AX$16)),0,""))</f>
        <v/>
      </c>
      <c r="AA203" s="369" t="str">
        <f ca="1">IF($B203&lt;&gt;"PRC_RESID","",IF(AA$7=2005+OFFSET(COM_2012!$B$60,$AW203,SUMIF($B$10:$B$16,"NCAP_TLIFE",$AX$10:$AX$16)),0,""))</f>
        <v/>
      </c>
      <c r="AB203" s="369" t="str">
        <f ca="1">IF($B203&lt;&gt;"PRC_RESID","",IF(AB$7=2005+OFFSET(COM_2012!$B$60,$AW203,SUMIF($B$10:$B$16,"NCAP_TLIFE",$AX$10:$AX$16)),0,""))</f>
        <v/>
      </c>
      <c r="AC203" s="369" t="str">
        <f ca="1">IF($B203&lt;&gt;"PRC_RESID","",IF(AC$7=2005+OFFSET(COM_2012!$B$60,$AW203,SUMIF($B$10:$B$16,"NCAP_TLIFE",$AX$10:$AX$16)),0,""))</f>
        <v/>
      </c>
      <c r="AD203" s="369" t="str">
        <f ca="1">IF($B203&lt;&gt;"PRC_RESID","",IF(AD$7=2005+OFFSET(COM_2012!$B$60,$AW203,SUMIF($B$10:$B$16,"NCAP_TLIFE",$AX$10:$AX$16)),0,""))</f>
        <v/>
      </c>
      <c r="AE203" s="369" t="str">
        <f ca="1">IF($B203&lt;&gt;"PRC_RESID","",IF(AE$7=2005+OFFSET(COM_2012!$B$60,$AW203,SUMIF($B$10:$B$16,"NCAP_TLIFE",$AX$10:$AX$16)),0,""))</f>
        <v/>
      </c>
      <c r="AF203" s="369" t="str">
        <f ca="1">IF($B203&lt;&gt;"PRC_RESID","",IF(AF$7=2005+OFFSET(COM_2012!$B$60,$AW203,SUMIF($B$10:$B$16,"NCAP_TLIFE",$AX$10:$AX$16)),0,""))</f>
        <v/>
      </c>
      <c r="AG203" s="369" t="str">
        <f ca="1">IF($B203&lt;&gt;"PRC_RESID","",IF(AG$7=2005+OFFSET(COM_2012!$B$60,$AW203,SUMIF($B$10:$B$16,"NCAP_TLIFE",$AX$10:$AX$16)),0,""))</f>
        <v/>
      </c>
      <c r="AH203" s="369" t="str">
        <f ca="1">IF($B203&lt;&gt;"PRC_RESID","",IF(AH$7=2005+OFFSET(COM_2012!$B$60,$AW203,SUMIF($B$10:$B$16,"NCAP_TLIFE",$AX$10:$AX$16)),0,""))</f>
        <v/>
      </c>
      <c r="AI203" s="369" t="str">
        <f ca="1">IF($B203&lt;&gt;"PRC_RESID","",IF(AI$7=2005+OFFSET(COM_2012!$B$60,$AW203,SUMIF($B$10:$B$16,"NCAP_TLIFE",$AX$10:$AX$16)),0,""))</f>
        <v/>
      </c>
      <c r="AJ203" s="369" t="str">
        <f ca="1">IF($B203&lt;&gt;"PRC_RESID","",IF(AJ$7=2005+OFFSET(COM_2012!$B$60,$AW203,SUMIF($B$10:$B$16,"NCAP_TLIFE",$AX$10:$AX$16)),0,""))</f>
        <v/>
      </c>
      <c r="AK203" s="369" t="str">
        <f ca="1">IF($B203&lt;&gt;"PRC_RESID","",IF(AK$7=2005+OFFSET(COM_2012!$B$60,$AW203,SUMIF($B$10:$B$16,"NCAP_TLIFE",$AX$10:$AX$16)),0,""))</f>
        <v/>
      </c>
      <c r="AL203" s="369" t="str">
        <f ca="1">IF($B203&lt;&gt;"PRC_RESID","",IF(AL$7=2005+OFFSET(COM_2012!$B$60,$AW203,SUMIF($B$10:$B$16,"NCAP_TLIFE",$AX$10:$AX$16)),0,""))</f>
        <v/>
      </c>
      <c r="AM203" s="369" t="str">
        <f ca="1">IF($B203&lt;&gt;"PRC_RESID","",IF(AM$7=2005+OFFSET(COM_2012!$B$60,$AW203,SUMIF($B$10:$B$16,"NCAP_TLIFE",$AX$10:$AX$16)),0,""))</f>
        <v/>
      </c>
      <c r="AN203" s="369" t="str">
        <f ca="1">IF($B203&lt;&gt;"PRC_RESID","",IF(AN$7=2005+OFFSET(COM_2012!$B$60,$AW203,SUMIF($B$10:$B$16,"NCAP_TLIFE",$AX$10:$AX$16)),0,""))</f>
        <v/>
      </c>
      <c r="AO203" s="369" t="str">
        <f ca="1">IF($B203&lt;&gt;"PRC_RESID","",IF(AO$7=2005+OFFSET(COM_2012!$B$60,$AW203,SUMIF($B$10:$B$16,"NCAP_TLIFE",$AX$10:$AX$16)),0,""))</f>
        <v/>
      </c>
      <c r="AP203" s="369" t="str">
        <f ca="1">IF($B203&lt;&gt;"PRC_RESID","",IF(AP$7=2005+OFFSET(COM_2012!$B$60,$AW203,SUMIF($B$10:$B$16,"NCAP_TLIFE",$AX$10:$AX$16)),0,""))</f>
        <v/>
      </c>
      <c r="AQ203" s="369" t="str">
        <f ca="1">IF($B203&lt;&gt;"PRC_RESID","",IF(AQ$7=2005+OFFSET(COM_2012!$B$60,$AW203,SUMIF($B$10:$B$16,"NCAP_TLIFE",$AX$10:$AX$16)),0,""))</f>
        <v/>
      </c>
      <c r="AR203" s="369" t="str">
        <f ca="1">IF($B203&lt;&gt;"PRC_RESID","",IF(AR$7=2005+OFFSET(COM_2012!$B$60,$AW203,SUMIF($B$10:$B$16,"NCAP_TLIFE",$AX$10:$AX$16)),0,""))</f>
        <v/>
      </c>
      <c r="AS203" s="369" t="str">
        <f ca="1">IF($B203&lt;&gt;"PRC_RESID","",IF(AS$7=2005+OFFSET(COM_2012!$B$60,$AW203,SUMIF($B$10:$B$16,"NCAP_TLIFE",$AX$10:$AX$16)),0,""))</f>
        <v/>
      </c>
      <c r="AT203" s="369" t="str">
        <f ca="1">IF($B203&lt;&gt;"PRC_RESID","",IF(AT$7=2005+OFFSET(COM_2012!$B$60,$AW203,SUMIF($B$10:$B$16,"NCAP_TLIFE",$AX$10:$AX$16)),0,""))</f>
        <v/>
      </c>
      <c r="AU203" s="369" t="str">
        <f ca="1">IF($B203&lt;&gt;"PRC_RESID","",IF(AU$7=2005+OFFSET(COM_2012!$B$60,$AW203,SUMIF($B$10:$B$16,"NCAP_TLIFE",$AX$10:$AX$16)),0,""))</f>
        <v/>
      </c>
      <c r="AV203" s="304">
        <f>IF(AW202=COM_2012!$AI$121,AV202+1,AV202)</f>
        <v>3</v>
      </c>
      <c r="AW203" s="304">
        <f t="shared" si="17"/>
        <v>54</v>
      </c>
    </row>
    <row r="204" spans="1:49">
      <c r="A204" s="304" t="str">
        <f ca="1">IF(LEFT(OFFSET(COM_2012!$A$60,AW204,0),2)="\I","*","")</f>
        <v/>
      </c>
      <c r="B204" s="369" t="str">
        <f t="shared" ca="1" si="16"/>
        <v>NCAP_TLIFE</v>
      </c>
      <c r="C204" s="369" t="str">
        <f ca="1">IF($A204="*","",OFFSET(COM_2012!$B$60,AW204,0))</f>
        <v>CEOELC-E</v>
      </c>
      <c r="D204" s="369" t="str">
        <f t="shared" ca="1" si="20"/>
        <v>-</v>
      </c>
      <c r="E204" s="369" t="str">
        <f t="shared" ca="1" si="20"/>
        <v>-</v>
      </c>
      <c r="F204" s="369" t="str">
        <f t="shared" ca="1" si="20"/>
        <v>-</v>
      </c>
      <c r="G204" s="369" t="str">
        <f t="shared" ca="1" si="20"/>
        <v>-</v>
      </c>
      <c r="H204" s="369" t="str">
        <f t="shared" ca="1" si="20"/>
        <v>-</v>
      </c>
      <c r="I204" s="370">
        <f t="shared" ca="1" si="20"/>
        <v>0</v>
      </c>
      <c r="J204" s="391">
        <f ca="1">IF($A204="*","",OFFSET(COM_2012!$B$60,AW204,SUMIF($B$10:$B$16,B204,$AX$10:$AX$16)))</f>
        <v>15</v>
      </c>
      <c r="K204" s="369" t="str">
        <f ca="1">IF($B204&lt;&gt;"PRC_RESID","",IF(K$7=2005+OFFSET(COM_2012!$B$60,$AW204,SUMIF($B$10:$B$16,"NCAP_TLIFE",$AX$10:$AX$16)),0,""))</f>
        <v/>
      </c>
      <c r="L204" s="369" t="str">
        <f ca="1">IF($B204&lt;&gt;"PRC_RESID","",IF(L$7=2005+OFFSET(COM_2012!$B$60,$AW204,SUMIF($B$10:$B$16,"NCAP_TLIFE",$AX$10:$AX$16)),0,""))</f>
        <v/>
      </c>
      <c r="M204" s="369" t="str">
        <f ca="1">IF($B204&lt;&gt;"PRC_RESID","",IF(M$7=2005+OFFSET(COM_2012!$B$60,$AW204,SUMIF($B$10:$B$16,"NCAP_TLIFE",$AX$10:$AX$16)),0,""))</f>
        <v/>
      </c>
      <c r="N204" s="369" t="str">
        <f ca="1">IF($B204&lt;&gt;"PRC_RESID","",IF(N$7=2005+OFFSET(COM_2012!$B$60,$AW204,SUMIF($B$10:$B$16,"NCAP_TLIFE",$AX$10:$AX$16)),0,""))</f>
        <v/>
      </c>
      <c r="O204" s="658" t="str">
        <f ca="1">IF($B204&lt;&gt;"PRC_RESID","",IF(O$7=2005+OFFSET(COM_2012!$B$60,$AW204,SUMIF($B$10:$B$16,"NCAP_TLIFE",$AX$10:$AX$16)),0,""))</f>
        <v/>
      </c>
      <c r="P204" s="369" t="str">
        <f ca="1">IF($B204&lt;&gt;"PRC_RESID","",IF(P$7=2005+OFFSET(COM_2012!$B$60,$AW204,SUMIF($B$10:$B$16,"NCAP_TLIFE",$AX$10:$AX$16)),0,""))</f>
        <v/>
      </c>
      <c r="Q204" s="369" t="str">
        <f ca="1">IF($B204&lt;&gt;"PRC_RESID","",IF(Q$7=2005+OFFSET(COM_2012!$B$60,$AW204,SUMIF($B$10:$B$16,"NCAP_TLIFE",$AX$10:$AX$16)),0,""))</f>
        <v/>
      </c>
      <c r="R204" s="369" t="str">
        <f ca="1">IF($B204&lt;&gt;"PRC_RESID","",IF(R$7=2005+OFFSET(COM_2012!$B$60,$AW204,SUMIF($B$10:$B$16,"NCAP_TLIFE",$AX$10:$AX$16)),0,""))</f>
        <v/>
      </c>
      <c r="S204" s="369" t="str">
        <f ca="1">IF($B204&lt;&gt;"PRC_RESID","",IF(S$7=2005+OFFSET(COM_2012!$B$60,$AW204,SUMIF($B$10:$B$16,"NCAP_TLIFE",$AX$10:$AX$16)),0,""))</f>
        <v/>
      </c>
      <c r="T204" s="369" t="str">
        <f ca="1">IF($B204&lt;&gt;"PRC_RESID","",IF(T$7=2005+OFFSET(COM_2012!$B$60,$AW204,SUMIF($B$10:$B$16,"NCAP_TLIFE",$AX$10:$AX$16)),0,""))</f>
        <v/>
      </c>
      <c r="U204" s="369" t="str">
        <f ca="1">IF($B204&lt;&gt;"PRC_RESID","",IF(U$7=2005+OFFSET(COM_2012!$B$60,$AW204,SUMIF($B$10:$B$16,"NCAP_TLIFE",$AX$10:$AX$16)),0,""))</f>
        <v/>
      </c>
      <c r="V204" s="369" t="str">
        <f ca="1">IF($B204&lt;&gt;"PRC_RESID","",IF(V$7=2005+OFFSET(COM_2012!$B$60,$AW204,SUMIF($B$10:$B$16,"NCAP_TLIFE",$AX$10:$AX$16)),0,""))</f>
        <v/>
      </c>
      <c r="W204" s="369" t="str">
        <f ca="1">IF($B204&lt;&gt;"PRC_RESID","",IF(W$7=2005+OFFSET(COM_2012!$B$60,$AW204,SUMIF($B$10:$B$16,"NCAP_TLIFE",$AX$10:$AX$16)),0,""))</f>
        <v/>
      </c>
      <c r="X204" s="369" t="str">
        <f ca="1">IF($B204&lt;&gt;"PRC_RESID","",IF(X$7=2005+OFFSET(COM_2012!$B$60,$AW204,SUMIF($B$10:$B$16,"NCAP_TLIFE",$AX$10:$AX$16)),0,""))</f>
        <v/>
      </c>
      <c r="Y204" s="369" t="str">
        <f ca="1">IF($B204&lt;&gt;"PRC_RESID","",IF(Y$7=2005+OFFSET(COM_2012!$B$60,$AW204,SUMIF($B$10:$B$16,"NCAP_TLIFE",$AX$10:$AX$16)),0,""))</f>
        <v/>
      </c>
      <c r="Z204" s="369" t="str">
        <f ca="1">IF($B204&lt;&gt;"PRC_RESID","",IF(Z$7=2005+OFFSET(COM_2012!$B$60,$AW204,SUMIF($B$10:$B$16,"NCAP_TLIFE",$AX$10:$AX$16)),0,""))</f>
        <v/>
      </c>
      <c r="AA204" s="369" t="str">
        <f ca="1">IF($B204&lt;&gt;"PRC_RESID","",IF(AA$7=2005+OFFSET(COM_2012!$B$60,$AW204,SUMIF($B$10:$B$16,"NCAP_TLIFE",$AX$10:$AX$16)),0,""))</f>
        <v/>
      </c>
      <c r="AB204" s="369" t="str">
        <f ca="1">IF($B204&lt;&gt;"PRC_RESID","",IF(AB$7=2005+OFFSET(COM_2012!$B$60,$AW204,SUMIF($B$10:$B$16,"NCAP_TLIFE",$AX$10:$AX$16)),0,""))</f>
        <v/>
      </c>
      <c r="AC204" s="369" t="str">
        <f ca="1">IF($B204&lt;&gt;"PRC_RESID","",IF(AC$7=2005+OFFSET(COM_2012!$B$60,$AW204,SUMIF($B$10:$B$16,"NCAP_TLIFE",$AX$10:$AX$16)),0,""))</f>
        <v/>
      </c>
      <c r="AD204" s="369" t="str">
        <f ca="1">IF($B204&lt;&gt;"PRC_RESID","",IF(AD$7=2005+OFFSET(COM_2012!$B$60,$AW204,SUMIF($B$10:$B$16,"NCAP_TLIFE",$AX$10:$AX$16)),0,""))</f>
        <v/>
      </c>
      <c r="AE204" s="369" t="str">
        <f ca="1">IF($B204&lt;&gt;"PRC_RESID","",IF(AE$7=2005+OFFSET(COM_2012!$B$60,$AW204,SUMIF($B$10:$B$16,"NCAP_TLIFE",$AX$10:$AX$16)),0,""))</f>
        <v/>
      </c>
      <c r="AF204" s="369" t="str">
        <f ca="1">IF($B204&lt;&gt;"PRC_RESID","",IF(AF$7=2005+OFFSET(COM_2012!$B$60,$AW204,SUMIF($B$10:$B$16,"NCAP_TLIFE",$AX$10:$AX$16)),0,""))</f>
        <v/>
      </c>
      <c r="AG204" s="369" t="str">
        <f ca="1">IF($B204&lt;&gt;"PRC_RESID","",IF(AG$7=2005+OFFSET(COM_2012!$B$60,$AW204,SUMIF($B$10:$B$16,"NCAP_TLIFE",$AX$10:$AX$16)),0,""))</f>
        <v/>
      </c>
      <c r="AH204" s="369" t="str">
        <f ca="1">IF($B204&lt;&gt;"PRC_RESID","",IF(AH$7=2005+OFFSET(COM_2012!$B$60,$AW204,SUMIF($B$10:$B$16,"NCAP_TLIFE",$AX$10:$AX$16)),0,""))</f>
        <v/>
      </c>
      <c r="AI204" s="369" t="str">
        <f ca="1">IF($B204&lt;&gt;"PRC_RESID","",IF(AI$7=2005+OFFSET(COM_2012!$B$60,$AW204,SUMIF($B$10:$B$16,"NCAP_TLIFE",$AX$10:$AX$16)),0,""))</f>
        <v/>
      </c>
      <c r="AJ204" s="369" t="str">
        <f ca="1">IF($B204&lt;&gt;"PRC_RESID","",IF(AJ$7=2005+OFFSET(COM_2012!$B$60,$AW204,SUMIF($B$10:$B$16,"NCAP_TLIFE",$AX$10:$AX$16)),0,""))</f>
        <v/>
      </c>
      <c r="AK204" s="369" t="str">
        <f ca="1">IF($B204&lt;&gt;"PRC_RESID","",IF(AK$7=2005+OFFSET(COM_2012!$B$60,$AW204,SUMIF($B$10:$B$16,"NCAP_TLIFE",$AX$10:$AX$16)),0,""))</f>
        <v/>
      </c>
      <c r="AL204" s="369" t="str">
        <f ca="1">IF($B204&lt;&gt;"PRC_RESID","",IF(AL$7=2005+OFFSET(COM_2012!$B$60,$AW204,SUMIF($B$10:$B$16,"NCAP_TLIFE",$AX$10:$AX$16)),0,""))</f>
        <v/>
      </c>
      <c r="AM204" s="369" t="str">
        <f ca="1">IF($B204&lt;&gt;"PRC_RESID","",IF(AM$7=2005+OFFSET(COM_2012!$B$60,$AW204,SUMIF($B$10:$B$16,"NCAP_TLIFE",$AX$10:$AX$16)),0,""))</f>
        <v/>
      </c>
      <c r="AN204" s="369" t="str">
        <f ca="1">IF($B204&lt;&gt;"PRC_RESID","",IF(AN$7=2005+OFFSET(COM_2012!$B$60,$AW204,SUMIF($B$10:$B$16,"NCAP_TLIFE",$AX$10:$AX$16)),0,""))</f>
        <v/>
      </c>
      <c r="AO204" s="369" t="str">
        <f ca="1">IF($B204&lt;&gt;"PRC_RESID","",IF(AO$7=2005+OFFSET(COM_2012!$B$60,$AW204,SUMIF($B$10:$B$16,"NCAP_TLIFE",$AX$10:$AX$16)),0,""))</f>
        <v/>
      </c>
      <c r="AP204" s="369" t="str">
        <f ca="1">IF($B204&lt;&gt;"PRC_RESID","",IF(AP$7=2005+OFFSET(COM_2012!$B$60,$AW204,SUMIF($B$10:$B$16,"NCAP_TLIFE",$AX$10:$AX$16)),0,""))</f>
        <v/>
      </c>
      <c r="AQ204" s="369" t="str">
        <f ca="1">IF($B204&lt;&gt;"PRC_RESID","",IF(AQ$7=2005+OFFSET(COM_2012!$B$60,$AW204,SUMIF($B$10:$B$16,"NCAP_TLIFE",$AX$10:$AX$16)),0,""))</f>
        <v/>
      </c>
      <c r="AR204" s="369" t="str">
        <f ca="1">IF($B204&lt;&gt;"PRC_RESID","",IF(AR$7=2005+OFFSET(COM_2012!$B$60,$AW204,SUMIF($B$10:$B$16,"NCAP_TLIFE",$AX$10:$AX$16)),0,""))</f>
        <v/>
      </c>
      <c r="AS204" s="369" t="str">
        <f ca="1">IF($B204&lt;&gt;"PRC_RESID","",IF(AS$7=2005+OFFSET(COM_2012!$B$60,$AW204,SUMIF($B$10:$B$16,"NCAP_TLIFE",$AX$10:$AX$16)),0,""))</f>
        <v/>
      </c>
      <c r="AT204" s="369" t="str">
        <f ca="1">IF($B204&lt;&gt;"PRC_RESID","",IF(AT$7=2005+OFFSET(COM_2012!$B$60,$AW204,SUMIF($B$10:$B$16,"NCAP_TLIFE",$AX$10:$AX$16)),0,""))</f>
        <v/>
      </c>
      <c r="AU204" s="369" t="str">
        <f ca="1">IF($B204&lt;&gt;"PRC_RESID","",IF(AU$7=2005+OFFSET(COM_2012!$B$60,$AW204,SUMIF($B$10:$B$16,"NCAP_TLIFE",$AX$10:$AX$16)),0,""))</f>
        <v/>
      </c>
      <c r="AV204" s="304">
        <f>IF(AW203=COM_2012!$AI$121,AV203+1,AV203)</f>
        <v>3</v>
      </c>
      <c r="AW204" s="304">
        <f t="shared" si="17"/>
        <v>55</v>
      </c>
    </row>
    <row r="205" spans="1:49">
      <c r="A205" s="304" t="str">
        <f ca="1">IF(LEFT(OFFSET(COM_2012!$A$60,AW205,0),2)="\I","*","")</f>
        <v/>
      </c>
      <c r="B205" s="369" t="str">
        <f t="shared" ca="1" si="16"/>
        <v>NCAP_TLIFE</v>
      </c>
      <c r="C205" s="369" t="str">
        <f ca="1">IF($A205="*","",OFFSET(COM_2012!$B$60,AW205,0))</f>
        <v>CEOGAS-E</v>
      </c>
      <c r="D205" s="369" t="str">
        <f t="shared" ca="1" si="20"/>
        <v>-</v>
      </c>
      <c r="E205" s="369" t="str">
        <f t="shared" ca="1" si="20"/>
        <v>-</v>
      </c>
      <c r="F205" s="369" t="str">
        <f t="shared" ca="1" si="20"/>
        <v>-</v>
      </c>
      <c r="G205" s="369" t="str">
        <f t="shared" ca="1" si="20"/>
        <v>-</v>
      </c>
      <c r="H205" s="369" t="str">
        <f t="shared" ca="1" si="20"/>
        <v>-</v>
      </c>
      <c r="I205" s="370">
        <f t="shared" ca="1" si="20"/>
        <v>0</v>
      </c>
      <c r="J205" s="391">
        <f ca="1">IF($A205="*","",OFFSET(COM_2012!$B$60,AW205,SUMIF($B$10:$B$16,B205,$AX$10:$AX$16)))</f>
        <v>15</v>
      </c>
      <c r="K205" s="369" t="str">
        <f ca="1">IF($B205&lt;&gt;"PRC_RESID","",IF(K$7=2005+OFFSET(COM_2012!$B$60,$AW205,SUMIF($B$10:$B$16,"NCAP_TLIFE",$AX$10:$AX$16)),0,""))</f>
        <v/>
      </c>
      <c r="L205" s="369" t="str">
        <f ca="1">IF($B205&lt;&gt;"PRC_RESID","",IF(L$7=2005+OFFSET(COM_2012!$B$60,$AW205,SUMIF($B$10:$B$16,"NCAP_TLIFE",$AX$10:$AX$16)),0,""))</f>
        <v/>
      </c>
      <c r="M205" s="369" t="str">
        <f ca="1">IF($B205&lt;&gt;"PRC_RESID","",IF(M$7=2005+OFFSET(COM_2012!$B$60,$AW205,SUMIF($B$10:$B$16,"NCAP_TLIFE",$AX$10:$AX$16)),0,""))</f>
        <v/>
      </c>
      <c r="N205" s="369" t="str">
        <f ca="1">IF($B205&lt;&gt;"PRC_RESID","",IF(N$7=2005+OFFSET(COM_2012!$B$60,$AW205,SUMIF($B$10:$B$16,"NCAP_TLIFE",$AX$10:$AX$16)),0,""))</f>
        <v/>
      </c>
      <c r="O205" s="658" t="str">
        <f ca="1">IF($B205&lt;&gt;"PRC_RESID","",IF(O$7=2005+OFFSET(COM_2012!$B$60,$AW205,SUMIF($B$10:$B$16,"NCAP_TLIFE",$AX$10:$AX$16)),0,""))</f>
        <v/>
      </c>
      <c r="P205" s="369" t="str">
        <f ca="1">IF($B205&lt;&gt;"PRC_RESID","",IF(P$7=2005+OFFSET(COM_2012!$B$60,$AW205,SUMIF($B$10:$B$16,"NCAP_TLIFE",$AX$10:$AX$16)),0,""))</f>
        <v/>
      </c>
      <c r="Q205" s="369" t="str">
        <f ca="1">IF($B205&lt;&gt;"PRC_RESID","",IF(Q$7=2005+OFFSET(COM_2012!$B$60,$AW205,SUMIF($B$10:$B$16,"NCAP_TLIFE",$AX$10:$AX$16)),0,""))</f>
        <v/>
      </c>
      <c r="R205" s="369" t="str">
        <f ca="1">IF($B205&lt;&gt;"PRC_RESID","",IF(R$7=2005+OFFSET(COM_2012!$B$60,$AW205,SUMIF($B$10:$B$16,"NCAP_TLIFE",$AX$10:$AX$16)),0,""))</f>
        <v/>
      </c>
      <c r="S205" s="369" t="str">
        <f ca="1">IF($B205&lt;&gt;"PRC_RESID","",IF(S$7=2005+OFFSET(COM_2012!$B$60,$AW205,SUMIF($B$10:$B$16,"NCAP_TLIFE",$AX$10:$AX$16)),0,""))</f>
        <v/>
      </c>
      <c r="T205" s="369" t="str">
        <f ca="1">IF($B205&lt;&gt;"PRC_RESID","",IF(T$7=2005+OFFSET(COM_2012!$B$60,$AW205,SUMIF($B$10:$B$16,"NCAP_TLIFE",$AX$10:$AX$16)),0,""))</f>
        <v/>
      </c>
      <c r="U205" s="369" t="str">
        <f ca="1">IF($B205&lt;&gt;"PRC_RESID","",IF(U$7=2005+OFFSET(COM_2012!$B$60,$AW205,SUMIF($B$10:$B$16,"NCAP_TLIFE",$AX$10:$AX$16)),0,""))</f>
        <v/>
      </c>
      <c r="V205" s="369" t="str">
        <f ca="1">IF($B205&lt;&gt;"PRC_RESID","",IF(V$7=2005+OFFSET(COM_2012!$B$60,$AW205,SUMIF($B$10:$B$16,"NCAP_TLIFE",$AX$10:$AX$16)),0,""))</f>
        <v/>
      </c>
      <c r="W205" s="369" t="str">
        <f ca="1">IF($B205&lt;&gt;"PRC_RESID","",IF(W$7=2005+OFFSET(COM_2012!$B$60,$AW205,SUMIF($B$10:$B$16,"NCAP_TLIFE",$AX$10:$AX$16)),0,""))</f>
        <v/>
      </c>
      <c r="X205" s="369" t="str">
        <f ca="1">IF($B205&lt;&gt;"PRC_RESID","",IF(X$7=2005+OFFSET(COM_2012!$B$60,$AW205,SUMIF($B$10:$B$16,"NCAP_TLIFE",$AX$10:$AX$16)),0,""))</f>
        <v/>
      </c>
      <c r="Y205" s="369" t="str">
        <f ca="1">IF($B205&lt;&gt;"PRC_RESID","",IF(Y$7=2005+OFFSET(COM_2012!$B$60,$AW205,SUMIF($B$10:$B$16,"NCAP_TLIFE",$AX$10:$AX$16)),0,""))</f>
        <v/>
      </c>
      <c r="Z205" s="369" t="str">
        <f ca="1">IF($B205&lt;&gt;"PRC_RESID","",IF(Z$7=2005+OFFSET(COM_2012!$B$60,$AW205,SUMIF($B$10:$B$16,"NCAP_TLIFE",$AX$10:$AX$16)),0,""))</f>
        <v/>
      </c>
      <c r="AA205" s="369" t="str">
        <f ca="1">IF($B205&lt;&gt;"PRC_RESID","",IF(AA$7=2005+OFFSET(COM_2012!$B$60,$AW205,SUMIF($B$10:$B$16,"NCAP_TLIFE",$AX$10:$AX$16)),0,""))</f>
        <v/>
      </c>
      <c r="AB205" s="369" t="str">
        <f ca="1">IF($B205&lt;&gt;"PRC_RESID","",IF(AB$7=2005+OFFSET(COM_2012!$B$60,$AW205,SUMIF($B$10:$B$16,"NCAP_TLIFE",$AX$10:$AX$16)),0,""))</f>
        <v/>
      </c>
      <c r="AC205" s="369" t="str">
        <f ca="1">IF($B205&lt;&gt;"PRC_RESID","",IF(AC$7=2005+OFFSET(COM_2012!$B$60,$AW205,SUMIF($B$10:$B$16,"NCAP_TLIFE",$AX$10:$AX$16)),0,""))</f>
        <v/>
      </c>
      <c r="AD205" s="369" t="str">
        <f ca="1">IF($B205&lt;&gt;"PRC_RESID","",IF(AD$7=2005+OFFSET(COM_2012!$B$60,$AW205,SUMIF($B$10:$B$16,"NCAP_TLIFE",$AX$10:$AX$16)),0,""))</f>
        <v/>
      </c>
      <c r="AE205" s="369" t="str">
        <f ca="1">IF($B205&lt;&gt;"PRC_RESID","",IF(AE$7=2005+OFFSET(COM_2012!$B$60,$AW205,SUMIF($B$10:$B$16,"NCAP_TLIFE",$AX$10:$AX$16)),0,""))</f>
        <v/>
      </c>
      <c r="AF205" s="369" t="str">
        <f ca="1">IF($B205&lt;&gt;"PRC_RESID","",IF(AF$7=2005+OFFSET(COM_2012!$B$60,$AW205,SUMIF($B$10:$B$16,"NCAP_TLIFE",$AX$10:$AX$16)),0,""))</f>
        <v/>
      </c>
      <c r="AG205" s="369" t="str">
        <f ca="1">IF($B205&lt;&gt;"PRC_RESID","",IF(AG$7=2005+OFFSET(COM_2012!$B$60,$AW205,SUMIF($B$10:$B$16,"NCAP_TLIFE",$AX$10:$AX$16)),0,""))</f>
        <v/>
      </c>
      <c r="AH205" s="369" t="str">
        <f ca="1">IF($B205&lt;&gt;"PRC_RESID","",IF(AH$7=2005+OFFSET(COM_2012!$B$60,$AW205,SUMIF($B$10:$B$16,"NCAP_TLIFE",$AX$10:$AX$16)),0,""))</f>
        <v/>
      </c>
      <c r="AI205" s="369" t="str">
        <f ca="1">IF($B205&lt;&gt;"PRC_RESID","",IF(AI$7=2005+OFFSET(COM_2012!$B$60,$AW205,SUMIF($B$10:$B$16,"NCAP_TLIFE",$AX$10:$AX$16)),0,""))</f>
        <v/>
      </c>
      <c r="AJ205" s="369" t="str">
        <f ca="1">IF($B205&lt;&gt;"PRC_RESID","",IF(AJ$7=2005+OFFSET(COM_2012!$B$60,$AW205,SUMIF($B$10:$B$16,"NCAP_TLIFE",$AX$10:$AX$16)),0,""))</f>
        <v/>
      </c>
      <c r="AK205" s="369" t="str">
        <f ca="1">IF($B205&lt;&gt;"PRC_RESID","",IF(AK$7=2005+OFFSET(COM_2012!$B$60,$AW205,SUMIF($B$10:$B$16,"NCAP_TLIFE",$AX$10:$AX$16)),0,""))</f>
        <v/>
      </c>
      <c r="AL205" s="369" t="str">
        <f ca="1">IF($B205&lt;&gt;"PRC_RESID","",IF(AL$7=2005+OFFSET(COM_2012!$B$60,$AW205,SUMIF($B$10:$B$16,"NCAP_TLIFE",$AX$10:$AX$16)),0,""))</f>
        <v/>
      </c>
      <c r="AM205" s="369" t="str">
        <f ca="1">IF($B205&lt;&gt;"PRC_RESID","",IF(AM$7=2005+OFFSET(COM_2012!$B$60,$AW205,SUMIF($B$10:$B$16,"NCAP_TLIFE",$AX$10:$AX$16)),0,""))</f>
        <v/>
      </c>
      <c r="AN205" s="369" t="str">
        <f ca="1">IF($B205&lt;&gt;"PRC_RESID","",IF(AN$7=2005+OFFSET(COM_2012!$B$60,$AW205,SUMIF($B$10:$B$16,"NCAP_TLIFE",$AX$10:$AX$16)),0,""))</f>
        <v/>
      </c>
      <c r="AO205" s="369" t="str">
        <f ca="1">IF($B205&lt;&gt;"PRC_RESID","",IF(AO$7=2005+OFFSET(COM_2012!$B$60,$AW205,SUMIF($B$10:$B$16,"NCAP_TLIFE",$AX$10:$AX$16)),0,""))</f>
        <v/>
      </c>
      <c r="AP205" s="369" t="str">
        <f ca="1">IF($B205&lt;&gt;"PRC_RESID","",IF(AP$7=2005+OFFSET(COM_2012!$B$60,$AW205,SUMIF($B$10:$B$16,"NCAP_TLIFE",$AX$10:$AX$16)),0,""))</f>
        <v/>
      </c>
      <c r="AQ205" s="369" t="str">
        <f ca="1">IF($B205&lt;&gt;"PRC_RESID","",IF(AQ$7=2005+OFFSET(COM_2012!$B$60,$AW205,SUMIF($B$10:$B$16,"NCAP_TLIFE",$AX$10:$AX$16)),0,""))</f>
        <v/>
      </c>
      <c r="AR205" s="369" t="str">
        <f ca="1">IF($B205&lt;&gt;"PRC_RESID","",IF(AR$7=2005+OFFSET(COM_2012!$B$60,$AW205,SUMIF($B$10:$B$16,"NCAP_TLIFE",$AX$10:$AX$16)),0,""))</f>
        <v/>
      </c>
      <c r="AS205" s="369" t="str">
        <f ca="1">IF($B205&lt;&gt;"PRC_RESID","",IF(AS$7=2005+OFFSET(COM_2012!$B$60,$AW205,SUMIF($B$10:$B$16,"NCAP_TLIFE",$AX$10:$AX$16)),0,""))</f>
        <v/>
      </c>
      <c r="AT205" s="369" t="str">
        <f ca="1">IF($B205&lt;&gt;"PRC_RESID","",IF(AT$7=2005+OFFSET(COM_2012!$B$60,$AW205,SUMIF($B$10:$B$16,"NCAP_TLIFE",$AX$10:$AX$16)),0,""))</f>
        <v/>
      </c>
      <c r="AU205" s="369" t="str">
        <f ca="1">IF($B205&lt;&gt;"PRC_RESID","",IF(AU$7=2005+OFFSET(COM_2012!$B$60,$AW205,SUMIF($B$10:$B$16,"NCAP_TLIFE",$AX$10:$AX$16)),0,""))</f>
        <v/>
      </c>
      <c r="AV205" s="304">
        <f>IF(AW204=COM_2012!$AI$121,AV204+1,AV204)</f>
        <v>3</v>
      </c>
      <c r="AW205" s="304">
        <f t="shared" si="17"/>
        <v>56</v>
      </c>
    </row>
    <row r="206" spans="1:49">
      <c r="A206" s="304" t="str">
        <f ca="1">IF(LEFT(OFFSET(COM_2012!$A$60,AW206,0),2)="\I","*","")</f>
        <v/>
      </c>
      <c r="B206" s="369" t="str">
        <f t="shared" ca="1" si="16"/>
        <v>NCAP_TLIFE</v>
      </c>
      <c r="C206" s="369" t="str">
        <f ca="1">IF($A206="*","",OFFSET(COM_2012!$B$60,AW206,0))</f>
        <v>CEOOGS-E</v>
      </c>
      <c r="D206" s="369" t="str">
        <f t="shared" ca="1" si="20"/>
        <v>-</v>
      </c>
      <c r="E206" s="369" t="str">
        <f t="shared" ca="1" si="20"/>
        <v>-</v>
      </c>
      <c r="F206" s="369" t="str">
        <f t="shared" ca="1" si="20"/>
        <v>-</v>
      </c>
      <c r="G206" s="369" t="str">
        <f t="shared" ca="1" si="20"/>
        <v>-</v>
      </c>
      <c r="H206" s="369" t="str">
        <f t="shared" ca="1" si="20"/>
        <v>-</v>
      </c>
      <c r="I206" s="370">
        <f t="shared" ca="1" si="20"/>
        <v>0</v>
      </c>
      <c r="J206" s="391">
        <f ca="1">IF($A206="*","",OFFSET(COM_2012!$B$60,AW206,SUMIF($B$10:$B$16,B206,$AX$10:$AX$16)))</f>
        <v>15</v>
      </c>
      <c r="K206" s="369" t="str">
        <f ca="1">IF($B206&lt;&gt;"PRC_RESID","",IF(K$7=2005+OFFSET(COM_2012!$B$60,$AW206,SUMIF($B$10:$B$16,"NCAP_TLIFE",$AX$10:$AX$16)),0,""))</f>
        <v/>
      </c>
      <c r="L206" s="369" t="str">
        <f ca="1">IF($B206&lt;&gt;"PRC_RESID","",IF(L$7=2005+OFFSET(COM_2012!$B$60,$AW206,SUMIF($B$10:$B$16,"NCAP_TLIFE",$AX$10:$AX$16)),0,""))</f>
        <v/>
      </c>
      <c r="M206" s="369" t="str">
        <f ca="1">IF($B206&lt;&gt;"PRC_RESID","",IF(M$7=2005+OFFSET(COM_2012!$B$60,$AW206,SUMIF($B$10:$B$16,"NCAP_TLIFE",$AX$10:$AX$16)),0,""))</f>
        <v/>
      </c>
      <c r="N206" s="369" t="str">
        <f ca="1">IF($B206&lt;&gt;"PRC_RESID","",IF(N$7=2005+OFFSET(COM_2012!$B$60,$AW206,SUMIF($B$10:$B$16,"NCAP_TLIFE",$AX$10:$AX$16)),0,""))</f>
        <v/>
      </c>
      <c r="O206" s="658" t="str">
        <f ca="1">IF($B206&lt;&gt;"PRC_RESID","",IF(O$7=2005+OFFSET(COM_2012!$B$60,$AW206,SUMIF($B$10:$B$16,"NCAP_TLIFE",$AX$10:$AX$16)),0,""))</f>
        <v/>
      </c>
      <c r="P206" s="369" t="str">
        <f ca="1">IF($B206&lt;&gt;"PRC_RESID","",IF(P$7=2005+OFFSET(COM_2012!$B$60,$AW206,SUMIF($B$10:$B$16,"NCAP_TLIFE",$AX$10:$AX$16)),0,""))</f>
        <v/>
      </c>
      <c r="Q206" s="369" t="str">
        <f ca="1">IF($B206&lt;&gt;"PRC_RESID","",IF(Q$7=2005+OFFSET(COM_2012!$B$60,$AW206,SUMIF($B$10:$B$16,"NCAP_TLIFE",$AX$10:$AX$16)),0,""))</f>
        <v/>
      </c>
      <c r="R206" s="369" t="str">
        <f ca="1">IF($B206&lt;&gt;"PRC_RESID","",IF(R$7=2005+OFFSET(COM_2012!$B$60,$AW206,SUMIF($B$10:$B$16,"NCAP_TLIFE",$AX$10:$AX$16)),0,""))</f>
        <v/>
      </c>
      <c r="S206" s="369" t="str">
        <f ca="1">IF($B206&lt;&gt;"PRC_RESID","",IF(S$7=2005+OFFSET(COM_2012!$B$60,$AW206,SUMIF($B$10:$B$16,"NCAP_TLIFE",$AX$10:$AX$16)),0,""))</f>
        <v/>
      </c>
      <c r="T206" s="369" t="str">
        <f ca="1">IF($B206&lt;&gt;"PRC_RESID","",IF(T$7=2005+OFFSET(COM_2012!$B$60,$AW206,SUMIF($B$10:$B$16,"NCAP_TLIFE",$AX$10:$AX$16)),0,""))</f>
        <v/>
      </c>
      <c r="U206" s="369" t="str">
        <f ca="1">IF($B206&lt;&gt;"PRC_RESID","",IF(U$7=2005+OFFSET(COM_2012!$B$60,$AW206,SUMIF($B$10:$B$16,"NCAP_TLIFE",$AX$10:$AX$16)),0,""))</f>
        <v/>
      </c>
      <c r="V206" s="369" t="str">
        <f ca="1">IF($B206&lt;&gt;"PRC_RESID","",IF(V$7=2005+OFFSET(COM_2012!$B$60,$AW206,SUMIF($B$10:$B$16,"NCAP_TLIFE",$AX$10:$AX$16)),0,""))</f>
        <v/>
      </c>
      <c r="W206" s="369" t="str">
        <f ca="1">IF($B206&lt;&gt;"PRC_RESID","",IF(W$7=2005+OFFSET(COM_2012!$B$60,$AW206,SUMIF($B$10:$B$16,"NCAP_TLIFE",$AX$10:$AX$16)),0,""))</f>
        <v/>
      </c>
      <c r="X206" s="369" t="str">
        <f ca="1">IF($B206&lt;&gt;"PRC_RESID","",IF(X$7=2005+OFFSET(COM_2012!$B$60,$AW206,SUMIF($B$10:$B$16,"NCAP_TLIFE",$AX$10:$AX$16)),0,""))</f>
        <v/>
      </c>
      <c r="Y206" s="369" t="str">
        <f ca="1">IF($B206&lt;&gt;"PRC_RESID","",IF(Y$7=2005+OFFSET(COM_2012!$B$60,$AW206,SUMIF($B$10:$B$16,"NCAP_TLIFE",$AX$10:$AX$16)),0,""))</f>
        <v/>
      </c>
      <c r="Z206" s="369" t="str">
        <f ca="1">IF($B206&lt;&gt;"PRC_RESID","",IF(Z$7=2005+OFFSET(COM_2012!$B$60,$AW206,SUMIF($B$10:$B$16,"NCAP_TLIFE",$AX$10:$AX$16)),0,""))</f>
        <v/>
      </c>
      <c r="AA206" s="369" t="str">
        <f ca="1">IF($B206&lt;&gt;"PRC_RESID","",IF(AA$7=2005+OFFSET(COM_2012!$B$60,$AW206,SUMIF($B$10:$B$16,"NCAP_TLIFE",$AX$10:$AX$16)),0,""))</f>
        <v/>
      </c>
      <c r="AB206" s="369" t="str">
        <f ca="1">IF($B206&lt;&gt;"PRC_RESID","",IF(AB$7=2005+OFFSET(COM_2012!$B$60,$AW206,SUMIF($B$10:$B$16,"NCAP_TLIFE",$AX$10:$AX$16)),0,""))</f>
        <v/>
      </c>
      <c r="AC206" s="369" t="str">
        <f ca="1">IF($B206&lt;&gt;"PRC_RESID","",IF(AC$7=2005+OFFSET(COM_2012!$B$60,$AW206,SUMIF($B$10:$B$16,"NCAP_TLIFE",$AX$10:$AX$16)),0,""))</f>
        <v/>
      </c>
      <c r="AD206" s="369" t="str">
        <f ca="1">IF($B206&lt;&gt;"PRC_RESID","",IF(AD$7=2005+OFFSET(COM_2012!$B$60,$AW206,SUMIF($B$10:$B$16,"NCAP_TLIFE",$AX$10:$AX$16)),0,""))</f>
        <v/>
      </c>
      <c r="AE206" s="369" t="str">
        <f ca="1">IF($B206&lt;&gt;"PRC_RESID","",IF(AE$7=2005+OFFSET(COM_2012!$B$60,$AW206,SUMIF($B$10:$B$16,"NCAP_TLIFE",$AX$10:$AX$16)),0,""))</f>
        <v/>
      </c>
      <c r="AF206" s="369" t="str">
        <f ca="1">IF($B206&lt;&gt;"PRC_RESID","",IF(AF$7=2005+OFFSET(COM_2012!$B$60,$AW206,SUMIF($B$10:$B$16,"NCAP_TLIFE",$AX$10:$AX$16)),0,""))</f>
        <v/>
      </c>
      <c r="AG206" s="369" t="str">
        <f ca="1">IF($B206&lt;&gt;"PRC_RESID","",IF(AG$7=2005+OFFSET(COM_2012!$B$60,$AW206,SUMIF($B$10:$B$16,"NCAP_TLIFE",$AX$10:$AX$16)),0,""))</f>
        <v/>
      </c>
      <c r="AH206" s="369" t="str">
        <f ca="1">IF($B206&lt;&gt;"PRC_RESID","",IF(AH$7=2005+OFFSET(COM_2012!$B$60,$AW206,SUMIF($B$10:$B$16,"NCAP_TLIFE",$AX$10:$AX$16)),0,""))</f>
        <v/>
      </c>
      <c r="AI206" s="369" t="str">
        <f ca="1">IF($B206&lt;&gt;"PRC_RESID","",IF(AI$7=2005+OFFSET(COM_2012!$B$60,$AW206,SUMIF($B$10:$B$16,"NCAP_TLIFE",$AX$10:$AX$16)),0,""))</f>
        <v/>
      </c>
      <c r="AJ206" s="369" t="str">
        <f ca="1">IF($B206&lt;&gt;"PRC_RESID","",IF(AJ$7=2005+OFFSET(COM_2012!$B$60,$AW206,SUMIF($B$10:$B$16,"NCAP_TLIFE",$AX$10:$AX$16)),0,""))</f>
        <v/>
      </c>
      <c r="AK206" s="369" t="str">
        <f ca="1">IF($B206&lt;&gt;"PRC_RESID","",IF(AK$7=2005+OFFSET(COM_2012!$B$60,$AW206,SUMIF($B$10:$B$16,"NCAP_TLIFE",$AX$10:$AX$16)),0,""))</f>
        <v/>
      </c>
      <c r="AL206" s="369" t="str">
        <f ca="1">IF($B206&lt;&gt;"PRC_RESID","",IF(AL$7=2005+OFFSET(COM_2012!$B$60,$AW206,SUMIF($B$10:$B$16,"NCAP_TLIFE",$AX$10:$AX$16)),0,""))</f>
        <v/>
      </c>
      <c r="AM206" s="369" t="str">
        <f ca="1">IF($B206&lt;&gt;"PRC_RESID","",IF(AM$7=2005+OFFSET(COM_2012!$B$60,$AW206,SUMIF($B$10:$B$16,"NCAP_TLIFE",$AX$10:$AX$16)),0,""))</f>
        <v/>
      </c>
      <c r="AN206" s="369" t="str">
        <f ca="1">IF($B206&lt;&gt;"PRC_RESID","",IF(AN$7=2005+OFFSET(COM_2012!$B$60,$AW206,SUMIF($B$10:$B$16,"NCAP_TLIFE",$AX$10:$AX$16)),0,""))</f>
        <v/>
      </c>
      <c r="AO206" s="369" t="str">
        <f ca="1">IF($B206&lt;&gt;"PRC_RESID","",IF(AO$7=2005+OFFSET(COM_2012!$B$60,$AW206,SUMIF($B$10:$B$16,"NCAP_TLIFE",$AX$10:$AX$16)),0,""))</f>
        <v/>
      </c>
      <c r="AP206" s="369" t="str">
        <f ca="1">IF($B206&lt;&gt;"PRC_RESID","",IF(AP$7=2005+OFFSET(COM_2012!$B$60,$AW206,SUMIF($B$10:$B$16,"NCAP_TLIFE",$AX$10:$AX$16)),0,""))</f>
        <v/>
      </c>
      <c r="AQ206" s="369" t="str">
        <f ca="1">IF($B206&lt;&gt;"PRC_RESID","",IF(AQ$7=2005+OFFSET(COM_2012!$B$60,$AW206,SUMIF($B$10:$B$16,"NCAP_TLIFE",$AX$10:$AX$16)),0,""))</f>
        <v/>
      </c>
      <c r="AR206" s="369" t="str">
        <f ca="1">IF($B206&lt;&gt;"PRC_RESID","",IF(AR$7=2005+OFFSET(COM_2012!$B$60,$AW206,SUMIF($B$10:$B$16,"NCAP_TLIFE",$AX$10:$AX$16)),0,""))</f>
        <v/>
      </c>
      <c r="AS206" s="369" t="str">
        <f ca="1">IF($B206&lt;&gt;"PRC_RESID","",IF(AS$7=2005+OFFSET(COM_2012!$B$60,$AW206,SUMIF($B$10:$B$16,"NCAP_TLIFE",$AX$10:$AX$16)),0,""))</f>
        <v/>
      </c>
      <c r="AT206" s="369" t="str">
        <f ca="1">IF($B206&lt;&gt;"PRC_RESID","",IF(AT$7=2005+OFFSET(COM_2012!$B$60,$AW206,SUMIF($B$10:$B$16,"NCAP_TLIFE",$AX$10:$AX$16)),0,""))</f>
        <v/>
      </c>
      <c r="AU206" s="369" t="str">
        <f ca="1">IF($B206&lt;&gt;"PRC_RESID","",IF(AU$7=2005+OFFSET(COM_2012!$B$60,$AW206,SUMIF($B$10:$B$16,"NCAP_TLIFE",$AX$10:$AX$16)),0,""))</f>
        <v/>
      </c>
      <c r="AV206" s="304">
        <f>IF(AW205=COM_2012!$AI$121,AV205+1,AV205)</f>
        <v>3</v>
      </c>
      <c r="AW206" s="304">
        <f t="shared" si="17"/>
        <v>57</v>
      </c>
    </row>
    <row r="207" spans="1:49">
      <c r="A207" s="304" t="str">
        <f ca="1">IF(LEFT(OFFSET(COM_2012!$A$60,AW207,0),2)="\I","*","")</f>
        <v/>
      </c>
      <c r="B207" s="369" t="str">
        <f t="shared" ca="1" si="16"/>
        <v>NCAP_TLIFE</v>
      </c>
      <c r="C207" s="369" t="str">
        <f ca="1">IF($A207="*","",OFFSET(COM_2012!$B$60,AW207,0))</f>
        <v>CEOOHF-E</v>
      </c>
      <c r="D207" s="369" t="str">
        <f t="shared" ca="1" si="20"/>
        <v>-</v>
      </c>
      <c r="E207" s="369" t="str">
        <f t="shared" ca="1" si="20"/>
        <v>-</v>
      </c>
      <c r="F207" s="369" t="str">
        <f t="shared" ca="1" si="20"/>
        <v>-</v>
      </c>
      <c r="G207" s="369" t="str">
        <f t="shared" ca="1" si="20"/>
        <v>-</v>
      </c>
      <c r="H207" s="369" t="str">
        <f t="shared" ca="1" si="20"/>
        <v>-</v>
      </c>
      <c r="I207" s="370">
        <f t="shared" ca="1" si="20"/>
        <v>0</v>
      </c>
      <c r="J207" s="391">
        <f ca="1">IF($A207="*","",OFFSET(COM_2012!$B$60,AW207,SUMIF($B$10:$B$16,B207,$AX$10:$AX$16)))</f>
        <v>15</v>
      </c>
      <c r="K207" s="369" t="str">
        <f ca="1">IF($B207&lt;&gt;"PRC_RESID","",IF(K$7=2005+OFFSET(COM_2012!$B$60,$AW207,SUMIF($B$10:$B$16,"NCAP_TLIFE",$AX$10:$AX$16)),0,""))</f>
        <v/>
      </c>
      <c r="L207" s="369" t="str">
        <f ca="1">IF($B207&lt;&gt;"PRC_RESID","",IF(L$7=2005+OFFSET(COM_2012!$B$60,$AW207,SUMIF($B$10:$B$16,"NCAP_TLIFE",$AX$10:$AX$16)),0,""))</f>
        <v/>
      </c>
      <c r="M207" s="369" t="str">
        <f ca="1">IF($B207&lt;&gt;"PRC_RESID","",IF(M$7=2005+OFFSET(COM_2012!$B$60,$AW207,SUMIF($B$10:$B$16,"NCAP_TLIFE",$AX$10:$AX$16)),0,""))</f>
        <v/>
      </c>
      <c r="N207" s="369" t="str">
        <f ca="1">IF($B207&lt;&gt;"PRC_RESID","",IF(N$7=2005+OFFSET(COM_2012!$B$60,$AW207,SUMIF($B$10:$B$16,"NCAP_TLIFE",$AX$10:$AX$16)),0,""))</f>
        <v/>
      </c>
      <c r="O207" s="658" t="str">
        <f ca="1">IF($B207&lt;&gt;"PRC_RESID","",IF(O$7=2005+OFFSET(COM_2012!$B$60,$AW207,SUMIF($B$10:$B$16,"NCAP_TLIFE",$AX$10:$AX$16)),0,""))</f>
        <v/>
      </c>
      <c r="P207" s="369" t="str">
        <f ca="1">IF($B207&lt;&gt;"PRC_RESID","",IF(P$7=2005+OFFSET(COM_2012!$B$60,$AW207,SUMIF($B$10:$B$16,"NCAP_TLIFE",$AX$10:$AX$16)),0,""))</f>
        <v/>
      </c>
      <c r="Q207" s="369" t="str">
        <f ca="1">IF($B207&lt;&gt;"PRC_RESID","",IF(Q$7=2005+OFFSET(COM_2012!$B$60,$AW207,SUMIF($B$10:$B$16,"NCAP_TLIFE",$AX$10:$AX$16)),0,""))</f>
        <v/>
      </c>
      <c r="R207" s="369" t="str">
        <f ca="1">IF($B207&lt;&gt;"PRC_RESID","",IF(R$7=2005+OFFSET(COM_2012!$B$60,$AW207,SUMIF($B$10:$B$16,"NCAP_TLIFE",$AX$10:$AX$16)),0,""))</f>
        <v/>
      </c>
      <c r="S207" s="369" t="str">
        <f ca="1">IF($B207&lt;&gt;"PRC_RESID","",IF(S$7=2005+OFFSET(COM_2012!$B$60,$AW207,SUMIF($B$10:$B$16,"NCAP_TLIFE",$AX$10:$AX$16)),0,""))</f>
        <v/>
      </c>
      <c r="T207" s="369" t="str">
        <f ca="1">IF($B207&lt;&gt;"PRC_RESID","",IF(T$7=2005+OFFSET(COM_2012!$B$60,$AW207,SUMIF($B$10:$B$16,"NCAP_TLIFE",$AX$10:$AX$16)),0,""))</f>
        <v/>
      </c>
      <c r="U207" s="369" t="str">
        <f ca="1">IF($B207&lt;&gt;"PRC_RESID","",IF(U$7=2005+OFFSET(COM_2012!$B$60,$AW207,SUMIF($B$10:$B$16,"NCAP_TLIFE",$AX$10:$AX$16)),0,""))</f>
        <v/>
      </c>
      <c r="V207" s="369" t="str">
        <f ca="1">IF($B207&lt;&gt;"PRC_RESID","",IF(V$7=2005+OFFSET(COM_2012!$B$60,$AW207,SUMIF($B$10:$B$16,"NCAP_TLIFE",$AX$10:$AX$16)),0,""))</f>
        <v/>
      </c>
      <c r="W207" s="369" t="str">
        <f ca="1">IF($B207&lt;&gt;"PRC_RESID","",IF(W$7=2005+OFFSET(COM_2012!$B$60,$AW207,SUMIF($B$10:$B$16,"NCAP_TLIFE",$AX$10:$AX$16)),0,""))</f>
        <v/>
      </c>
      <c r="X207" s="369" t="str">
        <f ca="1">IF($B207&lt;&gt;"PRC_RESID","",IF(X$7=2005+OFFSET(COM_2012!$B$60,$AW207,SUMIF($B$10:$B$16,"NCAP_TLIFE",$AX$10:$AX$16)),0,""))</f>
        <v/>
      </c>
      <c r="Y207" s="369" t="str">
        <f ca="1">IF($B207&lt;&gt;"PRC_RESID","",IF(Y$7=2005+OFFSET(COM_2012!$B$60,$AW207,SUMIF($B$10:$B$16,"NCAP_TLIFE",$AX$10:$AX$16)),0,""))</f>
        <v/>
      </c>
      <c r="Z207" s="369" t="str">
        <f ca="1">IF($B207&lt;&gt;"PRC_RESID","",IF(Z$7=2005+OFFSET(COM_2012!$B$60,$AW207,SUMIF($B$10:$B$16,"NCAP_TLIFE",$AX$10:$AX$16)),0,""))</f>
        <v/>
      </c>
      <c r="AA207" s="369" t="str">
        <f ca="1">IF($B207&lt;&gt;"PRC_RESID","",IF(AA$7=2005+OFFSET(COM_2012!$B$60,$AW207,SUMIF($B$10:$B$16,"NCAP_TLIFE",$AX$10:$AX$16)),0,""))</f>
        <v/>
      </c>
      <c r="AB207" s="369" t="str">
        <f ca="1">IF($B207&lt;&gt;"PRC_RESID","",IF(AB$7=2005+OFFSET(COM_2012!$B$60,$AW207,SUMIF($B$10:$B$16,"NCAP_TLIFE",$AX$10:$AX$16)),0,""))</f>
        <v/>
      </c>
      <c r="AC207" s="369" t="str">
        <f ca="1">IF($B207&lt;&gt;"PRC_RESID","",IF(AC$7=2005+OFFSET(COM_2012!$B$60,$AW207,SUMIF($B$10:$B$16,"NCAP_TLIFE",$AX$10:$AX$16)),0,""))</f>
        <v/>
      </c>
      <c r="AD207" s="369" t="str">
        <f ca="1">IF($B207&lt;&gt;"PRC_RESID","",IF(AD$7=2005+OFFSET(COM_2012!$B$60,$AW207,SUMIF($B$10:$B$16,"NCAP_TLIFE",$AX$10:$AX$16)),0,""))</f>
        <v/>
      </c>
      <c r="AE207" s="369" t="str">
        <f ca="1">IF($B207&lt;&gt;"PRC_RESID","",IF(AE$7=2005+OFFSET(COM_2012!$B$60,$AW207,SUMIF($B$10:$B$16,"NCAP_TLIFE",$AX$10:$AX$16)),0,""))</f>
        <v/>
      </c>
      <c r="AF207" s="369" t="str">
        <f ca="1">IF($B207&lt;&gt;"PRC_RESID","",IF(AF$7=2005+OFFSET(COM_2012!$B$60,$AW207,SUMIF($B$10:$B$16,"NCAP_TLIFE",$AX$10:$AX$16)),0,""))</f>
        <v/>
      </c>
      <c r="AG207" s="369" t="str">
        <f ca="1">IF($B207&lt;&gt;"PRC_RESID","",IF(AG$7=2005+OFFSET(COM_2012!$B$60,$AW207,SUMIF($B$10:$B$16,"NCAP_TLIFE",$AX$10:$AX$16)),0,""))</f>
        <v/>
      </c>
      <c r="AH207" s="369" t="str">
        <f ca="1">IF($B207&lt;&gt;"PRC_RESID","",IF(AH$7=2005+OFFSET(COM_2012!$B$60,$AW207,SUMIF($B$10:$B$16,"NCAP_TLIFE",$AX$10:$AX$16)),0,""))</f>
        <v/>
      </c>
      <c r="AI207" s="369" t="str">
        <f ca="1">IF($B207&lt;&gt;"PRC_RESID","",IF(AI$7=2005+OFFSET(COM_2012!$B$60,$AW207,SUMIF($B$10:$B$16,"NCAP_TLIFE",$AX$10:$AX$16)),0,""))</f>
        <v/>
      </c>
      <c r="AJ207" s="369" t="str">
        <f ca="1">IF($B207&lt;&gt;"PRC_RESID","",IF(AJ$7=2005+OFFSET(COM_2012!$B$60,$AW207,SUMIF($B$10:$B$16,"NCAP_TLIFE",$AX$10:$AX$16)),0,""))</f>
        <v/>
      </c>
      <c r="AK207" s="369" t="str">
        <f ca="1">IF($B207&lt;&gt;"PRC_RESID","",IF(AK$7=2005+OFFSET(COM_2012!$B$60,$AW207,SUMIF($B$10:$B$16,"NCAP_TLIFE",$AX$10:$AX$16)),0,""))</f>
        <v/>
      </c>
      <c r="AL207" s="369" t="str">
        <f ca="1">IF($B207&lt;&gt;"PRC_RESID","",IF(AL$7=2005+OFFSET(COM_2012!$B$60,$AW207,SUMIF($B$10:$B$16,"NCAP_TLIFE",$AX$10:$AX$16)),0,""))</f>
        <v/>
      </c>
      <c r="AM207" s="369" t="str">
        <f ca="1">IF($B207&lt;&gt;"PRC_RESID","",IF(AM$7=2005+OFFSET(COM_2012!$B$60,$AW207,SUMIF($B$10:$B$16,"NCAP_TLIFE",$AX$10:$AX$16)),0,""))</f>
        <v/>
      </c>
      <c r="AN207" s="369" t="str">
        <f ca="1">IF($B207&lt;&gt;"PRC_RESID","",IF(AN$7=2005+OFFSET(COM_2012!$B$60,$AW207,SUMIF($B$10:$B$16,"NCAP_TLIFE",$AX$10:$AX$16)),0,""))</f>
        <v/>
      </c>
      <c r="AO207" s="369" t="str">
        <f ca="1">IF($B207&lt;&gt;"PRC_RESID","",IF(AO$7=2005+OFFSET(COM_2012!$B$60,$AW207,SUMIF($B$10:$B$16,"NCAP_TLIFE",$AX$10:$AX$16)),0,""))</f>
        <v/>
      </c>
      <c r="AP207" s="369" t="str">
        <f ca="1">IF($B207&lt;&gt;"PRC_RESID","",IF(AP$7=2005+OFFSET(COM_2012!$B$60,$AW207,SUMIF($B$10:$B$16,"NCAP_TLIFE",$AX$10:$AX$16)),0,""))</f>
        <v/>
      </c>
      <c r="AQ207" s="369" t="str">
        <f ca="1">IF($B207&lt;&gt;"PRC_RESID","",IF(AQ$7=2005+OFFSET(COM_2012!$B$60,$AW207,SUMIF($B$10:$B$16,"NCAP_TLIFE",$AX$10:$AX$16)),0,""))</f>
        <v/>
      </c>
      <c r="AR207" s="369" t="str">
        <f ca="1">IF($B207&lt;&gt;"PRC_RESID","",IF(AR$7=2005+OFFSET(COM_2012!$B$60,$AW207,SUMIF($B$10:$B$16,"NCAP_TLIFE",$AX$10:$AX$16)),0,""))</f>
        <v/>
      </c>
      <c r="AS207" s="369" t="str">
        <f ca="1">IF($B207&lt;&gt;"PRC_RESID","",IF(AS$7=2005+OFFSET(COM_2012!$B$60,$AW207,SUMIF($B$10:$B$16,"NCAP_TLIFE",$AX$10:$AX$16)),0,""))</f>
        <v/>
      </c>
      <c r="AT207" s="369" t="str">
        <f ca="1">IF($B207&lt;&gt;"PRC_RESID","",IF(AT$7=2005+OFFSET(COM_2012!$B$60,$AW207,SUMIF($B$10:$B$16,"NCAP_TLIFE",$AX$10:$AX$16)),0,""))</f>
        <v/>
      </c>
      <c r="AU207" s="369" t="str">
        <f ca="1">IF($B207&lt;&gt;"PRC_RESID","",IF(AU$7=2005+OFFSET(COM_2012!$B$60,$AW207,SUMIF($B$10:$B$16,"NCAP_TLIFE",$AX$10:$AX$16)),0,""))</f>
        <v/>
      </c>
      <c r="AV207" s="304">
        <f>IF(AW206=COM_2012!$AI$121,AV206+1,AV206)</f>
        <v>3</v>
      </c>
      <c r="AW207" s="304">
        <f t="shared" si="17"/>
        <v>58</v>
      </c>
    </row>
    <row r="208" spans="1:49">
      <c r="A208" s="304" t="str">
        <f ca="1">IF(LEFT(OFFSET(COM_2012!$A$60,AW208,0),2)="\I","*","")</f>
        <v/>
      </c>
      <c r="B208" s="369" t="str">
        <f t="shared" ca="1" si="16"/>
        <v>NCAP_TLIFE</v>
      </c>
      <c r="C208" s="369" t="str">
        <f ca="1">IF($A208="*","",OFFSET(COM_2012!$B$60,AW208,0))</f>
        <v>CEOOKE-E</v>
      </c>
      <c r="D208" s="369" t="str">
        <f t="shared" ca="1" si="20"/>
        <v>-</v>
      </c>
      <c r="E208" s="369" t="str">
        <f t="shared" ca="1" si="20"/>
        <v>-</v>
      </c>
      <c r="F208" s="369" t="str">
        <f t="shared" ca="1" si="20"/>
        <v>-</v>
      </c>
      <c r="G208" s="369" t="str">
        <f t="shared" ca="1" si="20"/>
        <v>-</v>
      </c>
      <c r="H208" s="369" t="str">
        <f t="shared" ca="1" si="20"/>
        <v>-</v>
      </c>
      <c r="I208" s="370">
        <f t="shared" ca="1" si="20"/>
        <v>0</v>
      </c>
      <c r="J208" s="391">
        <f ca="1">IF($A208="*","",OFFSET(COM_2012!$B$60,AW208,SUMIF($B$10:$B$16,B208,$AX$10:$AX$16)))</f>
        <v>15</v>
      </c>
      <c r="K208" s="369" t="str">
        <f ca="1">IF($B208&lt;&gt;"PRC_RESID","",IF(K$7=2005+OFFSET(COM_2012!$B$60,$AW208,SUMIF($B$10:$B$16,"NCAP_TLIFE",$AX$10:$AX$16)),0,""))</f>
        <v/>
      </c>
      <c r="L208" s="369" t="str">
        <f ca="1">IF($B208&lt;&gt;"PRC_RESID","",IF(L$7=2005+OFFSET(COM_2012!$B$60,$AW208,SUMIF($B$10:$B$16,"NCAP_TLIFE",$AX$10:$AX$16)),0,""))</f>
        <v/>
      </c>
      <c r="M208" s="369" t="str">
        <f ca="1">IF($B208&lt;&gt;"PRC_RESID","",IF(M$7=2005+OFFSET(COM_2012!$B$60,$AW208,SUMIF($B$10:$B$16,"NCAP_TLIFE",$AX$10:$AX$16)),0,""))</f>
        <v/>
      </c>
      <c r="N208" s="369" t="str">
        <f ca="1">IF($B208&lt;&gt;"PRC_RESID","",IF(N$7=2005+OFFSET(COM_2012!$B$60,$AW208,SUMIF($B$10:$B$16,"NCAP_TLIFE",$AX$10:$AX$16)),0,""))</f>
        <v/>
      </c>
      <c r="O208" s="658" t="str">
        <f ca="1">IF($B208&lt;&gt;"PRC_RESID","",IF(O$7=2005+OFFSET(COM_2012!$B$60,$AW208,SUMIF($B$10:$B$16,"NCAP_TLIFE",$AX$10:$AX$16)),0,""))</f>
        <v/>
      </c>
      <c r="P208" s="369" t="str">
        <f ca="1">IF($B208&lt;&gt;"PRC_RESID","",IF(P$7=2005+OFFSET(COM_2012!$B$60,$AW208,SUMIF($B$10:$B$16,"NCAP_TLIFE",$AX$10:$AX$16)),0,""))</f>
        <v/>
      </c>
      <c r="Q208" s="369" t="str">
        <f ca="1">IF($B208&lt;&gt;"PRC_RESID","",IF(Q$7=2005+OFFSET(COM_2012!$B$60,$AW208,SUMIF($B$10:$B$16,"NCAP_TLIFE",$AX$10:$AX$16)),0,""))</f>
        <v/>
      </c>
      <c r="R208" s="369" t="str">
        <f ca="1">IF($B208&lt;&gt;"PRC_RESID","",IF(R$7=2005+OFFSET(COM_2012!$B$60,$AW208,SUMIF($B$10:$B$16,"NCAP_TLIFE",$AX$10:$AX$16)),0,""))</f>
        <v/>
      </c>
      <c r="S208" s="369" t="str">
        <f ca="1">IF($B208&lt;&gt;"PRC_RESID","",IF(S$7=2005+OFFSET(COM_2012!$B$60,$AW208,SUMIF($B$10:$B$16,"NCAP_TLIFE",$AX$10:$AX$16)),0,""))</f>
        <v/>
      </c>
      <c r="T208" s="369" t="str">
        <f ca="1">IF($B208&lt;&gt;"PRC_RESID","",IF(T$7=2005+OFFSET(COM_2012!$B$60,$AW208,SUMIF($B$10:$B$16,"NCAP_TLIFE",$AX$10:$AX$16)),0,""))</f>
        <v/>
      </c>
      <c r="U208" s="369" t="str">
        <f ca="1">IF($B208&lt;&gt;"PRC_RESID","",IF(U$7=2005+OFFSET(COM_2012!$B$60,$AW208,SUMIF($B$10:$B$16,"NCAP_TLIFE",$AX$10:$AX$16)),0,""))</f>
        <v/>
      </c>
      <c r="V208" s="369" t="str">
        <f ca="1">IF($B208&lt;&gt;"PRC_RESID","",IF(V$7=2005+OFFSET(COM_2012!$B$60,$AW208,SUMIF($B$10:$B$16,"NCAP_TLIFE",$AX$10:$AX$16)),0,""))</f>
        <v/>
      </c>
      <c r="W208" s="369" t="str">
        <f ca="1">IF($B208&lt;&gt;"PRC_RESID","",IF(W$7=2005+OFFSET(COM_2012!$B$60,$AW208,SUMIF($B$10:$B$16,"NCAP_TLIFE",$AX$10:$AX$16)),0,""))</f>
        <v/>
      </c>
      <c r="X208" s="369" t="str">
        <f ca="1">IF($B208&lt;&gt;"PRC_RESID","",IF(X$7=2005+OFFSET(COM_2012!$B$60,$AW208,SUMIF($B$10:$B$16,"NCAP_TLIFE",$AX$10:$AX$16)),0,""))</f>
        <v/>
      </c>
      <c r="Y208" s="369" t="str">
        <f ca="1">IF($B208&lt;&gt;"PRC_RESID","",IF(Y$7=2005+OFFSET(COM_2012!$B$60,$AW208,SUMIF($B$10:$B$16,"NCAP_TLIFE",$AX$10:$AX$16)),0,""))</f>
        <v/>
      </c>
      <c r="Z208" s="369" t="str">
        <f ca="1">IF($B208&lt;&gt;"PRC_RESID","",IF(Z$7=2005+OFFSET(COM_2012!$B$60,$AW208,SUMIF($B$10:$B$16,"NCAP_TLIFE",$AX$10:$AX$16)),0,""))</f>
        <v/>
      </c>
      <c r="AA208" s="369" t="str">
        <f ca="1">IF($B208&lt;&gt;"PRC_RESID","",IF(AA$7=2005+OFFSET(COM_2012!$B$60,$AW208,SUMIF($B$10:$B$16,"NCAP_TLIFE",$AX$10:$AX$16)),0,""))</f>
        <v/>
      </c>
      <c r="AB208" s="369" t="str">
        <f ca="1">IF($B208&lt;&gt;"PRC_RESID","",IF(AB$7=2005+OFFSET(COM_2012!$B$60,$AW208,SUMIF($B$10:$B$16,"NCAP_TLIFE",$AX$10:$AX$16)),0,""))</f>
        <v/>
      </c>
      <c r="AC208" s="369" t="str">
        <f ca="1">IF($B208&lt;&gt;"PRC_RESID","",IF(AC$7=2005+OFFSET(COM_2012!$B$60,$AW208,SUMIF($B$10:$B$16,"NCAP_TLIFE",$AX$10:$AX$16)),0,""))</f>
        <v/>
      </c>
      <c r="AD208" s="369" t="str">
        <f ca="1">IF($B208&lt;&gt;"PRC_RESID","",IF(AD$7=2005+OFFSET(COM_2012!$B$60,$AW208,SUMIF($B$10:$B$16,"NCAP_TLIFE",$AX$10:$AX$16)),0,""))</f>
        <v/>
      </c>
      <c r="AE208" s="369" t="str">
        <f ca="1">IF($B208&lt;&gt;"PRC_RESID","",IF(AE$7=2005+OFFSET(COM_2012!$B$60,$AW208,SUMIF($B$10:$B$16,"NCAP_TLIFE",$AX$10:$AX$16)),0,""))</f>
        <v/>
      </c>
      <c r="AF208" s="369" t="str">
        <f ca="1">IF($B208&lt;&gt;"PRC_RESID","",IF(AF$7=2005+OFFSET(COM_2012!$B$60,$AW208,SUMIF($B$10:$B$16,"NCAP_TLIFE",$AX$10:$AX$16)),0,""))</f>
        <v/>
      </c>
      <c r="AG208" s="369" t="str">
        <f ca="1">IF($B208&lt;&gt;"PRC_RESID","",IF(AG$7=2005+OFFSET(COM_2012!$B$60,$AW208,SUMIF($B$10:$B$16,"NCAP_TLIFE",$AX$10:$AX$16)),0,""))</f>
        <v/>
      </c>
      <c r="AH208" s="369" t="str">
        <f ca="1">IF($B208&lt;&gt;"PRC_RESID","",IF(AH$7=2005+OFFSET(COM_2012!$B$60,$AW208,SUMIF($B$10:$B$16,"NCAP_TLIFE",$AX$10:$AX$16)),0,""))</f>
        <v/>
      </c>
      <c r="AI208" s="369" t="str">
        <f ca="1">IF($B208&lt;&gt;"PRC_RESID","",IF(AI$7=2005+OFFSET(COM_2012!$B$60,$AW208,SUMIF($B$10:$B$16,"NCAP_TLIFE",$AX$10:$AX$16)),0,""))</f>
        <v/>
      </c>
      <c r="AJ208" s="369" t="str">
        <f ca="1">IF($B208&lt;&gt;"PRC_RESID","",IF(AJ$7=2005+OFFSET(COM_2012!$B$60,$AW208,SUMIF($B$10:$B$16,"NCAP_TLIFE",$AX$10:$AX$16)),0,""))</f>
        <v/>
      </c>
      <c r="AK208" s="369" t="str">
        <f ca="1">IF($B208&lt;&gt;"PRC_RESID","",IF(AK$7=2005+OFFSET(COM_2012!$B$60,$AW208,SUMIF($B$10:$B$16,"NCAP_TLIFE",$AX$10:$AX$16)),0,""))</f>
        <v/>
      </c>
      <c r="AL208" s="369" t="str">
        <f ca="1">IF($B208&lt;&gt;"PRC_RESID","",IF(AL$7=2005+OFFSET(COM_2012!$B$60,$AW208,SUMIF($B$10:$B$16,"NCAP_TLIFE",$AX$10:$AX$16)),0,""))</f>
        <v/>
      </c>
      <c r="AM208" s="369" t="str">
        <f ca="1">IF($B208&lt;&gt;"PRC_RESID","",IF(AM$7=2005+OFFSET(COM_2012!$B$60,$AW208,SUMIF($B$10:$B$16,"NCAP_TLIFE",$AX$10:$AX$16)),0,""))</f>
        <v/>
      </c>
      <c r="AN208" s="369" t="str">
        <f ca="1">IF($B208&lt;&gt;"PRC_RESID","",IF(AN$7=2005+OFFSET(COM_2012!$B$60,$AW208,SUMIF($B$10:$B$16,"NCAP_TLIFE",$AX$10:$AX$16)),0,""))</f>
        <v/>
      </c>
      <c r="AO208" s="369" t="str">
        <f ca="1">IF($B208&lt;&gt;"PRC_RESID","",IF(AO$7=2005+OFFSET(COM_2012!$B$60,$AW208,SUMIF($B$10:$B$16,"NCAP_TLIFE",$AX$10:$AX$16)),0,""))</f>
        <v/>
      </c>
      <c r="AP208" s="369" t="str">
        <f ca="1">IF($B208&lt;&gt;"PRC_RESID","",IF(AP$7=2005+OFFSET(COM_2012!$B$60,$AW208,SUMIF($B$10:$B$16,"NCAP_TLIFE",$AX$10:$AX$16)),0,""))</f>
        <v/>
      </c>
      <c r="AQ208" s="369" t="str">
        <f ca="1">IF($B208&lt;&gt;"PRC_RESID","",IF(AQ$7=2005+OFFSET(COM_2012!$B$60,$AW208,SUMIF($B$10:$B$16,"NCAP_TLIFE",$AX$10:$AX$16)),0,""))</f>
        <v/>
      </c>
      <c r="AR208" s="369" t="str">
        <f ca="1">IF($B208&lt;&gt;"PRC_RESID","",IF(AR$7=2005+OFFSET(COM_2012!$B$60,$AW208,SUMIF($B$10:$B$16,"NCAP_TLIFE",$AX$10:$AX$16)),0,""))</f>
        <v/>
      </c>
      <c r="AS208" s="369" t="str">
        <f ca="1">IF($B208&lt;&gt;"PRC_RESID","",IF(AS$7=2005+OFFSET(COM_2012!$B$60,$AW208,SUMIF($B$10:$B$16,"NCAP_TLIFE",$AX$10:$AX$16)),0,""))</f>
        <v/>
      </c>
      <c r="AT208" s="369" t="str">
        <f ca="1">IF($B208&lt;&gt;"PRC_RESID","",IF(AT$7=2005+OFFSET(COM_2012!$B$60,$AW208,SUMIF($B$10:$B$16,"NCAP_TLIFE",$AX$10:$AX$16)),0,""))</f>
        <v/>
      </c>
      <c r="AU208" s="369" t="str">
        <f ca="1">IF($B208&lt;&gt;"PRC_RESID","",IF(AU$7=2005+OFFSET(COM_2012!$B$60,$AW208,SUMIF($B$10:$B$16,"NCAP_TLIFE",$AX$10:$AX$16)),0,""))</f>
        <v/>
      </c>
      <c r="AV208" s="304">
        <f>IF(AW207=COM_2012!$AI$121,AV207+1,AV207)</f>
        <v>3</v>
      </c>
      <c r="AW208" s="304">
        <f t="shared" si="17"/>
        <v>59</v>
      </c>
    </row>
    <row r="209" spans="1:49">
      <c r="A209" s="304" t="str">
        <f ca="1">IF(LEFT(OFFSET(COM_2012!$A$60,AW209,0),2)="\I","*","")</f>
        <v>*</v>
      </c>
      <c r="B209" s="369" t="str">
        <f t="shared" ca="1" si="16"/>
        <v/>
      </c>
      <c r="C209" s="369" t="str">
        <f ca="1">IF($A209="*","",OFFSET(COM_2012!$B$60,AW209,0))</f>
        <v/>
      </c>
      <c r="D209" s="369" t="str">
        <f t="shared" ca="1" si="20"/>
        <v/>
      </c>
      <c r="E209" s="369" t="str">
        <f t="shared" ca="1" si="20"/>
        <v/>
      </c>
      <c r="F209" s="369" t="str">
        <f t="shared" ca="1" si="20"/>
        <v/>
      </c>
      <c r="G209" s="369" t="str">
        <f t="shared" ca="1" si="20"/>
        <v/>
      </c>
      <c r="H209" s="369" t="str">
        <f t="shared" ca="1" si="20"/>
        <v/>
      </c>
      <c r="I209" s="370" t="str">
        <f t="shared" ca="1" si="20"/>
        <v/>
      </c>
      <c r="J209" s="391" t="str">
        <f ca="1">IF($A209="*","",OFFSET(COM_2012!$B$60,AW209,SUMIF($B$10:$B$16,B209,$AX$10:$AX$16)))</f>
        <v/>
      </c>
      <c r="K209" s="369" t="str">
        <f ca="1">IF($B209&lt;&gt;"PRC_RESID","",IF(K$7=2005+OFFSET(COM_2012!$B$60,$AW209,SUMIF($B$10:$B$16,"NCAP_TLIFE",$AX$10:$AX$16)),0,""))</f>
        <v/>
      </c>
      <c r="L209" s="369" t="str">
        <f ca="1">IF($B209&lt;&gt;"PRC_RESID","",IF(L$7=2005+OFFSET(COM_2012!$B$60,$AW209,SUMIF($B$10:$B$16,"NCAP_TLIFE",$AX$10:$AX$16)),0,""))</f>
        <v/>
      </c>
      <c r="M209" s="369" t="str">
        <f ca="1">IF($B209&lt;&gt;"PRC_RESID","",IF(M$7=2005+OFFSET(COM_2012!$B$60,$AW209,SUMIF($B$10:$B$16,"NCAP_TLIFE",$AX$10:$AX$16)),0,""))</f>
        <v/>
      </c>
      <c r="N209" s="369" t="str">
        <f ca="1">IF($B209&lt;&gt;"PRC_RESID","",IF(N$7=2005+OFFSET(COM_2012!$B$60,$AW209,SUMIF($B$10:$B$16,"NCAP_TLIFE",$AX$10:$AX$16)),0,""))</f>
        <v/>
      </c>
      <c r="O209" s="658" t="str">
        <f ca="1">IF($B209&lt;&gt;"PRC_RESID","",IF(O$7=2005+OFFSET(COM_2012!$B$60,$AW209,SUMIF($B$10:$B$16,"NCAP_TLIFE",$AX$10:$AX$16)),0,""))</f>
        <v/>
      </c>
      <c r="P209" s="369" t="str">
        <f ca="1">IF($B209&lt;&gt;"PRC_RESID","",IF(P$7=2005+OFFSET(COM_2012!$B$60,$AW209,SUMIF($B$10:$B$16,"NCAP_TLIFE",$AX$10:$AX$16)),0,""))</f>
        <v/>
      </c>
      <c r="Q209" s="369" t="str">
        <f ca="1">IF($B209&lt;&gt;"PRC_RESID","",IF(Q$7=2005+OFFSET(COM_2012!$B$60,$AW209,SUMIF($B$10:$B$16,"NCAP_TLIFE",$AX$10:$AX$16)),0,""))</f>
        <v/>
      </c>
      <c r="R209" s="369" t="str">
        <f ca="1">IF($B209&lt;&gt;"PRC_RESID","",IF(R$7=2005+OFFSET(COM_2012!$B$60,$AW209,SUMIF($B$10:$B$16,"NCAP_TLIFE",$AX$10:$AX$16)),0,""))</f>
        <v/>
      </c>
      <c r="S209" s="369" t="str">
        <f ca="1">IF($B209&lt;&gt;"PRC_RESID","",IF(S$7=2005+OFFSET(COM_2012!$B$60,$AW209,SUMIF($B$10:$B$16,"NCAP_TLIFE",$AX$10:$AX$16)),0,""))</f>
        <v/>
      </c>
      <c r="T209" s="369" t="str">
        <f ca="1">IF($B209&lt;&gt;"PRC_RESID","",IF(T$7=2005+OFFSET(COM_2012!$B$60,$AW209,SUMIF($B$10:$B$16,"NCAP_TLIFE",$AX$10:$AX$16)),0,""))</f>
        <v/>
      </c>
      <c r="U209" s="369" t="str">
        <f ca="1">IF($B209&lt;&gt;"PRC_RESID","",IF(U$7=2005+OFFSET(COM_2012!$B$60,$AW209,SUMIF($B$10:$B$16,"NCAP_TLIFE",$AX$10:$AX$16)),0,""))</f>
        <v/>
      </c>
      <c r="V209" s="369" t="str">
        <f ca="1">IF($B209&lt;&gt;"PRC_RESID","",IF(V$7=2005+OFFSET(COM_2012!$B$60,$AW209,SUMIF($B$10:$B$16,"NCAP_TLIFE",$AX$10:$AX$16)),0,""))</f>
        <v/>
      </c>
      <c r="W209" s="369" t="str">
        <f ca="1">IF($B209&lt;&gt;"PRC_RESID","",IF(W$7=2005+OFFSET(COM_2012!$B$60,$AW209,SUMIF($B$10:$B$16,"NCAP_TLIFE",$AX$10:$AX$16)),0,""))</f>
        <v/>
      </c>
      <c r="X209" s="369" t="str">
        <f ca="1">IF($B209&lt;&gt;"PRC_RESID","",IF(X$7=2005+OFFSET(COM_2012!$B$60,$AW209,SUMIF($B$10:$B$16,"NCAP_TLIFE",$AX$10:$AX$16)),0,""))</f>
        <v/>
      </c>
      <c r="Y209" s="369" t="str">
        <f ca="1">IF($B209&lt;&gt;"PRC_RESID","",IF(Y$7=2005+OFFSET(COM_2012!$B$60,$AW209,SUMIF($B$10:$B$16,"NCAP_TLIFE",$AX$10:$AX$16)),0,""))</f>
        <v/>
      </c>
      <c r="Z209" s="369" t="str">
        <f ca="1">IF($B209&lt;&gt;"PRC_RESID","",IF(Z$7=2005+OFFSET(COM_2012!$B$60,$AW209,SUMIF($B$10:$B$16,"NCAP_TLIFE",$AX$10:$AX$16)),0,""))</f>
        <v/>
      </c>
      <c r="AA209" s="369" t="str">
        <f ca="1">IF($B209&lt;&gt;"PRC_RESID","",IF(AA$7=2005+OFFSET(COM_2012!$B$60,$AW209,SUMIF($B$10:$B$16,"NCAP_TLIFE",$AX$10:$AX$16)),0,""))</f>
        <v/>
      </c>
      <c r="AB209" s="369" t="str">
        <f ca="1">IF($B209&lt;&gt;"PRC_RESID","",IF(AB$7=2005+OFFSET(COM_2012!$B$60,$AW209,SUMIF($B$10:$B$16,"NCAP_TLIFE",$AX$10:$AX$16)),0,""))</f>
        <v/>
      </c>
      <c r="AC209" s="369" t="str">
        <f ca="1">IF($B209&lt;&gt;"PRC_RESID","",IF(AC$7=2005+OFFSET(COM_2012!$B$60,$AW209,SUMIF($B$10:$B$16,"NCAP_TLIFE",$AX$10:$AX$16)),0,""))</f>
        <v/>
      </c>
      <c r="AD209" s="369" t="str">
        <f ca="1">IF($B209&lt;&gt;"PRC_RESID","",IF(AD$7=2005+OFFSET(COM_2012!$B$60,$AW209,SUMIF($B$10:$B$16,"NCAP_TLIFE",$AX$10:$AX$16)),0,""))</f>
        <v/>
      </c>
      <c r="AE209" s="369" t="str">
        <f ca="1">IF($B209&lt;&gt;"PRC_RESID","",IF(AE$7=2005+OFFSET(COM_2012!$B$60,$AW209,SUMIF($B$10:$B$16,"NCAP_TLIFE",$AX$10:$AX$16)),0,""))</f>
        <v/>
      </c>
      <c r="AF209" s="369" t="str">
        <f ca="1">IF($B209&lt;&gt;"PRC_RESID","",IF(AF$7=2005+OFFSET(COM_2012!$B$60,$AW209,SUMIF($B$10:$B$16,"NCAP_TLIFE",$AX$10:$AX$16)),0,""))</f>
        <v/>
      </c>
      <c r="AG209" s="369" t="str">
        <f ca="1">IF($B209&lt;&gt;"PRC_RESID","",IF(AG$7=2005+OFFSET(COM_2012!$B$60,$AW209,SUMIF($B$10:$B$16,"NCAP_TLIFE",$AX$10:$AX$16)),0,""))</f>
        <v/>
      </c>
      <c r="AH209" s="369" t="str">
        <f ca="1">IF($B209&lt;&gt;"PRC_RESID","",IF(AH$7=2005+OFFSET(COM_2012!$B$60,$AW209,SUMIF($B$10:$B$16,"NCAP_TLIFE",$AX$10:$AX$16)),0,""))</f>
        <v/>
      </c>
      <c r="AI209" s="369" t="str">
        <f ca="1">IF($B209&lt;&gt;"PRC_RESID","",IF(AI$7=2005+OFFSET(COM_2012!$B$60,$AW209,SUMIF($B$10:$B$16,"NCAP_TLIFE",$AX$10:$AX$16)),0,""))</f>
        <v/>
      </c>
      <c r="AJ209" s="369" t="str">
        <f ca="1">IF($B209&lt;&gt;"PRC_RESID","",IF(AJ$7=2005+OFFSET(COM_2012!$B$60,$AW209,SUMIF($B$10:$B$16,"NCAP_TLIFE",$AX$10:$AX$16)),0,""))</f>
        <v/>
      </c>
      <c r="AK209" s="369" t="str">
        <f ca="1">IF($B209&lt;&gt;"PRC_RESID","",IF(AK$7=2005+OFFSET(COM_2012!$B$60,$AW209,SUMIF($B$10:$B$16,"NCAP_TLIFE",$AX$10:$AX$16)),0,""))</f>
        <v/>
      </c>
      <c r="AL209" s="369" t="str">
        <f ca="1">IF($B209&lt;&gt;"PRC_RESID","",IF(AL$7=2005+OFFSET(COM_2012!$B$60,$AW209,SUMIF($B$10:$B$16,"NCAP_TLIFE",$AX$10:$AX$16)),0,""))</f>
        <v/>
      </c>
      <c r="AM209" s="369" t="str">
        <f ca="1">IF($B209&lt;&gt;"PRC_RESID","",IF(AM$7=2005+OFFSET(COM_2012!$B$60,$AW209,SUMIF($B$10:$B$16,"NCAP_TLIFE",$AX$10:$AX$16)),0,""))</f>
        <v/>
      </c>
      <c r="AN209" s="369" t="str">
        <f ca="1">IF($B209&lt;&gt;"PRC_RESID","",IF(AN$7=2005+OFFSET(COM_2012!$B$60,$AW209,SUMIF($B$10:$B$16,"NCAP_TLIFE",$AX$10:$AX$16)),0,""))</f>
        <v/>
      </c>
      <c r="AO209" s="369" t="str">
        <f ca="1">IF($B209&lt;&gt;"PRC_RESID","",IF(AO$7=2005+OFFSET(COM_2012!$B$60,$AW209,SUMIF($B$10:$B$16,"NCAP_TLIFE",$AX$10:$AX$16)),0,""))</f>
        <v/>
      </c>
      <c r="AP209" s="369" t="str">
        <f ca="1">IF($B209&lt;&gt;"PRC_RESID","",IF(AP$7=2005+OFFSET(COM_2012!$B$60,$AW209,SUMIF($B$10:$B$16,"NCAP_TLIFE",$AX$10:$AX$16)),0,""))</f>
        <v/>
      </c>
      <c r="AQ209" s="369" t="str">
        <f ca="1">IF($B209&lt;&gt;"PRC_RESID","",IF(AQ$7=2005+OFFSET(COM_2012!$B$60,$AW209,SUMIF($B$10:$B$16,"NCAP_TLIFE",$AX$10:$AX$16)),0,""))</f>
        <v/>
      </c>
      <c r="AR209" s="369" t="str">
        <f ca="1">IF($B209&lt;&gt;"PRC_RESID","",IF(AR$7=2005+OFFSET(COM_2012!$B$60,$AW209,SUMIF($B$10:$B$16,"NCAP_TLIFE",$AX$10:$AX$16)),0,""))</f>
        <v/>
      </c>
      <c r="AS209" s="369" t="str">
        <f ca="1">IF($B209&lt;&gt;"PRC_RESID","",IF(AS$7=2005+OFFSET(COM_2012!$B$60,$AW209,SUMIF($B$10:$B$16,"NCAP_TLIFE",$AX$10:$AX$16)),0,""))</f>
        <v/>
      </c>
      <c r="AT209" s="369" t="str">
        <f ca="1">IF($B209&lt;&gt;"PRC_RESID","",IF(AT$7=2005+OFFSET(COM_2012!$B$60,$AW209,SUMIF($B$10:$B$16,"NCAP_TLIFE",$AX$10:$AX$16)),0,""))</f>
        <v/>
      </c>
      <c r="AU209" s="369" t="str">
        <f ca="1">IF($B209&lt;&gt;"PRC_RESID","",IF(AU$7=2005+OFFSET(COM_2012!$B$60,$AW209,SUMIF($B$10:$B$16,"NCAP_TLIFE",$AX$10:$AX$16)),0,""))</f>
        <v/>
      </c>
      <c r="AV209" s="304">
        <f>IF(AW208=COM_2012!$AI$121,AV208+1,AV208)</f>
        <v>3</v>
      </c>
      <c r="AW209" s="304">
        <f t="shared" si="17"/>
        <v>60</v>
      </c>
    </row>
    <row r="210" spans="1:49">
      <c r="A210" s="304" t="str">
        <f ca="1">IF(LEFT(OFFSET(COM_2012!$A$60,AW210,0),2)="\I","*","")</f>
        <v>*</v>
      </c>
      <c r="B210" s="369" t="str">
        <f t="shared" ca="1" si="16"/>
        <v/>
      </c>
      <c r="C210" s="369" t="str">
        <f ca="1">IF($A210="*","",OFFSET(COM_2012!$B$60,AW210,0))</f>
        <v/>
      </c>
      <c r="D210" s="369" t="str">
        <f t="shared" ca="1" si="20"/>
        <v/>
      </c>
      <c r="E210" s="369" t="str">
        <f t="shared" ca="1" si="20"/>
        <v/>
      </c>
      <c r="F210" s="369" t="str">
        <f t="shared" ca="1" si="20"/>
        <v/>
      </c>
      <c r="G210" s="369" t="str">
        <f t="shared" ca="1" si="20"/>
        <v/>
      </c>
      <c r="H210" s="369" t="str">
        <f t="shared" ca="1" si="20"/>
        <v/>
      </c>
      <c r="I210" s="370" t="str">
        <f t="shared" ca="1" si="20"/>
        <v/>
      </c>
      <c r="J210" s="391" t="str">
        <f ca="1">IF($A210="*","",OFFSET(COM_2012!$B$60,AW210,SUMIF($B$10:$B$16,B210,$AX$10:$AX$16)))</f>
        <v/>
      </c>
      <c r="K210" s="369" t="str">
        <f ca="1">IF($B210&lt;&gt;"PRC_RESID","",IF(K$7=2005+OFFSET(COM_2012!$B$60,$AW210,SUMIF($B$10:$B$16,"NCAP_TLIFE",$AX$10:$AX$16)),0,""))</f>
        <v/>
      </c>
      <c r="L210" s="369" t="str">
        <f ca="1">IF($B210&lt;&gt;"PRC_RESID","",IF(L$7=2005+OFFSET(COM_2012!$B$60,$AW210,SUMIF($B$10:$B$16,"NCAP_TLIFE",$AX$10:$AX$16)),0,""))</f>
        <v/>
      </c>
      <c r="M210" s="369" t="str">
        <f ca="1">IF($B210&lt;&gt;"PRC_RESID","",IF(M$7=2005+OFFSET(COM_2012!$B$60,$AW210,SUMIF($B$10:$B$16,"NCAP_TLIFE",$AX$10:$AX$16)),0,""))</f>
        <v/>
      </c>
      <c r="N210" s="369" t="str">
        <f ca="1">IF($B210&lt;&gt;"PRC_RESID","",IF(N$7=2005+OFFSET(COM_2012!$B$60,$AW210,SUMIF($B$10:$B$16,"NCAP_TLIFE",$AX$10:$AX$16)),0,""))</f>
        <v/>
      </c>
      <c r="O210" s="658" t="str">
        <f ca="1">IF($B210&lt;&gt;"PRC_RESID","",IF(O$7=2005+OFFSET(COM_2012!$B$60,$AW210,SUMIF($B$10:$B$16,"NCAP_TLIFE",$AX$10:$AX$16)),0,""))</f>
        <v/>
      </c>
      <c r="P210" s="369" t="str">
        <f ca="1">IF($B210&lt;&gt;"PRC_RESID","",IF(P$7=2005+OFFSET(COM_2012!$B$60,$AW210,SUMIF($B$10:$B$16,"NCAP_TLIFE",$AX$10:$AX$16)),0,""))</f>
        <v/>
      </c>
      <c r="Q210" s="369" t="str">
        <f ca="1">IF($B210&lt;&gt;"PRC_RESID","",IF(Q$7=2005+OFFSET(COM_2012!$B$60,$AW210,SUMIF($B$10:$B$16,"NCAP_TLIFE",$AX$10:$AX$16)),0,""))</f>
        <v/>
      </c>
      <c r="R210" s="369" t="str">
        <f ca="1">IF($B210&lt;&gt;"PRC_RESID","",IF(R$7=2005+OFFSET(COM_2012!$B$60,$AW210,SUMIF($B$10:$B$16,"NCAP_TLIFE",$AX$10:$AX$16)),0,""))</f>
        <v/>
      </c>
      <c r="S210" s="369" t="str">
        <f ca="1">IF($B210&lt;&gt;"PRC_RESID","",IF(S$7=2005+OFFSET(COM_2012!$B$60,$AW210,SUMIF($B$10:$B$16,"NCAP_TLIFE",$AX$10:$AX$16)),0,""))</f>
        <v/>
      </c>
      <c r="T210" s="369" t="str">
        <f ca="1">IF($B210&lt;&gt;"PRC_RESID","",IF(T$7=2005+OFFSET(COM_2012!$B$60,$AW210,SUMIF($B$10:$B$16,"NCAP_TLIFE",$AX$10:$AX$16)),0,""))</f>
        <v/>
      </c>
      <c r="U210" s="369" t="str">
        <f ca="1">IF($B210&lt;&gt;"PRC_RESID","",IF(U$7=2005+OFFSET(COM_2012!$B$60,$AW210,SUMIF($B$10:$B$16,"NCAP_TLIFE",$AX$10:$AX$16)),0,""))</f>
        <v/>
      </c>
      <c r="V210" s="369" t="str">
        <f ca="1">IF($B210&lt;&gt;"PRC_RESID","",IF(V$7=2005+OFFSET(COM_2012!$B$60,$AW210,SUMIF($B$10:$B$16,"NCAP_TLIFE",$AX$10:$AX$16)),0,""))</f>
        <v/>
      </c>
      <c r="W210" s="369" t="str">
        <f ca="1">IF($B210&lt;&gt;"PRC_RESID","",IF(W$7=2005+OFFSET(COM_2012!$B$60,$AW210,SUMIF($B$10:$B$16,"NCAP_TLIFE",$AX$10:$AX$16)),0,""))</f>
        <v/>
      </c>
      <c r="X210" s="369" t="str">
        <f ca="1">IF($B210&lt;&gt;"PRC_RESID","",IF(X$7=2005+OFFSET(COM_2012!$B$60,$AW210,SUMIF($B$10:$B$16,"NCAP_TLIFE",$AX$10:$AX$16)),0,""))</f>
        <v/>
      </c>
      <c r="Y210" s="369" t="str">
        <f ca="1">IF($B210&lt;&gt;"PRC_RESID","",IF(Y$7=2005+OFFSET(COM_2012!$B$60,$AW210,SUMIF($B$10:$B$16,"NCAP_TLIFE",$AX$10:$AX$16)),0,""))</f>
        <v/>
      </c>
      <c r="Z210" s="369" t="str">
        <f ca="1">IF($B210&lt;&gt;"PRC_RESID","",IF(Z$7=2005+OFFSET(COM_2012!$B$60,$AW210,SUMIF($B$10:$B$16,"NCAP_TLIFE",$AX$10:$AX$16)),0,""))</f>
        <v/>
      </c>
      <c r="AA210" s="369" t="str">
        <f ca="1">IF($B210&lt;&gt;"PRC_RESID","",IF(AA$7=2005+OFFSET(COM_2012!$B$60,$AW210,SUMIF($B$10:$B$16,"NCAP_TLIFE",$AX$10:$AX$16)),0,""))</f>
        <v/>
      </c>
      <c r="AB210" s="369" t="str">
        <f ca="1">IF($B210&lt;&gt;"PRC_RESID","",IF(AB$7=2005+OFFSET(COM_2012!$B$60,$AW210,SUMIF($B$10:$B$16,"NCAP_TLIFE",$AX$10:$AX$16)),0,""))</f>
        <v/>
      </c>
      <c r="AC210" s="369" t="str">
        <f ca="1">IF($B210&lt;&gt;"PRC_RESID","",IF(AC$7=2005+OFFSET(COM_2012!$B$60,$AW210,SUMIF($B$10:$B$16,"NCAP_TLIFE",$AX$10:$AX$16)),0,""))</f>
        <v/>
      </c>
      <c r="AD210" s="369" t="str">
        <f ca="1">IF($B210&lt;&gt;"PRC_RESID","",IF(AD$7=2005+OFFSET(COM_2012!$B$60,$AW210,SUMIF($B$10:$B$16,"NCAP_TLIFE",$AX$10:$AX$16)),0,""))</f>
        <v/>
      </c>
      <c r="AE210" s="369" t="str">
        <f ca="1">IF($B210&lt;&gt;"PRC_RESID","",IF(AE$7=2005+OFFSET(COM_2012!$B$60,$AW210,SUMIF($B$10:$B$16,"NCAP_TLIFE",$AX$10:$AX$16)),0,""))</f>
        <v/>
      </c>
      <c r="AF210" s="369" t="str">
        <f ca="1">IF($B210&lt;&gt;"PRC_RESID","",IF(AF$7=2005+OFFSET(COM_2012!$B$60,$AW210,SUMIF($B$10:$B$16,"NCAP_TLIFE",$AX$10:$AX$16)),0,""))</f>
        <v/>
      </c>
      <c r="AG210" s="369" t="str">
        <f ca="1">IF($B210&lt;&gt;"PRC_RESID","",IF(AG$7=2005+OFFSET(COM_2012!$B$60,$AW210,SUMIF($B$10:$B$16,"NCAP_TLIFE",$AX$10:$AX$16)),0,""))</f>
        <v/>
      </c>
      <c r="AH210" s="369" t="str">
        <f ca="1">IF($B210&lt;&gt;"PRC_RESID","",IF(AH$7=2005+OFFSET(COM_2012!$B$60,$AW210,SUMIF($B$10:$B$16,"NCAP_TLIFE",$AX$10:$AX$16)),0,""))</f>
        <v/>
      </c>
      <c r="AI210" s="369" t="str">
        <f ca="1">IF($B210&lt;&gt;"PRC_RESID","",IF(AI$7=2005+OFFSET(COM_2012!$B$60,$AW210,SUMIF($B$10:$B$16,"NCAP_TLIFE",$AX$10:$AX$16)),0,""))</f>
        <v/>
      </c>
      <c r="AJ210" s="369" t="str">
        <f ca="1">IF($B210&lt;&gt;"PRC_RESID","",IF(AJ$7=2005+OFFSET(COM_2012!$B$60,$AW210,SUMIF($B$10:$B$16,"NCAP_TLIFE",$AX$10:$AX$16)),0,""))</f>
        <v/>
      </c>
      <c r="AK210" s="369" t="str">
        <f ca="1">IF($B210&lt;&gt;"PRC_RESID","",IF(AK$7=2005+OFFSET(COM_2012!$B$60,$AW210,SUMIF($B$10:$B$16,"NCAP_TLIFE",$AX$10:$AX$16)),0,""))</f>
        <v/>
      </c>
      <c r="AL210" s="369" t="str">
        <f ca="1">IF($B210&lt;&gt;"PRC_RESID","",IF(AL$7=2005+OFFSET(COM_2012!$B$60,$AW210,SUMIF($B$10:$B$16,"NCAP_TLIFE",$AX$10:$AX$16)),0,""))</f>
        <v/>
      </c>
      <c r="AM210" s="369" t="str">
        <f ca="1">IF($B210&lt;&gt;"PRC_RESID","",IF(AM$7=2005+OFFSET(COM_2012!$B$60,$AW210,SUMIF($B$10:$B$16,"NCAP_TLIFE",$AX$10:$AX$16)),0,""))</f>
        <v/>
      </c>
      <c r="AN210" s="369" t="str">
        <f ca="1">IF($B210&lt;&gt;"PRC_RESID","",IF(AN$7=2005+OFFSET(COM_2012!$B$60,$AW210,SUMIF($B$10:$B$16,"NCAP_TLIFE",$AX$10:$AX$16)),0,""))</f>
        <v/>
      </c>
      <c r="AO210" s="369" t="str">
        <f ca="1">IF($B210&lt;&gt;"PRC_RESID","",IF(AO$7=2005+OFFSET(COM_2012!$B$60,$AW210,SUMIF($B$10:$B$16,"NCAP_TLIFE",$AX$10:$AX$16)),0,""))</f>
        <v/>
      </c>
      <c r="AP210" s="369" t="str">
        <f ca="1">IF($B210&lt;&gt;"PRC_RESID","",IF(AP$7=2005+OFFSET(COM_2012!$B$60,$AW210,SUMIF($B$10:$B$16,"NCAP_TLIFE",$AX$10:$AX$16)),0,""))</f>
        <v/>
      </c>
      <c r="AQ210" s="369" t="str">
        <f ca="1">IF($B210&lt;&gt;"PRC_RESID","",IF(AQ$7=2005+OFFSET(COM_2012!$B$60,$AW210,SUMIF($B$10:$B$16,"NCAP_TLIFE",$AX$10:$AX$16)),0,""))</f>
        <v/>
      </c>
      <c r="AR210" s="369" t="str">
        <f ca="1">IF($B210&lt;&gt;"PRC_RESID","",IF(AR$7=2005+OFFSET(COM_2012!$B$60,$AW210,SUMIF($B$10:$B$16,"NCAP_TLIFE",$AX$10:$AX$16)),0,""))</f>
        <v/>
      </c>
      <c r="AS210" s="369" t="str">
        <f ca="1">IF($B210&lt;&gt;"PRC_RESID","",IF(AS$7=2005+OFFSET(COM_2012!$B$60,$AW210,SUMIF($B$10:$B$16,"NCAP_TLIFE",$AX$10:$AX$16)),0,""))</f>
        <v/>
      </c>
      <c r="AT210" s="369" t="str">
        <f ca="1">IF($B210&lt;&gt;"PRC_RESID","",IF(AT$7=2005+OFFSET(COM_2012!$B$60,$AW210,SUMIF($B$10:$B$16,"NCAP_TLIFE",$AX$10:$AX$16)),0,""))</f>
        <v/>
      </c>
      <c r="AU210" s="369" t="str">
        <f ca="1">IF($B210&lt;&gt;"PRC_RESID","",IF(AU$7=2005+OFFSET(COM_2012!$B$60,$AW210,SUMIF($B$10:$B$16,"NCAP_TLIFE",$AX$10:$AX$16)),0,""))</f>
        <v/>
      </c>
      <c r="AV210" s="304">
        <f>IF(AW209=COM_2012!$AI$121,AV209+1,AV209)</f>
        <v>3</v>
      </c>
      <c r="AW210" s="304">
        <f t="shared" si="17"/>
        <v>61</v>
      </c>
    </row>
    <row r="211" spans="1:49">
      <c r="A211" s="304" t="str">
        <f ca="1">IF(LEFT(OFFSET(COM_2012!$A$60,AW211,0),2)="\I","*","")</f>
        <v/>
      </c>
      <c r="B211" s="369" t="str">
        <f t="shared" ca="1" si="16"/>
        <v>NCAP_COST</v>
      </c>
      <c r="C211" s="369" t="str">
        <f ca="1">IF($A211="*","",OFFSET(COM_2012!$B$60,AW211,0))</f>
        <v>CECELCCHIL-E</v>
      </c>
      <c r="D211" s="369" t="str">
        <f t="shared" ca="1" si="20"/>
        <v>-</v>
      </c>
      <c r="E211" s="369" t="str">
        <f t="shared" ca="1" si="20"/>
        <v>-</v>
      </c>
      <c r="F211" s="369" t="str">
        <f t="shared" ca="1" si="20"/>
        <v>-</v>
      </c>
      <c r="G211" s="369" t="str">
        <f t="shared" ca="1" si="20"/>
        <v>-</v>
      </c>
      <c r="H211" s="369" t="str">
        <f t="shared" ca="1" si="20"/>
        <v>-</v>
      </c>
      <c r="I211" s="370">
        <f t="shared" ca="1" si="20"/>
        <v>0</v>
      </c>
      <c r="J211" s="391">
        <f ca="1">IF($A211="*","",OFFSET(COM_2012!$B$60,AW211,SUMIF($B$10:$B$16,B211,$AX$10:$AX$16)))</f>
        <v>54.310780405383028</v>
      </c>
      <c r="K211" s="369" t="str">
        <f ca="1">IF($B211&lt;&gt;"PRC_RESID","",IF(K$7=2005+OFFSET(COM_2012!$B$60,$AW211,SUMIF($B$10:$B$16,"NCAP_TLIFE",$AX$10:$AX$16)),0,""))</f>
        <v/>
      </c>
      <c r="L211" s="369" t="str">
        <f ca="1">IF($B211&lt;&gt;"PRC_RESID","",IF(L$7=2005+OFFSET(COM_2012!$B$60,$AW211,SUMIF($B$10:$B$16,"NCAP_TLIFE",$AX$10:$AX$16)),0,""))</f>
        <v/>
      </c>
      <c r="M211" s="369" t="str">
        <f ca="1">IF($B211&lt;&gt;"PRC_RESID","",IF(M$7=2005+OFFSET(COM_2012!$B$60,$AW211,SUMIF($B$10:$B$16,"NCAP_TLIFE",$AX$10:$AX$16)),0,""))</f>
        <v/>
      </c>
      <c r="N211" s="369" t="str">
        <f ca="1">IF($B211&lt;&gt;"PRC_RESID","",IF(N$7=2005+OFFSET(COM_2012!$B$60,$AW211,SUMIF($B$10:$B$16,"NCAP_TLIFE",$AX$10:$AX$16)),0,""))</f>
        <v/>
      </c>
      <c r="O211" s="658" t="str">
        <f ca="1">IF($B211&lt;&gt;"PRC_RESID","",IF(O$7=2005+OFFSET(COM_2012!$B$60,$AW211,SUMIF($B$10:$B$16,"NCAP_TLIFE",$AX$10:$AX$16)),0,""))</f>
        <v/>
      </c>
      <c r="P211" s="369" t="str">
        <f ca="1">IF($B211&lt;&gt;"PRC_RESID","",IF(P$7=2005+OFFSET(COM_2012!$B$60,$AW211,SUMIF($B$10:$B$16,"NCAP_TLIFE",$AX$10:$AX$16)),0,""))</f>
        <v/>
      </c>
      <c r="Q211" s="369" t="str">
        <f ca="1">IF($B211&lt;&gt;"PRC_RESID","",IF(Q$7=2005+OFFSET(COM_2012!$B$60,$AW211,SUMIF($B$10:$B$16,"NCAP_TLIFE",$AX$10:$AX$16)),0,""))</f>
        <v/>
      </c>
      <c r="R211" s="369" t="str">
        <f ca="1">IF($B211&lt;&gt;"PRC_RESID","",IF(R$7=2005+OFFSET(COM_2012!$B$60,$AW211,SUMIF($B$10:$B$16,"NCAP_TLIFE",$AX$10:$AX$16)),0,""))</f>
        <v/>
      </c>
      <c r="S211" s="369" t="str">
        <f ca="1">IF($B211&lt;&gt;"PRC_RESID","",IF(S$7=2005+OFFSET(COM_2012!$B$60,$AW211,SUMIF($B$10:$B$16,"NCAP_TLIFE",$AX$10:$AX$16)),0,""))</f>
        <v/>
      </c>
      <c r="T211" s="369" t="str">
        <f ca="1">IF($B211&lt;&gt;"PRC_RESID","",IF(T$7=2005+OFFSET(COM_2012!$B$60,$AW211,SUMIF($B$10:$B$16,"NCAP_TLIFE",$AX$10:$AX$16)),0,""))</f>
        <v/>
      </c>
      <c r="U211" s="369" t="str">
        <f ca="1">IF($B211&lt;&gt;"PRC_RESID","",IF(U$7=2005+OFFSET(COM_2012!$B$60,$AW211,SUMIF($B$10:$B$16,"NCAP_TLIFE",$AX$10:$AX$16)),0,""))</f>
        <v/>
      </c>
      <c r="V211" s="369" t="str">
        <f ca="1">IF($B211&lt;&gt;"PRC_RESID","",IF(V$7=2005+OFFSET(COM_2012!$B$60,$AW211,SUMIF($B$10:$B$16,"NCAP_TLIFE",$AX$10:$AX$16)),0,""))</f>
        <v/>
      </c>
      <c r="W211" s="369" t="str">
        <f ca="1">IF($B211&lt;&gt;"PRC_RESID","",IF(W$7=2005+OFFSET(COM_2012!$B$60,$AW211,SUMIF($B$10:$B$16,"NCAP_TLIFE",$AX$10:$AX$16)),0,""))</f>
        <v/>
      </c>
      <c r="X211" s="369" t="str">
        <f ca="1">IF($B211&lt;&gt;"PRC_RESID","",IF(X$7=2005+OFFSET(COM_2012!$B$60,$AW211,SUMIF($B$10:$B$16,"NCAP_TLIFE",$AX$10:$AX$16)),0,""))</f>
        <v/>
      </c>
      <c r="Y211" s="369" t="str">
        <f ca="1">IF($B211&lt;&gt;"PRC_RESID","",IF(Y$7=2005+OFFSET(COM_2012!$B$60,$AW211,SUMIF($B$10:$B$16,"NCAP_TLIFE",$AX$10:$AX$16)),0,""))</f>
        <v/>
      </c>
      <c r="Z211" s="369" t="str">
        <f ca="1">IF($B211&lt;&gt;"PRC_RESID","",IF(Z$7=2005+OFFSET(COM_2012!$B$60,$AW211,SUMIF($B$10:$B$16,"NCAP_TLIFE",$AX$10:$AX$16)),0,""))</f>
        <v/>
      </c>
      <c r="AA211" s="369" t="str">
        <f ca="1">IF($B211&lt;&gt;"PRC_RESID","",IF(AA$7=2005+OFFSET(COM_2012!$B$60,$AW211,SUMIF($B$10:$B$16,"NCAP_TLIFE",$AX$10:$AX$16)),0,""))</f>
        <v/>
      </c>
      <c r="AB211" s="369" t="str">
        <f ca="1">IF($B211&lt;&gt;"PRC_RESID","",IF(AB$7=2005+OFFSET(COM_2012!$B$60,$AW211,SUMIF($B$10:$B$16,"NCAP_TLIFE",$AX$10:$AX$16)),0,""))</f>
        <v/>
      </c>
      <c r="AC211" s="369" t="str">
        <f ca="1">IF($B211&lt;&gt;"PRC_RESID","",IF(AC$7=2005+OFFSET(COM_2012!$B$60,$AW211,SUMIF($B$10:$B$16,"NCAP_TLIFE",$AX$10:$AX$16)),0,""))</f>
        <v/>
      </c>
      <c r="AD211" s="369" t="str">
        <f ca="1">IF($B211&lt;&gt;"PRC_RESID","",IF(AD$7=2005+OFFSET(COM_2012!$B$60,$AW211,SUMIF($B$10:$B$16,"NCAP_TLIFE",$AX$10:$AX$16)),0,""))</f>
        <v/>
      </c>
      <c r="AE211" s="369" t="str">
        <f ca="1">IF($B211&lt;&gt;"PRC_RESID","",IF(AE$7=2005+OFFSET(COM_2012!$B$60,$AW211,SUMIF($B$10:$B$16,"NCAP_TLIFE",$AX$10:$AX$16)),0,""))</f>
        <v/>
      </c>
      <c r="AF211" s="369" t="str">
        <f ca="1">IF($B211&lt;&gt;"PRC_RESID","",IF(AF$7=2005+OFFSET(COM_2012!$B$60,$AW211,SUMIF($B$10:$B$16,"NCAP_TLIFE",$AX$10:$AX$16)),0,""))</f>
        <v/>
      </c>
      <c r="AG211" s="369" t="str">
        <f ca="1">IF($B211&lt;&gt;"PRC_RESID","",IF(AG$7=2005+OFFSET(COM_2012!$B$60,$AW211,SUMIF($B$10:$B$16,"NCAP_TLIFE",$AX$10:$AX$16)),0,""))</f>
        <v/>
      </c>
      <c r="AH211" s="369" t="str">
        <f ca="1">IF($B211&lt;&gt;"PRC_RESID","",IF(AH$7=2005+OFFSET(COM_2012!$B$60,$AW211,SUMIF($B$10:$B$16,"NCAP_TLIFE",$AX$10:$AX$16)),0,""))</f>
        <v/>
      </c>
      <c r="AI211" s="369" t="str">
        <f ca="1">IF($B211&lt;&gt;"PRC_RESID","",IF(AI$7=2005+OFFSET(COM_2012!$B$60,$AW211,SUMIF($B$10:$B$16,"NCAP_TLIFE",$AX$10:$AX$16)),0,""))</f>
        <v/>
      </c>
      <c r="AJ211" s="369" t="str">
        <f ca="1">IF($B211&lt;&gt;"PRC_RESID","",IF(AJ$7=2005+OFFSET(COM_2012!$B$60,$AW211,SUMIF($B$10:$B$16,"NCAP_TLIFE",$AX$10:$AX$16)),0,""))</f>
        <v/>
      </c>
      <c r="AK211" s="369" t="str">
        <f ca="1">IF($B211&lt;&gt;"PRC_RESID","",IF(AK$7=2005+OFFSET(COM_2012!$B$60,$AW211,SUMIF($B$10:$B$16,"NCAP_TLIFE",$AX$10:$AX$16)),0,""))</f>
        <v/>
      </c>
      <c r="AL211" s="369" t="str">
        <f ca="1">IF($B211&lt;&gt;"PRC_RESID","",IF(AL$7=2005+OFFSET(COM_2012!$B$60,$AW211,SUMIF($B$10:$B$16,"NCAP_TLIFE",$AX$10:$AX$16)),0,""))</f>
        <v/>
      </c>
      <c r="AM211" s="369" t="str">
        <f ca="1">IF($B211&lt;&gt;"PRC_RESID","",IF(AM$7=2005+OFFSET(COM_2012!$B$60,$AW211,SUMIF($B$10:$B$16,"NCAP_TLIFE",$AX$10:$AX$16)),0,""))</f>
        <v/>
      </c>
      <c r="AN211" s="369" t="str">
        <f ca="1">IF($B211&lt;&gt;"PRC_RESID","",IF(AN$7=2005+OFFSET(COM_2012!$B$60,$AW211,SUMIF($B$10:$B$16,"NCAP_TLIFE",$AX$10:$AX$16)),0,""))</f>
        <v/>
      </c>
      <c r="AO211" s="369" t="str">
        <f ca="1">IF($B211&lt;&gt;"PRC_RESID","",IF(AO$7=2005+OFFSET(COM_2012!$B$60,$AW211,SUMIF($B$10:$B$16,"NCAP_TLIFE",$AX$10:$AX$16)),0,""))</f>
        <v/>
      </c>
      <c r="AP211" s="369" t="str">
        <f ca="1">IF($B211&lt;&gt;"PRC_RESID","",IF(AP$7=2005+OFFSET(COM_2012!$B$60,$AW211,SUMIF($B$10:$B$16,"NCAP_TLIFE",$AX$10:$AX$16)),0,""))</f>
        <v/>
      </c>
      <c r="AQ211" s="369" t="str">
        <f ca="1">IF($B211&lt;&gt;"PRC_RESID","",IF(AQ$7=2005+OFFSET(COM_2012!$B$60,$AW211,SUMIF($B$10:$B$16,"NCAP_TLIFE",$AX$10:$AX$16)),0,""))</f>
        <v/>
      </c>
      <c r="AR211" s="369" t="str">
        <f ca="1">IF($B211&lt;&gt;"PRC_RESID","",IF(AR$7=2005+OFFSET(COM_2012!$B$60,$AW211,SUMIF($B$10:$B$16,"NCAP_TLIFE",$AX$10:$AX$16)),0,""))</f>
        <v/>
      </c>
      <c r="AS211" s="369" t="str">
        <f ca="1">IF($B211&lt;&gt;"PRC_RESID","",IF(AS$7=2005+OFFSET(COM_2012!$B$60,$AW211,SUMIF($B$10:$B$16,"NCAP_TLIFE",$AX$10:$AX$16)),0,""))</f>
        <v/>
      </c>
      <c r="AT211" s="369" t="str">
        <f ca="1">IF($B211&lt;&gt;"PRC_RESID","",IF(AT$7=2005+OFFSET(COM_2012!$B$60,$AW211,SUMIF($B$10:$B$16,"NCAP_TLIFE",$AX$10:$AX$16)),0,""))</f>
        <v/>
      </c>
      <c r="AU211" s="369" t="str">
        <f ca="1">IF($B211&lt;&gt;"PRC_RESID","",IF(AU$7=2005+OFFSET(COM_2012!$B$60,$AW211,SUMIF($B$10:$B$16,"NCAP_TLIFE",$AX$10:$AX$16)),0,""))</f>
        <v/>
      </c>
      <c r="AV211" s="304">
        <f>IF(AW210=COM_2012!$AI$121,AV210+1,AV210)</f>
        <v>4</v>
      </c>
      <c r="AW211" s="304">
        <f t="shared" si="17"/>
        <v>1</v>
      </c>
    </row>
    <row r="212" spans="1:49">
      <c r="A212" s="304" t="str">
        <f ca="1">IF(LEFT(OFFSET(COM_2012!$A$60,AW212,0),2)="\I","*","")</f>
        <v/>
      </c>
      <c r="B212" s="369" t="str">
        <f t="shared" ca="1" si="16"/>
        <v>NCAP_COST</v>
      </c>
      <c r="C212" s="369" t="str">
        <f ca="1">IF($A212="*","",OFFSET(COM_2012!$B$60,AW212,0))</f>
        <v>CECELCCEN-E</v>
      </c>
      <c r="D212" s="369" t="str">
        <f t="shared" ca="1" si="20"/>
        <v>-</v>
      </c>
      <c r="E212" s="369" t="str">
        <f t="shared" ca="1" si="20"/>
        <v>-</v>
      </c>
      <c r="F212" s="369" t="str">
        <f t="shared" ca="1" si="20"/>
        <v>-</v>
      </c>
      <c r="G212" s="369" t="str">
        <f t="shared" ca="1" si="20"/>
        <v>-</v>
      </c>
      <c r="H212" s="369" t="str">
        <f t="shared" ca="1" si="20"/>
        <v>-</v>
      </c>
      <c r="I212" s="370">
        <f t="shared" ca="1" si="20"/>
        <v>0</v>
      </c>
      <c r="J212" s="391">
        <f ca="1">IF($A212="*","",OFFSET(COM_2012!$B$60,AW212,SUMIF($B$10:$B$16,B212,$AX$10:$AX$16)))</f>
        <v>91.48641577227815</v>
      </c>
      <c r="K212" s="369" t="str">
        <f ca="1">IF($B212&lt;&gt;"PRC_RESID","",IF(K$7=2005+OFFSET(COM_2012!$B$60,$AW212,SUMIF($B$10:$B$16,"NCAP_TLIFE",$AX$10:$AX$16)),0,""))</f>
        <v/>
      </c>
      <c r="L212" s="369" t="str">
        <f ca="1">IF($B212&lt;&gt;"PRC_RESID","",IF(L$7=2005+OFFSET(COM_2012!$B$60,$AW212,SUMIF($B$10:$B$16,"NCAP_TLIFE",$AX$10:$AX$16)),0,""))</f>
        <v/>
      </c>
      <c r="M212" s="369" t="str">
        <f ca="1">IF($B212&lt;&gt;"PRC_RESID","",IF(M$7=2005+OFFSET(COM_2012!$B$60,$AW212,SUMIF($B$10:$B$16,"NCAP_TLIFE",$AX$10:$AX$16)),0,""))</f>
        <v/>
      </c>
      <c r="N212" s="369" t="str">
        <f ca="1">IF($B212&lt;&gt;"PRC_RESID","",IF(N$7=2005+OFFSET(COM_2012!$B$60,$AW212,SUMIF($B$10:$B$16,"NCAP_TLIFE",$AX$10:$AX$16)),0,""))</f>
        <v/>
      </c>
      <c r="O212" s="658" t="str">
        <f ca="1">IF($B212&lt;&gt;"PRC_RESID","",IF(O$7=2005+OFFSET(COM_2012!$B$60,$AW212,SUMIF($B$10:$B$16,"NCAP_TLIFE",$AX$10:$AX$16)),0,""))</f>
        <v/>
      </c>
      <c r="P212" s="369" t="str">
        <f ca="1">IF($B212&lt;&gt;"PRC_RESID","",IF(P$7=2005+OFFSET(COM_2012!$B$60,$AW212,SUMIF($B$10:$B$16,"NCAP_TLIFE",$AX$10:$AX$16)),0,""))</f>
        <v/>
      </c>
      <c r="Q212" s="369" t="str">
        <f ca="1">IF($B212&lt;&gt;"PRC_RESID","",IF(Q$7=2005+OFFSET(COM_2012!$B$60,$AW212,SUMIF($B$10:$B$16,"NCAP_TLIFE",$AX$10:$AX$16)),0,""))</f>
        <v/>
      </c>
      <c r="R212" s="369" t="str">
        <f ca="1">IF($B212&lt;&gt;"PRC_RESID","",IF(R$7=2005+OFFSET(COM_2012!$B$60,$AW212,SUMIF($B$10:$B$16,"NCAP_TLIFE",$AX$10:$AX$16)),0,""))</f>
        <v/>
      </c>
      <c r="S212" s="369" t="str">
        <f ca="1">IF($B212&lt;&gt;"PRC_RESID","",IF(S$7=2005+OFFSET(COM_2012!$B$60,$AW212,SUMIF($B$10:$B$16,"NCAP_TLIFE",$AX$10:$AX$16)),0,""))</f>
        <v/>
      </c>
      <c r="T212" s="369" t="str">
        <f ca="1">IF($B212&lt;&gt;"PRC_RESID","",IF(T$7=2005+OFFSET(COM_2012!$B$60,$AW212,SUMIF($B$10:$B$16,"NCAP_TLIFE",$AX$10:$AX$16)),0,""))</f>
        <v/>
      </c>
      <c r="U212" s="369" t="str">
        <f ca="1">IF($B212&lt;&gt;"PRC_RESID","",IF(U$7=2005+OFFSET(COM_2012!$B$60,$AW212,SUMIF($B$10:$B$16,"NCAP_TLIFE",$AX$10:$AX$16)),0,""))</f>
        <v/>
      </c>
      <c r="V212" s="369" t="str">
        <f ca="1">IF($B212&lt;&gt;"PRC_RESID","",IF(V$7=2005+OFFSET(COM_2012!$B$60,$AW212,SUMIF($B$10:$B$16,"NCAP_TLIFE",$AX$10:$AX$16)),0,""))</f>
        <v/>
      </c>
      <c r="W212" s="369" t="str">
        <f ca="1">IF($B212&lt;&gt;"PRC_RESID","",IF(W$7=2005+OFFSET(COM_2012!$B$60,$AW212,SUMIF($B$10:$B$16,"NCAP_TLIFE",$AX$10:$AX$16)),0,""))</f>
        <v/>
      </c>
      <c r="X212" s="369" t="str">
        <f ca="1">IF($B212&lt;&gt;"PRC_RESID","",IF(X$7=2005+OFFSET(COM_2012!$B$60,$AW212,SUMIF($B$10:$B$16,"NCAP_TLIFE",$AX$10:$AX$16)),0,""))</f>
        <v/>
      </c>
      <c r="Y212" s="369" t="str">
        <f ca="1">IF($B212&lt;&gt;"PRC_RESID","",IF(Y$7=2005+OFFSET(COM_2012!$B$60,$AW212,SUMIF($B$10:$B$16,"NCAP_TLIFE",$AX$10:$AX$16)),0,""))</f>
        <v/>
      </c>
      <c r="Z212" s="369" t="str">
        <f ca="1">IF($B212&lt;&gt;"PRC_RESID","",IF(Z$7=2005+OFFSET(COM_2012!$B$60,$AW212,SUMIF($B$10:$B$16,"NCAP_TLIFE",$AX$10:$AX$16)),0,""))</f>
        <v/>
      </c>
      <c r="AA212" s="369" t="str">
        <f ca="1">IF($B212&lt;&gt;"PRC_RESID","",IF(AA$7=2005+OFFSET(COM_2012!$B$60,$AW212,SUMIF($B$10:$B$16,"NCAP_TLIFE",$AX$10:$AX$16)),0,""))</f>
        <v/>
      </c>
      <c r="AB212" s="369" t="str">
        <f ca="1">IF($B212&lt;&gt;"PRC_RESID","",IF(AB$7=2005+OFFSET(COM_2012!$B$60,$AW212,SUMIF($B$10:$B$16,"NCAP_TLIFE",$AX$10:$AX$16)),0,""))</f>
        <v/>
      </c>
      <c r="AC212" s="369" t="str">
        <f ca="1">IF($B212&lt;&gt;"PRC_RESID","",IF(AC$7=2005+OFFSET(COM_2012!$B$60,$AW212,SUMIF($B$10:$B$16,"NCAP_TLIFE",$AX$10:$AX$16)),0,""))</f>
        <v/>
      </c>
      <c r="AD212" s="369" t="str">
        <f ca="1">IF($B212&lt;&gt;"PRC_RESID","",IF(AD$7=2005+OFFSET(COM_2012!$B$60,$AW212,SUMIF($B$10:$B$16,"NCAP_TLIFE",$AX$10:$AX$16)),0,""))</f>
        <v/>
      </c>
      <c r="AE212" s="369" t="str">
        <f ca="1">IF($B212&lt;&gt;"PRC_RESID","",IF(AE$7=2005+OFFSET(COM_2012!$B$60,$AW212,SUMIF($B$10:$B$16,"NCAP_TLIFE",$AX$10:$AX$16)),0,""))</f>
        <v/>
      </c>
      <c r="AF212" s="369" t="str">
        <f ca="1">IF($B212&lt;&gt;"PRC_RESID","",IF(AF$7=2005+OFFSET(COM_2012!$B$60,$AW212,SUMIF($B$10:$B$16,"NCAP_TLIFE",$AX$10:$AX$16)),0,""))</f>
        <v/>
      </c>
      <c r="AG212" s="369" t="str">
        <f ca="1">IF($B212&lt;&gt;"PRC_RESID","",IF(AG$7=2005+OFFSET(COM_2012!$B$60,$AW212,SUMIF($B$10:$B$16,"NCAP_TLIFE",$AX$10:$AX$16)),0,""))</f>
        <v/>
      </c>
      <c r="AH212" s="369" t="str">
        <f ca="1">IF($B212&lt;&gt;"PRC_RESID","",IF(AH$7=2005+OFFSET(COM_2012!$B$60,$AW212,SUMIF($B$10:$B$16,"NCAP_TLIFE",$AX$10:$AX$16)),0,""))</f>
        <v/>
      </c>
      <c r="AI212" s="369" t="str">
        <f ca="1">IF($B212&lt;&gt;"PRC_RESID","",IF(AI$7=2005+OFFSET(COM_2012!$B$60,$AW212,SUMIF($B$10:$B$16,"NCAP_TLIFE",$AX$10:$AX$16)),0,""))</f>
        <v/>
      </c>
      <c r="AJ212" s="369" t="str">
        <f ca="1">IF($B212&lt;&gt;"PRC_RESID","",IF(AJ$7=2005+OFFSET(COM_2012!$B$60,$AW212,SUMIF($B$10:$B$16,"NCAP_TLIFE",$AX$10:$AX$16)),0,""))</f>
        <v/>
      </c>
      <c r="AK212" s="369" t="str">
        <f ca="1">IF($B212&lt;&gt;"PRC_RESID","",IF(AK$7=2005+OFFSET(COM_2012!$B$60,$AW212,SUMIF($B$10:$B$16,"NCAP_TLIFE",$AX$10:$AX$16)),0,""))</f>
        <v/>
      </c>
      <c r="AL212" s="369" t="str">
        <f ca="1">IF($B212&lt;&gt;"PRC_RESID","",IF(AL$7=2005+OFFSET(COM_2012!$B$60,$AW212,SUMIF($B$10:$B$16,"NCAP_TLIFE",$AX$10:$AX$16)),0,""))</f>
        <v/>
      </c>
      <c r="AM212" s="369" t="str">
        <f ca="1">IF($B212&lt;&gt;"PRC_RESID","",IF(AM$7=2005+OFFSET(COM_2012!$B$60,$AW212,SUMIF($B$10:$B$16,"NCAP_TLIFE",$AX$10:$AX$16)),0,""))</f>
        <v/>
      </c>
      <c r="AN212" s="369" t="str">
        <f ca="1">IF($B212&lt;&gt;"PRC_RESID","",IF(AN$7=2005+OFFSET(COM_2012!$B$60,$AW212,SUMIF($B$10:$B$16,"NCAP_TLIFE",$AX$10:$AX$16)),0,""))</f>
        <v/>
      </c>
      <c r="AO212" s="369" t="str">
        <f ca="1">IF($B212&lt;&gt;"PRC_RESID","",IF(AO$7=2005+OFFSET(COM_2012!$B$60,$AW212,SUMIF($B$10:$B$16,"NCAP_TLIFE",$AX$10:$AX$16)),0,""))</f>
        <v/>
      </c>
      <c r="AP212" s="369" t="str">
        <f ca="1">IF($B212&lt;&gt;"PRC_RESID","",IF(AP$7=2005+OFFSET(COM_2012!$B$60,$AW212,SUMIF($B$10:$B$16,"NCAP_TLIFE",$AX$10:$AX$16)),0,""))</f>
        <v/>
      </c>
      <c r="AQ212" s="369" t="str">
        <f ca="1">IF($B212&lt;&gt;"PRC_RESID","",IF(AQ$7=2005+OFFSET(COM_2012!$B$60,$AW212,SUMIF($B$10:$B$16,"NCAP_TLIFE",$AX$10:$AX$16)),0,""))</f>
        <v/>
      </c>
      <c r="AR212" s="369" t="str">
        <f ca="1">IF($B212&lt;&gt;"PRC_RESID","",IF(AR$7=2005+OFFSET(COM_2012!$B$60,$AW212,SUMIF($B$10:$B$16,"NCAP_TLIFE",$AX$10:$AX$16)),0,""))</f>
        <v/>
      </c>
      <c r="AS212" s="369" t="str">
        <f ca="1">IF($B212&lt;&gt;"PRC_RESID","",IF(AS$7=2005+OFFSET(COM_2012!$B$60,$AW212,SUMIF($B$10:$B$16,"NCAP_TLIFE",$AX$10:$AX$16)),0,""))</f>
        <v/>
      </c>
      <c r="AT212" s="369" t="str">
        <f ca="1">IF($B212&lt;&gt;"PRC_RESID","",IF(AT$7=2005+OFFSET(COM_2012!$B$60,$AW212,SUMIF($B$10:$B$16,"NCAP_TLIFE",$AX$10:$AX$16)),0,""))</f>
        <v/>
      </c>
      <c r="AU212" s="369" t="str">
        <f ca="1">IF($B212&lt;&gt;"PRC_RESID","",IF(AU$7=2005+OFFSET(COM_2012!$B$60,$AW212,SUMIF($B$10:$B$16,"NCAP_TLIFE",$AX$10:$AX$16)),0,""))</f>
        <v/>
      </c>
      <c r="AV212" s="304">
        <f>IF(AW211=COM_2012!$AI$121,AV211+1,AV211)</f>
        <v>4</v>
      </c>
      <c r="AW212" s="304">
        <f t="shared" si="17"/>
        <v>2</v>
      </c>
    </row>
    <row r="213" spans="1:49">
      <c r="A213" s="304" t="str">
        <f ca="1">IF(LEFT(OFFSET(COM_2012!$A$60,AW213,0),2)="\I","*","")</f>
        <v/>
      </c>
      <c r="B213" s="369" t="str">
        <f t="shared" ca="1" si="16"/>
        <v>NCAP_COST</v>
      </c>
      <c r="C213" s="369" t="str">
        <f ca="1">IF($A213="*","",OFFSET(COM_2012!$B$60,AW213,0))</f>
        <v>CECELCHP-E</v>
      </c>
      <c r="D213" s="369" t="str">
        <f t="shared" ca="1" si="20"/>
        <v>-</v>
      </c>
      <c r="E213" s="369" t="str">
        <f t="shared" ca="1" si="20"/>
        <v>-</v>
      </c>
      <c r="F213" s="369" t="str">
        <f t="shared" ca="1" si="20"/>
        <v>-</v>
      </c>
      <c r="G213" s="369" t="str">
        <f t="shared" ca="1" si="20"/>
        <v>-</v>
      </c>
      <c r="H213" s="369" t="str">
        <f t="shared" ca="1" si="20"/>
        <v>-</v>
      </c>
      <c r="I213" s="370">
        <f t="shared" ca="1" si="20"/>
        <v>0</v>
      </c>
      <c r="J213" s="391">
        <f ca="1">IF($A213="*","",OFFSET(COM_2012!$B$60,AW213,SUMIF($B$10:$B$16,B213,$AX$10:$AX$16)))</f>
        <v>118.96450756323959</v>
      </c>
      <c r="K213" s="369" t="str">
        <f ca="1">IF($B213&lt;&gt;"PRC_RESID","",IF(K$7=2005+OFFSET(COM_2012!$B$60,$AW213,SUMIF($B$10:$B$16,"NCAP_TLIFE",$AX$10:$AX$16)),0,""))</f>
        <v/>
      </c>
      <c r="L213" s="369" t="str">
        <f ca="1">IF($B213&lt;&gt;"PRC_RESID","",IF(L$7=2005+OFFSET(COM_2012!$B$60,$AW213,SUMIF($B$10:$B$16,"NCAP_TLIFE",$AX$10:$AX$16)),0,""))</f>
        <v/>
      </c>
      <c r="M213" s="369" t="str">
        <f ca="1">IF($B213&lt;&gt;"PRC_RESID","",IF(M$7=2005+OFFSET(COM_2012!$B$60,$AW213,SUMIF($B$10:$B$16,"NCAP_TLIFE",$AX$10:$AX$16)),0,""))</f>
        <v/>
      </c>
      <c r="N213" s="369" t="str">
        <f ca="1">IF($B213&lt;&gt;"PRC_RESID","",IF(N$7=2005+OFFSET(COM_2012!$B$60,$AW213,SUMIF($B$10:$B$16,"NCAP_TLIFE",$AX$10:$AX$16)),0,""))</f>
        <v/>
      </c>
      <c r="O213" s="658" t="str">
        <f ca="1">IF($B213&lt;&gt;"PRC_RESID","",IF(O$7=2005+OFFSET(COM_2012!$B$60,$AW213,SUMIF($B$10:$B$16,"NCAP_TLIFE",$AX$10:$AX$16)),0,""))</f>
        <v/>
      </c>
      <c r="P213" s="369" t="str">
        <f ca="1">IF($B213&lt;&gt;"PRC_RESID","",IF(P$7=2005+OFFSET(COM_2012!$B$60,$AW213,SUMIF($B$10:$B$16,"NCAP_TLIFE",$AX$10:$AX$16)),0,""))</f>
        <v/>
      </c>
      <c r="Q213" s="369" t="str">
        <f ca="1">IF($B213&lt;&gt;"PRC_RESID","",IF(Q$7=2005+OFFSET(COM_2012!$B$60,$AW213,SUMIF($B$10:$B$16,"NCAP_TLIFE",$AX$10:$AX$16)),0,""))</f>
        <v/>
      </c>
      <c r="R213" s="369" t="str">
        <f ca="1">IF($B213&lt;&gt;"PRC_RESID","",IF(R$7=2005+OFFSET(COM_2012!$B$60,$AW213,SUMIF($B$10:$B$16,"NCAP_TLIFE",$AX$10:$AX$16)),0,""))</f>
        <v/>
      </c>
      <c r="S213" s="369" t="str">
        <f ca="1">IF($B213&lt;&gt;"PRC_RESID","",IF(S$7=2005+OFFSET(COM_2012!$B$60,$AW213,SUMIF($B$10:$B$16,"NCAP_TLIFE",$AX$10:$AX$16)),0,""))</f>
        <v/>
      </c>
      <c r="T213" s="369" t="str">
        <f ca="1">IF($B213&lt;&gt;"PRC_RESID","",IF(T$7=2005+OFFSET(COM_2012!$B$60,$AW213,SUMIF($B$10:$B$16,"NCAP_TLIFE",$AX$10:$AX$16)),0,""))</f>
        <v/>
      </c>
      <c r="U213" s="369" t="str">
        <f ca="1">IF($B213&lt;&gt;"PRC_RESID","",IF(U$7=2005+OFFSET(COM_2012!$B$60,$AW213,SUMIF($B$10:$B$16,"NCAP_TLIFE",$AX$10:$AX$16)),0,""))</f>
        <v/>
      </c>
      <c r="V213" s="369" t="str">
        <f ca="1">IF($B213&lt;&gt;"PRC_RESID","",IF(V$7=2005+OFFSET(COM_2012!$B$60,$AW213,SUMIF($B$10:$B$16,"NCAP_TLIFE",$AX$10:$AX$16)),0,""))</f>
        <v/>
      </c>
      <c r="W213" s="369" t="str">
        <f ca="1">IF($B213&lt;&gt;"PRC_RESID","",IF(W$7=2005+OFFSET(COM_2012!$B$60,$AW213,SUMIF($B$10:$B$16,"NCAP_TLIFE",$AX$10:$AX$16)),0,""))</f>
        <v/>
      </c>
      <c r="X213" s="369" t="str">
        <f ca="1">IF($B213&lt;&gt;"PRC_RESID","",IF(X$7=2005+OFFSET(COM_2012!$B$60,$AW213,SUMIF($B$10:$B$16,"NCAP_TLIFE",$AX$10:$AX$16)),0,""))</f>
        <v/>
      </c>
      <c r="Y213" s="369" t="str">
        <f ca="1">IF($B213&lt;&gt;"PRC_RESID","",IF(Y$7=2005+OFFSET(COM_2012!$B$60,$AW213,SUMIF($B$10:$B$16,"NCAP_TLIFE",$AX$10:$AX$16)),0,""))</f>
        <v/>
      </c>
      <c r="Z213" s="369" t="str">
        <f ca="1">IF($B213&lt;&gt;"PRC_RESID","",IF(Z$7=2005+OFFSET(COM_2012!$B$60,$AW213,SUMIF($B$10:$B$16,"NCAP_TLIFE",$AX$10:$AX$16)),0,""))</f>
        <v/>
      </c>
      <c r="AA213" s="369" t="str">
        <f ca="1">IF($B213&lt;&gt;"PRC_RESID","",IF(AA$7=2005+OFFSET(COM_2012!$B$60,$AW213,SUMIF($B$10:$B$16,"NCAP_TLIFE",$AX$10:$AX$16)),0,""))</f>
        <v/>
      </c>
      <c r="AB213" s="369" t="str">
        <f ca="1">IF($B213&lt;&gt;"PRC_RESID","",IF(AB$7=2005+OFFSET(COM_2012!$B$60,$AW213,SUMIF($B$10:$B$16,"NCAP_TLIFE",$AX$10:$AX$16)),0,""))</f>
        <v/>
      </c>
      <c r="AC213" s="369" t="str">
        <f ca="1">IF($B213&lt;&gt;"PRC_RESID","",IF(AC$7=2005+OFFSET(COM_2012!$B$60,$AW213,SUMIF($B$10:$B$16,"NCAP_TLIFE",$AX$10:$AX$16)),0,""))</f>
        <v/>
      </c>
      <c r="AD213" s="369" t="str">
        <f ca="1">IF($B213&lt;&gt;"PRC_RESID","",IF(AD$7=2005+OFFSET(COM_2012!$B$60,$AW213,SUMIF($B$10:$B$16,"NCAP_TLIFE",$AX$10:$AX$16)),0,""))</f>
        <v/>
      </c>
      <c r="AE213" s="369" t="str">
        <f ca="1">IF($B213&lt;&gt;"PRC_RESID","",IF(AE$7=2005+OFFSET(COM_2012!$B$60,$AW213,SUMIF($B$10:$B$16,"NCAP_TLIFE",$AX$10:$AX$16)),0,""))</f>
        <v/>
      </c>
      <c r="AF213" s="369" t="str">
        <f ca="1">IF($B213&lt;&gt;"PRC_RESID","",IF(AF$7=2005+OFFSET(COM_2012!$B$60,$AW213,SUMIF($B$10:$B$16,"NCAP_TLIFE",$AX$10:$AX$16)),0,""))</f>
        <v/>
      </c>
      <c r="AG213" s="369" t="str">
        <f ca="1">IF($B213&lt;&gt;"PRC_RESID","",IF(AG$7=2005+OFFSET(COM_2012!$B$60,$AW213,SUMIF($B$10:$B$16,"NCAP_TLIFE",$AX$10:$AX$16)),0,""))</f>
        <v/>
      </c>
      <c r="AH213" s="369" t="str">
        <f ca="1">IF($B213&lt;&gt;"PRC_RESID","",IF(AH$7=2005+OFFSET(COM_2012!$B$60,$AW213,SUMIF($B$10:$B$16,"NCAP_TLIFE",$AX$10:$AX$16)),0,""))</f>
        <v/>
      </c>
      <c r="AI213" s="369" t="str">
        <f ca="1">IF($B213&lt;&gt;"PRC_RESID","",IF(AI$7=2005+OFFSET(COM_2012!$B$60,$AW213,SUMIF($B$10:$B$16,"NCAP_TLIFE",$AX$10:$AX$16)),0,""))</f>
        <v/>
      </c>
      <c r="AJ213" s="369" t="str">
        <f ca="1">IF($B213&lt;&gt;"PRC_RESID","",IF(AJ$7=2005+OFFSET(COM_2012!$B$60,$AW213,SUMIF($B$10:$B$16,"NCAP_TLIFE",$AX$10:$AX$16)),0,""))</f>
        <v/>
      </c>
      <c r="AK213" s="369" t="str">
        <f ca="1">IF($B213&lt;&gt;"PRC_RESID","",IF(AK$7=2005+OFFSET(COM_2012!$B$60,$AW213,SUMIF($B$10:$B$16,"NCAP_TLIFE",$AX$10:$AX$16)),0,""))</f>
        <v/>
      </c>
      <c r="AL213" s="369" t="str">
        <f ca="1">IF($B213&lt;&gt;"PRC_RESID","",IF(AL$7=2005+OFFSET(COM_2012!$B$60,$AW213,SUMIF($B$10:$B$16,"NCAP_TLIFE",$AX$10:$AX$16)),0,""))</f>
        <v/>
      </c>
      <c r="AM213" s="369" t="str">
        <f ca="1">IF($B213&lt;&gt;"PRC_RESID","",IF(AM$7=2005+OFFSET(COM_2012!$B$60,$AW213,SUMIF($B$10:$B$16,"NCAP_TLIFE",$AX$10:$AX$16)),0,""))</f>
        <v/>
      </c>
      <c r="AN213" s="369" t="str">
        <f ca="1">IF($B213&lt;&gt;"PRC_RESID","",IF(AN$7=2005+OFFSET(COM_2012!$B$60,$AW213,SUMIF($B$10:$B$16,"NCAP_TLIFE",$AX$10:$AX$16)),0,""))</f>
        <v/>
      </c>
      <c r="AO213" s="369" t="str">
        <f ca="1">IF($B213&lt;&gt;"PRC_RESID","",IF(AO$7=2005+OFFSET(COM_2012!$B$60,$AW213,SUMIF($B$10:$B$16,"NCAP_TLIFE",$AX$10:$AX$16)),0,""))</f>
        <v/>
      </c>
      <c r="AP213" s="369" t="str">
        <f ca="1">IF($B213&lt;&gt;"PRC_RESID","",IF(AP$7=2005+OFFSET(COM_2012!$B$60,$AW213,SUMIF($B$10:$B$16,"NCAP_TLIFE",$AX$10:$AX$16)),0,""))</f>
        <v/>
      </c>
      <c r="AQ213" s="369" t="str">
        <f ca="1">IF($B213&lt;&gt;"PRC_RESID","",IF(AQ$7=2005+OFFSET(COM_2012!$B$60,$AW213,SUMIF($B$10:$B$16,"NCAP_TLIFE",$AX$10:$AX$16)),0,""))</f>
        <v/>
      </c>
      <c r="AR213" s="369" t="str">
        <f ca="1">IF($B213&lt;&gt;"PRC_RESID","",IF(AR$7=2005+OFFSET(COM_2012!$B$60,$AW213,SUMIF($B$10:$B$16,"NCAP_TLIFE",$AX$10:$AX$16)),0,""))</f>
        <v/>
      </c>
      <c r="AS213" s="369" t="str">
        <f ca="1">IF($B213&lt;&gt;"PRC_RESID","",IF(AS$7=2005+OFFSET(COM_2012!$B$60,$AW213,SUMIF($B$10:$B$16,"NCAP_TLIFE",$AX$10:$AX$16)),0,""))</f>
        <v/>
      </c>
      <c r="AT213" s="369" t="str">
        <f ca="1">IF($B213&lt;&gt;"PRC_RESID","",IF(AT$7=2005+OFFSET(COM_2012!$B$60,$AW213,SUMIF($B$10:$B$16,"NCAP_TLIFE",$AX$10:$AX$16)),0,""))</f>
        <v/>
      </c>
      <c r="AU213" s="369" t="str">
        <f ca="1">IF($B213&lt;&gt;"PRC_RESID","",IF(AU$7=2005+OFFSET(COM_2012!$B$60,$AW213,SUMIF($B$10:$B$16,"NCAP_TLIFE",$AX$10:$AX$16)),0,""))</f>
        <v/>
      </c>
      <c r="AV213" s="304">
        <f>IF(AW212=COM_2012!$AI$121,AV212+1,AV212)</f>
        <v>4</v>
      </c>
      <c r="AW213" s="304">
        <f t="shared" si="17"/>
        <v>3</v>
      </c>
    </row>
    <row r="214" spans="1:49">
      <c r="A214" s="304" t="str">
        <f ca="1">IF(LEFT(OFFSET(COM_2012!$A$60,AW214,0),2)="\I","*","")</f>
        <v/>
      </c>
      <c r="B214" s="369" t="str">
        <f t="shared" ca="1" si="16"/>
        <v>NCAP_COST</v>
      </c>
      <c r="C214" s="369" t="str">
        <f ca="1">IF($A214="*","",OFFSET(COM_2012!$B$60,AW214,0))</f>
        <v>CECELCROOM-E</v>
      </c>
      <c r="D214" s="369" t="str">
        <f t="shared" ref="D214:I229" ca="1" si="21">IF($A214="*","",VLOOKUP($B214,$B$10:$I$16,D$9,FALSE))</f>
        <v>-</v>
      </c>
      <c r="E214" s="369" t="str">
        <f t="shared" ca="1" si="21"/>
        <v>-</v>
      </c>
      <c r="F214" s="369" t="str">
        <f t="shared" ca="1" si="21"/>
        <v>-</v>
      </c>
      <c r="G214" s="369" t="str">
        <f t="shared" ca="1" si="21"/>
        <v>-</v>
      </c>
      <c r="H214" s="369" t="str">
        <f t="shared" ca="1" si="21"/>
        <v>-</v>
      </c>
      <c r="I214" s="370">
        <f t="shared" ca="1" si="21"/>
        <v>0</v>
      </c>
      <c r="J214" s="391">
        <f ca="1">IF($A214="*","",OFFSET(COM_2012!$B$60,AW214,SUMIF($B$10:$B$16,B214,$AX$10:$AX$16)))</f>
        <v>49.654804773986427</v>
      </c>
      <c r="K214" s="369" t="str">
        <f ca="1">IF($B214&lt;&gt;"PRC_RESID","",IF(K$7=2005+OFFSET(COM_2012!$B$60,$AW214,SUMIF($B$10:$B$16,"NCAP_TLIFE",$AX$10:$AX$16)),0,""))</f>
        <v/>
      </c>
      <c r="L214" s="369" t="str">
        <f ca="1">IF($B214&lt;&gt;"PRC_RESID","",IF(L$7=2005+OFFSET(COM_2012!$B$60,$AW214,SUMIF($B$10:$B$16,"NCAP_TLIFE",$AX$10:$AX$16)),0,""))</f>
        <v/>
      </c>
      <c r="M214" s="369" t="str">
        <f ca="1">IF($B214&lt;&gt;"PRC_RESID","",IF(M$7=2005+OFFSET(COM_2012!$B$60,$AW214,SUMIF($B$10:$B$16,"NCAP_TLIFE",$AX$10:$AX$16)),0,""))</f>
        <v/>
      </c>
      <c r="N214" s="369" t="str">
        <f ca="1">IF($B214&lt;&gt;"PRC_RESID","",IF(N$7=2005+OFFSET(COM_2012!$B$60,$AW214,SUMIF($B$10:$B$16,"NCAP_TLIFE",$AX$10:$AX$16)),0,""))</f>
        <v/>
      </c>
      <c r="O214" s="658" t="str">
        <f ca="1">IF($B214&lt;&gt;"PRC_RESID","",IF(O$7=2005+OFFSET(COM_2012!$B$60,$AW214,SUMIF($B$10:$B$16,"NCAP_TLIFE",$AX$10:$AX$16)),0,""))</f>
        <v/>
      </c>
      <c r="P214" s="369" t="str">
        <f ca="1">IF($B214&lt;&gt;"PRC_RESID","",IF(P$7=2005+OFFSET(COM_2012!$B$60,$AW214,SUMIF($B$10:$B$16,"NCAP_TLIFE",$AX$10:$AX$16)),0,""))</f>
        <v/>
      </c>
      <c r="Q214" s="369" t="str">
        <f ca="1">IF($B214&lt;&gt;"PRC_RESID","",IF(Q$7=2005+OFFSET(COM_2012!$B$60,$AW214,SUMIF($B$10:$B$16,"NCAP_TLIFE",$AX$10:$AX$16)),0,""))</f>
        <v/>
      </c>
      <c r="R214" s="369" t="str">
        <f ca="1">IF($B214&lt;&gt;"PRC_RESID","",IF(R$7=2005+OFFSET(COM_2012!$B$60,$AW214,SUMIF($B$10:$B$16,"NCAP_TLIFE",$AX$10:$AX$16)),0,""))</f>
        <v/>
      </c>
      <c r="S214" s="369" t="str">
        <f ca="1">IF($B214&lt;&gt;"PRC_RESID","",IF(S$7=2005+OFFSET(COM_2012!$B$60,$AW214,SUMIF($B$10:$B$16,"NCAP_TLIFE",$AX$10:$AX$16)),0,""))</f>
        <v/>
      </c>
      <c r="T214" s="369" t="str">
        <f ca="1">IF($B214&lt;&gt;"PRC_RESID","",IF(T$7=2005+OFFSET(COM_2012!$B$60,$AW214,SUMIF($B$10:$B$16,"NCAP_TLIFE",$AX$10:$AX$16)),0,""))</f>
        <v/>
      </c>
      <c r="U214" s="369" t="str">
        <f ca="1">IF($B214&lt;&gt;"PRC_RESID","",IF(U$7=2005+OFFSET(COM_2012!$B$60,$AW214,SUMIF($B$10:$B$16,"NCAP_TLIFE",$AX$10:$AX$16)),0,""))</f>
        <v/>
      </c>
      <c r="V214" s="369" t="str">
        <f ca="1">IF($B214&lt;&gt;"PRC_RESID","",IF(V$7=2005+OFFSET(COM_2012!$B$60,$AW214,SUMIF($B$10:$B$16,"NCAP_TLIFE",$AX$10:$AX$16)),0,""))</f>
        <v/>
      </c>
      <c r="W214" s="369" t="str">
        <f ca="1">IF($B214&lt;&gt;"PRC_RESID","",IF(W$7=2005+OFFSET(COM_2012!$B$60,$AW214,SUMIF($B$10:$B$16,"NCAP_TLIFE",$AX$10:$AX$16)),0,""))</f>
        <v/>
      </c>
      <c r="X214" s="369" t="str">
        <f ca="1">IF($B214&lt;&gt;"PRC_RESID","",IF(X$7=2005+OFFSET(COM_2012!$B$60,$AW214,SUMIF($B$10:$B$16,"NCAP_TLIFE",$AX$10:$AX$16)),0,""))</f>
        <v/>
      </c>
      <c r="Y214" s="369" t="str">
        <f ca="1">IF($B214&lt;&gt;"PRC_RESID","",IF(Y$7=2005+OFFSET(COM_2012!$B$60,$AW214,SUMIF($B$10:$B$16,"NCAP_TLIFE",$AX$10:$AX$16)),0,""))</f>
        <v/>
      </c>
      <c r="Z214" s="369" t="str">
        <f ca="1">IF($B214&lt;&gt;"PRC_RESID","",IF(Z$7=2005+OFFSET(COM_2012!$B$60,$AW214,SUMIF($B$10:$B$16,"NCAP_TLIFE",$AX$10:$AX$16)),0,""))</f>
        <v/>
      </c>
      <c r="AA214" s="369" t="str">
        <f ca="1">IF($B214&lt;&gt;"PRC_RESID","",IF(AA$7=2005+OFFSET(COM_2012!$B$60,$AW214,SUMIF($B$10:$B$16,"NCAP_TLIFE",$AX$10:$AX$16)),0,""))</f>
        <v/>
      </c>
      <c r="AB214" s="369" t="str">
        <f ca="1">IF($B214&lt;&gt;"PRC_RESID","",IF(AB$7=2005+OFFSET(COM_2012!$B$60,$AW214,SUMIF($B$10:$B$16,"NCAP_TLIFE",$AX$10:$AX$16)),0,""))</f>
        <v/>
      </c>
      <c r="AC214" s="369" t="str">
        <f ca="1">IF($B214&lt;&gt;"PRC_RESID","",IF(AC$7=2005+OFFSET(COM_2012!$B$60,$AW214,SUMIF($B$10:$B$16,"NCAP_TLIFE",$AX$10:$AX$16)),0,""))</f>
        <v/>
      </c>
      <c r="AD214" s="369" t="str">
        <f ca="1">IF($B214&lt;&gt;"PRC_RESID","",IF(AD$7=2005+OFFSET(COM_2012!$B$60,$AW214,SUMIF($B$10:$B$16,"NCAP_TLIFE",$AX$10:$AX$16)),0,""))</f>
        <v/>
      </c>
      <c r="AE214" s="369" t="str">
        <f ca="1">IF($B214&lt;&gt;"PRC_RESID","",IF(AE$7=2005+OFFSET(COM_2012!$B$60,$AW214,SUMIF($B$10:$B$16,"NCAP_TLIFE",$AX$10:$AX$16)),0,""))</f>
        <v/>
      </c>
      <c r="AF214" s="369" t="str">
        <f ca="1">IF($B214&lt;&gt;"PRC_RESID","",IF(AF$7=2005+OFFSET(COM_2012!$B$60,$AW214,SUMIF($B$10:$B$16,"NCAP_TLIFE",$AX$10:$AX$16)),0,""))</f>
        <v/>
      </c>
      <c r="AG214" s="369" t="str">
        <f ca="1">IF($B214&lt;&gt;"PRC_RESID","",IF(AG$7=2005+OFFSET(COM_2012!$B$60,$AW214,SUMIF($B$10:$B$16,"NCAP_TLIFE",$AX$10:$AX$16)),0,""))</f>
        <v/>
      </c>
      <c r="AH214" s="369" t="str">
        <f ca="1">IF($B214&lt;&gt;"PRC_RESID","",IF(AH$7=2005+OFFSET(COM_2012!$B$60,$AW214,SUMIF($B$10:$B$16,"NCAP_TLIFE",$AX$10:$AX$16)),0,""))</f>
        <v/>
      </c>
      <c r="AI214" s="369" t="str">
        <f ca="1">IF($B214&lt;&gt;"PRC_RESID","",IF(AI$7=2005+OFFSET(COM_2012!$B$60,$AW214,SUMIF($B$10:$B$16,"NCAP_TLIFE",$AX$10:$AX$16)),0,""))</f>
        <v/>
      </c>
      <c r="AJ214" s="369" t="str">
        <f ca="1">IF($B214&lt;&gt;"PRC_RESID","",IF(AJ$7=2005+OFFSET(COM_2012!$B$60,$AW214,SUMIF($B$10:$B$16,"NCAP_TLIFE",$AX$10:$AX$16)),0,""))</f>
        <v/>
      </c>
      <c r="AK214" s="369" t="str">
        <f ca="1">IF($B214&lt;&gt;"PRC_RESID","",IF(AK$7=2005+OFFSET(COM_2012!$B$60,$AW214,SUMIF($B$10:$B$16,"NCAP_TLIFE",$AX$10:$AX$16)),0,""))</f>
        <v/>
      </c>
      <c r="AL214" s="369" t="str">
        <f ca="1">IF($B214&lt;&gt;"PRC_RESID","",IF(AL$7=2005+OFFSET(COM_2012!$B$60,$AW214,SUMIF($B$10:$B$16,"NCAP_TLIFE",$AX$10:$AX$16)),0,""))</f>
        <v/>
      </c>
      <c r="AM214" s="369" t="str">
        <f ca="1">IF($B214&lt;&gt;"PRC_RESID","",IF(AM$7=2005+OFFSET(COM_2012!$B$60,$AW214,SUMIF($B$10:$B$16,"NCAP_TLIFE",$AX$10:$AX$16)),0,""))</f>
        <v/>
      </c>
      <c r="AN214" s="369" t="str">
        <f ca="1">IF($B214&lt;&gt;"PRC_RESID","",IF(AN$7=2005+OFFSET(COM_2012!$B$60,$AW214,SUMIF($B$10:$B$16,"NCAP_TLIFE",$AX$10:$AX$16)),0,""))</f>
        <v/>
      </c>
      <c r="AO214" s="369" t="str">
        <f ca="1">IF($B214&lt;&gt;"PRC_RESID","",IF(AO$7=2005+OFFSET(COM_2012!$B$60,$AW214,SUMIF($B$10:$B$16,"NCAP_TLIFE",$AX$10:$AX$16)),0,""))</f>
        <v/>
      </c>
      <c r="AP214" s="369" t="str">
        <f ca="1">IF($B214&lt;&gt;"PRC_RESID","",IF(AP$7=2005+OFFSET(COM_2012!$B$60,$AW214,SUMIF($B$10:$B$16,"NCAP_TLIFE",$AX$10:$AX$16)),0,""))</f>
        <v/>
      </c>
      <c r="AQ214" s="369" t="str">
        <f ca="1">IF($B214&lt;&gt;"PRC_RESID","",IF(AQ$7=2005+OFFSET(COM_2012!$B$60,$AW214,SUMIF($B$10:$B$16,"NCAP_TLIFE",$AX$10:$AX$16)),0,""))</f>
        <v/>
      </c>
      <c r="AR214" s="369" t="str">
        <f ca="1">IF($B214&lt;&gt;"PRC_RESID","",IF(AR$7=2005+OFFSET(COM_2012!$B$60,$AW214,SUMIF($B$10:$B$16,"NCAP_TLIFE",$AX$10:$AX$16)),0,""))</f>
        <v/>
      </c>
      <c r="AS214" s="369" t="str">
        <f ca="1">IF($B214&lt;&gt;"PRC_RESID","",IF(AS$7=2005+OFFSET(COM_2012!$B$60,$AW214,SUMIF($B$10:$B$16,"NCAP_TLIFE",$AX$10:$AX$16)),0,""))</f>
        <v/>
      </c>
      <c r="AT214" s="369" t="str">
        <f ca="1">IF($B214&lt;&gt;"PRC_RESID","",IF(AT$7=2005+OFFSET(COM_2012!$B$60,$AW214,SUMIF($B$10:$B$16,"NCAP_TLIFE",$AX$10:$AX$16)),0,""))</f>
        <v/>
      </c>
      <c r="AU214" s="369" t="str">
        <f ca="1">IF($B214&lt;&gt;"PRC_RESID","",IF(AU$7=2005+OFFSET(COM_2012!$B$60,$AW214,SUMIF($B$10:$B$16,"NCAP_TLIFE",$AX$10:$AX$16)),0,""))</f>
        <v/>
      </c>
      <c r="AV214" s="304">
        <f>IF(AW213=COM_2012!$AI$121,AV213+1,AV213)</f>
        <v>4</v>
      </c>
      <c r="AW214" s="304">
        <f t="shared" si="17"/>
        <v>4</v>
      </c>
    </row>
    <row r="215" spans="1:49">
      <c r="A215" s="304" t="str">
        <f ca="1">IF(LEFT(OFFSET(COM_2012!$A$60,AW215,0),2)="\I","*","")</f>
        <v/>
      </c>
      <c r="B215" s="369" t="str">
        <f t="shared" ca="1" si="16"/>
        <v>NCAP_COST</v>
      </c>
      <c r="C215" s="369" t="str">
        <f ca="1">IF($A215="*","",OFFSET(COM_2012!$B$60,AW215,0))</f>
        <v>CECELCCEN-N</v>
      </c>
      <c r="D215" s="369" t="str">
        <f t="shared" ca="1" si="21"/>
        <v>-</v>
      </c>
      <c r="E215" s="369" t="str">
        <f t="shared" ca="1" si="21"/>
        <v>-</v>
      </c>
      <c r="F215" s="369" t="str">
        <f t="shared" ca="1" si="21"/>
        <v>-</v>
      </c>
      <c r="G215" s="369" t="str">
        <f t="shared" ca="1" si="21"/>
        <v>-</v>
      </c>
      <c r="H215" s="369" t="str">
        <f t="shared" ca="1" si="21"/>
        <v>-</v>
      </c>
      <c r="I215" s="370">
        <f t="shared" ca="1" si="21"/>
        <v>0</v>
      </c>
      <c r="J215" s="391">
        <f ca="1">IF($A215="*","",OFFSET(COM_2012!$B$60,AW215,SUMIF($B$10:$B$16,B215,$AX$10:$AX$16)))</f>
        <v>244.61608495261538</v>
      </c>
      <c r="K215" s="369" t="str">
        <f ca="1">IF($B215&lt;&gt;"PRC_RESID","",IF(K$7=2005+OFFSET(COM_2012!$B$60,$AW215,SUMIF($B$10:$B$16,"NCAP_TLIFE",$AX$10:$AX$16)),0,""))</f>
        <v/>
      </c>
      <c r="L215" s="369" t="str">
        <f ca="1">IF($B215&lt;&gt;"PRC_RESID","",IF(L$7=2005+OFFSET(COM_2012!$B$60,$AW215,SUMIF($B$10:$B$16,"NCAP_TLIFE",$AX$10:$AX$16)),0,""))</f>
        <v/>
      </c>
      <c r="M215" s="369" t="str">
        <f ca="1">IF($B215&lt;&gt;"PRC_RESID","",IF(M$7=2005+OFFSET(COM_2012!$B$60,$AW215,SUMIF($B$10:$B$16,"NCAP_TLIFE",$AX$10:$AX$16)),0,""))</f>
        <v/>
      </c>
      <c r="N215" s="369" t="str">
        <f ca="1">IF($B215&lt;&gt;"PRC_RESID","",IF(N$7=2005+OFFSET(COM_2012!$B$60,$AW215,SUMIF($B$10:$B$16,"NCAP_TLIFE",$AX$10:$AX$16)),0,""))</f>
        <v/>
      </c>
      <c r="O215" s="658" t="str">
        <f ca="1">IF($B215&lt;&gt;"PRC_RESID","",IF(O$7=2005+OFFSET(COM_2012!$B$60,$AW215,SUMIF($B$10:$B$16,"NCAP_TLIFE",$AX$10:$AX$16)),0,""))</f>
        <v/>
      </c>
      <c r="P215" s="369" t="str">
        <f ca="1">IF($B215&lt;&gt;"PRC_RESID","",IF(P$7=2005+OFFSET(COM_2012!$B$60,$AW215,SUMIF($B$10:$B$16,"NCAP_TLIFE",$AX$10:$AX$16)),0,""))</f>
        <v/>
      </c>
      <c r="Q215" s="369" t="str">
        <f ca="1">IF($B215&lt;&gt;"PRC_RESID","",IF(Q$7=2005+OFFSET(COM_2012!$B$60,$AW215,SUMIF($B$10:$B$16,"NCAP_TLIFE",$AX$10:$AX$16)),0,""))</f>
        <v/>
      </c>
      <c r="R215" s="369" t="str">
        <f ca="1">IF($B215&lt;&gt;"PRC_RESID","",IF(R$7=2005+OFFSET(COM_2012!$B$60,$AW215,SUMIF($B$10:$B$16,"NCAP_TLIFE",$AX$10:$AX$16)),0,""))</f>
        <v/>
      </c>
      <c r="S215" s="369" t="str">
        <f ca="1">IF($B215&lt;&gt;"PRC_RESID","",IF(S$7=2005+OFFSET(COM_2012!$B$60,$AW215,SUMIF($B$10:$B$16,"NCAP_TLIFE",$AX$10:$AX$16)),0,""))</f>
        <v/>
      </c>
      <c r="T215" s="369" t="str">
        <f ca="1">IF($B215&lt;&gt;"PRC_RESID","",IF(T$7=2005+OFFSET(COM_2012!$B$60,$AW215,SUMIF($B$10:$B$16,"NCAP_TLIFE",$AX$10:$AX$16)),0,""))</f>
        <v/>
      </c>
      <c r="U215" s="369" t="str">
        <f ca="1">IF($B215&lt;&gt;"PRC_RESID","",IF(U$7=2005+OFFSET(COM_2012!$B$60,$AW215,SUMIF($B$10:$B$16,"NCAP_TLIFE",$AX$10:$AX$16)),0,""))</f>
        <v/>
      </c>
      <c r="V215" s="369" t="str">
        <f ca="1">IF($B215&lt;&gt;"PRC_RESID","",IF(V$7=2005+OFFSET(COM_2012!$B$60,$AW215,SUMIF($B$10:$B$16,"NCAP_TLIFE",$AX$10:$AX$16)),0,""))</f>
        <v/>
      </c>
      <c r="W215" s="369" t="str">
        <f ca="1">IF($B215&lt;&gt;"PRC_RESID","",IF(W$7=2005+OFFSET(COM_2012!$B$60,$AW215,SUMIF($B$10:$B$16,"NCAP_TLIFE",$AX$10:$AX$16)),0,""))</f>
        <v/>
      </c>
      <c r="X215" s="369" t="str">
        <f ca="1">IF($B215&lt;&gt;"PRC_RESID","",IF(X$7=2005+OFFSET(COM_2012!$B$60,$AW215,SUMIF($B$10:$B$16,"NCAP_TLIFE",$AX$10:$AX$16)),0,""))</f>
        <v/>
      </c>
      <c r="Y215" s="369" t="str">
        <f ca="1">IF($B215&lt;&gt;"PRC_RESID","",IF(Y$7=2005+OFFSET(COM_2012!$B$60,$AW215,SUMIF($B$10:$B$16,"NCAP_TLIFE",$AX$10:$AX$16)),0,""))</f>
        <v/>
      </c>
      <c r="Z215" s="369" t="str">
        <f ca="1">IF($B215&lt;&gt;"PRC_RESID","",IF(Z$7=2005+OFFSET(COM_2012!$B$60,$AW215,SUMIF($B$10:$B$16,"NCAP_TLIFE",$AX$10:$AX$16)),0,""))</f>
        <v/>
      </c>
      <c r="AA215" s="369" t="str">
        <f ca="1">IF($B215&lt;&gt;"PRC_RESID","",IF(AA$7=2005+OFFSET(COM_2012!$B$60,$AW215,SUMIF($B$10:$B$16,"NCAP_TLIFE",$AX$10:$AX$16)),0,""))</f>
        <v/>
      </c>
      <c r="AB215" s="369" t="str">
        <f ca="1">IF($B215&lt;&gt;"PRC_RESID","",IF(AB$7=2005+OFFSET(COM_2012!$B$60,$AW215,SUMIF($B$10:$B$16,"NCAP_TLIFE",$AX$10:$AX$16)),0,""))</f>
        <v/>
      </c>
      <c r="AC215" s="369" t="str">
        <f ca="1">IF($B215&lt;&gt;"PRC_RESID","",IF(AC$7=2005+OFFSET(COM_2012!$B$60,$AW215,SUMIF($B$10:$B$16,"NCAP_TLIFE",$AX$10:$AX$16)),0,""))</f>
        <v/>
      </c>
      <c r="AD215" s="369" t="str">
        <f ca="1">IF($B215&lt;&gt;"PRC_RESID","",IF(AD$7=2005+OFFSET(COM_2012!$B$60,$AW215,SUMIF($B$10:$B$16,"NCAP_TLIFE",$AX$10:$AX$16)),0,""))</f>
        <v/>
      </c>
      <c r="AE215" s="369" t="str">
        <f ca="1">IF($B215&lt;&gt;"PRC_RESID","",IF(AE$7=2005+OFFSET(COM_2012!$B$60,$AW215,SUMIF($B$10:$B$16,"NCAP_TLIFE",$AX$10:$AX$16)),0,""))</f>
        <v/>
      </c>
      <c r="AF215" s="369" t="str">
        <f ca="1">IF($B215&lt;&gt;"PRC_RESID","",IF(AF$7=2005+OFFSET(COM_2012!$B$60,$AW215,SUMIF($B$10:$B$16,"NCAP_TLIFE",$AX$10:$AX$16)),0,""))</f>
        <v/>
      </c>
      <c r="AG215" s="369" t="str">
        <f ca="1">IF($B215&lt;&gt;"PRC_RESID","",IF(AG$7=2005+OFFSET(COM_2012!$B$60,$AW215,SUMIF($B$10:$B$16,"NCAP_TLIFE",$AX$10:$AX$16)),0,""))</f>
        <v/>
      </c>
      <c r="AH215" s="369" t="str">
        <f ca="1">IF($B215&lt;&gt;"PRC_RESID","",IF(AH$7=2005+OFFSET(COM_2012!$B$60,$AW215,SUMIF($B$10:$B$16,"NCAP_TLIFE",$AX$10:$AX$16)),0,""))</f>
        <v/>
      </c>
      <c r="AI215" s="369" t="str">
        <f ca="1">IF($B215&lt;&gt;"PRC_RESID","",IF(AI$7=2005+OFFSET(COM_2012!$B$60,$AW215,SUMIF($B$10:$B$16,"NCAP_TLIFE",$AX$10:$AX$16)),0,""))</f>
        <v/>
      </c>
      <c r="AJ215" s="369" t="str">
        <f ca="1">IF($B215&lt;&gt;"PRC_RESID","",IF(AJ$7=2005+OFFSET(COM_2012!$B$60,$AW215,SUMIF($B$10:$B$16,"NCAP_TLIFE",$AX$10:$AX$16)),0,""))</f>
        <v/>
      </c>
      <c r="AK215" s="369" t="str">
        <f ca="1">IF($B215&lt;&gt;"PRC_RESID","",IF(AK$7=2005+OFFSET(COM_2012!$B$60,$AW215,SUMIF($B$10:$B$16,"NCAP_TLIFE",$AX$10:$AX$16)),0,""))</f>
        <v/>
      </c>
      <c r="AL215" s="369" t="str">
        <f ca="1">IF($B215&lt;&gt;"PRC_RESID","",IF(AL$7=2005+OFFSET(COM_2012!$B$60,$AW215,SUMIF($B$10:$B$16,"NCAP_TLIFE",$AX$10:$AX$16)),0,""))</f>
        <v/>
      </c>
      <c r="AM215" s="369" t="str">
        <f ca="1">IF($B215&lt;&gt;"PRC_RESID","",IF(AM$7=2005+OFFSET(COM_2012!$B$60,$AW215,SUMIF($B$10:$B$16,"NCAP_TLIFE",$AX$10:$AX$16)),0,""))</f>
        <v/>
      </c>
      <c r="AN215" s="369" t="str">
        <f ca="1">IF($B215&lt;&gt;"PRC_RESID","",IF(AN$7=2005+OFFSET(COM_2012!$B$60,$AW215,SUMIF($B$10:$B$16,"NCAP_TLIFE",$AX$10:$AX$16)),0,""))</f>
        <v/>
      </c>
      <c r="AO215" s="369" t="str">
        <f ca="1">IF($B215&lt;&gt;"PRC_RESID","",IF(AO$7=2005+OFFSET(COM_2012!$B$60,$AW215,SUMIF($B$10:$B$16,"NCAP_TLIFE",$AX$10:$AX$16)),0,""))</f>
        <v/>
      </c>
      <c r="AP215" s="369" t="str">
        <f ca="1">IF($B215&lt;&gt;"PRC_RESID","",IF(AP$7=2005+OFFSET(COM_2012!$B$60,$AW215,SUMIF($B$10:$B$16,"NCAP_TLIFE",$AX$10:$AX$16)),0,""))</f>
        <v/>
      </c>
      <c r="AQ215" s="369" t="str">
        <f ca="1">IF($B215&lt;&gt;"PRC_RESID","",IF(AQ$7=2005+OFFSET(COM_2012!$B$60,$AW215,SUMIF($B$10:$B$16,"NCAP_TLIFE",$AX$10:$AX$16)),0,""))</f>
        <v/>
      </c>
      <c r="AR215" s="369" t="str">
        <f ca="1">IF($B215&lt;&gt;"PRC_RESID","",IF(AR$7=2005+OFFSET(COM_2012!$B$60,$AW215,SUMIF($B$10:$B$16,"NCAP_TLIFE",$AX$10:$AX$16)),0,""))</f>
        <v/>
      </c>
      <c r="AS215" s="369" t="str">
        <f ca="1">IF($B215&lt;&gt;"PRC_RESID","",IF(AS$7=2005+OFFSET(COM_2012!$B$60,$AW215,SUMIF($B$10:$B$16,"NCAP_TLIFE",$AX$10:$AX$16)),0,""))</f>
        <v/>
      </c>
      <c r="AT215" s="369" t="str">
        <f ca="1">IF($B215&lt;&gt;"PRC_RESID","",IF(AT$7=2005+OFFSET(COM_2012!$B$60,$AW215,SUMIF($B$10:$B$16,"NCAP_TLIFE",$AX$10:$AX$16)),0,""))</f>
        <v/>
      </c>
      <c r="AU215" s="369" t="str">
        <f ca="1">IF($B215&lt;&gt;"PRC_RESID","",IF(AU$7=2005+OFFSET(COM_2012!$B$60,$AW215,SUMIF($B$10:$B$16,"NCAP_TLIFE",$AX$10:$AX$16)),0,""))</f>
        <v/>
      </c>
      <c r="AV215" s="304">
        <f>IF(AW214=COM_2012!$AI$121,AV214+1,AV214)</f>
        <v>4</v>
      </c>
      <c r="AW215" s="304">
        <f t="shared" si="17"/>
        <v>5</v>
      </c>
    </row>
    <row r="216" spans="1:49">
      <c r="A216" s="304" t="str">
        <f ca="1">IF(LEFT(OFFSET(COM_2012!$A$60,AW216,0),2)="\I","*","")</f>
        <v/>
      </c>
      <c r="B216" s="369" t="str">
        <f t="shared" ca="1" si="16"/>
        <v>NCAP_COST</v>
      </c>
      <c r="C216" s="369" t="str">
        <f ca="1">IF($A216="*","",OFFSET(COM_2012!$B$60,AW216,0))</f>
        <v>CECELCHP-N</v>
      </c>
      <c r="D216" s="369" t="str">
        <f t="shared" ca="1" si="21"/>
        <v>-</v>
      </c>
      <c r="E216" s="369" t="str">
        <f t="shared" ca="1" si="21"/>
        <v>-</v>
      </c>
      <c r="F216" s="369" t="str">
        <f t="shared" ca="1" si="21"/>
        <v>-</v>
      </c>
      <c r="G216" s="369" t="str">
        <f t="shared" ca="1" si="21"/>
        <v>-</v>
      </c>
      <c r="H216" s="369" t="str">
        <f t="shared" ca="1" si="21"/>
        <v>-</v>
      </c>
      <c r="I216" s="370">
        <f t="shared" ca="1" si="21"/>
        <v>0</v>
      </c>
      <c r="J216" s="391">
        <f ca="1">IF($A216="*","",OFFSET(COM_2012!$B$60,AW216,SUMIF($B$10:$B$16,B216,$AX$10:$AX$16)))</f>
        <v>261.24997872939326</v>
      </c>
      <c r="K216" s="369" t="str">
        <f ca="1">IF($B216&lt;&gt;"PRC_RESID","",IF(K$7=2005+OFFSET(COM_2012!$B$60,$AW216,SUMIF($B$10:$B$16,"NCAP_TLIFE",$AX$10:$AX$16)),0,""))</f>
        <v/>
      </c>
      <c r="L216" s="369" t="str">
        <f ca="1">IF($B216&lt;&gt;"PRC_RESID","",IF(L$7=2005+OFFSET(COM_2012!$B$60,$AW216,SUMIF($B$10:$B$16,"NCAP_TLIFE",$AX$10:$AX$16)),0,""))</f>
        <v/>
      </c>
      <c r="M216" s="369" t="str">
        <f ca="1">IF($B216&lt;&gt;"PRC_RESID","",IF(M$7=2005+OFFSET(COM_2012!$B$60,$AW216,SUMIF($B$10:$B$16,"NCAP_TLIFE",$AX$10:$AX$16)),0,""))</f>
        <v/>
      </c>
      <c r="N216" s="369" t="str">
        <f ca="1">IF($B216&lt;&gt;"PRC_RESID","",IF(N$7=2005+OFFSET(COM_2012!$B$60,$AW216,SUMIF($B$10:$B$16,"NCAP_TLIFE",$AX$10:$AX$16)),0,""))</f>
        <v/>
      </c>
      <c r="O216" s="658" t="str">
        <f ca="1">IF($B216&lt;&gt;"PRC_RESID","",IF(O$7=2005+OFFSET(COM_2012!$B$60,$AW216,SUMIF($B$10:$B$16,"NCAP_TLIFE",$AX$10:$AX$16)),0,""))</f>
        <v/>
      </c>
      <c r="P216" s="369" t="str">
        <f ca="1">IF($B216&lt;&gt;"PRC_RESID","",IF(P$7=2005+OFFSET(COM_2012!$B$60,$AW216,SUMIF($B$10:$B$16,"NCAP_TLIFE",$AX$10:$AX$16)),0,""))</f>
        <v/>
      </c>
      <c r="Q216" s="369" t="str">
        <f ca="1">IF($B216&lt;&gt;"PRC_RESID","",IF(Q$7=2005+OFFSET(COM_2012!$B$60,$AW216,SUMIF($B$10:$B$16,"NCAP_TLIFE",$AX$10:$AX$16)),0,""))</f>
        <v/>
      </c>
      <c r="R216" s="369" t="str">
        <f ca="1">IF($B216&lt;&gt;"PRC_RESID","",IF(R$7=2005+OFFSET(COM_2012!$B$60,$AW216,SUMIF($B$10:$B$16,"NCAP_TLIFE",$AX$10:$AX$16)),0,""))</f>
        <v/>
      </c>
      <c r="S216" s="369" t="str">
        <f ca="1">IF($B216&lt;&gt;"PRC_RESID","",IF(S$7=2005+OFFSET(COM_2012!$B$60,$AW216,SUMIF($B$10:$B$16,"NCAP_TLIFE",$AX$10:$AX$16)),0,""))</f>
        <v/>
      </c>
      <c r="T216" s="369" t="str">
        <f ca="1">IF($B216&lt;&gt;"PRC_RESID","",IF(T$7=2005+OFFSET(COM_2012!$B$60,$AW216,SUMIF($B$10:$B$16,"NCAP_TLIFE",$AX$10:$AX$16)),0,""))</f>
        <v/>
      </c>
      <c r="U216" s="369" t="str">
        <f ca="1">IF($B216&lt;&gt;"PRC_RESID","",IF(U$7=2005+OFFSET(COM_2012!$B$60,$AW216,SUMIF($B$10:$B$16,"NCAP_TLIFE",$AX$10:$AX$16)),0,""))</f>
        <v/>
      </c>
      <c r="V216" s="369" t="str">
        <f ca="1">IF($B216&lt;&gt;"PRC_RESID","",IF(V$7=2005+OFFSET(COM_2012!$B$60,$AW216,SUMIF($B$10:$B$16,"NCAP_TLIFE",$AX$10:$AX$16)),0,""))</f>
        <v/>
      </c>
      <c r="W216" s="369" t="str">
        <f ca="1">IF($B216&lt;&gt;"PRC_RESID","",IF(W$7=2005+OFFSET(COM_2012!$B$60,$AW216,SUMIF($B$10:$B$16,"NCAP_TLIFE",$AX$10:$AX$16)),0,""))</f>
        <v/>
      </c>
      <c r="X216" s="369" t="str">
        <f ca="1">IF($B216&lt;&gt;"PRC_RESID","",IF(X$7=2005+OFFSET(COM_2012!$B$60,$AW216,SUMIF($B$10:$B$16,"NCAP_TLIFE",$AX$10:$AX$16)),0,""))</f>
        <v/>
      </c>
      <c r="Y216" s="369" t="str">
        <f ca="1">IF($B216&lt;&gt;"PRC_RESID","",IF(Y$7=2005+OFFSET(COM_2012!$B$60,$AW216,SUMIF($B$10:$B$16,"NCAP_TLIFE",$AX$10:$AX$16)),0,""))</f>
        <v/>
      </c>
      <c r="Z216" s="369" t="str">
        <f ca="1">IF($B216&lt;&gt;"PRC_RESID","",IF(Z$7=2005+OFFSET(COM_2012!$B$60,$AW216,SUMIF($B$10:$B$16,"NCAP_TLIFE",$AX$10:$AX$16)),0,""))</f>
        <v/>
      </c>
      <c r="AA216" s="369" t="str">
        <f ca="1">IF($B216&lt;&gt;"PRC_RESID","",IF(AA$7=2005+OFFSET(COM_2012!$B$60,$AW216,SUMIF($B$10:$B$16,"NCAP_TLIFE",$AX$10:$AX$16)),0,""))</f>
        <v/>
      </c>
      <c r="AB216" s="369" t="str">
        <f ca="1">IF($B216&lt;&gt;"PRC_RESID","",IF(AB$7=2005+OFFSET(COM_2012!$B$60,$AW216,SUMIF($B$10:$B$16,"NCAP_TLIFE",$AX$10:$AX$16)),0,""))</f>
        <v/>
      </c>
      <c r="AC216" s="369" t="str">
        <f ca="1">IF($B216&lt;&gt;"PRC_RESID","",IF(AC$7=2005+OFFSET(COM_2012!$B$60,$AW216,SUMIF($B$10:$B$16,"NCAP_TLIFE",$AX$10:$AX$16)),0,""))</f>
        <v/>
      </c>
      <c r="AD216" s="369" t="str">
        <f ca="1">IF($B216&lt;&gt;"PRC_RESID","",IF(AD$7=2005+OFFSET(COM_2012!$B$60,$AW216,SUMIF($B$10:$B$16,"NCAP_TLIFE",$AX$10:$AX$16)),0,""))</f>
        <v/>
      </c>
      <c r="AE216" s="369" t="str">
        <f ca="1">IF($B216&lt;&gt;"PRC_RESID","",IF(AE$7=2005+OFFSET(COM_2012!$B$60,$AW216,SUMIF($B$10:$B$16,"NCAP_TLIFE",$AX$10:$AX$16)),0,""))</f>
        <v/>
      </c>
      <c r="AF216" s="369" t="str">
        <f ca="1">IF($B216&lt;&gt;"PRC_RESID","",IF(AF$7=2005+OFFSET(COM_2012!$B$60,$AW216,SUMIF($B$10:$B$16,"NCAP_TLIFE",$AX$10:$AX$16)),0,""))</f>
        <v/>
      </c>
      <c r="AG216" s="369" t="str">
        <f ca="1">IF($B216&lt;&gt;"PRC_RESID","",IF(AG$7=2005+OFFSET(COM_2012!$B$60,$AW216,SUMIF($B$10:$B$16,"NCAP_TLIFE",$AX$10:$AX$16)),0,""))</f>
        <v/>
      </c>
      <c r="AH216" s="369" t="str">
        <f ca="1">IF($B216&lt;&gt;"PRC_RESID","",IF(AH$7=2005+OFFSET(COM_2012!$B$60,$AW216,SUMIF($B$10:$B$16,"NCAP_TLIFE",$AX$10:$AX$16)),0,""))</f>
        <v/>
      </c>
      <c r="AI216" s="369" t="str">
        <f ca="1">IF($B216&lt;&gt;"PRC_RESID","",IF(AI$7=2005+OFFSET(COM_2012!$B$60,$AW216,SUMIF($B$10:$B$16,"NCAP_TLIFE",$AX$10:$AX$16)),0,""))</f>
        <v/>
      </c>
      <c r="AJ216" s="369" t="str">
        <f ca="1">IF($B216&lt;&gt;"PRC_RESID","",IF(AJ$7=2005+OFFSET(COM_2012!$B$60,$AW216,SUMIF($B$10:$B$16,"NCAP_TLIFE",$AX$10:$AX$16)),0,""))</f>
        <v/>
      </c>
      <c r="AK216" s="369" t="str">
        <f ca="1">IF($B216&lt;&gt;"PRC_RESID","",IF(AK$7=2005+OFFSET(COM_2012!$B$60,$AW216,SUMIF($B$10:$B$16,"NCAP_TLIFE",$AX$10:$AX$16)),0,""))</f>
        <v/>
      </c>
      <c r="AL216" s="369" t="str">
        <f ca="1">IF($B216&lt;&gt;"PRC_RESID","",IF(AL$7=2005+OFFSET(COM_2012!$B$60,$AW216,SUMIF($B$10:$B$16,"NCAP_TLIFE",$AX$10:$AX$16)),0,""))</f>
        <v/>
      </c>
      <c r="AM216" s="369" t="str">
        <f ca="1">IF($B216&lt;&gt;"PRC_RESID","",IF(AM$7=2005+OFFSET(COM_2012!$B$60,$AW216,SUMIF($B$10:$B$16,"NCAP_TLIFE",$AX$10:$AX$16)),0,""))</f>
        <v/>
      </c>
      <c r="AN216" s="369" t="str">
        <f ca="1">IF($B216&lt;&gt;"PRC_RESID","",IF(AN$7=2005+OFFSET(COM_2012!$B$60,$AW216,SUMIF($B$10:$B$16,"NCAP_TLIFE",$AX$10:$AX$16)),0,""))</f>
        <v/>
      </c>
      <c r="AO216" s="369" t="str">
        <f ca="1">IF($B216&lt;&gt;"PRC_RESID","",IF(AO$7=2005+OFFSET(COM_2012!$B$60,$AW216,SUMIF($B$10:$B$16,"NCAP_TLIFE",$AX$10:$AX$16)),0,""))</f>
        <v/>
      </c>
      <c r="AP216" s="369" t="str">
        <f ca="1">IF($B216&lt;&gt;"PRC_RESID","",IF(AP$7=2005+OFFSET(COM_2012!$B$60,$AW216,SUMIF($B$10:$B$16,"NCAP_TLIFE",$AX$10:$AX$16)),0,""))</f>
        <v/>
      </c>
      <c r="AQ216" s="369" t="str">
        <f ca="1">IF($B216&lt;&gt;"PRC_RESID","",IF(AQ$7=2005+OFFSET(COM_2012!$B$60,$AW216,SUMIF($B$10:$B$16,"NCAP_TLIFE",$AX$10:$AX$16)),0,""))</f>
        <v/>
      </c>
      <c r="AR216" s="369" t="str">
        <f ca="1">IF($B216&lt;&gt;"PRC_RESID","",IF(AR$7=2005+OFFSET(COM_2012!$B$60,$AW216,SUMIF($B$10:$B$16,"NCAP_TLIFE",$AX$10:$AX$16)),0,""))</f>
        <v/>
      </c>
      <c r="AS216" s="369" t="str">
        <f ca="1">IF($B216&lt;&gt;"PRC_RESID","",IF(AS$7=2005+OFFSET(COM_2012!$B$60,$AW216,SUMIF($B$10:$B$16,"NCAP_TLIFE",$AX$10:$AX$16)),0,""))</f>
        <v/>
      </c>
      <c r="AT216" s="369" t="str">
        <f ca="1">IF($B216&lt;&gt;"PRC_RESID","",IF(AT$7=2005+OFFSET(COM_2012!$B$60,$AW216,SUMIF($B$10:$B$16,"NCAP_TLIFE",$AX$10:$AX$16)),0,""))</f>
        <v/>
      </c>
      <c r="AU216" s="369" t="str">
        <f ca="1">IF($B216&lt;&gt;"PRC_RESID","",IF(AU$7=2005+OFFSET(COM_2012!$B$60,$AW216,SUMIF($B$10:$B$16,"NCAP_TLIFE",$AX$10:$AX$16)),0,""))</f>
        <v/>
      </c>
      <c r="AV216" s="304">
        <f>IF(AW215=COM_2012!$AI$121,AV215+1,AV215)</f>
        <v>4</v>
      </c>
      <c r="AW216" s="304">
        <f t="shared" si="17"/>
        <v>6</v>
      </c>
    </row>
    <row r="217" spans="1:49">
      <c r="A217" s="304" t="str">
        <f ca="1">IF(LEFT(OFFSET(COM_2012!$A$60,AW217,0),2)="\I","*","")</f>
        <v>*</v>
      </c>
      <c r="B217" s="369" t="str">
        <f t="shared" ca="1" si="16"/>
        <v/>
      </c>
      <c r="C217" s="369" t="str">
        <f ca="1">IF($A217="*","",OFFSET(COM_2012!$B$60,AW217,0))</f>
        <v/>
      </c>
      <c r="D217" s="369" t="str">
        <f t="shared" ca="1" si="21"/>
        <v/>
      </c>
      <c r="E217" s="369" t="str">
        <f t="shared" ca="1" si="21"/>
        <v/>
      </c>
      <c r="F217" s="369" t="str">
        <f t="shared" ca="1" si="21"/>
        <v/>
      </c>
      <c r="G217" s="369" t="str">
        <f t="shared" ca="1" si="21"/>
        <v/>
      </c>
      <c r="H217" s="369" t="str">
        <f t="shared" ca="1" si="21"/>
        <v/>
      </c>
      <c r="I217" s="370" t="str">
        <f t="shared" ca="1" si="21"/>
        <v/>
      </c>
      <c r="J217" s="391" t="str">
        <f ca="1">IF($A217="*","",OFFSET(COM_2012!$B$60,AW217,SUMIF($B$10:$B$16,B217,$AX$10:$AX$16)))</f>
        <v/>
      </c>
      <c r="K217" s="369" t="str">
        <f ca="1">IF($B217&lt;&gt;"PRC_RESID","",IF(K$7=2005+OFFSET(COM_2012!$B$60,$AW217,SUMIF($B$10:$B$16,"NCAP_TLIFE",$AX$10:$AX$16)),0,""))</f>
        <v/>
      </c>
      <c r="L217" s="369" t="str">
        <f ca="1">IF($B217&lt;&gt;"PRC_RESID","",IF(L$7=2005+OFFSET(COM_2012!$B$60,$AW217,SUMIF($B$10:$B$16,"NCAP_TLIFE",$AX$10:$AX$16)),0,""))</f>
        <v/>
      </c>
      <c r="M217" s="369" t="str">
        <f ca="1">IF($B217&lt;&gt;"PRC_RESID","",IF(M$7=2005+OFFSET(COM_2012!$B$60,$AW217,SUMIF($B$10:$B$16,"NCAP_TLIFE",$AX$10:$AX$16)),0,""))</f>
        <v/>
      </c>
      <c r="N217" s="369" t="str">
        <f ca="1">IF($B217&lt;&gt;"PRC_RESID","",IF(N$7=2005+OFFSET(COM_2012!$B$60,$AW217,SUMIF($B$10:$B$16,"NCAP_TLIFE",$AX$10:$AX$16)),0,""))</f>
        <v/>
      </c>
      <c r="O217" s="658" t="str">
        <f ca="1">IF($B217&lt;&gt;"PRC_RESID","",IF(O$7=2005+OFFSET(COM_2012!$B$60,$AW217,SUMIF($B$10:$B$16,"NCAP_TLIFE",$AX$10:$AX$16)),0,""))</f>
        <v/>
      </c>
      <c r="P217" s="369" t="str">
        <f ca="1">IF($B217&lt;&gt;"PRC_RESID","",IF(P$7=2005+OFFSET(COM_2012!$B$60,$AW217,SUMIF($B$10:$B$16,"NCAP_TLIFE",$AX$10:$AX$16)),0,""))</f>
        <v/>
      </c>
      <c r="Q217" s="369" t="str">
        <f ca="1">IF($B217&lt;&gt;"PRC_RESID","",IF(Q$7=2005+OFFSET(COM_2012!$B$60,$AW217,SUMIF($B$10:$B$16,"NCAP_TLIFE",$AX$10:$AX$16)),0,""))</f>
        <v/>
      </c>
      <c r="R217" s="369" t="str">
        <f ca="1">IF($B217&lt;&gt;"PRC_RESID","",IF(R$7=2005+OFFSET(COM_2012!$B$60,$AW217,SUMIF($B$10:$B$16,"NCAP_TLIFE",$AX$10:$AX$16)),0,""))</f>
        <v/>
      </c>
      <c r="S217" s="369" t="str">
        <f ca="1">IF($B217&lt;&gt;"PRC_RESID","",IF(S$7=2005+OFFSET(COM_2012!$B$60,$AW217,SUMIF($B$10:$B$16,"NCAP_TLIFE",$AX$10:$AX$16)),0,""))</f>
        <v/>
      </c>
      <c r="T217" s="369" t="str">
        <f ca="1">IF($B217&lt;&gt;"PRC_RESID","",IF(T$7=2005+OFFSET(COM_2012!$B$60,$AW217,SUMIF($B$10:$B$16,"NCAP_TLIFE",$AX$10:$AX$16)),0,""))</f>
        <v/>
      </c>
      <c r="U217" s="369" t="str">
        <f ca="1">IF($B217&lt;&gt;"PRC_RESID","",IF(U$7=2005+OFFSET(COM_2012!$B$60,$AW217,SUMIF($B$10:$B$16,"NCAP_TLIFE",$AX$10:$AX$16)),0,""))</f>
        <v/>
      </c>
      <c r="V217" s="369" t="str">
        <f ca="1">IF($B217&lt;&gt;"PRC_RESID","",IF(V$7=2005+OFFSET(COM_2012!$B$60,$AW217,SUMIF($B$10:$B$16,"NCAP_TLIFE",$AX$10:$AX$16)),0,""))</f>
        <v/>
      </c>
      <c r="W217" s="369" t="str">
        <f ca="1">IF($B217&lt;&gt;"PRC_RESID","",IF(W$7=2005+OFFSET(COM_2012!$B$60,$AW217,SUMIF($B$10:$B$16,"NCAP_TLIFE",$AX$10:$AX$16)),0,""))</f>
        <v/>
      </c>
      <c r="X217" s="369" t="str">
        <f ca="1">IF($B217&lt;&gt;"PRC_RESID","",IF(X$7=2005+OFFSET(COM_2012!$B$60,$AW217,SUMIF($B$10:$B$16,"NCAP_TLIFE",$AX$10:$AX$16)),0,""))</f>
        <v/>
      </c>
      <c r="Y217" s="369" t="str">
        <f ca="1">IF($B217&lt;&gt;"PRC_RESID","",IF(Y$7=2005+OFFSET(COM_2012!$B$60,$AW217,SUMIF($B$10:$B$16,"NCAP_TLIFE",$AX$10:$AX$16)),0,""))</f>
        <v/>
      </c>
      <c r="Z217" s="369" t="str">
        <f ca="1">IF($B217&lt;&gt;"PRC_RESID","",IF(Z$7=2005+OFFSET(COM_2012!$B$60,$AW217,SUMIF($B$10:$B$16,"NCAP_TLIFE",$AX$10:$AX$16)),0,""))</f>
        <v/>
      </c>
      <c r="AA217" s="369" t="str">
        <f ca="1">IF($B217&lt;&gt;"PRC_RESID","",IF(AA$7=2005+OFFSET(COM_2012!$B$60,$AW217,SUMIF($B$10:$B$16,"NCAP_TLIFE",$AX$10:$AX$16)),0,""))</f>
        <v/>
      </c>
      <c r="AB217" s="369" t="str">
        <f ca="1">IF($B217&lt;&gt;"PRC_RESID","",IF(AB$7=2005+OFFSET(COM_2012!$B$60,$AW217,SUMIF($B$10:$B$16,"NCAP_TLIFE",$AX$10:$AX$16)),0,""))</f>
        <v/>
      </c>
      <c r="AC217" s="369" t="str">
        <f ca="1">IF($B217&lt;&gt;"PRC_RESID","",IF(AC$7=2005+OFFSET(COM_2012!$B$60,$AW217,SUMIF($B$10:$B$16,"NCAP_TLIFE",$AX$10:$AX$16)),0,""))</f>
        <v/>
      </c>
      <c r="AD217" s="369" t="str">
        <f ca="1">IF($B217&lt;&gt;"PRC_RESID","",IF(AD$7=2005+OFFSET(COM_2012!$B$60,$AW217,SUMIF($B$10:$B$16,"NCAP_TLIFE",$AX$10:$AX$16)),0,""))</f>
        <v/>
      </c>
      <c r="AE217" s="369" t="str">
        <f ca="1">IF($B217&lt;&gt;"PRC_RESID","",IF(AE$7=2005+OFFSET(COM_2012!$B$60,$AW217,SUMIF($B$10:$B$16,"NCAP_TLIFE",$AX$10:$AX$16)),0,""))</f>
        <v/>
      </c>
      <c r="AF217" s="369" t="str">
        <f ca="1">IF($B217&lt;&gt;"PRC_RESID","",IF(AF$7=2005+OFFSET(COM_2012!$B$60,$AW217,SUMIF($B$10:$B$16,"NCAP_TLIFE",$AX$10:$AX$16)),0,""))</f>
        <v/>
      </c>
      <c r="AG217" s="369" t="str">
        <f ca="1">IF($B217&lt;&gt;"PRC_RESID","",IF(AG$7=2005+OFFSET(COM_2012!$B$60,$AW217,SUMIF($B$10:$B$16,"NCAP_TLIFE",$AX$10:$AX$16)),0,""))</f>
        <v/>
      </c>
      <c r="AH217" s="369" t="str">
        <f ca="1">IF($B217&lt;&gt;"PRC_RESID","",IF(AH$7=2005+OFFSET(COM_2012!$B$60,$AW217,SUMIF($B$10:$B$16,"NCAP_TLIFE",$AX$10:$AX$16)),0,""))</f>
        <v/>
      </c>
      <c r="AI217" s="369" t="str">
        <f ca="1">IF($B217&lt;&gt;"PRC_RESID","",IF(AI$7=2005+OFFSET(COM_2012!$B$60,$AW217,SUMIF($B$10:$B$16,"NCAP_TLIFE",$AX$10:$AX$16)),0,""))</f>
        <v/>
      </c>
      <c r="AJ217" s="369" t="str">
        <f ca="1">IF($B217&lt;&gt;"PRC_RESID","",IF(AJ$7=2005+OFFSET(COM_2012!$B$60,$AW217,SUMIF($B$10:$B$16,"NCAP_TLIFE",$AX$10:$AX$16)),0,""))</f>
        <v/>
      </c>
      <c r="AK217" s="369" t="str">
        <f ca="1">IF($B217&lt;&gt;"PRC_RESID","",IF(AK$7=2005+OFFSET(COM_2012!$B$60,$AW217,SUMIF($B$10:$B$16,"NCAP_TLIFE",$AX$10:$AX$16)),0,""))</f>
        <v/>
      </c>
      <c r="AL217" s="369" t="str">
        <f ca="1">IF($B217&lt;&gt;"PRC_RESID","",IF(AL$7=2005+OFFSET(COM_2012!$B$60,$AW217,SUMIF($B$10:$B$16,"NCAP_TLIFE",$AX$10:$AX$16)),0,""))</f>
        <v/>
      </c>
      <c r="AM217" s="369" t="str">
        <f ca="1">IF($B217&lt;&gt;"PRC_RESID","",IF(AM$7=2005+OFFSET(COM_2012!$B$60,$AW217,SUMIF($B$10:$B$16,"NCAP_TLIFE",$AX$10:$AX$16)),0,""))</f>
        <v/>
      </c>
      <c r="AN217" s="369" t="str">
        <f ca="1">IF($B217&lt;&gt;"PRC_RESID","",IF(AN$7=2005+OFFSET(COM_2012!$B$60,$AW217,SUMIF($B$10:$B$16,"NCAP_TLIFE",$AX$10:$AX$16)),0,""))</f>
        <v/>
      </c>
      <c r="AO217" s="369" t="str">
        <f ca="1">IF($B217&lt;&gt;"PRC_RESID","",IF(AO$7=2005+OFFSET(COM_2012!$B$60,$AW217,SUMIF($B$10:$B$16,"NCAP_TLIFE",$AX$10:$AX$16)),0,""))</f>
        <v/>
      </c>
      <c r="AP217" s="369" t="str">
        <f ca="1">IF($B217&lt;&gt;"PRC_RESID","",IF(AP$7=2005+OFFSET(COM_2012!$B$60,$AW217,SUMIF($B$10:$B$16,"NCAP_TLIFE",$AX$10:$AX$16)),0,""))</f>
        <v/>
      </c>
      <c r="AQ217" s="369" t="str">
        <f ca="1">IF($B217&lt;&gt;"PRC_RESID","",IF(AQ$7=2005+OFFSET(COM_2012!$B$60,$AW217,SUMIF($B$10:$B$16,"NCAP_TLIFE",$AX$10:$AX$16)),0,""))</f>
        <v/>
      </c>
      <c r="AR217" s="369" t="str">
        <f ca="1">IF($B217&lt;&gt;"PRC_RESID","",IF(AR$7=2005+OFFSET(COM_2012!$B$60,$AW217,SUMIF($B$10:$B$16,"NCAP_TLIFE",$AX$10:$AX$16)),0,""))</f>
        <v/>
      </c>
      <c r="AS217" s="369" t="str">
        <f ca="1">IF($B217&lt;&gt;"PRC_RESID","",IF(AS$7=2005+OFFSET(COM_2012!$B$60,$AW217,SUMIF($B$10:$B$16,"NCAP_TLIFE",$AX$10:$AX$16)),0,""))</f>
        <v/>
      </c>
      <c r="AT217" s="369" t="str">
        <f ca="1">IF($B217&lt;&gt;"PRC_RESID","",IF(AT$7=2005+OFFSET(COM_2012!$B$60,$AW217,SUMIF($B$10:$B$16,"NCAP_TLIFE",$AX$10:$AX$16)),0,""))</f>
        <v/>
      </c>
      <c r="AU217" s="369" t="str">
        <f ca="1">IF($B217&lt;&gt;"PRC_RESID","",IF(AU$7=2005+OFFSET(COM_2012!$B$60,$AW217,SUMIF($B$10:$B$16,"NCAP_TLIFE",$AX$10:$AX$16)),0,""))</f>
        <v/>
      </c>
      <c r="AV217" s="304">
        <f>IF(AW216=COM_2012!$AI$121,AV216+1,AV216)</f>
        <v>4</v>
      </c>
      <c r="AW217" s="304">
        <f t="shared" si="17"/>
        <v>7</v>
      </c>
    </row>
    <row r="218" spans="1:49">
      <c r="A218" s="304" t="str">
        <f ca="1">IF(LEFT(OFFSET(COM_2012!$A$60,AW218,0),2)="\I","*","")</f>
        <v>*</v>
      </c>
      <c r="B218" s="369" t="str">
        <f t="shared" ca="1" si="16"/>
        <v/>
      </c>
      <c r="C218" s="369" t="str">
        <f ca="1">IF($A218="*","",OFFSET(COM_2012!$B$60,AW218,0))</f>
        <v/>
      </c>
      <c r="D218" s="369" t="str">
        <f t="shared" ca="1" si="21"/>
        <v/>
      </c>
      <c r="E218" s="369" t="str">
        <f t="shared" ca="1" si="21"/>
        <v/>
      </c>
      <c r="F218" s="369" t="str">
        <f t="shared" ca="1" si="21"/>
        <v/>
      </c>
      <c r="G218" s="369" t="str">
        <f t="shared" ca="1" si="21"/>
        <v/>
      </c>
      <c r="H218" s="369" t="str">
        <f t="shared" ca="1" si="21"/>
        <v/>
      </c>
      <c r="I218" s="370" t="str">
        <f t="shared" ca="1" si="21"/>
        <v/>
      </c>
      <c r="J218" s="391" t="str">
        <f ca="1">IF($A218="*","",OFFSET(COM_2012!$B$60,AW218,SUMIF($B$10:$B$16,B218,$AX$10:$AX$16)))</f>
        <v/>
      </c>
      <c r="K218" s="369" t="str">
        <f ca="1">IF($B218&lt;&gt;"PRC_RESID","",IF(K$7=2005+OFFSET(COM_2012!$B$60,$AW218,SUMIF($B$10:$B$16,"NCAP_TLIFE",$AX$10:$AX$16)),0,""))</f>
        <v/>
      </c>
      <c r="L218" s="369" t="str">
        <f ca="1">IF($B218&lt;&gt;"PRC_RESID","",IF(L$7=2005+OFFSET(COM_2012!$B$60,$AW218,SUMIF($B$10:$B$16,"NCAP_TLIFE",$AX$10:$AX$16)),0,""))</f>
        <v/>
      </c>
      <c r="M218" s="369" t="str">
        <f ca="1">IF($B218&lt;&gt;"PRC_RESID","",IF(M$7=2005+OFFSET(COM_2012!$B$60,$AW218,SUMIF($B$10:$B$16,"NCAP_TLIFE",$AX$10:$AX$16)),0,""))</f>
        <v/>
      </c>
      <c r="N218" s="369" t="str">
        <f ca="1">IF($B218&lt;&gt;"PRC_RESID","",IF(N$7=2005+OFFSET(COM_2012!$B$60,$AW218,SUMIF($B$10:$B$16,"NCAP_TLIFE",$AX$10:$AX$16)),0,""))</f>
        <v/>
      </c>
      <c r="O218" s="658" t="str">
        <f ca="1">IF($B218&lt;&gt;"PRC_RESID","",IF(O$7=2005+OFFSET(COM_2012!$B$60,$AW218,SUMIF($B$10:$B$16,"NCAP_TLIFE",$AX$10:$AX$16)),0,""))</f>
        <v/>
      </c>
      <c r="P218" s="369" t="str">
        <f ca="1">IF($B218&lt;&gt;"PRC_RESID","",IF(P$7=2005+OFFSET(COM_2012!$B$60,$AW218,SUMIF($B$10:$B$16,"NCAP_TLIFE",$AX$10:$AX$16)),0,""))</f>
        <v/>
      </c>
      <c r="Q218" s="369" t="str">
        <f ca="1">IF($B218&lt;&gt;"PRC_RESID","",IF(Q$7=2005+OFFSET(COM_2012!$B$60,$AW218,SUMIF($B$10:$B$16,"NCAP_TLIFE",$AX$10:$AX$16)),0,""))</f>
        <v/>
      </c>
      <c r="R218" s="369" t="str">
        <f ca="1">IF($B218&lt;&gt;"PRC_RESID","",IF(R$7=2005+OFFSET(COM_2012!$B$60,$AW218,SUMIF($B$10:$B$16,"NCAP_TLIFE",$AX$10:$AX$16)),0,""))</f>
        <v/>
      </c>
      <c r="S218" s="369" t="str">
        <f ca="1">IF($B218&lt;&gt;"PRC_RESID","",IF(S$7=2005+OFFSET(COM_2012!$B$60,$AW218,SUMIF($B$10:$B$16,"NCAP_TLIFE",$AX$10:$AX$16)),0,""))</f>
        <v/>
      </c>
      <c r="T218" s="369" t="str">
        <f ca="1">IF($B218&lt;&gt;"PRC_RESID","",IF(T$7=2005+OFFSET(COM_2012!$B$60,$AW218,SUMIF($B$10:$B$16,"NCAP_TLIFE",$AX$10:$AX$16)),0,""))</f>
        <v/>
      </c>
      <c r="U218" s="369" t="str">
        <f ca="1">IF($B218&lt;&gt;"PRC_RESID","",IF(U$7=2005+OFFSET(COM_2012!$B$60,$AW218,SUMIF($B$10:$B$16,"NCAP_TLIFE",$AX$10:$AX$16)),0,""))</f>
        <v/>
      </c>
      <c r="V218" s="369" t="str">
        <f ca="1">IF($B218&lt;&gt;"PRC_RESID","",IF(V$7=2005+OFFSET(COM_2012!$B$60,$AW218,SUMIF($B$10:$B$16,"NCAP_TLIFE",$AX$10:$AX$16)),0,""))</f>
        <v/>
      </c>
      <c r="W218" s="369" t="str">
        <f ca="1">IF($B218&lt;&gt;"PRC_RESID","",IF(W$7=2005+OFFSET(COM_2012!$B$60,$AW218,SUMIF($B$10:$B$16,"NCAP_TLIFE",$AX$10:$AX$16)),0,""))</f>
        <v/>
      </c>
      <c r="X218" s="369" t="str">
        <f ca="1">IF($B218&lt;&gt;"PRC_RESID","",IF(X$7=2005+OFFSET(COM_2012!$B$60,$AW218,SUMIF($B$10:$B$16,"NCAP_TLIFE",$AX$10:$AX$16)),0,""))</f>
        <v/>
      </c>
      <c r="Y218" s="369" t="str">
        <f ca="1">IF($B218&lt;&gt;"PRC_RESID","",IF(Y$7=2005+OFFSET(COM_2012!$B$60,$AW218,SUMIF($B$10:$B$16,"NCAP_TLIFE",$AX$10:$AX$16)),0,""))</f>
        <v/>
      </c>
      <c r="Z218" s="369" t="str">
        <f ca="1">IF($B218&lt;&gt;"PRC_RESID","",IF(Z$7=2005+OFFSET(COM_2012!$B$60,$AW218,SUMIF($B$10:$B$16,"NCAP_TLIFE",$AX$10:$AX$16)),0,""))</f>
        <v/>
      </c>
      <c r="AA218" s="369" t="str">
        <f ca="1">IF($B218&lt;&gt;"PRC_RESID","",IF(AA$7=2005+OFFSET(COM_2012!$B$60,$AW218,SUMIF($B$10:$B$16,"NCAP_TLIFE",$AX$10:$AX$16)),0,""))</f>
        <v/>
      </c>
      <c r="AB218" s="369" t="str">
        <f ca="1">IF($B218&lt;&gt;"PRC_RESID","",IF(AB$7=2005+OFFSET(COM_2012!$B$60,$AW218,SUMIF($B$10:$B$16,"NCAP_TLIFE",$AX$10:$AX$16)),0,""))</f>
        <v/>
      </c>
      <c r="AC218" s="369" t="str">
        <f ca="1">IF($B218&lt;&gt;"PRC_RESID","",IF(AC$7=2005+OFFSET(COM_2012!$B$60,$AW218,SUMIF($B$10:$B$16,"NCAP_TLIFE",$AX$10:$AX$16)),0,""))</f>
        <v/>
      </c>
      <c r="AD218" s="369" t="str">
        <f ca="1">IF($B218&lt;&gt;"PRC_RESID","",IF(AD$7=2005+OFFSET(COM_2012!$B$60,$AW218,SUMIF($B$10:$B$16,"NCAP_TLIFE",$AX$10:$AX$16)),0,""))</f>
        <v/>
      </c>
      <c r="AE218" s="369" t="str">
        <f ca="1">IF($B218&lt;&gt;"PRC_RESID","",IF(AE$7=2005+OFFSET(COM_2012!$B$60,$AW218,SUMIF($B$10:$B$16,"NCAP_TLIFE",$AX$10:$AX$16)),0,""))</f>
        <v/>
      </c>
      <c r="AF218" s="369" t="str">
        <f ca="1">IF($B218&lt;&gt;"PRC_RESID","",IF(AF$7=2005+OFFSET(COM_2012!$B$60,$AW218,SUMIF($B$10:$B$16,"NCAP_TLIFE",$AX$10:$AX$16)),0,""))</f>
        <v/>
      </c>
      <c r="AG218" s="369" t="str">
        <f ca="1">IF($B218&lt;&gt;"PRC_RESID","",IF(AG$7=2005+OFFSET(COM_2012!$B$60,$AW218,SUMIF($B$10:$B$16,"NCAP_TLIFE",$AX$10:$AX$16)),0,""))</f>
        <v/>
      </c>
      <c r="AH218" s="369" t="str">
        <f ca="1">IF($B218&lt;&gt;"PRC_RESID","",IF(AH$7=2005+OFFSET(COM_2012!$B$60,$AW218,SUMIF($B$10:$B$16,"NCAP_TLIFE",$AX$10:$AX$16)),0,""))</f>
        <v/>
      </c>
      <c r="AI218" s="369" t="str">
        <f ca="1">IF($B218&lt;&gt;"PRC_RESID","",IF(AI$7=2005+OFFSET(COM_2012!$B$60,$AW218,SUMIF($B$10:$B$16,"NCAP_TLIFE",$AX$10:$AX$16)),0,""))</f>
        <v/>
      </c>
      <c r="AJ218" s="369" t="str">
        <f ca="1">IF($B218&lt;&gt;"PRC_RESID","",IF(AJ$7=2005+OFFSET(COM_2012!$B$60,$AW218,SUMIF($B$10:$B$16,"NCAP_TLIFE",$AX$10:$AX$16)),0,""))</f>
        <v/>
      </c>
      <c r="AK218" s="369" t="str">
        <f ca="1">IF($B218&lt;&gt;"PRC_RESID","",IF(AK$7=2005+OFFSET(COM_2012!$B$60,$AW218,SUMIF($B$10:$B$16,"NCAP_TLIFE",$AX$10:$AX$16)),0,""))</f>
        <v/>
      </c>
      <c r="AL218" s="369" t="str">
        <f ca="1">IF($B218&lt;&gt;"PRC_RESID","",IF(AL$7=2005+OFFSET(COM_2012!$B$60,$AW218,SUMIF($B$10:$B$16,"NCAP_TLIFE",$AX$10:$AX$16)),0,""))</f>
        <v/>
      </c>
      <c r="AM218" s="369" t="str">
        <f ca="1">IF($B218&lt;&gt;"PRC_RESID","",IF(AM$7=2005+OFFSET(COM_2012!$B$60,$AW218,SUMIF($B$10:$B$16,"NCAP_TLIFE",$AX$10:$AX$16)),0,""))</f>
        <v/>
      </c>
      <c r="AN218" s="369" t="str">
        <f ca="1">IF($B218&lt;&gt;"PRC_RESID","",IF(AN$7=2005+OFFSET(COM_2012!$B$60,$AW218,SUMIF($B$10:$B$16,"NCAP_TLIFE",$AX$10:$AX$16)),0,""))</f>
        <v/>
      </c>
      <c r="AO218" s="369" t="str">
        <f ca="1">IF($B218&lt;&gt;"PRC_RESID","",IF(AO$7=2005+OFFSET(COM_2012!$B$60,$AW218,SUMIF($B$10:$B$16,"NCAP_TLIFE",$AX$10:$AX$16)),0,""))</f>
        <v/>
      </c>
      <c r="AP218" s="369" t="str">
        <f ca="1">IF($B218&lt;&gt;"PRC_RESID","",IF(AP$7=2005+OFFSET(COM_2012!$B$60,$AW218,SUMIF($B$10:$B$16,"NCAP_TLIFE",$AX$10:$AX$16)),0,""))</f>
        <v/>
      </c>
      <c r="AQ218" s="369" t="str">
        <f ca="1">IF($B218&lt;&gt;"PRC_RESID","",IF(AQ$7=2005+OFFSET(COM_2012!$B$60,$AW218,SUMIF($B$10:$B$16,"NCAP_TLIFE",$AX$10:$AX$16)),0,""))</f>
        <v/>
      </c>
      <c r="AR218" s="369" t="str">
        <f ca="1">IF($B218&lt;&gt;"PRC_RESID","",IF(AR$7=2005+OFFSET(COM_2012!$B$60,$AW218,SUMIF($B$10:$B$16,"NCAP_TLIFE",$AX$10:$AX$16)),0,""))</f>
        <v/>
      </c>
      <c r="AS218" s="369" t="str">
        <f ca="1">IF($B218&lt;&gt;"PRC_RESID","",IF(AS$7=2005+OFFSET(COM_2012!$B$60,$AW218,SUMIF($B$10:$B$16,"NCAP_TLIFE",$AX$10:$AX$16)),0,""))</f>
        <v/>
      </c>
      <c r="AT218" s="369" t="str">
        <f ca="1">IF($B218&lt;&gt;"PRC_RESID","",IF(AT$7=2005+OFFSET(COM_2012!$B$60,$AW218,SUMIF($B$10:$B$16,"NCAP_TLIFE",$AX$10:$AX$16)),0,""))</f>
        <v/>
      </c>
      <c r="AU218" s="369" t="str">
        <f ca="1">IF($B218&lt;&gt;"PRC_RESID","",IF(AU$7=2005+OFFSET(COM_2012!$B$60,$AW218,SUMIF($B$10:$B$16,"NCAP_TLIFE",$AX$10:$AX$16)),0,""))</f>
        <v/>
      </c>
      <c r="AV218" s="304">
        <f>IF(AW217=COM_2012!$AI$121,AV217+1,AV217)</f>
        <v>4</v>
      </c>
      <c r="AW218" s="304">
        <f t="shared" si="17"/>
        <v>8</v>
      </c>
    </row>
    <row r="219" spans="1:49">
      <c r="A219" s="304" t="str">
        <f ca="1">IF(LEFT(OFFSET(COM_2012!$A$60,AW219,0),2)="\I","*","")</f>
        <v/>
      </c>
      <c r="B219" s="369" t="str">
        <f t="shared" ca="1" si="16"/>
        <v>NCAP_COST</v>
      </c>
      <c r="C219" s="369" t="str">
        <f ca="1">IF($A219="*","",OFFSET(COM_2012!$B$60,AW219,0))</f>
        <v>CEHCOA-E</v>
      </c>
      <c r="D219" s="369" t="str">
        <f t="shared" ca="1" si="21"/>
        <v>-</v>
      </c>
      <c r="E219" s="369" t="str">
        <f t="shared" ca="1" si="21"/>
        <v>-</v>
      </c>
      <c r="F219" s="369" t="str">
        <f t="shared" ca="1" si="21"/>
        <v>-</v>
      </c>
      <c r="G219" s="369" t="str">
        <f t="shared" ca="1" si="21"/>
        <v>-</v>
      </c>
      <c r="H219" s="369" t="str">
        <f t="shared" ca="1" si="21"/>
        <v>-</v>
      </c>
      <c r="I219" s="370">
        <f t="shared" ca="1" si="21"/>
        <v>0</v>
      </c>
      <c r="J219" s="391">
        <f ca="1">IF($A219="*","",OFFSET(COM_2012!$B$60,AW219,SUMIF($B$10:$B$16,B219,$AX$10:$AX$16)))</f>
        <v>179.45037756394217</v>
      </c>
      <c r="K219" s="369" t="str">
        <f ca="1">IF($B219&lt;&gt;"PRC_RESID","",IF(K$7=2005+OFFSET(COM_2012!$B$60,$AW219,SUMIF($B$10:$B$16,"NCAP_TLIFE",$AX$10:$AX$16)),0,""))</f>
        <v/>
      </c>
      <c r="L219" s="369" t="str">
        <f ca="1">IF($B219&lt;&gt;"PRC_RESID","",IF(L$7=2005+OFFSET(COM_2012!$B$60,$AW219,SUMIF($B$10:$B$16,"NCAP_TLIFE",$AX$10:$AX$16)),0,""))</f>
        <v/>
      </c>
      <c r="M219" s="369" t="str">
        <f ca="1">IF($B219&lt;&gt;"PRC_RESID","",IF(M$7=2005+OFFSET(COM_2012!$B$60,$AW219,SUMIF($B$10:$B$16,"NCAP_TLIFE",$AX$10:$AX$16)),0,""))</f>
        <v/>
      </c>
      <c r="N219" s="369" t="str">
        <f ca="1">IF($B219&lt;&gt;"PRC_RESID","",IF(N$7=2005+OFFSET(COM_2012!$B$60,$AW219,SUMIF($B$10:$B$16,"NCAP_TLIFE",$AX$10:$AX$16)),0,""))</f>
        <v/>
      </c>
      <c r="O219" s="658" t="str">
        <f ca="1">IF($B219&lt;&gt;"PRC_RESID","",IF(O$7=2005+OFFSET(COM_2012!$B$60,$AW219,SUMIF($B$10:$B$16,"NCAP_TLIFE",$AX$10:$AX$16)),0,""))</f>
        <v/>
      </c>
      <c r="P219" s="369" t="str">
        <f ca="1">IF($B219&lt;&gt;"PRC_RESID","",IF(P$7=2005+OFFSET(COM_2012!$B$60,$AW219,SUMIF($B$10:$B$16,"NCAP_TLIFE",$AX$10:$AX$16)),0,""))</f>
        <v/>
      </c>
      <c r="Q219" s="369" t="str">
        <f ca="1">IF($B219&lt;&gt;"PRC_RESID","",IF(Q$7=2005+OFFSET(COM_2012!$B$60,$AW219,SUMIF($B$10:$B$16,"NCAP_TLIFE",$AX$10:$AX$16)),0,""))</f>
        <v/>
      </c>
      <c r="R219" s="369" t="str">
        <f ca="1">IF($B219&lt;&gt;"PRC_RESID","",IF(R$7=2005+OFFSET(COM_2012!$B$60,$AW219,SUMIF($B$10:$B$16,"NCAP_TLIFE",$AX$10:$AX$16)),0,""))</f>
        <v/>
      </c>
      <c r="S219" s="369" t="str">
        <f ca="1">IF($B219&lt;&gt;"PRC_RESID","",IF(S$7=2005+OFFSET(COM_2012!$B$60,$AW219,SUMIF($B$10:$B$16,"NCAP_TLIFE",$AX$10:$AX$16)),0,""))</f>
        <v/>
      </c>
      <c r="T219" s="369" t="str">
        <f ca="1">IF($B219&lt;&gt;"PRC_RESID","",IF(T$7=2005+OFFSET(COM_2012!$B$60,$AW219,SUMIF($B$10:$B$16,"NCAP_TLIFE",$AX$10:$AX$16)),0,""))</f>
        <v/>
      </c>
      <c r="U219" s="369" t="str">
        <f ca="1">IF($B219&lt;&gt;"PRC_RESID","",IF(U$7=2005+OFFSET(COM_2012!$B$60,$AW219,SUMIF($B$10:$B$16,"NCAP_TLIFE",$AX$10:$AX$16)),0,""))</f>
        <v/>
      </c>
      <c r="V219" s="369" t="str">
        <f ca="1">IF($B219&lt;&gt;"PRC_RESID","",IF(V$7=2005+OFFSET(COM_2012!$B$60,$AW219,SUMIF($B$10:$B$16,"NCAP_TLIFE",$AX$10:$AX$16)),0,""))</f>
        <v/>
      </c>
      <c r="W219" s="369" t="str">
        <f ca="1">IF($B219&lt;&gt;"PRC_RESID","",IF(W$7=2005+OFFSET(COM_2012!$B$60,$AW219,SUMIF($B$10:$B$16,"NCAP_TLIFE",$AX$10:$AX$16)),0,""))</f>
        <v/>
      </c>
      <c r="X219" s="369" t="str">
        <f ca="1">IF($B219&lt;&gt;"PRC_RESID","",IF(X$7=2005+OFFSET(COM_2012!$B$60,$AW219,SUMIF($B$10:$B$16,"NCAP_TLIFE",$AX$10:$AX$16)),0,""))</f>
        <v/>
      </c>
      <c r="Y219" s="369" t="str">
        <f ca="1">IF($B219&lt;&gt;"PRC_RESID","",IF(Y$7=2005+OFFSET(COM_2012!$B$60,$AW219,SUMIF($B$10:$B$16,"NCAP_TLIFE",$AX$10:$AX$16)),0,""))</f>
        <v/>
      </c>
      <c r="Z219" s="369" t="str">
        <f ca="1">IF($B219&lt;&gt;"PRC_RESID","",IF(Z$7=2005+OFFSET(COM_2012!$B$60,$AW219,SUMIF($B$10:$B$16,"NCAP_TLIFE",$AX$10:$AX$16)),0,""))</f>
        <v/>
      </c>
      <c r="AA219" s="369" t="str">
        <f ca="1">IF($B219&lt;&gt;"PRC_RESID","",IF(AA$7=2005+OFFSET(COM_2012!$B$60,$AW219,SUMIF($B$10:$B$16,"NCAP_TLIFE",$AX$10:$AX$16)),0,""))</f>
        <v/>
      </c>
      <c r="AB219" s="369" t="str">
        <f ca="1">IF($B219&lt;&gt;"PRC_RESID","",IF(AB$7=2005+OFFSET(COM_2012!$B$60,$AW219,SUMIF($B$10:$B$16,"NCAP_TLIFE",$AX$10:$AX$16)),0,""))</f>
        <v/>
      </c>
      <c r="AC219" s="369" t="str">
        <f ca="1">IF($B219&lt;&gt;"PRC_RESID","",IF(AC$7=2005+OFFSET(COM_2012!$B$60,$AW219,SUMIF($B$10:$B$16,"NCAP_TLIFE",$AX$10:$AX$16)),0,""))</f>
        <v/>
      </c>
      <c r="AD219" s="369" t="str">
        <f ca="1">IF($B219&lt;&gt;"PRC_RESID","",IF(AD$7=2005+OFFSET(COM_2012!$B$60,$AW219,SUMIF($B$10:$B$16,"NCAP_TLIFE",$AX$10:$AX$16)),0,""))</f>
        <v/>
      </c>
      <c r="AE219" s="369" t="str">
        <f ca="1">IF($B219&lt;&gt;"PRC_RESID","",IF(AE$7=2005+OFFSET(COM_2012!$B$60,$AW219,SUMIF($B$10:$B$16,"NCAP_TLIFE",$AX$10:$AX$16)),0,""))</f>
        <v/>
      </c>
      <c r="AF219" s="369" t="str">
        <f ca="1">IF($B219&lt;&gt;"PRC_RESID","",IF(AF$7=2005+OFFSET(COM_2012!$B$60,$AW219,SUMIF($B$10:$B$16,"NCAP_TLIFE",$AX$10:$AX$16)),0,""))</f>
        <v/>
      </c>
      <c r="AG219" s="369" t="str">
        <f ca="1">IF($B219&lt;&gt;"PRC_RESID","",IF(AG$7=2005+OFFSET(COM_2012!$B$60,$AW219,SUMIF($B$10:$B$16,"NCAP_TLIFE",$AX$10:$AX$16)),0,""))</f>
        <v/>
      </c>
      <c r="AH219" s="369" t="str">
        <f ca="1">IF($B219&lt;&gt;"PRC_RESID","",IF(AH$7=2005+OFFSET(COM_2012!$B$60,$AW219,SUMIF($B$10:$B$16,"NCAP_TLIFE",$AX$10:$AX$16)),0,""))</f>
        <v/>
      </c>
      <c r="AI219" s="369" t="str">
        <f ca="1">IF($B219&lt;&gt;"PRC_RESID","",IF(AI$7=2005+OFFSET(COM_2012!$B$60,$AW219,SUMIF($B$10:$B$16,"NCAP_TLIFE",$AX$10:$AX$16)),0,""))</f>
        <v/>
      </c>
      <c r="AJ219" s="369" t="str">
        <f ca="1">IF($B219&lt;&gt;"PRC_RESID","",IF(AJ$7=2005+OFFSET(COM_2012!$B$60,$AW219,SUMIF($B$10:$B$16,"NCAP_TLIFE",$AX$10:$AX$16)),0,""))</f>
        <v/>
      </c>
      <c r="AK219" s="369" t="str">
        <f ca="1">IF($B219&lt;&gt;"PRC_RESID","",IF(AK$7=2005+OFFSET(COM_2012!$B$60,$AW219,SUMIF($B$10:$B$16,"NCAP_TLIFE",$AX$10:$AX$16)),0,""))</f>
        <v/>
      </c>
      <c r="AL219" s="369" t="str">
        <f ca="1">IF($B219&lt;&gt;"PRC_RESID","",IF(AL$7=2005+OFFSET(COM_2012!$B$60,$AW219,SUMIF($B$10:$B$16,"NCAP_TLIFE",$AX$10:$AX$16)),0,""))</f>
        <v/>
      </c>
      <c r="AM219" s="369" t="str">
        <f ca="1">IF($B219&lt;&gt;"PRC_RESID","",IF(AM$7=2005+OFFSET(COM_2012!$B$60,$AW219,SUMIF($B$10:$B$16,"NCAP_TLIFE",$AX$10:$AX$16)),0,""))</f>
        <v/>
      </c>
      <c r="AN219" s="369" t="str">
        <f ca="1">IF($B219&lt;&gt;"PRC_RESID","",IF(AN$7=2005+OFFSET(COM_2012!$B$60,$AW219,SUMIF($B$10:$B$16,"NCAP_TLIFE",$AX$10:$AX$16)),0,""))</f>
        <v/>
      </c>
      <c r="AO219" s="369" t="str">
        <f ca="1">IF($B219&lt;&gt;"PRC_RESID","",IF(AO$7=2005+OFFSET(COM_2012!$B$60,$AW219,SUMIF($B$10:$B$16,"NCAP_TLIFE",$AX$10:$AX$16)),0,""))</f>
        <v/>
      </c>
      <c r="AP219" s="369" t="str">
        <f ca="1">IF($B219&lt;&gt;"PRC_RESID","",IF(AP$7=2005+OFFSET(COM_2012!$B$60,$AW219,SUMIF($B$10:$B$16,"NCAP_TLIFE",$AX$10:$AX$16)),0,""))</f>
        <v/>
      </c>
      <c r="AQ219" s="369" t="str">
        <f ca="1">IF($B219&lt;&gt;"PRC_RESID","",IF(AQ$7=2005+OFFSET(COM_2012!$B$60,$AW219,SUMIF($B$10:$B$16,"NCAP_TLIFE",$AX$10:$AX$16)),0,""))</f>
        <v/>
      </c>
      <c r="AR219" s="369" t="str">
        <f ca="1">IF($B219&lt;&gt;"PRC_RESID","",IF(AR$7=2005+OFFSET(COM_2012!$B$60,$AW219,SUMIF($B$10:$B$16,"NCAP_TLIFE",$AX$10:$AX$16)),0,""))</f>
        <v/>
      </c>
      <c r="AS219" s="369" t="str">
        <f ca="1">IF($B219&lt;&gt;"PRC_RESID","",IF(AS$7=2005+OFFSET(COM_2012!$B$60,$AW219,SUMIF($B$10:$B$16,"NCAP_TLIFE",$AX$10:$AX$16)),0,""))</f>
        <v/>
      </c>
      <c r="AT219" s="369" t="str">
        <f ca="1">IF($B219&lt;&gt;"PRC_RESID","",IF(AT$7=2005+OFFSET(COM_2012!$B$60,$AW219,SUMIF($B$10:$B$16,"NCAP_TLIFE",$AX$10:$AX$16)),0,""))</f>
        <v/>
      </c>
      <c r="AU219" s="369" t="str">
        <f ca="1">IF($B219&lt;&gt;"PRC_RESID","",IF(AU$7=2005+OFFSET(COM_2012!$B$60,$AW219,SUMIF($B$10:$B$16,"NCAP_TLIFE",$AX$10:$AX$16)),0,""))</f>
        <v/>
      </c>
      <c r="AV219" s="304">
        <f>IF(AW218=COM_2012!$AI$121,AV218+1,AV218)</f>
        <v>4</v>
      </c>
      <c r="AW219" s="304">
        <f t="shared" si="17"/>
        <v>9</v>
      </c>
    </row>
    <row r="220" spans="1:49">
      <c r="A220" s="304" t="str">
        <f ca="1">IF(LEFT(OFFSET(COM_2012!$A$60,AW220,0),2)="\I","*","")</f>
        <v/>
      </c>
      <c r="B220" s="369" t="str">
        <f t="shared" ref="B220:B283" ca="1" si="22">IF(A220="*","",VLOOKUP("*"&amp;AV220,$A$9:$B$16,2,FALSE))</f>
        <v>NCAP_COST</v>
      </c>
      <c r="C220" s="369" t="str">
        <f ca="1">IF($A220="*","",OFFSET(COM_2012!$B$60,AW220,0))</f>
        <v>CEHELC-E</v>
      </c>
      <c r="D220" s="369" t="str">
        <f t="shared" ca="1" si="21"/>
        <v>-</v>
      </c>
      <c r="E220" s="369" t="str">
        <f t="shared" ca="1" si="21"/>
        <v>-</v>
      </c>
      <c r="F220" s="369" t="str">
        <f t="shared" ca="1" si="21"/>
        <v>-</v>
      </c>
      <c r="G220" s="369" t="str">
        <f t="shared" ca="1" si="21"/>
        <v>-</v>
      </c>
      <c r="H220" s="369" t="str">
        <f t="shared" ca="1" si="21"/>
        <v>-</v>
      </c>
      <c r="I220" s="370">
        <f t="shared" ca="1" si="21"/>
        <v>0</v>
      </c>
      <c r="J220" s="391">
        <f ca="1">IF($A220="*","",OFFSET(COM_2012!$B$60,AW220,SUMIF($B$10:$B$16,B220,$AX$10:$AX$16)))</f>
        <v>31.420618543499238</v>
      </c>
      <c r="K220" s="369" t="str">
        <f ca="1">IF($B220&lt;&gt;"PRC_RESID","",IF(K$7=2005+OFFSET(COM_2012!$B$60,$AW220,SUMIF($B$10:$B$16,"NCAP_TLIFE",$AX$10:$AX$16)),0,""))</f>
        <v/>
      </c>
      <c r="L220" s="369" t="str">
        <f ca="1">IF($B220&lt;&gt;"PRC_RESID","",IF(L$7=2005+OFFSET(COM_2012!$B$60,$AW220,SUMIF($B$10:$B$16,"NCAP_TLIFE",$AX$10:$AX$16)),0,""))</f>
        <v/>
      </c>
      <c r="M220" s="369" t="str">
        <f ca="1">IF($B220&lt;&gt;"PRC_RESID","",IF(M$7=2005+OFFSET(COM_2012!$B$60,$AW220,SUMIF($B$10:$B$16,"NCAP_TLIFE",$AX$10:$AX$16)),0,""))</f>
        <v/>
      </c>
      <c r="N220" s="369" t="str">
        <f ca="1">IF($B220&lt;&gt;"PRC_RESID","",IF(N$7=2005+OFFSET(COM_2012!$B$60,$AW220,SUMIF($B$10:$B$16,"NCAP_TLIFE",$AX$10:$AX$16)),0,""))</f>
        <v/>
      </c>
      <c r="O220" s="658" t="str">
        <f ca="1">IF($B220&lt;&gt;"PRC_RESID","",IF(O$7=2005+OFFSET(COM_2012!$B$60,$AW220,SUMIF($B$10:$B$16,"NCAP_TLIFE",$AX$10:$AX$16)),0,""))</f>
        <v/>
      </c>
      <c r="P220" s="369" t="str">
        <f ca="1">IF($B220&lt;&gt;"PRC_RESID","",IF(P$7=2005+OFFSET(COM_2012!$B$60,$AW220,SUMIF($B$10:$B$16,"NCAP_TLIFE",$AX$10:$AX$16)),0,""))</f>
        <v/>
      </c>
      <c r="Q220" s="369" t="str">
        <f ca="1">IF($B220&lt;&gt;"PRC_RESID","",IF(Q$7=2005+OFFSET(COM_2012!$B$60,$AW220,SUMIF($B$10:$B$16,"NCAP_TLIFE",$AX$10:$AX$16)),0,""))</f>
        <v/>
      </c>
      <c r="R220" s="369" t="str">
        <f ca="1">IF($B220&lt;&gt;"PRC_RESID","",IF(R$7=2005+OFFSET(COM_2012!$B$60,$AW220,SUMIF($B$10:$B$16,"NCAP_TLIFE",$AX$10:$AX$16)),0,""))</f>
        <v/>
      </c>
      <c r="S220" s="369" t="str">
        <f ca="1">IF($B220&lt;&gt;"PRC_RESID","",IF(S$7=2005+OFFSET(COM_2012!$B$60,$AW220,SUMIF($B$10:$B$16,"NCAP_TLIFE",$AX$10:$AX$16)),0,""))</f>
        <v/>
      </c>
      <c r="T220" s="369" t="str">
        <f ca="1">IF($B220&lt;&gt;"PRC_RESID","",IF(T$7=2005+OFFSET(COM_2012!$B$60,$AW220,SUMIF($B$10:$B$16,"NCAP_TLIFE",$AX$10:$AX$16)),0,""))</f>
        <v/>
      </c>
      <c r="U220" s="369" t="str">
        <f ca="1">IF($B220&lt;&gt;"PRC_RESID","",IF(U$7=2005+OFFSET(COM_2012!$B$60,$AW220,SUMIF($B$10:$B$16,"NCAP_TLIFE",$AX$10:$AX$16)),0,""))</f>
        <v/>
      </c>
      <c r="V220" s="369" t="str">
        <f ca="1">IF($B220&lt;&gt;"PRC_RESID","",IF(V$7=2005+OFFSET(COM_2012!$B$60,$AW220,SUMIF($B$10:$B$16,"NCAP_TLIFE",$AX$10:$AX$16)),0,""))</f>
        <v/>
      </c>
      <c r="W220" s="369" t="str">
        <f ca="1">IF($B220&lt;&gt;"PRC_RESID","",IF(W$7=2005+OFFSET(COM_2012!$B$60,$AW220,SUMIF($B$10:$B$16,"NCAP_TLIFE",$AX$10:$AX$16)),0,""))</f>
        <v/>
      </c>
      <c r="X220" s="369" t="str">
        <f ca="1">IF($B220&lt;&gt;"PRC_RESID","",IF(X$7=2005+OFFSET(COM_2012!$B$60,$AW220,SUMIF($B$10:$B$16,"NCAP_TLIFE",$AX$10:$AX$16)),0,""))</f>
        <v/>
      </c>
      <c r="Y220" s="369" t="str">
        <f ca="1">IF($B220&lt;&gt;"PRC_RESID","",IF(Y$7=2005+OFFSET(COM_2012!$B$60,$AW220,SUMIF($B$10:$B$16,"NCAP_TLIFE",$AX$10:$AX$16)),0,""))</f>
        <v/>
      </c>
      <c r="Z220" s="369" t="str">
        <f ca="1">IF($B220&lt;&gt;"PRC_RESID","",IF(Z$7=2005+OFFSET(COM_2012!$B$60,$AW220,SUMIF($B$10:$B$16,"NCAP_TLIFE",$AX$10:$AX$16)),0,""))</f>
        <v/>
      </c>
      <c r="AA220" s="369" t="str">
        <f ca="1">IF($B220&lt;&gt;"PRC_RESID","",IF(AA$7=2005+OFFSET(COM_2012!$B$60,$AW220,SUMIF($B$10:$B$16,"NCAP_TLIFE",$AX$10:$AX$16)),0,""))</f>
        <v/>
      </c>
      <c r="AB220" s="369" t="str">
        <f ca="1">IF($B220&lt;&gt;"PRC_RESID","",IF(AB$7=2005+OFFSET(COM_2012!$B$60,$AW220,SUMIF($B$10:$B$16,"NCAP_TLIFE",$AX$10:$AX$16)),0,""))</f>
        <v/>
      </c>
      <c r="AC220" s="369" t="str">
        <f ca="1">IF($B220&lt;&gt;"PRC_RESID","",IF(AC$7=2005+OFFSET(COM_2012!$B$60,$AW220,SUMIF($B$10:$B$16,"NCAP_TLIFE",$AX$10:$AX$16)),0,""))</f>
        <v/>
      </c>
      <c r="AD220" s="369" t="str">
        <f ca="1">IF($B220&lt;&gt;"PRC_RESID","",IF(AD$7=2005+OFFSET(COM_2012!$B$60,$AW220,SUMIF($B$10:$B$16,"NCAP_TLIFE",$AX$10:$AX$16)),0,""))</f>
        <v/>
      </c>
      <c r="AE220" s="369" t="str">
        <f ca="1">IF($B220&lt;&gt;"PRC_RESID","",IF(AE$7=2005+OFFSET(COM_2012!$B$60,$AW220,SUMIF($B$10:$B$16,"NCAP_TLIFE",$AX$10:$AX$16)),0,""))</f>
        <v/>
      </c>
      <c r="AF220" s="369" t="str">
        <f ca="1">IF($B220&lt;&gt;"PRC_RESID","",IF(AF$7=2005+OFFSET(COM_2012!$B$60,$AW220,SUMIF($B$10:$B$16,"NCAP_TLIFE",$AX$10:$AX$16)),0,""))</f>
        <v/>
      </c>
      <c r="AG220" s="369" t="str">
        <f ca="1">IF($B220&lt;&gt;"PRC_RESID","",IF(AG$7=2005+OFFSET(COM_2012!$B$60,$AW220,SUMIF($B$10:$B$16,"NCAP_TLIFE",$AX$10:$AX$16)),0,""))</f>
        <v/>
      </c>
      <c r="AH220" s="369" t="str">
        <f ca="1">IF($B220&lt;&gt;"PRC_RESID","",IF(AH$7=2005+OFFSET(COM_2012!$B$60,$AW220,SUMIF($B$10:$B$16,"NCAP_TLIFE",$AX$10:$AX$16)),0,""))</f>
        <v/>
      </c>
      <c r="AI220" s="369" t="str">
        <f ca="1">IF($B220&lt;&gt;"PRC_RESID","",IF(AI$7=2005+OFFSET(COM_2012!$B$60,$AW220,SUMIF($B$10:$B$16,"NCAP_TLIFE",$AX$10:$AX$16)),0,""))</f>
        <v/>
      </c>
      <c r="AJ220" s="369" t="str">
        <f ca="1">IF($B220&lt;&gt;"PRC_RESID","",IF(AJ$7=2005+OFFSET(COM_2012!$B$60,$AW220,SUMIF($B$10:$B$16,"NCAP_TLIFE",$AX$10:$AX$16)),0,""))</f>
        <v/>
      </c>
      <c r="AK220" s="369" t="str">
        <f ca="1">IF($B220&lt;&gt;"PRC_RESID","",IF(AK$7=2005+OFFSET(COM_2012!$B$60,$AW220,SUMIF($B$10:$B$16,"NCAP_TLIFE",$AX$10:$AX$16)),0,""))</f>
        <v/>
      </c>
      <c r="AL220" s="369" t="str">
        <f ca="1">IF($B220&lt;&gt;"PRC_RESID","",IF(AL$7=2005+OFFSET(COM_2012!$B$60,$AW220,SUMIF($B$10:$B$16,"NCAP_TLIFE",$AX$10:$AX$16)),0,""))</f>
        <v/>
      </c>
      <c r="AM220" s="369" t="str">
        <f ca="1">IF($B220&lt;&gt;"PRC_RESID","",IF(AM$7=2005+OFFSET(COM_2012!$B$60,$AW220,SUMIF($B$10:$B$16,"NCAP_TLIFE",$AX$10:$AX$16)),0,""))</f>
        <v/>
      </c>
      <c r="AN220" s="369" t="str">
        <f ca="1">IF($B220&lt;&gt;"PRC_RESID","",IF(AN$7=2005+OFFSET(COM_2012!$B$60,$AW220,SUMIF($B$10:$B$16,"NCAP_TLIFE",$AX$10:$AX$16)),0,""))</f>
        <v/>
      </c>
      <c r="AO220" s="369" t="str">
        <f ca="1">IF($B220&lt;&gt;"PRC_RESID","",IF(AO$7=2005+OFFSET(COM_2012!$B$60,$AW220,SUMIF($B$10:$B$16,"NCAP_TLIFE",$AX$10:$AX$16)),0,""))</f>
        <v/>
      </c>
      <c r="AP220" s="369" t="str">
        <f ca="1">IF($B220&lt;&gt;"PRC_RESID","",IF(AP$7=2005+OFFSET(COM_2012!$B$60,$AW220,SUMIF($B$10:$B$16,"NCAP_TLIFE",$AX$10:$AX$16)),0,""))</f>
        <v/>
      </c>
      <c r="AQ220" s="369" t="str">
        <f ca="1">IF($B220&lt;&gt;"PRC_RESID","",IF(AQ$7=2005+OFFSET(COM_2012!$B$60,$AW220,SUMIF($B$10:$B$16,"NCAP_TLIFE",$AX$10:$AX$16)),0,""))</f>
        <v/>
      </c>
      <c r="AR220" s="369" t="str">
        <f ca="1">IF($B220&lt;&gt;"PRC_RESID","",IF(AR$7=2005+OFFSET(COM_2012!$B$60,$AW220,SUMIF($B$10:$B$16,"NCAP_TLIFE",$AX$10:$AX$16)),0,""))</f>
        <v/>
      </c>
      <c r="AS220" s="369" t="str">
        <f ca="1">IF($B220&lt;&gt;"PRC_RESID","",IF(AS$7=2005+OFFSET(COM_2012!$B$60,$AW220,SUMIF($B$10:$B$16,"NCAP_TLIFE",$AX$10:$AX$16)),0,""))</f>
        <v/>
      </c>
      <c r="AT220" s="369" t="str">
        <f ca="1">IF($B220&lt;&gt;"PRC_RESID","",IF(AT$7=2005+OFFSET(COM_2012!$B$60,$AW220,SUMIF($B$10:$B$16,"NCAP_TLIFE",$AX$10:$AX$16)),0,""))</f>
        <v/>
      </c>
      <c r="AU220" s="369" t="str">
        <f ca="1">IF($B220&lt;&gt;"PRC_RESID","",IF(AU$7=2005+OFFSET(COM_2012!$B$60,$AW220,SUMIF($B$10:$B$16,"NCAP_TLIFE",$AX$10:$AX$16)),0,""))</f>
        <v/>
      </c>
      <c r="AV220" s="304">
        <f>IF(AW219=COM_2012!$AI$121,AV219+1,AV219)</f>
        <v>4</v>
      </c>
      <c r="AW220" s="304">
        <f t="shared" si="17"/>
        <v>10</v>
      </c>
    </row>
    <row r="221" spans="1:49">
      <c r="A221" s="304" t="str">
        <f ca="1">IF(LEFT(OFFSET(COM_2012!$A$60,AW221,0),2)="\I","*","")</f>
        <v/>
      </c>
      <c r="B221" s="369" t="str">
        <f t="shared" ca="1" si="22"/>
        <v>NCAP_COST</v>
      </c>
      <c r="C221" s="369" t="str">
        <f ca="1">IF($A221="*","",OFFSET(COM_2012!$B$60,AW221,0))</f>
        <v>CEHGAS-E</v>
      </c>
      <c r="D221" s="369" t="str">
        <f t="shared" ca="1" si="21"/>
        <v>-</v>
      </c>
      <c r="E221" s="369" t="str">
        <f t="shared" ca="1" si="21"/>
        <v>-</v>
      </c>
      <c r="F221" s="369" t="str">
        <f t="shared" ca="1" si="21"/>
        <v>-</v>
      </c>
      <c r="G221" s="369" t="str">
        <f t="shared" ca="1" si="21"/>
        <v>-</v>
      </c>
      <c r="H221" s="369" t="str">
        <f t="shared" ca="1" si="21"/>
        <v>-</v>
      </c>
      <c r="I221" s="370">
        <f t="shared" ca="1" si="21"/>
        <v>0</v>
      </c>
      <c r="J221" s="391">
        <f ca="1">IF($A221="*","",OFFSET(COM_2012!$B$60,AW221,SUMIF($B$10:$B$16,B221,$AX$10:$AX$16)))</f>
        <v>34.864360018767009</v>
      </c>
      <c r="K221" s="369" t="str">
        <f ca="1">IF($B221&lt;&gt;"PRC_RESID","",IF(K$7=2005+OFFSET(COM_2012!$B$60,$AW221,SUMIF($B$10:$B$16,"NCAP_TLIFE",$AX$10:$AX$16)),0,""))</f>
        <v/>
      </c>
      <c r="L221" s="369" t="str">
        <f ca="1">IF($B221&lt;&gt;"PRC_RESID","",IF(L$7=2005+OFFSET(COM_2012!$B$60,$AW221,SUMIF($B$10:$B$16,"NCAP_TLIFE",$AX$10:$AX$16)),0,""))</f>
        <v/>
      </c>
      <c r="M221" s="369" t="str">
        <f ca="1">IF($B221&lt;&gt;"PRC_RESID","",IF(M$7=2005+OFFSET(COM_2012!$B$60,$AW221,SUMIF($B$10:$B$16,"NCAP_TLIFE",$AX$10:$AX$16)),0,""))</f>
        <v/>
      </c>
      <c r="N221" s="369" t="str">
        <f ca="1">IF($B221&lt;&gt;"PRC_RESID","",IF(N$7=2005+OFFSET(COM_2012!$B$60,$AW221,SUMIF($B$10:$B$16,"NCAP_TLIFE",$AX$10:$AX$16)),0,""))</f>
        <v/>
      </c>
      <c r="O221" s="658" t="str">
        <f ca="1">IF($B221&lt;&gt;"PRC_RESID","",IF(O$7=2005+OFFSET(COM_2012!$B$60,$AW221,SUMIF($B$10:$B$16,"NCAP_TLIFE",$AX$10:$AX$16)),0,""))</f>
        <v/>
      </c>
      <c r="P221" s="369" t="str">
        <f ca="1">IF($B221&lt;&gt;"PRC_RESID","",IF(P$7=2005+OFFSET(COM_2012!$B$60,$AW221,SUMIF($B$10:$B$16,"NCAP_TLIFE",$AX$10:$AX$16)),0,""))</f>
        <v/>
      </c>
      <c r="Q221" s="369" t="str">
        <f ca="1">IF($B221&lt;&gt;"PRC_RESID","",IF(Q$7=2005+OFFSET(COM_2012!$B$60,$AW221,SUMIF($B$10:$B$16,"NCAP_TLIFE",$AX$10:$AX$16)),0,""))</f>
        <v/>
      </c>
      <c r="R221" s="369" t="str">
        <f ca="1">IF($B221&lt;&gt;"PRC_RESID","",IF(R$7=2005+OFFSET(COM_2012!$B$60,$AW221,SUMIF($B$10:$B$16,"NCAP_TLIFE",$AX$10:$AX$16)),0,""))</f>
        <v/>
      </c>
      <c r="S221" s="369" t="str">
        <f ca="1">IF($B221&lt;&gt;"PRC_RESID","",IF(S$7=2005+OFFSET(COM_2012!$B$60,$AW221,SUMIF($B$10:$B$16,"NCAP_TLIFE",$AX$10:$AX$16)),0,""))</f>
        <v/>
      </c>
      <c r="T221" s="369" t="str">
        <f ca="1">IF($B221&lt;&gt;"PRC_RESID","",IF(T$7=2005+OFFSET(COM_2012!$B$60,$AW221,SUMIF($B$10:$B$16,"NCAP_TLIFE",$AX$10:$AX$16)),0,""))</f>
        <v/>
      </c>
      <c r="U221" s="369" t="str">
        <f ca="1">IF($B221&lt;&gt;"PRC_RESID","",IF(U$7=2005+OFFSET(COM_2012!$B$60,$AW221,SUMIF($B$10:$B$16,"NCAP_TLIFE",$AX$10:$AX$16)),0,""))</f>
        <v/>
      </c>
      <c r="V221" s="369" t="str">
        <f ca="1">IF($B221&lt;&gt;"PRC_RESID","",IF(V$7=2005+OFFSET(COM_2012!$B$60,$AW221,SUMIF($B$10:$B$16,"NCAP_TLIFE",$AX$10:$AX$16)),0,""))</f>
        <v/>
      </c>
      <c r="W221" s="369" t="str">
        <f ca="1">IF($B221&lt;&gt;"PRC_RESID","",IF(W$7=2005+OFFSET(COM_2012!$B$60,$AW221,SUMIF($B$10:$B$16,"NCAP_TLIFE",$AX$10:$AX$16)),0,""))</f>
        <v/>
      </c>
      <c r="X221" s="369" t="str">
        <f ca="1">IF($B221&lt;&gt;"PRC_RESID","",IF(X$7=2005+OFFSET(COM_2012!$B$60,$AW221,SUMIF($B$10:$B$16,"NCAP_TLIFE",$AX$10:$AX$16)),0,""))</f>
        <v/>
      </c>
      <c r="Y221" s="369" t="str">
        <f ca="1">IF($B221&lt;&gt;"PRC_RESID","",IF(Y$7=2005+OFFSET(COM_2012!$B$60,$AW221,SUMIF($B$10:$B$16,"NCAP_TLIFE",$AX$10:$AX$16)),0,""))</f>
        <v/>
      </c>
      <c r="Z221" s="369" t="str">
        <f ca="1">IF($B221&lt;&gt;"PRC_RESID","",IF(Z$7=2005+OFFSET(COM_2012!$B$60,$AW221,SUMIF($B$10:$B$16,"NCAP_TLIFE",$AX$10:$AX$16)),0,""))</f>
        <v/>
      </c>
      <c r="AA221" s="369" t="str">
        <f ca="1">IF($B221&lt;&gt;"PRC_RESID","",IF(AA$7=2005+OFFSET(COM_2012!$B$60,$AW221,SUMIF($B$10:$B$16,"NCAP_TLIFE",$AX$10:$AX$16)),0,""))</f>
        <v/>
      </c>
      <c r="AB221" s="369" t="str">
        <f ca="1">IF($B221&lt;&gt;"PRC_RESID","",IF(AB$7=2005+OFFSET(COM_2012!$B$60,$AW221,SUMIF($B$10:$B$16,"NCAP_TLIFE",$AX$10:$AX$16)),0,""))</f>
        <v/>
      </c>
      <c r="AC221" s="369" t="str">
        <f ca="1">IF($B221&lt;&gt;"PRC_RESID","",IF(AC$7=2005+OFFSET(COM_2012!$B$60,$AW221,SUMIF($B$10:$B$16,"NCAP_TLIFE",$AX$10:$AX$16)),0,""))</f>
        <v/>
      </c>
      <c r="AD221" s="369" t="str">
        <f ca="1">IF($B221&lt;&gt;"PRC_RESID","",IF(AD$7=2005+OFFSET(COM_2012!$B$60,$AW221,SUMIF($B$10:$B$16,"NCAP_TLIFE",$AX$10:$AX$16)),0,""))</f>
        <v/>
      </c>
      <c r="AE221" s="369" t="str">
        <f ca="1">IF($B221&lt;&gt;"PRC_RESID","",IF(AE$7=2005+OFFSET(COM_2012!$B$60,$AW221,SUMIF($B$10:$B$16,"NCAP_TLIFE",$AX$10:$AX$16)),0,""))</f>
        <v/>
      </c>
      <c r="AF221" s="369" t="str">
        <f ca="1">IF($B221&lt;&gt;"PRC_RESID","",IF(AF$7=2005+OFFSET(COM_2012!$B$60,$AW221,SUMIF($B$10:$B$16,"NCAP_TLIFE",$AX$10:$AX$16)),0,""))</f>
        <v/>
      </c>
      <c r="AG221" s="369" t="str">
        <f ca="1">IF($B221&lt;&gt;"PRC_RESID","",IF(AG$7=2005+OFFSET(COM_2012!$B$60,$AW221,SUMIF($B$10:$B$16,"NCAP_TLIFE",$AX$10:$AX$16)),0,""))</f>
        <v/>
      </c>
      <c r="AH221" s="369" t="str">
        <f ca="1">IF($B221&lt;&gt;"PRC_RESID","",IF(AH$7=2005+OFFSET(COM_2012!$B$60,$AW221,SUMIF($B$10:$B$16,"NCAP_TLIFE",$AX$10:$AX$16)),0,""))</f>
        <v/>
      </c>
      <c r="AI221" s="369" t="str">
        <f ca="1">IF($B221&lt;&gt;"PRC_RESID","",IF(AI$7=2005+OFFSET(COM_2012!$B$60,$AW221,SUMIF($B$10:$B$16,"NCAP_TLIFE",$AX$10:$AX$16)),0,""))</f>
        <v/>
      </c>
      <c r="AJ221" s="369" t="str">
        <f ca="1">IF($B221&lt;&gt;"PRC_RESID","",IF(AJ$7=2005+OFFSET(COM_2012!$B$60,$AW221,SUMIF($B$10:$B$16,"NCAP_TLIFE",$AX$10:$AX$16)),0,""))</f>
        <v/>
      </c>
      <c r="AK221" s="369" t="str">
        <f ca="1">IF($B221&lt;&gt;"PRC_RESID","",IF(AK$7=2005+OFFSET(COM_2012!$B$60,$AW221,SUMIF($B$10:$B$16,"NCAP_TLIFE",$AX$10:$AX$16)),0,""))</f>
        <v/>
      </c>
      <c r="AL221" s="369" t="str">
        <f ca="1">IF($B221&lt;&gt;"PRC_RESID","",IF(AL$7=2005+OFFSET(COM_2012!$B$60,$AW221,SUMIF($B$10:$B$16,"NCAP_TLIFE",$AX$10:$AX$16)),0,""))</f>
        <v/>
      </c>
      <c r="AM221" s="369" t="str">
        <f ca="1">IF($B221&lt;&gt;"PRC_RESID","",IF(AM$7=2005+OFFSET(COM_2012!$B$60,$AW221,SUMIF($B$10:$B$16,"NCAP_TLIFE",$AX$10:$AX$16)),0,""))</f>
        <v/>
      </c>
      <c r="AN221" s="369" t="str">
        <f ca="1">IF($B221&lt;&gt;"PRC_RESID","",IF(AN$7=2005+OFFSET(COM_2012!$B$60,$AW221,SUMIF($B$10:$B$16,"NCAP_TLIFE",$AX$10:$AX$16)),0,""))</f>
        <v/>
      </c>
      <c r="AO221" s="369" t="str">
        <f ca="1">IF($B221&lt;&gt;"PRC_RESID","",IF(AO$7=2005+OFFSET(COM_2012!$B$60,$AW221,SUMIF($B$10:$B$16,"NCAP_TLIFE",$AX$10:$AX$16)),0,""))</f>
        <v/>
      </c>
      <c r="AP221" s="369" t="str">
        <f ca="1">IF($B221&lt;&gt;"PRC_RESID","",IF(AP$7=2005+OFFSET(COM_2012!$B$60,$AW221,SUMIF($B$10:$B$16,"NCAP_TLIFE",$AX$10:$AX$16)),0,""))</f>
        <v/>
      </c>
      <c r="AQ221" s="369" t="str">
        <f ca="1">IF($B221&lt;&gt;"PRC_RESID","",IF(AQ$7=2005+OFFSET(COM_2012!$B$60,$AW221,SUMIF($B$10:$B$16,"NCAP_TLIFE",$AX$10:$AX$16)),0,""))</f>
        <v/>
      </c>
      <c r="AR221" s="369" t="str">
        <f ca="1">IF($B221&lt;&gt;"PRC_RESID","",IF(AR$7=2005+OFFSET(COM_2012!$B$60,$AW221,SUMIF($B$10:$B$16,"NCAP_TLIFE",$AX$10:$AX$16)),0,""))</f>
        <v/>
      </c>
      <c r="AS221" s="369" t="str">
        <f ca="1">IF($B221&lt;&gt;"PRC_RESID","",IF(AS$7=2005+OFFSET(COM_2012!$B$60,$AW221,SUMIF($B$10:$B$16,"NCAP_TLIFE",$AX$10:$AX$16)),0,""))</f>
        <v/>
      </c>
      <c r="AT221" s="369" t="str">
        <f ca="1">IF($B221&lt;&gt;"PRC_RESID","",IF(AT$7=2005+OFFSET(COM_2012!$B$60,$AW221,SUMIF($B$10:$B$16,"NCAP_TLIFE",$AX$10:$AX$16)),0,""))</f>
        <v/>
      </c>
      <c r="AU221" s="369" t="str">
        <f ca="1">IF($B221&lt;&gt;"PRC_RESID","",IF(AU$7=2005+OFFSET(COM_2012!$B$60,$AW221,SUMIF($B$10:$B$16,"NCAP_TLIFE",$AX$10:$AX$16)),0,""))</f>
        <v/>
      </c>
      <c r="AV221" s="304">
        <f>IF(AW220=COM_2012!$AI$121,AV220+1,AV220)</f>
        <v>4</v>
      </c>
      <c r="AW221" s="304">
        <f t="shared" si="17"/>
        <v>11</v>
      </c>
    </row>
    <row r="222" spans="1:49">
      <c r="A222" s="304" t="str">
        <f ca="1">IF(LEFT(OFFSET(COM_2012!$A$60,AW222,0),2)="\I","*","")</f>
        <v/>
      </c>
      <c r="B222" s="369" t="str">
        <f t="shared" ca="1" si="22"/>
        <v>NCAP_COST</v>
      </c>
      <c r="C222" s="369" t="str">
        <f ca="1">IF($A222="*","",OFFSET(COM_2012!$B$60,AW222,0))</f>
        <v>CEHELC-N</v>
      </c>
      <c r="D222" s="369" t="str">
        <f t="shared" ca="1" si="21"/>
        <v>-</v>
      </c>
      <c r="E222" s="369" t="str">
        <f t="shared" ca="1" si="21"/>
        <v>-</v>
      </c>
      <c r="F222" s="369" t="str">
        <f t="shared" ca="1" si="21"/>
        <v>-</v>
      </c>
      <c r="G222" s="369" t="str">
        <f t="shared" ca="1" si="21"/>
        <v>-</v>
      </c>
      <c r="H222" s="369" t="str">
        <f t="shared" ca="1" si="21"/>
        <v>-</v>
      </c>
      <c r="I222" s="370">
        <f t="shared" ca="1" si="21"/>
        <v>0</v>
      </c>
      <c r="J222" s="391">
        <f ca="1">IF($A222="*","",OFFSET(COM_2012!$B$60,AW222,SUMIF($B$10:$B$16,B222,$AX$10:$AX$16)))</f>
        <v>179.45037756394217</v>
      </c>
      <c r="K222" s="369" t="str">
        <f ca="1">IF($B222&lt;&gt;"PRC_RESID","",IF(K$7=2005+OFFSET(COM_2012!$B$60,$AW222,SUMIF($B$10:$B$16,"NCAP_TLIFE",$AX$10:$AX$16)),0,""))</f>
        <v/>
      </c>
      <c r="L222" s="369" t="str">
        <f ca="1">IF($B222&lt;&gt;"PRC_RESID","",IF(L$7=2005+OFFSET(COM_2012!$B$60,$AW222,SUMIF($B$10:$B$16,"NCAP_TLIFE",$AX$10:$AX$16)),0,""))</f>
        <v/>
      </c>
      <c r="M222" s="369" t="str">
        <f ca="1">IF($B222&lt;&gt;"PRC_RESID","",IF(M$7=2005+OFFSET(COM_2012!$B$60,$AW222,SUMIF($B$10:$B$16,"NCAP_TLIFE",$AX$10:$AX$16)),0,""))</f>
        <v/>
      </c>
      <c r="N222" s="369" t="str">
        <f ca="1">IF($B222&lt;&gt;"PRC_RESID","",IF(N$7=2005+OFFSET(COM_2012!$B$60,$AW222,SUMIF($B$10:$B$16,"NCAP_TLIFE",$AX$10:$AX$16)),0,""))</f>
        <v/>
      </c>
      <c r="O222" s="658" t="str">
        <f ca="1">IF($B222&lt;&gt;"PRC_RESID","",IF(O$7=2005+OFFSET(COM_2012!$B$60,$AW222,SUMIF($B$10:$B$16,"NCAP_TLIFE",$AX$10:$AX$16)),0,""))</f>
        <v/>
      </c>
      <c r="P222" s="369" t="str">
        <f ca="1">IF($B222&lt;&gt;"PRC_RESID","",IF(P$7=2005+OFFSET(COM_2012!$B$60,$AW222,SUMIF($B$10:$B$16,"NCAP_TLIFE",$AX$10:$AX$16)),0,""))</f>
        <v/>
      </c>
      <c r="Q222" s="369" t="str">
        <f ca="1">IF($B222&lt;&gt;"PRC_RESID","",IF(Q$7=2005+OFFSET(COM_2012!$B$60,$AW222,SUMIF($B$10:$B$16,"NCAP_TLIFE",$AX$10:$AX$16)),0,""))</f>
        <v/>
      </c>
      <c r="R222" s="369" t="str">
        <f ca="1">IF($B222&lt;&gt;"PRC_RESID","",IF(R$7=2005+OFFSET(COM_2012!$B$60,$AW222,SUMIF($B$10:$B$16,"NCAP_TLIFE",$AX$10:$AX$16)),0,""))</f>
        <v/>
      </c>
      <c r="S222" s="369" t="str">
        <f ca="1">IF($B222&lt;&gt;"PRC_RESID","",IF(S$7=2005+OFFSET(COM_2012!$B$60,$AW222,SUMIF($B$10:$B$16,"NCAP_TLIFE",$AX$10:$AX$16)),0,""))</f>
        <v/>
      </c>
      <c r="T222" s="369" t="str">
        <f ca="1">IF($B222&lt;&gt;"PRC_RESID","",IF(T$7=2005+OFFSET(COM_2012!$B$60,$AW222,SUMIF($B$10:$B$16,"NCAP_TLIFE",$AX$10:$AX$16)),0,""))</f>
        <v/>
      </c>
      <c r="U222" s="369" t="str">
        <f ca="1">IF($B222&lt;&gt;"PRC_RESID","",IF(U$7=2005+OFFSET(COM_2012!$B$60,$AW222,SUMIF($B$10:$B$16,"NCAP_TLIFE",$AX$10:$AX$16)),0,""))</f>
        <v/>
      </c>
      <c r="V222" s="369" t="str">
        <f ca="1">IF($B222&lt;&gt;"PRC_RESID","",IF(V$7=2005+OFFSET(COM_2012!$B$60,$AW222,SUMIF($B$10:$B$16,"NCAP_TLIFE",$AX$10:$AX$16)),0,""))</f>
        <v/>
      </c>
      <c r="W222" s="369" t="str">
        <f ca="1">IF($B222&lt;&gt;"PRC_RESID","",IF(W$7=2005+OFFSET(COM_2012!$B$60,$AW222,SUMIF($B$10:$B$16,"NCAP_TLIFE",$AX$10:$AX$16)),0,""))</f>
        <v/>
      </c>
      <c r="X222" s="369" t="str">
        <f ca="1">IF($B222&lt;&gt;"PRC_RESID","",IF(X$7=2005+OFFSET(COM_2012!$B$60,$AW222,SUMIF($B$10:$B$16,"NCAP_TLIFE",$AX$10:$AX$16)),0,""))</f>
        <v/>
      </c>
      <c r="Y222" s="369" t="str">
        <f ca="1">IF($B222&lt;&gt;"PRC_RESID","",IF(Y$7=2005+OFFSET(COM_2012!$B$60,$AW222,SUMIF($B$10:$B$16,"NCAP_TLIFE",$AX$10:$AX$16)),0,""))</f>
        <v/>
      </c>
      <c r="Z222" s="369" t="str">
        <f ca="1">IF($B222&lt;&gt;"PRC_RESID","",IF(Z$7=2005+OFFSET(COM_2012!$B$60,$AW222,SUMIF($B$10:$B$16,"NCAP_TLIFE",$AX$10:$AX$16)),0,""))</f>
        <v/>
      </c>
      <c r="AA222" s="369" t="str">
        <f ca="1">IF($B222&lt;&gt;"PRC_RESID","",IF(AA$7=2005+OFFSET(COM_2012!$B$60,$AW222,SUMIF($B$10:$B$16,"NCAP_TLIFE",$AX$10:$AX$16)),0,""))</f>
        <v/>
      </c>
      <c r="AB222" s="369" t="str">
        <f ca="1">IF($B222&lt;&gt;"PRC_RESID","",IF(AB$7=2005+OFFSET(COM_2012!$B$60,$AW222,SUMIF($B$10:$B$16,"NCAP_TLIFE",$AX$10:$AX$16)),0,""))</f>
        <v/>
      </c>
      <c r="AC222" s="369" t="str">
        <f ca="1">IF($B222&lt;&gt;"PRC_RESID","",IF(AC$7=2005+OFFSET(COM_2012!$B$60,$AW222,SUMIF($B$10:$B$16,"NCAP_TLIFE",$AX$10:$AX$16)),0,""))</f>
        <v/>
      </c>
      <c r="AD222" s="369" t="str">
        <f ca="1">IF($B222&lt;&gt;"PRC_RESID","",IF(AD$7=2005+OFFSET(COM_2012!$B$60,$AW222,SUMIF($B$10:$B$16,"NCAP_TLIFE",$AX$10:$AX$16)),0,""))</f>
        <v/>
      </c>
      <c r="AE222" s="369" t="str">
        <f ca="1">IF($B222&lt;&gt;"PRC_RESID","",IF(AE$7=2005+OFFSET(COM_2012!$B$60,$AW222,SUMIF($B$10:$B$16,"NCAP_TLIFE",$AX$10:$AX$16)),0,""))</f>
        <v/>
      </c>
      <c r="AF222" s="369" t="str">
        <f ca="1">IF($B222&lt;&gt;"PRC_RESID","",IF(AF$7=2005+OFFSET(COM_2012!$B$60,$AW222,SUMIF($B$10:$B$16,"NCAP_TLIFE",$AX$10:$AX$16)),0,""))</f>
        <v/>
      </c>
      <c r="AG222" s="369" t="str">
        <f ca="1">IF($B222&lt;&gt;"PRC_RESID","",IF(AG$7=2005+OFFSET(COM_2012!$B$60,$AW222,SUMIF($B$10:$B$16,"NCAP_TLIFE",$AX$10:$AX$16)),0,""))</f>
        <v/>
      </c>
      <c r="AH222" s="369" t="str">
        <f ca="1">IF($B222&lt;&gt;"PRC_RESID","",IF(AH$7=2005+OFFSET(COM_2012!$B$60,$AW222,SUMIF($B$10:$B$16,"NCAP_TLIFE",$AX$10:$AX$16)),0,""))</f>
        <v/>
      </c>
      <c r="AI222" s="369" t="str">
        <f ca="1">IF($B222&lt;&gt;"PRC_RESID","",IF(AI$7=2005+OFFSET(COM_2012!$B$60,$AW222,SUMIF($B$10:$B$16,"NCAP_TLIFE",$AX$10:$AX$16)),0,""))</f>
        <v/>
      </c>
      <c r="AJ222" s="369" t="str">
        <f ca="1">IF($B222&lt;&gt;"PRC_RESID","",IF(AJ$7=2005+OFFSET(COM_2012!$B$60,$AW222,SUMIF($B$10:$B$16,"NCAP_TLIFE",$AX$10:$AX$16)),0,""))</f>
        <v/>
      </c>
      <c r="AK222" s="369" t="str">
        <f ca="1">IF($B222&lt;&gt;"PRC_RESID","",IF(AK$7=2005+OFFSET(COM_2012!$B$60,$AW222,SUMIF($B$10:$B$16,"NCAP_TLIFE",$AX$10:$AX$16)),0,""))</f>
        <v/>
      </c>
      <c r="AL222" s="369" t="str">
        <f ca="1">IF($B222&lt;&gt;"PRC_RESID","",IF(AL$7=2005+OFFSET(COM_2012!$B$60,$AW222,SUMIF($B$10:$B$16,"NCAP_TLIFE",$AX$10:$AX$16)),0,""))</f>
        <v/>
      </c>
      <c r="AM222" s="369" t="str">
        <f ca="1">IF($B222&lt;&gt;"PRC_RESID","",IF(AM$7=2005+OFFSET(COM_2012!$B$60,$AW222,SUMIF($B$10:$B$16,"NCAP_TLIFE",$AX$10:$AX$16)),0,""))</f>
        <v/>
      </c>
      <c r="AN222" s="369" t="str">
        <f ca="1">IF($B222&lt;&gt;"PRC_RESID","",IF(AN$7=2005+OFFSET(COM_2012!$B$60,$AW222,SUMIF($B$10:$B$16,"NCAP_TLIFE",$AX$10:$AX$16)),0,""))</f>
        <v/>
      </c>
      <c r="AO222" s="369" t="str">
        <f ca="1">IF($B222&lt;&gt;"PRC_RESID","",IF(AO$7=2005+OFFSET(COM_2012!$B$60,$AW222,SUMIF($B$10:$B$16,"NCAP_TLIFE",$AX$10:$AX$16)),0,""))</f>
        <v/>
      </c>
      <c r="AP222" s="369" t="str">
        <f ca="1">IF($B222&lt;&gt;"PRC_RESID","",IF(AP$7=2005+OFFSET(COM_2012!$B$60,$AW222,SUMIF($B$10:$B$16,"NCAP_TLIFE",$AX$10:$AX$16)),0,""))</f>
        <v/>
      </c>
      <c r="AQ222" s="369" t="str">
        <f ca="1">IF($B222&lt;&gt;"PRC_RESID","",IF(AQ$7=2005+OFFSET(COM_2012!$B$60,$AW222,SUMIF($B$10:$B$16,"NCAP_TLIFE",$AX$10:$AX$16)),0,""))</f>
        <v/>
      </c>
      <c r="AR222" s="369" t="str">
        <f ca="1">IF($B222&lt;&gt;"PRC_RESID","",IF(AR$7=2005+OFFSET(COM_2012!$B$60,$AW222,SUMIF($B$10:$B$16,"NCAP_TLIFE",$AX$10:$AX$16)),0,""))</f>
        <v/>
      </c>
      <c r="AS222" s="369" t="str">
        <f ca="1">IF($B222&lt;&gt;"PRC_RESID","",IF(AS$7=2005+OFFSET(COM_2012!$B$60,$AW222,SUMIF($B$10:$B$16,"NCAP_TLIFE",$AX$10:$AX$16)),0,""))</f>
        <v/>
      </c>
      <c r="AT222" s="369" t="str">
        <f ca="1">IF($B222&lt;&gt;"PRC_RESID","",IF(AT$7=2005+OFFSET(COM_2012!$B$60,$AW222,SUMIF($B$10:$B$16,"NCAP_TLIFE",$AX$10:$AX$16)),0,""))</f>
        <v/>
      </c>
      <c r="AU222" s="369" t="str">
        <f ca="1">IF($B222&lt;&gt;"PRC_RESID","",IF(AU$7=2005+OFFSET(COM_2012!$B$60,$AW222,SUMIF($B$10:$B$16,"NCAP_TLIFE",$AX$10:$AX$16)),0,""))</f>
        <v/>
      </c>
      <c r="AV222" s="304">
        <f>IF(AW221=COM_2012!$AI$121,AV221+1,AV221)</f>
        <v>4</v>
      </c>
      <c r="AW222" s="304">
        <f t="shared" si="17"/>
        <v>12</v>
      </c>
    </row>
    <row r="223" spans="1:49">
      <c r="A223" s="304" t="str">
        <f ca="1">IF(LEFT(OFFSET(COM_2012!$A$60,AW223,0),2)="\I","*","")</f>
        <v/>
      </c>
      <c r="B223" s="369" t="str">
        <f t="shared" ca="1" si="22"/>
        <v>NCAP_COST</v>
      </c>
      <c r="C223" s="369" t="str">
        <f ca="1">IF($A223="*","",OFFSET(COM_2012!$B$60,AW223,0))</f>
        <v>CEHGAS-N</v>
      </c>
      <c r="D223" s="369" t="str">
        <f t="shared" ca="1" si="21"/>
        <v>-</v>
      </c>
      <c r="E223" s="369" t="str">
        <f t="shared" ca="1" si="21"/>
        <v>-</v>
      </c>
      <c r="F223" s="369" t="str">
        <f t="shared" ca="1" si="21"/>
        <v>-</v>
      </c>
      <c r="G223" s="369" t="str">
        <f t="shared" ca="1" si="21"/>
        <v>-</v>
      </c>
      <c r="H223" s="369" t="str">
        <f t="shared" ca="1" si="21"/>
        <v>-</v>
      </c>
      <c r="I223" s="370">
        <f t="shared" ca="1" si="21"/>
        <v>0</v>
      </c>
      <c r="J223" s="391">
        <f ca="1">IF($A223="*","",OFFSET(COM_2012!$B$60,AW223,SUMIF($B$10:$B$16,B223,$AX$10:$AX$16)))</f>
        <v>34.864360018767009</v>
      </c>
      <c r="K223" s="369" t="str">
        <f ca="1">IF($B223&lt;&gt;"PRC_RESID","",IF(K$7=2005+OFFSET(COM_2012!$B$60,$AW223,SUMIF($B$10:$B$16,"NCAP_TLIFE",$AX$10:$AX$16)),0,""))</f>
        <v/>
      </c>
      <c r="L223" s="369" t="str">
        <f ca="1">IF($B223&lt;&gt;"PRC_RESID","",IF(L$7=2005+OFFSET(COM_2012!$B$60,$AW223,SUMIF($B$10:$B$16,"NCAP_TLIFE",$AX$10:$AX$16)),0,""))</f>
        <v/>
      </c>
      <c r="M223" s="369" t="str">
        <f ca="1">IF($B223&lt;&gt;"PRC_RESID","",IF(M$7=2005+OFFSET(COM_2012!$B$60,$AW223,SUMIF($B$10:$B$16,"NCAP_TLIFE",$AX$10:$AX$16)),0,""))</f>
        <v/>
      </c>
      <c r="N223" s="369" t="str">
        <f ca="1">IF($B223&lt;&gt;"PRC_RESID","",IF(N$7=2005+OFFSET(COM_2012!$B$60,$AW223,SUMIF($B$10:$B$16,"NCAP_TLIFE",$AX$10:$AX$16)),0,""))</f>
        <v/>
      </c>
      <c r="O223" s="658" t="str">
        <f ca="1">IF($B223&lt;&gt;"PRC_RESID","",IF(O$7=2005+OFFSET(COM_2012!$B$60,$AW223,SUMIF($B$10:$B$16,"NCAP_TLIFE",$AX$10:$AX$16)),0,""))</f>
        <v/>
      </c>
      <c r="P223" s="369" t="str">
        <f ca="1">IF($B223&lt;&gt;"PRC_RESID","",IF(P$7=2005+OFFSET(COM_2012!$B$60,$AW223,SUMIF($B$10:$B$16,"NCAP_TLIFE",$AX$10:$AX$16)),0,""))</f>
        <v/>
      </c>
      <c r="Q223" s="369" t="str">
        <f ca="1">IF($B223&lt;&gt;"PRC_RESID","",IF(Q$7=2005+OFFSET(COM_2012!$B$60,$AW223,SUMIF($B$10:$B$16,"NCAP_TLIFE",$AX$10:$AX$16)),0,""))</f>
        <v/>
      </c>
      <c r="R223" s="369" t="str">
        <f ca="1">IF($B223&lt;&gt;"PRC_RESID","",IF(R$7=2005+OFFSET(COM_2012!$B$60,$AW223,SUMIF($B$10:$B$16,"NCAP_TLIFE",$AX$10:$AX$16)),0,""))</f>
        <v/>
      </c>
      <c r="S223" s="369" t="str">
        <f ca="1">IF($B223&lt;&gt;"PRC_RESID","",IF(S$7=2005+OFFSET(COM_2012!$B$60,$AW223,SUMIF($B$10:$B$16,"NCAP_TLIFE",$AX$10:$AX$16)),0,""))</f>
        <v/>
      </c>
      <c r="T223" s="369" t="str">
        <f ca="1">IF($B223&lt;&gt;"PRC_RESID","",IF(T$7=2005+OFFSET(COM_2012!$B$60,$AW223,SUMIF($B$10:$B$16,"NCAP_TLIFE",$AX$10:$AX$16)),0,""))</f>
        <v/>
      </c>
      <c r="U223" s="369" t="str">
        <f ca="1">IF($B223&lt;&gt;"PRC_RESID","",IF(U$7=2005+OFFSET(COM_2012!$B$60,$AW223,SUMIF($B$10:$B$16,"NCAP_TLIFE",$AX$10:$AX$16)),0,""))</f>
        <v/>
      </c>
      <c r="V223" s="369" t="str">
        <f ca="1">IF($B223&lt;&gt;"PRC_RESID","",IF(V$7=2005+OFFSET(COM_2012!$B$60,$AW223,SUMIF($B$10:$B$16,"NCAP_TLIFE",$AX$10:$AX$16)),0,""))</f>
        <v/>
      </c>
      <c r="W223" s="369" t="str">
        <f ca="1">IF($B223&lt;&gt;"PRC_RESID","",IF(W$7=2005+OFFSET(COM_2012!$B$60,$AW223,SUMIF($B$10:$B$16,"NCAP_TLIFE",$AX$10:$AX$16)),0,""))</f>
        <v/>
      </c>
      <c r="X223" s="369" t="str">
        <f ca="1">IF($B223&lt;&gt;"PRC_RESID","",IF(X$7=2005+OFFSET(COM_2012!$B$60,$AW223,SUMIF($B$10:$B$16,"NCAP_TLIFE",$AX$10:$AX$16)),0,""))</f>
        <v/>
      </c>
      <c r="Y223" s="369" t="str">
        <f ca="1">IF($B223&lt;&gt;"PRC_RESID","",IF(Y$7=2005+OFFSET(COM_2012!$B$60,$AW223,SUMIF($B$10:$B$16,"NCAP_TLIFE",$AX$10:$AX$16)),0,""))</f>
        <v/>
      </c>
      <c r="Z223" s="369" t="str">
        <f ca="1">IF($B223&lt;&gt;"PRC_RESID","",IF(Z$7=2005+OFFSET(COM_2012!$B$60,$AW223,SUMIF($B$10:$B$16,"NCAP_TLIFE",$AX$10:$AX$16)),0,""))</f>
        <v/>
      </c>
      <c r="AA223" s="369" t="str">
        <f ca="1">IF($B223&lt;&gt;"PRC_RESID","",IF(AA$7=2005+OFFSET(COM_2012!$B$60,$AW223,SUMIF($B$10:$B$16,"NCAP_TLIFE",$AX$10:$AX$16)),0,""))</f>
        <v/>
      </c>
      <c r="AB223" s="369" t="str">
        <f ca="1">IF($B223&lt;&gt;"PRC_RESID","",IF(AB$7=2005+OFFSET(COM_2012!$B$60,$AW223,SUMIF($B$10:$B$16,"NCAP_TLIFE",$AX$10:$AX$16)),0,""))</f>
        <v/>
      </c>
      <c r="AC223" s="369" t="str">
        <f ca="1">IF($B223&lt;&gt;"PRC_RESID","",IF(AC$7=2005+OFFSET(COM_2012!$B$60,$AW223,SUMIF($B$10:$B$16,"NCAP_TLIFE",$AX$10:$AX$16)),0,""))</f>
        <v/>
      </c>
      <c r="AD223" s="369" t="str">
        <f ca="1">IF($B223&lt;&gt;"PRC_RESID","",IF(AD$7=2005+OFFSET(COM_2012!$B$60,$AW223,SUMIF($B$10:$B$16,"NCAP_TLIFE",$AX$10:$AX$16)),0,""))</f>
        <v/>
      </c>
      <c r="AE223" s="369" t="str">
        <f ca="1">IF($B223&lt;&gt;"PRC_RESID","",IF(AE$7=2005+OFFSET(COM_2012!$B$60,$AW223,SUMIF($B$10:$B$16,"NCAP_TLIFE",$AX$10:$AX$16)),0,""))</f>
        <v/>
      </c>
      <c r="AF223" s="369" t="str">
        <f ca="1">IF($B223&lt;&gt;"PRC_RESID","",IF(AF$7=2005+OFFSET(COM_2012!$B$60,$AW223,SUMIF($B$10:$B$16,"NCAP_TLIFE",$AX$10:$AX$16)),0,""))</f>
        <v/>
      </c>
      <c r="AG223" s="369" t="str">
        <f ca="1">IF($B223&lt;&gt;"PRC_RESID","",IF(AG$7=2005+OFFSET(COM_2012!$B$60,$AW223,SUMIF($B$10:$B$16,"NCAP_TLIFE",$AX$10:$AX$16)),0,""))</f>
        <v/>
      </c>
      <c r="AH223" s="369" t="str">
        <f ca="1">IF($B223&lt;&gt;"PRC_RESID","",IF(AH$7=2005+OFFSET(COM_2012!$B$60,$AW223,SUMIF($B$10:$B$16,"NCAP_TLIFE",$AX$10:$AX$16)),0,""))</f>
        <v/>
      </c>
      <c r="AI223" s="369" t="str">
        <f ca="1">IF($B223&lt;&gt;"PRC_RESID","",IF(AI$7=2005+OFFSET(COM_2012!$B$60,$AW223,SUMIF($B$10:$B$16,"NCAP_TLIFE",$AX$10:$AX$16)),0,""))</f>
        <v/>
      </c>
      <c r="AJ223" s="369" t="str">
        <f ca="1">IF($B223&lt;&gt;"PRC_RESID","",IF(AJ$7=2005+OFFSET(COM_2012!$B$60,$AW223,SUMIF($B$10:$B$16,"NCAP_TLIFE",$AX$10:$AX$16)),0,""))</f>
        <v/>
      </c>
      <c r="AK223" s="369" t="str">
        <f ca="1">IF($B223&lt;&gt;"PRC_RESID","",IF(AK$7=2005+OFFSET(COM_2012!$B$60,$AW223,SUMIF($B$10:$B$16,"NCAP_TLIFE",$AX$10:$AX$16)),0,""))</f>
        <v/>
      </c>
      <c r="AL223" s="369" t="str">
        <f ca="1">IF($B223&lt;&gt;"PRC_RESID","",IF(AL$7=2005+OFFSET(COM_2012!$B$60,$AW223,SUMIF($B$10:$B$16,"NCAP_TLIFE",$AX$10:$AX$16)),0,""))</f>
        <v/>
      </c>
      <c r="AM223" s="369" t="str">
        <f ca="1">IF($B223&lt;&gt;"PRC_RESID","",IF(AM$7=2005+OFFSET(COM_2012!$B$60,$AW223,SUMIF($B$10:$B$16,"NCAP_TLIFE",$AX$10:$AX$16)),0,""))</f>
        <v/>
      </c>
      <c r="AN223" s="369" t="str">
        <f ca="1">IF($B223&lt;&gt;"PRC_RESID","",IF(AN$7=2005+OFFSET(COM_2012!$B$60,$AW223,SUMIF($B$10:$B$16,"NCAP_TLIFE",$AX$10:$AX$16)),0,""))</f>
        <v/>
      </c>
      <c r="AO223" s="369" t="str">
        <f ca="1">IF($B223&lt;&gt;"PRC_RESID","",IF(AO$7=2005+OFFSET(COM_2012!$B$60,$AW223,SUMIF($B$10:$B$16,"NCAP_TLIFE",$AX$10:$AX$16)),0,""))</f>
        <v/>
      </c>
      <c r="AP223" s="369" t="str">
        <f ca="1">IF($B223&lt;&gt;"PRC_RESID","",IF(AP$7=2005+OFFSET(COM_2012!$B$60,$AW223,SUMIF($B$10:$B$16,"NCAP_TLIFE",$AX$10:$AX$16)),0,""))</f>
        <v/>
      </c>
      <c r="AQ223" s="369" t="str">
        <f ca="1">IF($B223&lt;&gt;"PRC_RESID","",IF(AQ$7=2005+OFFSET(COM_2012!$B$60,$AW223,SUMIF($B$10:$B$16,"NCAP_TLIFE",$AX$10:$AX$16)),0,""))</f>
        <v/>
      </c>
      <c r="AR223" s="369" t="str">
        <f ca="1">IF($B223&lt;&gt;"PRC_RESID","",IF(AR$7=2005+OFFSET(COM_2012!$B$60,$AW223,SUMIF($B$10:$B$16,"NCAP_TLIFE",$AX$10:$AX$16)),0,""))</f>
        <v/>
      </c>
      <c r="AS223" s="369" t="str">
        <f ca="1">IF($B223&lt;&gt;"PRC_RESID","",IF(AS$7=2005+OFFSET(COM_2012!$B$60,$AW223,SUMIF($B$10:$B$16,"NCAP_TLIFE",$AX$10:$AX$16)),0,""))</f>
        <v/>
      </c>
      <c r="AT223" s="369" t="str">
        <f ca="1">IF($B223&lt;&gt;"PRC_RESID","",IF(AT$7=2005+OFFSET(COM_2012!$B$60,$AW223,SUMIF($B$10:$B$16,"NCAP_TLIFE",$AX$10:$AX$16)),0,""))</f>
        <v/>
      </c>
      <c r="AU223" s="369" t="str">
        <f ca="1">IF($B223&lt;&gt;"PRC_RESID","",IF(AU$7=2005+OFFSET(COM_2012!$B$60,$AW223,SUMIF($B$10:$B$16,"NCAP_TLIFE",$AX$10:$AX$16)),0,""))</f>
        <v/>
      </c>
      <c r="AV223" s="304">
        <f>IF(AW222=COM_2012!$AI$121,AV222+1,AV222)</f>
        <v>4</v>
      </c>
      <c r="AW223" s="304">
        <f t="shared" si="17"/>
        <v>13</v>
      </c>
    </row>
    <row r="224" spans="1:49">
      <c r="A224" s="304" t="str">
        <f ca="1">IF(LEFT(OFFSET(COM_2012!$A$60,AW224,0),2)="\I","*","")</f>
        <v>*</v>
      </c>
      <c r="B224" s="369" t="str">
        <f t="shared" ca="1" si="22"/>
        <v/>
      </c>
      <c r="C224" s="369" t="str">
        <f ca="1">IF($A224="*","",OFFSET(COM_2012!$B$60,AW224,0))</f>
        <v/>
      </c>
      <c r="D224" s="369" t="str">
        <f t="shared" ca="1" si="21"/>
        <v/>
      </c>
      <c r="E224" s="369" t="str">
        <f t="shared" ca="1" si="21"/>
        <v/>
      </c>
      <c r="F224" s="369" t="str">
        <f t="shared" ca="1" si="21"/>
        <v/>
      </c>
      <c r="G224" s="369" t="str">
        <f t="shared" ca="1" si="21"/>
        <v/>
      </c>
      <c r="H224" s="369" t="str">
        <f t="shared" ca="1" si="21"/>
        <v/>
      </c>
      <c r="I224" s="370" t="str">
        <f t="shared" ca="1" si="21"/>
        <v/>
      </c>
      <c r="J224" s="391" t="str">
        <f ca="1">IF($A224="*","",OFFSET(COM_2012!$B$60,AW224,SUMIF($B$10:$B$16,B224,$AX$10:$AX$16)))</f>
        <v/>
      </c>
      <c r="K224" s="369" t="str">
        <f ca="1">IF($B224&lt;&gt;"PRC_RESID","",IF(K$7=2005+OFFSET(COM_2012!$B$60,$AW224,SUMIF($B$10:$B$16,"NCAP_TLIFE",$AX$10:$AX$16)),0,""))</f>
        <v/>
      </c>
      <c r="L224" s="369" t="str">
        <f ca="1">IF($B224&lt;&gt;"PRC_RESID","",IF(L$7=2005+OFFSET(COM_2012!$B$60,$AW224,SUMIF($B$10:$B$16,"NCAP_TLIFE",$AX$10:$AX$16)),0,""))</f>
        <v/>
      </c>
      <c r="M224" s="369" t="str">
        <f ca="1">IF($B224&lt;&gt;"PRC_RESID","",IF(M$7=2005+OFFSET(COM_2012!$B$60,$AW224,SUMIF($B$10:$B$16,"NCAP_TLIFE",$AX$10:$AX$16)),0,""))</f>
        <v/>
      </c>
      <c r="N224" s="369" t="str">
        <f ca="1">IF($B224&lt;&gt;"PRC_RESID","",IF(N$7=2005+OFFSET(COM_2012!$B$60,$AW224,SUMIF($B$10:$B$16,"NCAP_TLIFE",$AX$10:$AX$16)),0,""))</f>
        <v/>
      </c>
      <c r="O224" s="658" t="str">
        <f ca="1">IF($B224&lt;&gt;"PRC_RESID","",IF(O$7=2005+OFFSET(COM_2012!$B$60,$AW224,SUMIF($B$10:$B$16,"NCAP_TLIFE",$AX$10:$AX$16)),0,""))</f>
        <v/>
      </c>
      <c r="P224" s="369" t="str">
        <f ca="1">IF($B224&lt;&gt;"PRC_RESID","",IF(P$7=2005+OFFSET(COM_2012!$B$60,$AW224,SUMIF($B$10:$B$16,"NCAP_TLIFE",$AX$10:$AX$16)),0,""))</f>
        <v/>
      </c>
      <c r="Q224" s="369" t="str">
        <f ca="1">IF($B224&lt;&gt;"PRC_RESID","",IF(Q$7=2005+OFFSET(COM_2012!$B$60,$AW224,SUMIF($B$10:$B$16,"NCAP_TLIFE",$AX$10:$AX$16)),0,""))</f>
        <v/>
      </c>
      <c r="R224" s="369" t="str">
        <f ca="1">IF($B224&lt;&gt;"PRC_RESID","",IF(R$7=2005+OFFSET(COM_2012!$B$60,$AW224,SUMIF($B$10:$B$16,"NCAP_TLIFE",$AX$10:$AX$16)),0,""))</f>
        <v/>
      </c>
      <c r="S224" s="369" t="str">
        <f ca="1">IF($B224&lt;&gt;"PRC_RESID","",IF(S$7=2005+OFFSET(COM_2012!$B$60,$AW224,SUMIF($B$10:$B$16,"NCAP_TLIFE",$AX$10:$AX$16)),0,""))</f>
        <v/>
      </c>
      <c r="T224" s="369" t="str">
        <f ca="1">IF($B224&lt;&gt;"PRC_RESID","",IF(T$7=2005+OFFSET(COM_2012!$B$60,$AW224,SUMIF($B$10:$B$16,"NCAP_TLIFE",$AX$10:$AX$16)),0,""))</f>
        <v/>
      </c>
      <c r="U224" s="369" t="str">
        <f ca="1">IF($B224&lt;&gt;"PRC_RESID","",IF(U$7=2005+OFFSET(COM_2012!$B$60,$AW224,SUMIF($B$10:$B$16,"NCAP_TLIFE",$AX$10:$AX$16)),0,""))</f>
        <v/>
      </c>
      <c r="V224" s="369" t="str">
        <f ca="1">IF($B224&lt;&gt;"PRC_RESID","",IF(V$7=2005+OFFSET(COM_2012!$B$60,$AW224,SUMIF($B$10:$B$16,"NCAP_TLIFE",$AX$10:$AX$16)),0,""))</f>
        <v/>
      </c>
      <c r="W224" s="369" t="str">
        <f ca="1">IF($B224&lt;&gt;"PRC_RESID","",IF(W$7=2005+OFFSET(COM_2012!$B$60,$AW224,SUMIF($B$10:$B$16,"NCAP_TLIFE",$AX$10:$AX$16)),0,""))</f>
        <v/>
      </c>
      <c r="X224" s="369" t="str">
        <f ca="1">IF($B224&lt;&gt;"PRC_RESID","",IF(X$7=2005+OFFSET(COM_2012!$B$60,$AW224,SUMIF($B$10:$B$16,"NCAP_TLIFE",$AX$10:$AX$16)),0,""))</f>
        <v/>
      </c>
      <c r="Y224" s="369" t="str">
        <f ca="1">IF($B224&lt;&gt;"PRC_RESID","",IF(Y$7=2005+OFFSET(COM_2012!$B$60,$AW224,SUMIF($B$10:$B$16,"NCAP_TLIFE",$AX$10:$AX$16)),0,""))</f>
        <v/>
      </c>
      <c r="Z224" s="369" t="str">
        <f ca="1">IF($B224&lt;&gt;"PRC_RESID","",IF(Z$7=2005+OFFSET(COM_2012!$B$60,$AW224,SUMIF($B$10:$B$16,"NCAP_TLIFE",$AX$10:$AX$16)),0,""))</f>
        <v/>
      </c>
      <c r="AA224" s="369" t="str">
        <f ca="1">IF($B224&lt;&gt;"PRC_RESID","",IF(AA$7=2005+OFFSET(COM_2012!$B$60,$AW224,SUMIF($B$10:$B$16,"NCAP_TLIFE",$AX$10:$AX$16)),0,""))</f>
        <v/>
      </c>
      <c r="AB224" s="369" t="str">
        <f ca="1">IF($B224&lt;&gt;"PRC_RESID","",IF(AB$7=2005+OFFSET(COM_2012!$B$60,$AW224,SUMIF($B$10:$B$16,"NCAP_TLIFE",$AX$10:$AX$16)),0,""))</f>
        <v/>
      </c>
      <c r="AC224" s="369" t="str">
        <f ca="1">IF($B224&lt;&gt;"PRC_RESID","",IF(AC$7=2005+OFFSET(COM_2012!$B$60,$AW224,SUMIF($B$10:$B$16,"NCAP_TLIFE",$AX$10:$AX$16)),0,""))</f>
        <v/>
      </c>
      <c r="AD224" s="369" t="str">
        <f ca="1">IF($B224&lt;&gt;"PRC_RESID","",IF(AD$7=2005+OFFSET(COM_2012!$B$60,$AW224,SUMIF($B$10:$B$16,"NCAP_TLIFE",$AX$10:$AX$16)),0,""))</f>
        <v/>
      </c>
      <c r="AE224" s="369" t="str">
        <f ca="1">IF($B224&lt;&gt;"PRC_RESID","",IF(AE$7=2005+OFFSET(COM_2012!$B$60,$AW224,SUMIF($B$10:$B$16,"NCAP_TLIFE",$AX$10:$AX$16)),0,""))</f>
        <v/>
      </c>
      <c r="AF224" s="369" t="str">
        <f ca="1">IF($B224&lt;&gt;"PRC_RESID","",IF(AF$7=2005+OFFSET(COM_2012!$B$60,$AW224,SUMIF($B$10:$B$16,"NCAP_TLIFE",$AX$10:$AX$16)),0,""))</f>
        <v/>
      </c>
      <c r="AG224" s="369" t="str">
        <f ca="1">IF($B224&lt;&gt;"PRC_RESID","",IF(AG$7=2005+OFFSET(COM_2012!$B$60,$AW224,SUMIF($B$10:$B$16,"NCAP_TLIFE",$AX$10:$AX$16)),0,""))</f>
        <v/>
      </c>
      <c r="AH224" s="369" t="str">
        <f ca="1">IF($B224&lt;&gt;"PRC_RESID","",IF(AH$7=2005+OFFSET(COM_2012!$B$60,$AW224,SUMIF($B$10:$B$16,"NCAP_TLIFE",$AX$10:$AX$16)),0,""))</f>
        <v/>
      </c>
      <c r="AI224" s="369" t="str">
        <f ca="1">IF($B224&lt;&gt;"PRC_RESID","",IF(AI$7=2005+OFFSET(COM_2012!$B$60,$AW224,SUMIF($B$10:$B$16,"NCAP_TLIFE",$AX$10:$AX$16)),0,""))</f>
        <v/>
      </c>
      <c r="AJ224" s="369" t="str">
        <f ca="1">IF($B224&lt;&gt;"PRC_RESID","",IF(AJ$7=2005+OFFSET(COM_2012!$B$60,$AW224,SUMIF($B$10:$B$16,"NCAP_TLIFE",$AX$10:$AX$16)),0,""))</f>
        <v/>
      </c>
      <c r="AK224" s="369" t="str">
        <f ca="1">IF($B224&lt;&gt;"PRC_RESID","",IF(AK$7=2005+OFFSET(COM_2012!$B$60,$AW224,SUMIF($B$10:$B$16,"NCAP_TLIFE",$AX$10:$AX$16)),0,""))</f>
        <v/>
      </c>
      <c r="AL224" s="369" t="str">
        <f ca="1">IF($B224&lt;&gt;"PRC_RESID","",IF(AL$7=2005+OFFSET(COM_2012!$B$60,$AW224,SUMIF($B$10:$B$16,"NCAP_TLIFE",$AX$10:$AX$16)),0,""))</f>
        <v/>
      </c>
      <c r="AM224" s="369" t="str">
        <f ca="1">IF($B224&lt;&gt;"PRC_RESID","",IF(AM$7=2005+OFFSET(COM_2012!$B$60,$AW224,SUMIF($B$10:$B$16,"NCAP_TLIFE",$AX$10:$AX$16)),0,""))</f>
        <v/>
      </c>
      <c r="AN224" s="369" t="str">
        <f ca="1">IF($B224&lt;&gt;"PRC_RESID","",IF(AN$7=2005+OFFSET(COM_2012!$B$60,$AW224,SUMIF($B$10:$B$16,"NCAP_TLIFE",$AX$10:$AX$16)),0,""))</f>
        <v/>
      </c>
      <c r="AO224" s="369" t="str">
        <f ca="1">IF($B224&lt;&gt;"PRC_RESID","",IF(AO$7=2005+OFFSET(COM_2012!$B$60,$AW224,SUMIF($B$10:$B$16,"NCAP_TLIFE",$AX$10:$AX$16)),0,""))</f>
        <v/>
      </c>
      <c r="AP224" s="369" t="str">
        <f ca="1">IF($B224&lt;&gt;"PRC_RESID","",IF(AP$7=2005+OFFSET(COM_2012!$B$60,$AW224,SUMIF($B$10:$B$16,"NCAP_TLIFE",$AX$10:$AX$16)),0,""))</f>
        <v/>
      </c>
      <c r="AQ224" s="369" t="str">
        <f ca="1">IF($B224&lt;&gt;"PRC_RESID","",IF(AQ$7=2005+OFFSET(COM_2012!$B$60,$AW224,SUMIF($B$10:$B$16,"NCAP_TLIFE",$AX$10:$AX$16)),0,""))</f>
        <v/>
      </c>
      <c r="AR224" s="369" t="str">
        <f ca="1">IF($B224&lt;&gt;"PRC_RESID","",IF(AR$7=2005+OFFSET(COM_2012!$B$60,$AW224,SUMIF($B$10:$B$16,"NCAP_TLIFE",$AX$10:$AX$16)),0,""))</f>
        <v/>
      </c>
      <c r="AS224" s="369" t="str">
        <f ca="1">IF($B224&lt;&gt;"PRC_RESID","",IF(AS$7=2005+OFFSET(COM_2012!$B$60,$AW224,SUMIF($B$10:$B$16,"NCAP_TLIFE",$AX$10:$AX$16)),0,""))</f>
        <v/>
      </c>
      <c r="AT224" s="369" t="str">
        <f ca="1">IF($B224&lt;&gt;"PRC_RESID","",IF(AT$7=2005+OFFSET(COM_2012!$B$60,$AW224,SUMIF($B$10:$B$16,"NCAP_TLIFE",$AX$10:$AX$16)),0,""))</f>
        <v/>
      </c>
      <c r="AU224" s="369" t="str">
        <f ca="1">IF($B224&lt;&gt;"PRC_RESID","",IF(AU$7=2005+OFFSET(COM_2012!$B$60,$AW224,SUMIF($B$10:$B$16,"NCAP_TLIFE",$AX$10:$AX$16)),0,""))</f>
        <v/>
      </c>
      <c r="AV224" s="304">
        <f>IF(AW223=COM_2012!$AI$121,AV223+1,AV223)</f>
        <v>4</v>
      </c>
      <c r="AW224" s="304">
        <f t="shared" ref="AW224:AW287" si="23">IF(AV224=AV223,AW223+1,1)</f>
        <v>14</v>
      </c>
    </row>
    <row r="225" spans="1:49">
      <c r="A225" s="304" t="str">
        <f ca="1">IF(LEFT(OFFSET(COM_2012!$A$60,AW225,0),2)="\I","*","")</f>
        <v>*</v>
      </c>
      <c r="B225" s="369" t="str">
        <f t="shared" ca="1" si="22"/>
        <v/>
      </c>
      <c r="C225" s="369" t="str">
        <f ca="1">IF($A225="*","",OFFSET(COM_2012!$B$60,AW225,0))</f>
        <v/>
      </c>
      <c r="D225" s="369" t="str">
        <f t="shared" ca="1" si="21"/>
        <v/>
      </c>
      <c r="E225" s="369" t="str">
        <f t="shared" ca="1" si="21"/>
        <v/>
      </c>
      <c r="F225" s="369" t="str">
        <f t="shared" ca="1" si="21"/>
        <v/>
      </c>
      <c r="G225" s="369" t="str">
        <f t="shared" ca="1" si="21"/>
        <v/>
      </c>
      <c r="H225" s="369" t="str">
        <f t="shared" ca="1" si="21"/>
        <v/>
      </c>
      <c r="I225" s="370" t="str">
        <f t="shared" ca="1" si="21"/>
        <v/>
      </c>
      <c r="J225" s="391" t="str">
        <f ca="1">IF($A225="*","",OFFSET(COM_2012!$B$60,AW225,SUMIF($B$10:$B$16,B225,$AX$10:$AX$16)))</f>
        <v/>
      </c>
      <c r="K225" s="369" t="str">
        <f ca="1">IF($B225&lt;&gt;"PRC_RESID","",IF(K$7=2005+OFFSET(COM_2012!$B$60,$AW225,SUMIF($B$10:$B$16,"NCAP_TLIFE",$AX$10:$AX$16)),0,""))</f>
        <v/>
      </c>
      <c r="L225" s="369" t="str">
        <f ca="1">IF($B225&lt;&gt;"PRC_RESID","",IF(L$7=2005+OFFSET(COM_2012!$B$60,$AW225,SUMIF($B$10:$B$16,"NCAP_TLIFE",$AX$10:$AX$16)),0,""))</f>
        <v/>
      </c>
      <c r="M225" s="369" t="str">
        <f ca="1">IF($B225&lt;&gt;"PRC_RESID","",IF(M$7=2005+OFFSET(COM_2012!$B$60,$AW225,SUMIF($B$10:$B$16,"NCAP_TLIFE",$AX$10:$AX$16)),0,""))</f>
        <v/>
      </c>
      <c r="N225" s="369" t="str">
        <f ca="1">IF($B225&lt;&gt;"PRC_RESID","",IF(N$7=2005+OFFSET(COM_2012!$B$60,$AW225,SUMIF($B$10:$B$16,"NCAP_TLIFE",$AX$10:$AX$16)),0,""))</f>
        <v/>
      </c>
      <c r="O225" s="658" t="str">
        <f ca="1">IF($B225&lt;&gt;"PRC_RESID","",IF(O$7=2005+OFFSET(COM_2012!$B$60,$AW225,SUMIF($B$10:$B$16,"NCAP_TLIFE",$AX$10:$AX$16)),0,""))</f>
        <v/>
      </c>
      <c r="P225" s="369" t="str">
        <f ca="1">IF($B225&lt;&gt;"PRC_RESID","",IF(P$7=2005+OFFSET(COM_2012!$B$60,$AW225,SUMIF($B$10:$B$16,"NCAP_TLIFE",$AX$10:$AX$16)),0,""))</f>
        <v/>
      </c>
      <c r="Q225" s="369" t="str">
        <f ca="1">IF($B225&lt;&gt;"PRC_RESID","",IF(Q$7=2005+OFFSET(COM_2012!$B$60,$AW225,SUMIF($B$10:$B$16,"NCAP_TLIFE",$AX$10:$AX$16)),0,""))</f>
        <v/>
      </c>
      <c r="R225" s="369" t="str">
        <f ca="1">IF($B225&lt;&gt;"PRC_RESID","",IF(R$7=2005+OFFSET(COM_2012!$B$60,$AW225,SUMIF($B$10:$B$16,"NCAP_TLIFE",$AX$10:$AX$16)),0,""))</f>
        <v/>
      </c>
      <c r="S225" s="369" t="str">
        <f ca="1">IF($B225&lt;&gt;"PRC_RESID","",IF(S$7=2005+OFFSET(COM_2012!$B$60,$AW225,SUMIF($B$10:$B$16,"NCAP_TLIFE",$AX$10:$AX$16)),0,""))</f>
        <v/>
      </c>
      <c r="T225" s="369" t="str">
        <f ca="1">IF($B225&lt;&gt;"PRC_RESID","",IF(T$7=2005+OFFSET(COM_2012!$B$60,$AW225,SUMIF($B$10:$B$16,"NCAP_TLIFE",$AX$10:$AX$16)),0,""))</f>
        <v/>
      </c>
      <c r="U225" s="369" t="str">
        <f ca="1">IF($B225&lt;&gt;"PRC_RESID","",IF(U$7=2005+OFFSET(COM_2012!$B$60,$AW225,SUMIF($B$10:$B$16,"NCAP_TLIFE",$AX$10:$AX$16)),0,""))</f>
        <v/>
      </c>
      <c r="V225" s="369" t="str">
        <f ca="1">IF($B225&lt;&gt;"PRC_RESID","",IF(V$7=2005+OFFSET(COM_2012!$B$60,$AW225,SUMIF($B$10:$B$16,"NCAP_TLIFE",$AX$10:$AX$16)),0,""))</f>
        <v/>
      </c>
      <c r="W225" s="369" t="str">
        <f ca="1">IF($B225&lt;&gt;"PRC_RESID","",IF(W$7=2005+OFFSET(COM_2012!$B$60,$AW225,SUMIF($B$10:$B$16,"NCAP_TLIFE",$AX$10:$AX$16)),0,""))</f>
        <v/>
      </c>
      <c r="X225" s="369" t="str">
        <f ca="1">IF($B225&lt;&gt;"PRC_RESID","",IF(X$7=2005+OFFSET(COM_2012!$B$60,$AW225,SUMIF($B$10:$B$16,"NCAP_TLIFE",$AX$10:$AX$16)),0,""))</f>
        <v/>
      </c>
      <c r="Y225" s="369" t="str">
        <f ca="1">IF($B225&lt;&gt;"PRC_RESID","",IF(Y$7=2005+OFFSET(COM_2012!$B$60,$AW225,SUMIF($B$10:$B$16,"NCAP_TLIFE",$AX$10:$AX$16)),0,""))</f>
        <v/>
      </c>
      <c r="Z225" s="369" t="str">
        <f ca="1">IF($B225&lt;&gt;"PRC_RESID","",IF(Z$7=2005+OFFSET(COM_2012!$B$60,$AW225,SUMIF($B$10:$B$16,"NCAP_TLIFE",$AX$10:$AX$16)),0,""))</f>
        <v/>
      </c>
      <c r="AA225" s="369" t="str">
        <f ca="1">IF($B225&lt;&gt;"PRC_RESID","",IF(AA$7=2005+OFFSET(COM_2012!$B$60,$AW225,SUMIF($B$10:$B$16,"NCAP_TLIFE",$AX$10:$AX$16)),0,""))</f>
        <v/>
      </c>
      <c r="AB225" s="369" t="str">
        <f ca="1">IF($B225&lt;&gt;"PRC_RESID","",IF(AB$7=2005+OFFSET(COM_2012!$B$60,$AW225,SUMIF($B$10:$B$16,"NCAP_TLIFE",$AX$10:$AX$16)),0,""))</f>
        <v/>
      </c>
      <c r="AC225" s="369" t="str">
        <f ca="1">IF($B225&lt;&gt;"PRC_RESID","",IF(AC$7=2005+OFFSET(COM_2012!$B$60,$AW225,SUMIF($B$10:$B$16,"NCAP_TLIFE",$AX$10:$AX$16)),0,""))</f>
        <v/>
      </c>
      <c r="AD225" s="369" t="str">
        <f ca="1">IF($B225&lt;&gt;"PRC_RESID","",IF(AD$7=2005+OFFSET(COM_2012!$B$60,$AW225,SUMIF($B$10:$B$16,"NCAP_TLIFE",$AX$10:$AX$16)),0,""))</f>
        <v/>
      </c>
      <c r="AE225" s="369" t="str">
        <f ca="1">IF($B225&lt;&gt;"PRC_RESID","",IF(AE$7=2005+OFFSET(COM_2012!$B$60,$AW225,SUMIF($B$10:$B$16,"NCAP_TLIFE",$AX$10:$AX$16)),0,""))</f>
        <v/>
      </c>
      <c r="AF225" s="369" t="str">
        <f ca="1">IF($B225&lt;&gt;"PRC_RESID","",IF(AF$7=2005+OFFSET(COM_2012!$B$60,$AW225,SUMIF($B$10:$B$16,"NCAP_TLIFE",$AX$10:$AX$16)),0,""))</f>
        <v/>
      </c>
      <c r="AG225" s="369" t="str">
        <f ca="1">IF($B225&lt;&gt;"PRC_RESID","",IF(AG$7=2005+OFFSET(COM_2012!$B$60,$AW225,SUMIF($B$10:$B$16,"NCAP_TLIFE",$AX$10:$AX$16)),0,""))</f>
        <v/>
      </c>
      <c r="AH225" s="369" t="str">
        <f ca="1">IF($B225&lt;&gt;"PRC_RESID","",IF(AH$7=2005+OFFSET(COM_2012!$B$60,$AW225,SUMIF($B$10:$B$16,"NCAP_TLIFE",$AX$10:$AX$16)),0,""))</f>
        <v/>
      </c>
      <c r="AI225" s="369" t="str">
        <f ca="1">IF($B225&lt;&gt;"PRC_RESID","",IF(AI$7=2005+OFFSET(COM_2012!$B$60,$AW225,SUMIF($B$10:$B$16,"NCAP_TLIFE",$AX$10:$AX$16)),0,""))</f>
        <v/>
      </c>
      <c r="AJ225" s="369" t="str">
        <f ca="1">IF($B225&lt;&gt;"PRC_RESID","",IF(AJ$7=2005+OFFSET(COM_2012!$B$60,$AW225,SUMIF($B$10:$B$16,"NCAP_TLIFE",$AX$10:$AX$16)),0,""))</f>
        <v/>
      </c>
      <c r="AK225" s="369" t="str">
        <f ca="1">IF($B225&lt;&gt;"PRC_RESID","",IF(AK$7=2005+OFFSET(COM_2012!$B$60,$AW225,SUMIF($B$10:$B$16,"NCAP_TLIFE",$AX$10:$AX$16)),0,""))</f>
        <v/>
      </c>
      <c r="AL225" s="369" t="str">
        <f ca="1">IF($B225&lt;&gt;"PRC_RESID","",IF(AL$7=2005+OFFSET(COM_2012!$B$60,$AW225,SUMIF($B$10:$B$16,"NCAP_TLIFE",$AX$10:$AX$16)),0,""))</f>
        <v/>
      </c>
      <c r="AM225" s="369" t="str">
        <f ca="1">IF($B225&lt;&gt;"PRC_RESID","",IF(AM$7=2005+OFFSET(COM_2012!$B$60,$AW225,SUMIF($B$10:$B$16,"NCAP_TLIFE",$AX$10:$AX$16)),0,""))</f>
        <v/>
      </c>
      <c r="AN225" s="369" t="str">
        <f ca="1">IF($B225&lt;&gt;"PRC_RESID","",IF(AN$7=2005+OFFSET(COM_2012!$B$60,$AW225,SUMIF($B$10:$B$16,"NCAP_TLIFE",$AX$10:$AX$16)),0,""))</f>
        <v/>
      </c>
      <c r="AO225" s="369" t="str">
        <f ca="1">IF($B225&lt;&gt;"PRC_RESID","",IF(AO$7=2005+OFFSET(COM_2012!$B$60,$AW225,SUMIF($B$10:$B$16,"NCAP_TLIFE",$AX$10:$AX$16)),0,""))</f>
        <v/>
      </c>
      <c r="AP225" s="369" t="str">
        <f ca="1">IF($B225&lt;&gt;"PRC_RESID","",IF(AP$7=2005+OFFSET(COM_2012!$B$60,$AW225,SUMIF($B$10:$B$16,"NCAP_TLIFE",$AX$10:$AX$16)),0,""))</f>
        <v/>
      </c>
      <c r="AQ225" s="369" t="str">
        <f ca="1">IF($B225&lt;&gt;"PRC_RESID","",IF(AQ$7=2005+OFFSET(COM_2012!$B$60,$AW225,SUMIF($B$10:$B$16,"NCAP_TLIFE",$AX$10:$AX$16)),0,""))</f>
        <v/>
      </c>
      <c r="AR225" s="369" t="str">
        <f ca="1">IF($B225&lt;&gt;"PRC_RESID","",IF(AR$7=2005+OFFSET(COM_2012!$B$60,$AW225,SUMIF($B$10:$B$16,"NCAP_TLIFE",$AX$10:$AX$16)),0,""))</f>
        <v/>
      </c>
      <c r="AS225" s="369" t="str">
        <f ca="1">IF($B225&lt;&gt;"PRC_RESID","",IF(AS$7=2005+OFFSET(COM_2012!$B$60,$AW225,SUMIF($B$10:$B$16,"NCAP_TLIFE",$AX$10:$AX$16)),0,""))</f>
        <v/>
      </c>
      <c r="AT225" s="369" t="str">
        <f ca="1">IF($B225&lt;&gt;"PRC_RESID","",IF(AT$7=2005+OFFSET(COM_2012!$B$60,$AW225,SUMIF($B$10:$B$16,"NCAP_TLIFE",$AX$10:$AX$16)),0,""))</f>
        <v/>
      </c>
      <c r="AU225" s="369" t="str">
        <f ca="1">IF($B225&lt;&gt;"PRC_RESID","",IF(AU$7=2005+OFFSET(COM_2012!$B$60,$AW225,SUMIF($B$10:$B$16,"NCAP_TLIFE",$AX$10:$AX$16)),0,""))</f>
        <v/>
      </c>
      <c r="AV225" s="304">
        <f>IF(AW224=COM_2012!$AI$121,AV224+1,AV224)</f>
        <v>4</v>
      </c>
      <c r="AW225" s="304">
        <f t="shared" si="23"/>
        <v>15</v>
      </c>
    </row>
    <row r="226" spans="1:49">
      <c r="A226" s="304" t="str">
        <f ca="1">IF(LEFT(OFFSET(COM_2012!$A$60,AW226,0),2)="\I","*","")</f>
        <v/>
      </c>
      <c r="B226" s="369" t="str">
        <f t="shared" ca="1" si="22"/>
        <v>NCAP_COST</v>
      </c>
      <c r="C226" s="369" t="str">
        <f ca="1">IF($A226="*","",OFFSET(COM_2012!$B$60,AW226,0))</f>
        <v>CEKOLP-E</v>
      </c>
      <c r="D226" s="369" t="str">
        <f t="shared" ca="1" si="21"/>
        <v>-</v>
      </c>
      <c r="E226" s="369" t="str">
        <f t="shared" ca="1" si="21"/>
        <v>-</v>
      </c>
      <c r="F226" s="369" t="str">
        <f t="shared" ca="1" si="21"/>
        <v>-</v>
      </c>
      <c r="G226" s="369" t="str">
        <f t="shared" ca="1" si="21"/>
        <v>-</v>
      </c>
      <c r="H226" s="369" t="str">
        <f t="shared" ca="1" si="21"/>
        <v>-</v>
      </c>
      <c r="I226" s="370">
        <f t="shared" ca="1" si="21"/>
        <v>0</v>
      </c>
      <c r="J226" s="391">
        <f ca="1">IF($A226="*","",OFFSET(COM_2012!$B$60,AW226,SUMIF($B$10:$B$16,B226,$AX$10:$AX$16)))</f>
        <v>176.62153776607363</v>
      </c>
      <c r="K226" s="369" t="str">
        <f ca="1">IF($B226&lt;&gt;"PRC_RESID","",IF(K$7=2005+OFFSET(COM_2012!$B$60,$AW226,SUMIF($B$10:$B$16,"NCAP_TLIFE",$AX$10:$AX$16)),0,""))</f>
        <v/>
      </c>
      <c r="L226" s="369" t="str">
        <f ca="1">IF($B226&lt;&gt;"PRC_RESID","",IF(L$7=2005+OFFSET(COM_2012!$B$60,$AW226,SUMIF($B$10:$B$16,"NCAP_TLIFE",$AX$10:$AX$16)),0,""))</f>
        <v/>
      </c>
      <c r="M226" s="369" t="str">
        <f ca="1">IF($B226&lt;&gt;"PRC_RESID","",IF(M$7=2005+OFFSET(COM_2012!$B$60,$AW226,SUMIF($B$10:$B$16,"NCAP_TLIFE",$AX$10:$AX$16)),0,""))</f>
        <v/>
      </c>
      <c r="N226" s="369" t="str">
        <f ca="1">IF($B226&lt;&gt;"PRC_RESID","",IF(N$7=2005+OFFSET(COM_2012!$B$60,$AW226,SUMIF($B$10:$B$16,"NCAP_TLIFE",$AX$10:$AX$16)),0,""))</f>
        <v/>
      </c>
      <c r="O226" s="658" t="str">
        <f ca="1">IF($B226&lt;&gt;"PRC_RESID","",IF(O$7=2005+OFFSET(COM_2012!$B$60,$AW226,SUMIF($B$10:$B$16,"NCAP_TLIFE",$AX$10:$AX$16)),0,""))</f>
        <v/>
      </c>
      <c r="P226" s="369" t="str">
        <f ca="1">IF($B226&lt;&gt;"PRC_RESID","",IF(P$7=2005+OFFSET(COM_2012!$B$60,$AW226,SUMIF($B$10:$B$16,"NCAP_TLIFE",$AX$10:$AX$16)),0,""))</f>
        <v/>
      </c>
      <c r="Q226" s="369" t="str">
        <f ca="1">IF($B226&lt;&gt;"PRC_RESID","",IF(Q$7=2005+OFFSET(COM_2012!$B$60,$AW226,SUMIF($B$10:$B$16,"NCAP_TLIFE",$AX$10:$AX$16)),0,""))</f>
        <v/>
      </c>
      <c r="R226" s="369" t="str">
        <f ca="1">IF($B226&lt;&gt;"PRC_RESID","",IF(R$7=2005+OFFSET(COM_2012!$B$60,$AW226,SUMIF($B$10:$B$16,"NCAP_TLIFE",$AX$10:$AX$16)),0,""))</f>
        <v/>
      </c>
      <c r="S226" s="369" t="str">
        <f ca="1">IF($B226&lt;&gt;"PRC_RESID","",IF(S$7=2005+OFFSET(COM_2012!$B$60,$AW226,SUMIF($B$10:$B$16,"NCAP_TLIFE",$AX$10:$AX$16)),0,""))</f>
        <v/>
      </c>
      <c r="T226" s="369" t="str">
        <f ca="1">IF($B226&lt;&gt;"PRC_RESID","",IF(T$7=2005+OFFSET(COM_2012!$B$60,$AW226,SUMIF($B$10:$B$16,"NCAP_TLIFE",$AX$10:$AX$16)),0,""))</f>
        <v/>
      </c>
      <c r="U226" s="369" t="str">
        <f ca="1">IF($B226&lt;&gt;"PRC_RESID","",IF(U$7=2005+OFFSET(COM_2012!$B$60,$AW226,SUMIF($B$10:$B$16,"NCAP_TLIFE",$AX$10:$AX$16)),0,""))</f>
        <v/>
      </c>
      <c r="V226" s="369" t="str">
        <f ca="1">IF($B226&lt;&gt;"PRC_RESID","",IF(V$7=2005+OFFSET(COM_2012!$B$60,$AW226,SUMIF($B$10:$B$16,"NCAP_TLIFE",$AX$10:$AX$16)),0,""))</f>
        <v/>
      </c>
      <c r="W226" s="369" t="str">
        <f ca="1">IF($B226&lt;&gt;"PRC_RESID","",IF(W$7=2005+OFFSET(COM_2012!$B$60,$AW226,SUMIF($B$10:$B$16,"NCAP_TLIFE",$AX$10:$AX$16)),0,""))</f>
        <v/>
      </c>
      <c r="X226" s="369" t="str">
        <f ca="1">IF($B226&lt;&gt;"PRC_RESID","",IF(X$7=2005+OFFSET(COM_2012!$B$60,$AW226,SUMIF($B$10:$B$16,"NCAP_TLIFE",$AX$10:$AX$16)),0,""))</f>
        <v/>
      </c>
      <c r="Y226" s="369" t="str">
        <f ca="1">IF($B226&lt;&gt;"PRC_RESID","",IF(Y$7=2005+OFFSET(COM_2012!$B$60,$AW226,SUMIF($B$10:$B$16,"NCAP_TLIFE",$AX$10:$AX$16)),0,""))</f>
        <v/>
      </c>
      <c r="Z226" s="369" t="str">
        <f ca="1">IF($B226&lt;&gt;"PRC_RESID","",IF(Z$7=2005+OFFSET(COM_2012!$B$60,$AW226,SUMIF($B$10:$B$16,"NCAP_TLIFE",$AX$10:$AX$16)),0,""))</f>
        <v/>
      </c>
      <c r="AA226" s="369" t="str">
        <f ca="1">IF($B226&lt;&gt;"PRC_RESID","",IF(AA$7=2005+OFFSET(COM_2012!$B$60,$AW226,SUMIF($B$10:$B$16,"NCAP_TLIFE",$AX$10:$AX$16)),0,""))</f>
        <v/>
      </c>
      <c r="AB226" s="369" t="str">
        <f ca="1">IF($B226&lt;&gt;"PRC_RESID","",IF(AB$7=2005+OFFSET(COM_2012!$B$60,$AW226,SUMIF($B$10:$B$16,"NCAP_TLIFE",$AX$10:$AX$16)),0,""))</f>
        <v/>
      </c>
      <c r="AC226" s="369" t="str">
        <f ca="1">IF($B226&lt;&gt;"PRC_RESID","",IF(AC$7=2005+OFFSET(COM_2012!$B$60,$AW226,SUMIF($B$10:$B$16,"NCAP_TLIFE",$AX$10:$AX$16)),0,""))</f>
        <v/>
      </c>
      <c r="AD226" s="369" t="str">
        <f ca="1">IF($B226&lt;&gt;"PRC_RESID","",IF(AD$7=2005+OFFSET(COM_2012!$B$60,$AW226,SUMIF($B$10:$B$16,"NCAP_TLIFE",$AX$10:$AX$16)),0,""))</f>
        <v/>
      </c>
      <c r="AE226" s="369" t="str">
        <f ca="1">IF($B226&lt;&gt;"PRC_RESID","",IF(AE$7=2005+OFFSET(COM_2012!$B$60,$AW226,SUMIF($B$10:$B$16,"NCAP_TLIFE",$AX$10:$AX$16)),0,""))</f>
        <v/>
      </c>
      <c r="AF226" s="369" t="str">
        <f ca="1">IF($B226&lt;&gt;"PRC_RESID","",IF(AF$7=2005+OFFSET(COM_2012!$B$60,$AW226,SUMIF($B$10:$B$16,"NCAP_TLIFE",$AX$10:$AX$16)),0,""))</f>
        <v/>
      </c>
      <c r="AG226" s="369" t="str">
        <f ca="1">IF($B226&lt;&gt;"PRC_RESID","",IF(AG$7=2005+OFFSET(COM_2012!$B$60,$AW226,SUMIF($B$10:$B$16,"NCAP_TLIFE",$AX$10:$AX$16)),0,""))</f>
        <v/>
      </c>
      <c r="AH226" s="369" t="str">
        <f ca="1">IF($B226&lt;&gt;"PRC_RESID","",IF(AH$7=2005+OFFSET(COM_2012!$B$60,$AW226,SUMIF($B$10:$B$16,"NCAP_TLIFE",$AX$10:$AX$16)),0,""))</f>
        <v/>
      </c>
      <c r="AI226" s="369" t="str">
        <f ca="1">IF($B226&lt;&gt;"PRC_RESID","",IF(AI$7=2005+OFFSET(COM_2012!$B$60,$AW226,SUMIF($B$10:$B$16,"NCAP_TLIFE",$AX$10:$AX$16)),0,""))</f>
        <v/>
      </c>
      <c r="AJ226" s="369" t="str">
        <f ca="1">IF($B226&lt;&gt;"PRC_RESID","",IF(AJ$7=2005+OFFSET(COM_2012!$B$60,$AW226,SUMIF($B$10:$B$16,"NCAP_TLIFE",$AX$10:$AX$16)),0,""))</f>
        <v/>
      </c>
      <c r="AK226" s="369" t="str">
        <f ca="1">IF($B226&lt;&gt;"PRC_RESID","",IF(AK$7=2005+OFFSET(COM_2012!$B$60,$AW226,SUMIF($B$10:$B$16,"NCAP_TLIFE",$AX$10:$AX$16)),0,""))</f>
        <v/>
      </c>
      <c r="AL226" s="369" t="str">
        <f ca="1">IF($B226&lt;&gt;"PRC_RESID","",IF(AL$7=2005+OFFSET(COM_2012!$B$60,$AW226,SUMIF($B$10:$B$16,"NCAP_TLIFE",$AX$10:$AX$16)),0,""))</f>
        <v/>
      </c>
      <c r="AM226" s="369" t="str">
        <f ca="1">IF($B226&lt;&gt;"PRC_RESID","",IF(AM$7=2005+OFFSET(COM_2012!$B$60,$AW226,SUMIF($B$10:$B$16,"NCAP_TLIFE",$AX$10:$AX$16)),0,""))</f>
        <v/>
      </c>
      <c r="AN226" s="369" t="str">
        <f ca="1">IF($B226&lt;&gt;"PRC_RESID","",IF(AN$7=2005+OFFSET(COM_2012!$B$60,$AW226,SUMIF($B$10:$B$16,"NCAP_TLIFE",$AX$10:$AX$16)),0,""))</f>
        <v/>
      </c>
      <c r="AO226" s="369" t="str">
        <f ca="1">IF($B226&lt;&gt;"PRC_RESID","",IF(AO$7=2005+OFFSET(COM_2012!$B$60,$AW226,SUMIF($B$10:$B$16,"NCAP_TLIFE",$AX$10:$AX$16)),0,""))</f>
        <v/>
      </c>
      <c r="AP226" s="369" t="str">
        <f ca="1">IF($B226&lt;&gt;"PRC_RESID","",IF(AP$7=2005+OFFSET(COM_2012!$B$60,$AW226,SUMIF($B$10:$B$16,"NCAP_TLIFE",$AX$10:$AX$16)),0,""))</f>
        <v/>
      </c>
      <c r="AQ226" s="369" t="str">
        <f ca="1">IF($B226&lt;&gt;"PRC_RESID","",IF(AQ$7=2005+OFFSET(COM_2012!$B$60,$AW226,SUMIF($B$10:$B$16,"NCAP_TLIFE",$AX$10:$AX$16)),0,""))</f>
        <v/>
      </c>
      <c r="AR226" s="369" t="str">
        <f ca="1">IF($B226&lt;&gt;"PRC_RESID","",IF(AR$7=2005+OFFSET(COM_2012!$B$60,$AW226,SUMIF($B$10:$B$16,"NCAP_TLIFE",$AX$10:$AX$16)),0,""))</f>
        <v/>
      </c>
      <c r="AS226" s="369" t="str">
        <f ca="1">IF($B226&lt;&gt;"PRC_RESID","",IF(AS$7=2005+OFFSET(COM_2012!$B$60,$AW226,SUMIF($B$10:$B$16,"NCAP_TLIFE",$AX$10:$AX$16)),0,""))</f>
        <v/>
      </c>
      <c r="AT226" s="369" t="str">
        <f ca="1">IF($B226&lt;&gt;"PRC_RESID","",IF(AT$7=2005+OFFSET(COM_2012!$B$60,$AW226,SUMIF($B$10:$B$16,"NCAP_TLIFE",$AX$10:$AX$16)),0,""))</f>
        <v/>
      </c>
      <c r="AU226" s="369" t="str">
        <f ca="1">IF($B226&lt;&gt;"PRC_RESID","",IF(AU$7=2005+OFFSET(COM_2012!$B$60,$AW226,SUMIF($B$10:$B$16,"NCAP_TLIFE",$AX$10:$AX$16)),0,""))</f>
        <v/>
      </c>
      <c r="AV226" s="304">
        <f>IF(AW225=COM_2012!$AI$121,AV225+1,AV225)</f>
        <v>4</v>
      </c>
      <c r="AW226" s="304">
        <f t="shared" si="23"/>
        <v>16</v>
      </c>
    </row>
    <row r="227" spans="1:49">
      <c r="A227" s="304" t="str">
        <f ca="1">IF(LEFT(OFFSET(COM_2012!$A$60,AW227,0),2)="\I","*","")</f>
        <v/>
      </c>
      <c r="B227" s="369" t="str">
        <f t="shared" ca="1" si="22"/>
        <v>NCAP_COST</v>
      </c>
      <c r="C227" s="369" t="str">
        <f ca="1">IF($A227="*","",OFFSET(COM_2012!$B$60,AW227,0))</f>
        <v>CEKELC-E</v>
      </c>
      <c r="D227" s="369" t="str">
        <f t="shared" ca="1" si="21"/>
        <v>-</v>
      </c>
      <c r="E227" s="369" t="str">
        <f t="shared" ca="1" si="21"/>
        <v>-</v>
      </c>
      <c r="F227" s="369" t="str">
        <f t="shared" ca="1" si="21"/>
        <v>-</v>
      </c>
      <c r="G227" s="369" t="str">
        <f t="shared" ca="1" si="21"/>
        <v>-</v>
      </c>
      <c r="H227" s="369" t="str">
        <f t="shared" ca="1" si="21"/>
        <v>-</v>
      </c>
      <c r="I227" s="370">
        <f t="shared" ca="1" si="21"/>
        <v>0</v>
      </c>
      <c r="J227" s="391">
        <f ca="1">IF($A227="*","",OFFSET(COM_2012!$B$60,AW227,SUMIF($B$10:$B$16,B227,$AX$10:$AX$16)))</f>
        <v>176.62153776607363</v>
      </c>
      <c r="K227" s="369" t="str">
        <f ca="1">IF($B227&lt;&gt;"PRC_RESID","",IF(K$7=2005+OFFSET(COM_2012!$B$60,$AW227,SUMIF($B$10:$B$16,"NCAP_TLIFE",$AX$10:$AX$16)),0,""))</f>
        <v/>
      </c>
      <c r="L227" s="369" t="str">
        <f ca="1">IF($B227&lt;&gt;"PRC_RESID","",IF(L$7=2005+OFFSET(COM_2012!$B$60,$AW227,SUMIF($B$10:$B$16,"NCAP_TLIFE",$AX$10:$AX$16)),0,""))</f>
        <v/>
      </c>
      <c r="M227" s="369" t="str">
        <f ca="1">IF($B227&lt;&gt;"PRC_RESID","",IF(M$7=2005+OFFSET(COM_2012!$B$60,$AW227,SUMIF($B$10:$B$16,"NCAP_TLIFE",$AX$10:$AX$16)),0,""))</f>
        <v/>
      </c>
      <c r="N227" s="369" t="str">
        <f ca="1">IF($B227&lt;&gt;"PRC_RESID","",IF(N$7=2005+OFFSET(COM_2012!$B$60,$AW227,SUMIF($B$10:$B$16,"NCAP_TLIFE",$AX$10:$AX$16)),0,""))</f>
        <v/>
      </c>
      <c r="O227" s="658" t="str">
        <f ca="1">IF($B227&lt;&gt;"PRC_RESID","",IF(O$7=2005+OFFSET(COM_2012!$B$60,$AW227,SUMIF($B$10:$B$16,"NCAP_TLIFE",$AX$10:$AX$16)),0,""))</f>
        <v/>
      </c>
      <c r="P227" s="369" t="str">
        <f ca="1">IF($B227&lt;&gt;"PRC_RESID","",IF(P$7=2005+OFFSET(COM_2012!$B$60,$AW227,SUMIF($B$10:$B$16,"NCAP_TLIFE",$AX$10:$AX$16)),0,""))</f>
        <v/>
      </c>
      <c r="Q227" s="369" t="str">
        <f ca="1">IF($B227&lt;&gt;"PRC_RESID","",IF(Q$7=2005+OFFSET(COM_2012!$B$60,$AW227,SUMIF($B$10:$B$16,"NCAP_TLIFE",$AX$10:$AX$16)),0,""))</f>
        <v/>
      </c>
      <c r="R227" s="369" t="str">
        <f ca="1">IF($B227&lt;&gt;"PRC_RESID","",IF(R$7=2005+OFFSET(COM_2012!$B$60,$AW227,SUMIF($B$10:$B$16,"NCAP_TLIFE",$AX$10:$AX$16)),0,""))</f>
        <v/>
      </c>
      <c r="S227" s="369" t="str">
        <f ca="1">IF($B227&lt;&gt;"PRC_RESID","",IF(S$7=2005+OFFSET(COM_2012!$B$60,$AW227,SUMIF($B$10:$B$16,"NCAP_TLIFE",$AX$10:$AX$16)),0,""))</f>
        <v/>
      </c>
      <c r="T227" s="369" t="str">
        <f ca="1">IF($B227&lt;&gt;"PRC_RESID","",IF(T$7=2005+OFFSET(COM_2012!$B$60,$AW227,SUMIF($B$10:$B$16,"NCAP_TLIFE",$AX$10:$AX$16)),0,""))</f>
        <v/>
      </c>
      <c r="U227" s="369" t="str">
        <f ca="1">IF($B227&lt;&gt;"PRC_RESID","",IF(U$7=2005+OFFSET(COM_2012!$B$60,$AW227,SUMIF($B$10:$B$16,"NCAP_TLIFE",$AX$10:$AX$16)),0,""))</f>
        <v/>
      </c>
      <c r="V227" s="369" t="str">
        <f ca="1">IF($B227&lt;&gt;"PRC_RESID","",IF(V$7=2005+OFFSET(COM_2012!$B$60,$AW227,SUMIF($B$10:$B$16,"NCAP_TLIFE",$AX$10:$AX$16)),0,""))</f>
        <v/>
      </c>
      <c r="W227" s="369" t="str">
        <f ca="1">IF($B227&lt;&gt;"PRC_RESID","",IF(W$7=2005+OFFSET(COM_2012!$B$60,$AW227,SUMIF($B$10:$B$16,"NCAP_TLIFE",$AX$10:$AX$16)),0,""))</f>
        <v/>
      </c>
      <c r="X227" s="369" t="str">
        <f ca="1">IF($B227&lt;&gt;"PRC_RESID","",IF(X$7=2005+OFFSET(COM_2012!$B$60,$AW227,SUMIF($B$10:$B$16,"NCAP_TLIFE",$AX$10:$AX$16)),0,""))</f>
        <v/>
      </c>
      <c r="Y227" s="369" t="str">
        <f ca="1">IF($B227&lt;&gt;"PRC_RESID","",IF(Y$7=2005+OFFSET(COM_2012!$B$60,$AW227,SUMIF($B$10:$B$16,"NCAP_TLIFE",$AX$10:$AX$16)),0,""))</f>
        <v/>
      </c>
      <c r="Z227" s="369" t="str">
        <f ca="1">IF($B227&lt;&gt;"PRC_RESID","",IF(Z$7=2005+OFFSET(COM_2012!$B$60,$AW227,SUMIF($B$10:$B$16,"NCAP_TLIFE",$AX$10:$AX$16)),0,""))</f>
        <v/>
      </c>
      <c r="AA227" s="369" t="str">
        <f ca="1">IF($B227&lt;&gt;"PRC_RESID","",IF(AA$7=2005+OFFSET(COM_2012!$B$60,$AW227,SUMIF($B$10:$B$16,"NCAP_TLIFE",$AX$10:$AX$16)),0,""))</f>
        <v/>
      </c>
      <c r="AB227" s="369" t="str">
        <f ca="1">IF($B227&lt;&gt;"PRC_RESID","",IF(AB$7=2005+OFFSET(COM_2012!$B$60,$AW227,SUMIF($B$10:$B$16,"NCAP_TLIFE",$AX$10:$AX$16)),0,""))</f>
        <v/>
      </c>
      <c r="AC227" s="369" t="str">
        <f ca="1">IF($B227&lt;&gt;"PRC_RESID","",IF(AC$7=2005+OFFSET(COM_2012!$B$60,$AW227,SUMIF($B$10:$B$16,"NCAP_TLIFE",$AX$10:$AX$16)),0,""))</f>
        <v/>
      </c>
      <c r="AD227" s="369" t="str">
        <f ca="1">IF($B227&lt;&gt;"PRC_RESID","",IF(AD$7=2005+OFFSET(COM_2012!$B$60,$AW227,SUMIF($B$10:$B$16,"NCAP_TLIFE",$AX$10:$AX$16)),0,""))</f>
        <v/>
      </c>
      <c r="AE227" s="369" t="str">
        <f ca="1">IF($B227&lt;&gt;"PRC_RESID","",IF(AE$7=2005+OFFSET(COM_2012!$B$60,$AW227,SUMIF($B$10:$B$16,"NCAP_TLIFE",$AX$10:$AX$16)),0,""))</f>
        <v/>
      </c>
      <c r="AF227" s="369" t="str">
        <f ca="1">IF($B227&lt;&gt;"PRC_RESID","",IF(AF$7=2005+OFFSET(COM_2012!$B$60,$AW227,SUMIF($B$10:$B$16,"NCAP_TLIFE",$AX$10:$AX$16)),0,""))</f>
        <v/>
      </c>
      <c r="AG227" s="369" t="str">
        <f ca="1">IF($B227&lt;&gt;"PRC_RESID","",IF(AG$7=2005+OFFSET(COM_2012!$B$60,$AW227,SUMIF($B$10:$B$16,"NCAP_TLIFE",$AX$10:$AX$16)),0,""))</f>
        <v/>
      </c>
      <c r="AH227" s="369" t="str">
        <f ca="1">IF($B227&lt;&gt;"PRC_RESID","",IF(AH$7=2005+OFFSET(COM_2012!$B$60,$AW227,SUMIF($B$10:$B$16,"NCAP_TLIFE",$AX$10:$AX$16)),0,""))</f>
        <v/>
      </c>
      <c r="AI227" s="369" t="str">
        <f ca="1">IF($B227&lt;&gt;"PRC_RESID","",IF(AI$7=2005+OFFSET(COM_2012!$B$60,$AW227,SUMIF($B$10:$B$16,"NCAP_TLIFE",$AX$10:$AX$16)),0,""))</f>
        <v/>
      </c>
      <c r="AJ227" s="369" t="str">
        <f ca="1">IF($B227&lt;&gt;"PRC_RESID","",IF(AJ$7=2005+OFFSET(COM_2012!$B$60,$AW227,SUMIF($B$10:$B$16,"NCAP_TLIFE",$AX$10:$AX$16)),0,""))</f>
        <v/>
      </c>
      <c r="AK227" s="369" t="str">
        <f ca="1">IF($B227&lt;&gt;"PRC_RESID","",IF(AK$7=2005+OFFSET(COM_2012!$B$60,$AW227,SUMIF($B$10:$B$16,"NCAP_TLIFE",$AX$10:$AX$16)),0,""))</f>
        <v/>
      </c>
      <c r="AL227" s="369" t="str">
        <f ca="1">IF($B227&lt;&gt;"PRC_RESID","",IF(AL$7=2005+OFFSET(COM_2012!$B$60,$AW227,SUMIF($B$10:$B$16,"NCAP_TLIFE",$AX$10:$AX$16)),0,""))</f>
        <v/>
      </c>
      <c r="AM227" s="369" t="str">
        <f ca="1">IF($B227&lt;&gt;"PRC_RESID","",IF(AM$7=2005+OFFSET(COM_2012!$B$60,$AW227,SUMIF($B$10:$B$16,"NCAP_TLIFE",$AX$10:$AX$16)),0,""))</f>
        <v/>
      </c>
      <c r="AN227" s="369" t="str">
        <f ca="1">IF($B227&lt;&gt;"PRC_RESID","",IF(AN$7=2005+OFFSET(COM_2012!$B$60,$AW227,SUMIF($B$10:$B$16,"NCAP_TLIFE",$AX$10:$AX$16)),0,""))</f>
        <v/>
      </c>
      <c r="AO227" s="369" t="str">
        <f ca="1">IF($B227&lt;&gt;"PRC_RESID","",IF(AO$7=2005+OFFSET(COM_2012!$B$60,$AW227,SUMIF($B$10:$B$16,"NCAP_TLIFE",$AX$10:$AX$16)),0,""))</f>
        <v/>
      </c>
      <c r="AP227" s="369" t="str">
        <f ca="1">IF($B227&lt;&gt;"PRC_RESID","",IF(AP$7=2005+OFFSET(COM_2012!$B$60,$AW227,SUMIF($B$10:$B$16,"NCAP_TLIFE",$AX$10:$AX$16)),0,""))</f>
        <v/>
      </c>
      <c r="AQ227" s="369" t="str">
        <f ca="1">IF($B227&lt;&gt;"PRC_RESID","",IF(AQ$7=2005+OFFSET(COM_2012!$B$60,$AW227,SUMIF($B$10:$B$16,"NCAP_TLIFE",$AX$10:$AX$16)),0,""))</f>
        <v/>
      </c>
      <c r="AR227" s="369" t="str">
        <f ca="1">IF($B227&lt;&gt;"PRC_RESID","",IF(AR$7=2005+OFFSET(COM_2012!$B$60,$AW227,SUMIF($B$10:$B$16,"NCAP_TLIFE",$AX$10:$AX$16)),0,""))</f>
        <v/>
      </c>
      <c r="AS227" s="369" t="str">
        <f ca="1">IF($B227&lt;&gt;"PRC_RESID","",IF(AS$7=2005+OFFSET(COM_2012!$B$60,$AW227,SUMIF($B$10:$B$16,"NCAP_TLIFE",$AX$10:$AX$16)),0,""))</f>
        <v/>
      </c>
      <c r="AT227" s="369" t="str">
        <f ca="1">IF($B227&lt;&gt;"PRC_RESID","",IF(AT$7=2005+OFFSET(COM_2012!$B$60,$AW227,SUMIF($B$10:$B$16,"NCAP_TLIFE",$AX$10:$AX$16)),0,""))</f>
        <v/>
      </c>
      <c r="AU227" s="369" t="str">
        <f ca="1">IF($B227&lt;&gt;"PRC_RESID","",IF(AU$7=2005+OFFSET(COM_2012!$B$60,$AW227,SUMIF($B$10:$B$16,"NCAP_TLIFE",$AX$10:$AX$16)),0,""))</f>
        <v/>
      </c>
      <c r="AV227" s="304">
        <f>IF(AW226=COM_2012!$AI$121,AV226+1,AV226)</f>
        <v>4</v>
      </c>
      <c r="AW227" s="304">
        <f t="shared" si="23"/>
        <v>17</v>
      </c>
    </row>
    <row r="228" spans="1:49">
      <c r="A228" s="304" t="str">
        <f ca="1">IF(LEFT(OFFSET(COM_2012!$A$60,AW228,0),2)="\I","*","")</f>
        <v/>
      </c>
      <c r="B228" s="369" t="str">
        <f t="shared" ca="1" si="22"/>
        <v>NCAP_COST</v>
      </c>
      <c r="C228" s="369" t="str">
        <f ca="1">IF($A228="*","",OFFSET(COM_2012!$B$60,AW228,0))</f>
        <v>CEKCOA-E</v>
      </c>
      <c r="D228" s="369" t="str">
        <f t="shared" ca="1" si="21"/>
        <v>-</v>
      </c>
      <c r="E228" s="369" t="str">
        <f t="shared" ca="1" si="21"/>
        <v>-</v>
      </c>
      <c r="F228" s="369" t="str">
        <f t="shared" ca="1" si="21"/>
        <v>-</v>
      </c>
      <c r="G228" s="369" t="str">
        <f t="shared" ca="1" si="21"/>
        <v>-</v>
      </c>
      <c r="H228" s="369" t="str">
        <f t="shared" ca="1" si="21"/>
        <v>-</v>
      </c>
      <c r="I228" s="370">
        <f t="shared" ca="1" si="21"/>
        <v>0</v>
      </c>
      <c r="J228" s="391">
        <f ca="1">IF($A228="*","",OFFSET(COM_2012!$B$60,AW228,SUMIF($B$10:$B$16,B228,$AX$10:$AX$16)))</f>
        <v>176.62153776607363</v>
      </c>
      <c r="K228" s="369" t="str">
        <f ca="1">IF($B228&lt;&gt;"PRC_RESID","",IF(K$7=2005+OFFSET(COM_2012!$B$60,$AW228,SUMIF($B$10:$B$16,"NCAP_TLIFE",$AX$10:$AX$16)),0,""))</f>
        <v/>
      </c>
      <c r="L228" s="369" t="str">
        <f ca="1">IF($B228&lt;&gt;"PRC_RESID","",IF(L$7=2005+OFFSET(COM_2012!$B$60,$AW228,SUMIF($B$10:$B$16,"NCAP_TLIFE",$AX$10:$AX$16)),0,""))</f>
        <v/>
      </c>
      <c r="M228" s="369" t="str">
        <f ca="1">IF($B228&lt;&gt;"PRC_RESID","",IF(M$7=2005+OFFSET(COM_2012!$B$60,$AW228,SUMIF($B$10:$B$16,"NCAP_TLIFE",$AX$10:$AX$16)),0,""))</f>
        <v/>
      </c>
      <c r="N228" s="369" t="str">
        <f ca="1">IF($B228&lt;&gt;"PRC_RESID","",IF(N$7=2005+OFFSET(COM_2012!$B$60,$AW228,SUMIF($B$10:$B$16,"NCAP_TLIFE",$AX$10:$AX$16)),0,""))</f>
        <v/>
      </c>
      <c r="O228" s="658" t="str">
        <f ca="1">IF($B228&lt;&gt;"PRC_RESID","",IF(O$7=2005+OFFSET(COM_2012!$B$60,$AW228,SUMIF($B$10:$B$16,"NCAP_TLIFE",$AX$10:$AX$16)),0,""))</f>
        <v/>
      </c>
      <c r="P228" s="369" t="str">
        <f ca="1">IF($B228&lt;&gt;"PRC_RESID","",IF(P$7=2005+OFFSET(COM_2012!$B$60,$AW228,SUMIF($B$10:$B$16,"NCAP_TLIFE",$AX$10:$AX$16)),0,""))</f>
        <v/>
      </c>
      <c r="Q228" s="369" t="str">
        <f ca="1">IF($B228&lt;&gt;"PRC_RESID","",IF(Q$7=2005+OFFSET(COM_2012!$B$60,$AW228,SUMIF($B$10:$B$16,"NCAP_TLIFE",$AX$10:$AX$16)),0,""))</f>
        <v/>
      </c>
      <c r="R228" s="369" t="str">
        <f ca="1">IF($B228&lt;&gt;"PRC_RESID","",IF(R$7=2005+OFFSET(COM_2012!$B$60,$AW228,SUMIF($B$10:$B$16,"NCAP_TLIFE",$AX$10:$AX$16)),0,""))</f>
        <v/>
      </c>
      <c r="S228" s="369" t="str">
        <f ca="1">IF($B228&lt;&gt;"PRC_RESID","",IF(S$7=2005+OFFSET(COM_2012!$B$60,$AW228,SUMIF($B$10:$B$16,"NCAP_TLIFE",$AX$10:$AX$16)),0,""))</f>
        <v/>
      </c>
      <c r="T228" s="369" t="str">
        <f ca="1">IF($B228&lt;&gt;"PRC_RESID","",IF(T$7=2005+OFFSET(COM_2012!$B$60,$AW228,SUMIF($B$10:$B$16,"NCAP_TLIFE",$AX$10:$AX$16)),0,""))</f>
        <v/>
      </c>
      <c r="U228" s="369" t="str">
        <f ca="1">IF($B228&lt;&gt;"PRC_RESID","",IF(U$7=2005+OFFSET(COM_2012!$B$60,$AW228,SUMIF($B$10:$B$16,"NCAP_TLIFE",$AX$10:$AX$16)),0,""))</f>
        <v/>
      </c>
      <c r="V228" s="369" t="str">
        <f ca="1">IF($B228&lt;&gt;"PRC_RESID","",IF(V$7=2005+OFFSET(COM_2012!$B$60,$AW228,SUMIF($B$10:$B$16,"NCAP_TLIFE",$AX$10:$AX$16)),0,""))</f>
        <v/>
      </c>
      <c r="W228" s="369" t="str">
        <f ca="1">IF($B228&lt;&gt;"PRC_RESID","",IF(W$7=2005+OFFSET(COM_2012!$B$60,$AW228,SUMIF($B$10:$B$16,"NCAP_TLIFE",$AX$10:$AX$16)),0,""))</f>
        <v/>
      </c>
      <c r="X228" s="369" t="str">
        <f ca="1">IF($B228&lt;&gt;"PRC_RESID","",IF(X$7=2005+OFFSET(COM_2012!$B$60,$AW228,SUMIF($B$10:$B$16,"NCAP_TLIFE",$AX$10:$AX$16)),0,""))</f>
        <v/>
      </c>
      <c r="Y228" s="369" t="str">
        <f ca="1">IF($B228&lt;&gt;"PRC_RESID","",IF(Y$7=2005+OFFSET(COM_2012!$B$60,$AW228,SUMIF($B$10:$B$16,"NCAP_TLIFE",$AX$10:$AX$16)),0,""))</f>
        <v/>
      </c>
      <c r="Z228" s="369" t="str">
        <f ca="1">IF($B228&lt;&gt;"PRC_RESID","",IF(Z$7=2005+OFFSET(COM_2012!$B$60,$AW228,SUMIF($B$10:$B$16,"NCAP_TLIFE",$AX$10:$AX$16)),0,""))</f>
        <v/>
      </c>
      <c r="AA228" s="369" t="str">
        <f ca="1">IF($B228&lt;&gt;"PRC_RESID","",IF(AA$7=2005+OFFSET(COM_2012!$B$60,$AW228,SUMIF($B$10:$B$16,"NCAP_TLIFE",$AX$10:$AX$16)),0,""))</f>
        <v/>
      </c>
      <c r="AB228" s="369" t="str">
        <f ca="1">IF($B228&lt;&gt;"PRC_RESID","",IF(AB$7=2005+OFFSET(COM_2012!$B$60,$AW228,SUMIF($B$10:$B$16,"NCAP_TLIFE",$AX$10:$AX$16)),0,""))</f>
        <v/>
      </c>
      <c r="AC228" s="369" t="str">
        <f ca="1">IF($B228&lt;&gt;"PRC_RESID","",IF(AC$7=2005+OFFSET(COM_2012!$B$60,$AW228,SUMIF($B$10:$B$16,"NCAP_TLIFE",$AX$10:$AX$16)),0,""))</f>
        <v/>
      </c>
      <c r="AD228" s="369" t="str">
        <f ca="1">IF($B228&lt;&gt;"PRC_RESID","",IF(AD$7=2005+OFFSET(COM_2012!$B$60,$AW228,SUMIF($B$10:$B$16,"NCAP_TLIFE",$AX$10:$AX$16)),0,""))</f>
        <v/>
      </c>
      <c r="AE228" s="369" t="str">
        <f ca="1">IF($B228&lt;&gt;"PRC_RESID","",IF(AE$7=2005+OFFSET(COM_2012!$B$60,$AW228,SUMIF($B$10:$B$16,"NCAP_TLIFE",$AX$10:$AX$16)),0,""))</f>
        <v/>
      </c>
      <c r="AF228" s="369" t="str">
        <f ca="1">IF($B228&lt;&gt;"PRC_RESID","",IF(AF$7=2005+OFFSET(COM_2012!$B$60,$AW228,SUMIF($B$10:$B$16,"NCAP_TLIFE",$AX$10:$AX$16)),0,""))</f>
        <v/>
      </c>
      <c r="AG228" s="369" t="str">
        <f ca="1">IF($B228&lt;&gt;"PRC_RESID","",IF(AG$7=2005+OFFSET(COM_2012!$B$60,$AW228,SUMIF($B$10:$B$16,"NCAP_TLIFE",$AX$10:$AX$16)),0,""))</f>
        <v/>
      </c>
      <c r="AH228" s="369" t="str">
        <f ca="1">IF($B228&lt;&gt;"PRC_RESID","",IF(AH$7=2005+OFFSET(COM_2012!$B$60,$AW228,SUMIF($B$10:$B$16,"NCAP_TLIFE",$AX$10:$AX$16)),0,""))</f>
        <v/>
      </c>
      <c r="AI228" s="369" t="str">
        <f ca="1">IF($B228&lt;&gt;"PRC_RESID","",IF(AI$7=2005+OFFSET(COM_2012!$B$60,$AW228,SUMIF($B$10:$B$16,"NCAP_TLIFE",$AX$10:$AX$16)),0,""))</f>
        <v/>
      </c>
      <c r="AJ228" s="369" t="str">
        <f ca="1">IF($B228&lt;&gt;"PRC_RESID","",IF(AJ$7=2005+OFFSET(COM_2012!$B$60,$AW228,SUMIF($B$10:$B$16,"NCAP_TLIFE",$AX$10:$AX$16)),0,""))</f>
        <v/>
      </c>
      <c r="AK228" s="369" t="str">
        <f ca="1">IF($B228&lt;&gt;"PRC_RESID","",IF(AK$7=2005+OFFSET(COM_2012!$B$60,$AW228,SUMIF($B$10:$B$16,"NCAP_TLIFE",$AX$10:$AX$16)),0,""))</f>
        <v/>
      </c>
      <c r="AL228" s="369" t="str">
        <f ca="1">IF($B228&lt;&gt;"PRC_RESID","",IF(AL$7=2005+OFFSET(COM_2012!$B$60,$AW228,SUMIF($B$10:$B$16,"NCAP_TLIFE",$AX$10:$AX$16)),0,""))</f>
        <v/>
      </c>
      <c r="AM228" s="369" t="str">
        <f ca="1">IF($B228&lt;&gt;"PRC_RESID","",IF(AM$7=2005+OFFSET(COM_2012!$B$60,$AW228,SUMIF($B$10:$B$16,"NCAP_TLIFE",$AX$10:$AX$16)),0,""))</f>
        <v/>
      </c>
      <c r="AN228" s="369" t="str">
        <f ca="1">IF($B228&lt;&gt;"PRC_RESID","",IF(AN$7=2005+OFFSET(COM_2012!$B$60,$AW228,SUMIF($B$10:$B$16,"NCAP_TLIFE",$AX$10:$AX$16)),0,""))</f>
        <v/>
      </c>
      <c r="AO228" s="369" t="str">
        <f ca="1">IF($B228&lt;&gt;"PRC_RESID","",IF(AO$7=2005+OFFSET(COM_2012!$B$60,$AW228,SUMIF($B$10:$B$16,"NCAP_TLIFE",$AX$10:$AX$16)),0,""))</f>
        <v/>
      </c>
      <c r="AP228" s="369" t="str">
        <f ca="1">IF($B228&lt;&gt;"PRC_RESID","",IF(AP$7=2005+OFFSET(COM_2012!$B$60,$AW228,SUMIF($B$10:$B$16,"NCAP_TLIFE",$AX$10:$AX$16)),0,""))</f>
        <v/>
      </c>
      <c r="AQ228" s="369" t="str">
        <f ca="1">IF($B228&lt;&gt;"PRC_RESID","",IF(AQ$7=2005+OFFSET(COM_2012!$B$60,$AW228,SUMIF($B$10:$B$16,"NCAP_TLIFE",$AX$10:$AX$16)),0,""))</f>
        <v/>
      </c>
      <c r="AR228" s="369" t="str">
        <f ca="1">IF($B228&lt;&gt;"PRC_RESID","",IF(AR$7=2005+OFFSET(COM_2012!$B$60,$AW228,SUMIF($B$10:$B$16,"NCAP_TLIFE",$AX$10:$AX$16)),0,""))</f>
        <v/>
      </c>
      <c r="AS228" s="369" t="str">
        <f ca="1">IF($B228&lt;&gt;"PRC_RESID","",IF(AS$7=2005+OFFSET(COM_2012!$B$60,$AW228,SUMIF($B$10:$B$16,"NCAP_TLIFE",$AX$10:$AX$16)),0,""))</f>
        <v/>
      </c>
      <c r="AT228" s="369" t="str">
        <f ca="1">IF($B228&lt;&gt;"PRC_RESID","",IF(AT$7=2005+OFFSET(COM_2012!$B$60,$AW228,SUMIF($B$10:$B$16,"NCAP_TLIFE",$AX$10:$AX$16)),0,""))</f>
        <v/>
      </c>
      <c r="AU228" s="369" t="str">
        <f ca="1">IF($B228&lt;&gt;"PRC_RESID","",IF(AU$7=2005+OFFSET(COM_2012!$B$60,$AW228,SUMIF($B$10:$B$16,"NCAP_TLIFE",$AX$10:$AX$16)),0,""))</f>
        <v/>
      </c>
      <c r="AV228" s="304">
        <f>IF(AW227=COM_2012!$AI$121,AV227+1,AV227)</f>
        <v>4</v>
      </c>
      <c r="AW228" s="304">
        <f t="shared" si="23"/>
        <v>18</v>
      </c>
    </row>
    <row r="229" spans="1:49">
      <c r="A229" s="304" t="str">
        <f ca="1">IF(LEFT(OFFSET(COM_2012!$A$60,AW229,0),2)="\I","*","")</f>
        <v>*</v>
      </c>
      <c r="B229" s="369" t="str">
        <f t="shared" ca="1" si="22"/>
        <v/>
      </c>
      <c r="C229" s="369" t="str">
        <f ca="1">IF($A229="*","",OFFSET(COM_2012!$B$60,AW229,0))</f>
        <v/>
      </c>
      <c r="D229" s="369" t="str">
        <f t="shared" ca="1" si="21"/>
        <v/>
      </c>
      <c r="E229" s="369" t="str">
        <f t="shared" ca="1" si="21"/>
        <v/>
      </c>
      <c r="F229" s="369" t="str">
        <f t="shared" ca="1" si="21"/>
        <v/>
      </c>
      <c r="G229" s="369" t="str">
        <f t="shared" ca="1" si="21"/>
        <v/>
      </c>
      <c r="H229" s="369" t="str">
        <f t="shared" ca="1" si="21"/>
        <v/>
      </c>
      <c r="I229" s="370" t="str">
        <f t="shared" ca="1" si="21"/>
        <v/>
      </c>
      <c r="J229" s="391" t="str">
        <f ca="1">IF($A229="*","",OFFSET(COM_2012!$B$60,AW229,SUMIF($B$10:$B$16,B229,$AX$10:$AX$16)))</f>
        <v/>
      </c>
      <c r="K229" s="369" t="str">
        <f ca="1">IF($B229&lt;&gt;"PRC_RESID","",IF(K$7=2005+OFFSET(COM_2012!$B$60,$AW229,SUMIF($B$10:$B$16,"NCAP_TLIFE",$AX$10:$AX$16)),0,""))</f>
        <v/>
      </c>
      <c r="L229" s="369" t="str">
        <f ca="1">IF($B229&lt;&gt;"PRC_RESID","",IF(L$7=2005+OFFSET(COM_2012!$B$60,$AW229,SUMIF($B$10:$B$16,"NCAP_TLIFE",$AX$10:$AX$16)),0,""))</f>
        <v/>
      </c>
      <c r="M229" s="369" t="str">
        <f ca="1">IF($B229&lt;&gt;"PRC_RESID","",IF(M$7=2005+OFFSET(COM_2012!$B$60,$AW229,SUMIF($B$10:$B$16,"NCAP_TLIFE",$AX$10:$AX$16)),0,""))</f>
        <v/>
      </c>
      <c r="N229" s="369" t="str">
        <f ca="1">IF($B229&lt;&gt;"PRC_RESID","",IF(N$7=2005+OFFSET(COM_2012!$B$60,$AW229,SUMIF($B$10:$B$16,"NCAP_TLIFE",$AX$10:$AX$16)),0,""))</f>
        <v/>
      </c>
      <c r="O229" s="658" t="str">
        <f ca="1">IF($B229&lt;&gt;"PRC_RESID","",IF(O$7=2005+OFFSET(COM_2012!$B$60,$AW229,SUMIF($B$10:$B$16,"NCAP_TLIFE",$AX$10:$AX$16)),0,""))</f>
        <v/>
      </c>
      <c r="P229" s="369" t="str">
        <f ca="1">IF($B229&lt;&gt;"PRC_RESID","",IF(P$7=2005+OFFSET(COM_2012!$B$60,$AW229,SUMIF($B$10:$B$16,"NCAP_TLIFE",$AX$10:$AX$16)),0,""))</f>
        <v/>
      </c>
      <c r="Q229" s="369" t="str">
        <f ca="1">IF($B229&lt;&gt;"PRC_RESID","",IF(Q$7=2005+OFFSET(COM_2012!$B$60,$AW229,SUMIF($B$10:$B$16,"NCAP_TLIFE",$AX$10:$AX$16)),0,""))</f>
        <v/>
      </c>
      <c r="R229" s="369" t="str">
        <f ca="1">IF($B229&lt;&gt;"PRC_RESID","",IF(R$7=2005+OFFSET(COM_2012!$B$60,$AW229,SUMIF($B$10:$B$16,"NCAP_TLIFE",$AX$10:$AX$16)),0,""))</f>
        <v/>
      </c>
      <c r="S229" s="369" t="str">
        <f ca="1">IF($B229&lt;&gt;"PRC_RESID","",IF(S$7=2005+OFFSET(COM_2012!$B$60,$AW229,SUMIF($B$10:$B$16,"NCAP_TLIFE",$AX$10:$AX$16)),0,""))</f>
        <v/>
      </c>
      <c r="T229" s="369" t="str">
        <f ca="1">IF($B229&lt;&gt;"PRC_RESID","",IF(T$7=2005+OFFSET(COM_2012!$B$60,$AW229,SUMIF($B$10:$B$16,"NCAP_TLIFE",$AX$10:$AX$16)),0,""))</f>
        <v/>
      </c>
      <c r="U229" s="369" t="str">
        <f ca="1">IF($B229&lt;&gt;"PRC_RESID","",IF(U$7=2005+OFFSET(COM_2012!$B$60,$AW229,SUMIF($B$10:$B$16,"NCAP_TLIFE",$AX$10:$AX$16)),0,""))</f>
        <v/>
      </c>
      <c r="V229" s="369" t="str">
        <f ca="1">IF($B229&lt;&gt;"PRC_RESID","",IF(V$7=2005+OFFSET(COM_2012!$B$60,$AW229,SUMIF($B$10:$B$16,"NCAP_TLIFE",$AX$10:$AX$16)),0,""))</f>
        <v/>
      </c>
      <c r="W229" s="369" t="str">
        <f ca="1">IF($B229&lt;&gt;"PRC_RESID","",IF(W$7=2005+OFFSET(COM_2012!$B$60,$AW229,SUMIF($B$10:$B$16,"NCAP_TLIFE",$AX$10:$AX$16)),0,""))</f>
        <v/>
      </c>
      <c r="X229" s="369" t="str">
        <f ca="1">IF($B229&lt;&gt;"PRC_RESID","",IF(X$7=2005+OFFSET(COM_2012!$B$60,$AW229,SUMIF($B$10:$B$16,"NCAP_TLIFE",$AX$10:$AX$16)),0,""))</f>
        <v/>
      </c>
      <c r="Y229" s="369" t="str">
        <f ca="1">IF($B229&lt;&gt;"PRC_RESID","",IF(Y$7=2005+OFFSET(COM_2012!$B$60,$AW229,SUMIF($B$10:$B$16,"NCAP_TLIFE",$AX$10:$AX$16)),0,""))</f>
        <v/>
      </c>
      <c r="Z229" s="369" t="str">
        <f ca="1">IF($B229&lt;&gt;"PRC_RESID","",IF(Z$7=2005+OFFSET(COM_2012!$B$60,$AW229,SUMIF($B$10:$B$16,"NCAP_TLIFE",$AX$10:$AX$16)),0,""))</f>
        <v/>
      </c>
      <c r="AA229" s="369" t="str">
        <f ca="1">IF($B229&lt;&gt;"PRC_RESID","",IF(AA$7=2005+OFFSET(COM_2012!$B$60,$AW229,SUMIF($B$10:$B$16,"NCAP_TLIFE",$AX$10:$AX$16)),0,""))</f>
        <v/>
      </c>
      <c r="AB229" s="369" t="str">
        <f ca="1">IF($B229&lt;&gt;"PRC_RESID","",IF(AB$7=2005+OFFSET(COM_2012!$B$60,$AW229,SUMIF($B$10:$B$16,"NCAP_TLIFE",$AX$10:$AX$16)),0,""))</f>
        <v/>
      </c>
      <c r="AC229" s="369" t="str">
        <f ca="1">IF($B229&lt;&gt;"PRC_RESID","",IF(AC$7=2005+OFFSET(COM_2012!$B$60,$AW229,SUMIF($B$10:$B$16,"NCAP_TLIFE",$AX$10:$AX$16)),0,""))</f>
        <v/>
      </c>
      <c r="AD229" s="369" t="str">
        <f ca="1">IF($B229&lt;&gt;"PRC_RESID","",IF(AD$7=2005+OFFSET(COM_2012!$B$60,$AW229,SUMIF($B$10:$B$16,"NCAP_TLIFE",$AX$10:$AX$16)),0,""))</f>
        <v/>
      </c>
      <c r="AE229" s="369" t="str">
        <f ca="1">IF($B229&lt;&gt;"PRC_RESID","",IF(AE$7=2005+OFFSET(COM_2012!$B$60,$AW229,SUMIF($B$10:$B$16,"NCAP_TLIFE",$AX$10:$AX$16)),0,""))</f>
        <v/>
      </c>
      <c r="AF229" s="369" t="str">
        <f ca="1">IF($B229&lt;&gt;"PRC_RESID","",IF(AF$7=2005+OFFSET(COM_2012!$B$60,$AW229,SUMIF($B$10:$B$16,"NCAP_TLIFE",$AX$10:$AX$16)),0,""))</f>
        <v/>
      </c>
      <c r="AG229" s="369" t="str">
        <f ca="1">IF($B229&lt;&gt;"PRC_RESID","",IF(AG$7=2005+OFFSET(COM_2012!$B$60,$AW229,SUMIF($B$10:$B$16,"NCAP_TLIFE",$AX$10:$AX$16)),0,""))</f>
        <v/>
      </c>
      <c r="AH229" s="369" t="str">
        <f ca="1">IF($B229&lt;&gt;"PRC_RESID","",IF(AH$7=2005+OFFSET(COM_2012!$B$60,$AW229,SUMIF($B$10:$B$16,"NCAP_TLIFE",$AX$10:$AX$16)),0,""))</f>
        <v/>
      </c>
      <c r="AI229" s="369" t="str">
        <f ca="1">IF($B229&lt;&gt;"PRC_RESID","",IF(AI$7=2005+OFFSET(COM_2012!$B$60,$AW229,SUMIF($B$10:$B$16,"NCAP_TLIFE",$AX$10:$AX$16)),0,""))</f>
        <v/>
      </c>
      <c r="AJ229" s="369" t="str">
        <f ca="1">IF($B229&lt;&gt;"PRC_RESID","",IF(AJ$7=2005+OFFSET(COM_2012!$B$60,$AW229,SUMIF($B$10:$B$16,"NCAP_TLIFE",$AX$10:$AX$16)),0,""))</f>
        <v/>
      </c>
      <c r="AK229" s="369" t="str">
        <f ca="1">IF($B229&lt;&gt;"PRC_RESID","",IF(AK$7=2005+OFFSET(COM_2012!$B$60,$AW229,SUMIF($B$10:$B$16,"NCAP_TLIFE",$AX$10:$AX$16)),0,""))</f>
        <v/>
      </c>
      <c r="AL229" s="369" t="str">
        <f ca="1">IF($B229&lt;&gt;"PRC_RESID","",IF(AL$7=2005+OFFSET(COM_2012!$B$60,$AW229,SUMIF($B$10:$B$16,"NCAP_TLIFE",$AX$10:$AX$16)),0,""))</f>
        <v/>
      </c>
      <c r="AM229" s="369" t="str">
        <f ca="1">IF($B229&lt;&gt;"PRC_RESID","",IF(AM$7=2005+OFFSET(COM_2012!$B$60,$AW229,SUMIF($B$10:$B$16,"NCAP_TLIFE",$AX$10:$AX$16)),0,""))</f>
        <v/>
      </c>
      <c r="AN229" s="369" t="str">
        <f ca="1">IF($B229&lt;&gt;"PRC_RESID","",IF(AN$7=2005+OFFSET(COM_2012!$B$60,$AW229,SUMIF($B$10:$B$16,"NCAP_TLIFE",$AX$10:$AX$16)),0,""))</f>
        <v/>
      </c>
      <c r="AO229" s="369" t="str">
        <f ca="1">IF($B229&lt;&gt;"PRC_RESID","",IF(AO$7=2005+OFFSET(COM_2012!$B$60,$AW229,SUMIF($B$10:$B$16,"NCAP_TLIFE",$AX$10:$AX$16)),0,""))</f>
        <v/>
      </c>
      <c r="AP229" s="369" t="str">
        <f ca="1">IF($B229&lt;&gt;"PRC_RESID","",IF(AP$7=2005+OFFSET(COM_2012!$B$60,$AW229,SUMIF($B$10:$B$16,"NCAP_TLIFE",$AX$10:$AX$16)),0,""))</f>
        <v/>
      </c>
      <c r="AQ229" s="369" t="str">
        <f ca="1">IF($B229&lt;&gt;"PRC_RESID","",IF(AQ$7=2005+OFFSET(COM_2012!$B$60,$AW229,SUMIF($B$10:$B$16,"NCAP_TLIFE",$AX$10:$AX$16)),0,""))</f>
        <v/>
      </c>
      <c r="AR229" s="369" t="str">
        <f ca="1">IF($B229&lt;&gt;"PRC_RESID","",IF(AR$7=2005+OFFSET(COM_2012!$B$60,$AW229,SUMIF($B$10:$B$16,"NCAP_TLIFE",$AX$10:$AX$16)),0,""))</f>
        <v/>
      </c>
      <c r="AS229" s="369" t="str">
        <f ca="1">IF($B229&lt;&gt;"PRC_RESID","",IF(AS$7=2005+OFFSET(COM_2012!$B$60,$AW229,SUMIF($B$10:$B$16,"NCAP_TLIFE",$AX$10:$AX$16)),0,""))</f>
        <v/>
      </c>
      <c r="AT229" s="369" t="str">
        <f ca="1">IF($B229&lt;&gt;"PRC_RESID","",IF(AT$7=2005+OFFSET(COM_2012!$B$60,$AW229,SUMIF($B$10:$B$16,"NCAP_TLIFE",$AX$10:$AX$16)),0,""))</f>
        <v/>
      </c>
      <c r="AU229" s="369" t="str">
        <f ca="1">IF($B229&lt;&gt;"PRC_RESID","",IF(AU$7=2005+OFFSET(COM_2012!$B$60,$AW229,SUMIF($B$10:$B$16,"NCAP_TLIFE",$AX$10:$AX$16)),0,""))</f>
        <v/>
      </c>
      <c r="AV229" s="304">
        <f>IF(AW228=COM_2012!$AI$121,AV228+1,AV228)</f>
        <v>4</v>
      </c>
      <c r="AW229" s="304">
        <f t="shared" si="23"/>
        <v>19</v>
      </c>
    </row>
    <row r="230" spans="1:49">
      <c r="A230" s="304" t="str">
        <f ca="1">IF(LEFT(OFFSET(COM_2012!$A$60,AW230,0),2)="\I","*","")</f>
        <v>*</v>
      </c>
      <c r="B230" s="369" t="str">
        <f t="shared" ca="1" si="22"/>
        <v/>
      </c>
      <c r="C230" s="369" t="str">
        <f ca="1">IF($A230="*","",OFFSET(COM_2012!$B$60,AW230,0))</f>
        <v/>
      </c>
      <c r="D230" s="369" t="str">
        <f t="shared" ref="D230:I245" ca="1" si="24">IF($A230="*","",VLOOKUP($B230,$B$10:$I$16,D$9,FALSE))</f>
        <v/>
      </c>
      <c r="E230" s="369" t="str">
        <f t="shared" ca="1" si="24"/>
        <v/>
      </c>
      <c r="F230" s="369" t="str">
        <f t="shared" ca="1" si="24"/>
        <v/>
      </c>
      <c r="G230" s="369" t="str">
        <f t="shared" ca="1" si="24"/>
        <v/>
      </c>
      <c r="H230" s="369" t="str">
        <f t="shared" ca="1" si="24"/>
        <v/>
      </c>
      <c r="I230" s="370" t="str">
        <f t="shared" ca="1" si="24"/>
        <v/>
      </c>
      <c r="J230" s="391" t="str">
        <f ca="1">IF($A230="*","",OFFSET(COM_2012!$B$60,AW230,SUMIF($B$10:$B$16,B230,$AX$10:$AX$16)))</f>
        <v/>
      </c>
      <c r="K230" s="369" t="str">
        <f ca="1">IF($B230&lt;&gt;"PRC_RESID","",IF(K$7=2005+OFFSET(COM_2012!$B$60,$AW230,SUMIF($B$10:$B$16,"NCAP_TLIFE",$AX$10:$AX$16)),0,""))</f>
        <v/>
      </c>
      <c r="L230" s="369" t="str">
        <f ca="1">IF($B230&lt;&gt;"PRC_RESID","",IF(L$7=2005+OFFSET(COM_2012!$B$60,$AW230,SUMIF($B$10:$B$16,"NCAP_TLIFE",$AX$10:$AX$16)),0,""))</f>
        <v/>
      </c>
      <c r="M230" s="369" t="str">
        <f ca="1">IF($B230&lt;&gt;"PRC_RESID","",IF(M$7=2005+OFFSET(COM_2012!$B$60,$AW230,SUMIF($B$10:$B$16,"NCAP_TLIFE",$AX$10:$AX$16)),0,""))</f>
        <v/>
      </c>
      <c r="N230" s="369" t="str">
        <f ca="1">IF($B230&lt;&gt;"PRC_RESID","",IF(N$7=2005+OFFSET(COM_2012!$B$60,$AW230,SUMIF($B$10:$B$16,"NCAP_TLIFE",$AX$10:$AX$16)),0,""))</f>
        <v/>
      </c>
      <c r="O230" s="658" t="str">
        <f ca="1">IF($B230&lt;&gt;"PRC_RESID","",IF(O$7=2005+OFFSET(COM_2012!$B$60,$AW230,SUMIF($B$10:$B$16,"NCAP_TLIFE",$AX$10:$AX$16)),0,""))</f>
        <v/>
      </c>
      <c r="P230" s="369" t="str">
        <f ca="1">IF($B230&lt;&gt;"PRC_RESID","",IF(P$7=2005+OFFSET(COM_2012!$B$60,$AW230,SUMIF($B$10:$B$16,"NCAP_TLIFE",$AX$10:$AX$16)),0,""))</f>
        <v/>
      </c>
      <c r="Q230" s="369" t="str">
        <f ca="1">IF($B230&lt;&gt;"PRC_RESID","",IF(Q$7=2005+OFFSET(COM_2012!$B$60,$AW230,SUMIF($B$10:$B$16,"NCAP_TLIFE",$AX$10:$AX$16)),0,""))</f>
        <v/>
      </c>
      <c r="R230" s="369" t="str">
        <f ca="1">IF($B230&lt;&gt;"PRC_RESID","",IF(R$7=2005+OFFSET(COM_2012!$B$60,$AW230,SUMIF($B$10:$B$16,"NCAP_TLIFE",$AX$10:$AX$16)),0,""))</f>
        <v/>
      </c>
      <c r="S230" s="369" t="str">
        <f ca="1">IF($B230&lt;&gt;"PRC_RESID","",IF(S$7=2005+OFFSET(COM_2012!$B$60,$AW230,SUMIF($B$10:$B$16,"NCAP_TLIFE",$AX$10:$AX$16)),0,""))</f>
        <v/>
      </c>
      <c r="T230" s="369" t="str">
        <f ca="1">IF($B230&lt;&gt;"PRC_RESID","",IF(T$7=2005+OFFSET(COM_2012!$B$60,$AW230,SUMIF($B$10:$B$16,"NCAP_TLIFE",$AX$10:$AX$16)),0,""))</f>
        <v/>
      </c>
      <c r="U230" s="369" t="str">
        <f ca="1">IF($B230&lt;&gt;"PRC_RESID","",IF(U$7=2005+OFFSET(COM_2012!$B$60,$AW230,SUMIF($B$10:$B$16,"NCAP_TLIFE",$AX$10:$AX$16)),0,""))</f>
        <v/>
      </c>
      <c r="V230" s="369" t="str">
        <f ca="1">IF($B230&lt;&gt;"PRC_RESID","",IF(V$7=2005+OFFSET(COM_2012!$B$60,$AW230,SUMIF($B$10:$B$16,"NCAP_TLIFE",$AX$10:$AX$16)),0,""))</f>
        <v/>
      </c>
      <c r="W230" s="369" t="str">
        <f ca="1">IF($B230&lt;&gt;"PRC_RESID","",IF(W$7=2005+OFFSET(COM_2012!$B$60,$AW230,SUMIF($B$10:$B$16,"NCAP_TLIFE",$AX$10:$AX$16)),0,""))</f>
        <v/>
      </c>
      <c r="X230" s="369" t="str">
        <f ca="1">IF($B230&lt;&gt;"PRC_RESID","",IF(X$7=2005+OFFSET(COM_2012!$B$60,$AW230,SUMIF($B$10:$B$16,"NCAP_TLIFE",$AX$10:$AX$16)),0,""))</f>
        <v/>
      </c>
      <c r="Y230" s="369" t="str">
        <f ca="1">IF($B230&lt;&gt;"PRC_RESID","",IF(Y$7=2005+OFFSET(COM_2012!$B$60,$AW230,SUMIF($B$10:$B$16,"NCAP_TLIFE",$AX$10:$AX$16)),0,""))</f>
        <v/>
      </c>
      <c r="Z230" s="369" t="str">
        <f ca="1">IF($B230&lt;&gt;"PRC_RESID","",IF(Z$7=2005+OFFSET(COM_2012!$B$60,$AW230,SUMIF($B$10:$B$16,"NCAP_TLIFE",$AX$10:$AX$16)),0,""))</f>
        <v/>
      </c>
      <c r="AA230" s="369" t="str">
        <f ca="1">IF($B230&lt;&gt;"PRC_RESID","",IF(AA$7=2005+OFFSET(COM_2012!$B$60,$AW230,SUMIF($B$10:$B$16,"NCAP_TLIFE",$AX$10:$AX$16)),0,""))</f>
        <v/>
      </c>
      <c r="AB230" s="369" t="str">
        <f ca="1">IF($B230&lt;&gt;"PRC_RESID","",IF(AB$7=2005+OFFSET(COM_2012!$B$60,$AW230,SUMIF($B$10:$B$16,"NCAP_TLIFE",$AX$10:$AX$16)),0,""))</f>
        <v/>
      </c>
      <c r="AC230" s="369" t="str">
        <f ca="1">IF($B230&lt;&gt;"PRC_RESID","",IF(AC$7=2005+OFFSET(COM_2012!$B$60,$AW230,SUMIF($B$10:$B$16,"NCAP_TLIFE",$AX$10:$AX$16)),0,""))</f>
        <v/>
      </c>
      <c r="AD230" s="369" t="str">
        <f ca="1">IF($B230&lt;&gt;"PRC_RESID","",IF(AD$7=2005+OFFSET(COM_2012!$B$60,$AW230,SUMIF($B$10:$B$16,"NCAP_TLIFE",$AX$10:$AX$16)),0,""))</f>
        <v/>
      </c>
      <c r="AE230" s="369" t="str">
        <f ca="1">IF($B230&lt;&gt;"PRC_RESID","",IF(AE$7=2005+OFFSET(COM_2012!$B$60,$AW230,SUMIF($B$10:$B$16,"NCAP_TLIFE",$AX$10:$AX$16)),0,""))</f>
        <v/>
      </c>
      <c r="AF230" s="369" t="str">
        <f ca="1">IF($B230&lt;&gt;"PRC_RESID","",IF(AF$7=2005+OFFSET(COM_2012!$B$60,$AW230,SUMIF($B$10:$B$16,"NCAP_TLIFE",$AX$10:$AX$16)),0,""))</f>
        <v/>
      </c>
      <c r="AG230" s="369" t="str">
        <f ca="1">IF($B230&lt;&gt;"PRC_RESID","",IF(AG$7=2005+OFFSET(COM_2012!$B$60,$AW230,SUMIF($B$10:$B$16,"NCAP_TLIFE",$AX$10:$AX$16)),0,""))</f>
        <v/>
      </c>
      <c r="AH230" s="369" t="str">
        <f ca="1">IF($B230&lt;&gt;"PRC_RESID","",IF(AH$7=2005+OFFSET(COM_2012!$B$60,$AW230,SUMIF($B$10:$B$16,"NCAP_TLIFE",$AX$10:$AX$16)),0,""))</f>
        <v/>
      </c>
      <c r="AI230" s="369" t="str">
        <f ca="1">IF($B230&lt;&gt;"PRC_RESID","",IF(AI$7=2005+OFFSET(COM_2012!$B$60,$AW230,SUMIF($B$10:$B$16,"NCAP_TLIFE",$AX$10:$AX$16)),0,""))</f>
        <v/>
      </c>
      <c r="AJ230" s="369" t="str">
        <f ca="1">IF($B230&lt;&gt;"PRC_RESID","",IF(AJ$7=2005+OFFSET(COM_2012!$B$60,$AW230,SUMIF($B$10:$B$16,"NCAP_TLIFE",$AX$10:$AX$16)),0,""))</f>
        <v/>
      </c>
      <c r="AK230" s="369" t="str">
        <f ca="1">IF($B230&lt;&gt;"PRC_RESID","",IF(AK$7=2005+OFFSET(COM_2012!$B$60,$AW230,SUMIF($B$10:$B$16,"NCAP_TLIFE",$AX$10:$AX$16)),0,""))</f>
        <v/>
      </c>
      <c r="AL230" s="369" t="str">
        <f ca="1">IF($B230&lt;&gt;"PRC_RESID","",IF(AL$7=2005+OFFSET(COM_2012!$B$60,$AW230,SUMIF($B$10:$B$16,"NCAP_TLIFE",$AX$10:$AX$16)),0,""))</f>
        <v/>
      </c>
      <c r="AM230" s="369" t="str">
        <f ca="1">IF($B230&lt;&gt;"PRC_RESID","",IF(AM$7=2005+OFFSET(COM_2012!$B$60,$AW230,SUMIF($B$10:$B$16,"NCAP_TLIFE",$AX$10:$AX$16)),0,""))</f>
        <v/>
      </c>
      <c r="AN230" s="369" t="str">
        <f ca="1">IF($B230&lt;&gt;"PRC_RESID","",IF(AN$7=2005+OFFSET(COM_2012!$B$60,$AW230,SUMIF($B$10:$B$16,"NCAP_TLIFE",$AX$10:$AX$16)),0,""))</f>
        <v/>
      </c>
      <c r="AO230" s="369" t="str">
        <f ca="1">IF($B230&lt;&gt;"PRC_RESID","",IF(AO$7=2005+OFFSET(COM_2012!$B$60,$AW230,SUMIF($B$10:$B$16,"NCAP_TLIFE",$AX$10:$AX$16)),0,""))</f>
        <v/>
      </c>
      <c r="AP230" s="369" t="str">
        <f ca="1">IF($B230&lt;&gt;"PRC_RESID","",IF(AP$7=2005+OFFSET(COM_2012!$B$60,$AW230,SUMIF($B$10:$B$16,"NCAP_TLIFE",$AX$10:$AX$16)),0,""))</f>
        <v/>
      </c>
      <c r="AQ230" s="369" t="str">
        <f ca="1">IF($B230&lt;&gt;"PRC_RESID","",IF(AQ$7=2005+OFFSET(COM_2012!$B$60,$AW230,SUMIF($B$10:$B$16,"NCAP_TLIFE",$AX$10:$AX$16)),0,""))</f>
        <v/>
      </c>
      <c r="AR230" s="369" t="str">
        <f ca="1">IF($B230&lt;&gt;"PRC_RESID","",IF(AR$7=2005+OFFSET(COM_2012!$B$60,$AW230,SUMIF($B$10:$B$16,"NCAP_TLIFE",$AX$10:$AX$16)),0,""))</f>
        <v/>
      </c>
      <c r="AS230" s="369" t="str">
        <f ca="1">IF($B230&lt;&gt;"PRC_RESID","",IF(AS$7=2005+OFFSET(COM_2012!$B$60,$AW230,SUMIF($B$10:$B$16,"NCAP_TLIFE",$AX$10:$AX$16)),0,""))</f>
        <v/>
      </c>
      <c r="AT230" s="369" t="str">
        <f ca="1">IF($B230&lt;&gt;"PRC_RESID","",IF(AT$7=2005+OFFSET(COM_2012!$B$60,$AW230,SUMIF($B$10:$B$16,"NCAP_TLIFE",$AX$10:$AX$16)),0,""))</f>
        <v/>
      </c>
      <c r="AU230" s="369" t="str">
        <f ca="1">IF($B230&lt;&gt;"PRC_RESID","",IF(AU$7=2005+OFFSET(COM_2012!$B$60,$AW230,SUMIF($B$10:$B$16,"NCAP_TLIFE",$AX$10:$AX$16)),0,""))</f>
        <v/>
      </c>
      <c r="AV230" s="304">
        <f>IF(AW229=COM_2012!$AI$121,AV229+1,AV229)</f>
        <v>4</v>
      </c>
      <c r="AW230" s="304">
        <f t="shared" si="23"/>
        <v>20</v>
      </c>
    </row>
    <row r="231" spans="1:49">
      <c r="A231" s="304" t="str">
        <f ca="1">IF(LEFT(OFFSET(COM_2012!$A$60,AW231,0),2)="\I","*","")</f>
        <v/>
      </c>
      <c r="B231" s="369" t="str">
        <f t="shared" ca="1" si="22"/>
        <v>NCAP_COST</v>
      </c>
      <c r="C231" s="369" t="str">
        <f ca="1">IF($A231="*","",OFFSET(COM_2012!$B$60,AW231,0))</f>
        <v>CELELCCFL-E</v>
      </c>
      <c r="D231" s="369" t="str">
        <f t="shared" ca="1" si="24"/>
        <v>-</v>
      </c>
      <c r="E231" s="369" t="str">
        <f t="shared" ca="1" si="24"/>
        <v>-</v>
      </c>
      <c r="F231" s="369" t="str">
        <f t="shared" ca="1" si="24"/>
        <v>-</v>
      </c>
      <c r="G231" s="369" t="str">
        <f t="shared" ca="1" si="24"/>
        <v>-</v>
      </c>
      <c r="H231" s="369" t="str">
        <f t="shared" ca="1" si="24"/>
        <v>-</v>
      </c>
      <c r="I231" s="370">
        <f t="shared" ca="1" si="24"/>
        <v>0</v>
      </c>
      <c r="J231" s="391">
        <f ca="1">IF($A231="*","",OFFSET(COM_2012!$B$60,AW231,SUMIF($B$10:$B$16,B231,$AX$10:$AX$16)))</f>
        <v>2.5202184369189848</v>
      </c>
      <c r="K231" s="369" t="str">
        <f ca="1">IF($B231&lt;&gt;"PRC_RESID","",IF(K$7=2005+OFFSET(COM_2012!$B$60,$AW231,SUMIF($B$10:$B$16,"NCAP_TLIFE",$AX$10:$AX$16)),0,""))</f>
        <v/>
      </c>
      <c r="L231" s="369" t="str">
        <f ca="1">IF($B231&lt;&gt;"PRC_RESID","",IF(L$7=2005+OFFSET(COM_2012!$B$60,$AW231,SUMIF($B$10:$B$16,"NCAP_TLIFE",$AX$10:$AX$16)),0,""))</f>
        <v/>
      </c>
      <c r="M231" s="369" t="str">
        <f ca="1">IF($B231&lt;&gt;"PRC_RESID","",IF(M$7=2005+OFFSET(COM_2012!$B$60,$AW231,SUMIF($B$10:$B$16,"NCAP_TLIFE",$AX$10:$AX$16)),0,""))</f>
        <v/>
      </c>
      <c r="N231" s="369" t="str">
        <f ca="1">IF($B231&lt;&gt;"PRC_RESID","",IF(N$7=2005+OFFSET(COM_2012!$B$60,$AW231,SUMIF($B$10:$B$16,"NCAP_TLIFE",$AX$10:$AX$16)),0,""))</f>
        <v/>
      </c>
      <c r="O231" s="658" t="str">
        <f ca="1">IF($B231&lt;&gt;"PRC_RESID","",IF(O$7=2005+OFFSET(COM_2012!$B$60,$AW231,SUMIF($B$10:$B$16,"NCAP_TLIFE",$AX$10:$AX$16)),0,""))</f>
        <v/>
      </c>
      <c r="P231" s="369" t="str">
        <f ca="1">IF($B231&lt;&gt;"PRC_RESID","",IF(P$7=2005+OFFSET(COM_2012!$B$60,$AW231,SUMIF($B$10:$B$16,"NCAP_TLIFE",$AX$10:$AX$16)),0,""))</f>
        <v/>
      </c>
      <c r="Q231" s="369" t="str">
        <f ca="1">IF($B231&lt;&gt;"PRC_RESID","",IF(Q$7=2005+OFFSET(COM_2012!$B$60,$AW231,SUMIF($B$10:$B$16,"NCAP_TLIFE",$AX$10:$AX$16)),0,""))</f>
        <v/>
      </c>
      <c r="R231" s="369" t="str">
        <f ca="1">IF($B231&lt;&gt;"PRC_RESID","",IF(R$7=2005+OFFSET(COM_2012!$B$60,$AW231,SUMIF($B$10:$B$16,"NCAP_TLIFE",$AX$10:$AX$16)),0,""))</f>
        <v/>
      </c>
      <c r="S231" s="369" t="str">
        <f ca="1">IF($B231&lt;&gt;"PRC_RESID","",IF(S$7=2005+OFFSET(COM_2012!$B$60,$AW231,SUMIF($B$10:$B$16,"NCAP_TLIFE",$AX$10:$AX$16)),0,""))</f>
        <v/>
      </c>
      <c r="T231" s="369" t="str">
        <f ca="1">IF($B231&lt;&gt;"PRC_RESID","",IF(T$7=2005+OFFSET(COM_2012!$B$60,$AW231,SUMIF($B$10:$B$16,"NCAP_TLIFE",$AX$10:$AX$16)),0,""))</f>
        <v/>
      </c>
      <c r="U231" s="369" t="str">
        <f ca="1">IF($B231&lt;&gt;"PRC_RESID","",IF(U$7=2005+OFFSET(COM_2012!$B$60,$AW231,SUMIF($B$10:$B$16,"NCAP_TLIFE",$AX$10:$AX$16)),0,""))</f>
        <v/>
      </c>
      <c r="V231" s="369" t="str">
        <f ca="1">IF($B231&lt;&gt;"PRC_RESID","",IF(V$7=2005+OFFSET(COM_2012!$B$60,$AW231,SUMIF($B$10:$B$16,"NCAP_TLIFE",$AX$10:$AX$16)),0,""))</f>
        <v/>
      </c>
      <c r="W231" s="369" t="str">
        <f ca="1">IF($B231&lt;&gt;"PRC_RESID","",IF(W$7=2005+OFFSET(COM_2012!$B$60,$AW231,SUMIF($B$10:$B$16,"NCAP_TLIFE",$AX$10:$AX$16)),0,""))</f>
        <v/>
      </c>
      <c r="X231" s="369" t="str">
        <f ca="1">IF($B231&lt;&gt;"PRC_RESID","",IF(X$7=2005+OFFSET(COM_2012!$B$60,$AW231,SUMIF($B$10:$B$16,"NCAP_TLIFE",$AX$10:$AX$16)),0,""))</f>
        <v/>
      </c>
      <c r="Y231" s="369" t="str">
        <f ca="1">IF($B231&lt;&gt;"PRC_RESID","",IF(Y$7=2005+OFFSET(COM_2012!$B$60,$AW231,SUMIF($B$10:$B$16,"NCAP_TLIFE",$AX$10:$AX$16)),0,""))</f>
        <v/>
      </c>
      <c r="Z231" s="369" t="str">
        <f ca="1">IF($B231&lt;&gt;"PRC_RESID","",IF(Z$7=2005+OFFSET(COM_2012!$B$60,$AW231,SUMIF($B$10:$B$16,"NCAP_TLIFE",$AX$10:$AX$16)),0,""))</f>
        <v/>
      </c>
      <c r="AA231" s="369" t="str">
        <f ca="1">IF($B231&lt;&gt;"PRC_RESID","",IF(AA$7=2005+OFFSET(COM_2012!$B$60,$AW231,SUMIF($B$10:$B$16,"NCAP_TLIFE",$AX$10:$AX$16)),0,""))</f>
        <v/>
      </c>
      <c r="AB231" s="369" t="str">
        <f ca="1">IF($B231&lt;&gt;"PRC_RESID","",IF(AB$7=2005+OFFSET(COM_2012!$B$60,$AW231,SUMIF($B$10:$B$16,"NCAP_TLIFE",$AX$10:$AX$16)),0,""))</f>
        <v/>
      </c>
      <c r="AC231" s="369" t="str">
        <f ca="1">IF($B231&lt;&gt;"PRC_RESID","",IF(AC$7=2005+OFFSET(COM_2012!$B$60,$AW231,SUMIF($B$10:$B$16,"NCAP_TLIFE",$AX$10:$AX$16)),0,""))</f>
        <v/>
      </c>
      <c r="AD231" s="369" t="str">
        <f ca="1">IF($B231&lt;&gt;"PRC_RESID","",IF(AD$7=2005+OFFSET(COM_2012!$B$60,$AW231,SUMIF($B$10:$B$16,"NCAP_TLIFE",$AX$10:$AX$16)),0,""))</f>
        <v/>
      </c>
      <c r="AE231" s="369" t="str">
        <f ca="1">IF($B231&lt;&gt;"PRC_RESID","",IF(AE$7=2005+OFFSET(COM_2012!$B$60,$AW231,SUMIF($B$10:$B$16,"NCAP_TLIFE",$AX$10:$AX$16)),0,""))</f>
        <v/>
      </c>
      <c r="AF231" s="369" t="str">
        <f ca="1">IF($B231&lt;&gt;"PRC_RESID","",IF(AF$7=2005+OFFSET(COM_2012!$B$60,$AW231,SUMIF($B$10:$B$16,"NCAP_TLIFE",$AX$10:$AX$16)),0,""))</f>
        <v/>
      </c>
      <c r="AG231" s="369" t="str">
        <f ca="1">IF($B231&lt;&gt;"PRC_RESID","",IF(AG$7=2005+OFFSET(COM_2012!$B$60,$AW231,SUMIF($B$10:$B$16,"NCAP_TLIFE",$AX$10:$AX$16)),0,""))</f>
        <v/>
      </c>
      <c r="AH231" s="369" t="str">
        <f ca="1">IF($B231&lt;&gt;"PRC_RESID","",IF(AH$7=2005+OFFSET(COM_2012!$B$60,$AW231,SUMIF($B$10:$B$16,"NCAP_TLIFE",$AX$10:$AX$16)),0,""))</f>
        <v/>
      </c>
      <c r="AI231" s="369" t="str">
        <f ca="1">IF($B231&lt;&gt;"PRC_RESID","",IF(AI$7=2005+OFFSET(COM_2012!$B$60,$AW231,SUMIF($B$10:$B$16,"NCAP_TLIFE",$AX$10:$AX$16)),0,""))</f>
        <v/>
      </c>
      <c r="AJ231" s="369" t="str">
        <f ca="1">IF($B231&lt;&gt;"PRC_RESID","",IF(AJ$7=2005+OFFSET(COM_2012!$B$60,$AW231,SUMIF($B$10:$B$16,"NCAP_TLIFE",$AX$10:$AX$16)),0,""))</f>
        <v/>
      </c>
      <c r="AK231" s="369" t="str">
        <f ca="1">IF($B231&lt;&gt;"PRC_RESID","",IF(AK$7=2005+OFFSET(COM_2012!$B$60,$AW231,SUMIF($B$10:$B$16,"NCAP_TLIFE",$AX$10:$AX$16)),0,""))</f>
        <v/>
      </c>
      <c r="AL231" s="369" t="str">
        <f ca="1">IF($B231&lt;&gt;"PRC_RESID","",IF(AL$7=2005+OFFSET(COM_2012!$B$60,$AW231,SUMIF($B$10:$B$16,"NCAP_TLIFE",$AX$10:$AX$16)),0,""))</f>
        <v/>
      </c>
      <c r="AM231" s="369" t="str">
        <f ca="1">IF($B231&lt;&gt;"PRC_RESID","",IF(AM$7=2005+OFFSET(COM_2012!$B$60,$AW231,SUMIF($B$10:$B$16,"NCAP_TLIFE",$AX$10:$AX$16)),0,""))</f>
        <v/>
      </c>
      <c r="AN231" s="369" t="str">
        <f ca="1">IF($B231&lt;&gt;"PRC_RESID","",IF(AN$7=2005+OFFSET(COM_2012!$B$60,$AW231,SUMIF($B$10:$B$16,"NCAP_TLIFE",$AX$10:$AX$16)),0,""))</f>
        <v/>
      </c>
      <c r="AO231" s="369" t="str">
        <f ca="1">IF($B231&lt;&gt;"PRC_RESID","",IF(AO$7=2005+OFFSET(COM_2012!$B$60,$AW231,SUMIF($B$10:$B$16,"NCAP_TLIFE",$AX$10:$AX$16)),0,""))</f>
        <v/>
      </c>
      <c r="AP231" s="369" t="str">
        <f ca="1">IF($B231&lt;&gt;"PRC_RESID","",IF(AP$7=2005+OFFSET(COM_2012!$B$60,$AW231,SUMIF($B$10:$B$16,"NCAP_TLIFE",$AX$10:$AX$16)),0,""))</f>
        <v/>
      </c>
      <c r="AQ231" s="369" t="str">
        <f ca="1">IF($B231&lt;&gt;"PRC_RESID","",IF(AQ$7=2005+OFFSET(COM_2012!$B$60,$AW231,SUMIF($B$10:$B$16,"NCAP_TLIFE",$AX$10:$AX$16)),0,""))</f>
        <v/>
      </c>
      <c r="AR231" s="369" t="str">
        <f ca="1">IF($B231&lt;&gt;"PRC_RESID","",IF(AR$7=2005+OFFSET(COM_2012!$B$60,$AW231,SUMIF($B$10:$B$16,"NCAP_TLIFE",$AX$10:$AX$16)),0,""))</f>
        <v/>
      </c>
      <c r="AS231" s="369" t="str">
        <f ca="1">IF($B231&lt;&gt;"PRC_RESID","",IF(AS$7=2005+OFFSET(COM_2012!$B$60,$AW231,SUMIF($B$10:$B$16,"NCAP_TLIFE",$AX$10:$AX$16)),0,""))</f>
        <v/>
      </c>
      <c r="AT231" s="369" t="str">
        <f ca="1">IF($B231&lt;&gt;"PRC_RESID","",IF(AT$7=2005+OFFSET(COM_2012!$B$60,$AW231,SUMIF($B$10:$B$16,"NCAP_TLIFE",$AX$10:$AX$16)),0,""))</f>
        <v/>
      </c>
      <c r="AU231" s="369" t="str">
        <f ca="1">IF($B231&lt;&gt;"PRC_RESID","",IF(AU$7=2005+OFFSET(COM_2012!$B$60,$AW231,SUMIF($B$10:$B$16,"NCAP_TLIFE",$AX$10:$AX$16)),0,""))</f>
        <v/>
      </c>
      <c r="AV231" s="304">
        <f>IF(AW230=COM_2012!$AI$121,AV230+1,AV230)</f>
        <v>4</v>
      </c>
      <c r="AW231" s="304">
        <f t="shared" si="23"/>
        <v>21</v>
      </c>
    </row>
    <row r="232" spans="1:49">
      <c r="A232" s="304" t="str">
        <f ca="1">IF(LEFT(OFFSET(COM_2012!$A$60,AW232,0),2)="\I","*","")</f>
        <v/>
      </c>
      <c r="B232" s="369" t="str">
        <f t="shared" ca="1" si="22"/>
        <v>NCAP_COST</v>
      </c>
      <c r="C232" s="369" t="str">
        <f ca="1">IF($A232="*","",OFFSET(COM_2012!$B$60,AW232,0))</f>
        <v>CELELCFLU-E</v>
      </c>
      <c r="D232" s="369" t="str">
        <f t="shared" ca="1" si="24"/>
        <v>-</v>
      </c>
      <c r="E232" s="369" t="str">
        <f t="shared" ca="1" si="24"/>
        <v>-</v>
      </c>
      <c r="F232" s="369" t="str">
        <f t="shared" ca="1" si="24"/>
        <v>-</v>
      </c>
      <c r="G232" s="369" t="str">
        <f t="shared" ca="1" si="24"/>
        <v>-</v>
      </c>
      <c r="H232" s="369" t="str">
        <f t="shared" ca="1" si="24"/>
        <v>-</v>
      </c>
      <c r="I232" s="370">
        <f t="shared" ca="1" si="24"/>
        <v>0</v>
      </c>
      <c r="J232" s="391">
        <f ca="1">IF($A232="*","",OFFSET(COM_2012!$B$60,AW232,SUMIF($B$10:$B$16,B232,$AX$10:$AX$16)))</f>
        <v>2.1020405989346398</v>
      </c>
      <c r="K232" s="369" t="str">
        <f ca="1">IF($B232&lt;&gt;"PRC_RESID","",IF(K$7=2005+OFFSET(COM_2012!$B$60,$AW232,SUMIF($B$10:$B$16,"NCAP_TLIFE",$AX$10:$AX$16)),0,""))</f>
        <v/>
      </c>
      <c r="L232" s="369" t="str">
        <f ca="1">IF($B232&lt;&gt;"PRC_RESID","",IF(L$7=2005+OFFSET(COM_2012!$B$60,$AW232,SUMIF($B$10:$B$16,"NCAP_TLIFE",$AX$10:$AX$16)),0,""))</f>
        <v/>
      </c>
      <c r="M232" s="369" t="str">
        <f ca="1">IF($B232&lt;&gt;"PRC_RESID","",IF(M$7=2005+OFFSET(COM_2012!$B$60,$AW232,SUMIF($B$10:$B$16,"NCAP_TLIFE",$AX$10:$AX$16)),0,""))</f>
        <v/>
      </c>
      <c r="N232" s="369" t="str">
        <f ca="1">IF($B232&lt;&gt;"PRC_RESID","",IF(N$7=2005+OFFSET(COM_2012!$B$60,$AW232,SUMIF($B$10:$B$16,"NCAP_TLIFE",$AX$10:$AX$16)),0,""))</f>
        <v/>
      </c>
      <c r="O232" s="658" t="str">
        <f ca="1">IF($B232&lt;&gt;"PRC_RESID","",IF(O$7=2005+OFFSET(COM_2012!$B$60,$AW232,SUMIF($B$10:$B$16,"NCAP_TLIFE",$AX$10:$AX$16)),0,""))</f>
        <v/>
      </c>
      <c r="P232" s="369" t="str">
        <f ca="1">IF($B232&lt;&gt;"PRC_RESID","",IF(P$7=2005+OFFSET(COM_2012!$B$60,$AW232,SUMIF($B$10:$B$16,"NCAP_TLIFE",$AX$10:$AX$16)),0,""))</f>
        <v/>
      </c>
      <c r="Q232" s="369" t="str">
        <f ca="1">IF($B232&lt;&gt;"PRC_RESID","",IF(Q$7=2005+OFFSET(COM_2012!$B$60,$AW232,SUMIF($B$10:$B$16,"NCAP_TLIFE",$AX$10:$AX$16)),0,""))</f>
        <v/>
      </c>
      <c r="R232" s="369" t="str">
        <f ca="1">IF($B232&lt;&gt;"PRC_RESID","",IF(R$7=2005+OFFSET(COM_2012!$B$60,$AW232,SUMIF($B$10:$B$16,"NCAP_TLIFE",$AX$10:$AX$16)),0,""))</f>
        <v/>
      </c>
      <c r="S232" s="369" t="str">
        <f ca="1">IF($B232&lt;&gt;"PRC_RESID","",IF(S$7=2005+OFFSET(COM_2012!$B$60,$AW232,SUMIF($B$10:$B$16,"NCAP_TLIFE",$AX$10:$AX$16)),0,""))</f>
        <v/>
      </c>
      <c r="T232" s="369" t="str">
        <f ca="1">IF($B232&lt;&gt;"PRC_RESID","",IF(T$7=2005+OFFSET(COM_2012!$B$60,$AW232,SUMIF($B$10:$B$16,"NCAP_TLIFE",$AX$10:$AX$16)),0,""))</f>
        <v/>
      </c>
      <c r="U232" s="369" t="str">
        <f ca="1">IF($B232&lt;&gt;"PRC_RESID","",IF(U$7=2005+OFFSET(COM_2012!$B$60,$AW232,SUMIF($B$10:$B$16,"NCAP_TLIFE",$AX$10:$AX$16)),0,""))</f>
        <v/>
      </c>
      <c r="V232" s="369" t="str">
        <f ca="1">IF($B232&lt;&gt;"PRC_RESID","",IF(V$7=2005+OFFSET(COM_2012!$B$60,$AW232,SUMIF($B$10:$B$16,"NCAP_TLIFE",$AX$10:$AX$16)),0,""))</f>
        <v/>
      </c>
      <c r="W232" s="369" t="str">
        <f ca="1">IF($B232&lt;&gt;"PRC_RESID","",IF(W$7=2005+OFFSET(COM_2012!$B$60,$AW232,SUMIF($B$10:$B$16,"NCAP_TLIFE",$AX$10:$AX$16)),0,""))</f>
        <v/>
      </c>
      <c r="X232" s="369" t="str">
        <f ca="1">IF($B232&lt;&gt;"PRC_RESID","",IF(X$7=2005+OFFSET(COM_2012!$B$60,$AW232,SUMIF($B$10:$B$16,"NCAP_TLIFE",$AX$10:$AX$16)),0,""))</f>
        <v/>
      </c>
      <c r="Y232" s="369" t="str">
        <f ca="1">IF($B232&lt;&gt;"PRC_RESID","",IF(Y$7=2005+OFFSET(COM_2012!$B$60,$AW232,SUMIF($B$10:$B$16,"NCAP_TLIFE",$AX$10:$AX$16)),0,""))</f>
        <v/>
      </c>
      <c r="Z232" s="369" t="str">
        <f ca="1">IF($B232&lt;&gt;"PRC_RESID","",IF(Z$7=2005+OFFSET(COM_2012!$B$60,$AW232,SUMIF($B$10:$B$16,"NCAP_TLIFE",$AX$10:$AX$16)),0,""))</f>
        <v/>
      </c>
      <c r="AA232" s="369" t="str">
        <f ca="1">IF($B232&lt;&gt;"PRC_RESID","",IF(AA$7=2005+OFFSET(COM_2012!$B$60,$AW232,SUMIF($B$10:$B$16,"NCAP_TLIFE",$AX$10:$AX$16)),0,""))</f>
        <v/>
      </c>
      <c r="AB232" s="369" t="str">
        <f ca="1">IF($B232&lt;&gt;"PRC_RESID","",IF(AB$7=2005+OFFSET(COM_2012!$B$60,$AW232,SUMIF($B$10:$B$16,"NCAP_TLIFE",$AX$10:$AX$16)),0,""))</f>
        <v/>
      </c>
      <c r="AC232" s="369" t="str">
        <f ca="1">IF($B232&lt;&gt;"PRC_RESID","",IF(AC$7=2005+OFFSET(COM_2012!$B$60,$AW232,SUMIF($B$10:$B$16,"NCAP_TLIFE",$AX$10:$AX$16)),0,""))</f>
        <v/>
      </c>
      <c r="AD232" s="369" t="str">
        <f ca="1">IF($B232&lt;&gt;"PRC_RESID","",IF(AD$7=2005+OFFSET(COM_2012!$B$60,$AW232,SUMIF($B$10:$B$16,"NCAP_TLIFE",$AX$10:$AX$16)),0,""))</f>
        <v/>
      </c>
      <c r="AE232" s="369" t="str">
        <f ca="1">IF($B232&lt;&gt;"PRC_RESID","",IF(AE$7=2005+OFFSET(COM_2012!$B$60,$AW232,SUMIF($B$10:$B$16,"NCAP_TLIFE",$AX$10:$AX$16)),0,""))</f>
        <v/>
      </c>
      <c r="AF232" s="369" t="str">
        <f ca="1">IF($B232&lt;&gt;"PRC_RESID","",IF(AF$7=2005+OFFSET(COM_2012!$B$60,$AW232,SUMIF($B$10:$B$16,"NCAP_TLIFE",$AX$10:$AX$16)),0,""))</f>
        <v/>
      </c>
      <c r="AG232" s="369" t="str">
        <f ca="1">IF($B232&lt;&gt;"PRC_RESID","",IF(AG$7=2005+OFFSET(COM_2012!$B$60,$AW232,SUMIF($B$10:$B$16,"NCAP_TLIFE",$AX$10:$AX$16)),0,""))</f>
        <v/>
      </c>
      <c r="AH232" s="369" t="str">
        <f ca="1">IF($B232&lt;&gt;"PRC_RESID","",IF(AH$7=2005+OFFSET(COM_2012!$B$60,$AW232,SUMIF($B$10:$B$16,"NCAP_TLIFE",$AX$10:$AX$16)),0,""))</f>
        <v/>
      </c>
      <c r="AI232" s="369" t="str">
        <f ca="1">IF($B232&lt;&gt;"PRC_RESID","",IF(AI$7=2005+OFFSET(COM_2012!$B$60,$AW232,SUMIF($B$10:$B$16,"NCAP_TLIFE",$AX$10:$AX$16)),0,""))</f>
        <v/>
      </c>
      <c r="AJ232" s="369" t="str">
        <f ca="1">IF($B232&lt;&gt;"PRC_RESID","",IF(AJ$7=2005+OFFSET(COM_2012!$B$60,$AW232,SUMIF($B$10:$B$16,"NCAP_TLIFE",$AX$10:$AX$16)),0,""))</f>
        <v/>
      </c>
      <c r="AK232" s="369" t="str">
        <f ca="1">IF($B232&lt;&gt;"PRC_RESID","",IF(AK$7=2005+OFFSET(COM_2012!$B$60,$AW232,SUMIF($B$10:$B$16,"NCAP_TLIFE",$AX$10:$AX$16)),0,""))</f>
        <v/>
      </c>
      <c r="AL232" s="369" t="str">
        <f ca="1">IF($B232&lt;&gt;"PRC_RESID","",IF(AL$7=2005+OFFSET(COM_2012!$B$60,$AW232,SUMIF($B$10:$B$16,"NCAP_TLIFE",$AX$10:$AX$16)),0,""))</f>
        <v/>
      </c>
      <c r="AM232" s="369" t="str">
        <f ca="1">IF($B232&lt;&gt;"PRC_RESID","",IF(AM$7=2005+OFFSET(COM_2012!$B$60,$AW232,SUMIF($B$10:$B$16,"NCAP_TLIFE",$AX$10:$AX$16)),0,""))</f>
        <v/>
      </c>
      <c r="AN232" s="369" t="str">
        <f ca="1">IF($B232&lt;&gt;"PRC_RESID","",IF(AN$7=2005+OFFSET(COM_2012!$B$60,$AW232,SUMIF($B$10:$B$16,"NCAP_TLIFE",$AX$10:$AX$16)),0,""))</f>
        <v/>
      </c>
      <c r="AO232" s="369" t="str">
        <f ca="1">IF($B232&lt;&gt;"PRC_RESID","",IF(AO$7=2005+OFFSET(COM_2012!$B$60,$AW232,SUMIF($B$10:$B$16,"NCAP_TLIFE",$AX$10:$AX$16)),0,""))</f>
        <v/>
      </c>
      <c r="AP232" s="369" t="str">
        <f ca="1">IF($B232&lt;&gt;"PRC_RESID","",IF(AP$7=2005+OFFSET(COM_2012!$B$60,$AW232,SUMIF($B$10:$B$16,"NCAP_TLIFE",$AX$10:$AX$16)),0,""))</f>
        <v/>
      </c>
      <c r="AQ232" s="369" t="str">
        <f ca="1">IF($B232&lt;&gt;"PRC_RESID","",IF(AQ$7=2005+OFFSET(COM_2012!$B$60,$AW232,SUMIF($B$10:$B$16,"NCAP_TLIFE",$AX$10:$AX$16)),0,""))</f>
        <v/>
      </c>
      <c r="AR232" s="369" t="str">
        <f ca="1">IF($B232&lt;&gt;"PRC_RESID","",IF(AR$7=2005+OFFSET(COM_2012!$B$60,$AW232,SUMIF($B$10:$B$16,"NCAP_TLIFE",$AX$10:$AX$16)),0,""))</f>
        <v/>
      </c>
      <c r="AS232" s="369" t="str">
        <f ca="1">IF($B232&lt;&gt;"PRC_RESID","",IF(AS$7=2005+OFFSET(COM_2012!$B$60,$AW232,SUMIF($B$10:$B$16,"NCAP_TLIFE",$AX$10:$AX$16)),0,""))</f>
        <v/>
      </c>
      <c r="AT232" s="369" t="str">
        <f ca="1">IF($B232&lt;&gt;"PRC_RESID","",IF(AT$7=2005+OFFSET(COM_2012!$B$60,$AW232,SUMIF($B$10:$B$16,"NCAP_TLIFE",$AX$10:$AX$16)),0,""))</f>
        <v/>
      </c>
      <c r="AU232" s="369" t="str">
        <f ca="1">IF($B232&lt;&gt;"PRC_RESID","",IF(AU$7=2005+OFFSET(COM_2012!$B$60,$AW232,SUMIF($B$10:$B$16,"NCAP_TLIFE",$AX$10:$AX$16)),0,""))</f>
        <v/>
      </c>
      <c r="AV232" s="304">
        <f>IF(AW231=COM_2012!$AI$121,AV231+1,AV231)</f>
        <v>4</v>
      </c>
      <c r="AW232" s="304">
        <f t="shared" si="23"/>
        <v>22</v>
      </c>
    </row>
    <row r="233" spans="1:49">
      <c r="A233" s="304" t="str">
        <f ca="1">IF(LEFT(OFFSET(COM_2012!$A$60,AW233,0),2)="\I","*","")</f>
        <v/>
      </c>
      <c r="B233" s="369" t="str">
        <f t="shared" ca="1" si="22"/>
        <v>NCAP_COST</v>
      </c>
      <c r="C233" s="369" t="str">
        <f ca="1">IF($A233="*","",OFFSET(COM_2012!$B$60,AW233,0))</f>
        <v>CELELCHAL-E</v>
      </c>
      <c r="D233" s="369" t="str">
        <f t="shared" ca="1" si="24"/>
        <v>-</v>
      </c>
      <c r="E233" s="369" t="str">
        <f t="shared" ca="1" si="24"/>
        <v>-</v>
      </c>
      <c r="F233" s="369" t="str">
        <f t="shared" ca="1" si="24"/>
        <v>-</v>
      </c>
      <c r="G233" s="369" t="str">
        <f t="shared" ca="1" si="24"/>
        <v>-</v>
      </c>
      <c r="H233" s="369" t="str">
        <f t="shared" ca="1" si="24"/>
        <v>-</v>
      </c>
      <c r="I233" s="370">
        <f t="shared" ca="1" si="24"/>
        <v>0</v>
      </c>
      <c r="J233" s="391">
        <f ca="1">IF($A233="*","",OFFSET(COM_2012!$B$60,AW233,SUMIF($B$10:$B$16,B233,$AX$10:$AX$16)))</f>
        <v>0.75829581287827852</v>
      </c>
      <c r="K233" s="369" t="str">
        <f ca="1">IF($B233&lt;&gt;"PRC_RESID","",IF(K$7=2005+OFFSET(COM_2012!$B$60,$AW233,SUMIF($B$10:$B$16,"NCAP_TLIFE",$AX$10:$AX$16)),0,""))</f>
        <v/>
      </c>
      <c r="L233" s="369" t="str">
        <f ca="1">IF($B233&lt;&gt;"PRC_RESID","",IF(L$7=2005+OFFSET(COM_2012!$B$60,$AW233,SUMIF($B$10:$B$16,"NCAP_TLIFE",$AX$10:$AX$16)),0,""))</f>
        <v/>
      </c>
      <c r="M233" s="369" t="str">
        <f ca="1">IF($B233&lt;&gt;"PRC_RESID","",IF(M$7=2005+OFFSET(COM_2012!$B$60,$AW233,SUMIF($B$10:$B$16,"NCAP_TLIFE",$AX$10:$AX$16)),0,""))</f>
        <v/>
      </c>
      <c r="N233" s="369" t="str">
        <f ca="1">IF($B233&lt;&gt;"PRC_RESID","",IF(N$7=2005+OFFSET(COM_2012!$B$60,$AW233,SUMIF($B$10:$B$16,"NCAP_TLIFE",$AX$10:$AX$16)),0,""))</f>
        <v/>
      </c>
      <c r="O233" s="658" t="str">
        <f ca="1">IF($B233&lt;&gt;"PRC_RESID","",IF(O$7=2005+OFFSET(COM_2012!$B$60,$AW233,SUMIF($B$10:$B$16,"NCAP_TLIFE",$AX$10:$AX$16)),0,""))</f>
        <v/>
      </c>
      <c r="P233" s="369" t="str">
        <f ca="1">IF($B233&lt;&gt;"PRC_RESID","",IF(P$7=2005+OFFSET(COM_2012!$B$60,$AW233,SUMIF($B$10:$B$16,"NCAP_TLIFE",$AX$10:$AX$16)),0,""))</f>
        <v/>
      </c>
      <c r="Q233" s="369" t="str">
        <f ca="1">IF($B233&lt;&gt;"PRC_RESID","",IF(Q$7=2005+OFFSET(COM_2012!$B$60,$AW233,SUMIF($B$10:$B$16,"NCAP_TLIFE",$AX$10:$AX$16)),0,""))</f>
        <v/>
      </c>
      <c r="R233" s="369" t="str">
        <f ca="1">IF($B233&lt;&gt;"PRC_RESID","",IF(R$7=2005+OFFSET(COM_2012!$B$60,$AW233,SUMIF($B$10:$B$16,"NCAP_TLIFE",$AX$10:$AX$16)),0,""))</f>
        <v/>
      </c>
      <c r="S233" s="369" t="str">
        <f ca="1">IF($B233&lt;&gt;"PRC_RESID","",IF(S$7=2005+OFFSET(COM_2012!$B$60,$AW233,SUMIF($B$10:$B$16,"NCAP_TLIFE",$AX$10:$AX$16)),0,""))</f>
        <v/>
      </c>
      <c r="T233" s="369" t="str">
        <f ca="1">IF($B233&lt;&gt;"PRC_RESID","",IF(T$7=2005+OFFSET(COM_2012!$B$60,$AW233,SUMIF($B$10:$B$16,"NCAP_TLIFE",$AX$10:$AX$16)),0,""))</f>
        <v/>
      </c>
      <c r="U233" s="369" t="str">
        <f ca="1">IF($B233&lt;&gt;"PRC_RESID","",IF(U$7=2005+OFFSET(COM_2012!$B$60,$AW233,SUMIF($B$10:$B$16,"NCAP_TLIFE",$AX$10:$AX$16)),0,""))</f>
        <v/>
      </c>
      <c r="V233" s="369" t="str">
        <f ca="1">IF($B233&lt;&gt;"PRC_RESID","",IF(V$7=2005+OFFSET(COM_2012!$B$60,$AW233,SUMIF($B$10:$B$16,"NCAP_TLIFE",$AX$10:$AX$16)),0,""))</f>
        <v/>
      </c>
      <c r="W233" s="369" t="str">
        <f ca="1">IF($B233&lt;&gt;"PRC_RESID","",IF(W$7=2005+OFFSET(COM_2012!$B$60,$AW233,SUMIF($B$10:$B$16,"NCAP_TLIFE",$AX$10:$AX$16)),0,""))</f>
        <v/>
      </c>
      <c r="X233" s="369" t="str">
        <f ca="1">IF($B233&lt;&gt;"PRC_RESID","",IF(X$7=2005+OFFSET(COM_2012!$B$60,$AW233,SUMIF($B$10:$B$16,"NCAP_TLIFE",$AX$10:$AX$16)),0,""))</f>
        <v/>
      </c>
      <c r="Y233" s="369" t="str">
        <f ca="1">IF($B233&lt;&gt;"PRC_RESID","",IF(Y$7=2005+OFFSET(COM_2012!$B$60,$AW233,SUMIF($B$10:$B$16,"NCAP_TLIFE",$AX$10:$AX$16)),0,""))</f>
        <v/>
      </c>
      <c r="Z233" s="369" t="str">
        <f ca="1">IF($B233&lt;&gt;"PRC_RESID","",IF(Z$7=2005+OFFSET(COM_2012!$B$60,$AW233,SUMIF($B$10:$B$16,"NCAP_TLIFE",$AX$10:$AX$16)),0,""))</f>
        <v/>
      </c>
      <c r="AA233" s="369" t="str">
        <f ca="1">IF($B233&lt;&gt;"PRC_RESID","",IF(AA$7=2005+OFFSET(COM_2012!$B$60,$AW233,SUMIF($B$10:$B$16,"NCAP_TLIFE",$AX$10:$AX$16)),0,""))</f>
        <v/>
      </c>
      <c r="AB233" s="369" t="str">
        <f ca="1">IF($B233&lt;&gt;"PRC_RESID","",IF(AB$7=2005+OFFSET(COM_2012!$B$60,$AW233,SUMIF($B$10:$B$16,"NCAP_TLIFE",$AX$10:$AX$16)),0,""))</f>
        <v/>
      </c>
      <c r="AC233" s="369" t="str">
        <f ca="1">IF($B233&lt;&gt;"PRC_RESID","",IF(AC$7=2005+OFFSET(COM_2012!$B$60,$AW233,SUMIF($B$10:$B$16,"NCAP_TLIFE",$AX$10:$AX$16)),0,""))</f>
        <v/>
      </c>
      <c r="AD233" s="369" t="str">
        <f ca="1">IF($B233&lt;&gt;"PRC_RESID","",IF(AD$7=2005+OFFSET(COM_2012!$B$60,$AW233,SUMIF($B$10:$B$16,"NCAP_TLIFE",$AX$10:$AX$16)),0,""))</f>
        <v/>
      </c>
      <c r="AE233" s="369" t="str">
        <f ca="1">IF($B233&lt;&gt;"PRC_RESID","",IF(AE$7=2005+OFFSET(COM_2012!$B$60,$AW233,SUMIF($B$10:$B$16,"NCAP_TLIFE",$AX$10:$AX$16)),0,""))</f>
        <v/>
      </c>
      <c r="AF233" s="369" t="str">
        <f ca="1">IF($B233&lt;&gt;"PRC_RESID","",IF(AF$7=2005+OFFSET(COM_2012!$B$60,$AW233,SUMIF($B$10:$B$16,"NCAP_TLIFE",$AX$10:$AX$16)),0,""))</f>
        <v/>
      </c>
      <c r="AG233" s="369" t="str">
        <f ca="1">IF($B233&lt;&gt;"PRC_RESID","",IF(AG$7=2005+OFFSET(COM_2012!$B$60,$AW233,SUMIF($B$10:$B$16,"NCAP_TLIFE",$AX$10:$AX$16)),0,""))</f>
        <v/>
      </c>
      <c r="AH233" s="369" t="str">
        <f ca="1">IF($B233&lt;&gt;"PRC_RESID","",IF(AH$7=2005+OFFSET(COM_2012!$B$60,$AW233,SUMIF($B$10:$B$16,"NCAP_TLIFE",$AX$10:$AX$16)),0,""))</f>
        <v/>
      </c>
      <c r="AI233" s="369" t="str">
        <f ca="1">IF($B233&lt;&gt;"PRC_RESID","",IF(AI$7=2005+OFFSET(COM_2012!$B$60,$AW233,SUMIF($B$10:$B$16,"NCAP_TLIFE",$AX$10:$AX$16)),0,""))</f>
        <v/>
      </c>
      <c r="AJ233" s="369" t="str">
        <f ca="1">IF($B233&lt;&gt;"PRC_RESID","",IF(AJ$7=2005+OFFSET(COM_2012!$B$60,$AW233,SUMIF($B$10:$B$16,"NCAP_TLIFE",$AX$10:$AX$16)),0,""))</f>
        <v/>
      </c>
      <c r="AK233" s="369" t="str">
        <f ca="1">IF($B233&lt;&gt;"PRC_RESID","",IF(AK$7=2005+OFFSET(COM_2012!$B$60,$AW233,SUMIF($B$10:$B$16,"NCAP_TLIFE",$AX$10:$AX$16)),0,""))</f>
        <v/>
      </c>
      <c r="AL233" s="369" t="str">
        <f ca="1">IF($B233&lt;&gt;"PRC_RESID","",IF(AL$7=2005+OFFSET(COM_2012!$B$60,$AW233,SUMIF($B$10:$B$16,"NCAP_TLIFE",$AX$10:$AX$16)),0,""))</f>
        <v/>
      </c>
      <c r="AM233" s="369" t="str">
        <f ca="1">IF($B233&lt;&gt;"PRC_RESID","",IF(AM$7=2005+OFFSET(COM_2012!$B$60,$AW233,SUMIF($B$10:$B$16,"NCAP_TLIFE",$AX$10:$AX$16)),0,""))</f>
        <v/>
      </c>
      <c r="AN233" s="369" t="str">
        <f ca="1">IF($B233&lt;&gt;"PRC_RESID","",IF(AN$7=2005+OFFSET(COM_2012!$B$60,$AW233,SUMIF($B$10:$B$16,"NCAP_TLIFE",$AX$10:$AX$16)),0,""))</f>
        <v/>
      </c>
      <c r="AO233" s="369" t="str">
        <f ca="1">IF($B233&lt;&gt;"PRC_RESID","",IF(AO$7=2005+OFFSET(COM_2012!$B$60,$AW233,SUMIF($B$10:$B$16,"NCAP_TLIFE",$AX$10:$AX$16)),0,""))</f>
        <v/>
      </c>
      <c r="AP233" s="369" t="str">
        <f ca="1">IF($B233&lt;&gt;"PRC_RESID","",IF(AP$7=2005+OFFSET(COM_2012!$B$60,$AW233,SUMIF($B$10:$B$16,"NCAP_TLIFE",$AX$10:$AX$16)),0,""))</f>
        <v/>
      </c>
      <c r="AQ233" s="369" t="str">
        <f ca="1">IF($B233&lt;&gt;"PRC_RESID","",IF(AQ$7=2005+OFFSET(COM_2012!$B$60,$AW233,SUMIF($B$10:$B$16,"NCAP_TLIFE",$AX$10:$AX$16)),0,""))</f>
        <v/>
      </c>
      <c r="AR233" s="369" t="str">
        <f ca="1">IF($B233&lt;&gt;"PRC_RESID","",IF(AR$7=2005+OFFSET(COM_2012!$B$60,$AW233,SUMIF($B$10:$B$16,"NCAP_TLIFE",$AX$10:$AX$16)),0,""))</f>
        <v/>
      </c>
      <c r="AS233" s="369" t="str">
        <f ca="1">IF($B233&lt;&gt;"PRC_RESID","",IF(AS$7=2005+OFFSET(COM_2012!$B$60,$AW233,SUMIF($B$10:$B$16,"NCAP_TLIFE",$AX$10:$AX$16)),0,""))</f>
        <v/>
      </c>
      <c r="AT233" s="369" t="str">
        <f ca="1">IF($B233&lt;&gt;"PRC_RESID","",IF(AT$7=2005+OFFSET(COM_2012!$B$60,$AW233,SUMIF($B$10:$B$16,"NCAP_TLIFE",$AX$10:$AX$16)),0,""))</f>
        <v/>
      </c>
      <c r="AU233" s="369" t="str">
        <f ca="1">IF($B233&lt;&gt;"PRC_RESID","",IF(AU$7=2005+OFFSET(COM_2012!$B$60,$AW233,SUMIF($B$10:$B$16,"NCAP_TLIFE",$AX$10:$AX$16)),0,""))</f>
        <v/>
      </c>
      <c r="AV233" s="304">
        <f>IF(AW232=COM_2012!$AI$121,AV232+1,AV232)</f>
        <v>4</v>
      </c>
      <c r="AW233" s="304">
        <f t="shared" si="23"/>
        <v>23</v>
      </c>
    </row>
    <row r="234" spans="1:49">
      <c r="A234" s="304" t="str">
        <f ca="1">IF(LEFT(OFFSET(COM_2012!$A$60,AW234,0),2)="\I","*","")</f>
        <v/>
      </c>
      <c r="B234" s="369" t="str">
        <f t="shared" ca="1" si="22"/>
        <v>NCAP_COST</v>
      </c>
      <c r="C234" s="369" t="str">
        <f ca="1">IF($A234="*","",OFFSET(COM_2012!$B$60,AW234,0))</f>
        <v>CELELCHID-E</v>
      </c>
      <c r="D234" s="369" t="str">
        <f t="shared" ca="1" si="24"/>
        <v>-</v>
      </c>
      <c r="E234" s="369" t="str">
        <f t="shared" ca="1" si="24"/>
        <v>-</v>
      </c>
      <c r="F234" s="369" t="str">
        <f t="shared" ca="1" si="24"/>
        <v>-</v>
      </c>
      <c r="G234" s="369" t="str">
        <f t="shared" ca="1" si="24"/>
        <v>-</v>
      </c>
      <c r="H234" s="369" t="str">
        <f t="shared" ca="1" si="24"/>
        <v>-</v>
      </c>
      <c r="I234" s="370">
        <f t="shared" ca="1" si="24"/>
        <v>0</v>
      </c>
      <c r="J234" s="391">
        <f ca="1">IF($A234="*","",OFFSET(COM_2012!$B$60,AW234,SUMIF($B$10:$B$16,B234,$AX$10:$AX$16)))</f>
        <v>0.30666374785518619</v>
      </c>
      <c r="K234" s="369" t="str">
        <f ca="1">IF($B234&lt;&gt;"PRC_RESID","",IF(K$7=2005+OFFSET(COM_2012!$B$60,$AW234,SUMIF($B$10:$B$16,"NCAP_TLIFE",$AX$10:$AX$16)),0,""))</f>
        <v/>
      </c>
      <c r="L234" s="369" t="str">
        <f ca="1">IF($B234&lt;&gt;"PRC_RESID","",IF(L$7=2005+OFFSET(COM_2012!$B$60,$AW234,SUMIF($B$10:$B$16,"NCAP_TLIFE",$AX$10:$AX$16)),0,""))</f>
        <v/>
      </c>
      <c r="M234" s="369" t="str">
        <f ca="1">IF($B234&lt;&gt;"PRC_RESID","",IF(M$7=2005+OFFSET(COM_2012!$B$60,$AW234,SUMIF($B$10:$B$16,"NCAP_TLIFE",$AX$10:$AX$16)),0,""))</f>
        <v/>
      </c>
      <c r="N234" s="369" t="str">
        <f ca="1">IF($B234&lt;&gt;"PRC_RESID","",IF(N$7=2005+OFFSET(COM_2012!$B$60,$AW234,SUMIF($B$10:$B$16,"NCAP_TLIFE",$AX$10:$AX$16)),0,""))</f>
        <v/>
      </c>
      <c r="O234" s="658" t="str">
        <f ca="1">IF($B234&lt;&gt;"PRC_RESID","",IF(O$7=2005+OFFSET(COM_2012!$B$60,$AW234,SUMIF($B$10:$B$16,"NCAP_TLIFE",$AX$10:$AX$16)),0,""))</f>
        <v/>
      </c>
      <c r="P234" s="369" t="str">
        <f ca="1">IF($B234&lt;&gt;"PRC_RESID","",IF(P$7=2005+OFFSET(COM_2012!$B$60,$AW234,SUMIF($B$10:$B$16,"NCAP_TLIFE",$AX$10:$AX$16)),0,""))</f>
        <v/>
      </c>
      <c r="Q234" s="369" t="str">
        <f ca="1">IF($B234&lt;&gt;"PRC_RESID","",IF(Q$7=2005+OFFSET(COM_2012!$B$60,$AW234,SUMIF($B$10:$B$16,"NCAP_TLIFE",$AX$10:$AX$16)),0,""))</f>
        <v/>
      </c>
      <c r="R234" s="369" t="str">
        <f ca="1">IF($B234&lt;&gt;"PRC_RESID","",IF(R$7=2005+OFFSET(COM_2012!$B$60,$AW234,SUMIF($B$10:$B$16,"NCAP_TLIFE",$AX$10:$AX$16)),0,""))</f>
        <v/>
      </c>
      <c r="S234" s="369" t="str">
        <f ca="1">IF($B234&lt;&gt;"PRC_RESID","",IF(S$7=2005+OFFSET(COM_2012!$B$60,$AW234,SUMIF($B$10:$B$16,"NCAP_TLIFE",$AX$10:$AX$16)),0,""))</f>
        <v/>
      </c>
      <c r="T234" s="369" t="str">
        <f ca="1">IF($B234&lt;&gt;"PRC_RESID","",IF(T$7=2005+OFFSET(COM_2012!$B$60,$AW234,SUMIF($B$10:$B$16,"NCAP_TLIFE",$AX$10:$AX$16)),0,""))</f>
        <v/>
      </c>
      <c r="U234" s="369" t="str">
        <f ca="1">IF($B234&lt;&gt;"PRC_RESID","",IF(U$7=2005+OFFSET(COM_2012!$B$60,$AW234,SUMIF($B$10:$B$16,"NCAP_TLIFE",$AX$10:$AX$16)),0,""))</f>
        <v/>
      </c>
      <c r="V234" s="369" t="str">
        <f ca="1">IF($B234&lt;&gt;"PRC_RESID","",IF(V$7=2005+OFFSET(COM_2012!$B$60,$AW234,SUMIF($B$10:$B$16,"NCAP_TLIFE",$AX$10:$AX$16)),0,""))</f>
        <v/>
      </c>
      <c r="W234" s="369" t="str">
        <f ca="1">IF($B234&lt;&gt;"PRC_RESID","",IF(W$7=2005+OFFSET(COM_2012!$B$60,$AW234,SUMIF($B$10:$B$16,"NCAP_TLIFE",$AX$10:$AX$16)),0,""))</f>
        <v/>
      </c>
      <c r="X234" s="369" t="str">
        <f ca="1">IF($B234&lt;&gt;"PRC_RESID","",IF(X$7=2005+OFFSET(COM_2012!$B$60,$AW234,SUMIF($B$10:$B$16,"NCAP_TLIFE",$AX$10:$AX$16)),0,""))</f>
        <v/>
      </c>
      <c r="Y234" s="369" t="str">
        <f ca="1">IF($B234&lt;&gt;"PRC_RESID","",IF(Y$7=2005+OFFSET(COM_2012!$B$60,$AW234,SUMIF($B$10:$B$16,"NCAP_TLIFE",$AX$10:$AX$16)),0,""))</f>
        <v/>
      </c>
      <c r="Z234" s="369" t="str">
        <f ca="1">IF($B234&lt;&gt;"PRC_RESID","",IF(Z$7=2005+OFFSET(COM_2012!$B$60,$AW234,SUMIF($B$10:$B$16,"NCAP_TLIFE",$AX$10:$AX$16)),0,""))</f>
        <v/>
      </c>
      <c r="AA234" s="369" t="str">
        <f ca="1">IF($B234&lt;&gt;"PRC_RESID","",IF(AA$7=2005+OFFSET(COM_2012!$B$60,$AW234,SUMIF($B$10:$B$16,"NCAP_TLIFE",$AX$10:$AX$16)),0,""))</f>
        <v/>
      </c>
      <c r="AB234" s="369" t="str">
        <f ca="1">IF($B234&lt;&gt;"PRC_RESID","",IF(AB$7=2005+OFFSET(COM_2012!$B$60,$AW234,SUMIF($B$10:$B$16,"NCAP_TLIFE",$AX$10:$AX$16)),0,""))</f>
        <v/>
      </c>
      <c r="AC234" s="369" t="str">
        <f ca="1">IF($B234&lt;&gt;"PRC_RESID","",IF(AC$7=2005+OFFSET(COM_2012!$B$60,$AW234,SUMIF($B$10:$B$16,"NCAP_TLIFE",$AX$10:$AX$16)),0,""))</f>
        <v/>
      </c>
      <c r="AD234" s="369" t="str">
        <f ca="1">IF($B234&lt;&gt;"PRC_RESID","",IF(AD$7=2005+OFFSET(COM_2012!$B$60,$AW234,SUMIF($B$10:$B$16,"NCAP_TLIFE",$AX$10:$AX$16)),0,""))</f>
        <v/>
      </c>
      <c r="AE234" s="369" t="str">
        <f ca="1">IF($B234&lt;&gt;"PRC_RESID","",IF(AE$7=2005+OFFSET(COM_2012!$B$60,$AW234,SUMIF($B$10:$B$16,"NCAP_TLIFE",$AX$10:$AX$16)),0,""))</f>
        <v/>
      </c>
      <c r="AF234" s="369" t="str">
        <f ca="1">IF($B234&lt;&gt;"PRC_RESID","",IF(AF$7=2005+OFFSET(COM_2012!$B$60,$AW234,SUMIF($B$10:$B$16,"NCAP_TLIFE",$AX$10:$AX$16)),0,""))</f>
        <v/>
      </c>
      <c r="AG234" s="369" t="str">
        <f ca="1">IF($B234&lt;&gt;"PRC_RESID","",IF(AG$7=2005+OFFSET(COM_2012!$B$60,$AW234,SUMIF($B$10:$B$16,"NCAP_TLIFE",$AX$10:$AX$16)),0,""))</f>
        <v/>
      </c>
      <c r="AH234" s="369" t="str">
        <f ca="1">IF($B234&lt;&gt;"PRC_RESID","",IF(AH$7=2005+OFFSET(COM_2012!$B$60,$AW234,SUMIF($B$10:$B$16,"NCAP_TLIFE",$AX$10:$AX$16)),0,""))</f>
        <v/>
      </c>
      <c r="AI234" s="369" t="str">
        <f ca="1">IF($B234&lt;&gt;"PRC_RESID","",IF(AI$7=2005+OFFSET(COM_2012!$B$60,$AW234,SUMIF($B$10:$B$16,"NCAP_TLIFE",$AX$10:$AX$16)),0,""))</f>
        <v/>
      </c>
      <c r="AJ234" s="369" t="str">
        <f ca="1">IF($B234&lt;&gt;"PRC_RESID","",IF(AJ$7=2005+OFFSET(COM_2012!$B$60,$AW234,SUMIF($B$10:$B$16,"NCAP_TLIFE",$AX$10:$AX$16)),0,""))</f>
        <v/>
      </c>
      <c r="AK234" s="369" t="str">
        <f ca="1">IF($B234&lt;&gt;"PRC_RESID","",IF(AK$7=2005+OFFSET(COM_2012!$B$60,$AW234,SUMIF($B$10:$B$16,"NCAP_TLIFE",$AX$10:$AX$16)),0,""))</f>
        <v/>
      </c>
      <c r="AL234" s="369" t="str">
        <f ca="1">IF($B234&lt;&gt;"PRC_RESID","",IF(AL$7=2005+OFFSET(COM_2012!$B$60,$AW234,SUMIF($B$10:$B$16,"NCAP_TLIFE",$AX$10:$AX$16)),0,""))</f>
        <v/>
      </c>
      <c r="AM234" s="369" t="str">
        <f ca="1">IF($B234&lt;&gt;"PRC_RESID","",IF(AM$7=2005+OFFSET(COM_2012!$B$60,$AW234,SUMIF($B$10:$B$16,"NCAP_TLIFE",$AX$10:$AX$16)),0,""))</f>
        <v/>
      </c>
      <c r="AN234" s="369" t="str">
        <f ca="1">IF($B234&lt;&gt;"PRC_RESID","",IF(AN$7=2005+OFFSET(COM_2012!$B$60,$AW234,SUMIF($B$10:$B$16,"NCAP_TLIFE",$AX$10:$AX$16)),0,""))</f>
        <v/>
      </c>
      <c r="AO234" s="369" t="str">
        <f ca="1">IF($B234&lt;&gt;"PRC_RESID","",IF(AO$7=2005+OFFSET(COM_2012!$B$60,$AW234,SUMIF($B$10:$B$16,"NCAP_TLIFE",$AX$10:$AX$16)),0,""))</f>
        <v/>
      </c>
      <c r="AP234" s="369" t="str">
        <f ca="1">IF($B234&lt;&gt;"PRC_RESID","",IF(AP$7=2005+OFFSET(COM_2012!$B$60,$AW234,SUMIF($B$10:$B$16,"NCAP_TLIFE",$AX$10:$AX$16)),0,""))</f>
        <v/>
      </c>
      <c r="AQ234" s="369" t="str">
        <f ca="1">IF($B234&lt;&gt;"PRC_RESID","",IF(AQ$7=2005+OFFSET(COM_2012!$B$60,$AW234,SUMIF($B$10:$B$16,"NCAP_TLIFE",$AX$10:$AX$16)),0,""))</f>
        <v/>
      </c>
      <c r="AR234" s="369" t="str">
        <f ca="1">IF($B234&lt;&gt;"PRC_RESID","",IF(AR$7=2005+OFFSET(COM_2012!$B$60,$AW234,SUMIF($B$10:$B$16,"NCAP_TLIFE",$AX$10:$AX$16)),0,""))</f>
        <v/>
      </c>
      <c r="AS234" s="369" t="str">
        <f ca="1">IF($B234&lt;&gt;"PRC_RESID","",IF(AS$7=2005+OFFSET(COM_2012!$B$60,$AW234,SUMIF($B$10:$B$16,"NCAP_TLIFE",$AX$10:$AX$16)),0,""))</f>
        <v/>
      </c>
      <c r="AT234" s="369" t="str">
        <f ca="1">IF($B234&lt;&gt;"PRC_RESID","",IF(AT$7=2005+OFFSET(COM_2012!$B$60,$AW234,SUMIF($B$10:$B$16,"NCAP_TLIFE",$AX$10:$AX$16)),0,""))</f>
        <v/>
      </c>
      <c r="AU234" s="369" t="str">
        <f ca="1">IF($B234&lt;&gt;"PRC_RESID","",IF(AU$7=2005+OFFSET(COM_2012!$B$60,$AW234,SUMIF($B$10:$B$16,"NCAP_TLIFE",$AX$10:$AX$16)),0,""))</f>
        <v/>
      </c>
      <c r="AV234" s="304">
        <f>IF(AW233=COM_2012!$AI$121,AV233+1,AV233)</f>
        <v>4</v>
      </c>
      <c r="AW234" s="304">
        <f t="shared" si="23"/>
        <v>24</v>
      </c>
    </row>
    <row r="235" spans="1:49">
      <c r="A235" s="304" t="str">
        <f ca="1">IF(LEFT(OFFSET(COM_2012!$A$60,AW235,0),2)="\I","*","")</f>
        <v/>
      </c>
      <c r="B235" s="369" t="str">
        <f t="shared" ca="1" si="22"/>
        <v>NCAP_COST</v>
      </c>
      <c r="C235" s="369" t="str">
        <f ca="1">IF($A235="*","",OFFSET(COM_2012!$B$60,AW235,0))</f>
        <v>CELELCINC-E</v>
      </c>
      <c r="D235" s="369" t="str">
        <f t="shared" ca="1" si="24"/>
        <v>-</v>
      </c>
      <c r="E235" s="369" t="str">
        <f t="shared" ca="1" si="24"/>
        <v>-</v>
      </c>
      <c r="F235" s="369" t="str">
        <f t="shared" ca="1" si="24"/>
        <v>-</v>
      </c>
      <c r="G235" s="369" t="str">
        <f t="shared" ca="1" si="24"/>
        <v>-</v>
      </c>
      <c r="H235" s="369" t="str">
        <f t="shared" ca="1" si="24"/>
        <v>-</v>
      </c>
      <c r="I235" s="370">
        <f t="shared" ca="1" si="24"/>
        <v>0</v>
      </c>
      <c r="J235" s="391">
        <f ca="1">IF($A235="*","",OFFSET(COM_2012!$B$60,AW235,SUMIF($B$10:$B$16,B235,$AX$10:$AX$16)))</f>
        <v>0.26729589482474081</v>
      </c>
      <c r="K235" s="369" t="str">
        <f ca="1">IF($B235&lt;&gt;"PRC_RESID","",IF(K$7=2005+OFFSET(COM_2012!$B$60,$AW235,SUMIF($B$10:$B$16,"NCAP_TLIFE",$AX$10:$AX$16)),0,""))</f>
        <v/>
      </c>
      <c r="L235" s="369" t="str">
        <f ca="1">IF($B235&lt;&gt;"PRC_RESID","",IF(L$7=2005+OFFSET(COM_2012!$B$60,$AW235,SUMIF($B$10:$B$16,"NCAP_TLIFE",$AX$10:$AX$16)),0,""))</f>
        <v/>
      </c>
      <c r="M235" s="369" t="str">
        <f ca="1">IF($B235&lt;&gt;"PRC_RESID","",IF(M$7=2005+OFFSET(COM_2012!$B$60,$AW235,SUMIF($B$10:$B$16,"NCAP_TLIFE",$AX$10:$AX$16)),0,""))</f>
        <v/>
      </c>
      <c r="N235" s="369" t="str">
        <f ca="1">IF($B235&lt;&gt;"PRC_RESID","",IF(N$7=2005+OFFSET(COM_2012!$B$60,$AW235,SUMIF($B$10:$B$16,"NCAP_TLIFE",$AX$10:$AX$16)),0,""))</f>
        <v/>
      </c>
      <c r="O235" s="658" t="str">
        <f ca="1">IF($B235&lt;&gt;"PRC_RESID","",IF(O$7=2005+OFFSET(COM_2012!$B$60,$AW235,SUMIF($B$10:$B$16,"NCAP_TLIFE",$AX$10:$AX$16)),0,""))</f>
        <v/>
      </c>
      <c r="P235" s="369" t="str">
        <f ca="1">IF($B235&lt;&gt;"PRC_RESID","",IF(P$7=2005+OFFSET(COM_2012!$B$60,$AW235,SUMIF($B$10:$B$16,"NCAP_TLIFE",$AX$10:$AX$16)),0,""))</f>
        <v/>
      </c>
      <c r="Q235" s="369" t="str">
        <f ca="1">IF($B235&lt;&gt;"PRC_RESID","",IF(Q$7=2005+OFFSET(COM_2012!$B$60,$AW235,SUMIF($B$10:$B$16,"NCAP_TLIFE",$AX$10:$AX$16)),0,""))</f>
        <v/>
      </c>
      <c r="R235" s="369" t="str">
        <f ca="1">IF($B235&lt;&gt;"PRC_RESID","",IF(R$7=2005+OFFSET(COM_2012!$B$60,$AW235,SUMIF($B$10:$B$16,"NCAP_TLIFE",$AX$10:$AX$16)),0,""))</f>
        <v/>
      </c>
      <c r="S235" s="369" t="str">
        <f ca="1">IF($B235&lt;&gt;"PRC_RESID","",IF(S$7=2005+OFFSET(COM_2012!$B$60,$AW235,SUMIF($B$10:$B$16,"NCAP_TLIFE",$AX$10:$AX$16)),0,""))</f>
        <v/>
      </c>
      <c r="T235" s="369" t="str">
        <f ca="1">IF($B235&lt;&gt;"PRC_RESID","",IF(T$7=2005+OFFSET(COM_2012!$B$60,$AW235,SUMIF($B$10:$B$16,"NCAP_TLIFE",$AX$10:$AX$16)),0,""))</f>
        <v/>
      </c>
      <c r="U235" s="369" t="str">
        <f ca="1">IF($B235&lt;&gt;"PRC_RESID","",IF(U$7=2005+OFFSET(COM_2012!$B$60,$AW235,SUMIF($B$10:$B$16,"NCAP_TLIFE",$AX$10:$AX$16)),0,""))</f>
        <v/>
      </c>
      <c r="V235" s="369" t="str">
        <f ca="1">IF($B235&lt;&gt;"PRC_RESID","",IF(V$7=2005+OFFSET(COM_2012!$B$60,$AW235,SUMIF($B$10:$B$16,"NCAP_TLIFE",$AX$10:$AX$16)),0,""))</f>
        <v/>
      </c>
      <c r="W235" s="369" t="str">
        <f ca="1">IF($B235&lt;&gt;"PRC_RESID","",IF(W$7=2005+OFFSET(COM_2012!$B$60,$AW235,SUMIF($B$10:$B$16,"NCAP_TLIFE",$AX$10:$AX$16)),0,""))</f>
        <v/>
      </c>
      <c r="X235" s="369" t="str">
        <f ca="1">IF($B235&lt;&gt;"PRC_RESID","",IF(X$7=2005+OFFSET(COM_2012!$B$60,$AW235,SUMIF($B$10:$B$16,"NCAP_TLIFE",$AX$10:$AX$16)),0,""))</f>
        <v/>
      </c>
      <c r="Y235" s="369" t="str">
        <f ca="1">IF($B235&lt;&gt;"PRC_RESID","",IF(Y$7=2005+OFFSET(COM_2012!$B$60,$AW235,SUMIF($B$10:$B$16,"NCAP_TLIFE",$AX$10:$AX$16)),0,""))</f>
        <v/>
      </c>
      <c r="Z235" s="369" t="str">
        <f ca="1">IF($B235&lt;&gt;"PRC_RESID","",IF(Z$7=2005+OFFSET(COM_2012!$B$60,$AW235,SUMIF($B$10:$B$16,"NCAP_TLIFE",$AX$10:$AX$16)),0,""))</f>
        <v/>
      </c>
      <c r="AA235" s="369" t="str">
        <f ca="1">IF($B235&lt;&gt;"PRC_RESID","",IF(AA$7=2005+OFFSET(COM_2012!$B$60,$AW235,SUMIF($B$10:$B$16,"NCAP_TLIFE",$AX$10:$AX$16)),0,""))</f>
        <v/>
      </c>
      <c r="AB235" s="369" t="str">
        <f ca="1">IF($B235&lt;&gt;"PRC_RESID","",IF(AB$7=2005+OFFSET(COM_2012!$B$60,$AW235,SUMIF($B$10:$B$16,"NCAP_TLIFE",$AX$10:$AX$16)),0,""))</f>
        <v/>
      </c>
      <c r="AC235" s="369" t="str">
        <f ca="1">IF($B235&lt;&gt;"PRC_RESID","",IF(AC$7=2005+OFFSET(COM_2012!$B$60,$AW235,SUMIF($B$10:$B$16,"NCAP_TLIFE",$AX$10:$AX$16)),0,""))</f>
        <v/>
      </c>
      <c r="AD235" s="369" t="str">
        <f ca="1">IF($B235&lt;&gt;"PRC_RESID","",IF(AD$7=2005+OFFSET(COM_2012!$B$60,$AW235,SUMIF($B$10:$B$16,"NCAP_TLIFE",$AX$10:$AX$16)),0,""))</f>
        <v/>
      </c>
      <c r="AE235" s="369" t="str">
        <f ca="1">IF($B235&lt;&gt;"PRC_RESID","",IF(AE$7=2005+OFFSET(COM_2012!$B$60,$AW235,SUMIF($B$10:$B$16,"NCAP_TLIFE",$AX$10:$AX$16)),0,""))</f>
        <v/>
      </c>
      <c r="AF235" s="369" t="str">
        <f ca="1">IF($B235&lt;&gt;"PRC_RESID","",IF(AF$7=2005+OFFSET(COM_2012!$B$60,$AW235,SUMIF($B$10:$B$16,"NCAP_TLIFE",$AX$10:$AX$16)),0,""))</f>
        <v/>
      </c>
      <c r="AG235" s="369" t="str">
        <f ca="1">IF($B235&lt;&gt;"PRC_RESID","",IF(AG$7=2005+OFFSET(COM_2012!$B$60,$AW235,SUMIF($B$10:$B$16,"NCAP_TLIFE",$AX$10:$AX$16)),0,""))</f>
        <v/>
      </c>
      <c r="AH235" s="369" t="str">
        <f ca="1">IF($B235&lt;&gt;"PRC_RESID","",IF(AH$7=2005+OFFSET(COM_2012!$B$60,$AW235,SUMIF($B$10:$B$16,"NCAP_TLIFE",$AX$10:$AX$16)),0,""))</f>
        <v/>
      </c>
      <c r="AI235" s="369" t="str">
        <f ca="1">IF($B235&lt;&gt;"PRC_RESID","",IF(AI$7=2005+OFFSET(COM_2012!$B$60,$AW235,SUMIF($B$10:$B$16,"NCAP_TLIFE",$AX$10:$AX$16)),0,""))</f>
        <v/>
      </c>
      <c r="AJ235" s="369" t="str">
        <f ca="1">IF($B235&lt;&gt;"PRC_RESID","",IF(AJ$7=2005+OFFSET(COM_2012!$B$60,$AW235,SUMIF($B$10:$B$16,"NCAP_TLIFE",$AX$10:$AX$16)),0,""))</f>
        <v/>
      </c>
      <c r="AK235" s="369" t="str">
        <f ca="1">IF($B235&lt;&gt;"PRC_RESID","",IF(AK$7=2005+OFFSET(COM_2012!$B$60,$AW235,SUMIF($B$10:$B$16,"NCAP_TLIFE",$AX$10:$AX$16)),0,""))</f>
        <v/>
      </c>
      <c r="AL235" s="369" t="str">
        <f ca="1">IF($B235&lt;&gt;"PRC_RESID","",IF(AL$7=2005+OFFSET(COM_2012!$B$60,$AW235,SUMIF($B$10:$B$16,"NCAP_TLIFE",$AX$10:$AX$16)),0,""))</f>
        <v/>
      </c>
      <c r="AM235" s="369" t="str">
        <f ca="1">IF($B235&lt;&gt;"PRC_RESID","",IF(AM$7=2005+OFFSET(COM_2012!$B$60,$AW235,SUMIF($B$10:$B$16,"NCAP_TLIFE",$AX$10:$AX$16)),0,""))</f>
        <v/>
      </c>
      <c r="AN235" s="369" t="str">
        <f ca="1">IF($B235&lt;&gt;"PRC_RESID","",IF(AN$7=2005+OFFSET(COM_2012!$B$60,$AW235,SUMIF($B$10:$B$16,"NCAP_TLIFE",$AX$10:$AX$16)),0,""))</f>
        <v/>
      </c>
      <c r="AO235" s="369" t="str">
        <f ca="1">IF($B235&lt;&gt;"PRC_RESID","",IF(AO$7=2005+OFFSET(COM_2012!$B$60,$AW235,SUMIF($B$10:$B$16,"NCAP_TLIFE",$AX$10:$AX$16)),0,""))</f>
        <v/>
      </c>
      <c r="AP235" s="369" t="str">
        <f ca="1">IF($B235&lt;&gt;"PRC_RESID","",IF(AP$7=2005+OFFSET(COM_2012!$B$60,$AW235,SUMIF($B$10:$B$16,"NCAP_TLIFE",$AX$10:$AX$16)),0,""))</f>
        <v/>
      </c>
      <c r="AQ235" s="369" t="str">
        <f ca="1">IF($B235&lt;&gt;"PRC_RESID","",IF(AQ$7=2005+OFFSET(COM_2012!$B$60,$AW235,SUMIF($B$10:$B$16,"NCAP_TLIFE",$AX$10:$AX$16)),0,""))</f>
        <v/>
      </c>
      <c r="AR235" s="369" t="str">
        <f ca="1">IF($B235&lt;&gt;"PRC_RESID","",IF(AR$7=2005+OFFSET(COM_2012!$B$60,$AW235,SUMIF($B$10:$B$16,"NCAP_TLIFE",$AX$10:$AX$16)),0,""))</f>
        <v/>
      </c>
      <c r="AS235" s="369" t="str">
        <f ca="1">IF($B235&lt;&gt;"PRC_RESID","",IF(AS$7=2005+OFFSET(COM_2012!$B$60,$AW235,SUMIF($B$10:$B$16,"NCAP_TLIFE",$AX$10:$AX$16)),0,""))</f>
        <v/>
      </c>
      <c r="AT235" s="369" t="str">
        <f ca="1">IF($B235&lt;&gt;"PRC_RESID","",IF(AT$7=2005+OFFSET(COM_2012!$B$60,$AW235,SUMIF($B$10:$B$16,"NCAP_TLIFE",$AX$10:$AX$16)),0,""))</f>
        <v/>
      </c>
      <c r="AU235" s="369" t="str">
        <f ca="1">IF($B235&lt;&gt;"PRC_RESID","",IF(AU$7=2005+OFFSET(COM_2012!$B$60,$AW235,SUMIF($B$10:$B$16,"NCAP_TLIFE",$AX$10:$AX$16)),0,""))</f>
        <v/>
      </c>
      <c r="AV235" s="304">
        <f>IF(AW234=COM_2012!$AI$121,AV234+1,AV234)</f>
        <v>4</v>
      </c>
      <c r="AW235" s="304">
        <f t="shared" si="23"/>
        <v>25</v>
      </c>
    </row>
    <row r="236" spans="1:49">
      <c r="A236" s="304" t="str">
        <f ca="1">IF(LEFT(OFFSET(COM_2012!$A$60,AW236,0),2)="\I","*","")</f>
        <v/>
      </c>
      <c r="B236" s="369" t="str">
        <f t="shared" ca="1" si="22"/>
        <v>NCAP_COST</v>
      </c>
      <c r="C236" s="369" t="str">
        <f ca="1">IF($A236="*","",OFFSET(COM_2012!$B$60,AW236,0))</f>
        <v>CELELCLED-N</v>
      </c>
      <c r="D236" s="369" t="str">
        <f t="shared" ca="1" si="24"/>
        <v>-</v>
      </c>
      <c r="E236" s="369" t="str">
        <f t="shared" ca="1" si="24"/>
        <v>-</v>
      </c>
      <c r="F236" s="369" t="str">
        <f t="shared" ca="1" si="24"/>
        <v>-</v>
      </c>
      <c r="G236" s="369" t="str">
        <f t="shared" ca="1" si="24"/>
        <v>-</v>
      </c>
      <c r="H236" s="369" t="str">
        <f t="shared" ca="1" si="24"/>
        <v>-</v>
      </c>
      <c r="I236" s="370">
        <f t="shared" ca="1" si="24"/>
        <v>0</v>
      </c>
      <c r="J236" s="391">
        <f ca="1">IF($A236="*","",OFFSET(COM_2012!$B$60,AW236,SUMIF($B$10:$B$16,B236,$AX$10:$AX$16)))</f>
        <v>4.9258814903416521</v>
      </c>
      <c r="K236" s="369" t="str">
        <f ca="1">IF($B236&lt;&gt;"PRC_RESID","",IF(K$7=2005+OFFSET(COM_2012!$B$60,$AW236,SUMIF($B$10:$B$16,"NCAP_TLIFE",$AX$10:$AX$16)),0,""))</f>
        <v/>
      </c>
      <c r="L236" s="369" t="str">
        <f ca="1">IF($B236&lt;&gt;"PRC_RESID","",IF(L$7=2005+OFFSET(COM_2012!$B$60,$AW236,SUMIF($B$10:$B$16,"NCAP_TLIFE",$AX$10:$AX$16)),0,""))</f>
        <v/>
      </c>
      <c r="M236" s="369" t="str">
        <f ca="1">IF($B236&lt;&gt;"PRC_RESID","",IF(M$7=2005+OFFSET(COM_2012!$B$60,$AW236,SUMIF($B$10:$B$16,"NCAP_TLIFE",$AX$10:$AX$16)),0,""))</f>
        <v/>
      </c>
      <c r="N236" s="369" t="str">
        <f ca="1">IF($B236&lt;&gt;"PRC_RESID","",IF(N$7=2005+OFFSET(COM_2012!$B$60,$AW236,SUMIF($B$10:$B$16,"NCAP_TLIFE",$AX$10:$AX$16)),0,""))</f>
        <v/>
      </c>
      <c r="O236" s="658" t="str">
        <f ca="1">IF($B236&lt;&gt;"PRC_RESID","",IF(O$7=2005+OFFSET(COM_2012!$B$60,$AW236,SUMIF($B$10:$B$16,"NCAP_TLIFE",$AX$10:$AX$16)),0,""))</f>
        <v/>
      </c>
      <c r="P236" s="369" t="str">
        <f ca="1">IF($B236&lt;&gt;"PRC_RESID","",IF(P$7=2005+OFFSET(COM_2012!$B$60,$AW236,SUMIF($B$10:$B$16,"NCAP_TLIFE",$AX$10:$AX$16)),0,""))</f>
        <v/>
      </c>
      <c r="Q236" s="369" t="str">
        <f ca="1">IF($B236&lt;&gt;"PRC_RESID","",IF(Q$7=2005+OFFSET(COM_2012!$B$60,$AW236,SUMIF($B$10:$B$16,"NCAP_TLIFE",$AX$10:$AX$16)),0,""))</f>
        <v/>
      </c>
      <c r="R236" s="369" t="str">
        <f ca="1">IF($B236&lt;&gt;"PRC_RESID","",IF(R$7=2005+OFFSET(COM_2012!$B$60,$AW236,SUMIF($B$10:$B$16,"NCAP_TLIFE",$AX$10:$AX$16)),0,""))</f>
        <v/>
      </c>
      <c r="S236" s="369" t="str">
        <f ca="1">IF($B236&lt;&gt;"PRC_RESID","",IF(S$7=2005+OFFSET(COM_2012!$B$60,$AW236,SUMIF($B$10:$B$16,"NCAP_TLIFE",$AX$10:$AX$16)),0,""))</f>
        <v/>
      </c>
      <c r="T236" s="369" t="str">
        <f ca="1">IF($B236&lt;&gt;"PRC_RESID","",IF(T$7=2005+OFFSET(COM_2012!$B$60,$AW236,SUMIF($B$10:$B$16,"NCAP_TLIFE",$AX$10:$AX$16)),0,""))</f>
        <v/>
      </c>
      <c r="U236" s="369" t="str">
        <f ca="1">IF($B236&lt;&gt;"PRC_RESID","",IF(U$7=2005+OFFSET(COM_2012!$B$60,$AW236,SUMIF($B$10:$B$16,"NCAP_TLIFE",$AX$10:$AX$16)),0,""))</f>
        <v/>
      </c>
      <c r="V236" s="369" t="str">
        <f ca="1">IF($B236&lt;&gt;"PRC_RESID","",IF(V$7=2005+OFFSET(COM_2012!$B$60,$AW236,SUMIF($B$10:$B$16,"NCAP_TLIFE",$AX$10:$AX$16)),0,""))</f>
        <v/>
      </c>
      <c r="W236" s="369" t="str">
        <f ca="1">IF($B236&lt;&gt;"PRC_RESID","",IF(W$7=2005+OFFSET(COM_2012!$B$60,$AW236,SUMIF($B$10:$B$16,"NCAP_TLIFE",$AX$10:$AX$16)),0,""))</f>
        <v/>
      </c>
      <c r="X236" s="369" t="str">
        <f ca="1">IF($B236&lt;&gt;"PRC_RESID","",IF(X$7=2005+OFFSET(COM_2012!$B$60,$AW236,SUMIF($B$10:$B$16,"NCAP_TLIFE",$AX$10:$AX$16)),0,""))</f>
        <v/>
      </c>
      <c r="Y236" s="369" t="str">
        <f ca="1">IF($B236&lt;&gt;"PRC_RESID","",IF(Y$7=2005+OFFSET(COM_2012!$B$60,$AW236,SUMIF($B$10:$B$16,"NCAP_TLIFE",$AX$10:$AX$16)),0,""))</f>
        <v/>
      </c>
      <c r="Z236" s="369" t="str">
        <f ca="1">IF($B236&lt;&gt;"PRC_RESID","",IF(Z$7=2005+OFFSET(COM_2012!$B$60,$AW236,SUMIF($B$10:$B$16,"NCAP_TLIFE",$AX$10:$AX$16)),0,""))</f>
        <v/>
      </c>
      <c r="AA236" s="369" t="str">
        <f ca="1">IF($B236&lt;&gt;"PRC_RESID","",IF(AA$7=2005+OFFSET(COM_2012!$B$60,$AW236,SUMIF($B$10:$B$16,"NCAP_TLIFE",$AX$10:$AX$16)),0,""))</f>
        <v/>
      </c>
      <c r="AB236" s="369" t="str">
        <f ca="1">IF($B236&lt;&gt;"PRC_RESID","",IF(AB$7=2005+OFFSET(COM_2012!$B$60,$AW236,SUMIF($B$10:$B$16,"NCAP_TLIFE",$AX$10:$AX$16)),0,""))</f>
        <v/>
      </c>
      <c r="AC236" s="369" t="str">
        <f ca="1">IF($B236&lt;&gt;"PRC_RESID","",IF(AC$7=2005+OFFSET(COM_2012!$B$60,$AW236,SUMIF($B$10:$B$16,"NCAP_TLIFE",$AX$10:$AX$16)),0,""))</f>
        <v/>
      </c>
      <c r="AD236" s="369" t="str">
        <f ca="1">IF($B236&lt;&gt;"PRC_RESID","",IF(AD$7=2005+OFFSET(COM_2012!$B$60,$AW236,SUMIF($B$10:$B$16,"NCAP_TLIFE",$AX$10:$AX$16)),0,""))</f>
        <v/>
      </c>
      <c r="AE236" s="369" t="str">
        <f ca="1">IF($B236&lt;&gt;"PRC_RESID","",IF(AE$7=2005+OFFSET(COM_2012!$B$60,$AW236,SUMIF($B$10:$B$16,"NCAP_TLIFE",$AX$10:$AX$16)),0,""))</f>
        <v/>
      </c>
      <c r="AF236" s="369" t="str">
        <f ca="1">IF($B236&lt;&gt;"PRC_RESID","",IF(AF$7=2005+OFFSET(COM_2012!$B$60,$AW236,SUMIF($B$10:$B$16,"NCAP_TLIFE",$AX$10:$AX$16)),0,""))</f>
        <v/>
      </c>
      <c r="AG236" s="369" t="str">
        <f ca="1">IF($B236&lt;&gt;"PRC_RESID","",IF(AG$7=2005+OFFSET(COM_2012!$B$60,$AW236,SUMIF($B$10:$B$16,"NCAP_TLIFE",$AX$10:$AX$16)),0,""))</f>
        <v/>
      </c>
      <c r="AH236" s="369" t="str">
        <f ca="1">IF($B236&lt;&gt;"PRC_RESID","",IF(AH$7=2005+OFFSET(COM_2012!$B$60,$AW236,SUMIF($B$10:$B$16,"NCAP_TLIFE",$AX$10:$AX$16)),0,""))</f>
        <v/>
      </c>
      <c r="AI236" s="369" t="str">
        <f ca="1">IF($B236&lt;&gt;"PRC_RESID","",IF(AI$7=2005+OFFSET(COM_2012!$B$60,$AW236,SUMIF($B$10:$B$16,"NCAP_TLIFE",$AX$10:$AX$16)),0,""))</f>
        <v/>
      </c>
      <c r="AJ236" s="369" t="str">
        <f ca="1">IF($B236&lt;&gt;"PRC_RESID","",IF(AJ$7=2005+OFFSET(COM_2012!$B$60,$AW236,SUMIF($B$10:$B$16,"NCAP_TLIFE",$AX$10:$AX$16)),0,""))</f>
        <v/>
      </c>
      <c r="AK236" s="369" t="str">
        <f ca="1">IF($B236&lt;&gt;"PRC_RESID","",IF(AK$7=2005+OFFSET(COM_2012!$B$60,$AW236,SUMIF($B$10:$B$16,"NCAP_TLIFE",$AX$10:$AX$16)),0,""))</f>
        <v/>
      </c>
      <c r="AL236" s="369" t="str">
        <f ca="1">IF($B236&lt;&gt;"PRC_RESID","",IF(AL$7=2005+OFFSET(COM_2012!$B$60,$AW236,SUMIF($B$10:$B$16,"NCAP_TLIFE",$AX$10:$AX$16)),0,""))</f>
        <v/>
      </c>
      <c r="AM236" s="369" t="str">
        <f ca="1">IF($B236&lt;&gt;"PRC_RESID","",IF(AM$7=2005+OFFSET(COM_2012!$B$60,$AW236,SUMIF($B$10:$B$16,"NCAP_TLIFE",$AX$10:$AX$16)),0,""))</f>
        <v/>
      </c>
      <c r="AN236" s="369" t="str">
        <f ca="1">IF($B236&lt;&gt;"PRC_RESID","",IF(AN$7=2005+OFFSET(COM_2012!$B$60,$AW236,SUMIF($B$10:$B$16,"NCAP_TLIFE",$AX$10:$AX$16)),0,""))</f>
        <v/>
      </c>
      <c r="AO236" s="369" t="str">
        <f ca="1">IF($B236&lt;&gt;"PRC_RESID","",IF(AO$7=2005+OFFSET(COM_2012!$B$60,$AW236,SUMIF($B$10:$B$16,"NCAP_TLIFE",$AX$10:$AX$16)),0,""))</f>
        <v/>
      </c>
      <c r="AP236" s="369" t="str">
        <f ca="1">IF($B236&lt;&gt;"PRC_RESID","",IF(AP$7=2005+OFFSET(COM_2012!$B$60,$AW236,SUMIF($B$10:$B$16,"NCAP_TLIFE",$AX$10:$AX$16)),0,""))</f>
        <v/>
      </c>
      <c r="AQ236" s="369" t="str">
        <f ca="1">IF($B236&lt;&gt;"PRC_RESID","",IF(AQ$7=2005+OFFSET(COM_2012!$B$60,$AW236,SUMIF($B$10:$B$16,"NCAP_TLIFE",$AX$10:$AX$16)),0,""))</f>
        <v/>
      </c>
      <c r="AR236" s="369" t="str">
        <f ca="1">IF($B236&lt;&gt;"PRC_RESID","",IF(AR$7=2005+OFFSET(COM_2012!$B$60,$AW236,SUMIF($B$10:$B$16,"NCAP_TLIFE",$AX$10:$AX$16)),0,""))</f>
        <v/>
      </c>
      <c r="AS236" s="369" t="str">
        <f ca="1">IF($B236&lt;&gt;"PRC_RESID","",IF(AS$7=2005+OFFSET(COM_2012!$B$60,$AW236,SUMIF($B$10:$B$16,"NCAP_TLIFE",$AX$10:$AX$16)),0,""))</f>
        <v/>
      </c>
      <c r="AT236" s="369" t="str">
        <f ca="1">IF($B236&lt;&gt;"PRC_RESID","",IF(AT$7=2005+OFFSET(COM_2012!$B$60,$AW236,SUMIF($B$10:$B$16,"NCAP_TLIFE",$AX$10:$AX$16)),0,""))</f>
        <v/>
      </c>
      <c r="AU236" s="369" t="str">
        <f ca="1">IF($B236&lt;&gt;"PRC_RESID","",IF(AU$7=2005+OFFSET(COM_2012!$B$60,$AW236,SUMIF($B$10:$B$16,"NCAP_TLIFE",$AX$10:$AX$16)),0,""))</f>
        <v/>
      </c>
      <c r="AV236" s="304">
        <f>IF(AW235=COM_2012!$AI$121,AV235+1,AV235)</f>
        <v>4</v>
      </c>
      <c r="AW236" s="304">
        <f t="shared" si="23"/>
        <v>26</v>
      </c>
    </row>
    <row r="237" spans="1:49">
      <c r="A237" s="304" t="str">
        <f ca="1">IF(LEFT(OFFSET(COM_2012!$A$60,AW237,0),2)="\I","*","")</f>
        <v>*</v>
      </c>
      <c r="B237" s="369" t="str">
        <f t="shared" ca="1" si="22"/>
        <v/>
      </c>
      <c r="C237" s="369" t="str">
        <f ca="1">IF($A237="*","",OFFSET(COM_2012!$B$60,AW237,0))</f>
        <v/>
      </c>
      <c r="D237" s="369" t="str">
        <f t="shared" ca="1" si="24"/>
        <v/>
      </c>
      <c r="E237" s="369" t="str">
        <f t="shared" ca="1" si="24"/>
        <v/>
      </c>
      <c r="F237" s="369" t="str">
        <f t="shared" ca="1" si="24"/>
        <v/>
      </c>
      <c r="G237" s="369" t="str">
        <f t="shared" ca="1" si="24"/>
        <v/>
      </c>
      <c r="H237" s="369" t="str">
        <f t="shared" ca="1" si="24"/>
        <v/>
      </c>
      <c r="I237" s="370" t="str">
        <f t="shared" ca="1" si="24"/>
        <v/>
      </c>
      <c r="J237" s="391" t="str">
        <f ca="1">IF($A237="*","",OFFSET(COM_2012!$B$60,AW237,SUMIF($B$10:$B$16,B237,$AX$10:$AX$16)))</f>
        <v/>
      </c>
      <c r="K237" s="369" t="str">
        <f ca="1">IF($B237&lt;&gt;"PRC_RESID","",IF(K$7=2005+OFFSET(COM_2012!$B$60,$AW237,SUMIF($B$10:$B$16,"NCAP_TLIFE",$AX$10:$AX$16)),0,""))</f>
        <v/>
      </c>
      <c r="L237" s="369" t="str">
        <f ca="1">IF($B237&lt;&gt;"PRC_RESID","",IF(L$7=2005+OFFSET(COM_2012!$B$60,$AW237,SUMIF($B$10:$B$16,"NCAP_TLIFE",$AX$10:$AX$16)),0,""))</f>
        <v/>
      </c>
      <c r="M237" s="369" t="str">
        <f ca="1">IF($B237&lt;&gt;"PRC_RESID","",IF(M$7=2005+OFFSET(COM_2012!$B$60,$AW237,SUMIF($B$10:$B$16,"NCAP_TLIFE",$AX$10:$AX$16)),0,""))</f>
        <v/>
      </c>
      <c r="N237" s="369" t="str">
        <f ca="1">IF($B237&lt;&gt;"PRC_RESID","",IF(N$7=2005+OFFSET(COM_2012!$B$60,$AW237,SUMIF($B$10:$B$16,"NCAP_TLIFE",$AX$10:$AX$16)),0,""))</f>
        <v/>
      </c>
      <c r="O237" s="658" t="str">
        <f ca="1">IF($B237&lt;&gt;"PRC_RESID","",IF(O$7=2005+OFFSET(COM_2012!$B$60,$AW237,SUMIF($B$10:$B$16,"NCAP_TLIFE",$AX$10:$AX$16)),0,""))</f>
        <v/>
      </c>
      <c r="P237" s="369" t="str">
        <f ca="1">IF($B237&lt;&gt;"PRC_RESID","",IF(P$7=2005+OFFSET(COM_2012!$B$60,$AW237,SUMIF($B$10:$B$16,"NCAP_TLIFE",$AX$10:$AX$16)),0,""))</f>
        <v/>
      </c>
      <c r="Q237" s="369" t="str">
        <f ca="1">IF($B237&lt;&gt;"PRC_RESID","",IF(Q$7=2005+OFFSET(COM_2012!$B$60,$AW237,SUMIF($B$10:$B$16,"NCAP_TLIFE",$AX$10:$AX$16)),0,""))</f>
        <v/>
      </c>
      <c r="R237" s="369" t="str">
        <f ca="1">IF($B237&lt;&gt;"PRC_RESID","",IF(R$7=2005+OFFSET(COM_2012!$B$60,$AW237,SUMIF($B$10:$B$16,"NCAP_TLIFE",$AX$10:$AX$16)),0,""))</f>
        <v/>
      </c>
      <c r="S237" s="369" t="str">
        <f ca="1">IF($B237&lt;&gt;"PRC_RESID","",IF(S$7=2005+OFFSET(COM_2012!$B$60,$AW237,SUMIF($B$10:$B$16,"NCAP_TLIFE",$AX$10:$AX$16)),0,""))</f>
        <v/>
      </c>
      <c r="T237" s="369" t="str">
        <f ca="1">IF($B237&lt;&gt;"PRC_RESID","",IF(T$7=2005+OFFSET(COM_2012!$B$60,$AW237,SUMIF($B$10:$B$16,"NCAP_TLIFE",$AX$10:$AX$16)),0,""))</f>
        <v/>
      </c>
      <c r="U237" s="369" t="str">
        <f ca="1">IF($B237&lt;&gt;"PRC_RESID","",IF(U$7=2005+OFFSET(COM_2012!$B$60,$AW237,SUMIF($B$10:$B$16,"NCAP_TLIFE",$AX$10:$AX$16)),0,""))</f>
        <v/>
      </c>
      <c r="V237" s="369" t="str">
        <f ca="1">IF($B237&lt;&gt;"PRC_RESID","",IF(V$7=2005+OFFSET(COM_2012!$B$60,$AW237,SUMIF($B$10:$B$16,"NCAP_TLIFE",$AX$10:$AX$16)),0,""))</f>
        <v/>
      </c>
      <c r="W237" s="369" t="str">
        <f ca="1">IF($B237&lt;&gt;"PRC_RESID","",IF(W$7=2005+OFFSET(COM_2012!$B$60,$AW237,SUMIF($B$10:$B$16,"NCAP_TLIFE",$AX$10:$AX$16)),0,""))</f>
        <v/>
      </c>
      <c r="X237" s="369" t="str">
        <f ca="1">IF($B237&lt;&gt;"PRC_RESID","",IF(X$7=2005+OFFSET(COM_2012!$B$60,$AW237,SUMIF($B$10:$B$16,"NCAP_TLIFE",$AX$10:$AX$16)),0,""))</f>
        <v/>
      </c>
      <c r="Y237" s="369" t="str">
        <f ca="1">IF($B237&lt;&gt;"PRC_RESID","",IF(Y$7=2005+OFFSET(COM_2012!$B$60,$AW237,SUMIF($B$10:$B$16,"NCAP_TLIFE",$AX$10:$AX$16)),0,""))</f>
        <v/>
      </c>
      <c r="Z237" s="369" t="str">
        <f ca="1">IF($B237&lt;&gt;"PRC_RESID","",IF(Z$7=2005+OFFSET(COM_2012!$B$60,$AW237,SUMIF($B$10:$B$16,"NCAP_TLIFE",$AX$10:$AX$16)),0,""))</f>
        <v/>
      </c>
      <c r="AA237" s="369" t="str">
        <f ca="1">IF($B237&lt;&gt;"PRC_RESID","",IF(AA$7=2005+OFFSET(COM_2012!$B$60,$AW237,SUMIF($B$10:$B$16,"NCAP_TLIFE",$AX$10:$AX$16)),0,""))</f>
        <v/>
      </c>
      <c r="AB237" s="369" t="str">
        <f ca="1">IF($B237&lt;&gt;"PRC_RESID","",IF(AB$7=2005+OFFSET(COM_2012!$B$60,$AW237,SUMIF($B$10:$B$16,"NCAP_TLIFE",$AX$10:$AX$16)),0,""))</f>
        <v/>
      </c>
      <c r="AC237" s="369" t="str">
        <f ca="1">IF($B237&lt;&gt;"PRC_RESID","",IF(AC$7=2005+OFFSET(COM_2012!$B$60,$AW237,SUMIF($B$10:$B$16,"NCAP_TLIFE",$AX$10:$AX$16)),0,""))</f>
        <v/>
      </c>
      <c r="AD237" s="369" t="str">
        <f ca="1">IF($B237&lt;&gt;"PRC_RESID","",IF(AD$7=2005+OFFSET(COM_2012!$B$60,$AW237,SUMIF($B$10:$B$16,"NCAP_TLIFE",$AX$10:$AX$16)),0,""))</f>
        <v/>
      </c>
      <c r="AE237" s="369" t="str">
        <f ca="1">IF($B237&lt;&gt;"PRC_RESID","",IF(AE$7=2005+OFFSET(COM_2012!$B$60,$AW237,SUMIF($B$10:$B$16,"NCAP_TLIFE",$AX$10:$AX$16)),0,""))</f>
        <v/>
      </c>
      <c r="AF237" s="369" t="str">
        <f ca="1">IF($B237&lt;&gt;"PRC_RESID","",IF(AF$7=2005+OFFSET(COM_2012!$B$60,$AW237,SUMIF($B$10:$B$16,"NCAP_TLIFE",$AX$10:$AX$16)),0,""))</f>
        <v/>
      </c>
      <c r="AG237" s="369" t="str">
        <f ca="1">IF($B237&lt;&gt;"PRC_RESID","",IF(AG$7=2005+OFFSET(COM_2012!$B$60,$AW237,SUMIF($B$10:$B$16,"NCAP_TLIFE",$AX$10:$AX$16)),0,""))</f>
        <v/>
      </c>
      <c r="AH237" s="369" t="str">
        <f ca="1">IF($B237&lt;&gt;"PRC_RESID","",IF(AH$7=2005+OFFSET(COM_2012!$B$60,$AW237,SUMIF($B$10:$B$16,"NCAP_TLIFE",$AX$10:$AX$16)),0,""))</f>
        <v/>
      </c>
      <c r="AI237" s="369" t="str">
        <f ca="1">IF($B237&lt;&gt;"PRC_RESID","",IF(AI$7=2005+OFFSET(COM_2012!$B$60,$AW237,SUMIF($B$10:$B$16,"NCAP_TLIFE",$AX$10:$AX$16)),0,""))</f>
        <v/>
      </c>
      <c r="AJ237" s="369" t="str">
        <f ca="1">IF($B237&lt;&gt;"PRC_RESID","",IF(AJ$7=2005+OFFSET(COM_2012!$B$60,$AW237,SUMIF($B$10:$B$16,"NCAP_TLIFE",$AX$10:$AX$16)),0,""))</f>
        <v/>
      </c>
      <c r="AK237" s="369" t="str">
        <f ca="1">IF($B237&lt;&gt;"PRC_RESID","",IF(AK$7=2005+OFFSET(COM_2012!$B$60,$AW237,SUMIF($B$10:$B$16,"NCAP_TLIFE",$AX$10:$AX$16)),0,""))</f>
        <v/>
      </c>
      <c r="AL237" s="369" t="str">
        <f ca="1">IF($B237&lt;&gt;"PRC_RESID","",IF(AL$7=2005+OFFSET(COM_2012!$B$60,$AW237,SUMIF($B$10:$B$16,"NCAP_TLIFE",$AX$10:$AX$16)),0,""))</f>
        <v/>
      </c>
      <c r="AM237" s="369" t="str">
        <f ca="1">IF($B237&lt;&gt;"PRC_RESID","",IF(AM$7=2005+OFFSET(COM_2012!$B$60,$AW237,SUMIF($B$10:$B$16,"NCAP_TLIFE",$AX$10:$AX$16)),0,""))</f>
        <v/>
      </c>
      <c r="AN237" s="369" t="str">
        <f ca="1">IF($B237&lt;&gt;"PRC_RESID","",IF(AN$7=2005+OFFSET(COM_2012!$B$60,$AW237,SUMIF($B$10:$B$16,"NCAP_TLIFE",$AX$10:$AX$16)),0,""))</f>
        <v/>
      </c>
      <c r="AO237" s="369" t="str">
        <f ca="1">IF($B237&lt;&gt;"PRC_RESID","",IF(AO$7=2005+OFFSET(COM_2012!$B$60,$AW237,SUMIF($B$10:$B$16,"NCAP_TLIFE",$AX$10:$AX$16)),0,""))</f>
        <v/>
      </c>
      <c r="AP237" s="369" t="str">
        <f ca="1">IF($B237&lt;&gt;"PRC_RESID","",IF(AP$7=2005+OFFSET(COM_2012!$B$60,$AW237,SUMIF($B$10:$B$16,"NCAP_TLIFE",$AX$10:$AX$16)),0,""))</f>
        <v/>
      </c>
      <c r="AQ237" s="369" t="str">
        <f ca="1">IF($B237&lt;&gt;"PRC_RESID","",IF(AQ$7=2005+OFFSET(COM_2012!$B$60,$AW237,SUMIF($B$10:$B$16,"NCAP_TLIFE",$AX$10:$AX$16)),0,""))</f>
        <v/>
      </c>
      <c r="AR237" s="369" t="str">
        <f ca="1">IF($B237&lt;&gt;"PRC_RESID","",IF(AR$7=2005+OFFSET(COM_2012!$B$60,$AW237,SUMIF($B$10:$B$16,"NCAP_TLIFE",$AX$10:$AX$16)),0,""))</f>
        <v/>
      </c>
      <c r="AS237" s="369" t="str">
        <f ca="1">IF($B237&lt;&gt;"PRC_RESID","",IF(AS$7=2005+OFFSET(COM_2012!$B$60,$AW237,SUMIF($B$10:$B$16,"NCAP_TLIFE",$AX$10:$AX$16)),0,""))</f>
        <v/>
      </c>
      <c r="AT237" s="369" t="str">
        <f ca="1">IF($B237&lt;&gt;"PRC_RESID","",IF(AT$7=2005+OFFSET(COM_2012!$B$60,$AW237,SUMIF($B$10:$B$16,"NCAP_TLIFE",$AX$10:$AX$16)),0,""))</f>
        <v/>
      </c>
      <c r="AU237" s="369" t="str">
        <f ca="1">IF($B237&lt;&gt;"PRC_RESID","",IF(AU$7=2005+OFFSET(COM_2012!$B$60,$AW237,SUMIF($B$10:$B$16,"NCAP_TLIFE",$AX$10:$AX$16)),0,""))</f>
        <v/>
      </c>
      <c r="AV237" s="304">
        <f>IF(AW236=COM_2012!$AI$121,AV236+1,AV236)</f>
        <v>4</v>
      </c>
      <c r="AW237" s="304">
        <f t="shared" si="23"/>
        <v>27</v>
      </c>
    </row>
    <row r="238" spans="1:49">
      <c r="A238" s="304" t="str">
        <f ca="1">IF(LEFT(OFFSET(COM_2012!$A$60,AW238,0),2)="\I","*","")</f>
        <v>*</v>
      </c>
      <c r="B238" s="369" t="str">
        <f t="shared" ca="1" si="22"/>
        <v/>
      </c>
      <c r="C238" s="369" t="str">
        <f ca="1">IF($A238="*","",OFFSET(COM_2012!$B$60,AW238,0))</f>
        <v/>
      </c>
      <c r="D238" s="369" t="str">
        <f t="shared" ca="1" si="24"/>
        <v/>
      </c>
      <c r="E238" s="369" t="str">
        <f t="shared" ca="1" si="24"/>
        <v/>
      </c>
      <c r="F238" s="369" t="str">
        <f t="shared" ca="1" si="24"/>
        <v/>
      </c>
      <c r="G238" s="369" t="str">
        <f t="shared" ca="1" si="24"/>
        <v/>
      </c>
      <c r="H238" s="369" t="str">
        <f t="shared" ca="1" si="24"/>
        <v/>
      </c>
      <c r="I238" s="370" t="str">
        <f t="shared" ca="1" si="24"/>
        <v/>
      </c>
      <c r="J238" s="391" t="str">
        <f ca="1">IF($A238="*","",OFFSET(COM_2012!$B$60,AW238,SUMIF($B$10:$B$16,B238,$AX$10:$AX$16)))</f>
        <v/>
      </c>
      <c r="K238" s="369" t="str">
        <f ca="1">IF($B238&lt;&gt;"PRC_RESID","",IF(K$7=2005+OFFSET(COM_2012!$B$60,$AW238,SUMIF($B$10:$B$16,"NCAP_TLIFE",$AX$10:$AX$16)),0,""))</f>
        <v/>
      </c>
      <c r="L238" s="369" t="str">
        <f ca="1">IF($B238&lt;&gt;"PRC_RESID","",IF(L$7=2005+OFFSET(COM_2012!$B$60,$AW238,SUMIF($B$10:$B$16,"NCAP_TLIFE",$AX$10:$AX$16)),0,""))</f>
        <v/>
      </c>
      <c r="M238" s="369" t="str">
        <f ca="1">IF($B238&lt;&gt;"PRC_RESID","",IF(M$7=2005+OFFSET(COM_2012!$B$60,$AW238,SUMIF($B$10:$B$16,"NCAP_TLIFE",$AX$10:$AX$16)),0,""))</f>
        <v/>
      </c>
      <c r="N238" s="369" t="str">
        <f ca="1">IF($B238&lt;&gt;"PRC_RESID","",IF(N$7=2005+OFFSET(COM_2012!$B$60,$AW238,SUMIF($B$10:$B$16,"NCAP_TLIFE",$AX$10:$AX$16)),0,""))</f>
        <v/>
      </c>
      <c r="O238" s="658" t="str">
        <f ca="1">IF($B238&lt;&gt;"PRC_RESID","",IF(O$7=2005+OFFSET(COM_2012!$B$60,$AW238,SUMIF($B$10:$B$16,"NCAP_TLIFE",$AX$10:$AX$16)),0,""))</f>
        <v/>
      </c>
      <c r="P238" s="369" t="str">
        <f ca="1">IF($B238&lt;&gt;"PRC_RESID","",IF(P$7=2005+OFFSET(COM_2012!$B$60,$AW238,SUMIF($B$10:$B$16,"NCAP_TLIFE",$AX$10:$AX$16)),0,""))</f>
        <v/>
      </c>
      <c r="Q238" s="369" t="str">
        <f ca="1">IF($B238&lt;&gt;"PRC_RESID","",IF(Q$7=2005+OFFSET(COM_2012!$B$60,$AW238,SUMIF($B$10:$B$16,"NCAP_TLIFE",$AX$10:$AX$16)),0,""))</f>
        <v/>
      </c>
      <c r="R238" s="369" t="str">
        <f ca="1">IF($B238&lt;&gt;"PRC_RESID","",IF(R$7=2005+OFFSET(COM_2012!$B$60,$AW238,SUMIF($B$10:$B$16,"NCAP_TLIFE",$AX$10:$AX$16)),0,""))</f>
        <v/>
      </c>
      <c r="S238" s="369" t="str">
        <f ca="1">IF($B238&lt;&gt;"PRC_RESID","",IF(S$7=2005+OFFSET(COM_2012!$B$60,$AW238,SUMIF($B$10:$B$16,"NCAP_TLIFE",$AX$10:$AX$16)),0,""))</f>
        <v/>
      </c>
      <c r="T238" s="369" t="str">
        <f ca="1">IF($B238&lt;&gt;"PRC_RESID","",IF(T$7=2005+OFFSET(COM_2012!$B$60,$AW238,SUMIF($B$10:$B$16,"NCAP_TLIFE",$AX$10:$AX$16)),0,""))</f>
        <v/>
      </c>
      <c r="U238" s="369" t="str">
        <f ca="1">IF($B238&lt;&gt;"PRC_RESID","",IF(U$7=2005+OFFSET(COM_2012!$B$60,$AW238,SUMIF($B$10:$B$16,"NCAP_TLIFE",$AX$10:$AX$16)),0,""))</f>
        <v/>
      </c>
      <c r="V238" s="369" t="str">
        <f ca="1">IF($B238&lt;&gt;"PRC_RESID","",IF(V$7=2005+OFFSET(COM_2012!$B$60,$AW238,SUMIF($B$10:$B$16,"NCAP_TLIFE",$AX$10:$AX$16)),0,""))</f>
        <v/>
      </c>
      <c r="W238" s="369" t="str">
        <f ca="1">IF($B238&lt;&gt;"PRC_RESID","",IF(W$7=2005+OFFSET(COM_2012!$B$60,$AW238,SUMIF($B$10:$B$16,"NCAP_TLIFE",$AX$10:$AX$16)),0,""))</f>
        <v/>
      </c>
      <c r="X238" s="369" t="str">
        <f ca="1">IF($B238&lt;&gt;"PRC_RESID","",IF(X$7=2005+OFFSET(COM_2012!$B$60,$AW238,SUMIF($B$10:$B$16,"NCAP_TLIFE",$AX$10:$AX$16)),0,""))</f>
        <v/>
      </c>
      <c r="Y238" s="369" t="str">
        <f ca="1">IF($B238&lt;&gt;"PRC_RESID","",IF(Y$7=2005+OFFSET(COM_2012!$B$60,$AW238,SUMIF($B$10:$B$16,"NCAP_TLIFE",$AX$10:$AX$16)),0,""))</f>
        <v/>
      </c>
      <c r="Z238" s="369" t="str">
        <f ca="1">IF($B238&lt;&gt;"PRC_RESID","",IF(Z$7=2005+OFFSET(COM_2012!$B$60,$AW238,SUMIF($B$10:$B$16,"NCAP_TLIFE",$AX$10:$AX$16)),0,""))</f>
        <v/>
      </c>
      <c r="AA238" s="369" t="str">
        <f ca="1">IF($B238&lt;&gt;"PRC_RESID","",IF(AA$7=2005+OFFSET(COM_2012!$B$60,$AW238,SUMIF($B$10:$B$16,"NCAP_TLIFE",$AX$10:$AX$16)),0,""))</f>
        <v/>
      </c>
      <c r="AB238" s="369" t="str">
        <f ca="1">IF($B238&lt;&gt;"PRC_RESID","",IF(AB$7=2005+OFFSET(COM_2012!$B$60,$AW238,SUMIF($B$10:$B$16,"NCAP_TLIFE",$AX$10:$AX$16)),0,""))</f>
        <v/>
      </c>
      <c r="AC238" s="369" t="str">
        <f ca="1">IF($B238&lt;&gt;"PRC_RESID","",IF(AC$7=2005+OFFSET(COM_2012!$B$60,$AW238,SUMIF($B$10:$B$16,"NCAP_TLIFE",$AX$10:$AX$16)),0,""))</f>
        <v/>
      </c>
      <c r="AD238" s="369" t="str">
        <f ca="1">IF($B238&lt;&gt;"PRC_RESID","",IF(AD$7=2005+OFFSET(COM_2012!$B$60,$AW238,SUMIF($B$10:$B$16,"NCAP_TLIFE",$AX$10:$AX$16)),0,""))</f>
        <v/>
      </c>
      <c r="AE238" s="369" t="str">
        <f ca="1">IF($B238&lt;&gt;"PRC_RESID","",IF(AE$7=2005+OFFSET(COM_2012!$B$60,$AW238,SUMIF($B$10:$B$16,"NCAP_TLIFE",$AX$10:$AX$16)),0,""))</f>
        <v/>
      </c>
      <c r="AF238" s="369" t="str">
        <f ca="1">IF($B238&lt;&gt;"PRC_RESID","",IF(AF$7=2005+OFFSET(COM_2012!$B$60,$AW238,SUMIF($B$10:$B$16,"NCAP_TLIFE",$AX$10:$AX$16)),0,""))</f>
        <v/>
      </c>
      <c r="AG238" s="369" t="str">
        <f ca="1">IF($B238&lt;&gt;"PRC_RESID","",IF(AG$7=2005+OFFSET(COM_2012!$B$60,$AW238,SUMIF($B$10:$B$16,"NCAP_TLIFE",$AX$10:$AX$16)),0,""))</f>
        <v/>
      </c>
      <c r="AH238" s="369" t="str">
        <f ca="1">IF($B238&lt;&gt;"PRC_RESID","",IF(AH$7=2005+OFFSET(COM_2012!$B$60,$AW238,SUMIF($B$10:$B$16,"NCAP_TLIFE",$AX$10:$AX$16)),0,""))</f>
        <v/>
      </c>
      <c r="AI238" s="369" t="str">
        <f ca="1">IF($B238&lt;&gt;"PRC_RESID","",IF(AI$7=2005+OFFSET(COM_2012!$B$60,$AW238,SUMIF($B$10:$B$16,"NCAP_TLIFE",$AX$10:$AX$16)),0,""))</f>
        <v/>
      </c>
      <c r="AJ238" s="369" t="str">
        <f ca="1">IF($B238&lt;&gt;"PRC_RESID","",IF(AJ$7=2005+OFFSET(COM_2012!$B$60,$AW238,SUMIF($B$10:$B$16,"NCAP_TLIFE",$AX$10:$AX$16)),0,""))</f>
        <v/>
      </c>
      <c r="AK238" s="369" t="str">
        <f ca="1">IF($B238&lt;&gt;"PRC_RESID","",IF(AK$7=2005+OFFSET(COM_2012!$B$60,$AW238,SUMIF($B$10:$B$16,"NCAP_TLIFE",$AX$10:$AX$16)),0,""))</f>
        <v/>
      </c>
      <c r="AL238" s="369" t="str">
        <f ca="1">IF($B238&lt;&gt;"PRC_RESID","",IF(AL$7=2005+OFFSET(COM_2012!$B$60,$AW238,SUMIF($B$10:$B$16,"NCAP_TLIFE",$AX$10:$AX$16)),0,""))</f>
        <v/>
      </c>
      <c r="AM238" s="369" t="str">
        <f ca="1">IF($B238&lt;&gt;"PRC_RESID","",IF(AM$7=2005+OFFSET(COM_2012!$B$60,$AW238,SUMIF($B$10:$B$16,"NCAP_TLIFE",$AX$10:$AX$16)),0,""))</f>
        <v/>
      </c>
      <c r="AN238" s="369" t="str">
        <f ca="1">IF($B238&lt;&gt;"PRC_RESID","",IF(AN$7=2005+OFFSET(COM_2012!$B$60,$AW238,SUMIF($B$10:$B$16,"NCAP_TLIFE",$AX$10:$AX$16)),0,""))</f>
        <v/>
      </c>
      <c r="AO238" s="369" t="str">
        <f ca="1">IF($B238&lt;&gt;"PRC_RESID","",IF(AO$7=2005+OFFSET(COM_2012!$B$60,$AW238,SUMIF($B$10:$B$16,"NCAP_TLIFE",$AX$10:$AX$16)),0,""))</f>
        <v/>
      </c>
      <c r="AP238" s="369" t="str">
        <f ca="1">IF($B238&lt;&gt;"PRC_RESID","",IF(AP$7=2005+OFFSET(COM_2012!$B$60,$AW238,SUMIF($B$10:$B$16,"NCAP_TLIFE",$AX$10:$AX$16)),0,""))</f>
        <v/>
      </c>
      <c r="AQ238" s="369" t="str">
        <f ca="1">IF($B238&lt;&gt;"PRC_RESID","",IF(AQ$7=2005+OFFSET(COM_2012!$B$60,$AW238,SUMIF($B$10:$B$16,"NCAP_TLIFE",$AX$10:$AX$16)),0,""))</f>
        <v/>
      </c>
      <c r="AR238" s="369" t="str">
        <f ca="1">IF($B238&lt;&gt;"PRC_RESID","",IF(AR$7=2005+OFFSET(COM_2012!$B$60,$AW238,SUMIF($B$10:$B$16,"NCAP_TLIFE",$AX$10:$AX$16)),0,""))</f>
        <v/>
      </c>
      <c r="AS238" s="369" t="str">
        <f ca="1">IF($B238&lt;&gt;"PRC_RESID","",IF(AS$7=2005+OFFSET(COM_2012!$B$60,$AW238,SUMIF($B$10:$B$16,"NCAP_TLIFE",$AX$10:$AX$16)),0,""))</f>
        <v/>
      </c>
      <c r="AT238" s="369" t="str">
        <f ca="1">IF($B238&lt;&gt;"PRC_RESID","",IF(AT$7=2005+OFFSET(COM_2012!$B$60,$AW238,SUMIF($B$10:$B$16,"NCAP_TLIFE",$AX$10:$AX$16)),0,""))</f>
        <v/>
      </c>
      <c r="AU238" s="369" t="str">
        <f ca="1">IF($B238&lt;&gt;"PRC_RESID","",IF(AU$7=2005+OFFSET(COM_2012!$B$60,$AW238,SUMIF($B$10:$B$16,"NCAP_TLIFE",$AX$10:$AX$16)),0,""))</f>
        <v/>
      </c>
      <c r="AV238" s="304">
        <f>IF(AW237=COM_2012!$AI$121,AV237+1,AV237)</f>
        <v>4</v>
      </c>
      <c r="AW238" s="304">
        <f t="shared" si="23"/>
        <v>28</v>
      </c>
    </row>
    <row r="239" spans="1:49">
      <c r="A239" s="304" t="str">
        <f ca="1">IF(LEFT(OFFSET(COM_2012!$A$60,AW239,0),2)="\I","*","")</f>
        <v/>
      </c>
      <c r="B239" s="369" t="str">
        <f t="shared" ca="1" si="22"/>
        <v>NCAP_COST</v>
      </c>
      <c r="C239" s="369" t="str">
        <f ca="1">IF($A239="*","",OFFSET(COM_2012!$B$60,AW239,0))</f>
        <v>CERELC-E</v>
      </c>
      <c r="D239" s="369" t="str">
        <f t="shared" ca="1" si="24"/>
        <v>-</v>
      </c>
      <c r="E239" s="369" t="str">
        <f t="shared" ca="1" si="24"/>
        <v>-</v>
      </c>
      <c r="F239" s="369" t="str">
        <f t="shared" ca="1" si="24"/>
        <v>-</v>
      </c>
      <c r="G239" s="369" t="str">
        <f t="shared" ca="1" si="24"/>
        <v>-</v>
      </c>
      <c r="H239" s="369" t="str">
        <f t="shared" ca="1" si="24"/>
        <v>-</v>
      </c>
      <c r="I239" s="370">
        <f t="shared" ca="1" si="24"/>
        <v>0</v>
      </c>
      <c r="J239" s="391">
        <f ca="1">IF($A239="*","",OFFSET(COM_2012!$B$60,AW239,SUMIF($B$10:$B$16,B239,$AX$10:$AX$16)))</f>
        <v>1734.2705050470356</v>
      </c>
      <c r="K239" s="369" t="str">
        <f ca="1">IF($B239&lt;&gt;"PRC_RESID","",IF(K$7=2005+OFFSET(COM_2012!$B$60,$AW239,SUMIF($B$10:$B$16,"NCAP_TLIFE",$AX$10:$AX$16)),0,""))</f>
        <v/>
      </c>
      <c r="L239" s="369" t="str">
        <f ca="1">IF($B239&lt;&gt;"PRC_RESID","",IF(L$7=2005+OFFSET(COM_2012!$B$60,$AW239,SUMIF($B$10:$B$16,"NCAP_TLIFE",$AX$10:$AX$16)),0,""))</f>
        <v/>
      </c>
      <c r="M239" s="369" t="str">
        <f ca="1">IF($B239&lt;&gt;"PRC_RESID","",IF(M$7=2005+OFFSET(COM_2012!$B$60,$AW239,SUMIF($B$10:$B$16,"NCAP_TLIFE",$AX$10:$AX$16)),0,""))</f>
        <v/>
      </c>
      <c r="N239" s="369" t="str">
        <f ca="1">IF($B239&lt;&gt;"PRC_RESID","",IF(N$7=2005+OFFSET(COM_2012!$B$60,$AW239,SUMIF($B$10:$B$16,"NCAP_TLIFE",$AX$10:$AX$16)),0,""))</f>
        <v/>
      </c>
      <c r="O239" s="658" t="str">
        <f ca="1">IF($B239&lt;&gt;"PRC_RESID","",IF(O$7=2005+OFFSET(COM_2012!$B$60,$AW239,SUMIF($B$10:$B$16,"NCAP_TLIFE",$AX$10:$AX$16)),0,""))</f>
        <v/>
      </c>
      <c r="P239" s="369" t="str">
        <f ca="1">IF($B239&lt;&gt;"PRC_RESID","",IF(P$7=2005+OFFSET(COM_2012!$B$60,$AW239,SUMIF($B$10:$B$16,"NCAP_TLIFE",$AX$10:$AX$16)),0,""))</f>
        <v/>
      </c>
      <c r="Q239" s="369" t="str">
        <f ca="1">IF($B239&lt;&gt;"PRC_RESID","",IF(Q$7=2005+OFFSET(COM_2012!$B$60,$AW239,SUMIF($B$10:$B$16,"NCAP_TLIFE",$AX$10:$AX$16)),0,""))</f>
        <v/>
      </c>
      <c r="R239" s="369" t="str">
        <f ca="1">IF($B239&lt;&gt;"PRC_RESID","",IF(R$7=2005+OFFSET(COM_2012!$B$60,$AW239,SUMIF($B$10:$B$16,"NCAP_TLIFE",$AX$10:$AX$16)),0,""))</f>
        <v/>
      </c>
      <c r="S239" s="369" t="str">
        <f ca="1">IF($B239&lt;&gt;"PRC_RESID","",IF(S$7=2005+OFFSET(COM_2012!$B$60,$AW239,SUMIF($B$10:$B$16,"NCAP_TLIFE",$AX$10:$AX$16)),0,""))</f>
        <v/>
      </c>
      <c r="T239" s="369" t="str">
        <f ca="1">IF($B239&lt;&gt;"PRC_RESID","",IF(T$7=2005+OFFSET(COM_2012!$B$60,$AW239,SUMIF($B$10:$B$16,"NCAP_TLIFE",$AX$10:$AX$16)),0,""))</f>
        <v/>
      </c>
      <c r="U239" s="369" t="str">
        <f ca="1">IF($B239&lt;&gt;"PRC_RESID","",IF(U$7=2005+OFFSET(COM_2012!$B$60,$AW239,SUMIF($B$10:$B$16,"NCAP_TLIFE",$AX$10:$AX$16)),0,""))</f>
        <v/>
      </c>
      <c r="V239" s="369" t="str">
        <f ca="1">IF($B239&lt;&gt;"PRC_RESID","",IF(V$7=2005+OFFSET(COM_2012!$B$60,$AW239,SUMIF($B$10:$B$16,"NCAP_TLIFE",$AX$10:$AX$16)),0,""))</f>
        <v/>
      </c>
      <c r="W239" s="369" t="str">
        <f ca="1">IF($B239&lt;&gt;"PRC_RESID","",IF(W$7=2005+OFFSET(COM_2012!$B$60,$AW239,SUMIF($B$10:$B$16,"NCAP_TLIFE",$AX$10:$AX$16)),0,""))</f>
        <v/>
      </c>
      <c r="X239" s="369" t="str">
        <f ca="1">IF($B239&lt;&gt;"PRC_RESID","",IF(X$7=2005+OFFSET(COM_2012!$B$60,$AW239,SUMIF($B$10:$B$16,"NCAP_TLIFE",$AX$10:$AX$16)),0,""))</f>
        <v/>
      </c>
      <c r="Y239" s="369" t="str">
        <f ca="1">IF($B239&lt;&gt;"PRC_RESID","",IF(Y$7=2005+OFFSET(COM_2012!$B$60,$AW239,SUMIF($B$10:$B$16,"NCAP_TLIFE",$AX$10:$AX$16)),0,""))</f>
        <v/>
      </c>
      <c r="Z239" s="369" t="str">
        <f ca="1">IF($B239&lt;&gt;"PRC_RESID","",IF(Z$7=2005+OFFSET(COM_2012!$B$60,$AW239,SUMIF($B$10:$B$16,"NCAP_TLIFE",$AX$10:$AX$16)),0,""))</f>
        <v/>
      </c>
      <c r="AA239" s="369" t="str">
        <f ca="1">IF($B239&lt;&gt;"PRC_RESID","",IF(AA$7=2005+OFFSET(COM_2012!$B$60,$AW239,SUMIF($B$10:$B$16,"NCAP_TLIFE",$AX$10:$AX$16)),0,""))</f>
        <v/>
      </c>
      <c r="AB239" s="369" t="str">
        <f ca="1">IF($B239&lt;&gt;"PRC_RESID","",IF(AB$7=2005+OFFSET(COM_2012!$B$60,$AW239,SUMIF($B$10:$B$16,"NCAP_TLIFE",$AX$10:$AX$16)),0,""))</f>
        <v/>
      </c>
      <c r="AC239" s="369" t="str">
        <f ca="1">IF($B239&lt;&gt;"PRC_RESID","",IF(AC$7=2005+OFFSET(COM_2012!$B$60,$AW239,SUMIF($B$10:$B$16,"NCAP_TLIFE",$AX$10:$AX$16)),0,""))</f>
        <v/>
      </c>
      <c r="AD239" s="369" t="str">
        <f ca="1">IF($B239&lt;&gt;"PRC_RESID","",IF(AD$7=2005+OFFSET(COM_2012!$B$60,$AW239,SUMIF($B$10:$B$16,"NCAP_TLIFE",$AX$10:$AX$16)),0,""))</f>
        <v/>
      </c>
      <c r="AE239" s="369" t="str">
        <f ca="1">IF($B239&lt;&gt;"PRC_RESID","",IF(AE$7=2005+OFFSET(COM_2012!$B$60,$AW239,SUMIF($B$10:$B$16,"NCAP_TLIFE",$AX$10:$AX$16)),0,""))</f>
        <v/>
      </c>
      <c r="AF239" s="369" t="str">
        <f ca="1">IF($B239&lt;&gt;"PRC_RESID","",IF(AF$7=2005+OFFSET(COM_2012!$B$60,$AW239,SUMIF($B$10:$B$16,"NCAP_TLIFE",$AX$10:$AX$16)),0,""))</f>
        <v/>
      </c>
      <c r="AG239" s="369" t="str">
        <f ca="1">IF($B239&lt;&gt;"PRC_RESID","",IF(AG$7=2005+OFFSET(COM_2012!$B$60,$AW239,SUMIF($B$10:$B$16,"NCAP_TLIFE",$AX$10:$AX$16)),0,""))</f>
        <v/>
      </c>
      <c r="AH239" s="369" t="str">
        <f ca="1">IF($B239&lt;&gt;"PRC_RESID","",IF(AH$7=2005+OFFSET(COM_2012!$B$60,$AW239,SUMIF($B$10:$B$16,"NCAP_TLIFE",$AX$10:$AX$16)),0,""))</f>
        <v/>
      </c>
      <c r="AI239" s="369" t="str">
        <f ca="1">IF($B239&lt;&gt;"PRC_RESID","",IF(AI$7=2005+OFFSET(COM_2012!$B$60,$AW239,SUMIF($B$10:$B$16,"NCAP_TLIFE",$AX$10:$AX$16)),0,""))</f>
        <v/>
      </c>
      <c r="AJ239" s="369" t="str">
        <f ca="1">IF($B239&lt;&gt;"PRC_RESID","",IF(AJ$7=2005+OFFSET(COM_2012!$B$60,$AW239,SUMIF($B$10:$B$16,"NCAP_TLIFE",$AX$10:$AX$16)),0,""))</f>
        <v/>
      </c>
      <c r="AK239" s="369" t="str">
        <f ca="1">IF($B239&lt;&gt;"PRC_RESID","",IF(AK$7=2005+OFFSET(COM_2012!$B$60,$AW239,SUMIF($B$10:$B$16,"NCAP_TLIFE",$AX$10:$AX$16)),0,""))</f>
        <v/>
      </c>
      <c r="AL239" s="369" t="str">
        <f ca="1">IF($B239&lt;&gt;"PRC_RESID","",IF(AL$7=2005+OFFSET(COM_2012!$B$60,$AW239,SUMIF($B$10:$B$16,"NCAP_TLIFE",$AX$10:$AX$16)),0,""))</f>
        <v/>
      </c>
      <c r="AM239" s="369" t="str">
        <f ca="1">IF($B239&lt;&gt;"PRC_RESID","",IF(AM$7=2005+OFFSET(COM_2012!$B$60,$AW239,SUMIF($B$10:$B$16,"NCAP_TLIFE",$AX$10:$AX$16)),0,""))</f>
        <v/>
      </c>
      <c r="AN239" s="369" t="str">
        <f ca="1">IF($B239&lt;&gt;"PRC_RESID","",IF(AN$7=2005+OFFSET(COM_2012!$B$60,$AW239,SUMIF($B$10:$B$16,"NCAP_TLIFE",$AX$10:$AX$16)),0,""))</f>
        <v/>
      </c>
      <c r="AO239" s="369" t="str">
        <f ca="1">IF($B239&lt;&gt;"PRC_RESID","",IF(AO$7=2005+OFFSET(COM_2012!$B$60,$AW239,SUMIF($B$10:$B$16,"NCAP_TLIFE",$AX$10:$AX$16)),0,""))</f>
        <v/>
      </c>
      <c r="AP239" s="369" t="str">
        <f ca="1">IF($B239&lt;&gt;"PRC_RESID","",IF(AP$7=2005+OFFSET(COM_2012!$B$60,$AW239,SUMIF($B$10:$B$16,"NCAP_TLIFE",$AX$10:$AX$16)),0,""))</f>
        <v/>
      </c>
      <c r="AQ239" s="369" t="str">
        <f ca="1">IF($B239&lt;&gt;"PRC_RESID","",IF(AQ$7=2005+OFFSET(COM_2012!$B$60,$AW239,SUMIF($B$10:$B$16,"NCAP_TLIFE",$AX$10:$AX$16)),0,""))</f>
        <v/>
      </c>
      <c r="AR239" s="369" t="str">
        <f ca="1">IF($B239&lt;&gt;"PRC_RESID","",IF(AR$7=2005+OFFSET(COM_2012!$B$60,$AW239,SUMIF($B$10:$B$16,"NCAP_TLIFE",$AX$10:$AX$16)),0,""))</f>
        <v/>
      </c>
      <c r="AS239" s="369" t="str">
        <f ca="1">IF($B239&lt;&gt;"PRC_RESID","",IF(AS$7=2005+OFFSET(COM_2012!$B$60,$AW239,SUMIF($B$10:$B$16,"NCAP_TLIFE",$AX$10:$AX$16)),0,""))</f>
        <v/>
      </c>
      <c r="AT239" s="369" t="str">
        <f ca="1">IF($B239&lt;&gt;"PRC_RESID","",IF(AT$7=2005+OFFSET(COM_2012!$B$60,$AW239,SUMIF($B$10:$B$16,"NCAP_TLIFE",$AX$10:$AX$16)),0,""))</f>
        <v/>
      </c>
      <c r="AU239" s="369" t="str">
        <f ca="1">IF($B239&lt;&gt;"PRC_RESID","",IF(AU$7=2005+OFFSET(COM_2012!$B$60,$AW239,SUMIF($B$10:$B$16,"NCAP_TLIFE",$AX$10:$AX$16)),0,""))</f>
        <v/>
      </c>
      <c r="AV239" s="304">
        <f>IF(AW238=COM_2012!$AI$121,AV238+1,AV238)</f>
        <v>4</v>
      </c>
      <c r="AW239" s="304">
        <f t="shared" si="23"/>
        <v>29</v>
      </c>
    </row>
    <row r="240" spans="1:49">
      <c r="A240" s="304" t="str">
        <f ca="1">IF(LEFT(OFFSET(COM_2012!$A$60,AW240,0),2)="\I","*","")</f>
        <v/>
      </c>
      <c r="B240" s="369" t="str">
        <f t="shared" ca="1" si="22"/>
        <v>NCAP_COST</v>
      </c>
      <c r="C240" s="369" t="str">
        <f ca="1">IF($A240="*","",OFFSET(COM_2012!$B$60,AW240,0))</f>
        <v>CERELC-N</v>
      </c>
      <c r="D240" s="369" t="str">
        <f t="shared" ca="1" si="24"/>
        <v>-</v>
      </c>
      <c r="E240" s="369" t="str">
        <f t="shared" ca="1" si="24"/>
        <v>-</v>
      </c>
      <c r="F240" s="369" t="str">
        <f t="shared" ca="1" si="24"/>
        <v>-</v>
      </c>
      <c r="G240" s="369" t="str">
        <f t="shared" ca="1" si="24"/>
        <v>-</v>
      </c>
      <c r="H240" s="369" t="str">
        <f t="shared" ca="1" si="24"/>
        <v>-</v>
      </c>
      <c r="I240" s="370">
        <f t="shared" ca="1" si="24"/>
        <v>0</v>
      </c>
      <c r="J240" s="391">
        <f ca="1">IF($A240="*","",OFFSET(COM_2012!$B$60,AW240,SUMIF($B$10:$B$16,B240,$AX$10:$AX$16)))</f>
        <v>1799.6770713155252</v>
      </c>
      <c r="K240" s="369" t="str">
        <f ca="1">IF($B240&lt;&gt;"PRC_RESID","",IF(K$7=2005+OFFSET(COM_2012!$B$60,$AW240,SUMIF($B$10:$B$16,"NCAP_TLIFE",$AX$10:$AX$16)),0,""))</f>
        <v/>
      </c>
      <c r="L240" s="369" t="str">
        <f ca="1">IF($B240&lt;&gt;"PRC_RESID","",IF(L$7=2005+OFFSET(COM_2012!$B$60,$AW240,SUMIF($B$10:$B$16,"NCAP_TLIFE",$AX$10:$AX$16)),0,""))</f>
        <v/>
      </c>
      <c r="M240" s="369" t="str">
        <f ca="1">IF($B240&lt;&gt;"PRC_RESID","",IF(M$7=2005+OFFSET(COM_2012!$B$60,$AW240,SUMIF($B$10:$B$16,"NCAP_TLIFE",$AX$10:$AX$16)),0,""))</f>
        <v/>
      </c>
      <c r="N240" s="369" t="str">
        <f ca="1">IF($B240&lt;&gt;"PRC_RESID","",IF(N$7=2005+OFFSET(COM_2012!$B$60,$AW240,SUMIF($B$10:$B$16,"NCAP_TLIFE",$AX$10:$AX$16)),0,""))</f>
        <v/>
      </c>
      <c r="O240" s="658" t="str">
        <f ca="1">IF($B240&lt;&gt;"PRC_RESID","",IF(O$7=2005+OFFSET(COM_2012!$B$60,$AW240,SUMIF($B$10:$B$16,"NCAP_TLIFE",$AX$10:$AX$16)),0,""))</f>
        <v/>
      </c>
      <c r="P240" s="369" t="str">
        <f ca="1">IF($B240&lt;&gt;"PRC_RESID","",IF(P$7=2005+OFFSET(COM_2012!$B$60,$AW240,SUMIF($B$10:$B$16,"NCAP_TLIFE",$AX$10:$AX$16)),0,""))</f>
        <v/>
      </c>
      <c r="Q240" s="369" t="str">
        <f ca="1">IF($B240&lt;&gt;"PRC_RESID","",IF(Q$7=2005+OFFSET(COM_2012!$B$60,$AW240,SUMIF($B$10:$B$16,"NCAP_TLIFE",$AX$10:$AX$16)),0,""))</f>
        <v/>
      </c>
      <c r="R240" s="369" t="str">
        <f ca="1">IF($B240&lt;&gt;"PRC_RESID","",IF(R$7=2005+OFFSET(COM_2012!$B$60,$AW240,SUMIF($B$10:$B$16,"NCAP_TLIFE",$AX$10:$AX$16)),0,""))</f>
        <v/>
      </c>
      <c r="S240" s="369" t="str">
        <f ca="1">IF($B240&lt;&gt;"PRC_RESID","",IF(S$7=2005+OFFSET(COM_2012!$B$60,$AW240,SUMIF($B$10:$B$16,"NCAP_TLIFE",$AX$10:$AX$16)),0,""))</f>
        <v/>
      </c>
      <c r="T240" s="369" t="str">
        <f ca="1">IF($B240&lt;&gt;"PRC_RESID","",IF(T$7=2005+OFFSET(COM_2012!$B$60,$AW240,SUMIF($B$10:$B$16,"NCAP_TLIFE",$AX$10:$AX$16)),0,""))</f>
        <v/>
      </c>
      <c r="U240" s="369" t="str">
        <f ca="1">IF($B240&lt;&gt;"PRC_RESID","",IF(U$7=2005+OFFSET(COM_2012!$B$60,$AW240,SUMIF($B$10:$B$16,"NCAP_TLIFE",$AX$10:$AX$16)),0,""))</f>
        <v/>
      </c>
      <c r="V240" s="369" t="str">
        <f ca="1">IF($B240&lt;&gt;"PRC_RESID","",IF(V$7=2005+OFFSET(COM_2012!$B$60,$AW240,SUMIF($B$10:$B$16,"NCAP_TLIFE",$AX$10:$AX$16)),0,""))</f>
        <v/>
      </c>
      <c r="W240" s="369" t="str">
        <f ca="1">IF($B240&lt;&gt;"PRC_RESID","",IF(W$7=2005+OFFSET(COM_2012!$B$60,$AW240,SUMIF($B$10:$B$16,"NCAP_TLIFE",$AX$10:$AX$16)),0,""))</f>
        <v/>
      </c>
      <c r="X240" s="369" t="str">
        <f ca="1">IF($B240&lt;&gt;"PRC_RESID","",IF(X$7=2005+OFFSET(COM_2012!$B$60,$AW240,SUMIF($B$10:$B$16,"NCAP_TLIFE",$AX$10:$AX$16)),0,""))</f>
        <v/>
      </c>
      <c r="Y240" s="369" t="str">
        <f ca="1">IF($B240&lt;&gt;"PRC_RESID","",IF(Y$7=2005+OFFSET(COM_2012!$B$60,$AW240,SUMIF($B$10:$B$16,"NCAP_TLIFE",$AX$10:$AX$16)),0,""))</f>
        <v/>
      </c>
      <c r="Z240" s="369" t="str">
        <f ca="1">IF($B240&lt;&gt;"PRC_RESID","",IF(Z$7=2005+OFFSET(COM_2012!$B$60,$AW240,SUMIF($B$10:$B$16,"NCAP_TLIFE",$AX$10:$AX$16)),0,""))</f>
        <v/>
      </c>
      <c r="AA240" s="369" t="str">
        <f ca="1">IF($B240&lt;&gt;"PRC_RESID","",IF(AA$7=2005+OFFSET(COM_2012!$B$60,$AW240,SUMIF($B$10:$B$16,"NCAP_TLIFE",$AX$10:$AX$16)),0,""))</f>
        <v/>
      </c>
      <c r="AB240" s="369" t="str">
        <f ca="1">IF($B240&lt;&gt;"PRC_RESID","",IF(AB$7=2005+OFFSET(COM_2012!$B$60,$AW240,SUMIF($B$10:$B$16,"NCAP_TLIFE",$AX$10:$AX$16)),0,""))</f>
        <v/>
      </c>
      <c r="AC240" s="369" t="str">
        <f ca="1">IF($B240&lt;&gt;"PRC_RESID","",IF(AC$7=2005+OFFSET(COM_2012!$B$60,$AW240,SUMIF($B$10:$B$16,"NCAP_TLIFE",$AX$10:$AX$16)),0,""))</f>
        <v/>
      </c>
      <c r="AD240" s="369" t="str">
        <f ca="1">IF($B240&lt;&gt;"PRC_RESID","",IF(AD$7=2005+OFFSET(COM_2012!$B$60,$AW240,SUMIF($B$10:$B$16,"NCAP_TLIFE",$AX$10:$AX$16)),0,""))</f>
        <v/>
      </c>
      <c r="AE240" s="369" t="str">
        <f ca="1">IF($B240&lt;&gt;"PRC_RESID","",IF(AE$7=2005+OFFSET(COM_2012!$B$60,$AW240,SUMIF($B$10:$B$16,"NCAP_TLIFE",$AX$10:$AX$16)),0,""))</f>
        <v/>
      </c>
      <c r="AF240" s="369" t="str">
        <f ca="1">IF($B240&lt;&gt;"PRC_RESID","",IF(AF$7=2005+OFFSET(COM_2012!$B$60,$AW240,SUMIF($B$10:$B$16,"NCAP_TLIFE",$AX$10:$AX$16)),0,""))</f>
        <v/>
      </c>
      <c r="AG240" s="369" t="str">
        <f ca="1">IF($B240&lt;&gt;"PRC_RESID","",IF(AG$7=2005+OFFSET(COM_2012!$B$60,$AW240,SUMIF($B$10:$B$16,"NCAP_TLIFE",$AX$10:$AX$16)),0,""))</f>
        <v/>
      </c>
      <c r="AH240" s="369" t="str">
        <f ca="1">IF($B240&lt;&gt;"PRC_RESID","",IF(AH$7=2005+OFFSET(COM_2012!$B$60,$AW240,SUMIF($B$10:$B$16,"NCAP_TLIFE",$AX$10:$AX$16)),0,""))</f>
        <v/>
      </c>
      <c r="AI240" s="369" t="str">
        <f ca="1">IF($B240&lt;&gt;"PRC_RESID","",IF(AI$7=2005+OFFSET(COM_2012!$B$60,$AW240,SUMIF($B$10:$B$16,"NCAP_TLIFE",$AX$10:$AX$16)),0,""))</f>
        <v/>
      </c>
      <c r="AJ240" s="369" t="str">
        <f ca="1">IF($B240&lt;&gt;"PRC_RESID","",IF(AJ$7=2005+OFFSET(COM_2012!$B$60,$AW240,SUMIF($B$10:$B$16,"NCAP_TLIFE",$AX$10:$AX$16)),0,""))</f>
        <v/>
      </c>
      <c r="AK240" s="369" t="str">
        <f ca="1">IF($B240&lt;&gt;"PRC_RESID","",IF(AK$7=2005+OFFSET(COM_2012!$B$60,$AW240,SUMIF($B$10:$B$16,"NCAP_TLIFE",$AX$10:$AX$16)),0,""))</f>
        <v/>
      </c>
      <c r="AL240" s="369" t="str">
        <f ca="1">IF($B240&lt;&gt;"PRC_RESID","",IF(AL$7=2005+OFFSET(COM_2012!$B$60,$AW240,SUMIF($B$10:$B$16,"NCAP_TLIFE",$AX$10:$AX$16)),0,""))</f>
        <v/>
      </c>
      <c r="AM240" s="369" t="str">
        <f ca="1">IF($B240&lt;&gt;"PRC_RESID","",IF(AM$7=2005+OFFSET(COM_2012!$B$60,$AW240,SUMIF($B$10:$B$16,"NCAP_TLIFE",$AX$10:$AX$16)),0,""))</f>
        <v/>
      </c>
      <c r="AN240" s="369" t="str">
        <f ca="1">IF($B240&lt;&gt;"PRC_RESID","",IF(AN$7=2005+OFFSET(COM_2012!$B$60,$AW240,SUMIF($B$10:$B$16,"NCAP_TLIFE",$AX$10:$AX$16)),0,""))</f>
        <v/>
      </c>
      <c r="AO240" s="369" t="str">
        <f ca="1">IF($B240&lt;&gt;"PRC_RESID","",IF(AO$7=2005+OFFSET(COM_2012!$B$60,$AW240,SUMIF($B$10:$B$16,"NCAP_TLIFE",$AX$10:$AX$16)),0,""))</f>
        <v/>
      </c>
      <c r="AP240" s="369" t="str">
        <f ca="1">IF($B240&lt;&gt;"PRC_RESID","",IF(AP$7=2005+OFFSET(COM_2012!$B$60,$AW240,SUMIF($B$10:$B$16,"NCAP_TLIFE",$AX$10:$AX$16)),0,""))</f>
        <v/>
      </c>
      <c r="AQ240" s="369" t="str">
        <f ca="1">IF($B240&lt;&gt;"PRC_RESID","",IF(AQ$7=2005+OFFSET(COM_2012!$B$60,$AW240,SUMIF($B$10:$B$16,"NCAP_TLIFE",$AX$10:$AX$16)),0,""))</f>
        <v/>
      </c>
      <c r="AR240" s="369" t="str">
        <f ca="1">IF($B240&lt;&gt;"PRC_RESID","",IF(AR$7=2005+OFFSET(COM_2012!$B$60,$AW240,SUMIF($B$10:$B$16,"NCAP_TLIFE",$AX$10:$AX$16)),0,""))</f>
        <v/>
      </c>
      <c r="AS240" s="369" t="str">
        <f ca="1">IF($B240&lt;&gt;"PRC_RESID","",IF(AS$7=2005+OFFSET(COM_2012!$B$60,$AW240,SUMIF($B$10:$B$16,"NCAP_TLIFE",$AX$10:$AX$16)),0,""))</f>
        <v/>
      </c>
      <c r="AT240" s="369" t="str">
        <f ca="1">IF($B240&lt;&gt;"PRC_RESID","",IF(AT$7=2005+OFFSET(COM_2012!$B$60,$AW240,SUMIF($B$10:$B$16,"NCAP_TLIFE",$AX$10:$AX$16)),0,""))</f>
        <v/>
      </c>
      <c r="AU240" s="369" t="str">
        <f ca="1">IF($B240&lt;&gt;"PRC_RESID","",IF(AU$7=2005+OFFSET(COM_2012!$B$60,$AW240,SUMIF($B$10:$B$16,"NCAP_TLIFE",$AX$10:$AX$16)),0,""))</f>
        <v/>
      </c>
      <c r="AV240" s="304">
        <f>IF(AW239=COM_2012!$AI$121,AV239+1,AV239)</f>
        <v>4</v>
      </c>
      <c r="AW240" s="304">
        <f t="shared" si="23"/>
        <v>30</v>
      </c>
    </row>
    <row r="241" spans="1:49">
      <c r="A241" s="304" t="str">
        <f ca="1">IF(LEFT(OFFSET(COM_2012!$A$60,AW241,0),2)="\I","*","")</f>
        <v>*</v>
      </c>
      <c r="B241" s="369" t="str">
        <f t="shared" ca="1" si="22"/>
        <v/>
      </c>
      <c r="C241" s="369" t="str">
        <f ca="1">IF($A241="*","",OFFSET(COM_2012!$B$60,AW241,0))</f>
        <v/>
      </c>
      <c r="D241" s="369" t="str">
        <f t="shared" ca="1" si="24"/>
        <v/>
      </c>
      <c r="E241" s="369" t="str">
        <f t="shared" ca="1" si="24"/>
        <v/>
      </c>
      <c r="F241" s="369" t="str">
        <f t="shared" ca="1" si="24"/>
        <v/>
      </c>
      <c r="G241" s="369" t="str">
        <f t="shared" ca="1" si="24"/>
        <v/>
      </c>
      <c r="H241" s="369" t="str">
        <f t="shared" ca="1" si="24"/>
        <v/>
      </c>
      <c r="I241" s="370" t="str">
        <f t="shared" ca="1" si="24"/>
        <v/>
      </c>
      <c r="J241" s="391" t="str">
        <f ca="1">IF($A241="*","",OFFSET(COM_2012!$B$60,AW241,SUMIF($B$10:$B$16,B241,$AX$10:$AX$16)))</f>
        <v/>
      </c>
      <c r="K241" s="369" t="str">
        <f ca="1">IF($B241&lt;&gt;"PRC_RESID","",IF(K$7=2005+OFFSET(COM_2012!$B$60,$AW241,SUMIF($B$10:$B$16,"NCAP_TLIFE",$AX$10:$AX$16)),0,""))</f>
        <v/>
      </c>
      <c r="L241" s="369" t="str">
        <f ca="1">IF($B241&lt;&gt;"PRC_RESID","",IF(L$7=2005+OFFSET(COM_2012!$B$60,$AW241,SUMIF($B$10:$B$16,"NCAP_TLIFE",$AX$10:$AX$16)),0,""))</f>
        <v/>
      </c>
      <c r="M241" s="369" t="str">
        <f ca="1">IF($B241&lt;&gt;"PRC_RESID","",IF(M$7=2005+OFFSET(COM_2012!$B$60,$AW241,SUMIF($B$10:$B$16,"NCAP_TLIFE",$AX$10:$AX$16)),0,""))</f>
        <v/>
      </c>
      <c r="N241" s="369" t="str">
        <f ca="1">IF($B241&lt;&gt;"PRC_RESID","",IF(N$7=2005+OFFSET(COM_2012!$B$60,$AW241,SUMIF($B$10:$B$16,"NCAP_TLIFE",$AX$10:$AX$16)),0,""))</f>
        <v/>
      </c>
      <c r="O241" s="658" t="str">
        <f ca="1">IF($B241&lt;&gt;"PRC_RESID","",IF(O$7=2005+OFFSET(COM_2012!$B$60,$AW241,SUMIF($B$10:$B$16,"NCAP_TLIFE",$AX$10:$AX$16)),0,""))</f>
        <v/>
      </c>
      <c r="P241" s="369" t="str">
        <f ca="1">IF($B241&lt;&gt;"PRC_RESID","",IF(P$7=2005+OFFSET(COM_2012!$B$60,$AW241,SUMIF($B$10:$B$16,"NCAP_TLIFE",$AX$10:$AX$16)),0,""))</f>
        <v/>
      </c>
      <c r="Q241" s="369" t="str">
        <f ca="1">IF($B241&lt;&gt;"PRC_RESID","",IF(Q$7=2005+OFFSET(COM_2012!$B$60,$AW241,SUMIF($B$10:$B$16,"NCAP_TLIFE",$AX$10:$AX$16)),0,""))</f>
        <v/>
      </c>
      <c r="R241" s="369" t="str">
        <f ca="1">IF($B241&lt;&gt;"PRC_RESID","",IF(R$7=2005+OFFSET(COM_2012!$B$60,$AW241,SUMIF($B$10:$B$16,"NCAP_TLIFE",$AX$10:$AX$16)),0,""))</f>
        <v/>
      </c>
      <c r="S241" s="369" t="str">
        <f ca="1">IF($B241&lt;&gt;"PRC_RESID","",IF(S$7=2005+OFFSET(COM_2012!$B$60,$AW241,SUMIF($B$10:$B$16,"NCAP_TLIFE",$AX$10:$AX$16)),0,""))</f>
        <v/>
      </c>
      <c r="T241" s="369" t="str">
        <f ca="1">IF($B241&lt;&gt;"PRC_RESID","",IF(T$7=2005+OFFSET(COM_2012!$B$60,$AW241,SUMIF($B$10:$B$16,"NCAP_TLIFE",$AX$10:$AX$16)),0,""))</f>
        <v/>
      </c>
      <c r="U241" s="369" t="str">
        <f ca="1">IF($B241&lt;&gt;"PRC_RESID","",IF(U$7=2005+OFFSET(COM_2012!$B$60,$AW241,SUMIF($B$10:$B$16,"NCAP_TLIFE",$AX$10:$AX$16)),0,""))</f>
        <v/>
      </c>
      <c r="V241" s="369" t="str">
        <f ca="1">IF($B241&lt;&gt;"PRC_RESID","",IF(V$7=2005+OFFSET(COM_2012!$B$60,$AW241,SUMIF($B$10:$B$16,"NCAP_TLIFE",$AX$10:$AX$16)),0,""))</f>
        <v/>
      </c>
      <c r="W241" s="369" t="str">
        <f ca="1">IF($B241&lt;&gt;"PRC_RESID","",IF(W$7=2005+OFFSET(COM_2012!$B$60,$AW241,SUMIF($B$10:$B$16,"NCAP_TLIFE",$AX$10:$AX$16)),0,""))</f>
        <v/>
      </c>
      <c r="X241" s="369" t="str">
        <f ca="1">IF($B241&lt;&gt;"PRC_RESID","",IF(X$7=2005+OFFSET(COM_2012!$B$60,$AW241,SUMIF($B$10:$B$16,"NCAP_TLIFE",$AX$10:$AX$16)),0,""))</f>
        <v/>
      </c>
      <c r="Y241" s="369" t="str">
        <f ca="1">IF($B241&lt;&gt;"PRC_RESID","",IF(Y$7=2005+OFFSET(COM_2012!$B$60,$AW241,SUMIF($B$10:$B$16,"NCAP_TLIFE",$AX$10:$AX$16)),0,""))</f>
        <v/>
      </c>
      <c r="Z241" s="369" t="str">
        <f ca="1">IF($B241&lt;&gt;"PRC_RESID","",IF(Z$7=2005+OFFSET(COM_2012!$B$60,$AW241,SUMIF($B$10:$B$16,"NCAP_TLIFE",$AX$10:$AX$16)),0,""))</f>
        <v/>
      </c>
      <c r="AA241" s="369" t="str">
        <f ca="1">IF($B241&lt;&gt;"PRC_RESID","",IF(AA$7=2005+OFFSET(COM_2012!$B$60,$AW241,SUMIF($B$10:$B$16,"NCAP_TLIFE",$AX$10:$AX$16)),0,""))</f>
        <v/>
      </c>
      <c r="AB241" s="369" t="str">
        <f ca="1">IF($B241&lt;&gt;"PRC_RESID","",IF(AB$7=2005+OFFSET(COM_2012!$B$60,$AW241,SUMIF($B$10:$B$16,"NCAP_TLIFE",$AX$10:$AX$16)),0,""))</f>
        <v/>
      </c>
      <c r="AC241" s="369" t="str">
        <f ca="1">IF($B241&lt;&gt;"PRC_RESID","",IF(AC$7=2005+OFFSET(COM_2012!$B$60,$AW241,SUMIF($B$10:$B$16,"NCAP_TLIFE",$AX$10:$AX$16)),0,""))</f>
        <v/>
      </c>
      <c r="AD241" s="369" t="str">
        <f ca="1">IF($B241&lt;&gt;"PRC_RESID","",IF(AD$7=2005+OFFSET(COM_2012!$B$60,$AW241,SUMIF($B$10:$B$16,"NCAP_TLIFE",$AX$10:$AX$16)),0,""))</f>
        <v/>
      </c>
      <c r="AE241" s="369" t="str">
        <f ca="1">IF($B241&lt;&gt;"PRC_RESID","",IF(AE$7=2005+OFFSET(COM_2012!$B$60,$AW241,SUMIF($B$10:$B$16,"NCAP_TLIFE",$AX$10:$AX$16)),0,""))</f>
        <v/>
      </c>
      <c r="AF241" s="369" t="str">
        <f ca="1">IF($B241&lt;&gt;"PRC_RESID","",IF(AF$7=2005+OFFSET(COM_2012!$B$60,$AW241,SUMIF($B$10:$B$16,"NCAP_TLIFE",$AX$10:$AX$16)),0,""))</f>
        <v/>
      </c>
      <c r="AG241" s="369" t="str">
        <f ca="1">IF($B241&lt;&gt;"PRC_RESID","",IF(AG$7=2005+OFFSET(COM_2012!$B$60,$AW241,SUMIF($B$10:$B$16,"NCAP_TLIFE",$AX$10:$AX$16)),0,""))</f>
        <v/>
      </c>
      <c r="AH241" s="369" t="str">
        <f ca="1">IF($B241&lt;&gt;"PRC_RESID","",IF(AH$7=2005+OFFSET(COM_2012!$B$60,$AW241,SUMIF($B$10:$B$16,"NCAP_TLIFE",$AX$10:$AX$16)),0,""))</f>
        <v/>
      </c>
      <c r="AI241" s="369" t="str">
        <f ca="1">IF($B241&lt;&gt;"PRC_RESID","",IF(AI$7=2005+OFFSET(COM_2012!$B$60,$AW241,SUMIF($B$10:$B$16,"NCAP_TLIFE",$AX$10:$AX$16)),0,""))</f>
        <v/>
      </c>
      <c r="AJ241" s="369" t="str">
        <f ca="1">IF($B241&lt;&gt;"PRC_RESID","",IF(AJ$7=2005+OFFSET(COM_2012!$B$60,$AW241,SUMIF($B$10:$B$16,"NCAP_TLIFE",$AX$10:$AX$16)),0,""))</f>
        <v/>
      </c>
      <c r="AK241" s="369" t="str">
        <f ca="1">IF($B241&lt;&gt;"PRC_RESID","",IF(AK$7=2005+OFFSET(COM_2012!$B$60,$AW241,SUMIF($B$10:$B$16,"NCAP_TLIFE",$AX$10:$AX$16)),0,""))</f>
        <v/>
      </c>
      <c r="AL241" s="369" t="str">
        <f ca="1">IF($B241&lt;&gt;"PRC_RESID","",IF(AL$7=2005+OFFSET(COM_2012!$B$60,$AW241,SUMIF($B$10:$B$16,"NCAP_TLIFE",$AX$10:$AX$16)),0,""))</f>
        <v/>
      </c>
      <c r="AM241" s="369" t="str">
        <f ca="1">IF($B241&lt;&gt;"PRC_RESID","",IF(AM$7=2005+OFFSET(COM_2012!$B$60,$AW241,SUMIF($B$10:$B$16,"NCAP_TLIFE",$AX$10:$AX$16)),0,""))</f>
        <v/>
      </c>
      <c r="AN241" s="369" t="str">
        <f ca="1">IF($B241&lt;&gt;"PRC_RESID","",IF(AN$7=2005+OFFSET(COM_2012!$B$60,$AW241,SUMIF($B$10:$B$16,"NCAP_TLIFE",$AX$10:$AX$16)),0,""))</f>
        <v/>
      </c>
      <c r="AO241" s="369" t="str">
        <f ca="1">IF($B241&lt;&gt;"PRC_RESID","",IF(AO$7=2005+OFFSET(COM_2012!$B$60,$AW241,SUMIF($B$10:$B$16,"NCAP_TLIFE",$AX$10:$AX$16)),0,""))</f>
        <v/>
      </c>
      <c r="AP241" s="369" t="str">
        <f ca="1">IF($B241&lt;&gt;"PRC_RESID","",IF(AP$7=2005+OFFSET(COM_2012!$B$60,$AW241,SUMIF($B$10:$B$16,"NCAP_TLIFE",$AX$10:$AX$16)),0,""))</f>
        <v/>
      </c>
      <c r="AQ241" s="369" t="str">
        <f ca="1">IF($B241&lt;&gt;"PRC_RESID","",IF(AQ$7=2005+OFFSET(COM_2012!$B$60,$AW241,SUMIF($B$10:$B$16,"NCAP_TLIFE",$AX$10:$AX$16)),0,""))</f>
        <v/>
      </c>
      <c r="AR241" s="369" t="str">
        <f ca="1">IF($B241&lt;&gt;"PRC_RESID","",IF(AR$7=2005+OFFSET(COM_2012!$B$60,$AW241,SUMIF($B$10:$B$16,"NCAP_TLIFE",$AX$10:$AX$16)),0,""))</f>
        <v/>
      </c>
      <c r="AS241" s="369" t="str">
        <f ca="1">IF($B241&lt;&gt;"PRC_RESID","",IF(AS$7=2005+OFFSET(COM_2012!$B$60,$AW241,SUMIF($B$10:$B$16,"NCAP_TLIFE",$AX$10:$AX$16)),0,""))</f>
        <v/>
      </c>
      <c r="AT241" s="369" t="str">
        <f ca="1">IF($B241&lt;&gt;"PRC_RESID","",IF(AT$7=2005+OFFSET(COM_2012!$B$60,$AW241,SUMIF($B$10:$B$16,"NCAP_TLIFE",$AX$10:$AX$16)),0,""))</f>
        <v/>
      </c>
      <c r="AU241" s="369" t="str">
        <f ca="1">IF($B241&lt;&gt;"PRC_RESID","",IF(AU$7=2005+OFFSET(COM_2012!$B$60,$AW241,SUMIF($B$10:$B$16,"NCAP_TLIFE",$AX$10:$AX$16)),0,""))</f>
        <v/>
      </c>
      <c r="AV241" s="304">
        <f>IF(AW240=COM_2012!$AI$121,AV240+1,AV240)</f>
        <v>4</v>
      </c>
      <c r="AW241" s="304">
        <f t="shared" si="23"/>
        <v>31</v>
      </c>
    </row>
    <row r="242" spans="1:49">
      <c r="A242" s="304" t="str">
        <f ca="1">IF(LEFT(OFFSET(COM_2012!$A$60,AW242,0),2)="\I","*","")</f>
        <v>*</v>
      </c>
      <c r="B242" s="369" t="str">
        <f t="shared" ca="1" si="22"/>
        <v/>
      </c>
      <c r="C242" s="369" t="str">
        <f ca="1">IF($A242="*","",OFFSET(COM_2012!$B$60,AW242,0))</f>
        <v/>
      </c>
      <c r="D242" s="369" t="str">
        <f t="shared" ca="1" si="24"/>
        <v/>
      </c>
      <c r="E242" s="369" t="str">
        <f t="shared" ca="1" si="24"/>
        <v/>
      </c>
      <c r="F242" s="369" t="str">
        <f t="shared" ca="1" si="24"/>
        <v/>
      </c>
      <c r="G242" s="369" t="str">
        <f t="shared" ca="1" si="24"/>
        <v/>
      </c>
      <c r="H242" s="369" t="str">
        <f t="shared" ca="1" si="24"/>
        <v/>
      </c>
      <c r="I242" s="370" t="str">
        <f t="shared" ca="1" si="24"/>
        <v/>
      </c>
      <c r="J242" s="391" t="str">
        <f ca="1">IF($A242="*","",OFFSET(COM_2012!$B$60,AW242,SUMIF($B$10:$B$16,B242,$AX$10:$AX$16)))</f>
        <v/>
      </c>
      <c r="K242" s="369" t="str">
        <f ca="1">IF($B242&lt;&gt;"PRC_RESID","",IF(K$7=2005+OFFSET(COM_2012!$B$60,$AW242,SUMIF($B$10:$B$16,"NCAP_TLIFE",$AX$10:$AX$16)),0,""))</f>
        <v/>
      </c>
      <c r="L242" s="369" t="str">
        <f ca="1">IF($B242&lt;&gt;"PRC_RESID","",IF(L$7=2005+OFFSET(COM_2012!$B$60,$AW242,SUMIF($B$10:$B$16,"NCAP_TLIFE",$AX$10:$AX$16)),0,""))</f>
        <v/>
      </c>
      <c r="M242" s="369" t="str">
        <f ca="1">IF($B242&lt;&gt;"PRC_RESID","",IF(M$7=2005+OFFSET(COM_2012!$B$60,$AW242,SUMIF($B$10:$B$16,"NCAP_TLIFE",$AX$10:$AX$16)),0,""))</f>
        <v/>
      </c>
      <c r="N242" s="369" t="str">
        <f ca="1">IF($B242&lt;&gt;"PRC_RESID","",IF(N$7=2005+OFFSET(COM_2012!$B$60,$AW242,SUMIF($B$10:$B$16,"NCAP_TLIFE",$AX$10:$AX$16)),0,""))</f>
        <v/>
      </c>
      <c r="O242" s="658" t="str">
        <f ca="1">IF($B242&lt;&gt;"PRC_RESID","",IF(O$7=2005+OFFSET(COM_2012!$B$60,$AW242,SUMIF($B$10:$B$16,"NCAP_TLIFE",$AX$10:$AX$16)),0,""))</f>
        <v/>
      </c>
      <c r="P242" s="369" t="str">
        <f ca="1">IF($B242&lt;&gt;"PRC_RESID","",IF(P$7=2005+OFFSET(COM_2012!$B$60,$AW242,SUMIF($B$10:$B$16,"NCAP_TLIFE",$AX$10:$AX$16)),0,""))</f>
        <v/>
      </c>
      <c r="Q242" s="369" t="str">
        <f ca="1">IF($B242&lt;&gt;"PRC_RESID","",IF(Q$7=2005+OFFSET(COM_2012!$B$60,$AW242,SUMIF($B$10:$B$16,"NCAP_TLIFE",$AX$10:$AX$16)),0,""))</f>
        <v/>
      </c>
      <c r="R242" s="369" t="str">
        <f ca="1">IF($B242&lt;&gt;"PRC_RESID","",IF(R$7=2005+OFFSET(COM_2012!$B$60,$AW242,SUMIF($B$10:$B$16,"NCAP_TLIFE",$AX$10:$AX$16)),0,""))</f>
        <v/>
      </c>
      <c r="S242" s="369" t="str">
        <f ca="1">IF($B242&lt;&gt;"PRC_RESID","",IF(S$7=2005+OFFSET(COM_2012!$B$60,$AW242,SUMIF($B$10:$B$16,"NCAP_TLIFE",$AX$10:$AX$16)),0,""))</f>
        <v/>
      </c>
      <c r="T242" s="369" t="str">
        <f ca="1">IF($B242&lt;&gt;"PRC_RESID","",IF(T$7=2005+OFFSET(COM_2012!$B$60,$AW242,SUMIF($B$10:$B$16,"NCAP_TLIFE",$AX$10:$AX$16)),0,""))</f>
        <v/>
      </c>
      <c r="U242" s="369" t="str">
        <f ca="1">IF($B242&lt;&gt;"PRC_RESID","",IF(U$7=2005+OFFSET(COM_2012!$B$60,$AW242,SUMIF($B$10:$B$16,"NCAP_TLIFE",$AX$10:$AX$16)),0,""))</f>
        <v/>
      </c>
      <c r="V242" s="369" t="str">
        <f ca="1">IF($B242&lt;&gt;"PRC_RESID","",IF(V$7=2005+OFFSET(COM_2012!$B$60,$AW242,SUMIF($B$10:$B$16,"NCAP_TLIFE",$AX$10:$AX$16)),0,""))</f>
        <v/>
      </c>
      <c r="W242" s="369" t="str">
        <f ca="1">IF($B242&lt;&gt;"PRC_RESID","",IF(W$7=2005+OFFSET(COM_2012!$B$60,$AW242,SUMIF($B$10:$B$16,"NCAP_TLIFE",$AX$10:$AX$16)),0,""))</f>
        <v/>
      </c>
      <c r="X242" s="369" t="str">
        <f ca="1">IF($B242&lt;&gt;"PRC_RESID","",IF(X$7=2005+OFFSET(COM_2012!$B$60,$AW242,SUMIF($B$10:$B$16,"NCAP_TLIFE",$AX$10:$AX$16)),0,""))</f>
        <v/>
      </c>
      <c r="Y242" s="369" t="str">
        <f ca="1">IF($B242&lt;&gt;"PRC_RESID","",IF(Y$7=2005+OFFSET(COM_2012!$B$60,$AW242,SUMIF($B$10:$B$16,"NCAP_TLIFE",$AX$10:$AX$16)),0,""))</f>
        <v/>
      </c>
      <c r="Z242" s="369" t="str">
        <f ca="1">IF($B242&lt;&gt;"PRC_RESID","",IF(Z$7=2005+OFFSET(COM_2012!$B$60,$AW242,SUMIF($B$10:$B$16,"NCAP_TLIFE",$AX$10:$AX$16)),0,""))</f>
        <v/>
      </c>
      <c r="AA242" s="369" t="str">
        <f ca="1">IF($B242&lt;&gt;"PRC_RESID","",IF(AA$7=2005+OFFSET(COM_2012!$B$60,$AW242,SUMIF($B$10:$B$16,"NCAP_TLIFE",$AX$10:$AX$16)),0,""))</f>
        <v/>
      </c>
      <c r="AB242" s="369" t="str">
        <f ca="1">IF($B242&lt;&gt;"PRC_RESID","",IF(AB$7=2005+OFFSET(COM_2012!$B$60,$AW242,SUMIF($B$10:$B$16,"NCAP_TLIFE",$AX$10:$AX$16)),0,""))</f>
        <v/>
      </c>
      <c r="AC242" s="369" t="str">
        <f ca="1">IF($B242&lt;&gt;"PRC_RESID","",IF(AC$7=2005+OFFSET(COM_2012!$B$60,$AW242,SUMIF($B$10:$B$16,"NCAP_TLIFE",$AX$10:$AX$16)),0,""))</f>
        <v/>
      </c>
      <c r="AD242" s="369" t="str">
        <f ca="1">IF($B242&lt;&gt;"PRC_RESID","",IF(AD$7=2005+OFFSET(COM_2012!$B$60,$AW242,SUMIF($B$10:$B$16,"NCAP_TLIFE",$AX$10:$AX$16)),0,""))</f>
        <v/>
      </c>
      <c r="AE242" s="369" t="str">
        <f ca="1">IF($B242&lt;&gt;"PRC_RESID","",IF(AE$7=2005+OFFSET(COM_2012!$B$60,$AW242,SUMIF($B$10:$B$16,"NCAP_TLIFE",$AX$10:$AX$16)),0,""))</f>
        <v/>
      </c>
      <c r="AF242" s="369" t="str">
        <f ca="1">IF($B242&lt;&gt;"PRC_RESID","",IF(AF$7=2005+OFFSET(COM_2012!$B$60,$AW242,SUMIF($B$10:$B$16,"NCAP_TLIFE",$AX$10:$AX$16)),0,""))</f>
        <v/>
      </c>
      <c r="AG242" s="369" t="str">
        <f ca="1">IF($B242&lt;&gt;"PRC_RESID","",IF(AG$7=2005+OFFSET(COM_2012!$B$60,$AW242,SUMIF($B$10:$B$16,"NCAP_TLIFE",$AX$10:$AX$16)),0,""))</f>
        <v/>
      </c>
      <c r="AH242" s="369" t="str">
        <f ca="1">IF($B242&lt;&gt;"PRC_RESID","",IF(AH$7=2005+OFFSET(COM_2012!$B$60,$AW242,SUMIF($B$10:$B$16,"NCAP_TLIFE",$AX$10:$AX$16)),0,""))</f>
        <v/>
      </c>
      <c r="AI242" s="369" t="str">
        <f ca="1">IF($B242&lt;&gt;"PRC_RESID","",IF(AI$7=2005+OFFSET(COM_2012!$B$60,$AW242,SUMIF($B$10:$B$16,"NCAP_TLIFE",$AX$10:$AX$16)),0,""))</f>
        <v/>
      </c>
      <c r="AJ242" s="369" t="str">
        <f ca="1">IF($B242&lt;&gt;"PRC_RESID","",IF(AJ$7=2005+OFFSET(COM_2012!$B$60,$AW242,SUMIF($B$10:$B$16,"NCAP_TLIFE",$AX$10:$AX$16)),0,""))</f>
        <v/>
      </c>
      <c r="AK242" s="369" t="str">
        <f ca="1">IF($B242&lt;&gt;"PRC_RESID","",IF(AK$7=2005+OFFSET(COM_2012!$B$60,$AW242,SUMIF($B$10:$B$16,"NCAP_TLIFE",$AX$10:$AX$16)),0,""))</f>
        <v/>
      </c>
      <c r="AL242" s="369" t="str">
        <f ca="1">IF($B242&lt;&gt;"PRC_RESID","",IF(AL$7=2005+OFFSET(COM_2012!$B$60,$AW242,SUMIF($B$10:$B$16,"NCAP_TLIFE",$AX$10:$AX$16)),0,""))</f>
        <v/>
      </c>
      <c r="AM242" s="369" t="str">
        <f ca="1">IF($B242&lt;&gt;"PRC_RESID","",IF(AM$7=2005+OFFSET(COM_2012!$B$60,$AW242,SUMIF($B$10:$B$16,"NCAP_TLIFE",$AX$10:$AX$16)),0,""))</f>
        <v/>
      </c>
      <c r="AN242" s="369" t="str">
        <f ca="1">IF($B242&lt;&gt;"PRC_RESID","",IF(AN$7=2005+OFFSET(COM_2012!$B$60,$AW242,SUMIF($B$10:$B$16,"NCAP_TLIFE",$AX$10:$AX$16)),0,""))</f>
        <v/>
      </c>
      <c r="AO242" s="369" t="str">
        <f ca="1">IF($B242&lt;&gt;"PRC_RESID","",IF(AO$7=2005+OFFSET(COM_2012!$B$60,$AW242,SUMIF($B$10:$B$16,"NCAP_TLIFE",$AX$10:$AX$16)),0,""))</f>
        <v/>
      </c>
      <c r="AP242" s="369" t="str">
        <f ca="1">IF($B242&lt;&gt;"PRC_RESID","",IF(AP$7=2005+OFFSET(COM_2012!$B$60,$AW242,SUMIF($B$10:$B$16,"NCAP_TLIFE",$AX$10:$AX$16)),0,""))</f>
        <v/>
      </c>
      <c r="AQ242" s="369" t="str">
        <f ca="1">IF($B242&lt;&gt;"PRC_RESID","",IF(AQ$7=2005+OFFSET(COM_2012!$B$60,$AW242,SUMIF($B$10:$B$16,"NCAP_TLIFE",$AX$10:$AX$16)),0,""))</f>
        <v/>
      </c>
      <c r="AR242" s="369" t="str">
        <f ca="1">IF($B242&lt;&gt;"PRC_RESID","",IF(AR$7=2005+OFFSET(COM_2012!$B$60,$AW242,SUMIF($B$10:$B$16,"NCAP_TLIFE",$AX$10:$AX$16)),0,""))</f>
        <v/>
      </c>
      <c r="AS242" s="369" t="str">
        <f ca="1">IF($B242&lt;&gt;"PRC_RESID","",IF(AS$7=2005+OFFSET(COM_2012!$B$60,$AW242,SUMIF($B$10:$B$16,"NCAP_TLIFE",$AX$10:$AX$16)),0,""))</f>
        <v/>
      </c>
      <c r="AT242" s="369" t="str">
        <f ca="1">IF($B242&lt;&gt;"PRC_RESID","",IF(AT$7=2005+OFFSET(COM_2012!$B$60,$AW242,SUMIF($B$10:$B$16,"NCAP_TLIFE",$AX$10:$AX$16)),0,""))</f>
        <v/>
      </c>
      <c r="AU242" s="369" t="str">
        <f ca="1">IF($B242&lt;&gt;"PRC_RESID","",IF(AU$7=2005+OFFSET(COM_2012!$B$60,$AW242,SUMIF($B$10:$B$16,"NCAP_TLIFE",$AX$10:$AX$16)),0,""))</f>
        <v/>
      </c>
      <c r="AV242" s="304">
        <f>IF(AW241=COM_2012!$AI$121,AV241+1,AV241)</f>
        <v>4</v>
      </c>
      <c r="AW242" s="304">
        <f t="shared" si="23"/>
        <v>32</v>
      </c>
    </row>
    <row r="243" spans="1:49">
      <c r="A243" s="304" t="str">
        <f ca="1">IF(LEFT(OFFSET(COM_2012!$A$60,AW243,0),2)="\I","*","")</f>
        <v/>
      </c>
      <c r="B243" s="369" t="str">
        <f t="shared" ca="1" si="22"/>
        <v>NCAP_COST</v>
      </c>
      <c r="C243" s="369" t="str">
        <f ca="1">IF($A243="*","",OFFSET(COM_2012!$B$60,AW243,0))</f>
        <v>CEWELC-E</v>
      </c>
      <c r="D243" s="369" t="str">
        <f t="shared" ca="1" si="24"/>
        <v>-</v>
      </c>
      <c r="E243" s="369" t="str">
        <f t="shared" ca="1" si="24"/>
        <v>-</v>
      </c>
      <c r="F243" s="369" t="str">
        <f t="shared" ca="1" si="24"/>
        <v>-</v>
      </c>
      <c r="G243" s="369" t="str">
        <f t="shared" ca="1" si="24"/>
        <v>-</v>
      </c>
      <c r="H243" s="369" t="str">
        <f t="shared" ca="1" si="24"/>
        <v>-</v>
      </c>
      <c r="I243" s="370">
        <f t="shared" ca="1" si="24"/>
        <v>0</v>
      </c>
      <c r="J243" s="391">
        <f ca="1">IF($A243="*","",OFFSET(COM_2012!$B$60,AW243,SUMIF($B$10:$B$16,B243,$AX$10:$AX$16)))</f>
        <v>31.581453839889381</v>
      </c>
      <c r="K243" s="369" t="str">
        <f ca="1">IF($B243&lt;&gt;"PRC_RESID","",IF(K$7=2005+OFFSET(COM_2012!$B$60,$AW243,SUMIF($B$10:$B$16,"NCAP_TLIFE",$AX$10:$AX$16)),0,""))</f>
        <v/>
      </c>
      <c r="L243" s="369" t="str">
        <f ca="1">IF($B243&lt;&gt;"PRC_RESID","",IF(L$7=2005+OFFSET(COM_2012!$B$60,$AW243,SUMIF($B$10:$B$16,"NCAP_TLIFE",$AX$10:$AX$16)),0,""))</f>
        <v/>
      </c>
      <c r="M243" s="369" t="str">
        <f ca="1">IF($B243&lt;&gt;"PRC_RESID","",IF(M$7=2005+OFFSET(COM_2012!$B$60,$AW243,SUMIF($B$10:$B$16,"NCAP_TLIFE",$AX$10:$AX$16)),0,""))</f>
        <v/>
      </c>
      <c r="N243" s="369" t="str">
        <f ca="1">IF($B243&lt;&gt;"PRC_RESID","",IF(N$7=2005+OFFSET(COM_2012!$B$60,$AW243,SUMIF($B$10:$B$16,"NCAP_TLIFE",$AX$10:$AX$16)),0,""))</f>
        <v/>
      </c>
      <c r="O243" s="658" t="str">
        <f ca="1">IF($B243&lt;&gt;"PRC_RESID","",IF(O$7=2005+OFFSET(COM_2012!$B$60,$AW243,SUMIF($B$10:$B$16,"NCAP_TLIFE",$AX$10:$AX$16)),0,""))</f>
        <v/>
      </c>
      <c r="P243" s="369" t="str">
        <f ca="1">IF($B243&lt;&gt;"PRC_RESID","",IF(P$7=2005+OFFSET(COM_2012!$B$60,$AW243,SUMIF($B$10:$B$16,"NCAP_TLIFE",$AX$10:$AX$16)),0,""))</f>
        <v/>
      </c>
      <c r="Q243" s="369" t="str">
        <f ca="1">IF($B243&lt;&gt;"PRC_RESID","",IF(Q$7=2005+OFFSET(COM_2012!$B$60,$AW243,SUMIF($B$10:$B$16,"NCAP_TLIFE",$AX$10:$AX$16)),0,""))</f>
        <v/>
      </c>
      <c r="R243" s="369" t="str">
        <f ca="1">IF($B243&lt;&gt;"PRC_RESID","",IF(R$7=2005+OFFSET(COM_2012!$B$60,$AW243,SUMIF($B$10:$B$16,"NCAP_TLIFE",$AX$10:$AX$16)),0,""))</f>
        <v/>
      </c>
      <c r="S243" s="369" t="str">
        <f ca="1">IF($B243&lt;&gt;"PRC_RESID","",IF(S$7=2005+OFFSET(COM_2012!$B$60,$AW243,SUMIF($B$10:$B$16,"NCAP_TLIFE",$AX$10:$AX$16)),0,""))</f>
        <v/>
      </c>
      <c r="T243" s="369" t="str">
        <f ca="1">IF($B243&lt;&gt;"PRC_RESID","",IF(T$7=2005+OFFSET(COM_2012!$B$60,$AW243,SUMIF($B$10:$B$16,"NCAP_TLIFE",$AX$10:$AX$16)),0,""))</f>
        <v/>
      </c>
      <c r="U243" s="369" t="str">
        <f ca="1">IF($B243&lt;&gt;"PRC_RESID","",IF(U$7=2005+OFFSET(COM_2012!$B$60,$AW243,SUMIF($B$10:$B$16,"NCAP_TLIFE",$AX$10:$AX$16)),0,""))</f>
        <v/>
      </c>
      <c r="V243" s="369" t="str">
        <f ca="1">IF($B243&lt;&gt;"PRC_RESID","",IF(V$7=2005+OFFSET(COM_2012!$B$60,$AW243,SUMIF($B$10:$B$16,"NCAP_TLIFE",$AX$10:$AX$16)),0,""))</f>
        <v/>
      </c>
      <c r="W243" s="369" t="str">
        <f ca="1">IF($B243&lt;&gt;"PRC_RESID","",IF(W$7=2005+OFFSET(COM_2012!$B$60,$AW243,SUMIF($B$10:$B$16,"NCAP_TLIFE",$AX$10:$AX$16)),0,""))</f>
        <v/>
      </c>
      <c r="X243" s="369" t="str">
        <f ca="1">IF($B243&lt;&gt;"PRC_RESID","",IF(X$7=2005+OFFSET(COM_2012!$B$60,$AW243,SUMIF($B$10:$B$16,"NCAP_TLIFE",$AX$10:$AX$16)),0,""))</f>
        <v/>
      </c>
      <c r="Y243" s="369" t="str">
        <f ca="1">IF($B243&lt;&gt;"PRC_RESID","",IF(Y$7=2005+OFFSET(COM_2012!$B$60,$AW243,SUMIF($B$10:$B$16,"NCAP_TLIFE",$AX$10:$AX$16)),0,""))</f>
        <v/>
      </c>
      <c r="Z243" s="369" t="str">
        <f ca="1">IF($B243&lt;&gt;"PRC_RESID","",IF(Z$7=2005+OFFSET(COM_2012!$B$60,$AW243,SUMIF($B$10:$B$16,"NCAP_TLIFE",$AX$10:$AX$16)),0,""))</f>
        <v/>
      </c>
      <c r="AA243" s="369" t="str">
        <f ca="1">IF($B243&lt;&gt;"PRC_RESID","",IF(AA$7=2005+OFFSET(COM_2012!$B$60,$AW243,SUMIF($B$10:$B$16,"NCAP_TLIFE",$AX$10:$AX$16)),0,""))</f>
        <v/>
      </c>
      <c r="AB243" s="369" t="str">
        <f ca="1">IF($B243&lt;&gt;"PRC_RESID","",IF(AB$7=2005+OFFSET(COM_2012!$B$60,$AW243,SUMIF($B$10:$B$16,"NCAP_TLIFE",$AX$10:$AX$16)),0,""))</f>
        <v/>
      </c>
      <c r="AC243" s="369" t="str">
        <f ca="1">IF($B243&lt;&gt;"PRC_RESID","",IF(AC$7=2005+OFFSET(COM_2012!$B$60,$AW243,SUMIF($B$10:$B$16,"NCAP_TLIFE",$AX$10:$AX$16)),0,""))</f>
        <v/>
      </c>
      <c r="AD243" s="369" t="str">
        <f ca="1">IF($B243&lt;&gt;"PRC_RESID","",IF(AD$7=2005+OFFSET(COM_2012!$B$60,$AW243,SUMIF($B$10:$B$16,"NCAP_TLIFE",$AX$10:$AX$16)),0,""))</f>
        <v/>
      </c>
      <c r="AE243" s="369" t="str">
        <f ca="1">IF($B243&lt;&gt;"PRC_RESID","",IF(AE$7=2005+OFFSET(COM_2012!$B$60,$AW243,SUMIF($B$10:$B$16,"NCAP_TLIFE",$AX$10:$AX$16)),0,""))</f>
        <v/>
      </c>
      <c r="AF243" s="369" t="str">
        <f ca="1">IF($B243&lt;&gt;"PRC_RESID","",IF(AF$7=2005+OFFSET(COM_2012!$B$60,$AW243,SUMIF($B$10:$B$16,"NCAP_TLIFE",$AX$10:$AX$16)),0,""))</f>
        <v/>
      </c>
      <c r="AG243" s="369" t="str">
        <f ca="1">IF($B243&lt;&gt;"PRC_RESID","",IF(AG$7=2005+OFFSET(COM_2012!$B$60,$AW243,SUMIF($B$10:$B$16,"NCAP_TLIFE",$AX$10:$AX$16)),0,""))</f>
        <v/>
      </c>
      <c r="AH243" s="369" t="str">
        <f ca="1">IF($B243&lt;&gt;"PRC_RESID","",IF(AH$7=2005+OFFSET(COM_2012!$B$60,$AW243,SUMIF($B$10:$B$16,"NCAP_TLIFE",$AX$10:$AX$16)),0,""))</f>
        <v/>
      </c>
      <c r="AI243" s="369" t="str">
        <f ca="1">IF($B243&lt;&gt;"PRC_RESID","",IF(AI$7=2005+OFFSET(COM_2012!$B$60,$AW243,SUMIF($B$10:$B$16,"NCAP_TLIFE",$AX$10:$AX$16)),0,""))</f>
        <v/>
      </c>
      <c r="AJ243" s="369" t="str">
        <f ca="1">IF($B243&lt;&gt;"PRC_RESID","",IF(AJ$7=2005+OFFSET(COM_2012!$B$60,$AW243,SUMIF($B$10:$B$16,"NCAP_TLIFE",$AX$10:$AX$16)),0,""))</f>
        <v/>
      </c>
      <c r="AK243" s="369" t="str">
        <f ca="1">IF($B243&lt;&gt;"PRC_RESID","",IF(AK$7=2005+OFFSET(COM_2012!$B$60,$AW243,SUMIF($B$10:$B$16,"NCAP_TLIFE",$AX$10:$AX$16)),0,""))</f>
        <v/>
      </c>
      <c r="AL243" s="369" t="str">
        <f ca="1">IF($B243&lt;&gt;"PRC_RESID","",IF(AL$7=2005+OFFSET(COM_2012!$B$60,$AW243,SUMIF($B$10:$B$16,"NCAP_TLIFE",$AX$10:$AX$16)),0,""))</f>
        <v/>
      </c>
      <c r="AM243" s="369" t="str">
        <f ca="1">IF($B243&lt;&gt;"PRC_RESID","",IF(AM$7=2005+OFFSET(COM_2012!$B$60,$AW243,SUMIF($B$10:$B$16,"NCAP_TLIFE",$AX$10:$AX$16)),0,""))</f>
        <v/>
      </c>
      <c r="AN243" s="369" t="str">
        <f ca="1">IF($B243&lt;&gt;"PRC_RESID","",IF(AN$7=2005+OFFSET(COM_2012!$B$60,$AW243,SUMIF($B$10:$B$16,"NCAP_TLIFE",$AX$10:$AX$16)),0,""))</f>
        <v/>
      </c>
      <c r="AO243" s="369" t="str">
        <f ca="1">IF($B243&lt;&gt;"PRC_RESID","",IF(AO$7=2005+OFFSET(COM_2012!$B$60,$AW243,SUMIF($B$10:$B$16,"NCAP_TLIFE",$AX$10:$AX$16)),0,""))</f>
        <v/>
      </c>
      <c r="AP243" s="369" t="str">
        <f ca="1">IF($B243&lt;&gt;"PRC_RESID","",IF(AP$7=2005+OFFSET(COM_2012!$B$60,$AW243,SUMIF($B$10:$B$16,"NCAP_TLIFE",$AX$10:$AX$16)),0,""))</f>
        <v/>
      </c>
      <c r="AQ243" s="369" t="str">
        <f ca="1">IF($B243&lt;&gt;"PRC_RESID","",IF(AQ$7=2005+OFFSET(COM_2012!$B$60,$AW243,SUMIF($B$10:$B$16,"NCAP_TLIFE",$AX$10:$AX$16)),0,""))</f>
        <v/>
      </c>
      <c r="AR243" s="369" t="str">
        <f ca="1">IF($B243&lt;&gt;"PRC_RESID","",IF(AR$7=2005+OFFSET(COM_2012!$B$60,$AW243,SUMIF($B$10:$B$16,"NCAP_TLIFE",$AX$10:$AX$16)),0,""))</f>
        <v/>
      </c>
      <c r="AS243" s="369" t="str">
        <f ca="1">IF($B243&lt;&gt;"PRC_RESID","",IF(AS$7=2005+OFFSET(COM_2012!$B$60,$AW243,SUMIF($B$10:$B$16,"NCAP_TLIFE",$AX$10:$AX$16)),0,""))</f>
        <v/>
      </c>
      <c r="AT243" s="369" t="str">
        <f ca="1">IF($B243&lt;&gt;"PRC_RESID","",IF(AT$7=2005+OFFSET(COM_2012!$B$60,$AW243,SUMIF($B$10:$B$16,"NCAP_TLIFE",$AX$10:$AX$16)),0,""))</f>
        <v/>
      </c>
      <c r="AU243" s="369" t="str">
        <f ca="1">IF($B243&lt;&gt;"PRC_RESID","",IF(AU$7=2005+OFFSET(COM_2012!$B$60,$AW243,SUMIF($B$10:$B$16,"NCAP_TLIFE",$AX$10:$AX$16)),0,""))</f>
        <v/>
      </c>
      <c r="AV243" s="304">
        <f>IF(AW242=COM_2012!$AI$121,AV242+1,AV242)</f>
        <v>4</v>
      </c>
      <c r="AW243" s="304">
        <f t="shared" si="23"/>
        <v>33</v>
      </c>
    </row>
    <row r="244" spans="1:49">
      <c r="A244" s="304" t="str">
        <f ca="1">IF(LEFT(OFFSET(COM_2012!$A$60,AW244,0),2)="\I","*","")</f>
        <v/>
      </c>
      <c r="B244" s="369" t="str">
        <f t="shared" ca="1" si="22"/>
        <v>NCAP_COST</v>
      </c>
      <c r="C244" s="369" t="str">
        <f ca="1">IF($A244="*","",OFFSET(COM_2012!$B$60,AW244,0))</f>
        <v>CEWCOA-E</v>
      </c>
      <c r="D244" s="369" t="str">
        <f t="shared" ca="1" si="24"/>
        <v>-</v>
      </c>
      <c r="E244" s="369" t="str">
        <f t="shared" ca="1" si="24"/>
        <v>-</v>
      </c>
      <c r="F244" s="369" t="str">
        <f t="shared" ca="1" si="24"/>
        <v>-</v>
      </c>
      <c r="G244" s="369" t="str">
        <f t="shared" ca="1" si="24"/>
        <v>-</v>
      </c>
      <c r="H244" s="369" t="str">
        <f t="shared" ca="1" si="24"/>
        <v>-</v>
      </c>
      <c r="I244" s="370">
        <f t="shared" ca="1" si="24"/>
        <v>0</v>
      </c>
      <c r="J244" s="391">
        <f ca="1">IF($A244="*","",OFFSET(COM_2012!$B$60,AW244,SUMIF($B$10:$B$16,B244,$AX$10:$AX$16)))</f>
        <v>211.94584531928834</v>
      </c>
      <c r="K244" s="369" t="str">
        <f ca="1">IF($B244&lt;&gt;"PRC_RESID","",IF(K$7=2005+OFFSET(COM_2012!$B$60,$AW244,SUMIF($B$10:$B$16,"NCAP_TLIFE",$AX$10:$AX$16)),0,""))</f>
        <v/>
      </c>
      <c r="L244" s="369" t="str">
        <f ca="1">IF($B244&lt;&gt;"PRC_RESID","",IF(L$7=2005+OFFSET(COM_2012!$B$60,$AW244,SUMIF($B$10:$B$16,"NCAP_TLIFE",$AX$10:$AX$16)),0,""))</f>
        <v/>
      </c>
      <c r="M244" s="369" t="str">
        <f ca="1">IF($B244&lt;&gt;"PRC_RESID","",IF(M$7=2005+OFFSET(COM_2012!$B$60,$AW244,SUMIF($B$10:$B$16,"NCAP_TLIFE",$AX$10:$AX$16)),0,""))</f>
        <v/>
      </c>
      <c r="N244" s="369" t="str">
        <f ca="1">IF($B244&lt;&gt;"PRC_RESID","",IF(N$7=2005+OFFSET(COM_2012!$B$60,$AW244,SUMIF($B$10:$B$16,"NCAP_TLIFE",$AX$10:$AX$16)),0,""))</f>
        <v/>
      </c>
      <c r="O244" s="658" t="str">
        <f ca="1">IF($B244&lt;&gt;"PRC_RESID","",IF(O$7=2005+OFFSET(COM_2012!$B$60,$AW244,SUMIF($B$10:$B$16,"NCAP_TLIFE",$AX$10:$AX$16)),0,""))</f>
        <v/>
      </c>
      <c r="P244" s="369" t="str">
        <f ca="1">IF($B244&lt;&gt;"PRC_RESID","",IF(P$7=2005+OFFSET(COM_2012!$B$60,$AW244,SUMIF($B$10:$B$16,"NCAP_TLIFE",$AX$10:$AX$16)),0,""))</f>
        <v/>
      </c>
      <c r="Q244" s="369" t="str">
        <f ca="1">IF($B244&lt;&gt;"PRC_RESID","",IF(Q$7=2005+OFFSET(COM_2012!$B$60,$AW244,SUMIF($B$10:$B$16,"NCAP_TLIFE",$AX$10:$AX$16)),0,""))</f>
        <v/>
      </c>
      <c r="R244" s="369" t="str">
        <f ca="1">IF($B244&lt;&gt;"PRC_RESID","",IF(R$7=2005+OFFSET(COM_2012!$B$60,$AW244,SUMIF($B$10:$B$16,"NCAP_TLIFE",$AX$10:$AX$16)),0,""))</f>
        <v/>
      </c>
      <c r="S244" s="369" t="str">
        <f ca="1">IF($B244&lt;&gt;"PRC_RESID","",IF(S$7=2005+OFFSET(COM_2012!$B$60,$AW244,SUMIF($B$10:$B$16,"NCAP_TLIFE",$AX$10:$AX$16)),0,""))</f>
        <v/>
      </c>
      <c r="T244" s="369" t="str">
        <f ca="1">IF($B244&lt;&gt;"PRC_RESID","",IF(T$7=2005+OFFSET(COM_2012!$B$60,$AW244,SUMIF($B$10:$B$16,"NCAP_TLIFE",$AX$10:$AX$16)),0,""))</f>
        <v/>
      </c>
      <c r="U244" s="369" t="str">
        <f ca="1">IF($B244&lt;&gt;"PRC_RESID","",IF(U$7=2005+OFFSET(COM_2012!$B$60,$AW244,SUMIF($B$10:$B$16,"NCAP_TLIFE",$AX$10:$AX$16)),0,""))</f>
        <v/>
      </c>
      <c r="V244" s="369" t="str">
        <f ca="1">IF($B244&lt;&gt;"PRC_RESID","",IF(V$7=2005+OFFSET(COM_2012!$B$60,$AW244,SUMIF($B$10:$B$16,"NCAP_TLIFE",$AX$10:$AX$16)),0,""))</f>
        <v/>
      </c>
      <c r="W244" s="369" t="str">
        <f ca="1">IF($B244&lt;&gt;"PRC_RESID","",IF(W$7=2005+OFFSET(COM_2012!$B$60,$AW244,SUMIF($B$10:$B$16,"NCAP_TLIFE",$AX$10:$AX$16)),0,""))</f>
        <v/>
      </c>
      <c r="X244" s="369" t="str">
        <f ca="1">IF($B244&lt;&gt;"PRC_RESID","",IF(X$7=2005+OFFSET(COM_2012!$B$60,$AW244,SUMIF($B$10:$B$16,"NCAP_TLIFE",$AX$10:$AX$16)),0,""))</f>
        <v/>
      </c>
      <c r="Y244" s="369" t="str">
        <f ca="1">IF($B244&lt;&gt;"PRC_RESID","",IF(Y$7=2005+OFFSET(COM_2012!$B$60,$AW244,SUMIF($B$10:$B$16,"NCAP_TLIFE",$AX$10:$AX$16)),0,""))</f>
        <v/>
      </c>
      <c r="Z244" s="369" t="str">
        <f ca="1">IF($B244&lt;&gt;"PRC_RESID","",IF(Z$7=2005+OFFSET(COM_2012!$B$60,$AW244,SUMIF($B$10:$B$16,"NCAP_TLIFE",$AX$10:$AX$16)),0,""))</f>
        <v/>
      </c>
      <c r="AA244" s="369" t="str">
        <f ca="1">IF($B244&lt;&gt;"PRC_RESID","",IF(AA$7=2005+OFFSET(COM_2012!$B$60,$AW244,SUMIF($B$10:$B$16,"NCAP_TLIFE",$AX$10:$AX$16)),0,""))</f>
        <v/>
      </c>
      <c r="AB244" s="369" t="str">
        <f ca="1">IF($B244&lt;&gt;"PRC_RESID","",IF(AB$7=2005+OFFSET(COM_2012!$B$60,$AW244,SUMIF($B$10:$B$16,"NCAP_TLIFE",$AX$10:$AX$16)),0,""))</f>
        <v/>
      </c>
      <c r="AC244" s="369" t="str">
        <f ca="1">IF($B244&lt;&gt;"PRC_RESID","",IF(AC$7=2005+OFFSET(COM_2012!$B$60,$AW244,SUMIF($B$10:$B$16,"NCAP_TLIFE",$AX$10:$AX$16)),0,""))</f>
        <v/>
      </c>
      <c r="AD244" s="369" t="str">
        <f ca="1">IF($B244&lt;&gt;"PRC_RESID","",IF(AD$7=2005+OFFSET(COM_2012!$B$60,$AW244,SUMIF($B$10:$B$16,"NCAP_TLIFE",$AX$10:$AX$16)),0,""))</f>
        <v/>
      </c>
      <c r="AE244" s="369" t="str">
        <f ca="1">IF($B244&lt;&gt;"PRC_RESID","",IF(AE$7=2005+OFFSET(COM_2012!$B$60,$AW244,SUMIF($B$10:$B$16,"NCAP_TLIFE",$AX$10:$AX$16)),0,""))</f>
        <v/>
      </c>
      <c r="AF244" s="369" t="str">
        <f ca="1">IF($B244&lt;&gt;"PRC_RESID","",IF(AF$7=2005+OFFSET(COM_2012!$B$60,$AW244,SUMIF($B$10:$B$16,"NCAP_TLIFE",$AX$10:$AX$16)),0,""))</f>
        <v/>
      </c>
      <c r="AG244" s="369" t="str">
        <f ca="1">IF($B244&lt;&gt;"PRC_RESID","",IF(AG$7=2005+OFFSET(COM_2012!$B$60,$AW244,SUMIF($B$10:$B$16,"NCAP_TLIFE",$AX$10:$AX$16)),0,""))</f>
        <v/>
      </c>
      <c r="AH244" s="369" t="str">
        <f ca="1">IF($B244&lt;&gt;"PRC_RESID","",IF(AH$7=2005+OFFSET(COM_2012!$B$60,$AW244,SUMIF($B$10:$B$16,"NCAP_TLIFE",$AX$10:$AX$16)),0,""))</f>
        <v/>
      </c>
      <c r="AI244" s="369" t="str">
        <f ca="1">IF($B244&lt;&gt;"PRC_RESID","",IF(AI$7=2005+OFFSET(COM_2012!$B$60,$AW244,SUMIF($B$10:$B$16,"NCAP_TLIFE",$AX$10:$AX$16)),0,""))</f>
        <v/>
      </c>
      <c r="AJ244" s="369" t="str">
        <f ca="1">IF($B244&lt;&gt;"PRC_RESID","",IF(AJ$7=2005+OFFSET(COM_2012!$B$60,$AW244,SUMIF($B$10:$B$16,"NCAP_TLIFE",$AX$10:$AX$16)),0,""))</f>
        <v/>
      </c>
      <c r="AK244" s="369" t="str">
        <f ca="1">IF($B244&lt;&gt;"PRC_RESID","",IF(AK$7=2005+OFFSET(COM_2012!$B$60,$AW244,SUMIF($B$10:$B$16,"NCAP_TLIFE",$AX$10:$AX$16)),0,""))</f>
        <v/>
      </c>
      <c r="AL244" s="369" t="str">
        <f ca="1">IF($B244&lt;&gt;"PRC_RESID","",IF(AL$7=2005+OFFSET(COM_2012!$B$60,$AW244,SUMIF($B$10:$B$16,"NCAP_TLIFE",$AX$10:$AX$16)),0,""))</f>
        <v/>
      </c>
      <c r="AM244" s="369" t="str">
        <f ca="1">IF($B244&lt;&gt;"PRC_RESID","",IF(AM$7=2005+OFFSET(COM_2012!$B$60,$AW244,SUMIF($B$10:$B$16,"NCAP_TLIFE",$AX$10:$AX$16)),0,""))</f>
        <v/>
      </c>
      <c r="AN244" s="369" t="str">
        <f ca="1">IF($B244&lt;&gt;"PRC_RESID","",IF(AN$7=2005+OFFSET(COM_2012!$B$60,$AW244,SUMIF($B$10:$B$16,"NCAP_TLIFE",$AX$10:$AX$16)),0,""))</f>
        <v/>
      </c>
      <c r="AO244" s="369" t="str">
        <f ca="1">IF($B244&lt;&gt;"PRC_RESID","",IF(AO$7=2005+OFFSET(COM_2012!$B$60,$AW244,SUMIF($B$10:$B$16,"NCAP_TLIFE",$AX$10:$AX$16)),0,""))</f>
        <v/>
      </c>
      <c r="AP244" s="369" t="str">
        <f ca="1">IF($B244&lt;&gt;"PRC_RESID","",IF(AP$7=2005+OFFSET(COM_2012!$B$60,$AW244,SUMIF($B$10:$B$16,"NCAP_TLIFE",$AX$10:$AX$16)),0,""))</f>
        <v/>
      </c>
      <c r="AQ244" s="369" t="str">
        <f ca="1">IF($B244&lt;&gt;"PRC_RESID","",IF(AQ$7=2005+OFFSET(COM_2012!$B$60,$AW244,SUMIF($B$10:$B$16,"NCAP_TLIFE",$AX$10:$AX$16)),0,""))</f>
        <v/>
      </c>
      <c r="AR244" s="369" t="str">
        <f ca="1">IF($B244&lt;&gt;"PRC_RESID","",IF(AR$7=2005+OFFSET(COM_2012!$B$60,$AW244,SUMIF($B$10:$B$16,"NCAP_TLIFE",$AX$10:$AX$16)),0,""))</f>
        <v/>
      </c>
      <c r="AS244" s="369" t="str">
        <f ca="1">IF($B244&lt;&gt;"PRC_RESID","",IF(AS$7=2005+OFFSET(COM_2012!$B$60,$AW244,SUMIF($B$10:$B$16,"NCAP_TLIFE",$AX$10:$AX$16)),0,""))</f>
        <v/>
      </c>
      <c r="AT244" s="369" t="str">
        <f ca="1">IF($B244&lt;&gt;"PRC_RESID","",IF(AT$7=2005+OFFSET(COM_2012!$B$60,$AW244,SUMIF($B$10:$B$16,"NCAP_TLIFE",$AX$10:$AX$16)),0,""))</f>
        <v/>
      </c>
      <c r="AU244" s="369" t="str">
        <f ca="1">IF($B244&lt;&gt;"PRC_RESID","",IF(AU$7=2005+OFFSET(COM_2012!$B$60,$AW244,SUMIF($B$10:$B$16,"NCAP_TLIFE",$AX$10:$AX$16)),0,""))</f>
        <v/>
      </c>
      <c r="AV244" s="304">
        <f>IF(AW243=COM_2012!$AI$121,AV243+1,AV243)</f>
        <v>4</v>
      </c>
      <c r="AW244" s="304">
        <f t="shared" si="23"/>
        <v>34</v>
      </c>
    </row>
    <row r="245" spans="1:49">
      <c r="A245" s="304" t="str">
        <f ca="1">IF(LEFT(OFFSET(COM_2012!$A$60,AW245,0),2)="\I","*","")</f>
        <v/>
      </c>
      <c r="B245" s="369" t="str">
        <f t="shared" ca="1" si="22"/>
        <v>NCAP_COST</v>
      </c>
      <c r="C245" s="369" t="str">
        <f ca="1">IF($A245="*","",OFFSET(COM_2012!$B$60,AW245,0))</f>
        <v>CEWOLP-E</v>
      </c>
      <c r="D245" s="369" t="str">
        <f t="shared" ca="1" si="24"/>
        <v>-</v>
      </c>
      <c r="E245" s="369" t="str">
        <f t="shared" ca="1" si="24"/>
        <v>-</v>
      </c>
      <c r="F245" s="369" t="str">
        <f t="shared" ca="1" si="24"/>
        <v>-</v>
      </c>
      <c r="G245" s="369" t="str">
        <f t="shared" ca="1" si="24"/>
        <v>-</v>
      </c>
      <c r="H245" s="369" t="str">
        <f t="shared" ca="1" si="24"/>
        <v>-</v>
      </c>
      <c r="I245" s="370">
        <f t="shared" ca="1" si="24"/>
        <v>0</v>
      </c>
      <c r="J245" s="391">
        <f ca="1">IF($A245="*","",OFFSET(COM_2012!$B$60,AW245,SUMIF($B$10:$B$16,B245,$AX$10:$AX$16)))</f>
        <v>24.826371391503535</v>
      </c>
      <c r="K245" s="369" t="str">
        <f ca="1">IF($B245&lt;&gt;"PRC_RESID","",IF(K$7=2005+OFFSET(COM_2012!$B$60,$AW245,SUMIF($B$10:$B$16,"NCAP_TLIFE",$AX$10:$AX$16)),0,""))</f>
        <v/>
      </c>
      <c r="L245" s="369" t="str">
        <f ca="1">IF($B245&lt;&gt;"PRC_RESID","",IF(L$7=2005+OFFSET(COM_2012!$B$60,$AW245,SUMIF($B$10:$B$16,"NCAP_TLIFE",$AX$10:$AX$16)),0,""))</f>
        <v/>
      </c>
      <c r="M245" s="369" t="str">
        <f ca="1">IF($B245&lt;&gt;"PRC_RESID","",IF(M$7=2005+OFFSET(COM_2012!$B$60,$AW245,SUMIF($B$10:$B$16,"NCAP_TLIFE",$AX$10:$AX$16)),0,""))</f>
        <v/>
      </c>
      <c r="N245" s="369" t="str">
        <f ca="1">IF($B245&lt;&gt;"PRC_RESID","",IF(N$7=2005+OFFSET(COM_2012!$B$60,$AW245,SUMIF($B$10:$B$16,"NCAP_TLIFE",$AX$10:$AX$16)),0,""))</f>
        <v/>
      </c>
      <c r="O245" s="658" t="str">
        <f ca="1">IF($B245&lt;&gt;"PRC_RESID","",IF(O$7=2005+OFFSET(COM_2012!$B$60,$AW245,SUMIF($B$10:$B$16,"NCAP_TLIFE",$AX$10:$AX$16)),0,""))</f>
        <v/>
      </c>
      <c r="P245" s="369" t="str">
        <f ca="1">IF($B245&lt;&gt;"PRC_RESID","",IF(P$7=2005+OFFSET(COM_2012!$B$60,$AW245,SUMIF($B$10:$B$16,"NCAP_TLIFE",$AX$10:$AX$16)),0,""))</f>
        <v/>
      </c>
      <c r="Q245" s="369" t="str">
        <f ca="1">IF($B245&lt;&gt;"PRC_RESID","",IF(Q$7=2005+OFFSET(COM_2012!$B$60,$AW245,SUMIF($B$10:$B$16,"NCAP_TLIFE",$AX$10:$AX$16)),0,""))</f>
        <v/>
      </c>
      <c r="R245" s="369" t="str">
        <f ca="1">IF($B245&lt;&gt;"PRC_RESID","",IF(R$7=2005+OFFSET(COM_2012!$B$60,$AW245,SUMIF($B$10:$B$16,"NCAP_TLIFE",$AX$10:$AX$16)),0,""))</f>
        <v/>
      </c>
      <c r="S245" s="369" t="str">
        <f ca="1">IF($B245&lt;&gt;"PRC_RESID","",IF(S$7=2005+OFFSET(COM_2012!$B$60,$AW245,SUMIF($B$10:$B$16,"NCAP_TLIFE",$AX$10:$AX$16)),0,""))</f>
        <v/>
      </c>
      <c r="T245" s="369" t="str">
        <f ca="1">IF($B245&lt;&gt;"PRC_RESID","",IF(T$7=2005+OFFSET(COM_2012!$B$60,$AW245,SUMIF($B$10:$B$16,"NCAP_TLIFE",$AX$10:$AX$16)),0,""))</f>
        <v/>
      </c>
      <c r="U245" s="369" t="str">
        <f ca="1">IF($B245&lt;&gt;"PRC_RESID","",IF(U$7=2005+OFFSET(COM_2012!$B$60,$AW245,SUMIF($B$10:$B$16,"NCAP_TLIFE",$AX$10:$AX$16)),0,""))</f>
        <v/>
      </c>
      <c r="V245" s="369" t="str">
        <f ca="1">IF($B245&lt;&gt;"PRC_RESID","",IF(V$7=2005+OFFSET(COM_2012!$B$60,$AW245,SUMIF($B$10:$B$16,"NCAP_TLIFE",$AX$10:$AX$16)),0,""))</f>
        <v/>
      </c>
      <c r="W245" s="369" t="str">
        <f ca="1">IF($B245&lt;&gt;"PRC_RESID","",IF(W$7=2005+OFFSET(COM_2012!$B$60,$AW245,SUMIF($B$10:$B$16,"NCAP_TLIFE",$AX$10:$AX$16)),0,""))</f>
        <v/>
      </c>
      <c r="X245" s="369" t="str">
        <f ca="1">IF($B245&lt;&gt;"PRC_RESID","",IF(X$7=2005+OFFSET(COM_2012!$B$60,$AW245,SUMIF($B$10:$B$16,"NCAP_TLIFE",$AX$10:$AX$16)),0,""))</f>
        <v/>
      </c>
      <c r="Y245" s="369" t="str">
        <f ca="1">IF($B245&lt;&gt;"PRC_RESID","",IF(Y$7=2005+OFFSET(COM_2012!$B$60,$AW245,SUMIF($B$10:$B$16,"NCAP_TLIFE",$AX$10:$AX$16)),0,""))</f>
        <v/>
      </c>
      <c r="Z245" s="369" t="str">
        <f ca="1">IF($B245&lt;&gt;"PRC_RESID","",IF(Z$7=2005+OFFSET(COM_2012!$B$60,$AW245,SUMIF($B$10:$B$16,"NCAP_TLIFE",$AX$10:$AX$16)),0,""))</f>
        <v/>
      </c>
      <c r="AA245" s="369" t="str">
        <f ca="1">IF($B245&lt;&gt;"PRC_RESID","",IF(AA$7=2005+OFFSET(COM_2012!$B$60,$AW245,SUMIF($B$10:$B$16,"NCAP_TLIFE",$AX$10:$AX$16)),0,""))</f>
        <v/>
      </c>
      <c r="AB245" s="369" t="str">
        <f ca="1">IF($B245&lt;&gt;"PRC_RESID","",IF(AB$7=2005+OFFSET(COM_2012!$B$60,$AW245,SUMIF($B$10:$B$16,"NCAP_TLIFE",$AX$10:$AX$16)),0,""))</f>
        <v/>
      </c>
      <c r="AC245" s="369" t="str">
        <f ca="1">IF($B245&lt;&gt;"PRC_RESID","",IF(AC$7=2005+OFFSET(COM_2012!$B$60,$AW245,SUMIF($B$10:$B$16,"NCAP_TLIFE",$AX$10:$AX$16)),0,""))</f>
        <v/>
      </c>
      <c r="AD245" s="369" t="str">
        <f ca="1">IF($B245&lt;&gt;"PRC_RESID","",IF(AD$7=2005+OFFSET(COM_2012!$B$60,$AW245,SUMIF($B$10:$B$16,"NCAP_TLIFE",$AX$10:$AX$16)),0,""))</f>
        <v/>
      </c>
      <c r="AE245" s="369" t="str">
        <f ca="1">IF($B245&lt;&gt;"PRC_RESID","",IF(AE$7=2005+OFFSET(COM_2012!$B$60,$AW245,SUMIF($B$10:$B$16,"NCAP_TLIFE",$AX$10:$AX$16)),0,""))</f>
        <v/>
      </c>
      <c r="AF245" s="369" t="str">
        <f ca="1">IF($B245&lt;&gt;"PRC_RESID","",IF(AF$7=2005+OFFSET(COM_2012!$B$60,$AW245,SUMIF($B$10:$B$16,"NCAP_TLIFE",$AX$10:$AX$16)),0,""))</f>
        <v/>
      </c>
      <c r="AG245" s="369" t="str">
        <f ca="1">IF($B245&lt;&gt;"PRC_RESID","",IF(AG$7=2005+OFFSET(COM_2012!$B$60,$AW245,SUMIF($B$10:$B$16,"NCAP_TLIFE",$AX$10:$AX$16)),0,""))</f>
        <v/>
      </c>
      <c r="AH245" s="369" t="str">
        <f ca="1">IF($B245&lt;&gt;"PRC_RESID","",IF(AH$7=2005+OFFSET(COM_2012!$B$60,$AW245,SUMIF($B$10:$B$16,"NCAP_TLIFE",$AX$10:$AX$16)),0,""))</f>
        <v/>
      </c>
      <c r="AI245" s="369" t="str">
        <f ca="1">IF($B245&lt;&gt;"PRC_RESID","",IF(AI$7=2005+OFFSET(COM_2012!$B$60,$AW245,SUMIF($B$10:$B$16,"NCAP_TLIFE",$AX$10:$AX$16)),0,""))</f>
        <v/>
      </c>
      <c r="AJ245" s="369" t="str">
        <f ca="1">IF($B245&lt;&gt;"PRC_RESID","",IF(AJ$7=2005+OFFSET(COM_2012!$B$60,$AW245,SUMIF($B$10:$B$16,"NCAP_TLIFE",$AX$10:$AX$16)),0,""))</f>
        <v/>
      </c>
      <c r="AK245" s="369" t="str">
        <f ca="1">IF($B245&lt;&gt;"PRC_RESID","",IF(AK$7=2005+OFFSET(COM_2012!$B$60,$AW245,SUMIF($B$10:$B$16,"NCAP_TLIFE",$AX$10:$AX$16)),0,""))</f>
        <v/>
      </c>
      <c r="AL245" s="369" t="str">
        <f ca="1">IF($B245&lt;&gt;"PRC_RESID","",IF(AL$7=2005+OFFSET(COM_2012!$B$60,$AW245,SUMIF($B$10:$B$16,"NCAP_TLIFE",$AX$10:$AX$16)),0,""))</f>
        <v/>
      </c>
      <c r="AM245" s="369" t="str">
        <f ca="1">IF($B245&lt;&gt;"PRC_RESID","",IF(AM$7=2005+OFFSET(COM_2012!$B$60,$AW245,SUMIF($B$10:$B$16,"NCAP_TLIFE",$AX$10:$AX$16)),0,""))</f>
        <v/>
      </c>
      <c r="AN245" s="369" t="str">
        <f ca="1">IF($B245&lt;&gt;"PRC_RESID","",IF(AN$7=2005+OFFSET(COM_2012!$B$60,$AW245,SUMIF($B$10:$B$16,"NCAP_TLIFE",$AX$10:$AX$16)),0,""))</f>
        <v/>
      </c>
      <c r="AO245" s="369" t="str">
        <f ca="1">IF($B245&lt;&gt;"PRC_RESID","",IF(AO$7=2005+OFFSET(COM_2012!$B$60,$AW245,SUMIF($B$10:$B$16,"NCAP_TLIFE",$AX$10:$AX$16)),0,""))</f>
        <v/>
      </c>
      <c r="AP245" s="369" t="str">
        <f ca="1">IF($B245&lt;&gt;"PRC_RESID","",IF(AP$7=2005+OFFSET(COM_2012!$B$60,$AW245,SUMIF($B$10:$B$16,"NCAP_TLIFE",$AX$10:$AX$16)),0,""))</f>
        <v/>
      </c>
      <c r="AQ245" s="369" t="str">
        <f ca="1">IF($B245&lt;&gt;"PRC_RESID","",IF(AQ$7=2005+OFFSET(COM_2012!$B$60,$AW245,SUMIF($B$10:$B$16,"NCAP_TLIFE",$AX$10:$AX$16)),0,""))</f>
        <v/>
      </c>
      <c r="AR245" s="369" t="str">
        <f ca="1">IF($B245&lt;&gt;"PRC_RESID","",IF(AR$7=2005+OFFSET(COM_2012!$B$60,$AW245,SUMIF($B$10:$B$16,"NCAP_TLIFE",$AX$10:$AX$16)),0,""))</f>
        <v/>
      </c>
      <c r="AS245" s="369" t="str">
        <f ca="1">IF($B245&lt;&gt;"PRC_RESID","",IF(AS$7=2005+OFFSET(COM_2012!$B$60,$AW245,SUMIF($B$10:$B$16,"NCAP_TLIFE",$AX$10:$AX$16)),0,""))</f>
        <v/>
      </c>
      <c r="AT245" s="369" t="str">
        <f ca="1">IF($B245&lt;&gt;"PRC_RESID","",IF(AT$7=2005+OFFSET(COM_2012!$B$60,$AW245,SUMIF($B$10:$B$16,"NCAP_TLIFE",$AX$10:$AX$16)),0,""))</f>
        <v/>
      </c>
      <c r="AU245" s="369" t="str">
        <f ca="1">IF($B245&lt;&gt;"PRC_RESID","",IF(AU$7=2005+OFFSET(COM_2012!$B$60,$AW245,SUMIF($B$10:$B$16,"NCAP_TLIFE",$AX$10:$AX$16)),0,""))</f>
        <v/>
      </c>
      <c r="AV245" s="304">
        <f>IF(AW244=COM_2012!$AI$121,AV244+1,AV244)</f>
        <v>4</v>
      </c>
      <c r="AW245" s="304">
        <f t="shared" si="23"/>
        <v>35</v>
      </c>
    </row>
    <row r="246" spans="1:49">
      <c r="A246" s="304" t="str">
        <f ca="1">IF(LEFT(OFFSET(COM_2012!$A$60,AW246,0),2)="\I","*","")</f>
        <v/>
      </c>
      <c r="B246" s="369" t="str">
        <f t="shared" ca="1" si="22"/>
        <v>NCAP_COST</v>
      </c>
      <c r="C246" s="369" t="str">
        <f ca="1">IF($A246="*","",OFFSET(COM_2012!$B$60,AW246,0))</f>
        <v>CEWGAS-E</v>
      </c>
      <c r="D246" s="369" t="str">
        <f t="shared" ref="D246:I264" ca="1" si="25">IF($A246="*","",VLOOKUP($B246,$B$10:$I$16,D$9,FALSE))</f>
        <v>-</v>
      </c>
      <c r="E246" s="369" t="str">
        <f t="shared" ca="1" si="25"/>
        <v>-</v>
      </c>
      <c r="F246" s="369" t="str">
        <f t="shared" ca="1" si="25"/>
        <v>-</v>
      </c>
      <c r="G246" s="369" t="str">
        <f t="shared" ca="1" si="25"/>
        <v>-</v>
      </c>
      <c r="H246" s="369" t="str">
        <f t="shared" ca="1" si="25"/>
        <v>-</v>
      </c>
      <c r="I246" s="370">
        <f t="shared" ca="1" si="25"/>
        <v>0</v>
      </c>
      <c r="J246" s="391">
        <f ca="1">IF($A246="*","",OFFSET(COM_2012!$B$60,AW246,SUMIF($B$10:$B$16,B246,$AX$10:$AX$16)))</f>
        <v>24.826371391503535</v>
      </c>
      <c r="K246" s="369" t="str">
        <f ca="1">IF($B246&lt;&gt;"PRC_RESID","",IF(K$7=2005+OFFSET(COM_2012!$B$60,$AW246,SUMIF($B$10:$B$16,"NCAP_TLIFE",$AX$10:$AX$16)),0,""))</f>
        <v/>
      </c>
      <c r="L246" s="369" t="str">
        <f ca="1">IF($B246&lt;&gt;"PRC_RESID","",IF(L$7=2005+OFFSET(COM_2012!$B$60,$AW246,SUMIF($B$10:$B$16,"NCAP_TLIFE",$AX$10:$AX$16)),0,""))</f>
        <v/>
      </c>
      <c r="M246" s="369" t="str">
        <f ca="1">IF($B246&lt;&gt;"PRC_RESID","",IF(M$7=2005+OFFSET(COM_2012!$B$60,$AW246,SUMIF($B$10:$B$16,"NCAP_TLIFE",$AX$10:$AX$16)),0,""))</f>
        <v/>
      </c>
      <c r="N246" s="369" t="str">
        <f ca="1">IF($B246&lt;&gt;"PRC_RESID","",IF(N$7=2005+OFFSET(COM_2012!$B$60,$AW246,SUMIF($B$10:$B$16,"NCAP_TLIFE",$AX$10:$AX$16)),0,""))</f>
        <v/>
      </c>
      <c r="O246" s="658" t="str">
        <f ca="1">IF($B246&lt;&gt;"PRC_RESID","",IF(O$7=2005+OFFSET(COM_2012!$B$60,$AW246,SUMIF($B$10:$B$16,"NCAP_TLIFE",$AX$10:$AX$16)),0,""))</f>
        <v/>
      </c>
      <c r="P246" s="369" t="str">
        <f ca="1">IF($B246&lt;&gt;"PRC_RESID","",IF(P$7=2005+OFFSET(COM_2012!$B$60,$AW246,SUMIF($B$10:$B$16,"NCAP_TLIFE",$AX$10:$AX$16)),0,""))</f>
        <v/>
      </c>
      <c r="Q246" s="369" t="str">
        <f ca="1">IF($B246&lt;&gt;"PRC_RESID","",IF(Q$7=2005+OFFSET(COM_2012!$B$60,$AW246,SUMIF($B$10:$B$16,"NCAP_TLIFE",$AX$10:$AX$16)),0,""))</f>
        <v/>
      </c>
      <c r="R246" s="369" t="str">
        <f ca="1">IF($B246&lt;&gt;"PRC_RESID","",IF(R$7=2005+OFFSET(COM_2012!$B$60,$AW246,SUMIF($B$10:$B$16,"NCAP_TLIFE",$AX$10:$AX$16)),0,""))</f>
        <v/>
      </c>
      <c r="S246" s="369" t="str">
        <f ca="1">IF($B246&lt;&gt;"PRC_RESID","",IF(S$7=2005+OFFSET(COM_2012!$B$60,$AW246,SUMIF($B$10:$B$16,"NCAP_TLIFE",$AX$10:$AX$16)),0,""))</f>
        <v/>
      </c>
      <c r="T246" s="369" t="str">
        <f ca="1">IF($B246&lt;&gt;"PRC_RESID","",IF(T$7=2005+OFFSET(COM_2012!$B$60,$AW246,SUMIF($B$10:$B$16,"NCAP_TLIFE",$AX$10:$AX$16)),0,""))</f>
        <v/>
      </c>
      <c r="U246" s="369" t="str">
        <f ca="1">IF($B246&lt;&gt;"PRC_RESID","",IF(U$7=2005+OFFSET(COM_2012!$B$60,$AW246,SUMIF($B$10:$B$16,"NCAP_TLIFE",$AX$10:$AX$16)),0,""))</f>
        <v/>
      </c>
      <c r="V246" s="369" t="str">
        <f ca="1">IF($B246&lt;&gt;"PRC_RESID","",IF(V$7=2005+OFFSET(COM_2012!$B$60,$AW246,SUMIF($B$10:$B$16,"NCAP_TLIFE",$AX$10:$AX$16)),0,""))</f>
        <v/>
      </c>
      <c r="W246" s="369" t="str">
        <f ca="1">IF($B246&lt;&gt;"PRC_RESID","",IF(W$7=2005+OFFSET(COM_2012!$B$60,$AW246,SUMIF($B$10:$B$16,"NCAP_TLIFE",$AX$10:$AX$16)),0,""))</f>
        <v/>
      </c>
      <c r="X246" s="369" t="str">
        <f ca="1">IF($B246&lt;&gt;"PRC_RESID","",IF(X$7=2005+OFFSET(COM_2012!$B$60,$AW246,SUMIF($B$10:$B$16,"NCAP_TLIFE",$AX$10:$AX$16)),0,""))</f>
        <v/>
      </c>
      <c r="Y246" s="369" t="str">
        <f ca="1">IF($B246&lt;&gt;"PRC_RESID","",IF(Y$7=2005+OFFSET(COM_2012!$B$60,$AW246,SUMIF($B$10:$B$16,"NCAP_TLIFE",$AX$10:$AX$16)),0,""))</f>
        <v/>
      </c>
      <c r="Z246" s="369" t="str">
        <f ca="1">IF($B246&lt;&gt;"PRC_RESID","",IF(Z$7=2005+OFFSET(COM_2012!$B$60,$AW246,SUMIF($B$10:$B$16,"NCAP_TLIFE",$AX$10:$AX$16)),0,""))</f>
        <v/>
      </c>
      <c r="AA246" s="369" t="str">
        <f ca="1">IF($B246&lt;&gt;"PRC_RESID","",IF(AA$7=2005+OFFSET(COM_2012!$B$60,$AW246,SUMIF($B$10:$B$16,"NCAP_TLIFE",$AX$10:$AX$16)),0,""))</f>
        <v/>
      </c>
      <c r="AB246" s="369" t="str">
        <f ca="1">IF($B246&lt;&gt;"PRC_RESID","",IF(AB$7=2005+OFFSET(COM_2012!$B$60,$AW246,SUMIF($B$10:$B$16,"NCAP_TLIFE",$AX$10:$AX$16)),0,""))</f>
        <v/>
      </c>
      <c r="AC246" s="369" t="str">
        <f ca="1">IF($B246&lt;&gt;"PRC_RESID","",IF(AC$7=2005+OFFSET(COM_2012!$B$60,$AW246,SUMIF($B$10:$B$16,"NCAP_TLIFE",$AX$10:$AX$16)),0,""))</f>
        <v/>
      </c>
      <c r="AD246" s="369" t="str">
        <f ca="1">IF($B246&lt;&gt;"PRC_RESID","",IF(AD$7=2005+OFFSET(COM_2012!$B$60,$AW246,SUMIF($B$10:$B$16,"NCAP_TLIFE",$AX$10:$AX$16)),0,""))</f>
        <v/>
      </c>
      <c r="AE246" s="369" t="str">
        <f ca="1">IF($B246&lt;&gt;"PRC_RESID","",IF(AE$7=2005+OFFSET(COM_2012!$B$60,$AW246,SUMIF($B$10:$B$16,"NCAP_TLIFE",$AX$10:$AX$16)),0,""))</f>
        <v/>
      </c>
      <c r="AF246" s="369" t="str">
        <f ca="1">IF($B246&lt;&gt;"PRC_RESID","",IF(AF$7=2005+OFFSET(COM_2012!$B$60,$AW246,SUMIF($B$10:$B$16,"NCAP_TLIFE",$AX$10:$AX$16)),0,""))</f>
        <v/>
      </c>
      <c r="AG246" s="369" t="str">
        <f ca="1">IF($B246&lt;&gt;"PRC_RESID","",IF(AG$7=2005+OFFSET(COM_2012!$B$60,$AW246,SUMIF($B$10:$B$16,"NCAP_TLIFE",$AX$10:$AX$16)),0,""))</f>
        <v/>
      </c>
      <c r="AH246" s="369" t="str">
        <f ca="1">IF($B246&lt;&gt;"PRC_RESID","",IF(AH$7=2005+OFFSET(COM_2012!$B$60,$AW246,SUMIF($B$10:$B$16,"NCAP_TLIFE",$AX$10:$AX$16)),0,""))</f>
        <v/>
      </c>
      <c r="AI246" s="369" t="str">
        <f ca="1">IF($B246&lt;&gt;"PRC_RESID","",IF(AI$7=2005+OFFSET(COM_2012!$B$60,$AW246,SUMIF($B$10:$B$16,"NCAP_TLIFE",$AX$10:$AX$16)),0,""))</f>
        <v/>
      </c>
      <c r="AJ246" s="369" t="str">
        <f ca="1">IF($B246&lt;&gt;"PRC_RESID","",IF(AJ$7=2005+OFFSET(COM_2012!$B$60,$AW246,SUMIF($B$10:$B$16,"NCAP_TLIFE",$AX$10:$AX$16)),0,""))</f>
        <v/>
      </c>
      <c r="AK246" s="369" t="str">
        <f ca="1">IF($B246&lt;&gt;"PRC_RESID","",IF(AK$7=2005+OFFSET(COM_2012!$B$60,$AW246,SUMIF($B$10:$B$16,"NCAP_TLIFE",$AX$10:$AX$16)),0,""))</f>
        <v/>
      </c>
      <c r="AL246" s="369" t="str">
        <f ca="1">IF($B246&lt;&gt;"PRC_RESID","",IF(AL$7=2005+OFFSET(COM_2012!$B$60,$AW246,SUMIF($B$10:$B$16,"NCAP_TLIFE",$AX$10:$AX$16)),0,""))</f>
        <v/>
      </c>
      <c r="AM246" s="369" t="str">
        <f ca="1">IF($B246&lt;&gt;"PRC_RESID","",IF(AM$7=2005+OFFSET(COM_2012!$B$60,$AW246,SUMIF($B$10:$B$16,"NCAP_TLIFE",$AX$10:$AX$16)),0,""))</f>
        <v/>
      </c>
      <c r="AN246" s="369" t="str">
        <f ca="1">IF($B246&lt;&gt;"PRC_RESID","",IF(AN$7=2005+OFFSET(COM_2012!$B$60,$AW246,SUMIF($B$10:$B$16,"NCAP_TLIFE",$AX$10:$AX$16)),0,""))</f>
        <v/>
      </c>
      <c r="AO246" s="369" t="str">
        <f ca="1">IF($B246&lt;&gt;"PRC_RESID","",IF(AO$7=2005+OFFSET(COM_2012!$B$60,$AW246,SUMIF($B$10:$B$16,"NCAP_TLIFE",$AX$10:$AX$16)),0,""))</f>
        <v/>
      </c>
      <c r="AP246" s="369" t="str">
        <f ca="1">IF($B246&lt;&gt;"PRC_RESID","",IF(AP$7=2005+OFFSET(COM_2012!$B$60,$AW246,SUMIF($B$10:$B$16,"NCAP_TLIFE",$AX$10:$AX$16)),0,""))</f>
        <v/>
      </c>
      <c r="AQ246" s="369" t="str">
        <f ca="1">IF($B246&lt;&gt;"PRC_RESID","",IF(AQ$7=2005+OFFSET(COM_2012!$B$60,$AW246,SUMIF($B$10:$B$16,"NCAP_TLIFE",$AX$10:$AX$16)),0,""))</f>
        <v/>
      </c>
      <c r="AR246" s="369" t="str">
        <f ca="1">IF($B246&lt;&gt;"PRC_RESID","",IF(AR$7=2005+OFFSET(COM_2012!$B$60,$AW246,SUMIF($B$10:$B$16,"NCAP_TLIFE",$AX$10:$AX$16)),0,""))</f>
        <v/>
      </c>
      <c r="AS246" s="369" t="str">
        <f ca="1">IF($B246&lt;&gt;"PRC_RESID","",IF(AS$7=2005+OFFSET(COM_2012!$B$60,$AW246,SUMIF($B$10:$B$16,"NCAP_TLIFE",$AX$10:$AX$16)),0,""))</f>
        <v/>
      </c>
      <c r="AT246" s="369" t="str">
        <f ca="1">IF($B246&lt;&gt;"PRC_RESID","",IF(AT$7=2005+OFFSET(COM_2012!$B$60,$AW246,SUMIF($B$10:$B$16,"NCAP_TLIFE",$AX$10:$AX$16)),0,""))</f>
        <v/>
      </c>
      <c r="AU246" s="369" t="str">
        <f ca="1">IF($B246&lt;&gt;"PRC_RESID","",IF(AU$7=2005+OFFSET(COM_2012!$B$60,$AW246,SUMIF($B$10:$B$16,"NCAP_TLIFE",$AX$10:$AX$16)),0,""))</f>
        <v/>
      </c>
      <c r="AV246" s="304">
        <f>IF(AW245=COM_2012!$AI$121,AV245+1,AV245)</f>
        <v>4</v>
      </c>
      <c r="AW246" s="304">
        <f t="shared" si="23"/>
        <v>36</v>
      </c>
    </row>
    <row r="247" spans="1:49">
      <c r="A247" s="304" t="str">
        <f ca="1">IF(LEFT(OFFSET(COM_2012!$A$60,AW247,0),2)="\I","*","")</f>
        <v/>
      </c>
      <c r="B247" s="369" t="str">
        <f t="shared" ca="1" si="22"/>
        <v>NCAP_COST</v>
      </c>
      <c r="C247" s="369" t="str">
        <f ca="1">IF($A247="*","",OFFSET(COM_2012!$B$60,AW247,0))</f>
        <v>CEWOKE-E</v>
      </c>
      <c r="D247" s="369" t="str">
        <f t="shared" ca="1" si="25"/>
        <v>-</v>
      </c>
      <c r="E247" s="369" t="str">
        <f t="shared" ca="1" si="25"/>
        <v>-</v>
      </c>
      <c r="F247" s="369" t="str">
        <f t="shared" ca="1" si="25"/>
        <v>-</v>
      </c>
      <c r="G247" s="369" t="str">
        <f t="shared" ca="1" si="25"/>
        <v>-</v>
      </c>
      <c r="H247" s="369" t="str">
        <f t="shared" ca="1" si="25"/>
        <v>-</v>
      </c>
      <c r="I247" s="370">
        <f t="shared" ca="1" si="25"/>
        <v>0</v>
      </c>
      <c r="J247" s="391">
        <f ca="1">IF($A247="*","",OFFSET(COM_2012!$B$60,AW247,SUMIF($B$10:$B$16,B247,$AX$10:$AX$16)))</f>
        <v>24.826371391503535</v>
      </c>
      <c r="K247" s="369" t="str">
        <f ca="1">IF($B247&lt;&gt;"PRC_RESID","",IF(K$7=2005+OFFSET(COM_2012!$B$60,$AW247,SUMIF($B$10:$B$16,"NCAP_TLIFE",$AX$10:$AX$16)),0,""))</f>
        <v/>
      </c>
      <c r="L247" s="369" t="str">
        <f ca="1">IF($B247&lt;&gt;"PRC_RESID","",IF(L$7=2005+OFFSET(COM_2012!$B$60,$AW247,SUMIF($B$10:$B$16,"NCAP_TLIFE",$AX$10:$AX$16)),0,""))</f>
        <v/>
      </c>
      <c r="M247" s="369" t="str">
        <f ca="1">IF($B247&lt;&gt;"PRC_RESID","",IF(M$7=2005+OFFSET(COM_2012!$B$60,$AW247,SUMIF($B$10:$B$16,"NCAP_TLIFE",$AX$10:$AX$16)),0,""))</f>
        <v/>
      </c>
      <c r="N247" s="369" t="str">
        <f ca="1">IF($B247&lt;&gt;"PRC_RESID","",IF(N$7=2005+OFFSET(COM_2012!$B$60,$AW247,SUMIF($B$10:$B$16,"NCAP_TLIFE",$AX$10:$AX$16)),0,""))</f>
        <v/>
      </c>
      <c r="O247" s="658" t="str">
        <f ca="1">IF($B247&lt;&gt;"PRC_RESID","",IF(O$7=2005+OFFSET(COM_2012!$B$60,$AW247,SUMIF($B$10:$B$16,"NCAP_TLIFE",$AX$10:$AX$16)),0,""))</f>
        <v/>
      </c>
      <c r="P247" s="369" t="str">
        <f ca="1">IF($B247&lt;&gt;"PRC_RESID","",IF(P$7=2005+OFFSET(COM_2012!$B$60,$AW247,SUMIF($B$10:$B$16,"NCAP_TLIFE",$AX$10:$AX$16)),0,""))</f>
        <v/>
      </c>
      <c r="Q247" s="369" t="str">
        <f ca="1">IF($B247&lt;&gt;"PRC_RESID","",IF(Q$7=2005+OFFSET(COM_2012!$B$60,$AW247,SUMIF($B$10:$B$16,"NCAP_TLIFE",$AX$10:$AX$16)),0,""))</f>
        <v/>
      </c>
      <c r="R247" s="369" t="str">
        <f ca="1">IF($B247&lt;&gt;"PRC_RESID","",IF(R$7=2005+OFFSET(COM_2012!$B$60,$AW247,SUMIF($B$10:$B$16,"NCAP_TLIFE",$AX$10:$AX$16)),0,""))</f>
        <v/>
      </c>
      <c r="S247" s="369" t="str">
        <f ca="1">IF($B247&lt;&gt;"PRC_RESID","",IF(S$7=2005+OFFSET(COM_2012!$B$60,$AW247,SUMIF($B$10:$B$16,"NCAP_TLIFE",$AX$10:$AX$16)),0,""))</f>
        <v/>
      </c>
      <c r="T247" s="369" t="str">
        <f ca="1">IF($B247&lt;&gt;"PRC_RESID","",IF(T$7=2005+OFFSET(COM_2012!$B$60,$AW247,SUMIF($B$10:$B$16,"NCAP_TLIFE",$AX$10:$AX$16)),0,""))</f>
        <v/>
      </c>
      <c r="U247" s="369" t="str">
        <f ca="1">IF($B247&lt;&gt;"PRC_RESID","",IF(U$7=2005+OFFSET(COM_2012!$B$60,$AW247,SUMIF($B$10:$B$16,"NCAP_TLIFE",$AX$10:$AX$16)),0,""))</f>
        <v/>
      </c>
      <c r="V247" s="369" t="str">
        <f ca="1">IF($B247&lt;&gt;"PRC_RESID","",IF(V$7=2005+OFFSET(COM_2012!$B$60,$AW247,SUMIF($B$10:$B$16,"NCAP_TLIFE",$AX$10:$AX$16)),0,""))</f>
        <v/>
      </c>
      <c r="W247" s="369" t="str">
        <f ca="1">IF($B247&lt;&gt;"PRC_RESID","",IF(W$7=2005+OFFSET(COM_2012!$B$60,$AW247,SUMIF($B$10:$B$16,"NCAP_TLIFE",$AX$10:$AX$16)),0,""))</f>
        <v/>
      </c>
      <c r="X247" s="369" t="str">
        <f ca="1">IF($B247&lt;&gt;"PRC_RESID","",IF(X$7=2005+OFFSET(COM_2012!$B$60,$AW247,SUMIF($B$10:$B$16,"NCAP_TLIFE",$AX$10:$AX$16)),0,""))</f>
        <v/>
      </c>
      <c r="Y247" s="369" t="str">
        <f ca="1">IF($B247&lt;&gt;"PRC_RESID","",IF(Y$7=2005+OFFSET(COM_2012!$B$60,$AW247,SUMIF($B$10:$B$16,"NCAP_TLIFE",$AX$10:$AX$16)),0,""))</f>
        <v/>
      </c>
      <c r="Z247" s="369" t="str">
        <f ca="1">IF($B247&lt;&gt;"PRC_RESID","",IF(Z$7=2005+OFFSET(COM_2012!$B$60,$AW247,SUMIF($B$10:$B$16,"NCAP_TLIFE",$AX$10:$AX$16)),0,""))</f>
        <v/>
      </c>
      <c r="AA247" s="369" t="str">
        <f ca="1">IF($B247&lt;&gt;"PRC_RESID","",IF(AA$7=2005+OFFSET(COM_2012!$B$60,$AW247,SUMIF($B$10:$B$16,"NCAP_TLIFE",$AX$10:$AX$16)),0,""))</f>
        <v/>
      </c>
      <c r="AB247" s="369" t="str">
        <f ca="1">IF($B247&lt;&gt;"PRC_RESID","",IF(AB$7=2005+OFFSET(COM_2012!$B$60,$AW247,SUMIF($B$10:$B$16,"NCAP_TLIFE",$AX$10:$AX$16)),0,""))</f>
        <v/>
      </c>
      <c r="AC247" s="369" t="str">
        <f ca="1">IF($B247&lt;&gt;"PRC_RESID","",IF(AC$7=2005+OFFSET(COM_2012!$B$60,$AW247,SUMIF($B$10:$B$16,"NCAP_TLIFE",$AX$10:$AX$16)),0,""))</f>
        <v/>
      </c>
      <c r="AD247" s="369" t="str">
        <f ca="1">IF($B247&lt;&gt;"PRC_RESID","",IF(AD$7=2005+OFFSET(COM_2012!$B$60,$AW247,SUMIF($B$10:$B$16,"NCAP_TLIFE",$AX$10:$AX$16)),0,""))</f>
        <v/>
      </c>
      <c r="AE247" s="369" t="str">
        <f ca="1">IF($B247&lt;&gt;"PRC_RESID","",IF(AE$7=2005+OFFSET(COM_2012!$B$60,$AW247,SUMIF($B$10:$B$16,"NCAP_TLIFE",$AX$10:$AX$16)),0,""))</f>
        <v/>
      </c>
      <c r="AF247" s="369" t="str">
        <f ca="1">IF($B247&lt;&gt;"PRC_RESID","",IF(AF$7=2005+OFFSET(COM_2012!$B$60,$AW247,SUMIF($B$10:$B$16,"NCAP_TLIFE",$AX$10:$AX$16)),0,""))</f>
        <v/>
      </c>
      <c r="AG247" s="369" t="str">
        <f ca="1">IF($B247&lt;&gt;"PRC_RESID","",IF(AG$7=2005+OFFSET(COM_2012!$B$60,$AW247,SUMIF($B$10:$B$16,"NCAP_TLIFE",$AX$10:$AX$16)),0,""))</f>
        <v/>
      </c>
      <c r="AH247" s="369" t="str">
        <f ca="1">IF($B247&lt;&gt;"PRC_RESID","",IF(AH$7=2005+OFFSET(COM_2012!$B$60,$AW247,SUMIF($B$10:$B$16,"NCAP_TLIFE",$AX$10:$AX$16)),0,""))</f>
        <v/>
      </c>
      <c r="AI247" s="369" t="str">
        <f ca="1">IF($B247&lt;&gt;"PRC_RESID","",IF(AI$7=2005+OFFSET(COM_2012!$B$60,$AW247,SUMIF($B$10:$B$16,"NCAP_TLIFE",$AX$10:$AX$16)),0,""))</f>
        <v/>
      </c>
      <c r="AJ247" s="369" t="str">
        <f ca="1">IF($B247&lt;&gt;"PRC_RESID","",IF(AJ$7=2005+OFFSET(COM_2012!$B$60,$AW247,SUMIF($B$10:$B$16,"NCAP_TLIFE",$AX$10:$AX$16)),0,""))</f>
        <v/>
      </c>
      <c r="AK247" s="369" t="str">
        <f ca="1">IF($B247&lt;&gt;"PRC_RESID","",IF(AK$7=2005+OFFSET(COM_2012!$B$60,$AW247,SUMIF($B$10:$B$16,"NCAP_TLIFE",$AX$10:$AX$16)),0,""))</f>
        <v/>
      </c>
      <c r="AL247" s="369" t="str">
        <f ca="1">IF($B247&lt;&gt;"PRC_RESID","",IF(AL$7=2005+OFFSET(COM_2012!$B$60,$AW247,SUMIF($B$10:$B$16,"NCAP_TLIFE",$AX$10:$AX$16)),0,""))</f>
        <v/>
      </c>
      <c r="AM247" s="369" t="str">
        <f ca="1">IF($B247&lt;&gt;"PRC_RESID","",IF(AM$7=2005+OFFSET(COM_2012!$B$60,$AW247,SUMIF($B$10:$B$16,"NCAP_TLIFE",$AX$10:$AX$16)),0,""))</f>
        <v/>
      </c>
      <c r="AN247" s="369" t="str">
        <f ca="1">IF($B247&lt;&gt;"PRC_RESID","",IF(AN$7=2005+OFFSET(COM_2012!$B$60,$AW247,SUMIF($B$10:$B$16,"NCAP_TLIFE",$AX$10:$AX$16)),0,""))</f>
        <v/>
      </c>
      <c r="AO247" s="369" t="str">
        <f ca="1">IF($B247&lt;&gt;"PRC_RESID","",IF(AO$7=2005+OFFSET(COM_2012!$B$60,$AW247,SUMIF($B$10:$B$16,"NCAP_TLIFE",$AX$10:$AX$16)),0,""))</f>
        <v/>
      </c>
      <c r="AP247" s="369" t="str">
        <f ca="1">IF($B247&lt;&gt;"PRC_RESID","",IF(AP$7=2005+OFFSET(COM_2012!$B$60,$AW247,SUMIF($B$10:$B$16,"NCAP_TLIFE",$AX$10:$AX$16)),0,""))</f>
        <v/>
      </c>
      <c r="AQ247" s="369" t="str">
        <f ca="1">IF($B247&lt;&gt;"PRC_RESID","",IF(AQ$7=2005+OFFSET(COM_2012!$B$60,$AW247,SUMIF($B$10:$B$16,"NCAP_TLIFE",$AX$10:$AX$16)),0,""))</f>
        <v/>
      </c>
      <c r="AR247" s="369" t="str">
        <f ca="1">IF($B247&lt;&gt;"PRC_RESID","",IF(AR$7=2005+OFFSET(COM_2012!$B$60,$AW247,SUMIF($B$10:$B$16,"NCAP_TLIFE",$AX$10:$AX$16)),0,""))</f>
        <v/>
      </c>
      <c r="AS247" s="369" t="str">
        <f ca="1">IF($B247&lt;&gt;"PRC_RESID","",IF(AS$7=2005+OFFSET(COM_2012!$B$60,$AW247,SUMIF($B$10:$B$16,"NCAP_TLIFE",$AX$10:$AX$16)),0,""))</f>
        <v/>
      </c>
      <c r="AT247" s="369" t="str">
        <f ca="1">IF($B247&lt;&gt;"PRC_RESID","",IF(AT$7=2005+OFFSET(COM_2012!$B$60,$AW247,SUMIF($B$10:$B$16,"NCAP_TLIFE",$AX$10:$AX$16)),0,""))</f>
        <v/>
      </c>
      <c r="AU247" s="369" t="str">
        <f ca="1">IF($B247&lt;&gt;"PRC_RESID","",IF(AU$7=2005+OFFSET(COM_2012!$B$60,$AW247,SUMIF($B$10:$B$16,"NCAP_TLIFE",$AX$10:$AX$16)),0,""))</f>
        <v/>
      </c>
      <c r="AV247" s="304">
        <f>IF(AW246=COM_2012!$AI$121,AV246+1,AV246)</f>
        <v>4</v>
      </c>
      <c r="AW247" s="304">
        <f t="shared" si="23"/>
        <v>37</v>
      </c>
    </row>
    <row r="248" spans="1:49">
      <c r="A248" s="304" t="str">
        <f ca="1">IF(LEFT(OFFSET(COM_2012!$A$60,AW248,0),2)="\I","*","")</f>
        <v/>
      </c>
      <c r="B248" s="369" t="str">
        <f t="shared" ca="1" si="22"/>
        <v>NCAP_COST</v>
      </c>
      <c r="C248" s="369" t="str">
        <f ca="1">IF($A248="*","",OFFSET(COM_2012!$B$60,AW248,0))</f>
        <v>CEWELC-N</v>
      </c>
      <c r="D248" s="369" t="str">
        <f t="shared" ca="1" si="25"/>
        <v>-</v>
      </c>
      <c r="E248" s="369" t="str">
        <f t="shared" ca="1" si="25"/>
        <v>-</v>
      </c>
      <c r="F248" s="369" t="str">
        <f t="shared" ca="1" si="25"/>
        <v>-</v>
      </c>
      <c r="G248" s="369" t="str">
        <f t="shared" ca="1" si="25"/>
        <v>-</v>
      </c>
      <c r="H248" s="369" t="str">
        <f t="shared" ca="1" si="25"/>
        <v>-</v>
      </c>
      <c r="I248" s="370">
        <f t="shared" ca="1" si="25"/>
        <v>0</v>
      </c>
      <c r="J248" s="391">
        <f ca="1">IF($A248="*","",OFFSET(COM_2012!$B$60,AW248,SUMIF($B$10:$B$16,B248,$AX$10:$AX$16)))</f>
        <v>31.581453839889381</v>
      </c>
      <c r="K248" s="369" t="str">
        <f ca="1">IF($B248&lt;&gt;"PRC_RESID","",IF(K$7=2005+OFFSET(COM_2012!$B$60,$AW248,SUMIF($B$10:$B$16,"NCAP_TLIFE",$AX$10:$AX$16)),0,""))</f>
        <v/>
      </c>
      <c r="L248" s="369" t="str">
        <f ca="1">IF($B248&lt;&gt;"PRC_RESID","",IF(L$7=2005+OFFSET(COM_2012!$B$60,$AW248,SUMIF($B$10:$B$16,"NCAP_TLIFE",$AX$10:$AX$16)),0,""))</f>
        <v/>
      </c>
      <c r="M248" s="369" t="str">
        <f ca="1">IF($B248&lt;&gt;"PRC_RESID","",IF(M$7=2005+OFFSET(COM_2012!$B$60,$AW248,SUMIF($B$10:$B$16,"NCAP_TLIFE",$AX$10:$AX$16)),0,""))</f>
        <v/>
      </c>
      <c r="N248" s="369" t="str">
        <f ca="1">IF($B248&lt;&gt;"PRC_RESID","",IF(N$7=2005+OFFSET(COM_2012!$B$60,$AW248,SUMIF($B$10:$B$16,"NCAP_TLIFE",$AX$10:$AX$16)),0,""))</f>
        <v/>
      </c>
      <c r="O248" s="658" t="str">
        <f ca="1">IF($B248&lt;&gt;"PRC_RESID","",IF(O$7=2005+OFFSET(COM_2012!$B$60,$AW248,SUMIF($B$10:$B$16,"NCAP_TLIFE",$AX$10:$AX$16)),0,""))</f>
        <v/>
      </c>
      <c r="P248" s="369" t="str">
        <f ca="1">IF($B248&lt;&gt;"PRC_RESID","",IF(P$7=2005+OFFSET(COM_2012!$B$60,$AW248,SUMIF($B$10:$B$16,"NCAP_TLIFE",$AX$10:$AX$16)),0,""))</f>
        <v/>
      </c>
      <c r="Q248" s="369" t="str">
        <f ca="1">IF($B248&lt;&gt;"PRC_RESID","",IF(Q$7=2005+OFFSET(COM_2012!$B$60,$AW248,SUMIF($B$10:$B$16,"NCAP_TLIFE",$AX$10:$AX$16)),0,""))</f>
        <v/>
      </c>
      <c r="R248" s="369" t="str">
        <f ca="1">IF($B248&lt;&gt;"PRC_RESID","",IF(R$7=2005+OFFSET(COM_2012!$B$60,$AW248,SUMIF($B$10:$B$16,"NCAP_TLIFE",$AX$10:$AX$16)),0,""))</f>
        <v/>
      </c>
      <c r="S248" s="369" t="str">
        <f ca="1">IF($B248&lt;&gt;"PRC_RESID","",IF(S$7=2005+OFFSET(COM_2012!$B$60,$AW248,SUMIF($B$10:$B$16,"NCAP_TLIFE",$AX$10:$AX$16)),0,""))</f>
        <v/>
      </c>
      <c r="T248" s="369" t="str">
        <f ca="1">IF($B248&lt;&gt;"PRC_RESID","",IF(T$7=2005+OFFSET(COM_2012!$B$60,$AW248,SUMIF($B$10:$B$16,"NCAP_TLIFE",$AX$10:$AX$16)),0,""))</f>
        <v/>
      </c>
      <c r="U248" s="369" t="str">
        <f ca="1">IF($B248&lt;&gt;"PRC_RESID","",IF(U$7=2005+OFFSET(COM_2012!$B$60,$AW248,SUMIF($B$10:$B$16,"NCAP_TLIFE",$AX$10:$AX$16)),0,""))</f>
        <v/>
      </c>
      <c r="V248" s="369" t="str">
        <f ca="1">IF($B248&lt;&gt;"PRC_RESID","",IF(V$7=2005+OFFSET(COM_2012!$B$60,$AW248,SUMIF($B$10:$B$16,"NCAP_TLIFE",$AX$10:$AX$16)),0,""))</f>
        <v/>
      </c>
      <c r="W248" s="369" t="str">
        <f ca="1">IF($B248&lt;&gt;"PRC_RESID","",IF(W$7=2005+OFFSET(COM_2012!$B$60,$AW248,SUMIF($B$10:$B$16,"NCAP_TLIFE",$AX$10:$AX$16)),0,""))</f>
        <v/>
      </c>
      <c r="X248" s="369" t="str">
        <f ca="1">IF($B248&lt;&gt;"PRC_RESID","",IF(X$7=2005+OFFSET(COM_2012!$B$60,$AW248,SUMIF($B$10:$B$16,"NCAP_TLIFE",$AX$10:$AX$16)),0,""))</f>
        <v/>
      </c>
      <c r="Y248" s="369" t="str">
        <f ca="1">IF($B248&lt;&gt;"PRC_RESID","",IF(Y$7=2005+OFFSET(COM_2012!$B$60,$AW248,SUMIF($B$10:$B$16,"NCAP_TLIFE",$AX$10:$AX$16)),0,""))</f>
        <v/>
      </c>
      <c r="Z248" s="369" t="str">
        <f ca="1">IF($B248&lt;&gt;"PRC_RESID","",IF(Z$7=2005+OFFSET(COM_2012!$B$60,$AW248,SUMIF($B$10:$B$16,"NCAP_TLIFE",$AX$10:$AX$16)),0,""))</f>
        <v/>
      </c>
      <c r="AA248" s="369" t="str">
        <f ca="1">IF($B248&lt;&gt;"PRC_RESID","",IF(AA$7=2005+OFFSET(COM_2012!$B$60,$AW248,SUMIF($B$10:$B$16,"NCAP_TLIFE",$AX$10:$AX$16)),0,""))</f>
        <v/>
      </c>
      <c r="AB248" s="369" t="str">
        <f ca="1">IF($B248&lt;&gt;"PRC_RESID","",IF(AB$7=2005+OFFSET(COM_2012!$B$60,$AW248,SUMIF($B$10:$B$16,"NCAP_TLIFE",$AX$10:$AX$16)),0,""))</f>
        <v/>
      </c>
      <c r="AC248" s="369" t="str">
        <f ca="1">IF($B248&lt;&gt;"PRC_RESID","",IF(AC$7=2005+OFFSET(COM_2012!$B$60,$AW248,SUMIF($B$10:$B$16,"NCAP_TLIFE",$AX$10:$AX$16)),0,""))</f>
        <v/>
      </c>
      <c r="AD248" s="369" t="str">
        <f ca="1">IF($B248&lt;&gt;"PRC_RESID","",IF(AD$7=2005+OFFSET(COM_2012!$B$60,$AW248,SUMIF($B$10:$B$16,"NCAP_TLIFE",$AX$10:$AX$16)),0,""))</f>
        <v/>
      </c>
      <c r="AE248" s="369" t="str">
        <f ca="1">IF($B248&lt;&gt;"PRC_RESID","",IF(AE$7=2005+OFFSET(COM_2012!$B$60,$AW248,SUMIF($B$10:$B$16,"NCAP_TLIFE",$AX$10:$AX$16)),0,""))</f>
        <v/>
      </c>
      <c r="AF248" s="369" t="str">
        <f ca="1">IF($B248&lt;&gt;"PRC_RESID","",IF(AF$7=2005+OFFSET(COM_2012!$B$60,$AW248,SUMIF($B$10:$B$16,"NCAP_TLIFE",$AX$10:$AX$16)),0,""))</f>
        <v/>
      </c>
      <c r="AG248" s="369" t="str">
        <f ca="1">IF($B248&lt;&gt;"PRC_RESID","",IF(AG$7=2005+OFFSET(COM_2012!$B$60,$AW248,SUMIF($B$10:$B$16,"NCAP_TLIFE",$AX$10:$AX$16)),0,""))</f>
        <v/>
      </c>
      <c r="AH248" s="369" t="str">
        <f ca="1">IF($B248&lt;&gt;"PRC_RESID","",IF(AH$7=2005+OFFSET(COM_2012!$B$60,$AW248,SUMIF($B$10:$B$16,"NCAP_TLIFE",$AX$10:$AX$16)),0,""))</f>
        <v/>
      </c>
      <c r="AI248" s="369" t="str">
        <f ca="1">IF($B248&lt;&gt;"PRC_RESID","",IF(AI$7=2005+OFFSET(COM_2012!$B$60,$AW248,SUMIF($B$10:$B$16,"NCAP_TLIFE",$AX$10:$AX$16)),0,""))</f>
        <v/>
      </c>
      <c r="AJ248" s="369" t="str">
        <f ca="1">IF($B248&lt;&gt;"PRC_RESID","",IF(AJ$7=2005+OFFSET(COM_2012!$B$60,$AW248,SUMIF($B$10:$B$16,"NCAP_TLIFE",$AX$10:$AX$16)),0,""))</f>
        <v/>
      </c>
      <c r="AK248" s="369" t="str">
        <f ca="1">IF($B248&lt;&gt;"PRC_RESID","",IF(AK$7=2005+OFFSET(COM_2012!$B$60,$AW248,SUMIF($B$10:$B$16,"NCAP_TLIFE",$AX$10:$AX$16)),0,""))</f>
        <v/>
      </c>
      <c r="AL248" s="369" t="str">
        <f ca="1">IF($B248&lt;&gt;"PRC_RESID","",IF(AL$7=2005+OFFSET(COM_2012!$B$60,$AW248,SUMIF($B$10:$B$16,"NCAP_TLIFE",$AX$10:$AX$16)),0,""))</f>
        <v/>
      </c>
      <c r="AM248" s="369" t="str">
        <f ca="1">IF($B248&lt;&gt;"PRC_RESID","",IF(AM$7=2005+OFFSET(COM_2012!$B$60,$AW248,SUMIF($B$10:$B$16,"NCAP_TLIFE",$AX$10:$AX$16)),0,""))</f>
        <v/>
      </c>
      <c r="AN248" s="369" t="str">
        <f ca="1">IF($B248&lt;&gt;"PRC_RESID","",IF(AN$7=2005+OFFSET(COM_2012!$B$60,$AW248,SUMIF($B$10:$B$16,"NCAP_TLIFE",$AX$10:$AX$16)),0,""))</f>
        <v/>
      </c>
      <c r="AO248" s="369" t="str">
        <f ca="1">IF($B248&lt;&gt;"PRC_RESID","",IF(AO$7=2005+OFFSET(COM_2012!$B$60,$AW248,SUMIF($B$10:$B$16,"NCAP_TLIFE",$AX$10:$AX$16)),0,""))</f>
        <v/>
      </c>
      <c r="AP248" s="369" t="str">
        <f ca="1">IF($B248&lt;&gt;"PRC_RESID","",IF(AP$7=2005+OFFSET(COM_2012!$B$60,$AW248,SUMIF($B$10:$B$16,"NCAP_TLIFE",$AX$10:$AX$16)),0,""))</f>
        <v/>
      </c>
      <c r="AQ248" s="369" t="str">
        <f ca="1">IF($B248&lt;&gt;"PRC_RESID","",IF(AQ$7=2005+OFFSET(COM_2012!$B$60,$AW248,SUMIF($B$10:$B$16,"NCAP_TLIFE",$AX$10:$AX$16)),0,""))</f>
        <v/>
      </c>
      <c r="AR248" s="369" t="str">
        <f ca="1">IF($B248&lt;&gt;"PRC_RESID","",IF(AR$7=2005+OFFSET(COM_2012!$B$60,$AW248,SUMIF($B$10:$B$16,"NCAP_TLIFE",$AX$10:$AX$16)),0,""))</f>
        <v/>
      </c>
      <c r="AS248" s="369" t="str">
        <f ca="1">IF($B248&lt;&gt;"PRC_RESID","",IF(AS$7=2005+OFFSET(COM_2012!$B$60,$AW248,SUMIF($B$10:$B$16,"NCAP_TLIFE",$AX$10:$AX$16)),0,""))</f>
        <v/>
      </c>
      <c r="AT248" s="369" t="str">
        <f ca="1">IF($B248&lt;&gt;"PRC_RESID","",IF(AT$7=2005+OFFSET(COM_2012!$B$60,$AW248,SUMIF($B$10:$B$16,"NCAP_TLIFE",$AX$10:$AX$16)),0,""))</f>
        <v/>
      </c>
      <c r="AU248" s="369" t="str">
        <f ca="1">IF($B248&lt;&gt;"PRC_RESID","",IF(AU$7=2005+OFFSET(COM_2012!$B$60,$AW248,SUMIF($B$10:$B$16,"NCAP_TLIFE",$AX$10:$AX$16)),0,""))</f>
        <v/>
      </c>
      <c r="AV248" s="304">
        <f>IF(AW247=COM_2012!$AI$121,AV247+1,AV247)</f>
        <v>4</v>
      </c>
      <c r="AW248" s="304">
        <f t="shared" si="23"/>
        <v>38</v>
      </c>
    </row>
    <row r="249" spans="1:49">
      <c r="A249" s="304" t="str">
        <f ca="1">IF(LEFT(OFFSET(COM_2012!$A$60,AW249,0),2)="\I","*","")</f>
        <v/>
      </c>
      <c r="B249" s="369" t="str">
        <f t="shared" ca="1" si="22"/>
        <v>NCAP_COST</v>
      </c>
      <c r="C249" s="369" t="str">
        <f ca="1">IF($A249="*","",OFFSET(COM_2012!$B$60,AW249,0))</f>
        <v>CEWELCHP-N</v>
      </c>
      <c r="D249" s="369" t="str">
        <f t="shared" ca="1" si="25"/>
        <v>-</v>
      </c>
      <c r="E249" s="369" t="str">
        <f t="shared" ca="1" si="25"/>
        <v>-</v>
      </c>
      <c r="F249" s="369" t="str">
        <f t="shared" ca="1" si="25"/>
        <v>-</v>
      </c>
      <c r="G249" s="369" t="str">
        <f t="shared" ca="1" si="25"/>
        <v>-</v>
      </c>
      <c r="H249" s="369" t="str">
        <f t="shared" ca="1" si="25"/>
        <v>-</v>
      </c>
      <c r="I249" s="370">
        <f t="shared" ca="1" si="25"/>
        <v>0</v>
      </c>
      <c r="J249" s="391">
        <f ca="1">IF($A249="*","",OFFSET(COM_2012!$B$60,AW249,SUMIF($B$10:$B$16,B249,$AX$10:$AX$16)))</f>
        <v>94.744361519668146</v>
      </c>
      <c r="K249" s="369" t="str">
        <f ca="1">IF($B249&lt;&gt;"PRC_RESID","",IF(K$7=2005+OFFSET(COM_2012!$B$60,$AW249,SUMIF($B$10:$B$16,"NCAP_TLIFE",$AX$10:$AX$16)),0,""))</f>
        <v/>
      </c>
      <c r="L249" s="369" t="str">
        <f ca="1">IF($B249&lt;&gt;"PRC_RESID","",IF(L$7=2005+OFFSET(COM_2012!$B$60,$AW249,SUMIF($B$10:$B$16,"NCAP_TLIFE",$AX$10:$AX$16)),0,""))</f>
        <v/>
      </c>
      <c r="M249" s="369" t="str">
        <f ca="1">IF($B249&lt;&gt;"PRC_RESID","",IF(M$7=2005+OFFSET(COM_2012!$B$60,$AW249,SUMIF($B$10:$B$16,"NCAP_TLIFE",$AX$10:$AX$16)),0,""))</f>
        <v/>
      </c>
      <c r="N249" s="369" t="str">
        <f ca="1">IF($B249&lt;&gt;"PRC_RESID","",IF(N$7=2005+OFFSET(COM_2012!$B$60,$AW249,SUMIF($B$10:$B$16,"NCAP_TLIFE",$AX$10:$AX$16)),0,""))</f>
        <v/>
      </c>
      <c r="O249" s="658" t="str">
        <f ca="1">IF($B249&lt;&gt;"PRC_RESID","",IF(O$7=2005+OFFSET(COM_2012!$B$60,$AW249,SUMIF($B$10:$B$16,"NCAP_TLIFE",$AX$10:$AX$16)),0,""))</f>
        <v/>
      </c>
      <c r="P249" s="369" t="str">
        <f ca="1">IF($B249&lt;&gt;"PRC_RESID","",IF(P$7=2005+OFFSET(COM_2012!$B$60,$AW249,SUMIF($B$10:$B$16,"NCAP_TLIFE",$AX$10:$AX$16)),0,""))</f>
        <v/>
      </c>
      <c r="Q249" s="369" t="str">
        <f ca="1">IF($B249&lt;&gt;"PRC_RESID","",IF(Q$7=2005+OFFSET(COM_2012!$B$60,$AW249,SUMIF($B$10:$B$16,"NCAP_TLIFE",$AX$10:$AX$16)),0,""))</f>
        <v/>
      </c>
      <c r="R249" s="369" t="str">
        <f ca="1">IF($B249&lt;&gt;"PRC_RESID","",IF(R$7=2005+OFFSET(COM_2012!$B$60,$AW249,SUMIF($B$10:$B$16,"NCAP_TLIFE",$AX$10:$AX$16)),0,""))</f>
        <v/>
      </c>
      <c r="S249" s="369" t="str">
        <f ca="1">IF($B249&lt;&gt;"PRC_RESID","",IF(S$7=2005+OFFSET(COM_2012!$B$60,$AW249,SUMIF($B$10:$B$16,"NCAP_TLIFE",$AX$10:$AX$16)),0,""))</f>
        <v/>
      </c>
      <c r="T249" s="369" t="str">
        <f ca="1">IF($B249&lt;&gt;"PRC_RESID","",IF(T$7=2005+OFFSET(COM_2012!$B$60,$AW249,SUMIF($B$10:$B$16,"NCAP_TLIFE",$AX$10:$AX$16)),0,""))</f>
        <v/>
      </c>
      <c r="U249" s="369" t="str">
        <f ca="1">IF($B249&lt;&gt;"PRC_RESID","",IF(U$7=2005+OFFSET(COM_2012!$B$60,$AW249,SUMIF($B$10:$B$16,"NCAP_TLIFE",$AX$10:$AX$16)),0,""))</f>
        <v/>
      </c>
      <c r="V249" s="369" t="str">
        <f ca="1">IF($B249&lt;&gt;"PRC_RESID","",IF(V$7=2005+OFFSET(COM_2012!$B$60,$AW249,SUMIF($B$10:$B$16,"NCAP_TLIFE",$AX$10:$AX$16)),0,""))</f>
        <v/>
      </c>
      <c r="W249" s="369" t="str">
        <f ca="1">IF($B249&lt;&gt;"PRC_RESID","",IF(W$7=2005+OFFSET(COM_2012!$B$60,$AW249,SUMIF($B$10:$B$16,"NCAP_TLIFE",$AX$10:$AX$16)),0,""))</f>
        <v/>
      </c>
      <c r="X249" s="369" t="str">
        <f ca="1">IF($B249&lt;&gt;"PRC_RESID","",IF(X$7=2005+OFFSET(COM_2012!$B$60,$AW249,SUMIF($B$10:$B$16,"NCAP_TLIFE",$AX$10:$AX$16)),0,""))</f>
        <v/>
      </c>
      <c r="Y249" s="369" t="str">
        <f ca="1">IF($B249&lt;&gt;"PRC_RESID","",IF(Y$7=2005+OFFSET(COM_2012!$B$60,$AW249,SUMIF($B$10:$B$16,"NCAP_TLIFE",$AX$10:$AX$16)),0,""))</f>
        <v/>
      </c>
      <c r="Z249" s="369" t="str">
        <f ca="1">IF($B249&lt;&gt;"PRC_RESID","",IF(Z$7=2005+OFFSET(COM_2012!$B$60,$AW249,SUMIF($B$10:$B$16,"NCAP_TLIFE",$AX$10:$AX$16)),0,""))</f>
        <v/>
      </c>
      <c r="AA249" s="369" t="str">
        <f ca="1">IF($B249&lt;&gt;"PRC_RESID","",IF(AA$7=2005+OFFSET(COM_2012!$B$60,$AW249,SUMIF($B$10:$B$16,"NCAP_TLIFE",$AX$10:$AX$16)),0,""))</f>
        <v/>
      </c>
      <c r="AB249" s="369" t="str">
        <f ca="1">IF($B249&lt;&gt;"PRC_RESID","",IF(AB$7=2005+OFFSET(COM_2012!$B$60,$AW249,SUMIF($B$10:$B$16,"NCAP_TLIFE",$AX$10:$AX$16)),0,""))</f>
        <v/>
      </c>
      <c r="AC249" s="369" t="str">
        <f ca="1">IF($B249&lt;&gt;"PRC_RESID","",IF(AC$7=2005+OFFSET(COM_2012!$B$60,$AW249,SUMIF($B$10:$B$16,"NCAP_TLIFE",$AX$10:$AX$16)),0,""))</f>
        <v/>
      </c>
      <c r="AD249" s="369" t="str">
        <f ca="1">IF($B249&lt;&gt;"PRC_RESID","",IF(AD$7=2005+OFFSET(COM_2012!$B$60,$AW249,SUMIF($B$10:$B$16,"NCAP_TLIFE",$AX$10:$AX$16)),0,""))</f>
        <v/>
      </c>
      <c r="AE249" s="369" t="str">
        <f ca="1">IF($B249&lt;&gt;"PRC_RESID","",IF(AE$7=2005+OFFSET(COM_2012!$B$60,$AW249,SUMIF($B$10:$B$16,"NCAP_TLIFE",$AX$10:$AX$16)),0,""))</f>
        <v/>
      </c>
      <c r="AF249" s="369" t="str">
        <f ca="1">IF($B249&lt;&gt;"PRC_RESID","",IF(AF$7=2005+OFFSET(COM_2012!$B$60,$AW249,SUMIF($B$10:$B$16,"NCAP_TLIFE",$AX$10:$AX$16)),0,""))</f>
        <v/>
      </c>
      <c r="AG249" s="369" t="str">
        <f ca="1">IF($B249&lt;&gt;"PRC_RESID","",IF(AG$7=2005+OFFSET(COM_2012!$B$60,$AW249,SUMIF($B$10:$B$16,"NCAP_TLIFE",$AX$10:$AX$16)),0,""))</f>
        <v/>
      </c>
      <c r="AH249" s="369" t="str">
        <f ca="1">IF($B249&lt;&gt;"PRC_RESID","",IF(AH$7=2005+OFFSET(COM_2012!$B$60,$AW249,SUMIF($B$10:$B$16,"NCAP_TLIFE",$AX$10:$AX$16)),0,""))</f>
        <v/>
      </c>
      <c r="AI249" s="369" t="str">
        <f ca="1">IF($B249&lt;&gt;"PRC_RESID","",IF(AI$7=2005+OFFSET(COM_2012!$B$60,$AW249,SUMIF($B$10:$B$16,"NCAP_TLIFE",$AX$10:$AX$16)),0,""))</f>
        <v/>
      </c>
      <c r="AJ249" s="369" t="str">
        <f ca="1">IF($B249&lt;&gt;"PRC_RESID","",IF(AJ$7=2005+OFFSET(COM_2012!$B$60,$AW249,SUMIF($B$10:$B$16,"NCAP_TLIFE",$AX$10:$AX$16)),0,""))</f>
        <v/>
      </c>
      <c r="AK249" s="369" t="str">
        <f ca="1">IF($B249&lt;&gt;"PRC_RESID","",IF(AK$7=2005+OFFSET(COM_2012!$B$60,$AW249,SUMIF($B$10:$B$16,"NCAP_TLIFE",$AX$10:$AX$16)),0,""))</f>
        <v/>
      </c>
      <c r="AL249" s="369" t="str">
        <f ca="1">IF($B249&lt;&gt;"PRC_RESID","",IF(AL$7=2005+OFFSET(COM_2012!$B$60,$AW249,SUMIF($B$10:$B$16,"NCAP_TLIFE",$AX$10:$AX$16)),0,""))</f>
        <v/>
      </c>
      <c r="AM249" s="369" t="str">
        <f ca="1">IF($B249&lt;&gt;"PRC_RESID","",IF(AM$7=2005+OFFSET(COM_2012!$B$60,$AW249,SUMIF($B$10:$B$16,"NCAP_TLIFE",$AX$10:$AX$16)),0,""))</f>
        <v/>
      </c>
      <c r="AN249" s="369" t="str">
        <f ca="1">IF($B249&lt;&gt;"PRC_RESID","",IF(AN$7=2005+OFFSET(COM_2012!$B$60,$AW249,SUMIF($B$10:$B$16,"NCAP_TLIFE",$AX$10:$AX$16)),0,""))</f>
        <v/>
      </c>
      <c r="AO249" s="369" t="str">
        <f ca="1">IF($B249&lt;&gt;"PRC_RESID","",IF(AO$7=2005+OFFSET(COM_2012!$B$60,$AW249,SUMIF($B$10:$B$16,"NCAP_TLIFE",$AX$10:$AX$16)),0,""))</f>
        <v/>
      </c>
      <c r="AP249" s="369" t="str">
        <f ca="1">IF($B249&lt;&gt;"PRC_RESID","",IF(AP$7=2005+OFFSET(COM_2012!$B$60,$AW249,SUMIF($B$10:$B$16,"NCAP_TLIFE",$AX$10:$AX$16)),0,""))</f>
        <v/>
      </c>
      <c r="AQ249" s="369" t="str">
        <f ca="1">IF($B249&lt;&gt;"PRC_RESID","",IF(AQ$7=2005+OFFSET(COM_2012!$B$60,$AW249,SUMIF($B$10:$B$16,"NCAP_TLIFE",$AX$10:$AX$16)),0,""))</f>
        <v/>
      </c>
      <c r="AR249" s="369" t="str">
        <f ca="1">IF($B249&lt;&gt;"PRC_RESID","",IF(AR$7=2005+OFFSET(COM_2012!$B$60,$AW249,SUMIF($B$10:$B$16,"NCAP_TLIFE",$AX$10:$AX$16)),0,""))</f>
        <v/>
      </c>
      <c r="AS249" s="369" t="str">
        <f ca="1">IF($B249&lt;&gt;"PRC_RESID","",IF(AS$7=2005+OFFSET(COM_2012!$B$60,$AW249,SUMIF($B$10:$B$16,"NCAP_TLIFE",$AX$10:$AX$16)),0,""))</f>
        <v/>
      </c>
      <c r="AT249" s="369" t="str">
        <f ca="1">IF($B249&lt;&gt;"PRC_RESID","",IF(AT$7=2005+OFFSET(COM_2012!$B$60,$AW249,SUMIF($B$10:$B$16,"NCAP_TLIFE",$AX$10:$AX$16)),0,""))</f>
        <v/>
      </c>
      <c r="AU249" s="369" t="str">
        <f ca="1">IF($B249&lt;&gt;"PRC_RESID","",IF(AU$7=2005+OFFSET(COM_2012!$B$60,$AW249,SUMIF($B$10:$B$16,"NCAP_TLIFE",$AX$10:$AX$16)),0,""))</f>
        <v/>
      </c>
      <c r="AV249" s="304">
        <f>IF(AW248=COM_2012!$AI$121,AV248+1,AV248)</f>
        <v>4</v>
      </c>
      <c r="AW249" s="304">
        <f t="shared" si="23"/>
        <v>39</v>
      </c>
    </row>
    <row r="250" spans="1:49">
      <c r="A250" s="304" t="str">
        <f ca="1">IF(LEFT(OFFSET(COM_2012!$A$60,AW250,0),2)="\I","*","")</f>
        <v>*</v>
      </c>
      <c r="B250" s="369" t="str">
        <f t="shared" ca="1" si="22"/>
        <v/>
      </c>
      <c r="C250" s="369" t="str">
        <f ca="1">IF($A250="*","",OFFSET(COM_2012!$B$60,AW250,0))</f>
        <v/>
      </c>
      <c r="D250" s="369" t="str">
        <f t="shared" ca="1" si="25"/>
        <v/>
      </c>
      <c r="E250" s="369" t="str">
        <f t="shared" ca="1" si="25"/>
        <v/>
      </c>
      <c r="F250" s="369" t="str">
        <f t="shared" ca="1" si="25"/>
        <v/>
      </c>
      <c r="G250" s="369" t="str">
        <f t="shared" ca="1" si="25"/>
        <v/>
      </c>
      <c r="H250" s="369" t="str">
        <f t="shared" ca="1" si="25"/>
        <v/>
      </c>
      <c r="I250" s="370" t="str">
        <f t="shared" ca="1" si="25"/>
        <v/>
      </c>
      <c r="J250" s="391" t="str">
        <f ca="1">IF($A250="*","",OFFSET(COM_2012!$B$60,AW250,SUMIF($B$10:$B$16,B250,$AX$10:$AX$16)))</f>
        <v/>
      </c>
      <c r="K250" s="369" t="str">
        <f ca="1">IF($B250&lt;&gt;"PRC_RESID","",IF(K$7=2005+OFFSET(COM_2012!$B$60,$AW250,SUMIF($B$10:$B$16,"NCAP_TLIFE",$AX$10:$AX$16)),0,""))</f>
        <v/>
      </c>
      <c r="L250" s="369" t="str">
        <f ca="1">IF($B250&lt;&gt;"PRC_RESID","",IF(L$7=2005+OFFSET(COM_2012!$B$60,$AW250,SUMIF($B$10:$B$16,"NCAP_TLIFE",$AX$10:$AX$16)),0,""))</f>
        <v/>
      </c>
      <c r="M250" s="369" t="str">
        <f ca="1">IF($B250&lt;&gt;"PRC_RESID","",IF(M$7=2005+OFFSET(COM_2012!$B$60,$AW250,SUMIF($B$10:$B$16,"NCAP_TLIFE",$AX$10:$AX$16)),0,""))</f>
        <v/>
      </c>
      <c r="N250" s="369" t="str">
        <f ca="1">IF($B250&lt;&gt;"PRC_RESID","",IF(N$7=2005+OFFSET(COM_2012!$B$60,$AW250,SUMIF($B$10:$B$16,"NCAP_TLIFE",$AX$10:$AX$16)),0,""))</f>
        <v/>
      </c>
      <c r="O250" s="658" t="str">
        <f ca="1">IF($B250&lt;&gt;"PRC_RESID","",IF(O$7=2005+OFFSET(COM_2012!$B$60,$AW250,SUMIF($B$10:$B$16,"NCAP_TLIFE",$AX$10:$AX$16)),0,""))</f>
        <v/>
      </c>
      <c r="P250" s="369" t="str">
        <f ca="1">IF($B250&lt;&gt;"PRC_RESID","",IF(P$7=2005+OFFSET(COM_2012!$B$60,$AW250,SUMIF($B$10:$B$16,"NCAP_TLIFE",$AX$10:$AX$16)),0,""))</f>
        <v/>
      </c>
      <c r="Q250" s="369" t="str">
        <f ca="1">IF($B250&lt;&gt;"PRC_RESID","",IF(Q$7=2005+OFFSET(COM_2012!$B$60,$AW250,SUMIF($B$10:$B$16,"NCAP_TLIFE",$AX$10:$AX$16)),0,""))</f>
        <v/>
      </c>
      <c r="R250" s="369" t="str">
        <f ca="1">IF($B250&lt;&gt;"PRC_RESID","",IF(R$7=2005+OFFSET(COM_2012!$B$60,$AW250,SUMIF($B$10:$B$16,"NCAP_TLIFE",$AX$10:$AX$16)),0,""))</f>
        <v/>
      </c>
      <c r="S250" s="369" t="str">
        <f ca="1">IF($B250&lt;&gt;"PRC_RESID","",IF(S$7=2005+OFFSET(COM_2012!$B$60,$AW250,SUMIF($B$10:$B$16,"NCAP_TLIFE",$AX$10:$AX$16)),0,""))</f>
        <v/>
      </c>
      <c r="T250" s="369" t="str">
        <f ca="1">IF($B250&lt;&gt;"PRC_RESID","",IF(T$7=2005+OFFSET(COM_2012!$B$60,$AW250,SUMIF($B$10:$B$16,"NCAP_TLIFE",$AX$10:$AX$16)),0,""))</f>
        <v/>
      </c>
      <c r="U250" s="369" t="str">
        <f ca="1">IF($B250&lt;&gt;"PRC_RESID","",IF(U$7=2005+OFFSET(COM_2012!$B$60,$AW250,SUMIF($B$10:$B$16,"NCAP_TLIFE",$AX$10:$AX$16)),0,""))</f>
        <v/>
      </c>
      <c r="V250" s="369" t="str">
        <f ca="1">IF($B250&lt;&gt;"PRC_RESID","",IF(V$7=2005+OFFSET(COM_2012!$B$60,$AW250,SUMIF($B$10:$B$16,"NCAP_TLIFE",$AX$10:$AX$16)),0,""))</f>
        <v/>
      </c>
      <c r="W250" s="369" t="str">
        <f ca="1">IF($B250&lt;&gt;"PRC_RESID","",IF(W$7=2005+OFFSET(COM_2012!$B$60,$AW250,SUMIF($B$10:$B$16,"NCAP_TLIFE",$AX$10:$AX$16)),0,""))</f>
        <v/>
      </c>
      <c r="X250" s="369" t="str">
        <f ca="1">IF($B250&lt;&gt;"PRC_RESID","",IF(X$7=2005+OFFSET(COM_2012!$B$60,$AW250,SUMIF($B$10:$B$16,"NCAP_TLIFE",$AX$10:$AX$16)),0,""))</f>
        <v/>
      </c>
      <c r="Y250" s="369" t="str">
        <f ca="1">IF($B250&lt;&gt;"PRC_RESID","",IF(Y$7=2005+OFFSET(COM_2012!$B$60,$AW250,SUMIF($B$10:$B$16,"NCAP_TLIFE",$AX$10:$AX$16)),0,""))</f>
        <v/>
      </c>
      <c r="Z250" s="369" t="str">
        <f ca="1">IF($B250&lt;&gt;"PRC_RESID","",IF(Z$7=2005+OFFSET(COM_2012!$B$60,$AW250,SUMIF($B$10:$B$16,"NCAP_TLIFE",$AX$10:$AX$16)),0,""))</f>
        <v/>
      </c>
      <c r="AA250" s="369" t="str">
        <f ca="1">IF($B250&lt;&gt;"PRC_RESID","",IF(AA$7=2005+OFFSET(COM_2012!$B$60,$AW250,SUMIF($B$10:$B$16,"NCAP_TLIFE",$AX$10:$AX$16)),0,""))</f>
        <v/>
      </c>
      <c r="AB250" s="369" t="str">
        <f ca="1">IF($B250&lt;&gt;"PRC_RESID","",IF(AB$7=2005+OFFSET(COM_2012!$B$60,$AW250,SUMIF($B$10:$B$16,"NCAP_TLIFE",$AX$10:$AX$16)),0,""))</f>
        <v/>
      </c>
      <c r="AC250" s="369" t="str">
        <f ca="1">IF($B250&lt;&gt;"PRC_RESID","",IF(AC$7=2005+OFFSET(COM_2012!$B$60,$AW250,SUMIF($B$10:$B$16,"NCAP_TLIFE",$AX$10:$AX$16)),0,""))</f>
        <v/>
      </c>
      <c r="AD250" s="369" t="str">
        <f ca="1">IF($B250&lt;&gt;"PRC_RESID","",IF(AD$7=2005+OFFSET(COM_2012!$B$60,$AW250,SUMIF($B$10:$B$16,"NCAP_TLIFE",$AX$10:$AX$16)),0,""))</f>
        <v/>
      </c>
      <c r="AE250" s="369" t="str">
        <f ca="1">IF($B250&lt;&gt;"PRC_RESID","",IF(AE$7=2005+OFFSET(COM_2012!$B$60,$AW250,SUMIF($B$10:$B$16,"NCAP_TLIFE",$AX$10:$AX$16)),0,""))</f>
        <v/>
      </c>
      <c r="AF250" s="369" t="str">
        <f ca="1">IF($B250&lt;&gt;"PRC_RESID","",IF(AF$7=2005+OFFSET(COM_2012!$B$60,$AW250,SUMIF($B$10:$B$16,"NCAP_TLIFE",$AX$10:$AX$16)),0,""))</f>
        <v/>
      </c>
      <c r="AG250" s="369" t="str">
        <f ca="1">IF($B250&lt;&gt;"PRC_RESID","",IF(AG$7=2005+OFFSET(COM_2012!$B$60,$AW250,SUMIF($B$10:$B$16,"NCAP_TLIFE",$AX$10:$AX$16)),0,""))</f>
        <v/>
      </c>
      <c r="AH250" s="369" t="str">
        <f ca="1">IF($B250&lt;&gt;"PRC_RESID","",IF(AH$7=2005+OFFSET(COM_2012!$B$60,$AW250,SUMIF($B$10:$B$16,"NCAP_TLIFE",$AX$10:$AX$16)),0,""))</f>
        <v/>
      </c>
      <c r="AI250" s="369" t="str">
        <f ca="1">IF($B250&lt;&gt;"PRC_RESID","",IF(AI$7=2005+OFFSET(COM_2012!$B$60,$AW250,SUMIF($B$10:$B$16,"NCAP_TLIFE",$AX$10:$AX$16)),0,""))</f>
        <v/>
      </c>
      <c r="AJ250" s="369" t="str">
        <f ca="1">IF($B250&lt;&gt;"PRC_RESID","",IF(AJ$7=2005+OFFSET(COM_2012!$B$60,$AW250,SUMIF($B$10:$B$16,"NCAP_TLIFE",$AX$10:$AX$16)),0,""))</f>
        <v/>
      </c>
      <c r="AK250" s="369" t="str">
        <f ca="1">IF($B250&lt;&gt;"PRC_RESID","",IF(AK$7=2005+OFFSET(COM_2012!$B$60,$AW250,SUMIF($B$10:$B$16,"NCAP_TLIFE",$AX$10:$AX$16)),0,""))</f>
        <v/>
      </c>
      <c r="AL250" s="369" t="str">
        <f ca="1">IF($B250&lt;&gt;"PRC_RESID","",IF(AL$7=2005+OFFSET(COM_2012!$B$60,$AW250,SUMIF($B$10:$B$16,"NCAP_TLIFE",$AX$10:$AX$16)),0,""))</f>
        <v/>
      </c>
      <c r="AM250" s="369" t="str">
        <f ca="1">IF($B250&lt;&gt;"PRC_RESID","",IF(AM$7=2005+OFFSET(COM_2012!$B$60,$AW250,SUMIF($B$10:$B$16,"NCAP_TLIFE",$AX$10:$AX$16)),0,""))</f>
        <v/>
      </c>
      <c r="AN250" s="369" t="str">
        <f ca="1">IF($B250&lt;&gt;"PRC_RESID","",IF(AN$7=2005+OFFSET(COM_2012!$B$60,$AW250,SUMIF($B$10:$B$16,"NCAP_TLIFE",$AX$10:$AX$16)),0,""))</f>
        <v/>
      </c>
      <c r="AO250" s="369" t="str">
        <f ca="1">IF($B250&lt;&gt;"PRC_RESID","",IF(AO$7=2005+OFFSET(COM_2012!$B$60,$AW250,SUMIF($B$10:$B$16,"NCAP_TLIFE",$AX$10:$AX$16)),0,""))</f>
        <v/>
      </c>
      <c r="AP250" s="369" t="str">
        <f ca="1">IF($B250&lt;&gt;"PRC_RESID","",IF(AP$7=2005+OFFSET(COM_2012!$B$60,$AW250,SUMIF($B$10:$B$16,"NCAP_TLIFE",$AX$10:$AX$16)),0,""))</f>
        <v/>
      </c>
      <c r="AQ250" s="369" t="str">
        <f ca="1">IF($B250&lt;&gt;"PRC_RESID","",IF(AQ$7=2005+OFFSET(COM_2012!$B$60,$AW250,SUMIF($B$10:$B$16,"NCAP_TLIFE",$AX$10:$AX$16)),0,""))</f>
        <v/>
      </c>
      <c r="AR250" s="369" t="str">
        <f ca="1">IF($B250&lt;&gt;"PRC_RESID","",IF(AR$7=2005+OFFSET(COM_2012!$B$60,$AW250,SUMIF($B$10:$B$16,"NCAP_TLIFE",$AX$10:$AX$16)),0,""))</f>
        <v/>
      </c>
      <c r="AS250" s="369" t="str">
        <f ca="1">IF($B250&lt;&gt;"PRC_RESID","",IF(AS$7=2005+OFFSET(COM_2012!$B$60,$AW250,SUMIF($B$10:$B$16,"NCAP_TLIFE",$AX$10:$AX$16)),0,""))</f>
        <v/>
      </c>
      <c r="AT250" s="369" t="str">
        <f ca="1">IF($B250&lt;&gt;"PRC_RESID","",IF(AT$7=2005+OFFSET(COM_2012!$B$60,$AW250,SUMIF($B$10:$B$16,"NCAP_TLIFE",$AX$10:$AX$16)),0,""))</f>
        <v/>
      </c>
      <c r="AU250" s="369" t="str">
        <f ca="1">IF($B250&lt;&gt;"PRC_RESID","",IF(AU$7=2005+OFFSET(COM_2012!$B$60,$AW250,SUMIF($B$10:$B$16,"NCAP_TLIFE",$AX$10:$AX$16)),0,""))</f>
        <v/>
      </c>
      <c r="AV250" s="304">
        <f>IF(AW249=COM_2012!$AI$121,AV249+1,AV249)</f>
        <v>4</v>
      </c>
      <c r="AW250" s="304">
        <f t="shared" si="23"/>
        <v>40</v>
      </c>
    </row>
    <row r="251" spans="1:49">
      <c r="A251" s="304" t="str">
        <f ca="1">IF(LEFT(OFFSET(COM_2012!$A$60,AW251,0),2)="\I","*","")</f>
        <v>*</v>
      </c>
      <c r="B251" s="369" t="str">
        <f t="shared" ca="1" si="22"/>
        <v/>
      </c>
      <c r="C251" s="369" t="str">
        <f ca="1">IF($A251="*","",OFFSET(COM_2012!$B$60,AW251,0))</f>
        <v/>
      </c>
      <c r="D251" s="369" t="str">
        <f t="shared" ca="1" si="25"/>
        <v/>
      </c>
      <c r="E251" s="369" t="str">
        <f t="shared" ca="1" si="25"/>
        <v/>
      </c>
      <c r="F251" s="369" t="str">
        <f t="shared" ca="1" si="25"/>
        <v/>
      </c>
      <c r="G251" s="369" t="str">
        <f t="shared" ca="1" si="25"/>
        <v/>
      </c>
      <c r="H251" s="369" t="str">
        <f t="shared" ca="1" si="25"/>
        <v/>
      </c>
      <c r="I251" s="370" t="str">
        <f t="shared" ca="1" si="25"/>
        <v/>
      </c>
      <c r="J251" s="391" t="str">
        <f ca="1">IF($A251="*","",OFFSET(COM_2012!$B$60,AW251,SUMIF($B$10:$B$16,B251,$AX$10:$AX$16)))</f>
        <v/>
      </c>
      <c r="K251" s="369" t="str">
        <f ca="1">IF($B251&lt;&gt;"PRC_RESID","",IF(K$7=2005+OFFSET(COM_2012!$B$60,$AW251,SUMIF($B$10:$B$16,"NCAP_TLIFE",$AX$10:$AX$16)),0,""))</f>
        <v/>
      </c>
      <c r="L251" s="369" t="str">
        <f ca="1">IF($B251&lt;&gt;"PRC_RESID","",IF(L$7=2005+OFFSET(COM_2012!$B$60,$AW251,SUMIF($B$10:$B$16,"NCAP_TLIFE",$AX$10:$AX$16)),0,""))</f>
        <v/>
      </c>
      <c r="M251" s="369" t="str">
        <f ca="1">IF($B251&lt;&gt;"PRC_RESID","",IF(M$7=2005+OFFSET(COM_2012!$B$60,$AW251,SUMIF($B$10:$B$16,"NCAP_TLIFE",$AX$10:$AX$16)),0,""))</f>
        <v/>
      </c>
      <c r="N251" s="369" t="str">
        <f ca="1">IF($B251&lt;&gt;"PRC_RESID","",IF(N$7=2005+OFFSET(COM_2012!$B$60,$AW251,SUMIF($B$10:$B$16,"NCAP_TLIFE",$AX$10:$AX$16)),0,""))</f>
        <v/>
      </c>
      <c r="O251" s="658" t="str">
        <f ca="1">IF($B251&lt;&gt;"PRC_RESID","",IF(O$7=2005+OFFSET(COM_2012!$B$60,$AW251,SUMIF($B$10:$B$16,"NCAP_TLIFE",$AX$10:$AX$16)),0,""))</f>
        <v/>
      </c>
      <c r="P251" s="369" t="str">
        <f ca="1">IF($B251&lt;&gt;"PRC_RESID","",IF(P$7=2005+OFFSET(COM_2012!$B$60,$AW251,SUMIF($B$10:$B$16,"NCAP_TLIFE",$AX$10:$AX$16)),0,""))</f>
        <v/>
      </c>
      <c r="Q251" s="369" t="str">
        <f ca="1">IF($B251&lt;&gt;"PRC_RESID","",IF(Q$7=2005+OFFSET(COM_2012!$B$60,$AW251,SUMIF($B$10:$B$16,"NCAP_TLIFE",$AX$10:$AX$16)),0,""))</f>
        <v/>
      </c>
      <c r="R251" s="369" t="str">
        <f ca="1">IF($B251&lt;&gt;"PRC_RESID","",IF(R$7=2005+OFFSET(COM_2012!$B$60,$AW251,SUMIF($B$10:$B$16,"NCAP_TLIFE",$AX$10:$AX$16)),0,""))</f>
        <v/>
      </c>
      <c r="S251" s="369" t="str">
        <f ca="1">IF($B251&lt;&gt;"PRC_RESID","",IF(S$7=2005+OFFSET(COM_2012!$B$60,$AW251,SUMIF($B$10:$B$16,"NCAP_TLIFE",$AX$10:$AX$16)),0,""))</f>
        <v/>
      </c>
      <c r="T251" s="369" t="str">
        <f ca="1">IF($B251&lt;&gt;"PRC_RESID","",IF(T$7=2005+OFFSET(COM_2012!$B$60,$AW251,SUMIF($B$10:$B$16,"NCAP_TLIFE",$AX$10:$AX$16)),0,""))</f>
        <v/>
      </c>
      <c r="U251" s="369" t="str">
        <f ca="1">IF($B251&lt;&gt;"PRC_RESID","",IF(U$7=2005+OFFSET(COM_2012!$B$60,$AW251,SUMIF($B$10:$B$16,"NCAP_TLIFE",$AX$10:$AX$16)),0,""))</f>
        <v/>
      </c>
      <c r="V251" s="369" t="str">
        <f ca="1">IF($B251&lt;&gt;"PRC_RESID","",IF(V$7=2005+OFFSET(COM_2012!$B$60,$AW251,SUMIF($B$10:$B$16,"NCAP_TLIFE",$AX$10:$AX$16)),0,""))</f>
        <v/>
      </c>
      <c r="W251" s="369" t="str">
        <f ca="1">IF($B251&lt;&gt;"PRC_RESID","",IF(W$7=2005+OFFSET(COM_2012!$B$60,$AW251,SUMIF($B$10:$B$16,"NCAP_TLIFE",$AX$10:$AX$16)),0,""))</f>
        <v/>
      </c>
      <c r="X251" s="369" t="str">
        <f ca="1">IF($B251&lt;&gt;"PRC_RESID","",IF(X$7=2005+OFFSET(COM_2012!$B$60,$AW251,SUMIF($B$10:$B$16,"NCAP_TLIFE",$AX$10:$AX$16)),0,""))</f>
        <v/>
      </c>
      <c r="Y251" s="369" t="str">
        <f ca="1">IF($B251&lt;&gt;"PRC_RESID","",IF(Y$7=2005+OFFSET(COM_2012!$B$60,$AW251,SUMIF($B$10:$B$16,"NCAP_TLIFE",$AX$10:$AX$16)),0,""))</f>
        <v/>
      </c>
      <c r="Z251" s="369" t="str">
        <f ca="1">IF($B251&lt;&gt;"PRC_RESID","",IF(Z$7=2005+OFFSET(COM_2012!$B$60,$AW251,SUMIF($B$10:$B$16,"NCAP_TLIFE",$AX$10:$AX$16)),0,""))</f>
        <v/>
      </c>
      <c r="AA251" s="369" t="str">
        <f ca="1">IF($B251&lt;&gt;"PRC_RESID","",IF(AA$7=2005+OFFSET(COM_2012!$B$60,$AW251,SUMIF($B$10:$B$16,"NCAP_TLIFE",$AX$10:$AX$16)),0,""))</f>
        <v/>
      </c>
      <c r="AB251" s="369" t="str">
        <f ca="1">IF($B251&lt;&gt;"PRC_RESID","",IF(AB$7=2005+OFFSET(COM_2012!$B$60,$AW251,SUMIF($B$10:$B$16,"NCAP_TLIFE",$AX$10:$AX$16)),0,""))</f>
        <v/>
      </c>
      <c r="AC251" s="369" t="str">
        <f ca="1">IF($B251&lt;&gt;"PRC_RESID","",IF(AC$7=2005+OFFSET(COM_2012!$B$60,$AW251,SUMIF($B$10:$B$16,"NCAP_TLIFE",$AX$10:$AX$16)),0,""))</f>
        <v/>
      </c>
      <c r="AD251" s="369" t="str">
        <f ca="1">IF($B251&lt;&gt;"PRC_RESID","",IF(AD$7=2005+OFFSET(COM_2012!$B$60,$AW251,SUMIF($B$10:$B$16,"NCAP_TLIFE",$AX$10:$AX$16)),0,""))</f>
        <v/>
      </c>
      <c r="AE251" s="369" t="str">
        <f ca="1">IF($B251&lt;&gt;"PRC_RESID","",IF(AE$7=2005+OFFSET(COM_2012!$B$60,$AW251,SUMIF($B$10:$B$16,"NCAP_TLIFE",$AX$10:$AX$16)),0,""))</f>
        <v/>
      </c>
      <c r="AF251" s="369" t="str">
        <f ca="1">IF($B251&lt;&gt;"PRC_RESID","",IF(AF$7=2005+OFFSET(COM_2012!$B$60,$AW251,SUMIF($B$10:$B$16,"NCAP_TLIFE",$AX$10:$AX$16)),0,""))</f>
        <v/>
      </c>
      <c r="AG251" s="369" t="str">
        <f ca="1">IF($B251&lt;&gt;"PRC_RESID","",IF(AG$7=2005+OFFSET(COM_2012!$B$60,$AW251,SUMIF($B$10:$B$16,"NCAP_TLIFE",$AX$10:$AX$16)),0,""))</f>
        <v/>
      </c>
      <c r="AH251" s="369" t="str">
        <f ca="1">IF($B251&lt;&gt;"PRC_RESID","",IF(AH$7=2005+OFFSET(COM_2012!$B$60,$AW251,SUMIF($B$10:$B$16,"NCAP_TLIFE",$AX$10:$AX$16)),0,""))</f>
        <v/>
      </c>
      <c r="AI251" s="369" t="str">
        <f ca="1">IF($B251&lt;&gt;"PRC_RESID","",IF(AI$7=2005+OFFSET(COM_2012!$B$60,$AW251,SUMIF($B$10:$B$16,"NCAP_TLIFE",$AX$10:$AX$16)),0,""))</f>
        <v/>
      </c>
      <c r="AJ251" s="369" t="str">
        <f ca="1">IF($B251&lt;&gt;"PRC_RESID","",IF(AJ$7=2005+OFFSET(COM_2012!$B$60,$AW251,SUMIF($B$10:$B$16,"NCAP_TLIFE",$AX$10:$AX$16)),0,""))</f>
        <v/>
      </c>
      <c r="AK251" s="369" t="str">
        <f ca="1">IF($B251&lt;&gt;"PRC_RESID","",IF(AK$7=2005+OFFSET(COM_2012!$B$60,$AW251,SUMIF($B$10:$B$16,"NCAP_TLIFE",$AX$10:$AX$16)),0,""))</f>
        <v/>
      </c>
      <c r="AL251" s="369" t="str">
        <f ca="1">IF($B251&lt;&gt;"PRC_RESID","",IF(AL$7=2005+OFFSET(COM_2012!$B$60,$AW251,SUMIF($B$10:$B$16,"NCAP_TLIFE",$AX$10:$AX$16)),0,""))</f>
        <v/>
      </c>
      <c r="AM251" s="369" t="str">
        <f ca="1">IF($B251&lt;&gt;"PRC_RESID","",IF(AM$7=2005+OFFSET(COM_2012!$B$60,$AW251,SUMIF($B$10:$B$16,"NCAP_TLIFE",$AX$10:$AX$16)),0,""))</f>
        <v/>
      </c>
      <c r="AN251" s="369" t="str">
        <f ca="1">IF($B251&lt;&gt;"PRC_RESID","",IF(AN$7=2005+OFFSET(COM_2012!$B$60,$AW251,SUMIF($B$10:$B$16,"NCAP_TLIFE",$AX$10:$AX$16)),0,""))</f>
        <v/>
      </c>
      <c r="AO251" s="369" t="str">
        <f ca="1">IF($B251&lt;&gt;"PRC_RESID","",IF(AO$7=2005+OFFSET(COM_2012!$B$60,$AW251,SUMIF($B$10:$B$16,"NCAP_TLIFE",$AX$10:$AX$16)),0,""))</f>
        <v/>
      </c>
      <c r="AP251" s="369" t="str">
        <f ca="1">IF($B251&lt;&gt;"PRC_RESID","",IF(AP$7=2005+OFFSET(COM_2012!$B$60,$AW251,SUMIF($B$10:$B$16,"NCAP_TLIFE",$AX$10:$AX$16)),0,""))</f>
        <v/>
      </c>
      <c r="AQ251" s="369" t="str">
        <f ca="1">IF($B251&lt;&gt;"PRC_RESID","",IF(AQ$7=2005+OFFSET(COM_2012!$B$60,$AW251,SUMIF($B$10:$B$16,"NCAP_TLIFE",$AX$10:$AX$16)),0,""))</f>
        <v/>
      </c>
      <c r="AR251" s="369" t="str">
        <f ca="1">IF($B251&lt;&gt;"PRC_RESID","",IF(AR$7=2005+OFFSET(COM_2012!$B$60,$AW251,SUMIF($B$10:$B$16,"NCAP_TLIFE",$AX$10:$AX$16)),0,""))</f>
        <v/>
      </c>
      <c r="AS251" s="369" t="str">
        <f ca="1">IF($B251&lt;&gt;"PRC_RESID","",IF(AS$7=2005+OFFSET(COM_2012!$B$60,$AW251,SUMIF($B$10:$B$16,"NCAP_TLIFE",$AX$10:$AX$16)),0,""))</f>
        <v/>
      </c>
      <c r="AT251" s="369" t="str">
        <f ca="1">IF($B251&lt;&gt;"PRC_RESID","",IF(AT$7=2005+OFFSET(COM_2012!$B$60,$AW251,SUMIF($B$10:$B$16,"NCAP_TLIFE",$AX$10:$AX$16)),0,""))</f>
        <v/>
      </c>
      <c r="AU251" s="369" t="str">
        <f ca="1">IF($B251&lt;&gt;"PRC_RESID","",IF(AU$7=2005+OFFSET(COM_2012!$B$60,$AW251,SUMIF($B$10:$B$16,"NCAP_TLIFE",$AX$10:$AX$16)),0,""))</f>
        <v/>
      </c>
      <c r="AV251" s="304">
        <f>IF(AW250=COM_2012!$AI$121,AV250+1,AV250)</f>
        <v>4</v>
      </c>
      <c r="AW251" s="304">
        <f t="shared" si="23"/>
        <v>41</v>
      </c>
    </row>
    <row r="252" spans="1:49">
      <c r="A252" s="304" t="str">
        <f ca="1">IF(LEFT(OFFSET(COM_2012!$A$60,AW252,0),2)="\I","*","")</f>
        <v/>
      </c>
      <c r="B252" s="369" t="str">
        <f t="shared" ca="1" si="22"/>
        <v>NCAP_COST</v>
      </c>
      <c r="C252" s="369" t="str">
        <f ca="1">IF($A252="*","",OFFSET(COM_2012!$B$60,AW252,0))</f>
        <v>CEGELCINC-E</v>
      </c>
      <c r="D252" s="369" t="str">
        <f t="shared" ca="1" si="25"/>
        <v>-</v>
      </c>
      <c r="E252" s="369" t="str">
        <f t="shared" ca="1" si="25"/>
        <v>-</v>
      </c>
      <c r="F252" s="369" t="str">
        <f t="shared" ca="1" si="25"/>
        <v>-</v>
      </c>
      <c r="G252" s="369" t="str">
        <f t="shared" ca="1" si="25"/>
        <v>-</v>
      </c>
      <c r="H252" s="369" t="str">
        <f t="shared" ca="1" si="25"/>
        <v>-</v>
      </c>
      <c r="I252" s="370">
        <f t="shared" ca="1" si="25"/>
        <v>0</v>
      </c>
      <c r="J252" s="391">
        <f ca="1">IF($A252="*","",OFFSET(COM_2012!$B$60,AW252,SUMIF($B$10:$B$16,B252,$AX$10:$AX$16)))</f>
        <v>0.26729589482474081</v>
      </c>
      <c r="K252" s="369" t="str">
        <f ca="1">IF($B252&lt;&gt;"PRC_RESID","",IF(K$7=2005+OFFSET(COM_2012!$B$60,$AW252,SUMIF($B$10:$B$16,"NCAP_TLIFE",$AX$10:$AX$16)),0,""))</f>
        <v/>
      </c>
      <c r="L252" s="369" t="str">
        <f ca="1">IF($B252&lt;&gt;"PRC_RESID","",IF(L$7=2005+OFFSET(COM_2012!$B$60,$AW252,SUMIF($B$10:$B$16,"NCAP_TLIFE",$AX$10:$AX$16)),0,""))</f>
        <v/>
      </c>
      <c r="M252" s="369" t="str">
        <f ca="1">IF($B252&lt;&gt;"PRC_RESID","",IF(M$7=2005+OFFSET(COM_2012!$B$60,$AW252,SUMIF($B$10:$B$16,"NCAP_TLIFE",$AX$10:$AX$16)),0,""))</f>
        <v/>
      </c>
      <c r="N252" s="369" t="str">
        <f ca="1">IF($B252&lt;&gt;"PRC_RESID","",IF(N$7=2005+OFFSET(COM_2012!$B$60,$AW252,SUMIF($B$10:$B$16,"NCAP_TLIFE",$AX$10:$AX$16)),0,""))</f>
        <v/>
      </c>
      <c r="O252" s="658" t="str">
        <f ca="1">IF($B252&lt;&gt;"PRC_RESID","",IF(O$7=2005+OFFSET(COM_2012!$B$60,$AW252,SUMIF($B$10:$B$16,"NCAP_TLIFE",$AX$10:$AX$16)),0,""))</f>
        <v/>
      </c>
      <c r="P252" s="369" t="str">
        <f ca="1">IF($B252&lt;&gt;"PRC_RESID","",IF(P$7=2005+OFFSET(COM_2012!$B$60,$AW252,SUMIF($B$10:$B$16,"NCAP_TLIFE",$AX$10:$AX$16)),0,""))</f>
        <v/>
      </c>
      <c r="Q252" s="369" t="str">
        <f ca="1">IF($B252&lt;&gt;"PRC_RESID","",IF(Q$7=2005+OFFSET(COM_2012!$B$60,$AW252,SUMIF($B$10:$B$16,"NCAP_TLIFE",$AX$10:$AX$16)),0,""))</f>
        <v/>
      </c>
      <c r="R252" s="369" t="str">
        <f ca="1">IF($B252&lt;&gt;"PRC_RESID","",IF(R$7=2005+OFFSET(COM_2012!$B$60,$AW252,SUMIF($B$10:$B$16,"NCAP_TLIFE",$AX$10:$AX$16)),0,""))</f>
        <v/>
      </c>
      <c r="S252" s="369" t="str">
        <f ca="1">IF($B252&lt;&gt;"PRC_RESID","",IF(S$7=2005+OFFSET(COM_2012!$B$60,$AW252,SUMIF($B$10:$B$16,"NCAP_TLIFE",$AX$10:$AX$16)),0,""))</f>
        <v/>
      </c>
      <c r="T252" s="369" t="str">
        <f ca="1">IF($B252&lt;&gt;"PRC_RESID","",IF(T$7=2005+OFFSET(COM_2012!$B$60,$AW252,SUMIF($B$10:$B$16,"NCAP_TLIFE",$AX$10:$AX$16)),0,""))</f>
        <v/>
      </c>
      <c r="U252" s="369" t="str">
        <f ca="1">IF($B252&lt;&gt;"PRC_RESID","",IF(U$7=2005+OFFSET(COM_2012!$B$60,$AW252,SUMIF($B$10:$B$16,"NCAP_TLIFE",$AX$10:$AX$16)),0,""))</f>
        <v/>
      </c>
      <c r="V252" s="369" t="str">
        <f ca="1">IF($B252&lt;&gt;"PRC_RESID","",IF(V$7=2005+OFFSET(COM_2012!$B$60,$AW252,SUMIF($B$10:$B$16,"NCAP_TLIFE",$AX$10:$AX$16)),0,""))</f>
        <v/>
      </c>
      <c r="W252" s="369" t="str">
        <f ca="1">IF($B252&lt;&gt;"PRC_RESID","",IF(W$7=2005+OFFSET(COM_2012!$B$60,$AW252,SUMIF($B$10:$B$16,"NCAP_TLIFE",$AX$10:$AX$16)),0,""))</f>
        <v/>
      </c>
      <c r="X252" s="369" t="str">
        <f ca="1">IF($B252&lt;&gt;"PRC_RESID","",IF(X$7=2005+OFFSET(COM_2012!$B$60,$AW252,SUMIF($B$10:$B$16,"NCAP_TLIFE",$AX$10:$AX$16)),0,""))</f>
        <v/>
      </c>
      <c r="Y252" s="369" t="str">
        <f ca="1">IF($B252&lt;&gt;"PRC_RESID","",IF(Y$7=2005+OFFSET(COM_2012!$B$60,$AW252,SUMIF($B$10:$B$16,"NCAP_TLIFE",$AX$10:$AX$16)),0,""))</f>
        <v/>
      </c>
      <c r="Z252" s="369" t="str">
        <f ca="1">IF($B252&lt;&gt;"PRC_RESID","",IF(Z$7=2005+OFFSET(COM_2012!$B$60,$AW252,SUMIF($B$10:$B$16,"NCAP_TLIFE",$AX$10:$AX$16)),0,""))</f>
        <v/>
      </c>
      <c r="AA252" s="369" t="str">
        <f ca="1">IF($B252&lt;&gt;"PRC_RESID","",IF(AA$7=2005+OFFSET(COM_2012!$B$60,$AW252,SUMIF($B$10:$B$16,"NCAP_TLIFE",$AX$10:$AX$16)),0,""))</f>
        <v/>
      </c>
      <c r="AB252" s="369" t="str">
        <f ca="1">IF($B252&lt;&gt;"PRC_RESID","",IF(AB$7=2005+OFFSET(COM_2012!$B$60,$AW252,SUMIF($B$10:$B$16,"NCAP_TLIFE",$AX$10:$AX$16)),0,""))</f>
        <v/>
      </c>
      <c r="AC252" s="369" t="str">
        <f ca="1">IF($B252&lt;&gt;"PRC_RESID","",IF(AC$7=2005+OFFSET(COM_2012!$B$60,$AW252,SUMIF($B$10:$B$16,"NCAP_TLIFE",$AX$10:$AX$16)),0,""))</f>
        <v/>
      </c>
      <c r="AD252" s="369" t="str">
        <f ca="1">IF($B252&lt;&gt;"PRC_RESID","",IF(AD$7=2005+OFFSET(COM_2012!$B$60,$AW252,SUMIF($B$10:$B$16,"NCAP_TLIFE",$AX$10:$AX$16)),0,""))</f>
        <v/>
      </c>
      <c r="AE252" s="369" t="str">
        <f ca="1">IF($B252&lt;&gt;"PRC_RESID","",IF(AE$7=2005+OFFSET(COM_2012!$B$60,$AW252,SUMIF($B$10:$B$16,"NCAP_TLIFE",$AX$10:$AX$16)),0,""))</f>
        <v/>
      </c>
      <c r="AF252" s="369" t="str">
        <f ca="1">IF($B252&lt;&gt;"PRC_RESID","",IF(AF$7=2005+OFFSET(COM_2012!$B$60,$AW252,SUMIF($B$10:$B$16,"NCAP_TLIFE",$AX$10:$AX$16)),0,""))</f>
        <v/>
      </c>
      <c r="AG252" s="369" t="str">
        <f ca="1">IF($B252&lt;&gt;"PRC_RESID","",IF(AG$7=2005+OFFSET(COM_2012!$B$60,$AW252,SUMIF($B$10:$B$16,"NCAP_TLIFE",$AX$10:$AX$16)),0,""))</f>
        <v/>
      </c>
      <c r="AH252" s="369" t="str">
        <f ca="1">IF($B252&lt;&gt;"PRC_RESID","",IF(AH$7=2005+OFFSET(COM_2012!$B$60,$AW252,SUMIF($B$10:$B$16,"NCAP_TLIFE",$AX$10:$AX$16)),0,""))</f>
        <v/>
      </c>
      <c r="AI252" s="369" t="str">
        <f ca="1">IF($B252&lt;&gt;"PRC_RESID","",IF(AI$7=2005+OFFSET(COM_2012!$B$60,$AW252,SUMIF($B$10:$B$16,"NCAP_TLIFE",$AX$10:$AX$16)),0,""))</f>
        <v/>
      </c>
      <c r="AJ252" s="369" t="str">
        <f ca="1">IF($B252&lt;&gt;"PRC_RESID","",IF(AJ$7=2005+OFFSET(COM_2012!$B$60,$AW252,SUMIF($B$10:$B$16,"NCAP_TLIFE",$AX$10:$AX$16)),0,""))</f>
        <v/>
      </c>
      <c r="AK252" s="369" t="str">
        <f ca="1">IF($B252&lt;&gt;"PRC_RESID","",IF(AK$7=2005+OFFSET(COM_2012!$B$60,$AW252,SUMIF($B$10:$B$16,"NCAP_TLIFE",$AX$10:$AX$16)),0,""))</f>
        <v/>
      </c>
      <c r="AL252" s="369" t="str">
        <f ca="1">IF($B252&lt;&gt;"PRC_RESID","",IF(AL$7=2005+OFFSET(COM_2012!$B$60,$AW252,SUMIF($B$10:$B$16,"NCAP_TLIFE",$AX$10:$AX$16)),0,""))</f>
        <v/>
      </c>
      <c r="AM252" s="369" t="str">
        <f ca="1">IF($B252&lt;&gt;"PRC_RESID","",IF(AM$7=2005+OFFSET(COM_2012!$B$60,$AW252,SUMIF($B$10:$B$16,"NCAP_TLIFE",$AX$10:$AX$16)),0,""))</f>
        <v/>
      </c>
      <c r="AN252" s="369" t="str">
        <f ca="1">IF($B252&lt;&gt;"PRC_RESID","",IF(AN$7=2005+OFFSET(COM_2012!$B$60,$AW252,SUMIF($B$10:$B$16,"NCAP_TLIFE",$AX$10:$AX$16)),0,""))</f>
        <v/>
      </c>
      <c r="AO252" s="369" t="str">
        <f ca="1">IF($B252&lt;&gt;"PRC_RESID","",IF(AO$7=2005+OFFSET(COM_2012!$B$60,$AW252,SUMIF($B$10:$B$16,"NCAP_TLIFE",$AX$10:$AX$16)),0,""))</f>
        <v/>
      </c>
      <c r="AP252" s="369" t="str">
        <f ca="1">IF($B252&lt;&gt;"PRC_RESID","",IF(AP$7=2005+OFFSET(COM_2012!$B$60,$AW252,SUMIF($B$10:$B$16,"NCAP_TLIFE",$AX$10:$AX$16)),0,""))</f>
        <v/>
      </c>
      <c r="AQ252" s="369" t="str">
        <f ca="1">IF($B252&lt;&gt;"PRC_RESID","",IF(AQ$7=2005+OFFSET(COM_2012!$B$60,$AW252,SUMIF($B$10:$B$16,"NCAP_TLIFE",$AX$10:$AX$16)),0,""))</f>
        <v/>
      </c>
      <c r="AR252" s="369" t="str">
        <f ca="1">IF($B252&lt;&gt;"PRC_RESID","",IF(AR$7=2005+OFFSET(COM_2012!$B$60,$AW252,SUMIF($B$10:$B$16,"NCAP_TLIFE",$AX$10:$AX$16)),0,""))</f>
        <v/>
      </c>
      <c r="AS252" s="369" t="str">
        <f ca="1">IF($B252&lt;&gt;"PRC_RESID","",IF(AS$7=2005+OFFSET(COM_2012!$B$60,$AW252,SUMIF($B$10:$B$16,"NCAP_TLIFE",$AX$10:$AX$16)),0,""))</f>
        <v/>
      </c>
      <c r="AT252" s="369" t="str">
        <f ca="1">IF($B252&lt;&gt;"PRC_RESID","",IF(AT$7=2005+OFFSET(COM_2012!$B$60,$AW252,SUMIF($B$10:$B$16,"NCAP_TLIFE",$AX$10:$AX$16)),0,""))</f>
        <v/>
      </c>
      <c r="AU252" s="369" t="str">
        <f ca="1">IF($B252&lt;&gt;"PRC_RESID","",IF(AU$7=2005+OFFSET(COM_2012!$B$60,$AW252,SUMIF($B$10:$B$16,"NCAP_TLIFE",$AX$10:$AX$16)),0,""))</f>
        <v/>
      </c>
      <c r="AV252" s="304">
        <f>IF(AW251=COM_2012!$AI$121,AV251+1,AV251)</f>
        <v>4</v>
      </c>
      <c r="AW252" s="304">
        <f t="shared" si="23"/>
        <v>42</v>
      </c>
    </row>
    <row r="253" spans="1:49">
      <c r="A253" s="304" t="str">
        <f ca="1">IF(LEFT(OFFSET(COM_2012!$A$60,AW253,0),2)="\I","*","")</f>
        <v/>
      </c>
      <c r="B253" s="369" t="str">
        <f t="shared" ca="1" si="22"/>
        <v>NCAP_COST</v>
      </c>
      <c r="C253" s="369" t="str">
        <f ca="1">IF($A253="*","",OFFSET(COM_2012!$B$60,AW253,0))</f>
        <v>CEGELCHAL-E</v>
      </c>
      <c r="D253" s="369" t="str">
        <f t="shared" ca="1" si="25"/>
        <v>-</v>
      </c>
      <c r="E253" s="369" t="str">
        <f t="shared" ca="1" si="25"/>
        <v>-</v>
      </c>
      <c r="F253" s="369" t="str">
        <f t="shared" ca="1" si="25"/>
        <v>-</v>
      </c>
      <c r="G253" s="369" t="str">
        <f t="shared" ca="1" si="25"/>
        <v>-</v>
      </c>
      <c r="H253" s="369" t="str">
        <f t="shared" ca="1" si="25"/>
        <v>-</v>
      </c>
      <c r="I253" s="370">
        <f t="shared" ca="1" si="25"/>
        <v>0</v>
      </c>
      <c r="J253" s="391">
        <f ca="1">IF($A253="*","",OFFSET(COM_2012!$B$60,AW253,SUMIF($B$10:$B$16,B253,$AX$10:$AX$16)))</f>
        <v>0.75829581287827852</v>
      </c>
      <c r="K253" s="369" t="str">
        <f ca="1">IF($B253&lt;&gt;"PRC_RESID","",IF(K$7=2005+OFFSET(COM_2012!$B$60,$AW253,SUMIF($B$10:$B$16,"NCAP_TLIFE",$AX$10:$AX$16)),0,""))</f>
        <v/>
      </c>
      <c r="L253" s="369" t="str">
        <f ca="1">IF($B253&lt;&gt;"PRC_RESID","",IF(L$7=2005+OFFSET(COM_2012!$B$60,$AW253,SUMIF($B$10:$B$16,"NCAP_TLIFE",$AX$10:$AX$16)),0,""))</f>
        <v/>
      </c>
      <c r="M253" s="369" t="str">
        <f ca="1">IF($B253&lt;&gt;"PRC_RESID","",IF(M$7=2005+OFFSET(COM_2012!$B$60,$AW253,SUMIF($B$10:$B$16,"NCAP_TLIFE",$AX$10:$AX$16)),0,""))</f>
        <v/>
      </c>
      <c r="N253" s="369" t="str">
        <f ca="1">IF($B253&lt;&gt;"PRC_RESID","",IF(N$7=2005+OFFSET(COM_2012!$B$60,$AW253,SUMIF($B$10:$B$16,"NCAP_TLIFE",$AX$10:$AX$16)),0,""))</f>
        <v/>
      </c>
      <c r="O253" s="658" t="str">
        <f ca="1">IF($B253&lt;&gt;"PRC_RESID","",IF(O$7=2005+OFFSET(COM_2012!$B$60,$AW253,SUMIF($B$10:$B$16,"NCAP_TLIFE",$AX$10:$AX$16)),0,""))</f>
        <v/>
      </c>
      <c r="P253" s="369" t="str">
        <f ca="1">IF($B253&lt;&gt;"PRC_RESID","",IF(P$7=2005+OFFSET(COM_2012!$B$60,$AW253,SUMIF($B$10:$B$16,"NCAP_TLIFE",$AX$10:$AX$16)),0,""))</f>
        <v/>
      </c>
      <c r="Q253" s="369" t="str">
        <f ca="1">IF($B253&lt;&gt;"PRC_RESID","",IF(Q$7=2005+OFFSET(COM_2012!$B$60,$AW253,SUMIF($B$10:$B$16,"NCAP_TLIFE",$AX$10:$AX$16)),0,""))</f>
        <v/>
      </c>
      <c r="R253" s="369" t="str">
        <f ca="1">IF($B253&lt;&gt;"PRC_RESID","",IF(R$7=2005+OFFSET(COM_2012!$B$60,$AW253,SUMIF($B$10:$B$16,"NCAP_TLIFE",$AX$10:$AX$16)),0,""))</f>
        <v/>
      </c>
      <c r="S253" s="369" t="str">
        <f ca="1">IF($B253&lt;&gt;"PRC_RESID","",IF(S$7=2005+OFFSET(COM_2012!$B$60,$AW253,SUMIF($B$10:$B$16,"NCAP_TLIFE",$AX$10:$AX$16)),0,""))</f>
        <v/>
      </c>
      <c r="T253" s="369" t="str">
        <f ca="1">IF($B253&lt;&gt;"PRC_RESID","",IF(T$7=2005+OFFSET(COM_2012!$B$60,$AW253,SUMIF($B$10:$B$16,"NCAP_TLIFE",$AX$10:$AX$16)),0,""))</f>
        <v/>
      </c>
      <c r="U253" s="369" t="str">
        <f ca="1">IF($B253&lt;&gt;"PRC_RESID","",IF(U$7=2005+OFFSET(COM_2012!$B$60,$AW253,SUMIF($B$10:$B$16,"NCAP_TLIFE",$AX$10:$AX$16)),0,""))</f>
        <v/>
      </c>
      <c r="V253" s="369" t="str">
        <f ca="1">IF($B253&lt;&gt;"PRC_RESID","",IF(V$7=2005+OFFSET(COM_2012!$B$60,$AW253,SUMIF($B$10:$B$16,"NCAP_TLIFE",$AX$10:$AX$16)),0,""))</f>
        <v/>
      </c>
      <c r="W253" s="369" t="str">
        <f ca="1">IF($B253&lt;&gt;"PRC_RESID","",IF(W$7=2005+OFFSET(COM_2012!$B$60,$AW253,SUMIF($B$10:$B$16,"NCAP_TLIFE",$AX$10:$AX$16)),0,""))</f>
        <v/>
      </c>
      <c r="X253" s="369" t="str">
        <f ca="1">IF($B253&lt;&gt;"PRC_RESID","",IF(X$7=2005+OFFSET(COM_2012!$B$60,$AW253,SUMIF($B$10:$B$16,"NCAP_TLIFE",$AX$10:$AX$16)),0,""))</f>
        <v/>
      </c>
      <c r="Y253" s="369" t="str">
        <f ca="1">IF($B253&lt;&gt;"PRC_RESID","",IF(Y$7=2005+OFFSET(COM_2012!$B$60,$AW253,SUMIF($B$10:$B$16,"NCAP_TLIFE",$AX$10:$AX$16)),0,""))</f>
        <v/>
      </c>
      <c r="Z253" s="369" t="str">
        <f ca="1">IF($B253&lt;&gt;"PRC_RESID","",IF(Z$7=2005+OFFSET(COM_2012!$B$60,$AW253,SUMIF($B$10:$B$16,"NCAP_TLIFE",$AX$10:$AX$16)),0,""))</f>
        <v/>
      </c>
      <c r="AA253" s="369" t="str">
        <f ca="1">IF($B253&lt;&gt;"PRC_RESID","",IF(AA$7=2005+OFFSET(COM_2012!$B$60,$AW253,SUMIF($B$10:$B$16,"NCAP_TLIFE",$AX$10:$AX$16)),0,""))</f>
        <v/>
      </c>
      <c r="AB253" s="369" t="str">
        <f ca="1">IF($B253&lt;&gt;"PRC_RESID","",IF(AB$7=2005+OFFSET(COM_2012!$B$60,$AW253,SUMIF($B$10:$B$16,"NCAP_TLIFE",$AX$10:$AX$16)),0,""))</f>
        <v/>
      </c>
      <c r="AC253" s="369" t="str">
        <f ca="1">IF($B253&lt;&gt;"PRC_RESID","",IF(AC$7=2005+OFFSET(COM_2012!$B$60,$AW253,SUMIF($B$10:$B$16,"NCAP_TLIFE",$AX$10:$AX$16)),0,""))</f>
        <v/>
      </c>
      <c r="AD253" s="369" t="str">
        <f ca="1">IF($B253&lt;&gt;"PRC_RESID","",IF(AD$7=2005+OFFSET(COM_2012!$B$60,$AW253,SUMIF($B$10:$B$16,"NCAP_TLIFE",$AX$10:$AX$16)),0,""))</f>
        <v/>
      </c>
      <c r="AE253" s="369" t="str">
        <f ca="1">IF($B253&lt;&gt;"PRC_RESID","",IF(AE$7=2005+OFFSET(COM_2012!$B$60,$AW253,SUMIF($B$10:$B$16,"NCAP_TLIFE",$AX$10:$AX$16)),0,""))</f>
        <v/>
      </c>
      <c r="AF253" s="369" t="str">
        <f ca="1">IF($B253&lt;&gt;"PRC_RESID","",IF(AF$7=2005+OFFSET(COM_2012!$B$60,$AW253,SUMIF($B$10:$B$16,"NCAP_TLIFE",$AX$10:$AX$16)),0,""))</f>
        <v/>
      </c>
      <c r="AG253" s="369" t="str">
        <f ca="1">IF($B253&lt;&gt;"PRC_RESID","",IF(AG$7=2005+OFFSET(COM_2012!$B$60,$AW253,SUMIF($B$10:$B$16,"NCAP_TLIFE",$AX$10:$AX$16)),0,""))</f>
        <v/>
      </c>
      <c r="AH253" s="369" t="str">
        <f ca="1">IF($B253&lt;&gt;"PRC_RESID","",IF(AH$7=2005+OFFSET(COM_2012!$B$60,$AW253,SUMIF($B$10:$B$16,"NCAP_TLIFE",$AX$10:$AX$16)),0,""))</f>
        <v/>
      </c>
      <c r="AI253" s="369" t="str">
        <f ca="1">IF($B253&lt;&gt;"PRC_RESID","",IF(AI$7=2005+OFFSET(COM_2012!$B$60,$AW253,SUMIF($B$10:$B$16,"NCAP_TLIFE",$AX$10:$AX$16)),0,""))</f>
        <v/>
      </c>
      <c r="AJ253" s="369" t="str">
        <f ca="1">IF($B253&lt;&gt;"PRC_RESID","",IF(AJ$7=2005+OFFSET(COM_2012!$B$60,$AW253,SUMIF($B$10:$B$16,"NCAP_TLIFE",$AX$10:$AX$16)),0,""))</f>
        <v/>
      </c>
      <c r="AK253" s="369" t="str">
        <f ca="1">IF($B253&lt;&gt;"PRC_RESID","",IF(AK$7=2005+OFFSET(COM_2012!$B$60,$AW253,SUMIF($B$10:$B$16,"NCAP_TLIFE",$AX$10:$AX$16)),0,""))</f>
        <v/>
      </c>
      <c r="AL253" s="369" t="str">
        <f ca="1">IF($B253&lt;&gt;"PRC_RESID","",IF(AL$7=2005+OFFSET(COM_2012!$B$60,$AW253,SUMIF($B$10:$B$16,"NCAP_TLIFE",$AX$10:$AX$16)),0,""))</f>
        <v/>
      </c>
      <c r="AM253" s="369" t="str">
        <f ca="1">IF($B253&lt;&gt;"PRC_RESID","",IF(AM$7=2005+OFFSET(COM_2012!$B$60,$AW253,SUMIF($B$10:$B$16,"NCAP_TLIFE",$AX$10:$AX$16)),0,""))</f>
        <v/>
      </c>
      <c r="AN253" s="369" t="str">
        <f ca="1">IF($B253&lt;&gt;"PRC_RESID","",IF(AN$7=2005+OFFSET(COM_2012!$B$60,$AW253,SUMIF($B$10:$B$16,"NCAP_TLIFE",$AX$10:$AX$16)),0,""))</f>
        <v/>
      </c>
      <c r="AO253" s="369" t="str">
        <f ca="1">IF($B253&lt;&gt;"PRC_RESID","",IF(AO$7=2005+OFFSET(COM_2012!$B$60,$AW253,SUMIF($B$10:$B$16,"NCAP_TLIFE",$AX$10:$AX$16)),0,""))</f>
        <v/>
      </c>
      <c r="AP253" s="369" t="str">
        <f ca="1">IF($B253&lt;&gt;"PRC_RESID","",IF(AP$7=2005+OFFSET(COM_2012!$B$60,$AW253,SUMIF($B$10:$B$16,"NCAP_TLIFE",$AX$10:$AX$16)),0,""))</f>
        <v/>
      </c>
      <c r="AQ253" s="369" t="str">
        <f ca="1">IF($B253&lt;&gt;"PRC_RESID","",IF(AQ$7=2005+OFFSET(COM_2012!$B$60,$AW253,SUMIF($B$10:$B$16,"NCAP_TLIFE",$AX$10:$AX$16)),0,""))</f>
        <v/>
      </c>
      <c r="AR253" s="369" t="str">
        <f ca="1">IF($B253&lt;&gt;"PRC_RESID","",IF(AR$7=2005+OFFSET(COM_2012!$B$60,$AW253,SUMIF($B$10:$B$16,"NCAP_TLIFE",$AX$10:$AX$16)),0,""))</f>
        <v/>
      </c>
      <c r="AS253" s="369" t="str">
        <f ca="1">IF($B253&lt;&gt;"PRC_RESID","",IF(AS$7=2005+OFFSET(COM_2012!$B$60,$AW253,SUMIF($B$10:$B$16,"NCAP_TLIFE",$AX$10:$AX$16)),0,""))</f>
        <v/>
      </c>
      <c r="AT253" s="369" t="str">
        <f ca="1">IF($B253&lt;&gt;"PRC_RESID","",IF(AT$7=2005+OFFSET(COM_2012!$B$60,$AW253,SUMIF($B$10:$B$16,"NCAP_TLIFE",$AX$10:$AX$16)),0,""))</f>
        <v/>
      </c>
      <c r="AU253" s="369" t="str">
        <f ca="1">IF($B253&lt;&gt;"PRC_RESID","",IF(AU$7=2005+OFFSET(COM_2012!$B$60,$AW253,SUMIF($B$10:$B$16,"NCAP_TLIFE",$AX$10:$AX$16)),0,""))</f>
        <v/>
      </c>
      <c r="AV253" s="304">
        <f>IF(AW252=COM_2012!$AI$121,AV252+1,AV252)</f>
        <v>4</v>
      </c>
      <c r="AW253" s="304">
        <f t="shared" si="23"/>
        <v>43</v>
      </c>
    </row>
    <row r="254" spans="1:49">
      <c r="A254" s="304" t="str">
        <f ca="1">IF(LEFT(OFFSET(COM_2012!$A$60,AW254,0),2)="\I","*","")</f>
        <v/>
      </c>
      <c r="B254" s="369" t="str">
        <f t="shared" ca="1" si="22"/>
        <v>NCAP_COST</v>
      </c>
      <c r="C254" s="369" t="str">
        <f ca="1">IF($A254="*","",OFFSET(COM_2012!$B$60,AW254,0))</f>
        <v>CEGELCHPM-E</v>
      </c>
      <c r="D254" s="369" t="str">
        <f t="shared" ca="1" si="25"/>
        <v>-</v>
      </c>
      <c r="E254" s="369" t="str">
        <f t="shared" ca="1" si="25"/>
        <v>-</v>
      </c>
      <c r="F254" s="369" t="str">
        <f t="shared" ca="1" si="25"/>
        <v>-</v>
      </c>
      <c r="G254" s="369" t="str">
        <f t="shared" ca="1" si="25"/>
        <v>-</v>
      </c>
      <c r="H254" s="369" t="str">
        <f t="shared" ca="1" si="25"/>
        <v>-</v>
      </c>
      <c r="I254" s="370">
        <f t="shared" ca="1" si="25"/>
        <v>0</v>
      </c>
      <c r="J254" s="391">
        <f ca="1">IF($A254="*","",OFFSET(COM_2012!$B$60,AW254,SUMIF($B$10:$B$16,B254,$AX$10:$AX$16)))</f>
        <v>0.75829581287827852</v>
      </c>
      <c r="K254" s="369" t="str">
        <f ca="1">IF($B254&lt;&gt;"PRC_RESID","",IF(K$7=2005+OFFSET(COM_2012!$B$60,$AW254,SUMIF($B$10:$B$16,"NCAP_TLIFE",$AX$10:$AX$16)),0,""))</f>
        <v/>
      </c>
      <c r="L254" s="369" t="str">
        <f ca="1">IF($B254&lt;&gt;"PRC_RESID","",IF(L$7=2005+OFFSET(COM_2012!$B$60,$AW254,SUMIF($B$10:$B$16,"NCAP_TLIFE",$AX$10:$AX$16)),0,""))</f>
        <v/>
      </c>
      <c r="M254" s="369" t="str">
        <f ca="1">IF($B254&lt;&gt;"PRC_RESID","",IF(M$7=2005+OFFSET(COM_2012!$B$60,$AW254,SUMIF($B$10:$B$16,"NCAP_TLIFE",$AX$10:$AX$16)),0,""))</f>
        <v/>
      </c>
      <c r="N254" s="369" t="str">
        <f ca="1">IF($B254&lt;&gt;"PRC_RESID","",IF(N$7=2005+OFFSET(COM_2012!$B$60,$AW254,SUMIF($B$10:$B$16,"NCAP_TLIFE",$AX$10:$AX$16)),0,""))</f>
        <v/>
      </c>
      <c r="O254" s="658" t="str">
        <f ca="1">IF($B254&lt;&gt;"PRC_RESID","",IF(O$7=2005+OFFSET(COM_2012!$B$60,$AW254,SUMIF($B$10:$B$16,"NCAP_TLIFE",$AX$10:$AX$16)),0,""))</f>
        <v/>
      </c>
      <c r="P254" s="369" t="str">
        <f ca="1">IF($B254&lt;&gt;"PRC_RESID","",IF(P$7=2005+OFFSET(COM_2012!$B$60,$AW254,SUMIF($B$10:$B$16,"NCAP_TLIFE",$AX$10:$AX$16)),0,""))</f>
        <v/>
      </c>
      <c r="Q254" s="369" t="str">
        <f ca="1">IF($B254&lt;&gt;"PRC_RESID","",IF(Q$7=2005+OFFSET(COM_2012!$B$60,$AW254,SUMIF($B$10:$B$16,"NCAP_TLIFE",$AX$10:$AX$16)),0,""))</f>
        <v/>
      </c>
      <c r="R254" s="369" t="str">
        <f ca="1">IF($B254&lt;&gt;"PRC_RESID","",IF(R$7=2005+OFFSET(COM_2012!$B$60,$AW254,SUMIF($B$10:$B$16,"NCAP_TLIFE",$AX$10:$AX$16)),0,""))</f>
        <v/>
      </c>
      <c r="S254" s="369" t="str">
        <f ca="1">IF($B254&lt;&gt;"PRC_RESID","",IF(S$7=2005+OFFSET(COM_2012!$B$60,$AW254,SUMIF($B$10:$B$16,"NCAP_TLIFE",$AX$10:$AX$16)),0,""))</f>
        <v/>
      </c>
      <c r="T254" s="369" t="str">
        <f ca="1">IF($B254&lt;&gt;"PRC_RESID","",IF(T$7=2005+OFFSET(COM_2012!$B$60,$AW254,SUMIF($B$10:$B$16,"NCAP_TLIFE",$AX$10:$AX$16)),0,""))</f>
        <v/>
      </c>
      <c r="U254" s="369" t="str">
        <f ca="1">IF($B254&lt;&gt;"PRC_RESID","",IF(U$7=2005+OFFSET(COM_2012!$B$60,$AW254,SUMIF($B$10:$B$16,"NCAP_TLIFE",$AX$10:$AX$16)),0,""))</f>
        <v/>
      </c>
      <c r="V254" s="369" t="str">
        <f ca="1">IF($B254&lt;&gt;"PRC_RESID","",IF(V$7=2005+OFFSET(COM_2012!$B$60,$AW254,SUMIF($B$10:$B$16,"NCAP_TLIFE",$AX$10:$AX$16)),0,""))</f>
        <v/>
      </c>
      <c r="W254" s="369" t="str">
        <f ca="1">IF($B254&lt;&gt;"PRC_RESID","",IF(W$7=2005+OFFSET(COM_2012!$B$60,$AW254,SUMIF($B$10:$B$16,"NCAP_TLIFE",$AX$10:$AX$16)),0,""))</f>
        <v/>
      </c>
      <c r="X254" s="369" t="str">
        <f ca="1">IF($B254&lt;&gt;"PRC_RESID","",IF(X$7=2005+OFFSET(COM_2012!$B$60,$AW254,SUMIF($B$10:$B$16,"NCAP_TLIFE",$AX$10:$AX$16)),0,""))</f>
        <v/>
      </c>
      <c r="Y254" s="369" t="str">
        <f ca="1">IF($B254&lt;&gt;"PRC_RESID","",IF(Y$7=2005+OFFSET(COM_2012!$B$60,$AW254,SUMIF($B$10:$B$16,"NCAP_TLIFE",$AX$10:$AX$16)),0,""))</f>
        <v/>
      </c>
      <c r="Z254" s="369" t="str">
        <f ca="1">IF($B254&lt;&gt;"PRC_RESID","",IF(Z$7=2005+OFFSET(COM_2012!$B$60,$AW254,SUMIF($B$10:$B$16,"NCAP_TLIFE",$AX$10:$AX$16)),0,""))</f>
        <v/>
      </c>
      <c r="AA254" s="369" t="str">
        <f ca="1">IF($B254&lt;&gt;"PRC_RESID","",IF(AA$7=2005+OFFSET(COM_2012!$B$60,$AW254,SUMIF($B$10:$B$16,"NCAP_TLIFE",$AX$10:$AX$16)),0,""))</f>
        <v/>
      </c>
      <c r="AB254" s="369" t="str">
        <f ca="1">IF($B254&lt;&gt;"PRC_RESID","",IF(AB$7=2005+OFFSET(COM_2012!$B$60,$AW254,SUMIF($B$10:$B$16,"NCAP_TLIFE",$AX$10:$AX$16)),0,""))</f>
        <v/>
      </c>
      <c r="AC254" s="369" t="str">
        <f ca="1">IF($B254&lt;&gt;"PRC_RESID","",IF(AC$7=2005+OFFSET(COM_2012!$B$60,$AW254,SUMIF($B$10:$B$16,"NCAP_TLIFE",$AX$10:$AX$16)),0,""))</f>
        <v/>
      </c>
      <c r="AD254" s="369" t="str">
        <f ca="1">IF($B254&lt;&gt;"PRC_RESID","",IF(AD$7=2005+OFFSET(COM_2012!$B$60,$AW254,SUMIF($B$10:$B$16,"NCAP_TLIFE",$AX$10:$AX$16)),0,""))</f>
        <v/>
      </c>
      <c r="AE254" s="369" t="str">
        <f ca="1">IF($B254&lt;&gt;"PRC_RESID","",IF(AE$7=2005+OFFSET(COM_2012!$B$60,$AW254,SUMIF($B$10:$B$16,"NCAP_TLIFE",$AX$10:$AX$16)),0,""))</f>
        <v/>
      </c>
      <c r="AF254" s="369" t="str">
        <f ca="1">IF($B254&lt;&gt;"PRC_RESID","",IF(AF$7=2005+OFFSET(COM_2012!$B$60,$AW254,SUMIF($B$10:$B$16,"NCAP_TLIFE",$AX$10:$AX$16)),0,""))</f>
        <v/>
      </c>
      <c r="AG254" s="369" t="str">
        <f ca="1">IF($B254&lt;&gt;"PRC_RESID","",IF(AG$7=2005+OFFSET(COM_2012!$B$60,$AW254,SUMIF($B$10:$B$16,"NCAP_TLIFE",$AX$10:$AX$16)),0,""))</f>
        <v/>
      </c>
      <c r="AH254" s="369" t="str">
        <f ca="1">IF($B254&lt;&gt;"PRC_RESID","",IF(AH$7=2005+OFFSET(COM_2012!$B$60,$AW254,SUMIF($B$10:$B$16,"NCAP_TLIFE",$AX$10:$AX$16)),0,""))</f>
        <v/>
      </c>
      <c r="AI254" s="369" t="str">
        <f ca="1">IF($B254&lt;&gt;"PRC_RESID","",IF(AI$7=2005+OFFSET(COM_2012!$B$60,$AW254,SUMIF($B$10:$B$16,"NCAP_TLIFE",$AX$10:$AX$16)),0,""))</f>
        <v/>
      </c>
      <c r="AJ254" s="369" t="str">
        <f ca="1">IF($B254&lt;&gt;"PRC_RESID","",IF(AJ$7=2005+OFFSET(COM_2012!$B$60,$AW254,SUMIF($B$10:$B$16,"NCAP_TLIFE",$AX$10:$AX$16)),0,""))</f>
        <v/>
      </c>
      <c r="AK254" s="369" t="str">
        <f ca="1">IF($B254&lt;&gt;"PRC_RESID","",IF(AK$7=2005+OFFSET(COM_2012!$B$60,$AW254,SUMIF($B$10:$B$16,"NCAP_TLIFE",$AX$10:$AX$16)),0,""))</f>
        <v/>
      </c>
      <c r="AL254" s="369" t="str">
        <f ca="1">IF($B254&lt;&gt;"PRC_RESID","",IF(AL$7=2005+OFFSET(COM_2012!$B$60,$AW254,SUMIF($B$10:$B$16,"NCAP_TLIFE",$AX$10:$AX$16)),0,""))</f>
        <v/>
      </c>
      <c r="AM254" s="369" t="str">
        <f ca="1">IF($B254&lt;&gt;"PRC_RESID","",IF(AM$7=2005+OFFSET(COM_2012!$B$60,$AW254,SUMIF($B$10:$B$16,"NCAP_TLIFE",$AX$10:$AX$16)),0,""))</f>
        <v/>
      </c>
      <c r="AN254" s="369" t="str">
        <f ca="1">IF($B254&lt;&gt;"PRC_RESID","",IF(AN$7=2005+OFFSET(COM_2012!$B$60,$AW254,SUMIF($B$10:$B$16,"NCAP_TLIFE",$AX$10:$AX$16)),0,""))</f>
        <v/>
      </c>
      <c r="AO254" s="369" t="str">
        <f ca="1">IF($B254&lt;&gt;"PRC_RESID","",IF(AO$7=2005+OFFSET(COM_2012!$B$60,$AW254,SUMIF($B$10:$B$16,"NCAP_TLIFE",$AX$10:$AX$16)),0,""))</f>
        <v/>
      </c>
      <c r="AP254" s="369" t="str">
        <f ca="1">IF($B254&lt;&gt;"PRC_RESID","",IF(AP$7=2005+OFFSET(COM_2012!$B$60,$AW254,SUMIF($B$10:$B$16,"NCAP_TLIFE",$AX$10:$AX$16)),0,""))</f>
        <v/>
      </c>
      <c r="AQ254" s="369" t="str">
        <f ca="1">IF($B254&lt;&gt;"PRC_RESID","",IF(AQ$7=2005+OFFSET(COM_2012!$B$60,$AW254,SUMIF($B$10:$B$16,"NCAP_TLIFE",$AX$10:$AX$16)),0,""))</f>
        <v/>
      </c>
      <c r="AR254" s="369" t="str">
        <f ca="1">IF($B254&lt;&gt;"PRC_RESID","",IF(AR$7=2005+OFFSET(COM_2012!$B$60,$AW254,SUMIF($B$10:$B$16,"NCAP_TLIFE",$AX$10:$AX$16)),0,""))</f>
        <v/>
      </c>
      <c r="AS254" s="369" t="str">
        <f ca="1">IF($B254&lt;&gt;"PRC_RESID","",IF(AS$7=2005+OFFSET(COM_2012!$B$60,$AW254,SUMIF($B$10:$B$16,"NCAP_TLIFE",$AX$10:$AX$16)),0,""))</f>
        <v/>
      </c>
      <c r="AT254" s="369" t="str">
        <f ca="1">IF($B254&lt;&gt;"PRC_RESID","",IF(AT$7=2005+OFFSET(COM_2012!$B$60,$AW254,SUMIF($B$10:$B$16,"NCAP_TLIFE",$AX$10:$AX$16)),0,""))</f>
        <v/>
      </c>
      <c r="AU254" s="369" t="str">
        <f ca="1">IF($B254&lt;&gt;"PRC_RESID","",IF(AU$7=2005+OFFSET(COM_2012!$B$60,$AW254,SUMIF($B$10:$B$16,"NCAP_TLIFE",$AX$10:$AX$16)),0,""))</f>
        <v/>
      </c>
      <c r="AV254" s="304">
        <f>IF(AW253=COM_2012!$AI$121,AV253+1,AV253)</f>
        <v>4</v>
      </c>
      <c r="AW254" s="304">
        <f t="shared" si="23"/>
        <v>44</v>
      </c>
    </row>
    <row r="255" spans="1:49">
      <c r="A255" s="304" t="str">
        <f ca="1">IF(LEFT(OFFSET(COM_2012!$A$60,AW255,0),2)="\I","*","")</f>
        <v/>
      </c>
      <c r="B255" s="369" t="str">
        <f t="shared" ca="1" si="22"/>
        <v>NCAP_COST</v>
      </c>
      <c r="C255" s="369" t="str">
        <f ca="1">IF($A255="*","",OFFSET(COM_2012!$B$60,AW255,0))</f>
        <v>CEGELCHPS-E</v>
      </c>
      <c r="D255" s="369" t="str">
        <f t="shared" ca="1" si="25"/>
        <v>-</v>
      </c>
      <c r="E255" s="369" t="str">
        <f t="shared" ca="1" si="25"/>
        <v>-</v>
      </c>
      <c r="F255" s="369" t="str">
        <f t="shared" ca="1" si="25"/>
        <v>-</v>
      </c>
      <c r="G255" s="369" t="str">
        <f t="shared" ca="1" si="25"/>
        <v>-</v>
      </c>
      <c r="H255" s="369" t="str">
        <f t="shared" ca="1" si="25"/>
        <v>-</v>
      </c>
      <c r="I255" s="370">
        <f t="shared" ca="1" si="25"/>
        <v>0</v>
      </c>
      <c r="J255" s="391">
        <f ca="1">IF($A255="*","",OFFSET(COM_2012!$B$60,AW255,SUMIF($B$10:$B$16,B255,$AX$10:$AX$16)))</f>
        <v>0.75829581287827852</v>
      </c>
      <c r="K255" s="369" t="str">
        <f ca="1">IF($B255&lt;&gt;"PRC_RESID","",IF(K$7=2005+OFFSET(COM_2012!$B$60,$AW255,SUMIF($B$10:$B$16,"NCAP_TLIFE",$AX$10:$AX$16)),0,""))</f>
        <v/>
      </c>
      <c r="L255" s="369" t="str">
        <f ca="1">IF($B255&lt;&gt;"PRC_RESID","",IF(L$7=2005+OFFSET(COM_2012!$B$60,$AW255,SUMIF($B$10:$B$16,"NCAP_TLIFE",$AX$10:$AX$16)),0,""))</f>
        <v/>
      </c>
      <c r="M255" s="369" t="str">
        <f ca="1">IF($B255&lt;&gt;"PRC_RESID","",IF(M$7=2005+OFFSET(COM_2012!$B$60,$AW255,SUMIF($B$10:$B$16,"NCAP_TLIFE",$AX$10:$AX$16)),0,""))</f>
        <v/>
      </c>
      <c r="N255" s="369" t="str">
        <f ca="1">IF($B255&lt;&gt;"PRC_RESID","",IF(N$7=2005+OFFSET(COM_2012!$B$60,$AW255,SUMIF($B$10:$B$16,"NCAP_TLIFE",$AX$10:$AX$16)),0,""))</f>
        <v/>
      </c>
      <c r="O255" s="658" t="str">
        <f ca="1">IF($B255&lt;&gt;"PRC_RESID","",IF(O$7=2005+OFFSET(COM_2012!$B$60,$AW255,SUMIF($B$10:$B$16,"NCAP_TLIFE",$AX$10:$AX$16)),0,""))</f>
        <v/>
      </c>
      <c r="P255" s="369" t="str">
        <f ca="1">IF($B255&lt;&gt;"PRC_RESID","",IF(P$7=2005+OFFSET(COM_2012!$B$60,$AW255,SUMIF($B$10:$B$16,"NCAP_TLIFE",$AX$10:$AX$16)),0,""))</f>
        <v/>
      </c>
      <c r="Q255" s="369" t="str">
        <f ca="1">IF($B255&lt;&gt;"PRC_RESID","",IF(Q$7=2005+OFFSET(COM_2012!$B$60,$AW255,SUMIF($B$10:$B$16,"NCAP_TLIFE",$AX$10:$AX$16)),0,""))</f>
        <v/>
      </c>
      <c r="R255" s="369" t="str">
        <f ca="1">IF($B255&lt;&gt;"PRC_RESID","",IF(R$7=2005+OFFSET(COM_2012!$B$60,$AW255,SUMIF($B$10:$B$16,"NCAP_TLIFE",$AX$10:$AX$16)),0,""))</f>
        <v/>
      </c>
      <c r="S255" s="369" t="str">
        <f ca="1">IF($B255&lt;&gt;"PRC_RESID","",IF(S$7=2005+OFFSET(COM_2012!$B$60,$AW255,SUMIF($B$10:$B$16,"NCAP_TLIFE",$AX$10:$AX$16)),0,""))</f>
        <v/>
      </c>
      <c r="T255" s="369" t="str">
        <f ca="1">IF($B255&lt;&gt;"PRC_RESID","",IF(T$7=2005+OFFSET(COM_2012!$B$60,$AW255,SUMIF($B$10:$B$16,"NCAP_TLIFE",$AX$10:$AX$16)),0,""))</f>
        <v/>
      </c>
      <c r="U255" s="369" t="str">
        <f ca="1">IF($B255&lt;&gt;"PRC_RESID","",IF(U$7=2005+OFFSET(COM_2012!$B$60,$AW255,SUMIF($B$10:$B$16,"NCAP_TLIFE",$AX$10:$AX$16)),0,""))</f>
        <v/>
      </c>
      <c r="V255" s="369" t="str">
        <f ca="1">IF($B255&lt;&gt;"PRC_RESID","",IF(V$7=2005+OFFSET(COM_2012!$B$60,$AW255,SUMIF($B$10:$B$16,"NCAP_TLIFE",$AX$10:$AX$16)),0,""))</f>
        <v/>
      </c>
      <c r="W255" s="369" t="str">
        <f ca="1">IF($B255&lt;&gt;"PRC_RESID","",IF(W$7=2005+OFFSET(COM_2012!$B$60,$AW255,SUMIF($B$10:$B$16,"NCAP_TLIFE",$AX$10:$AX$16)),0,""))</f>
        <v/>
      </c>
      <c r="X255" s="369" t="str">
        <f ca="1">IF($B255&lt;&gt;"PRC_RESID","",IF(X$7=2005+OFFSET(COM_2012!$B$60,$AW255,SUMIF($B$10:$B$16,"NCAP_TLIFE",$AX$10:$AX$16)),0,""))</f>
        <v/>
      </c>
      <c r="Y255" s="369" t="str">
        <f ca="1">IF($B255&lt;&gt;"PRC_RESID","",IF(Y$7=2005+OFFSET(COM_2012!$B$60,$AW255,SUMIF($B$10:$B$16,"NCAP_TLIFE",$AX$10:$AX$16)),0,""))</f>
        <v/>
      </c>
      <c r="Z255" s="369" t="str">
        <f ca="1">IF($B255&lt;&gt;"PRC_RESID","",IF(Z$7=2005+OFFSET(COM_2012!$B$60,$AW255,SUMIF($B$10:$B$16,"NCAP_TLIFE",$AX$10:$AX$16)),0,""))</f>
        <v/>
      </c>
      <c r="AA255" s="369" t="str">
        <f ca="1">IF($B255&lt;&gt;"PRC_RESID","",IF(AA$7=2005+OFFSET(COM_2012!$B$60,$AW255,SUMIF($B$10:$B$16,"NCAP_TLIFE",$AX$10:$AX$16)),0,""))</f>
        <v/>
      </c>
      <c r="AB255" s="369" t="str">
        <f ca="1">IF($B255&lt;&gt;"PRC_RESID","",IF(AB$7=2005+OFFSET(COM_2012!$B$60,$AW255,SUMIF($B$10:$B$16,"NCAP_TLIFE",$AX$10:$AX$16)),0,""))</f>
        <v/>
      </c>
      <c r="AC255" s="369" t="str">
        <f ca="1">IF($B255&lt;&gt;"PRC_RESID","",IF(AC$7=2005+OFFSET(COM_2012!$B$60,$AW255,SUMIF($B$10:$B$16,"NCAP_TLIFE",$AX$10:$AX$16)),0,""))</f>
        <v/>
      </c>
      <c r="AD255" s="369" t="str">
        <f ca="1">IF($B255&lt;&gt;"PRC_RESID","",IF(AD$7=2005+OFFSET(COM_2012!$B$60,$AW255,SUMIF($B$10:$B$16,"NCAP_TLIFE",$AX$10:$AX$16)),0,""))</f>
        <v/>
      </c>
      <c r="AE255" s="369" t="str">
        <f ca="1">IF($B255&lt;&gt;"PRC_RESID","",IF(AE$7=2005+OFFSET(COM_2012!$B$60,$AW255,SUMIF($B$10:$B$16,"NCAP_TLIFE",$AX$10:$AX$16)),0,""))</f>
        <v/>
      </c>
      <c r="AF255" s="369" t="str">
        <f ca="1">IF($B255&lt;&gt;"PRC_RESID","",IF(AF$7=2005+OFFSET(COM_2012!$B$60,$AW255,SUMIF($B$10:$B$16,"NCAP_TLIFE",$AX$10:$AX$16)),0,""))</f>
        <v/>
      </c>
      <c r="AG255" s="369" t="str">
        <f ca="1">IF($B255&lt;&gt;"PRC_RESID","",IF(AG$7=2005+OFFSET(COM_2012!$B$60,$AW255,SUMIF($B$10:$B$16,"NCAP_TLIFE",$AX$10:$AX$16)),0,""))</f>
        <v/>
      </c>
      <c r="AH255" s="369" t="str">
        <f ca="1">IF($B255&lt;&gt;"PRC_RESID","",IF(AH$7=2005+OFFSET(COM_2012!$B$60,$AW255,SUMIF($B$10:$B$16,"NCAP_TLIFE",$AX$10:$AX$16)),0,""))</f>
        <v/>
      </c>
      <c r="AI255" s="369" t="str">
        <f ca="1">IF($B255&lt;&gt;"PRC_RESID","",IF(AI$7=2005+OFFSET(COM_2012!$B$60,$AW255,SUMIF($B$10:$B$16,"NCAP_TLIFE",$AX$10:$AX$16)),0,""))</f>
        <v/>
      </c>
      <c r="AJ255" s="369" t="str">
        <f ca="1">IF($B255&lt;&gt;"PRC_RESID","",IF(AJ$7=2005+OFFSET(COM_2012!$B$60,$AW255,SUMIF($B$10:$B$16,"NCAP_TLIFE",$AX$10:$AX$16)),0,""))</f>
        <v/>
      </c>
      <c r="AK255" s="369" t="str">
        <f ca="1">IF($B255&lt;&gt;"PRC_RESID","",IF(AK$7=2005+OFFSET(COM_2012!$B$60,$AW255,SUMIF($B$10:$B$16,"NCAP_TLIFE",$AX$10:$AX$16)),0,""))</f>
        <v/>
      </c>
      <c r="AL255" s="369" t="str">
        <f ca="1">IF($B255&lt;&gt;"PRC_RESID","",IF(AL$7=2005+OFFSET(COM_2012!$B$60,$AW255,SUMIF($B$10:$B$16,"NCAP_TLIFE",$AX$10:$AX$16)),0,""))</f>
        <v/>
      </c>
      <c r="AM255" s="369" t="str">
        <f ca="1">IF($B255&lt;&gt;"PRC_RESID","",IF(AM$7=2005+OFFSET(COM_2012!$B$60,$AW255,SUMIF($B$10:$B$16,"NCAP_TLIFE",$AX$10:$AX$16)),0,""))</f>
        <v/>
      </c>
      <c r="AN255" s="369" t="str">
        <f ca="1">IF($B255&lt;&gt;"PRC_RESID","",IF(AN$7=2005+OFFSET(COM_2012!$B$60,$AW255,SUMIF($B$10:$B$16,"NCAP_TLIFE",$AX$10:$AX$16)),0,""))</f>
        <v/>
      </c>
      <c r="AO255" s="369" t="str">
        <f ca="1">IF($B255&lt;&gt;"PRC_RESID","",IF(AO$7=2005+OFFSET(COM_2012!$B$60,$AW255,SUMIF($B$10:$B$16,"NCAP_TLIFE",$AX$10:$AX$16)),0,""))</f>
        <v/>
      </c>
      <c r="AP255" s="369" t="str">
        <f ca="1">IF($B255&lt;&gt;"PRC_RESID","",IF(AP$7=2005+OFFSET(COM_2012!$B$60,$AW255,SUMIF($B$10:$B$16,"NCAP_TLIFE",$AX$10:$AX$16)),0,""))</f>
        <v/>
      </c>
      <c r="AQ255" s="369" t="str">
        <f ca="1">IF($B255&lt;&gt;"PRC_RESID","",IF(AQ$7=2005+OFFSET(COM_2012!$B$60,$AW255,SUMIF($B$10:$B$16,"NCAP_TLIFE",$AX$10:$AX$16)),0,""))</f>
        <v/>
      </c>
      <c r="AR255" s="369" t="str">
        <f ca="1">IF($B255&lt;&gt;"PRC_RESID","",IF(AR$7=2005+OFFSET(COM_2012!$B$60,$AW255,SUMIF($B$10:$B$16,"NCAP_TLIFE",$AX$10:$AX$16)),0,""))</f>
        <v/>
      </c>
      <c r="AS255" s="369" t="str">
        <f ca="1">IF($B255&lt;&gt;"PRC_RESID","",IF(AS$7=2005+OFFSET(COM_2012!$B$60,$AW255,SUMIF($B$10:$B$16,"NCAP_TLIFE",$AX$10:$AX$16)),0,""))</f>
        <v/>
      </c>
      <c r="AT255" s="369" t="str">
        <f ca="1">IF($B255&lt;&gt;"PRC_RESID","",IF(AT$7=2005+OFFSET(COM_2012!$B$60,$AW255,SUMIF($B$10:$B$16,"NCAP_TLIFE",$AX$10:$AX$16)),0,""))</f>
        <v/>
      </c>
      <c r="AU255" s="369" t="str">
        <f ca="1">IF($B255&lt;&gt;"PRC_RESID","",IF(AU$7=2005+OFFSET(COM_2012!$B$60,$AW255,SUMIF($B$10:$B$16,"NCAP_TLIFE",$AX$10:$AX$16)),0,""))</f>
        <v/>
      </c>
      <c r="AV255" s="304">
        <f>IF(AW254=COM_2012!$AI$121,AV254+1,AV254)</f>
        <v>4</v>
      </c>
      <c r="AW255" s="304">
        <f t="shared" si="23"/>
        <v>45</v>
      </c>
    </row>
    <row r="256" spans="1:49">
      <c r="A256" s="304" t="str">
        <f ca="1">IF(LEFT(OFFSET(COM_2012!$A$60,AW256,0),2)="\I","*","")</f>
        <v/>
      </c>
      <c r="B256" s="369" t="str">
        <f t="shared" ca="1" si="22"/>
        <v>NCAP_COST</v>
      </c>
      <c r="C256" s="369" t="str">
        <f ca="1">IF($A256="*","",OFFSET(COM_2012!$B$60,AW256,0))</f>
        <v>CEGELCMHL-E</v>
      </c>
      <c r="D256" s="369" t="str">
        <f t="shared" ca="1" si="25"/>
        <v>-</v>
      </c>
      <c r="E256" s="369" t="str">
        <f t="shared" ca="1" si="25"/>
        <v>-</v>
      </c>
      <c r="F256" s="369" t="str">
        <f t="shared" ca="1" si="25"/>
        <v>-</v>
      </c>
      <c r="G256" s="369" t="str">
        <f t="shared" ca="1" si="25"/>
        <v>-</v>
      </c>
      <c r="H256" s="369" t="str">
        <f t="shared" ca="1" si="25"/>
        <v>-</v>
      </c>
      <c r="I256" s="370">
        <f t="shared" ca="1" si="25"/>
        <v>0</v>
      </c>
      <c r="J256" s="391">
        <f ca="1">IF($A256="*","",OFFSET(COM_2012!$B$60,AW256,SUMIF($B$10:$B$16,B256,$AX$10:$AX$16)))</f>
        <v>0.30666374785518619</v>
      </c>
      <c r="K256" s="369" t="str">
        <f ca="1">IF($B256&lt;&gt;"PRC_RESID","",IF(K$7=2005+OFFSET(COM_2012!$B$60,$AW256,SUMIF($B$10:$B$16,"NCAP_TLIFE",$AX$10:$AX$16)),0,""))</f>
        <v/>
      </c>
      <c r="L256" s="369" t="str">
        <f ca="1">IF($B256&lt;&gt;"PRC_RESID","",IF(L$7=2005+OFFSET(COM_2012!$B$60,$AW256,SUMIF($B$10:$B$16,"NCAP_TLIFE",$AX$10:$AX$16)),0,""))</f>
        <v/>
      </c>
      <c r="M256" s="369" t="str">
        <f ca="1">IF($B256&lt;&gt;"PRC_RESID","",IF(M$7=2005+OFFSET(COM_2012!$B$60,$AW256,SUMIF($B$10:$B$16,"NCAP_TLIFE",$AX$10:$AX$16)),0,""))</f>
        <v/>
      </c>
      <c r="N256" s="369" t="str">
        <f ca="1">IF($B256&lt;&gt;"PRC_RESID","",IF(N$7=2005+OFFSET(COM_2012!$B$60,$AW256,SUMIF($B$10:$B$16,"NCAP_TLIFE",$AX$10:$AX$16)),0,""))</f>
        <v/>
      </c>
      <c r="O256" s="658" t="str">
        <f ca="1">IF($B256&lt;&gt;"PRC_RESID","",IF(O$7=2005+OFFSET(COM_2012!$B$60,$AW256,SUMIF($B$10:$B$16,"NCAP_TLIFE",$AX$10:$AX$16)),0,""))</f>
        <v/>
      </c>
      <c r="P256" s="369" t="str">
        <f ca="1">IF($B256&lt;&gt;"PRC_RESID","",IF(P$7=2005+OFFSET(COM_2012!$B$60,$AW256,SUMIF($B$10:$B$16,"NCAP_TLIFE",$AX$10:$AX$16)),0,""))</f>
        <v/>
      </c>
      <c r="Q256" s="369" t="str">
        <f ca="1">IF($B256&lt;&gt;"PRC_RESID","",IF(Q$7=2005+OFFSET(COM_2012!$B$60,$AW256,SUMIF($B$10:$B$16,"NCAP_TLIFE",$AX$10:$AX$16)),0,""))</f>
        <v/>
      </c>
      <c r="R256" s="369" t="str">
        <f ca="1">IF($B256&lt;&gt;"PRC_RESID","",IF(R$7=2005+OFFSET(COM_2012!$B$60,$AW256,SUMIF($B$10:$B$16,"NCAP_TLIFE",$AX$10:$AX$16)),0,""))</f>
        <v/>
      </c>
      <c r="S256" s="369" t="str">
        <f ca="1">IF($B256&lt;&gt;"PRC_RESID","",IF(S$7=2005+OFFSET(COM_2012!$B$60,$AW256,SUMIF($B$10:$B$16,"NCAP_TLIFE",$AX$10:$AX$16)),0,""))</f>
        <v/>
      </c>
      <c r="T256" s="369" t="str">
        <f ca="1">IF($B256&lt;&gt;"PRC_RESID","",IF(T$7=2005+OFFSET(COM_2012!$B$60,$AW256,SUMIF($B$10:$B$16,"NCAP_TLIFE",$AX$10:$AX$16)),0,""))</f>
        <v/>
      </c>
      <c r="U256" s="369" t="str">
        <f ca="1">IF($B256&lt;&gt;"PRC_RESID","",IF(U$7=2005+OFFSET(COM_2012!$B$60,$AW256,SUMIF($B$10:$B$16,"NCAP_TLIFE",$AX$10:$AX$16)),0,""))</f>
        <v/>
      </c>
      <c r="V256" s="369" t="str">
        <f ca="1">IF($B256&lt;&gt;"PRC_RESID","",IF(V$7=2005+OFFSET(COM_2012!$B$60,$AW256,SUMIF($B$10:$B$16,"NCAP_TLIFE",$AX$10:$AX$16)),0,""))</f>
        <v/>
      </c>
      <c r="W256" s="369" t="str">
        <f ca="1">IF($B256&lt;&gt;"PRC_RESID","",IF(W$7=2005+OFFSET(COM_2012!$B$60,$AW256,SUMIF($B$10:$B$16,"NCAP_TLIFE",$AX$10:$AX$16)),0,""))</f>
        <v/>
      </c>
      <c r="X256" s="369" t="str">
        <f ca="1">IF($B256&lt;&gt;"PRC_RESID","",IF(X$7=2005+OFFSET(COM_2012!$B$60,$AW256,SUMIF($B$10:$B$16,"NCAP_TLIFE",$AX$10:$AX$16)),0,""))</f>
        <v/>
      </c>
      <c r="Y256" s="369" t="str">
        <f ca="1">IF($B256&lt;&gt;"PRC_RESID","",IF(Y$7=2005+OFFSET(COM_2012!$B$60,$AW256,SUMIF($B$10:$B$16,"NCAP_TLIFE",$AX$10:$AX$16)),0,""))</f>
        <v/>
      </c>
      <c r="Z256" s="369" t="str">
        <f ca="1">IF($B256&lt;&gt;"PRC_RESID","",IF(Z$7=2005+OFFSET(COM_2012!$B$60,$AW256,SUMIF($B$10:$B$16,"NCAP_TLIFE",$AX$10:$AX$16)),0,""))</f>
        <v/>
      </c>
      <c r="AA256" s="369" t="str">
        <f ca="1">IF($B256&lt;&gt;"PRC_RESID","",IF(AA$7=2005+OFFSET(COM_2012!$B$60,$AW256,SUMIF($B$10:$B$16,"NCAP_TLIFE",$AX$10:$AX$16)),0,""))</f>
        <v/>
      </c>
      <c r="AB256" s="369" t="str">
        <f ca="1">IF($B256&lt;&gt;"PRC_RESID","",IF(AB$7=2005+OFFSET(COM_2012!$B$60,$AW256,SUMIF($B$10:$B$16,"NCAP_TLIFE",$AX$10:$AX$16)),0,""))</f>
        <v/>
      </c>
      <c r="AC256" s="369" t="str">
        <f ca="1">IF($B256&lt;&gt;"PRC_RESID","",IF(AC$7=2005+OFFSET(COM_2012!$B$60,$AW256,SUMIF($B$10:$B$16,"NCAP_TLIFE",$AX$10:$AX$16)),0,""))</f>
        <v/>
      </c>
      <c r="AD256" s="369" t="str">
        <f ca="1">IF($B256&lt;&gt;"PRC_RESID","",IF(AD$7=2005+OFFSET(COM_2012!$B$60,$AW256,SUMIF($B$10:$B$16,"NCAP_TLIFE",$AX$10:$AX$16)),0,""))</f>
        <v/>
      </c>
      <c r="AE256" s="369" t="str">
        <f ca="1">IF($B256&lt;&gt;"PRC_RESID","",IF(AE$7=2005+OFFSET(COM_2012!$B$60,$AW256,SUMIF($B$10:$B$16,"NCAP_TLIFE",$AX$10:$AX$16)),0,""))</f>
        <v/>
      </c>
      <c r="AF256" s="369" t="str">
        <f ca="1">IF($B256&lt;&gt;"PRC_RESID","",IF(AF$7=2005+OFFSET(COM_2012!$B$60,$AW256,SUMIF($B$10:$B$16,"NCAP_TLIFE",$AX$10:$AX$16)),0,""))</f>
        <v/>
      </c>
      <c r="AG256" s="369" t="str">
        <f ca="1">IF($B256&lt;&gt;"PRC_RESID","",IF(AG$7=2005+OFFSET(COM_2012!$B$60,$AW256,SUMIF($B$10:$B$16,"NCAP_TLIFE",$AX$10:$AX$16)),0,""))</f>
        <v/>
      </c>
      <c r="AH256" s="369" t="str">
        <f ca="1">IF($B256&lt;&gt;"PRC_RESID","",IF(AH$7=2005+OFFSET(COM_2012!$B$60,$AW256,SUMIF($B$10:$B$16,"NCAP_TLIFE",$AX$10:$AX$16)),0,""))</f>
        <v/>
      </c>
      <c r="AI256" s="369" t="str">
        <f ca="1">IF($B256&lt;&gt;"PRC_RESID","",IF(AI$7=2005+OFFSET(COM_2012!$B$60,$AW256,SUMIF($B$10:$B$16,"NCAP_TLIFE",$AX$10:$AX$16)),0,""))</f>
        <v/>
      </c>
      <c r="AJ256" s="369" t="str">
        <f ca="1">IF($B256&lt;&gt;"PRC_RESID","",IF(AJ$7=2005+OFFSET(COM_2012!$B$60,$AW256,SUMIF($B$10:$B$16,"NCAP_TLIFE",$AX$10:$AX$16)),0,""))</f>
        <v/>
      </c>
      <c r="AK256" s="369" t="str">
        <f ca="1">IF($B256&lt;&gt;"PRC_RESID","",IF(AK$7=2005+OFFSET(COM_2012!$B$60,$AW256,SUMIF($B$10:$B$16,"NCAP_TLIFE",$AX$10:$AX$16)),0,""))</f>
        <v/>
      </c>
      <c r="AL256" s="369" t="str">
        <f ca="1">IF($B256&lt;&gt;"PRC_RESID","",IF(AL$7=2005+OFFSET(COM_2012!$B$60,$AW256,SUMIF($B$10:$B$16,"NCAP_TLIFE",$AX$10:$AX$16)),0,""))</f>
        <v/>
      </c>
      <c r="AM256" s="369" t="str">
        <f ca="1">IF($B256&lt;&gt;"PRC_RESID","",IF(AM$7=2005+OFFSET(COM_2012!$B$60,$AW256,SUMIF($B$10:$B$16,"NCAP_TLIFE",$AX$10:$AX$16)),0,""))</f>
        <v/>
      </c>
      <c r="AN256" s="369" t="str">
        <f ca="1">IF($B256&lt;&gt;"PRC_RESID","",IF(AN$7=2005+OFFSET(COM_2012!$B$60,$AW256,SUMIF($B$10:$B$16,"NCAP_TLIFE",$AX$10:$AX$16)),0,""))</f>
        <v/>
      </c>
      <c r="AO256" s="369" t="str">
        <f ca="1">IF($B256&lt;&gt;"PRC_RESID","",IF(AO$7=2005+OFFSET(COM_2012!$B$60,$AW256,SUMIF($B$10:$B$16,"NCAP_TLIFE",$AX$10:$AX$16)),0,""))</f>
        <v/>
      </c>
      <c r="AP256" s="369" t="str">
        <f ca="1">IF($B256&lt;&gt;"PRC_RESID","",IF(AP$7=2005+OFFSET(COM_2012!$B$60,$AW256,SUMIF($B$10:$B$16,"NCAP_TLIFE",$AX$10:$AX$16)),0,""))</f>
        <v/>
      </c>
      <c r="AQ256" s="369" t="str">
        <f ca="1">IF($B256&lt;&gt;"PRC_RESID","",IF(AQ$7=2005+OFFSET(COM_2012!$B$60,$AW256,SUMIF($B$10:$B$16,"NCAP_TLIFE",$AX$10:$AX$16)),0,""))</f>
        <v/>
      </c>
      <c r="AR256" s="369" t="str">
        <f ca="1">IF($B256&lt;&gt;"PRC_RESID","",IF(AR$7=2005+OFFSET(COM_2012!$B$60,$AW256,SUMIF($B$10:$B$16,"NCAP_TLIFE",$AX$10:$AX$16)),0,""))</f>
        <v/>
      </c>
      <c r="AS256" s="369" t="str">
        <f ca="1">IF($B256&lt;&gt;"PRC_RESID","",IF(AS$7=2005+OFFSET(COM_2012!$B$60,$AW256,SUMIF($B$10:$B$16,"NCAP_TLIFE",$AX$10:$AX$16)),0,""))</f>
        <v/>
      </c>
      <c r="AT256" s="369" t="str">
        <f ca="1">IF($B256&lt;&gt;"PRC_RESID","",IF(AT$7=2005+OFFSET(COM_2012!$B$60,$AW256,SUMIF($B$10:$B$16,"NCAP_TLIFE",$AX$10:$AX$16)),0,""))</f>
        <v/>
      </c>
      <c r="AU256" s="369" t="str">
        <f ca="1">IF($B256&lt;&gt;"PRC_RESID","",IF(AU$7=2005+OFFSET(COM_2012!$B$60,$AW256,SUMIF($B$10:$B$16,"NCAP_TLIFE",$AX$10:$AX$16)),0,""))</f>
        <v/>
      </c>
      <c r="AV256" s="304">
        <f>IF(AW255=COM_2012!$AI$121,AV255+1,AV255)</f>
        <v>4</v>
      </c>
      <c r="AW256" s="304">
        <f t="shared" si="23"/>
        <v>46</v>
      </c>
    </row>
    <row r="257" spans="1:49">
      <c r="A257" s="304" t="str">
        <f ca="1">IF(LEFT(OFFSET(COM_2012!$A$60,AW257,0),2)="\I","*","")</f>
        <v/>
      </c>
      <c r="B257" s="369" t="str">
        <f t="shared" ca="1" si="22"/>
        <v>NCAP_COST</v>
      </c>
      <c r="C257" s="369" t="str">
        <f ca="1">IF($A257="*","",OFFSET(COM_2012!$B$60,AW257,0))</f>
        <v>CEGELCLED-N</v>
      </c>
      <c r="D257" s="369" t="str">
        <f t="shared" ca="1" si="25"/>
        <v>-</v>
      </c>
      <c r="E257" s="369" t="str">
        <f t="shared" ca="1" si="25"/>
        <v>-</v>
      </c>
      <c r="F257" s="369" t="str">
        <f t="shared" ca="1" si="25"/>
        <v>-</v>
      </c>
      <c r="G257" s="369" t="str">
        <f t="shared" ca="1" si="25"/>
        <v>-</v>
      </c>
      <c r="H257" s="369" t="str">
        <f t="shared" ca="1" si="25"/>
        <v>-</v>
      </c>
      <c r="I257" s="370">
        <f t="shared" ca="1" si="25"/>
        <v>0</v>
      </c>
      <c r="J257" s="391">
        <f ca="1">IF($A257="*","",OFFSET(COM_2012!$B$60,AW257,SUMIF($B$10:$B$16,B257,$AX$10:$AX$16)))</f>
        <v>4.9258814903416521</v>
      </c>
      <c r="K257" s="369" t="str">
        <f ca="1">IF($B257&lt;&gt;"PRC_RESID","",IF(K$7=2005+OFFSET(COM_2012!$B$60,$AW257,SUMIF($B$10:$B$16,"NCAP_TLIFE",$AX$10:$AX$16)),0,""))</f>
        <v/>
      </c>
      <c r="L257" s="369" t="str">
        <f ca="1">IF($B257&lt;&gt;"PRC_RESID","",IF(L$7=2005+OFFSET(COM_2012!$B$60,$AW257,SUMIF($B$10:$B$16,"NCAP_TLIFE",$AX$10:$AX$16)),0,""))</f>
        <v/>
      </c>
      <c r="M257" s="369" t="str">
        <f ca="1">IF($B257&lt;&gt;"PRC_RESID","",IF(M$7=2005+OFFSET(COM_2012!$B$60,$AW257,SUMIF($B$10:$B$16,"NCAP_TLIFE",$AX$10:$AX$16)),0,""))</f>
        <v/>
      </c>
      <c r="N257" s="369" t="str">
        <f ca="1">IF($B257&lt;&gt;"PRC_RESID","",IF(N$7=2005+OFFSET(COM_2012!$B$60,$AW257,SUMIF($B$10:$B$16,"NCAP_TLIFE",$AX$10:$AX$16)),0,""))</f>
        <v/>
      </c>
      <c r="O257" s="658" t="str">
        <f ca="1">IF($B257&lt;&gt;"PRC_RESID","",IF(O$7=2005+OFFSET(COM_2012!$B$60,$AW257,SUMIF($B$10:$B$16,"NCAP_TLIFE",$AX$10:$AX$16)),0,""))</f>
        <v/>
      </c>
      <c r="P257" s="369" t="str">
        <f ca="1">IF($B257&lt;&gt;"PRC_RESID","",IF(P$7=2005+OFFSET(COM_2012!$B$60,$AW257,SUMIF($B$10:$B$16,"NCAP_TLIFE",$AX$10:$AX$16)),0,""))</f>
        <v/>
      </c>
      <c r="Q257" s="369" t="str">
        <f ca="1">IF($B257&lt;&gt;"PRC_RESID","",IF(Q$7=2005+OFFSET(COM_2012!$B$60,$AW257,SUMIF($B$10:$B$16,"NCAP_TLIFE",$AX$10:$AX$16)),0,""))</f>
        <v/>
      </c>
      <c r="R257" s="369" t="str">
        <f ca="1">IF($B257&lt;&gt;"PRC_RESID","",IF(R$7=2005+OFFSET(COM_2012!$B$60,$AW257,SUMIF($B$10:$B$16,"NCAP_TLIFE",$AX$10:$AX$16)),0,""))</f>
        <v/>
      </c>
      <c r="S257" s="369" t="str">
        <f ca="1">IF($B257&lt;&gt;"PRC_RESID","",IF(S$7=2005+OFFSET(COM_2012!$B$60,$AW257,SUMIF($B$10:$B$16,"NCAP_TLIFE",$AX$10:$AX$16)),0,""))</f>
        <v/>
      </c>
      <c r="T257" s="369" t="str">
        <f ca="1">IF($B257&lt;&gt;"PRC_RESID","",IF(T$7=2005+OFFSET(COM_2012!$B$60,$AW257,SUMIF($B$10:$B$16,"NCAP_TLIFE",$AX$10:$AX$16)),0,""))</f>
        <v/>
      </c>
      <c r="U257" s="369" t="str">
        <f ca="1">IF($B257&lt;&gt;"PRC_RESID","",IF(U$7=2005+OFFSET(COM_2012!$B$60,$AW257,SUMIF($B$10:$B$16,"NCAP_TLIFE",$AX$10:$AX$16)),0,""))</f>
        <v/>
      </c>
      <c r="V257" s="369" t="str">
        <f ca="1">IF($B257&lt;&gt;"PRC_RESID","",IF(V$7=2005+OFFSET(COM_2012!$B$60,$AW257,SUMIF($B$10:$B$16,"NCAP_TLIFE",$AX$10:$AX$16)),0,""))</f>
        <v/>
      </c>
      <c r="W257" s="369" t="str">
        <f ca="1">IF($B257&lt;&gt;"PRC_RESID","",IF(W$7=2005+OFFSET(COM_2012!$B$60,$AW257,SUMIF($B$10:$B$16,"NCAP_TLIFE",$AX$10:$AX$16)),0,""))</f>
        <v/>
      </c>
      <c r="X257" s="369" t="str">
        <f ca="1">IF($B257&lt;&gt;"PRC_RESID","",IF(X$7=2005+OFFSET(COM_2012!$B$60,$AW257,SUMIF($B$10:$B$16,"NCAP_TLIFE",$AX$10:$AX$16)),0,""))</f>
        <v/>
      </c>
      <c r="Y257" s="369" t="str">
        <f ca="1">IF($B257&lt;&gt;"PRC_RESID","",IF(Y$7=2005+OFFSET(COM_2012!$B$60,$AW257,SUMIF($B$10:$B$16,"NCAP_TLIFE",$AX$10:$AX$16)),0,""))</f>
        <v/>
      </c>
      <c r="Z257" s="369" t="str">
        <f ca="1">IF($B257&lt;&gt;"PRC_RESID","",IF(Z$7=2005+OFFSET(COM_2012!$B$60,$AW257,SUMIF($B$10:$B$16,"NCAP_TLIFE",$AX$10:$AX$16)),0,""))</f>
        <v/>
      </c>
      <c r="AA257" s="369" t="str">
        <f ca="1">IF($B257&lt;&gt;"PRC_RESID","",IF(AA$7=2005+OFFSET(COM_2012!$B$60,$AW257,SUMIF($B$10:$B$16,"NCAP_TLIFE",$AX$10:$AX$16)),0,""))</f>
        <v/>
      </c>
      <c r="AB257" s="369" t="str">
        <f ca="1">IF($B257&lt;&gt;"PRC_RESID","",IF(AB$7=2005+OFFSET(COM_2012!$B$60,$AW257,SUMIF($B$10:$B$16,"NCAP_TLIFE",$AX$10:$AX$16)),0,""))</f>
        <v/>
      </c>
      <c r="AC257" s="369" t="str">
        <f ca="1">IF($B257&lt;&gt;"PRC_RESID","",IF(AC$7=2005+OFFSET(COM_2012!$B$60,$AW257,SUMIF($B$10:$B$16,"NCAP_TLIFE",$AX$10:$AX$16)),0,""))</f>
        <v/>
      </c>
      <c r="AD257" s="369" t="str">
        <f ca="1">IF($B257&lt;&gt;"PRC_RESID","",IF(AD$7=2005+OFFSET(COM_2012!$B$60,$AW257,SUMIF($B$10:$B$16,"NCAP_TLIFE",$AX$10:$AX$16)),0,""))</f>
        <v/>
      </c>
      <c r="AE257" s="369" t="str">
        <f ca="1">IF($B257&lt;&gt;"PRC_RESID","",IF(AE$7=2005+OFFSET(COM_2012!$B$60,$AW257,SUMIF($B$10:$B$16,"NCAP_TLIFE",$AX$10:$AX$16)),0,""))</f>
        <v/>
      </c>
      <c r="AF257" s="369" t="str">
        <f ca="1">IF($B257&lt;&gt;"PRC_RESID","",IF(AF$7=2005+OFFSET(COM_2012!$B$60,$AW257,SUMIF($B$10:$B$16,"NCAP_TLIFE",$AX$10:$AX$16)),0,""))</f>
        <v/>
      </c>
      <c r="AG257" s="369" t="str">
        <f ca="1">IF($B257&lt;&gt;"PRC_RESID","",IF(AG$7=2005+OFFSET(COM_2012!$B$60,$AW257,SUMIF($B$10:$B$16,"NCAP_TLIFE",$AX$10:$AX$16)),0,""))</f>
        <v/>
      </c>
      <c r="AH257" s="369" t="str">
        <f ca="1">IF($B257&lt;&gt;"PRC_RESID","",IF(AH$7=2005+OFFSET(COM_2012!$B$60,$AW257,SUMIF($B$10:$B$16,"NCAP_TLIFE",$AX$10:$AX$16)),0,""))</f>
        <v/>
      </c>
      <c r="AI257" s="369" t="str">
        <f ca="1">IF($B257&lt;&gt;"PRC_RESID","",IF(AI$7=2005+OFFSET(COM_2012!$B$60,$AW257,SUMIF($B$10:$B$16,"NCAP_TLIFE",$AX$10:$AX$16)),0,""))</f>
        <v/>
      </c>
      <c r="AJ257" s="369" t="str">
        <f ca="1">IF($B257&lt;&gt;"PRC_RESID","",IF(AJ$7=2005+OFFSET(COM_2012!$B$60,$AW257,SUMIF($B$10:$B$16,"NCAP_TLIFE",$AX$10:$AX$16)),0,""))</f>
        <v/>
      </c>
      <c r="AK257" s="369" t="str">
        <f ca="1">IF($B257&lt;&gt;"PRC_RESID","",IF(AK$7=2005+OFFSET(COM_2012!$B$60,$AW257,SUMIF($B$10:$B$16,"NCAP_TLIFE",$AX$10:$AX$16)),0,""))</f>
        <v/>
      </c>
      <c r="AL257" s="369" t="str">
        <f ca="1">IF($B257&lt;&gt;"PRC_RESID","",IF(AL$7=2005+OFFSET(COM_2012!$B$60,$AW257,SUMIF($B$10:$B$16,"NCAP_TLIFE",$AX$10:$AX$16)),0,""))</f>
        <v/>
      </c>
      <c r="AM257" s="369" t="str">
        <f ca="1">IF($B257&lt;&gt;"PRC_RESID","",IF(AM$7=2005+OFFSET(COM_2012!$B$60,$AW257,SUMIF($B$10:$B$16,"NCAP_TLIFE",$AX$10:$AX$16)),0,""))</f>
        <v/>
      </c>
      <c r="AN257" s="369" t="str">
        <f ca="1">IF($B257&lt;&gt;"PRC_RESID","",IF(AN$7=2005+OFFSET(COM_2012!$B$60,$AW257,SUMIF($B$10:$B$16,"NCAP_TLIFE",$AX$10:$AX$16)),0,""))</f>
        <v/>
      </c>
      <c r="AO257" s="369" t="str">
        <f ca="1">IF($B257&lt;&gt;"PRC_RESID","",IF(AO$7=2005+OFFSET(COM_2012!$B$60,$AW257,SUMIF($B$10:$B$16,"NCAP_TLIFE",$AX$10:$AX$16)),0,""))</f>
        <v/>
      </c>
      <c r="AP257" s="369" t="str">
        <f ca="1">IF($B257&lt;&gt;"PRC_RESID","",IF(AP$7=2005+OFFSET(COM_2012!$B$60,$AW257,SUMIF($B$10:$B$16,"NCAP_TLIFE",$AX$10:$AX$16)),0,""))</f>
        <v/>
      </c>
      <c r="AQ257" s="369" t="str">
        <f ca="1">IF($B257&lt;&gt;"PRC_RESID","",IF(AQ$7=2005+OFFSET(COM_2012!$B$60,$AW257,SUMIF($B$10:$B$16,"NCAP_TLIFE",$AX$10:$AX$16)),0,""))</f>
        <v/>
      </c>
      <c r="AR257" s="369" t="str">
        <f ca="1">IF($B257&lt;&gt;"PRC_RESID","",IF(AR$7=2005+OFFSET(COM_2012!$B$60,$AW257,SUMIF($B$10:$B$16,"NCAP_TLIFE",$AX$10:$AX$16)),0,""))</f>
        <v/>
      </c>
      <c r="AS257" s="369" t="str">
        <f ca="1">IF($B257&lt;&gt;"PRC_RESID","",IF(AS$7=2005+OFFSET(COM_2012!$B$60,$AW257,SUMIF($B$10:$B$16,"NCAP_TLIFE",$AX$10:$AX$16)),0,""))</f>
        <v/>
      </c>
      <c r="AT257" s="369" t="str">
        <f ca="1">IF($B257&lt;&gt;"PRC_RESID","",IF(AT$7=2005+OFFSET(COM_2012!$B$60,$AW257,SUMIF($B$10:$B$16,"NCAP_TLIFE",$AX$10:$AX$16)),0,""))</f>
        <v/>
      </c>
      <c r="AU257" s="369" t="str">
        <f ca="1">IF($B257&lt;&gt;"PRC_RESID","",IF(AU$7=2005+OFFSET(COM_2012!$B$60,$AW257,SUMIF($B$10:$B$16,"NCAP_TLIFE",$AX$10:$AX$16)),0,""))</f>
        <v/>
      </c>
      <c r="AV257" s="304">
        <f>IF(AW256=COM_2012!$AI$121,AV256+1,AV256)</f>
        <v>4</v>
      </c>
      <c r="AW257" s="304">
        <f t="shared" si="23"/>
        <v>47</v>
      </c>
    </row>
    <row r="258" spans="1:49">
      <c r="A258" s="304" t="str">
        <f ca="1">IF(LEFT(OFFSET(COM_2012!$A$60,AW258,0),2)="\I","*","")</f>
        <v>*</v>
      </c>
      <c r="B258" s="369" t="str">
        <f t="shared" ca="1" si="22"/>
        <v/>
      </c>
      <c r="C258" s="369" t="str">
        <f ca="1">IF($A258="*","",OFFSET(COM_2012!$B$60,AW258,0))</f>
        <v/>
      </c>
      <c r="D258" s="369" t="str">
        <f t="shared" ca="1" si="25"/>
        <v/>
      </c>
      <c r="E258" s="369" t="str">
        <f t="shared" ca="1" si="25"/>
        <v/>
      </c>
      <c r="F258" s="369" t="str">
        <f t="shared" ca="1" si="25"/>
        <v/>
      </c>
      <c r="G258" s="369" t="str">
        <f t="shared" ca="1" si="25"/>
        <v/>
      </c>
      <c r="H258" s="369" t="str">
        <f t="shared" ca="1" si="25"/>
        <v/>
      </c>
      <c r="I258" s="370" t="str">
        <f t="shared" ca="1" si="25"/>
        <v/>
      </c>
      <c r="J258" s="391" t="str">
        <f ca="1">IF($A258="*","",OFFSET(COM_2012!$B$60,AW258,SUMIF($B$10:$B$16,B258,$AX$10:$AX$16)))</f>
        <v/>
      </c>
      <c r="K258" s="369" t="str">
        <f ca="1">IF($B258&lt;&gt;"PRC_RESID","",IF(K$7=2005+OFFSET(COM_2012!$B$60,$AW258,SUMIF($B$10:$B$16,"NCAP_TLIFE",$AX$10:$AX$16)),0,""))</f>
        <v/>
      </c>
      <c r="L258" s="369" t="str">
        <f ca="1">IF($B258&lt;&gt;"PRC_RESID","",IF(L$7=2005+OFFSET(COM_2012!$B$60,$AW258,SUMIF($B$10:$B$16,"NCAP_TLIFE",$AX$10:$AX$16)),0,""))</f>
        <v/>
      </c>
      <c r="M258" s="369" t="str">
        <f ca="1">IF($B258&lt;&gt;"PRC_RESID","",IF(M$7=2005+OFFSET(COM_2012!$B$60,$AW258,SUMIF($B$10:$B$16,"NCAP_TLIFE",$AX$10:$AX$16)),0,""))</f>
        <v/>
      </c>
      <c r="N258" s="369" t="str">
        <f ca="1">IF($B258&lt;&gt;"PRC_RESID","",IF(N$7=2005+OFFSET(COM_2012!$B$60,$AW258,SUMIF($B$10:$B$16,"NCAP_TLIFE",$AX$10:$AX$16)),0,""))</f>
        <v/>
      </c>
      <c r="O258" s="658" t="str">
        <f ca="1">IF($B258&lt;&gt;"PRC_RESID","",IF(O$7=2005+OFFSET(COM_2012!$B$60,$AW258,SUMIF($B$10:$B$16,"NCAP_TLIFE",$AX$10:$AX$16)),0,""))</f>
        <v/>
      </c>
      <c r="P258" s="369" t="str">
        <f ca="1">IF($B258&lt;&gt;"PRC_RESID","",IF(P$7=2005+OFFSET(COM_2012!$B$60,$AW258,SUMIF($B$10:$B$16,"NCAP_TLIFE",$AX$10:$AX$16)),0,""))</f>
        <v/>
      </c>
      <c r="Q258" s="369" t="str">
        <f ca="1">IF($B258&lt;&gt;"PRC_RESID","",IF(Q$7=2005+OFFSET(COM_2012!$B$60,$AW258,SUMIF($B$10:$B$16,"NCAP_TLIFE",$AX$10:$AX$16)),0,""))</f>
        <v/>
      </c>
      <c r="R258" s="369" t="str">
        <f ca="1">IF($B258&lt;&gt;"PRC_RESID","",IF(R$7=2005+OFFSET(COM_2012!$B$60,$AW258,SUMIF($B$10:$B$16,"NCAP_TLIFE",$AX$10:$AX$16)),0,""))</f>
        <v/>
      </c>
      <c r="S258" s="369" t="str">
        <f ca="1">IF($B258&lt;&gt;"PRC_RESID","",IF(S$7=2005+OFFSET(COM_2012!$B$60,$AW258,SUMIF($B$10:$B$16,"NCAP_TLIFE",$AX$10:$AX$16)),0,""))</f>
        <v/>
      </c>
      <c r="T258" s="369" t="str">
        <f ca="1">IF($B258&lt;&gt;"PRC_RESID","",IF(T$7=2005+OFFSET(COM_2012!$B$60,$AW258,SUMIF($B$10:$B$16,"NCAP_TLIFE",$AX$10:$AX$16)),0,""))</f>
        <v/>
      </c>
      <c r="U258" s="369" t="str">
        <f ca="1">IF($B258&lt;&gt;"PRC_RESID","",IF(U$7=2005+OFFSET(COM_2012!$B$60,$AW258,SUMIF($B$10:$B$16,"NCAP_TLIFE",$AX$10:$AX$16)),0,""))</f>
        <v/>
      </c>
      <c r="V258" s="369" t="str">
        <f ca="1">IF($B258&lt;&gt;"PRC_RESID","",IF(V$7=2005+OFFSET(COM_2012!$B$60,$AW258,SUMIF($B$10:$B$16,"NCAP_TLIFE",$AX$10:$AX$16)),0,""))</f>
        <v/>
      </c>
      <c r="W258" s="369" t="str">
        <f ca="1">IF($B258&lt;&gt;"PRC_RESID","",IF(W$7=2005+OFFSET(COM_2012!$B$60,$AW258,SUMIF($B$10:$B$16,"NCAP_TLIFE",$AX$10:$AX$16)),0,""))</f>
        <v/>
      </c>
      <c r="X258" s="369" t="str">
        <f ca="1">IF($B258&lt;&gt;"PRC_RESID","",IF(X$7=2005+OFFSET(COM_2012!$B$60,$AW258,SUMIF($B$10:$B$16,"NCAP_TLIFE",$AX$10:$AX$16)),0,""))</f>
        <v/>
      </c>
      <c r="Y258" s="369" t="str">
        <f ca="1">IF($B258&lt;&gt;"PRC_RESID","",IF(Y$7=2005+OFFSET(COM_2012!$B$60,$AW258,SUMIF($B$10:$B$16,"NCAP_TLIFE",$AX$10:$AX$16)),0,""))</f>
        <v/>
      </c>
      <c r="Z258" s="369" t="str">
        <f ca="1">IF($B258&lt;&gt;"PRC_RESID","",IF(Z$7=2005+OFFSET(COM_2012!$B$60,$AW258,SUMIF($B$10:$B$16,"NCAP_TLIFE",$AX$10:$AX$16)),0,""))</f>
        <v/>
      </c>
      <c r="AA258" s="369" t="str">
        <f ca="1">IF($B258&lt;&gt;"PRC_RESID","",IF(AA$7=2005+OFFSET(COM_2012!$B$60,$AW258,SUMIF($B$10:$B$16,"NCAP_TLIFE",$AX$10:$AX$16)),0,""))</f>
        <v/>
      </c>
      <c r="AB258" s="369" t="str">
        <f ca="1">IF($B258&lt;&gt;"PRC_RESID","",IF(AB$7=2005+OFFSET(COM_2012!$B$60,$AW258,SUMIF($B$10:$B$16,"NCAP_TLIFE",$AX$10:$AX$16)),0,""))</f>
        <v/>
      </c>
      <c r="AC258" s="369" t="str">
        <f ca="1">IF($B258&lt;&gt;"PRC_RESID","",IF(AC$7=2005+OFFSET(COM_2012!$B$60,$AW258,SUMIF($B$10:$B$16,"NCAP_TLIFE",$AX$10:$AX$16)),0,""))</f>
        <v/>
      </c>
      <c r="AD258" s="369" t="str">
        <f ca="1">IF($B258&lt;&gt;"PRC_RESID","",IF(AD$7=2005+OFFSET(COM_2012!$B$60,$AW258,SUMIF($B$10:$B$16,"NCAP_TLIFE",$AX$10:$AX$16)),0,""))</f>
        <v/>
      </c>
      <c r="AE258" s="369" t="str">
        <f ca="1">IF($B258&lt;&gt;"PRC_RESID","",IF(AE$7=2005+OFFSET(COM_2012!$B$60,$AW258,SUMIF($B$10:$B$16,"NCAP_TLIFE",$AX$10:$AX$16)),0,""))</f>
        <v/>
      </c>
      <c r="AF258" s="369" t="str">
        <f ca="1">IF($B258&lt;&gt;"PRC_RESID","",IF(AF$7=2005+OFFSET(COM_2012!$B$60,$AW258,SUMIF($B$10:$B$16,"NCAP_TLIFE",$AX$10:$AX$16)),0,""))</f>
        <v/>
      </c>
      <c r="AG258" s="369" t="str">
        <f ca="1">IF($B258&lt;&gt;"PRC_RESID","",IF(AG$7=2005+OFFSET(COM_2012!$B$60,$AW258,SUMIF($B$10:$B$16,"NCAP_TLIFE",$AX$10:$AX$16)),0,""))</f>
        <v/>
      </c>
      <c r="AH258" s="369" t="str">
        <f ca="1">IF($B258&lt;&gt;"PRC_RESID","",IF(AH$7=2005+OFFSET(COM_2012!$B$60,$AW258,SUMIF($B$10:$B$16,"NCAP_TLIFE",$AX$10:$AX$16)),0,""))</f>
        <v/>
      </c>
      <c r="AI258" s="369" t="str">
        <f ca="1">IF($B258&lt;&gt;"PRC_RESID","",IF(AI$7=2005+OFFSET(COM_2012!$B$60,$AW258,SUMIF($B$10:$B$16,"NCAP_TLIFE",$AX$10:$AX$16)),0,""))</f>
        <v/>
      </c>
      <c r="AJ258" s="369" t="str">
        <f ca="1">IF($B258&lt;&gt;"PRC_RESID","",IF(AJ$7=2005+OFFSET(COM_2012!$B$60,$AW258,SUMIF($B$10:$B$16,"NCAP_TLIFE",$AX$10:$AX$16)),0,""))</f>
        <v/>
      </c>
      <c r="AK258" s="369" t="str">
        <f ca="1">IF($B258&lt;&gt;"PRC_RESID","",IF(AK$7=2005+OFFSET(COM_2012!$B$60,$AW258,SUMIF($B$10:$B$16,"NCAP_TLIFE",$AX$10:$AX$16)),0,""))</f>
        <v/>
      </c>
      <c r="AL258" s="369" t="str">
        <f ca="1">IF($B258&lt;&gt;"PRC_RESID","",IF(AL$7=2005+OFFSET(COM_2012!$B$60,$AW258,SUMIF($B$10:$B$16,"NCAP_TLIFE",$AX$10:$AX$16)),0,""))</f>
        <v/>
      </c>
      <c r="AM258" s="369" t="str">
        <f ca="1">IF($B258&lt;&gt;"PRC_RESID","",IF(AM$7=2005+OFFSET(COM_2012!$B$60,$AW258,SUMIF($B$10:$B$16,"NCAP_TLIFE",$AX$10:$AX$16)),0,""))</f>
        <v/>
      </c>
      <c r="AN258" s="369" t="str">
        <f ca="1">IF($B258&lt;&gt;"PRC_RESID","",IF(AN$7=2005+OFFSET(COM_2012!$B$60,$AW258,SUMIF($B$10:$B$16,"NCAP_TLIFE",$AX$10:$AX$16)),0,""))</f>
        <v/>
      </c>
      <c r="AO258" s="369" t="str">
        <f ca="1">IF($B258&lt;&gt;"PRC_RESID","",IF(AO$7=2005+OFFSET(COM_2012!$B$60,$AW258,SUMIF($B$10:$B$16,"NCAP_TLIFE",$AX$10:$AX$16)),0,""))</f>
        <v/>
      </c>
      <c r="AP258" s="369" t="str">
        <f ca="1">IF($B258&lt;&gt;"PRC_RESID","",IF(AP$7=2005+OFFSET(COM_2012!$B$60,$AW258,SUMIF($B$10:$B$16,"NCAP_TLIFE",$AX$10:$AX$16)),0,""))</f>
        <v/>
      </c>
      <c r="AQ258" s="369" t="str">
        <f ca="1">IF($B258&lt;&gt;"PRC_RESID","",IF(AQ$7=2005+OFFSET(COM_2012!$B$60,$AW258,SUMIF($B$10:$B$16,"NCAP_TLIFE",$AX$10:$AX$16)),0,""))</f>
        <v/>
      </c>
      <c r="AR258" s="369" t="str">
        <f ca="1">IF($B258&lt;&gt;"PRC_RESID","",IF(AR$7=2005+OFFSET(COM_2012!$B$60,$AW258,SUMIF($B$10:$B$16,"NCAP_TLIFE",$AX$10:$AX$16)),0,""))</f>
        <v/>
      </c>
      <c r="AS258" s="369" t="str">
        <f ca="1">IF($B258&lt;&gt;"PRC_RESID","",IF(AS$7=2005+OFFSET(COM_2012!$B$60,$AW258,SUMIF($B$10:$B$16,"NCAP_TLIFE",$AX$10:$AX$16)),0,""))</f>
        <v/>
      </c>
      <c r="AT258" s="369" t="str">
        <f ca="1">IF($B258&lt;&gt;"PRC_RESID","",IF(AT$7=2005+OFFSET(COM_2012!$B$60,$AW258,SUMIF($B$10:$B$16,"NCAP_TLIFE",$AX$10:$AX$16)),0,""))</f>
        <v/>
      </c>
      <c r="AU258" s="369" t="str">
        <f ca="1">IF($B258&lt;&gt;"PRC_RESID","",IF(AU$7=2005+OFFSET(COM_2012!$B$60,$AW258,SUMIF($B$10:$B$16,"NCAP_TLIFE",$AX$10:$AX$16)),0,""))</f>
        <v/>
      </c>
      <c r="AV258" s="304">
        <f>IF(AW257=COM_2012!$AI$121,AV257+1,AV257)</f>
        <v>4</v>
      </c>
      <c r="AW258" s="304">
        <f t="shared" si="23"/>
        <v>48</v>
      </c>
    </row>
    <row r="259" spans="1:49">
      <c r="A259" s="304" t="str">
        <f ca="1">IF(LEFT(OFFSET(COM_2012!$A$60,AW259,0),2)="\I","*","")</f>
        <v>*</v>
      </c>
      <c r="B259" s="369" t="str">
        <f t="shared" ca="1" si="22"/>
        <v/>
      </c>
      <c r="C259" s="369" t="str">
        <f ca="1">IF($A259="*","",OFFSET(COM_2012!$B$60,AW259,0))</f>
        <v/>
      </c>
      <c r="D259" s="369" t="str">
        <f t="shared" ca="1" si="25"/>
        <v/>
      </c>
      <c r="E259" s="369" t="str">
        <f t="shared" ca="1" si="25"/>
        <v/>
      </c>
      <c r="F259" s="369" t="str">
        <f t="shared" ca="1" si="25"/>
        <v/>
      </c>
      <c r="G259" s="369" t="str">
        <f t="shared" ca="1" si="25"/>
        <v/>
      </c>
      <c r="H259" s="369" t="str">
        <f t="shared" ca="1" si="25"/>
        <v/>
      </c>
      <c r="I259" s="370" t="str">
        <f t="shared" ca="1" si="25"/>
        <v/>
      </c>
      <c r="J259" s="391" t="str">
        <f ca="1">IF($A259="*","",OFFSET(COM_2012!$B$60,AW259,SUMIF($B$10:$B$16,B259,$AX$10:$AX$16)))</f>
        <v/>
      </c>
      <c r="K259" s="369" t="str">
        <f ca="1">IF($B259&lt;&gt;"PRC_RESID","",IF(K$7=2005+OFFSET(COM_2012!$B$60,$AW259,SUMIF($B$10:$B$16,"NCAP_TLIFE",$AX$10:$AX$16)),0,""))</f>
        <v/>
      </c>
      <c r="L259" s="369" t="str">
        <f ca="1">IF($B259&lt;&gt;"PRC_RESID","",IF(L$7=2005+OFFSET(COM_2012!$B$60,$AW259,SUMIF($B$10:$B$16,"NCAP_TLIFE",$AX$10:$AX$16)),0,""))</f>
        <v/>
      </c>
      <c r="M259" s="369" t="str">
        <f ca="1">IF($B259&lt;&gt;"PRC_RESID","",IF(M$7=2005+OFFSET(COM_2012!$B$60,$AW259,SUMIF($B$10:$B$16,"NCAP_TLIFE",$AX$10:$AX$16)),0,""))</f>
        <v/>
      </c>
      <c r="N259" s="369" t="str">
        <f ca="1">IF($B259&lt;&gt;"PRC_RESID","",IF(N$7=2005+OFFSET(COM_2012!$B$60,$AW259,SUMIF($B$10:$B$16,"NCAP_TLIFE",$AX$10:$AX$16)),0,""))</f>
        <v/>
      </c>
      <c r="O259" s="658" t="str">
        <f ca="1">IF($B259&lt;&gt;"PRC_RESID","",IF(O$7=2005+OFFSET(COM_2012!$B$60,$AW259,SUMIF($B$10:$B$16,"NCAP_TLIFE",$AX$10:$AX$16)),0,""))</f>
        <v/>
      </c>
      <c r="P259" s="369" t="str">
        <f ca="1">IF($B259&lt;&gt;"PRC_RESID","",IF(P$7=2005+OFFSET(COM_2012!$B$60,$AW259,SUMIF($B$10:$B$16,"NCAP_TLIFE",$AX$10:$AX$16)),0,""))</f>
        <v/>
      </c>
      <c r="Q259" s="369" t="str">
        <f ca="1">IF($B259&lt;&gt;"PRC_RESID","",IF(Q$7=2005+OFFSET(COM_2012!$B$60,$AW259,SUMIF($B$10:$B$16,"NCAP_TLIFE",$AX$10:$AX$16)),0,""))</f>
        <v/>
      </c>
      <c r="R259" s="369" t="str">
        <f ca="1">IF($B259&lt;&gt;"PRC_RESID","",IF(R$7=2005+OFFSET(COM_2012!$B$60,$AW259,SUMIF($B$10:$B$16,"NCAP_TLIFE",$AX$10:$AX$16)),0,""))</f>
        <v/>
      </c>
      <c r="S259" s="369" t="str">
        <f ca="1">IF($B259&lt;&gt;"PRC_RESID","",IF(S$7=2005+OFFSET(COM_2012!$B$60,$AW259,SUMIF($B$10:$B$16,"NCAP_TLIFE",$AX$10:$AX$16)),0,""))</f>
        <v/>
      </c>
      <c r="T259" s="369" t="str">
        <f ca="1">IF($B259&lt;&gt;"PRC_RESID","",IF(T$7=2005+OFFSET(COM_2012!$B$60,$AW259,SUMIF($B$10:$B$16,"NCAP_TLIFE",$AX$10:$AX$16)),0,""))</f>
        <v/>
      </c>
      <c r="U259" s="369" t="str">
        <f ca="1">IF($B259&lt;&gt;"PRC_RESID","",IF(U$7=2005+OFFSET(COM_2012!$B$60,$AW259,SUMIF($B$10:$B$16,"NCAP_TLIFE",$AX$10:$AX$16)),0,""))</f>
        <v/>
      </c>
      <c r="V259" s="369" t="str">
        <f ca="1">IF($B259&lt;&gt;"PRC_RESID","",IF(V$7=2005+OFFSET(COM_2012!$B$60,$AW259,SUMIF($B$10:$B$16,"NCAP_TLIFE",$AX$10:$AX$16)),0,""))</f>
        <v/>
      </c>
      <c r="W259" s="369" t="str">
        <f ca="1">IF($B259&lt;&gt;"PRC_RESID","",IF(W$7=2005+OFFSET(COM_2012!$B$60,$AW259,SUMIF($B$10:$B$16,"NCAP_TLIFE",$AX$10:$AX$16)),0,""))</f>
        <v/>
      </c>
      <c r="X259" s="369" t="str">
        <f ca="1">IF($B259&lt;&gt;"PRC_RESID","",IF(X$7=2005+OFFSET(COM_2012!$B$60,$AW259,SUMIF($B$10:$B$16,"NCAP_TLIFE",$AX$10:$AX$16)),0,""))</f>
        <v/>
      </c>
      <c r="Y259" s="369" t="str">
        <f ca="1">IF($B259&lt;&gt;"PRC_RESID","",IF(Y$7=2005+OFFSET(COM_2012!$B$60,$AW259,SUMIF($B$10:$B$16,"NCAP_TLIFE",$AX$10:$AX$16)),0,""))</f>
        <v/>
      </c>
      <c r="Z259" s="369" t="str">
        <f ca="1">IF($B259&lt;&gt;"PRC_RESID","",IF(Z$7=2005+OFFSET(COM_2012!$B$60,$AW259,SUMIF($B$10:$B$16,"NCAP_TLIFE",$AX$10:$AX$16)),0,""))</f>
        <v/>
      </c>
      <c r="AA259" s="369" t="str">
        <f ca="1">IF($B259&lt;&gt;"PRC_RESID","",IF(AA$7=2005+OFFSET(COM_2012!$B$60,$AW259,SUMIF($B$10:$B$16,"NCAP_TLIFE",$AX$10:$AX$16)),0,""))</f>
        <v/>
      </c>
      <c r="AB259" s="369" t="str">
        <f ca="1">IF($B259&lt;&gt;"PRC_RESID","",IF(AB$7=2005+OFFSET(COM_2012!$B$60,$AW259,SUMIF($B$10:$B$16,"NCAP_TLIFE",$AX$10:$AX$16)),0,""))</f>
        <v/>
      </c>
      <c r="AC259" s="369" t="str">
        <f ca="1">IF($B259&lt;&gt;"PRC_RESID","",IF(AC$7=2005+OFFSET(COM_2012!$B$60,$AW259,SUMIF($B$10:$B$16,"NCAP_TLIFE",$AX$10:$AX$16)),0,""))</f>
        <v/>
      </c>
      <c r="AD259" s="369" t="str">
        <f ca="1">IF($B259&lt;&gt;"PRC_RESID","",IF(AD$7=2005+OFFSET(COM_2012!$B$60,$AW259,SUMIF($B$10:$B$16,"NCAP_TLIFE",$AX$10:$AX$16)),0,""))</f>
        <v/>
      </c>
      <c r="AE259" s="369" t="str">
        <f ca="1">IF($B259&lt;&gt;"PRC_RESID","",IF(AE$7=2005+OFFSET(COM_2012!$B$60,$AW259,SUMIF($B$10:$B$16,"NCAP_TLIFE",$AX$10:$AX$16)),0,""))</f>
        <v/>
      </c>
      <c r="AF259" s="369" t="str">
        <f ca="1">IF($B259&lt;&gt;"PRC_RESID","",IF(AF$7=2005+OFFSET(COM_2012!$B$60,$AW259,SUMIF($B$10:$B$16,"NCAP_TLIFE",$AX$10:$AX$16)),0,""))</f>
        <v/>
      </c>
      <c r="AG259" s="369" t="str">
        <f ca="1">IF($B259&lt;&gt;"PRC_RESID","",IF(AG$7=2005+OFFSET(COM_2012!$B$60,$AW259,SUMIF($B$10:$B$16,"NCAP_TLIFE",$AX$10:$AX$16)),0,""))</f>
        <v/>
      </c>
      <c r="AH259" s="369" t="str">
        <f ca="1">IF($B259&lt;&gt;"PRC_RESID","",IF(AH$7=2005+OFFSET(COM_2012!$B$60,$AW259,SUMIF($B$10:$B$16,"NCAP_TLIFE",$AX$10:$AX$16)),0,""))</f>
        <v/>
      </c>
      <c r="AI259" s="369" t="str">
        <f ca="1">IF($B259&lt;&gt;"PRC_RESID","",IF(AI$7=2005+OFFSET(COM_2012!$B$60,$AW259,SUMIF($B$10:$B$16,"NCAP_TLIFE",$AX$10:$AX$16)),0,""))</f>
        <v/>
      </c>
      <c r="AJ259" s="369" t="str">
        <f ca="1">IF($B259&lt;&gt;"PRC_RESID","",IF(AJ$7=2005+OFFSET(COM_2012!$B$60,$AW259,SUMIF($B$10:$B$16,"NCAP_TLIFE",$AX$10:$AX$16)),0,""))</f>
        <v/>
      </c>
      <c r="AK259" s="369" t="str">
        <f ca="1">IF($B259&lt;&gt;"PRC_RESID","",IF(AK$7=2005+OFFSET(COM_2012!$B$60,$AW259,SUMIF($B$10:$B$16,"NCAP_TLIFE",$AX$10:$AX$16)),0,""))</f>
        <v/>
      </c>
      <c r="AL259" s="369" t="str">
        <f ca="1">IF($B259&lt;&gt;"PRC_RESID","",IF(AL$7=2005+OFFSET(COM_2012!$B$60,$AW259,SUMIF($B$10:$B$16,"NCAP_TLIFE",$AX$10:$AX$16)),0,""))</f>
        <v/>
      </c>
      <c r="AM259" s="369" t="str">
        <f ca="1">IF($B259&lt;&gt;"PRC_RESID","",IF(AM$7=2005+OFFSET(COM_2012!$B$60,$AW259,SUMIF($B$10:$B$16,"NCAP_TLIFE",$AX$10:$AX$16)),0,""))</f>
        <v/>
      </c>
      <c r="AN259" s="369" t="str">
        <f ca="1">IF($B259&lt;&gt;"PRC_RESID","",IF(AN$7=2005+OFFSET(COM_2012!$B$60,$AW259,SUMIF($B$10:$B$16,"NCAP_TLIFE",$AX$10:$AX$16)),0,""))</f>
        <v/>
      </c>
      <c r="AO259" s="369" t="str">
        <f ca="1">IF($B259&lt;&gt;"PRC_RESID","",IF(AO$7=2005+OFFSET(COM_2012!$B$60,$AW259,SUMIF($B$10:$B$16,"NCAP_TLIFE",$AX$10:$AX$16)),0,""))</f>
        <v/>
      </c>
      <c r="AP259" s="369" t="str">
        <f ca="1">IF($B259&lt;&gt;"PRC_RESID","",IF(AP$7=2005+OFFSET(COM_2012!$B$60,$AW259,SUMIF($B$10:$B$16,"NCAP_TLIFE",$AX$10:$AX$16)),0,""))</f>
        <v/>
      </c>
      <c r="AQ259" s="369" t="str">
        <f ca="1">IF($B259&lt;&gt;"PRC_RESID","",IF(AQ$7=2005+OFFSET(COM_2012!$B$60,$AW259,SUMIF($B$10:$B$16,"NCAP_TLIFE",$AX$10:$AX$16)),0,""))</f>
        <v/>
      </c>
      <c r="AR259" s="369" t="str">
        <f ca="1">IF($B259&lt;&gt;"PRC_RESID","",IF(AR$7=2005+OFFSET(COM_2012!$B$60,$AW259,SUMIF($B$10:$B$16,"NCAP_TLIFE",$AX$10:$AX$16)),0,""))</f>
        <v/>
      </c>
      <c r="AS259" s="369" t="str">
        <f ca="1">IF($B259&lt;&gt;"PRC_RESID","",IF(AS$7=2005+OFFSET(COM_2012!$B$60,$AW259,SUMIF($B$10:$B$16,"NCAP_TLIFE",$AX$10:$AX$16)),0,""))</f>
        <v/>
      </c>
      <c r="AT259" s="369" t="str">
        <f ca="1">IF($B259&lt;&gt;"PRC_RESID","",IF(AT$7=2005+OFFSET(COM_2012!$B$60,$AW259,SUMIF($B$10:$B$16,"NCAP_TLIFE",$AX$10:$AX$16)),0,""))</f>
        <v/>
      </c>
      <c r="AU259" s="369" t="str">
        <f ca="1">IF($B259&lt;&gt;"PRC_RESID","",IF(AU$7=2005+OFFSET(COM_2012!$B$60,$AW259,SUMIF($B$10:$B$16,"NCAP_TLIFE",$AX$10:$AX$16)),0,""))</f>
        <v/>
      </c>
      <c r="AV259" s="304">
        <f>IF(AW258=COM_2012!$AI$121,AV258+1,AV258)</f>
        <v>4</v>
      </c>
      <c r="AW259" s="304">
        <f t="shared" si="23"/>
        <v>49</v>
      </c>
    </row>
    <row r="260" spans="1:49">
      <c r="A260" s="304" t="str">
        <f ca="1">IF(LEFT(OFFSET(COM_2012!$A$60,AW260,0),2)="\I","*","")</f>
        <v/>
      </c>
      <c r="B260" s="369" t="str">
        <f t="shared" ca="1" si="22"/>
        <v>NCAP_COST</v>
      </c>
      <c r="C260" s="369" t="str">
        <f ca="1">IF($A260="*","",OFFSET(COM_2012!$B$60,AW260,0))</f>
        <v>CETELC-E</v>
      </c>
      <c r="D260" s="369" t="str">
        <f t="shared" ca="1" si="25"/>
        <v>-</v>
      </c>
      <c r="E260" s="369" t="str">
        <f t="shared" ca="1" si="25"/>
        <v>-</v>
      </c>
      <c r="F260" s="369" t="str">
        <f t="shared" ca="1" si="25"/>
        <v>-</v>
      </c>
      <c r="G260" s="369" t="str">
        <f t="shared" ca="1" si="25"/>
        <v>-</v>
      </c>
      <c r="H260" s="369" t="str">
        <f t="shared" ca="1" si="25"/>
        <v>-</v>
      </c>
      <c r="I260" s="370">
        <f t="shared" ca="1" si="25"/>
        <v>0</v>
      </c>
      <c r="J260" s="391">
        <f ca="1">IF($A260="*","",OFFSET(COM_2012!$B$60,AW260,SUMIF($B$10:$B$16,B260,$AX$10:$AX$16)))</f>
        <v>100</v>
      </c>
      <c r="K260" s="369" t="str">
        <f ca="1">IF($B260&lt;&gt;"PRC_RESID","",IF(K$7=2005+OFFSET(COM_2012!$B$60,$AW260,SUMIF($B$10:$B$16,"NCAP_TLIFE",$AX$10:$AX$16)),0,""))</f>
        <v/>
      </c>
      <c r="L260" s="369" t="str">
        <f ca="1">IF($B260&lt;&gt;"PRC_RESID","",IF(L$7=2005+OFFSET(COM_2012!$B$60,$AW260,SUMIF($B$10:$B$16,"NCAP_TLIFE",$AX$10:$AX$16)),0,""))</f>
        <v/>
      </c>
      <c r="M260" s="369" t="str">
        <f ca="1">IF($B260&lt;&gt;"PRC_RESID","",IF(M$7=2005+OFFSET(COM_2012!$B$60,$AW260,SUMIF($B$10:$B$16,"NCAP_TLIFE",$AX$10:$AX$16)),0,""))</f>
        <v/>
      </c>
      <c r="N260" s="369" t="str">
        <f ca="1">IF($B260&lt;&gt;"PRC_RESID","",IF(N$7=2005+OFFSET(COM_2012!$B$60,$AW260,SUMIF($B$10:$B$16,"NCAP_TLIFE",$AX$10:$AX$16)),0,""))</f>
        <v/>
      </c>
      <c r="O260" s="658" t="str">
        <f ca="1">IF($B260&lt;&gt;"PRC_RESID","",IF(O$7=2005+OFFSET(COM_2012!$B$60,$AW260,SUMIF($B$10:$B$16,"NCAP_TLIFE",$AX$10:$AX$16)),0,""))</f>
        <v/>
      </c>
      <c r="P260" s="369" t="str">
        <f ca="1">IF($B260&lt;&gt;"PRC_RESID","",IF(P$7=2005+OFFSET(COM_2012!$B$60,$AW260,SUMIF($B$10:$B$16,"NCAP_TLIFE",$AX$10:$AX$16)),0,""))</f>
        <v/>
      </c>
      <c r="Q260" s="369" t="str">
        <f ca="1">IF($B260&lt;&gt;"PRC_RESID","",IF(Q$7=2005+OFFSET(COM_2012!$B$60,$AW260,SUMIF($B$10:$B$16,"NCAP_TLIFE",$AX$10:$AX$16)),0,""))</f>
        <v/>
      </c>
      <c r="R260" s="369" t="str">
        <f ca="1">IF($B260&lt;&gt;"PRC_RESID","",IF(R$7=2005+OFFSET(COM_2012!$B$60,$AW260,SUMIF($B$10:$B$16,"NCAP_TLIFE",$AX$10:$AX$16)),0,""))</f>
        <v/>
      </c>
      <c r="S260" s="369" t="str">
        <f ca="1">IF($B260&lt;&gt;"PRC_RESID","",IF(S$7=2005+OFFSET(COM_2012!$B$60,$AW260,SUMIF($B$10:$B$16,"NCAP_TLIFE",$AX$10:$AX$16)),0,""))</f>
        <v/>
      </c>
      <c r="T260" s="369" t="str">
        <f ca="1">IF($B260&lt;&gt;"PRC_RESID","",IF(T$7=2005+OFFSET(COM_2012!$B$60,$AW260,SUMIF($B$10:$B$16,"NCAP_TLIFE",$AX$10:$AX$16)),0,""))</f>
        <v/>
      </c>
      <c r="U260" s="369" t="str">
        <f ca="1">IF($B260&lt;&gt;"PRC_RESID","",IF(U$7=2005+OFFSET(COM_2012!$B$60,$AW260,SUMIF($B$10:$B$16,"NCAP_TLIFE",$AX$10:$AX$16)),0,""))</f>
        <v/>
      </c>
      <c r="V260" s="369" t="str">
        <f ca="1">IF($B260&lt;&gt;"PRC_RESID","",IF(V$7=2005+OFFSET(COM_2012!$B$60,$AW260,SUMIF($B$10:$B$16,"NCAP_TLIFE",$AX$10:$AX$16)),0,""))</f>
        <v/>
      </c>
      <c r="W260" s="369" t="str">
        <f ca="1">IF($B260&lt;&gt;"PRC_RESID","",IF(W$7=2005+OFFSET(COM_2012!$B$60,$AW260,SUMIF($B$10:$B$16,"NCAP_TLIFE",$AX$10:$AX$16)),0,""))</f>
        <v/>
      </c>
      <c r="X260" s="369" t="str">
        <f ca="1">IF($B260&lt;&gt;"PRC_RESID","",IF(X$7=2005+OFFSET(COM_2012!$B$60,$AW260,SUMIF($B$10:$B$16,"NCAP_TLIFE",$AX$10:$AX$16)),0,""))</f>
        <v/>
      </c>
      <c r="Y260" s="369" t="str">
        <f ca="1">IF($B260&lt;&gt;"PRC_RESID","",IF(Y$7=2005+OFFSET(COM_2012!$B$60,$AW260,SUMIF($B$10:$B$16,"NCAP_TLIFE",$AX$10:$AX$16)),0,""))</f>
        <v/>
      </c>
      <c r="Z260" s="369" t="str">
        <f ca="1">IF($B260&lt;&gt;"PRC_RESID","",IF(Z$7=2005+OFFSET(COM_2012!$B$60,$AW260,SUMIF($B$10:$B$16,"NCAP_TLIFE",$AX$10:$AX$16)),0,""))</f>
        <v/>
      </c>
      <c r="AA260" s="369" t="str">
        <f ca="1">IF($B260&lt;&gt;"PRC_RESID","",IF(AA$7=2005+OFFSET(COM_2012!$B$60,$AW260,SUMIF($B$10:$B$16,"NCAP_TLIFE",$AX$10:$AX$16)),0,""))</f>
        <v/>
      </c>
      <c r="AB260" s="369" t="str">
        <f ca="1">IF($B260&lt;&gt;"PRC_RESID","",IF(AB$7=2005+OFFSET(COM_2012!$B$60,$AW260,SUMIF($B$10:$B$16,"NCAP_TLIFE",$AX$10:$AX$16)),0,""))</f>
        <v/>
      </c>
      <c r="AC260" s="369" t="str">
        <f ca="1">IF($B260&lt;&gt;"PRC_RESID","",IF(AC$7=2005+OFFSET(COM_2012!$B$60,$AW260,SUMIF($B$10:$B$16,"NCAP_TLIFE",$AX$10:$AX$16)),0,""))</f>
        <v/>
      </c>
      <c r="AD260" s="369" t="str">
        <f ca="1">IF($B260&lt;&gt;"PRC_RESID","",IF(AD$7=2005+OFFSET(COM_2012!$B$60,$AW260,SUMIF($B$10:$B$16,"NCAP_TLIFE",$AX$10:$AX$16)),0,""))</f>
        <v/>
      </c>
      <c r="AE260" s="369" t="str">
        <f ca="1">IF($B260&lt;&gt;"PRC_RESID","",IF(AE$7=2005+OFFSET(COM_2012!$B$60,$AW260,SUMIF($B$10:$B$16,"NCAP_TLIFE",$AX$10:$AX$16)),0,""))</f>
        <v/>
      </c>
      <c r="AF260" s="369" t="str">
        <f ca="1">IF($B260&lt;&gt;"PRC_RESID","",IF(AF$7=2005+OFFSET(COM_2012!$B$60,$AW260,SUMIF($B$10:$B$16,"NCAP_TLIFE",$AX$10:$AX$16)),0,""))</f>
        <v/>
      </c>
      <c r="AG260" s="369" t="str">
        <f ca="1">IF($B260&lt;&gt;"PRC_RESID","",IF(AG$7=2005+OFFSET(COM_2012!$B$60,$AW260,SUMIF($B$10:$B$16,"NCAP_TLIFE",$AX$10:$AX$16)),0,""))</f>
        <v/>
      </c>
      <c r="AH260" s="369" t="str">
        <f ca="1">IF($B260&lt;&gt;"PRC_RESID","",IF(AH$7=2005+OFFSET(COM_2012!$B$60,$AW260,SUMIF($B$10:$B$16,"NCAP_TLIFE",$AX$10:$AX$16)),0,""))</f>
        <v/>
      </c>
      <c r="AI260" s="369" t="str">
        <f ca="1">IF($B260&lt;&gt;"PRC_RESID","",IF(AI$7=2005+OFFSET(COM_2012!$B$60,$AW260,SUMIF($B$10:$B$16,"NCAP_TLIFE",$AX$10:$AX$16)),0,""))</f>
        <v/>
      </c>
      <c r="AJ260" s="369" t="str">
        <f ca="1">IF($B260&lt;&gt;"PRC_RESID","",IF(AJ$7=2005+OFFSET(COM_2012!$B$60,$AW260,SUMIF($B$10:$B$16,"NCAP_TLIFE",$AX$10:$AX$16)),0,""))</f>
        <v/>
      </c>
      <c r="AK260" s="369" t="str">
        <f ca="1">IF($B260&lt;&gt;"PRC_RESID","",IF(AK$7=2005+OFFSET(COM_2012!$B$60,$AW260,SUMIF($B$10:$B$16,"NCAP_TLIFE",$AX$10:$AX$16)),0,""))</f>
        <v/>
      </c>
      <c r="AL260" s="369" t="str">
        <f ca="1">IF($B260&lt;&gt;"PRC_RESID","",IF(AL$7=2005+OFFSET(COM_2012!$B$60,$AW260,SUMIF($B$10:$B$16,"NCAP_TLIFE",$AX$10:$AX$16)),0,""))</f>
        <v/>
      </c>
      <c r="AM260" s="369" t="str">
        <f ca="1">IF($B260&lt;&gt;"PRC_RESID","",IF(AM$7=2005+OFFSET(COM_2012!$B$60,$AW260,SUMIF($B$10:$B$16,"NCAP_TLIFE",$AX$10:$AX$16)),0,""))</f>
        <v/>
      </c>
      <c r="AN260" s="369" t="str">
        <f ca="1">IF($B260&lt;&gt;"PRC_RESID","",IF(AN$7=2005+OFFSET(COM_2012!$B$60,$AW260,SUMIF($B$10:$B$16,"NCAP_TLIFE",$AX$10:$AX$16)),0,""))</f>
        <v/>
      </c>
      <c r="AO260" s="369" t="str">
        <f ca="1">IF($B260&lt;&gt;"PRC_RESID","",IF(AO$7=2005+OFFSET(COM_2012!$B$60,$AW260,SUMIF($B$10:$B$16,"NCAP_TLIFE",$AX$10:$AX$16)),0,""))</f>
        <v/>
      </c>
      <c r="AP260" s="369" t="str">
        <f ca="1">IF($B260&lt;&gt;"PRC_RESID","",IF(AP$7=2005+OFFSET(COM_2012!$B$60,$AW260,SUMIF($B$10:$B$16,"NCAP_TLIFE",$AX$10:$AX$16)),0,""))</f>
        <v/>
      </c>
      <c r="AQ260" s="369" t="str">
        <f ca="1">IF($B260&lt;&gt;"PRC_RESID","",IF(AQ$7=2005+OFFSET(COM_2012!$B$60,$AW260,SUMIF($B$10:$B$16,"NCAP_TLIFE",$AX$10:$AX$16)),0,""))</f>
        <v/>
      </c>
      <c r="AR260" s="369" t="str">
        <f ca="1">IF($B260&lt;&gt;"PRC_RESID","",IF(AR$7=2005+OFFSET(COM_2012!$B$60,$AW260,SUMIF($B$10:$B$16,"NCAP_TLIFE",$AX$10:$AX$16)),0,""))</f>
        <v/>
      </c>
      <c r="AS260" s="369" t="str">
        <f ca="1">IF($B260&lt;&gt;"PRC_RESID","",IF(AS$7=2005+OFFSET(COM_2012!$B$60,$AW260,SUMIF($B$10:$B$16,"NCAP_TLIFE",$AX$10:$AX$16)),0,""))</f>
        <v/>
      </c>
      <c r="AT260" s="369" t="str">
        <f ca="1">IF($B260&lt;&gt;"PRC_RESID","",IF(AT$7=2005+OFFSET(COM_2012!$B$60,$AW260,SUMIF($B$10:$B$16,"NCAP_TLIFE",$AX$10:$AX$16)),0,""))</f>
        <v/>
      </c>
      <c r="AU260" s="369" t="str">
        <f ca="1">IF($B260&lt;&gt;"PRC_RESID","",IF(AU$7=2005+OFFSET(COM_2012!$B$60,$AW260,SUMIF($B$10:$B$16,"NCAP_TLIFE",$AX$10:$AX$16)),0,""))</f>
        <v/>
      </c>
      <c r="AV260" s="304">
        <f>IF(AW259=COM_2012!$AI$121,AV259+1,AV259)</f>
        <v>4</v>
      </c>
      <c r="AW260" s="304">
        <f t="shared" si="23"/>
        <v>50</v>
      </c>
    </row>
    <row r="261" spans="1:49">
      <c r="A261" s="304" t="str">
        <f ca="1">IF(LEFT(OFFSET(COM_2012!$A$60,AW261,0),2)="\I","*","")</f>
        <v>*</v>
      </c>
      <c r="B261" s="369" t="str">
        <f t="shared" ca="1" si="22"/>
        <v/>
      </c>
      <c r="C261" s="369" t="str">
        <f ca="1">IF($A261="*","",OFFSET(COM_2012!$B$60,AW261,0))</f>
        <v/>
      </c>
      <c r="D261" s="369" t="str">
        <f t="shared" ca="1" si="25"/>
        <v/>
      </c>
      <c r="E261" s="369" t="str">
        <f t="shared" ca="1" si="25"/>
        <v/>
      </c>
      <c r="F261" s="369" t="str">
        <f t="shared" ca="1" si="25"/>
        <v/>
      </c>
      <c r="G261" s="369" t="str">
        <f t="shared" ca="1" si="25"/>
        <v/>
      </c>
      <c r="H261" s="369" t="str">
        <f t="shared" ca="1" si="25"/>
        <v/>
      </c>
      <c r="I261" s="370" t="str">
        <f t="shared" ca="1" si="25"/>
        <v/>
      </c>
      <c r="J261" s="391" t="str">
        <f ca="1">IF($A261="*","",OFFSET(COM_2012!$B$60,AW261,SUMIF($B$10:$B$16,B261,$AX$10:$AX$16)))</f>
        <v/>
      </c>
      <c r="K261" s="369" t="str">
        <f ca="1">IF($B261&lt;&gt;"PRC_RESID","",IF(K$7=2005+OFFSET(COM_2012!$B$60,$AW261,SUMIF($B$10:$B$16,"NCAP_TLIFE",$AX$10:$AX$16)),0,""))</f>
        <v/>
      </c>
      <c r="L261" s="369" t="str">
        <f ca="1">IF($B261&lt;&gt;"PRC_RESID","",IF(L$7=2005+OFFSET(COM_2012!$B$60,$AW261,SUMIF($B$10:$B$16,"NCAP_TLIFE",$AX$10:$AX$16)),0,""))</f>
        <v/>
      </c>
      <c r="M261" s="369" t="str">
        <f ca="1">IF($B261&lt;&gt;"PRC_RESID","",IF(M$7=2005+OFFSET(COM_2012!$B$60,$AW261,SUMIF($B$10:$B$16,"NCAP_TLIFE",$AX$10:$AX$16)),0,""))</f>
        <v/>
      </c>
      <c r="N261" s="369" t="str">
        <f ca="1">IF($B261&lt;&gt;"PRC_RESID","",IF(N$7=2005+OFFSET(COM_2012!$B$60,$AW261,SUMIF($B$10:$B$16,"NCAP_TLIFE",$AX$10:$AX$16)),0,""))</f>
        <v/>
      </c>
      <c r="O261" s="658" t="str">
        <f ca="1">IF($B261&lt;&gt;"PRC_RESID","",IF(O$7=2005+OFFSET(COM_2012!$B$60,$AW261,SUMIF($B$10:$B$16,"NCAP_TLIFE",$AX$10:$AX$16)),0,""))</f>
        <v/>
      </c>
      <c r="P261" s="369" t="str">
        <f ca="1">IF($B261&lt;&gt;"PRC_RESID","",IF(P$7=2005+OFFSET(COM_2012!$B$60,$AW261,SUMIF($B$10:$B$16,"NCAP_TLIFE",$AX$10:$AX$16)),0,""))</f>
        <v/>
      </c>
      <c r="Q261" s="369" t="str">
        <f ca="1">IF($B261&lt;&gt;"PRC_RESID","",IF(Q$7=2005+OFFSET(COM_2012!$B$60,$AW261,SUMIF($B$10:$B$16,"NCAP_TLIFE",$AX$10:$AX$16)),0,""))</f>
        <v/>
      </c>
      <c r="R261" s="369" t="str">
        <f ca="1">IF($B261&lt;&gt;"PRC_RESID","",IF(R$7=2005+OFFSET(COM_2012!$B$60,$AW261,SUMIF($B$10:$B$16,"NCAP_TLIFE",$AX$10:$AX$16)),0,""))</f>
        <v/>
      </c>
      <c r="S261" s="369" t="str">
        <f ca="1">IF($B261&lt;&gt;"PRC_RESID","",IF(S$7=2005+OFFSET(COM_2012!$B$60,$AW261,SUMIF($B$10:$B$16,"NCAP_TLIFE",$AX$10:$AX$16)),0,""))</f>
        <v/>
      </c>
      <c r="T261" s="369" t="str">
        <f ca="1">IF($B261&lt;&gt;"PRC_RESID","",IF(T$7=2005+OFFSET(COM_2012!$B$60,$AW261,SUMIF($B$10:$B$16,"NCAP_TLIFE",$AX$10:$AX$16)),0,""))</f>
        <v/>
      </c>
      <c r="U261" s="369" t="str">
        <f ca="1">IF($B261&lt;&gt;"PRC_RESID","",IF(U$7=2005+OFFSET(COM_2012!$B$60,$AW261,SUMIF($B$10:$B$16,"NCAP_TLIFE",$AX$10:$AX$16)),0,""))</f>
        <v/>
      </c>
      <c r="V261" s="369" t="str">
        <f ca="1">IF($B261&lt;&gt;"PRC_RESID","",IF(V$7=2005+OFFSET(COM_2012!$B$60,$AW261,SUMIF($B$10:$B$16,"NCAP_TLIFE",$AX$10:$AX$16)),0,""))</f>
        <v/>
      </c>
      <c r="W261" s="369" t="str">
        <f ca="1">IF($B261&lt;&gt;"PRC_RESID","",IF(W$7=2005+OFFSET(COM_2012!$B$60,$AW261,SUMIF($B$10:$B$16,"NCAP_TLIFE",$AX$10:$AX$16)),0,""))</f>
        <v/>
      </c>
      <c r="X261" s="369" t="str">
        <f ca="1">IF($B261&lt;&gt;"PRC_RESID","",IF(X$7=2005+OFFSET(COM_2012!$B$60,$AW261,SUMIF($B$10:$B$16,"NCAP_TLIFE",$AX$10:$AX$16)),0,""))</f>
        <v/>
      </c>
      <c r="Y261" s="369" t="str">
        <f ca="1">IF($B261&lt;&gt;"PRC_RESID","",IF(Y$7=2005+OFFSET(COM_2012!$B$60,$AW261,SUMIF($B$10:$B$16,"NCAP_TLIFE",$AX$10:$AX$16)),0,""))</f>
        <v/>
      </c>
      <c r="Z261" s="369" t="str">
        <f ca="1">IF($B261&lt;&gt;"PRC_RESID","",IF(Z$7=2005+OFFSET(COM_2012!$B$60,$AW261,SUMIF($B$10:$B$16,"NCAP_TLIFE",$AX$10:$AX$16)),0,""))</f>
        <v/>
      </c>
      <c r="AA261" s="369" t="str">
        <f ca="1">IF($B261&lt;&gt;"PRC_RESID","",IF(AA$7=2005+OFFSET(COM_2012!$B$60,$AW261,SUMIF($B$10:$B$16,"NCAP_TLIFE",$AX$10:$AX$16)),0,""))</f>
        <v/>
      </c>
      <c r="AB261" s="369" t="str">
        <f ca="1">IF($B261&lt;&gt;"PRC_RESID","",IF(AB$7=2005+OFFSET(COM_2012!$B$60,$AW261,SUMIF($B$10:$B$16,"NCAP_TLIFE",$AX$10:$AX$16)),0,""))</f>
        <v/>
      </c>
      <c r="AC261" s="369" t="str">
        <f ca="1">IF($B261&lt;&gt;"PRC_RESID","",IF(AC$7=2005+OFFSET(COM_2012!$B$60,$AW261,SUMIF($B$10:$B$16,"NCAP_TLIFE",$AX$10:$AX$16)),0,""))</f>
        <v/>
      </c>
      <c r="AD261" s="369" t="str">
        <f ca="1">IF($B261&lt;&gt;"PRC_RESID","",IF(AD$7=2005+OFFSET(COM_2012!$B$60,$AW261,SUMIF($B$10:$B$16,"NCAP_TLIFE",$AX$10:$AX$16)),0,""))</f>
        <v/>
      </c>
      <c r="AE261" s="369" t="str">
        <f ca="1">IF($B261&lt;&gt;"PRC_RESID","",IF(AE$7=2005+OFFSET(COM_2012!$B$60,$AW261,SUMIF($B$10:$B$16,"NCAP_TLIFE",$AX$10:$AX$16)),0,""))</f>
        <v/>
      </c>
      <c r="AF261" s="369" t="str">
        <f ca="1">IF($B261&lt;&gt;"PRC_RESID","",IF(AF$7=2005+OFFSET(COM_2012!$B$60,$AW261,SUMIF($B$10:$B$16,"NCAP_TLIFE",$AX$10:$AX$16)),0,""))</f>
        <v/>
      </c>
      <c r="AG261" s="369" t="str">
        <f ca="1">IF($B261&lt;&gt;"PRC_RESID","",IF(AG$7=2005+OFFSET(COM_2012!$B$60,$AW261,SUMIF($B$10:$B$16,"NCAP_TLIFE",$AX$10:$AX$16)),0,""))</f>
        <v/>
      </c>
      <c r="AH261" s="369" t="str">
        <f ca="1">IF($B261&lt;&gt;"PRC_RESID","",IF(AH$7=2005+OFFSET(COM_2012!$B$60,$AW261,SUMIF($B$10:$B$16,"NCAP_TLIFE",$AX$10:$AX$16)),0,""))</f>
        <v/>
      </c>
      <c r="AI261" s="369" t="str">
        <f ca="1">IF($B261&lt;&gt;"PRC_RESID","",IF(AI$7=2005+OFFSET(COM_2012!$B$60,$AW261,SUMIF($B$10:$B$16,"NCAP_TLIFE",$AX$10:$AX$16)),0,""))</f>
        <v/>
      </c>
      <c r="AJ261" s="369" t="str">
        <f ca="1">IF($B261&lt;&gt;"PRC_RESID","",IF(AJ$7=2005+OFFSET(COM_2012!$B$60,$AW261,SUMIF($B$10:$B$16,"NCAP_TLIFE",$AX$10:$AX$16)),0,""))</f>
        <v/>
      </c>
      <c r="AK261" s="369" t="str">
        <f ca="1">IF($B261&lt;&gt;"PRC_RESID","",IF(AK$7=2005+OFFSET(COM_2012!$B$60,$AW261,SUMIF($B$10:$B$16,"NCAP_TLIFE",$AX$10:$AX$16)),0,""))</f>
        <v/>
      </c>
      <c r="AL261" s="369" t="str">
        <f ca="1">IF($B261&lt;&gt;"PRC_RESID","",IF(AL$7=2005+OFFSET(COM_2012!$B$60,$AW261,SUMIF($B$10:$B$16,"NCAP_TLIFE",$AX$10:$AX$16)),0,""))</f>
        <v/>
      </c>
      <c r="AM261" s="369" t="str">
        <f ca="1">IF($B261&lt;&gt;"PRC_RESID","",IF(AM$7=2005+OFFSET(COM_2012!$B$60,$AW261,SUMIF($B$10:$B$16,"NCAP_TLIFE",$AX$10:$AX$16)),0,""))</f>
        <v/>
      </c>
      <c r="AN261" s="369" t="str">
        <f ca="1">IF($B261&lt;&gt;"PRC_RESID","",IF(AN$7=2005+OFFSET(COM_2012!$B$60,$AW261,SUMIF($B$10:$B$16,"NCAP_TLIFE",$AX$10:$AX$16)),0,""))</f>
        <v/>
      </c>
      <c r="AO261" s="369" t="str">
        <f ca="1">IF($B261&lt;&gt;"PRC_RESID","",IF(AO$7=2005+OFFSET(COM_2012!$B$60,$AW261,SUMIF($B$10:$B$16,"NCAP_TLIFE",$AX$10:$AX$16)),0,""))</f>
        <v/>
      </c>
      <c r="AP261" s="369" t="str">
        <f ca="1">IF($B261&lt;&gt;"PRC_RESID","",IF(AP$7=2005+OFFSET(COM_2012!$B$60,$AW261,SUMIF($B$10:$B$16,"NCAP_TLIFE",$AX$10:$AX$16)),0,""))</f>
        <v/>
      </c>
      <c r="AQ261" s="369" t="str">
        <f ca="1">IF($B261&lt;&gt;"PRC_RESID","",IF(AQ$7=2005+OFFSET(COM_2012!$B$60,$AW261,SUMIF($B$10:$B$16,"NCAP_TLIFE",$AX$10:$AX$16)),0,""))</f>
        <v/>
      </c>
      <c r="AR261" s="369" t="str">
        <f ca="1">IF($B261&lt;&gt;"PRC_RESID","",IF(AR$7=2005+OFFSET(COM_2012!$B$60,$AW261,SUMIF($B$10:$B$16,"NCAP_TLIFE",$AX$10:$AX$16)),0,""))</f>
        <v/>
      </c>
      <c r="AS261" s="369" t="str">
        <f ca="1">IF($B261&lt;&gt;"PRC_RESID","",IF(AS$7=2005+OFFSET(COM_2012!$B$60,$AW261,SUMIF($B$10:$B$16,"NCAP_TLIFE",$AX$10:$AX$16)),0,""))</f>
        <v/>
      </c>
      <c r="AT261" s="369" t="str">
        <f ca="1">IF($B261&lt;&gt;"PRC_RESID","",IF(AT$7=2005+OFFSET(COM_2012!$B$60,$AW261,SUMIF($B$10:$B$16,"NCAP_TLIFE",$AX$10:$AX$16)),0,""))</f>
        <v/>
      </c>
      <c r="AU261" s="369" t="str">
        <f ca="1">IF($B261&lt;&gt;"PRC_RESID","",IF(AU$7=2005+OFFSET(COM_2012!$B$60,$AW261,SUMIF($B$10:$B$16,"NCAP_TLIFE",$AX$10:$AX$16)),0,""))</f>
        <v/>
      </c>
      <c r="AV261" s="304">
        <f>IF(AW260=COM_2012!$AI$121,AV260+1,AV260)</f>
        <v>4</v>
      </c>
      <c r="AW261" s="304">
        <f t="shared" si="23"/>
        <v>51</v>
      </c>
    </row>
    <row r="262" spans="1:49">
      <c r="A262" s="304" t="str">
        <f ca="1">IF(LEFT(OFFSET(COM_2012!$A$60,AW262,0),2)="\I","*","")</f>
        <v>*</v>
      </c>
      <c r="B262" s="369" t="str">
        <f t="shared" ca="1" si="22"/>
        <v/>
      </c>
      <c r="C262" s="369" t="str">
        <f ca="1">IF($A262="*","",OFFSET(COM_2012!$B$60,AW262,0))</f>
        <v/>
      </c>
      <c r="D262" s="369" t="str">
        <f t="shared" ca="1" si="25"/>
        <v/>
      </c>
      <c r="E262" s="369" t="str">
        <f t="shared" ca="1" si="25"/>
        <v/>
      </c>
      <c r="F262" s="369" t="str">
        <f t="shared" ca="1" si="25"/>
        <v/>
      </c>
      <c r="G262" s="369" t="str">
        <f t="shared" ca="1" si="25"/>
        <v/>
      </c>
      <c r="H262" s="369" t="str">
        <f t="shared" ca="1" si="25"/>
        <v/>
      </c>
      <c r="I262" s="370" t="str">
        <f t="shared" ca="1" si="25"/>
        <v/>
      </c>
      <c r="J262" s="391" t="str">
        <f ca="1">IF($A262="*","",OFFSET(COM_2012!$B$60,AW262,SUMIF($B$10:$B$16,B262,$AX$10:$AX$16)))</f>
        <v/>
      </c>
      <c r="K262" s="369" t="str">
        <f ca="1">IF($B262&lt;&gt;"PRC_RESID","",IF(K$7=2005+OFFSET(COM_2012!$B$60,$AW262,SUMIF($B$10:$B$16,"NCAP_TLIFE",$AX$10:$AX$16)),0,""))</f>
        <v/>
      </c>
      <c r="L262" s="369" t="str">
        <f ca="1">IF($B262&lt;&gt;"PRC_RESID","",IF(L$7=2005+OFFSET(COM_2012!$B$60,$AW262,SUMIF($B$10:$B$16,"NCAP_TLIFE",$AX$10:$AX$16)),0,""))</f>
        <v/>
      </c>
      <c r="M262" s="369" t="str">
        <f ca="1">IF($B262&lt;&gt;"PRC_RESID","",IF(M$7=2005+OFFSET(COM_2012!$B$60,$AW262,SUMIF($B$10:$B$16,"NCAP_TLIFE",$AX$10:$AX$16)),0,""))</f>
        <v/>
      </c>
      <c r="N262" s="369" t="str">
        <f ca="1">IF($B262&lt;&gt;"PRC_RESID","",IF(N$7=2005+OFFSET(COM_2012!$B$60,$AW262,SUMIF($B$10:$B$16,"NCAP_TLIFE",$AX$10:$AX$16)),0,""))</f>
        <v/>
      </c>
      <c r="O262" s="658" t="str">
        <f ca="1">IF($B262&lt;&gt;"PRC_RESID","",IF(O$7=2005+OFFSET(COM_2012!$B$60,$AW262,SUMIF($B$10:$B$16,"NCAP_TLIFE",$AX$10:$AX$16)),0,""))</f>
        <v/>
      </c>
      <c r="P262" s="369" t="str">
        <f ca="1">IF($B262&lt;&gt;"PRC_RESID","",IF(P$7=2005+OFFSET(COM_2012!$B$60,$AW262,SUMIF($B$10:$B$16,"NCAP_TLIFE",$AX$10:$AX$16)),0,""))</f>
        <v/>
      </c>
      <c r="Q262" s="369" t="str">
        <f ca="1">IF($B262&lt;&gt;"PRC_RESID","",IF(Q$7=2005+OFFSET(COM_2012!$B$60,$AW262,SUMIF($B$10:$B$16,"NCAP_TLIFE",$AX$10:$AX$16)),0,""))</f>
        <v/>
      </c>
      <c r="R262" s="369" t="str">
        <f ca="1">IF($B262&lt;&gt;"PRC_RESID","",IF(R$7=2005+OFFSET(COM_2012!$B$60,$AW262,SUMIF($B$10:$B$16,"NCAP_TLIFE",$AX$10:$AX$16)),0,""))</f>
        <v/>
      </c>
      <c r="S262" s="369" t="str">
        <f ca="1">IF($B262&lt;&gt;"PRC_RESID","",IF(S$7=2005+OFFSET(COM_2012!$B$60,$AW262,SUMIF($B$10:$B$16,"NCAP_TLIFE",$AX$10:$AX$16)),0,""))</f>
        <v/>
      </c>
      <c r="T262" s="369" t="str">
        <f ca="1">IF($B262&lt;&gt;"PRC_RESID","",IF(T$7=2005+OFFSET(COM_2012!$B$60,$AW262,SUMIF($B$10:$B$16,"NCAP_TLIFE",$AX$10:$AX$16)),0,""))</f>
        <v/>
      </c>
      <c r="U262" s="369" t="str">
        <f ca="1">IF($B262&lt;&gt;"PRC_RESID","",IF(U$7=2005+OFFSET(COM_2012!$B$60,$AW262,SUMIF($B$10:$B$16,"NCAP_TLIFE",$AX$10:$AX$16)),0,""))</f>
        <v/>
      </c>
      <c r="V262" s="369" t="str">
        <f ca="1">IF($B262&lt;&gt;"PRC_RESID","",IF(V$7=2005+OFFSET(COM_2012!$B$60,$AW262,SUMIF($B$10:$B$16,"NCAP_TLIFE",$AX$10:$AX$16)),0,""))</f>
        <v/>
      </c>
      <c r="W262" s="369" t="str">
        <f ca="1">IF($B262&lt;&gt;"PRC_RESID","",IF(W$7=2005+OFFSET(COM_2012!$B$60,$AW262,SUMIF($B$10:$B$16,"NCAP_TLIFE",$AX$10:$AX$16)),0,""))</f>
        <v/>
      </c>
      <c r="X262" s="369" t="str">
        <f ca="1">IF($B262&lt;&gt;"PRC_RESID","",IF(X$7=2005+OFFSET(COM_2012!$B$60,$AW262,SUMIF($B$10:$B$16,"NCAP_TLIFE",$AX$10:$AX$16)),0,""))</f>
        <v/>
      </c>
      <c r="Y262" s="369" t="str">
        <f ca="1">IF($B262&lt;&gt;"PRC_RESID","",IF(Y$7=2005+OFFSET(COM_2012!$B$60,$AW262,SUMIF($B$10:$B$16,"NCAP_TLIFE",$AX$10:$AX$16)),0,""))</f>
        <v/>
      </c>
      <c r="Z262" s="369" t="str">
        <f ca="1">IF($B262&lt;&gt;"PRC_RESID","",IF(Z$7=2005+OFFSET(COM_2012!$B$60,$AW262,SUMIF($B$10:$B$16,"NCAP_TLIFE",$AX$10:$AX$16)),0,""))</f>
        <v/>
      </c>
      <c r="AA262" s="369" t="str">
        <f ca="1">IF($B262&lt;&gt;"PRC_RESID","",IF(AA$7=2005+OFFSET(COM_2012!$B$60,$AW262,SUMIF($B$10:$B$16,"NCAP_TLIFE",$AX$10:$AX$16)),0,""))</f>
        <v/>
      </c>
      <c r="AB262" s="369" t="str">
        <f ca="1">IF($B262&lt;&gt;"PRC_RESID","",IF(AB$7=2005+OFFSET(COM_2012!$B$60,$AW262,SUMIF($B$10:$B$16,"NCAP_TLIFE",$AX$10:$AX$16)),0,""))</f>
        <v/>
      </c>
      <c r="AC262" s="369" t="str">
        <f ca="1">IF($B262&lt;&gt;"PRC_RESID","",IF(AC$7=2005+OFFSET(COM_2012!$B$60,$AW262,SUMIF($B$10:$B$16,"NCAP_TLIFE",$AX$10:$AX$16)),0,""))</f>
        <v/>
      </c>
      <c r="AD262" s="369" t="str">
        <f ca="1">IF($B262&lt;&gt;"PRC_RESID","",IF(AD$7=2005+OFFSET(COM_2012!$B$60,$AW262,SUMIF($B$10:$B$16,"NCAP_TLIFE",$AX$10:$AX$16)),0,""))</f>
        <v/>
      </c>
      <c r="AE262" s="369" t="str">
        <f ca="1">IF($B262&lt;&gt;"PRC_RESID","",IF(AE$7=2005+OFFSET(COM_2012!$B$60,$AW262,SUMIF($B$10:$B$16,"NCAP_TLIFE",$AX$10:$AX$16)),0,""))</f>
        <v/>
      </c>
      <c r="AF262" s="369" t="str">
        <f ca="1">IF($B262&lt;&gt;"PRC_RESID","",IF(AF$7=2005+OFFSET(COM_2012!$B$60,$AW262,SUMIF($B$10:$B$16,"NCAP_TLIFE",$AX$10:$AX$16)),0,""))</f>
        <v/>
      </c>
      <c r="AG262" s="369" t="str">
        <f ca="1">IF($B262&lt;&gt;"PRC_RESID","",IF(AG$7=2005+OFFSET(COM_2012!$B$60,$AW262,SUMIF($B$10:$B$16,"NCAP_TLIFE",$AX$10:$AX$16)),0,""))</f>
        <v/>
      </c>
      <c r="AH262" s="369" t="str">
        <f ca="1">IF($B262&lt;&gt;"PRC_RESID","",IF(AH$7=2005+OFFSET(COM_2012!$B$60,$AW262,SUMIF($B$10:$B$16,"NCAP_TLIFE",$AX$10:$AX$16)),0,""))</f>
        <v/>
      </c>
      <c r="AI262" s="369" t="str">
        <f ca="1">IF($B262&lt;&gt;"PRC_RESID","",IF(AI$7=2005+OFFSET(COM_2012!$B$60,$AW262,SUMIF($B$10:$B$16,"NCAP_TLIFE",$AX$10:$AX$16)),0,""))</f>
        <v/>
      </c>
      <c r="AJ262" s="369" t="str">
        <f ca="1">IF($B262&lt;&gt;"PRC_RESID","",IF(AJ$7=2005+OFFSET(COM_2012!$B$60,$AW262,SUMIF($B$10:$B$16,"NCAP_TLIFE",$AX$10:$AX$16)),0,""))</f>
        <v/>
      </c>
      <c r="AK262" s="369" t="str">
        <f ca="1">IF($B262&lt;&gt;"PRC_RESID","",IF(AK$7=2005+OFFSET(COM_2012!$B$60,$AW262,SUMIF($B$10:$B$16,"NCAP_TLIFE",$AX$10:$AX$16)),0,""))</f>
        <v/>
      </c>
      <c r="AL262" s="369" t="str">
        <f ca="1">IF($B262&lt;&gt;"PRC_RESID","",IF(AL$7=2005+OFFSET(COM_2012!$B$60,$AW262,SUMIF($B$10:$B$16,"NCAP_TLIFE",$AX$10:$AX$16)),0,""))</f>
        <v/>
      </c>
      <c r="AM262" s="369" t="str">
        <f ca="1">IF($B262&lt;&gt;"PRC_RESID","",IF(AM$7=2005+OFFSET(COM_2012!$B$60,$AW262,SUMIF($B$10:$B$16,"NCAP_TLIFE",$AX$10:$AX$16)),0,""))</f>
        <v/>
      </c>
      <c r="AN262" s="369" t="str">
        <f ca="1">IF($B262&lt;&gt;"PRC_RESID","",IF(AN$7=2005+OFFSET(COM_2012!$B$60,$AW262,SUMIF($B$10:$B$16,"NCAP_TLIFE",$AX$10:$AX$16)),0,""))</f>
        <v/>
      </c>
      <c r="AO262" s="369" t="str">
        <f ca="1">IF($B262&lt;&gt;"PRC_RESID","",IF(AO$7=2005+OFFSET(COM_2012!$B$60,$AW262,SUMIF($B$10:$B$16,"NCAP_TLIFE",$AX$10:$AX$16)),0,""))</f>
        <v/>
      </c>
      <c r="AP262" s="369" t="str">
        <f ca="1">IF($B262&lt;&gt;"PRC_RESID","",IF(AP$7=2005+OFFSET(COM_2012!$B$60,$AW262,SUMIF($B$10:$B$16,"NCAP_TLIFE",$AX$10:$AX$16)),0,""))</f>
        <v/>
      </c>
      <c r="AQ262" s="369" t="str">
        <f ca="1">IF($B262&lt;&gt;"PRC_RESID","",IF(AQ$7=2005+OFFSET(COM_2012!$B$60,$AW262,SUMIF($B$10:$B$16,"NCAP_TLIFE",$AX$10:$AX$16)),0,""))</f>
        <v/>
      </c>
      <c r="AR262" s="369" t="str">
        <f ca="1">IF($B262&lt;&gt;"PRC_RESID","",IF(AR$7=2005+OFFSET(COM_2012!$B$60,$AW262,SUMIF($B$10:$B$16,"NCAP_TLIFE",$AX$10:$AX$16)),0,""))</f>
        <v/>
      </c>
      <c r="AS262" s="369" t="str">
        <f ca="1">IF($B262&lt;&gt;"PRC_RESID","",IF(AS$7=2005+OFFSET(COM_2012!$B$60,$AW262,SUMIF($B$10:$B$16,"NCAP_TLIFE",$AX$10:$AX$16)),0,""))</f>
        <v/>
      </c>
      <c r="AT262" s="369" t="str">
        <f ca="1">IF($B262&lt;&gt;"PRC_RESID","",IF(AT$7=2005+OFFSET(COM_2012!$B$60,$AW262,SUMIF($B$10:$B$16,"NCAP_TLIFE",$AX$10:$AX$16)),0,""))</f>
        <v/>
      </c>
      <c r="AU262" s="369" t="str">
        <f ca="1">IF($B262&lt;&gt;"PRC_RESID","",IF(AU$7=2005+OFFSET(COM_2012!$B$60,$AW262,SUMIF($B$10:$B$16,"NCAP_TLIFE",$AX$10:$AX$16)),0,""))</f>
        <v/>
      </c>
      <c r="AV262" s="304">
        <f>IF(AW261=COM_2012!$AI$121,AV261+1,AV261)</f>
        <v>4</v>
      </c>
      <c r="AW262" s="304">
        <f t="shared" si="23"/>
        <v>52</v>
      </c>
    </row>
    <row r="263" spans="1:49">
      <c r="A263" s="304" t="str">
        <f ca="1">IF(LEFT(OFFSET(COM_2012!$A$60,AW263,0),2)="\I","*","")</f>
        <v/>
      </c>
      <c r="B263" s="369" t="str">
        <f t="shared" ca="1" si="22"/>
        <v>NCAP_COST</v>
      </c>
      <c r="C263" s="369" t="str">
        <f ca="1">IF($A263="*","",OFFSET(COM_2012!$B$60,AW263,0))</f>
        <v>CEOCOA-E</v>
      </c>
      <c r="D263" s="369" t="str">
        <f t="shared" ca="1" si="25"/>
        <v>-</v>
      </c>
      <c r="E263" s="369" t="str">
        <f t="shared" ca="1" si="25"/>
        <v>-</v>
      </c>
      <c r="F263" s="369" t="str">
        <f t="shared" ca="1" si="25"/>
        <v>-</v>
      </c>
      <c r="G263" s="369" t="str">
        <f t="shared" ca="1" si="25"/>
        <v>-</v>
      </c>
      <c r="H263" s="369" t="str">
        <f t="shared" ca="1" si="25"/>
        <v>-</v>
      </c>
      <c r="I263" s="370">
        <f t="shared" ca="1" si="25"/>
        <v>0</v>
      </c>
      <c r="J263" s="391">
        <f ca="1">IF($A263="*","",OFFSET(COM_2012!$B$60,AW263,SUMIF($B$10:$B$16,B263,$AX$10:$AX$16)))</f>
        <v>410.88682603593844</v>
      </c>
      <c r="K263" s="369" t="str">
        <f ca="1">IF($B263&lt;&gt;"PRC_RESID","",IF(K$7=2005+OFFSET(COM_2012!$B$60,$AW263,SUMIF($B$10:$B$16,"NCAP_TLIFE",$AX$10:$AX$16)),0,""))</f>
        <v/>
      </c>
      <c r="L263" s="369" t="str">
        <f ca="1">IF($B263&lt;&gt;"PRC_RESID","",IF(L$7=2005+OFFSET(COM_2012!$B$60,$AW263,SUMIF($B$10:$B$16,"NCAP_TLIFE",$AX$10:$AX$16)),0,""))</f>
        <v/>
      </c>
      <c r="M263" s="369" t="str">
        <f ca="1">IF($B263&lt;&gt;"PRC_RESID","",IF(M$7=2005+OFFSET(COM_2012!$B$60,$AW263,SUMIF($B$10:$B$16,"NCAP_TLIFE",$AX$10:$AX$16)),0,""))</f>
        <v/>
      </c>
      <c r="N263" s="369" t="str">
        <f ca="1">IF($B263&lt;&gt;"PRC_RESID","",IF(N$7=2005+OFFSET(COM_2012!$B$60,$AW263,SUMIF($B$10:$B$16,"NCAP_TLIFE",$AX$10:$AX$16)),0,""))</f>
        <v/>
      </c>
      <c r="O263" s="658" t="str">
        <f ca="1">IF($B263&lt;&gt;"PRC_RESID","",IF(O$7=2005+OFFSET(COM_2012!$B$60,$AW263,SUMIF($B$10:$B$16,"NCAP_TLIFE",$AX$10:$AX$16)),0,""))</f>
        <v/>
      </c>
      <c r="P263" s="369" t="str">
        <f ca="1">IF($B263&lt;&gt;"PRC_RESID","",IF(P$7=2005+OFFSET(COM_2012!$B$60,$AW263,SUMIF($B$10:$B$16,"NCAP_TLIFE",$AX$10:$AX$16)),0,""))</f>
        <v/>
      </c>
      <c r="Q263" s="369" t="str">
        <f ca="1">IF($B263&lt;&gt;"PRC_RESID","",IF(Q$7=2005+OFFSET(COM_2012!$B$60,$AW263,SUMIF($B$10:$B$16,"NCAP_TLIFE",$AX$10:$AX$16)),0,""))</f>
        <v/>
      </c>
      <c r="R263" s="369" t="str">
        <f ca="1">IF($B263&lt;&gt;"PRC_RESID","",IF(R$7=2005+OFFSET(COM_2012!$B$60,$AW263,SUMIF($B$10:$B$16,"NCAP_TLIFE",$AX$10:$AX$16)),0,""))</f>
        <v/>
      </c>
      <c r="S263" s="369" t="str">
        <f ca="1">IF($B263&lt;&gt;"PRC_RESID","",IF(S$7=2005+OFFSET(COM_2012!$B$60,$AW263,SUMIF($B$10:$B$16,"NCAP_TLIFE",$AX$10:$AX$16)),0,""))</f>
        <v/>
      </c>
      <c r="T263" s="369" t="str">
        <f ca="1">IF($B263&lt;&gt;"PRC_RESID","",IF(T$7=2005+OFFSET(COM_2012!$B$60,$AW263,SUMIF($B$10:$B$16,"NCAP_TLIFE",$AX$10:$AX$16)),0,""))</f>
        <v/>
      </c>
      <c r="U263" s="369" t="str">
        <f ca="1">IF($B263&lt;&gt;"PRC_RESID","",IF(U$7=2005+OFFSET(COM_2012!$B$60,$AW263,SUMIF($B$10:$B$16,"NCAP_TLIFE",$AX$10:$AX$16)),0,""))</f>
        <v/>
      </c>
      <c r="V263" s="369" t="str">
        <f ca="1">IF($B263&lt;&gt;"PRC_RESID","",IF(V$7=2005+OFFSET(COM_2012!$B$60,$AW263,SUMIF($B$10:$B$16,"NCAP_TLIFE",$AX$10:$AX$16)),0,""))</f>
        <v/>
      </c>
      <c r="W263" s="369" t="str">
        <f ca="1">IF($B263&lt;&gt;"PRC_RESID","",IF(W$7=2005+OFFSET(COM_2012!$B$60,$AW263,SUMIF($B$10:$B$16,"NCAP_TLIFE",$AX$10:$AX$16)),0,""))</f>
        <v/>
      </c>
      <c r="X263" s="369" t="str">
        <f ca="1">IF($B263&lt;&gt;"PRC_RESID","",IF(X$7=2005+OFFSET(COM_2012!$B$60,$AW263,SUMIF($B$10:$B$16,"NCAP_TLIFE",$AX$10:$AX$16)),0,""))</f>
        <v/>
      </c>
      <c r="Y263" s="369" t="str">
        <f ca="1">IF($B263&lt;&gt;"PRC_RESID","",IF(Y$7=2005+OFFSET(COM_2012!$B$60,$AW263,SUMIF($B$10:$B$16,"NCAP_TLIFE",$AX$10:$AX$16)),0,""))</f>
        <v/>
      </c>
      <c r="Z263" s="369" t="str">
        <f ca="1">IF($B263&lt;&gt;"PRC_RESID","",IF(Z$7=2005+OFFSET(COM_2012!$B$60,$AW263,SUMIF($B$10:$B$16,"NCAP_TLIFE",$AX$10:$AX$16)),0,""))</f>
        <v/>
      </c>
      <c r="AA263" s="369" t="str">
        <f ca="1">IF($B263&lt;&gt;"PRC_RESID","",IF(AA$7=2005+OFFSET(COM_2012!$B$60,$AW263,SUMIF($B$10:$B$16,"NCAP_TLIFE",$AX$10:$AX$16)),0,""))</f>
        <v/>
      </c>
      <c r="AB263" s="369" t="str">
        <f ca="1">IF($B263&lt;&gt;"PRC_RESID","",IF(AB$7=2005+OFFSET(COM_2012!$B$60,$AW263,SUMIF($B$10:$B$16,"NCAP_TLIFE",$AX$10:$AX$16)),0,""))</f>
        <v/>
      </c>
      <c r="AC263" s="369" t="str">
        <f ca="1">IF($B263&lt;&gt;"PRC_RESID","",IF(AC$7=2005+OFFSET(COM_2012!$B$60,$AW263,SUMIF($B$10:$B$16,"NCAP_TLIFE",$AX$10:$AX$16)),0,""))</f>
        <v/>
      </c>
      <c r="AD263" s="369" t="str">
        <f ca="1">IF($B263&lt;&gt;"PRC_RESID","",IF(AD$7=2005+OFFSET(COM_2012!$B$60,$AW263,SUMIF($B$10:$B$16,"NCAP_TLIFE",$AX$10:$AX$16)),0,""))</f>
        <v/>
      </c>
      <c r="AE263" s="369" t="str">
        <f ca="1">IF($B263&lt;&gt;"PRC_RESID","",IF(AE$7=2005+OFFSET(COM_2012!$B$60,$AW263,SUMIF($B$10:$B$16,"NCAP_TLIFE",$AX$10:$AX$16)),0,""))</f>
        <v/>
      </c>
      <c r="AF263" s="369" t="str">
        <f ca="1">IF($B263&lt;&gt;"PRC_RESID","",IF(AF$7=2005+OFFSET(COM_2012!$B$60,$AW263,SUMIF($B$10:$B$16,"NCAP_TLIFE",$AX$10:$AX$16)),0,""))</f>
        <v/>
      </c>
      <c r="AG263" s="369" t="str">
        <f ca="1">IF($B263&lt;&gt;"PRC_RESID","",IF(AG$7=2005+OFFSET(COM_2012!$B$60,$AW263,SUMIF($B$10:$B$16,"NCAP_TLIFE",$AX$10:$AX$16)),0,""))</f>
        <v/>
      </c>
      <c r="AH263" s="369" t="str">
        <f ca="1">IF($B263&lt;&gt;"PRC_RESID","",IF(AH$7=2005+OFFSET(COM_2012!$B$60,$AW263,SUMIF($B$10:$B$16,"NCAP_TLIFE",$AX$10:$AX$16)),0,""))</f>
        <v/>
      </c>
      <c r="AI263" s="369" t="str">
        <f ca="1">IF($B263&lt;&gt;"PRC_RESID","",IF(AI$7=2005+OFFSET(COM_2012!$B$60,$AW263,SUMIF($B$10:$B$16,"NCAP_TLIFE",$AX$10:$AX$16)),0,""))</f>
        <v/>
      </c>
      <c r="AJ263" s="369" t="str">
        <f ca="1">IF($B263&lt;&gt;"PRC_RESID","",IF(AJ$7=2005+OFFSET(COM_2012!$B$60,$AW263,SUMIF($B$10:$B$16,"NCAP_TLIFE",$AX$10:$AX$16)),0,""))</f>
        <v/>
      </c>
      <c r="AK263" s="369" t="str">
        <f ca="1">IF($B263&lt;&gt;"PRC_RESID","",IF(AK$7=2005+OFFSET(COM_2012!$B$60,$AW263,SUMIF($B$10:$B$16,"NCAP_TLIFE",$AX$10:$AX$16)),0,""))</f>
        <v/>
      </c>
      <c r="AL263" s="369" t="str">
        <f ca="1">IF($B263&lt;&gt;"PRC_RESID","",IF(AL$7=2005+OFFSET(COM_2012!$B$60,$AW263,SUMIF($B$10:$B$16,"NCAP_TLIFE",$AX$10:$AX$16)),0,""))</f>
        <v/>
      </c>
      <c r="AM263" s="369" t="str">
        <f ca="1">IF($B263&lt;&gt;"PRC_RESID","",IF(AM$7=2005+OFFSET(COM_2012!$B$60,$AW263,SUMIF($B$10:$B$16,"NCAP_TLIFE",$AX$10:$AX$16)),0,""))</f>
        <v/>
      </c>
      <c r="AN263" s="369" t="str">
        <f ca="1">IF($B263&lt;&gt;"PRC_RESID","",IF(AN$7=2005+OFFSET(COM_2012!$B$60,$AW263,SUMIF($B$10:$B$16,"NCAP_TLIFE",$AX$10:$AX$16)),0,""))</f>
        <v/>
      </c>
      <c r="AO263" s="369" t="str">
        <f ca="1">IF($B263&lt;&gt;"PRC_RESID","",IF(AO$7=2005+OFFSET(COM_2012!$B$60,$AW263,SUMIF($B$10:$B$16,"NCAP_TLIFE",$AX$10:$AX$16)),0,""))</f>
        <v/>
      </c>
      <c r="AP263" s="369" t="str">
        <f ca="1">IF($B263&lt;&gt;"PRC_RESID","",IF(AP$7=2005+OFFSET(COM_2012!$B$60,$AW263,SUMIF($B$10:$B$16,"NCAP_TLIFE",$AX$10:$AX$16)),0,""))</f>
        <v/>
      </c>
      <c r="AQ263" s="369" t="str">
        <f ca="1">IF($B263&lt;&gt;"PRC_RESID","",IF(AQ$7=2005+OFFSET(COM_2012!$B$60,$AW263,SUMIF($B$10:$B$16,"NCAP_TLIFE",$AX$10:$AX$16)),0,""))</f>
        <v/>
      </c>
      <c r="AR263" s="369" t="str">
        <f ca="1">IF($B263&lt;&gt;"PRC_RESID","",IF(AR$7=2005+OFFSET(COM_2012!$B$60,$AW263,SUMIF($B$10:$B$16,"NCAP_TLIFE",$AX$10:$AX$16)),0,""))</f>
        <v/>
      </c>
      <c r="AS263" s="369" t="str">
        <f ca="1">IF($B263&lt;&gt;"PRC_RESID","",IF(AS$7=2005+OFFSET(COM_2012!$B$60,$AW263,SUMIF($B$10:$B$16,"NCAP_TLIFE",$AX$10:$AX$16)),0,""))</f>
        <v/>
      </c>
      <c r="AT263" s="369" t="str">
        <f ca="1">IF($B263&lt;&gt;"PRC_RESID","",IF(AT$7=2005+OFFSET(COM_2012!$B$60,$AW263,SUMIF($B$10:$B$16,"NCAP_TLIFE",$AX$10:$AX$16)),0,""))</f>
        <v/>
      </c>
      <c r="AU263" s="369" t="str">
        <f ca="1">IF($B263&lt;&gt;"PRC_RESID","",IF(AU$7=2005+OFFSET(COM_2012!$B$60,$AW263,SUMIF($B$10:$B$16,"NCAP_TLIFE",$AX$10:$AX$16)),0,""))</f>
        <v/>
      </c>
      <c r="AV263" s="304">
        <f>IF(AW262=COM_2012!$AI$121,AV262+1,AV262)</f>
        <v>4</v>
      </c>
      <c r="AW263" s="304">
        <f t="shared" si="23"/>
        <v>53</v>
      </c>
    </row>
    <row r="264" spans="1:49">
      <c r="A264" s="304" t="str">
        <f ca="1">IF(LEFT(OFFSET(COM_2012!$A$60,AW264,0),2)="\I","*","")</f>
        <v/>
      </c>
      <c r="B264" s="369" t="str">
        <f t="shared" ca="1" si="22"/>
        <v>NCAP_COST</v>
      </c>
      <c r="C264" s="369" t="str">
        <f ca="1">IF($A264="*","",OFFSET(COM_2012!$B$60,AW264,0))</f>
        <v>CEOODS-E</v>
      </c>
      <c r="D264" s="369" t="str">
        <f t="shared" ca="1" si="25"/>
        <v>-</v>
      </c>
      <c r="E264" s="369" t="str">
        <f t="shared" ca="1" si="25"/>
        <v>-</v>
      </c>
      <c r="F264" s="369" t="str">
        <f t="shared" ca="1" si="25"/>
        <v>-</v>
      </c>
      <c r="G264" s="369" t="str">
        <f t="shared" ca="1" si="25"/>
        <v>-</v>
      </c>
      <c r="H264" s="369" t="str">
        <f t="shared" ca="1" si="25"/>
        <v>-</v>
      </c>
      <c r="I264" s="370">
        <f t="shared" ca="1" si="25"/>
        <v>0</v>
      </c>
      <c r="J264" s="391">
        <f ca="1">IF($A264="*","",OFFSET(COM_2012!$B$60,AW264,SUMIF($B$10:$B$16,B264,$AX$10:$AX$16)))</f>
        <v>410.88682603593844</v>
      </c>
      <c r="K264" s="369" t="str">
        <f ca="1">IF($B264&lt;&gt;"PRC_RESID","",IF(K$7=2005+OFFSET(COM_2012!$B$60,$AW264,SUMIF($B$10:$B$16,"NCAP_TLIFE",$AX$10:$AX$16)),0,""))</f>
        <v/>
      </c>
      <c r="L264" s="369" t="str">
        <f ca="1">IF($B264&lt;&gt;"PRC_RESID","",IF(L$7=2005+OFFSET(COM_2012!$B$60,$AW264,SUMIF($B$10:$B$16,"NCAP_TLIFE",$AX$10:$AX$16)),0,""))</f>
        <v/>
      </c>
      <c r="M264" s="369" t="str">
        <f ca="1">IF($B264&lt;&gt;"PRC_RESID","",IF(M$7=2005+OFFSET(COM_2012!$B$60,$AW264,SUMIF($B$10:$B$16,"NCAP_TLIFE",$AX$10:$AX$16)),0,""))</f>
        <v/>
      </c>
      <c r="N264" s="369" t="str">
        <f ca="1">IF($B264&lt;&gt;"PRC_RESID","",IF(N$7=2005+OFFSET(COM_2012!$B$60,$AW264,SUMIF($B$10:$B$16,"NCAP_TLIFE",$AX$10:$AX$16)),0,""))</f>
        <v/>
      </c>
      <c r="O264" s="658" t="str">
        <f ca="1">IF($B264&lt;&gt;"PRC_RESID","",IF(O$7=2005+OFFSET(COM_2012!$B$60,$AW264,SUMIF($B$10:$B$16,"NCAP_TLIFE",$AX$10:$AX$16)),0,""))</f>
        <v/>
      </c>
      <c r="P264" s="369" t="str">
        <f ca="1">IF($B264&lt;&gt;"PRC_RESID","",IF(P$7=2005+OFFSET(COM_2012!$B$60,$AW264,SUMIF($B$10:$B$16,"NCAP_TLIFE",$AX$10:$AX$16)),0,""))</f>
        <v/>
      </c>
      <c r="Q264" s="369" t="str">
        <f ca="1">IF($B264&lt;&gt;"PRC_RESID","",IF(Q$7=2005+OFFSET(COM_2012!$B$60,$AW264,SUMIF($B$10:$B$16,"NCAP_TLIFE",$AX$10:$AX$16)),0,""))</f>
        <v/>
      </c>
      <c r="R264" s="369" t="str">
        <f ca="1">IF($B264&lt;&gt;"PRC_RESID","",IF(R$7=2005+OFFSET(COM_2012!$B$60,$AW264,SUMIF($B$10:$B$16,"NCAP_TLIFE",$AX$10:$AX$16)),0,""))</f>
        <v/>
      </c>
      <c r="S264" s="369" t="str">
        <f ca="1">IF($B264&lt;&gt;"PRC_RESID","",IF(S$7=2005+OFFSET(COM_2012!$B$60,$AW264,SUMIF($B$10:$B$16,"NCAP_TLIFE",$AX$10:$AX$16)),0,""))</f>
        <v/>
      </c>
      <c r="T264" s="369" t="str">
        <f ca="1">IF($B264&lt;&gt;"PRC_RESID","",IF(T$7=2005+OFFSET(COM_2012!$B$60,$AW264,SUMIF($B$10:$B$16,"NCAP_TLIFE",$AX$10:$AX$16)),0,""))</f>
        <v/>
      </c>
      <c r="U264" s="369" t="str">
        <f ca="1">IF($B264&lt;&gt;"PRC_RESID","",IF(U$7=2005+OFFSET(COM_2012!$B$60,$AW264,SUMIF($B$10:$B$16,"NCAP_TLIFE",$AX$10:$AX$16)),0,""))</f>
        <v/>
      </c>
      <c r="V264" s="369" t="str">
        <f ca="1">IF($B264&lt;&gt;"PRC_RESID","",IF(V$7=2005+OFFSET(COM_2012!$B$60,$AW264,SUMIF($B$10:$B$16,"NCAP_TLIFE",$AX$10:$AX$16)),0,""))</f>
        <v/>
      </c>
      <c r="W264" s="369" t="str">
        <f ca="1">IF($B264&lt;&gt;"PRC_RESID","",IF(W$7=2005+OFFSET(COM_2012!$B$60,$AW264,SUMIF($B$10:$B$16,"NCAP_TLIFE",$AX$10:$AX$16)),0,""))</f>
        <v/>
      </c>
      <c r="X264" s="369" t="str">
        <f ca="1">IF($B264&lt;&gt;"PRC_RESID","",IF(X$7=2005+OFFSET(COM_2012!$B$60,$AW264,SUMIF($B$10:$B$16,"NCAP_TLIFE",$AX$10:$AX$16)),0,""))</f>
        <v/>
      </c>
      <c r="Y264" s="369" t="str">
        <f ca="1">IF($B264&lt;&gt;"PRC_RESID","",IF(Y$7=2005+OFFSET(COM_2012!$B$60,$AW264,SUMIF($B$10:$B$16,"NCAP_TLIFE",$AX$10:$AX$16)),0,""))</f>
        <v/>
      </c>
      <c r="Z264" s="369" t="str">
        <f ca="1">IF($B264&lt;&gt;"PRC_RESID","",IF(Z$7=2005+OFFSET(COM_2012!$B$60,$AW264,SUMIF($B$10:$B$16,"NCAP_TLIFE",$AX$10:$AX$16)),0,""))</f>
        <v/>
      </c>
      <c r="AA264" s="369" t="str">
        <f ca="1">IF($B264&lt;&gt;"PRC_RESID","",IF(AA$7=2005+OFFSET(COM_2012!$B$60,$AW264,SUMIF($B$10:$B$16,"NCAP_TLIFE",$AX$10:$AX$16)),0,""))</f>
        <v/>
      </c>
      <c r="AB264" s="369" t="str">
        <f ca="1">IF($B264&lt;&gt;"PRC_RESID","",IF(AB$7=2005+OFFSET(COM_2012!$B$60,$AW264,SUMIF($B$10:$B$16,"NCAP_TLIFE",$AX$10:$AX$16)),0,""))</f>
        <v/>
      </c>
      <c r="AC264" s="369" t="str">
        <f ca="1">IF($B264&lt;&gt;"PRC_RESID","",IF(AC$7=2005+OFFSET(COM_2012!$B$60,$AW264,SUMIF($B$10:$B$16,"NCAP_TLIFE",$AX$10:$AX$16)),0,""))</f>
        <v/>
      </c>
      <c r="AD264" s="369" t="str">
        <f ca="1">IF($B264&lt;&gt;"PRC_RESID","",IF(AD$7=2005+OFFSET(COM_2012!$B$60,$AW264,SUMIF($B$10:$B$16,"NCAP_TLIFE",$AX$10:$AX$16)),0,""))</f>
        <v/>
      </c>
      <c r="AE264" s="369" t="str">
        <f ca="1">IF($B264&lt;&gt;"PRC_RESID","",IF(AE$7=2005+OFFSET(COM_2012!$B$60,$AW264,SUMIF($B$10:$B$16,"NCAP_TLIFE",$AX$10:$AX$16)),0,""))</f>
        <v/>
      </c>
      <c r="AF264" s="369" t="str">
        <f ca="1">IF($B264&lt;&gt;"PRC_RESID","",IF(AF$7=2005+OFFSET(COM_2012!$B$60,$AW264,SUMIF($B$10:$B$16,"NCAP_TLIFE",$AX$10:$AX$16)),0,""))</f>
        <v/>
      </c>
      <c r="AG264" s="369" t="str">
        <f ca="1">IF($B264&lt;&gt;"PRC_RESID","",IF(AG$7=2005+OFFSET(COM_2012!$B$60,$AW264,SUMIF($B$10:$B$16,"NCAP_TLIFE",$AX$10:$AX$16)),0,""))</f>
        <v/>
      </c>
      <c r="AH264" s="369" t="str">
        <f ca="1">IF($B264&lt;&gt;"PRC_RESID","",IF(AH$7=2005+OFFSET(COM_2012!$B$60,$AW264,SUMIF($B$10:$B$16,"NCAP_TLIFE",$AX$10:$AX$16)),0,""))</f>
        <v/>
      </c>
      <c r="AI264" s="369" t="str">
        <f ca="1">IF($B264&lt;&gt;"PRC_RESID","",IF(AI$7=2005+OFFSET(COM_2012!$B$60,$AW264,SUMIF($B$10:$B$16,"NCAP_TLIFE",$AX$10:$AX$16)),0,""))</f>
        <v/>
      </c>
      <c r="AJ264" s="369" t="str">
        <f ca="1">IF($B264&lt;&gt;"PRC_RESID","",IF(AJ$7=2005+OFFSET(COM_2012!$B$60,$AW264,SUMIF($B$10:$B$16,"NCAP_TLIFE",$AX$10:$AX$16)),0,""))</f>
        <v/>
      </c>
      <c r="AK264" s="369" t="str">
        <f ca="1">IF($B264&lt;&gt;"PRC_RESID","",IF(AK$7=2005+OFFSET(COM_2012!$B$60,$AW264,SUMIF($B$10:$B$16,"NCAP_TLIFE",$AX$10:$AX$16)),0,""))</f>
        <v/>
      </c>
      <c r="AL264" s="369" t="str">
        <f ca="1">IF($B264&lt;&gt;"PRC_RESID","",IF(AL$7=2005+OFFSET(COM_2012!$B$60,$AW264,SUMIF($B$10:$B$16,"NCAP_TLIFE",$AX$10:$AX$16)),0,""))</f>
        <v/>
      </c>
      <c r="AM264" s="369" t="str">
        <f ca="1">IF($B264&lt;&gt;"PRC_RESID","",IF(AM$7=2005+OFFSET(COM_2012!$B$60,$AW264,SUMIF($B$10:$B$16,"NCAP_TLIFE",$AX$10:$AX$16)),0,""))</f>
        <v/>
      </c>
      <c r="AN264" s="369" t="str">
        <f ca="1">IF($B264&lt;&gt;"PRC_RESID","",IF(AN$7=2005+OFFSET(COM_2012!$B$60,$AW264,SUMIF($B$10:$B$16,"NCAP_TLIFE",$AX$10:$AX$16)),0,""))</f>
        <v/>
      </c>
      <c r="AO264" s="369" t="str">
        <f ca="1">IF($B264&lt;&gt;"PRC_RESID","",IF(AO$7=2005+OFFSET(COM_2012!$B$60,$AW264,SUMIF($B$10:$B$16,"NCAP_TLIFE",$AX$10:$AX$16)),0,""))</f>
        <v/>
      </c>
      <c r="AP264" s="369" t="str">
        <f ca="1">IF($B264&lt;&gt;"PRC_RESID","",IF(AP$7=2005+OFFSET(COM_2012!$B$60,$AW264,SUMIF($B$10:$B$16,"NCAP_TLIFE",$AX$10:$AX$16)),0,""))</f>
        <v/>
      </c>
      <c r="AQ264" s="369" t="str">
        <f ca="1">IF($B264&lt;&gt;"PRC_RESID","",IF(AQ$7=2005+OFFSET(COM_2012!$B$60,$AW264,SUMIF($B$10:$B$16,"NCAP_TLIFE",$AX$10:$AX$16)),0,""))</f>
        <v/>
      </c>
      <c r="AR264" s="369" t="str">
        <f ca="1">IF($B264&lt;&gt;"PRC_RESID","",IF(AR$7=2005+OFFSET(COM_2012!$B$60,$AW264,SUMIF($B$10:$B$16,"NCAP_TLIFE",$AX$10:$AX$16)),0,""))</f>
        <v/>
      </c>
      <c r="AS264" s="369" t="str">
        <f ca="1">IF($B264&lt;&gt;"PRC_RESID","",IF(AS$7=2005+OFFSET(COM_2012!$B$60,$AW264,SUMIF($B$10:$B$16,"NCAP_TLIFE",$AX$10:$AX$16)),0,""))</f>
        <v/>
      </c>
      <c r="AT264" s="369" t="str">
        <f ca="1">IF($B264&lt;&gt;"PRC_RESID","",IF(AT$7=2005+OFFSET(COM_2012!$B$60,$AW264,SUMIF($B$10:$B$16,"NCAP_TLIFE",$AX$10:$AX$16)),0,""))</f>
        <v/>
      </c>
      <c r="AU264" s="369" t="str">
        <f ca="1">IF($B264&lt;&gt;"PRC_RESID","",IF(AU$7=2005+OFFSET(COM_2012!$B$60,$AW264,SUMIF($B$10:$B$16,"NCAP_TLIFE",$AX$10:$AX$16)),0,""))</f>
        <v/>
      </c>
      <c r="AV264" s="304">
        <f>IF(AW263=COM_2012!$AI$121,AV263+1,AV263)</f>
        <v>4</v>
      </c>
      <c r="AW264" s="304">
        <f t="shared" si="23"/>
        <v>54</v>
      </c>
    </row>
    <row r="265" spans="1:49">
      <c r="A265" s="304" t="str">
        <f ca="1">IF(LEFT(OFFSET(COM_2012!$A$60,AW265,0),2)="\I","*","")</f>
        <v/>
      </c>
      <c r="B265" s="369" t="str">
        <f t="shared" ca="1" si="22"/>
        <v>NCAP_COST</v>
      </c>
      <c r="C265" s="369" t="str">
        <f ca="1">IF($A265="*","",OFFSET(COM_2012!$B$60,AW265,0))</f>
        <v>CEOELC-E</v>
      </c>
      <c r="D265" s="369" t="str">
        <f t="shared" ref="D265:I283" ca="1" si="26">IF($A265="*","",VLOOKUP($B265,$B$10:$I$16,D$9,FALSE))</f>
        <v>-</v>
      </c>
      <c r="E265" s="369" t="str">
        <f t="shared" ca="1" si="26"/>
        <v>-</v>
      </c>
      <c r="F265" s="369" t="str">
        <f t="shared" ca="1" si="26"/>
        <v>-</v>
      </c>
      <c r="G265" s="369" t="str">
        <f t="shared" ca="1" si="26"/>
        <v>-</v>
      </c>
      <c r="H265" s="369" t="str">
        <f t="shared" ca="1" si="26"/>
        <v>-</v>
      </c>
      <c r="I265" s="370">
        <f t="shared" ca="1" si="26"/>
        <v>0</v>
      </c>
      <c r="J265" s="391">
        <f ca="1">IF($A265="*","",OFFSET(COM_2012!$B$60,AW265,SUMIF($B$10:$B$16,B265,$AX$10:$AX$16)))</f>
        <v>410.88682603593844</v>
      </c>
      <c r="K265" s="369" t="str">
        <f ca="1">IF($B265&lt;&gt;"PRC_RESID","",IF(K$7=2005+OFFSET(COM_2012!$B$60,$AW265,SUMIF($B$10:$B$16,"NCAP_TLIFE",$AX$10:$AX$16)),0,""))</f>
        <v/>
      </c>
      <c r="L265" s="369" t="str">
        <f ca="1">IF($B265&lt;&gt;"PRC_RESID","",IF(L$7=2005+OFFSET(COM_2012!$B$60,$AW265,SUMIF($B$10:$B$16,"NCAP_TLIFE",$AX$10:$AX$16)),0,""))</f>
        <v/>
      </c>
      <c r="M265" s="369" t="str">
        <f ca="1">IF($B265&lt;&gt;"PRC_RESID","",IF(M$7=2005+OFFSET(COM_2012!$B$60,$AW265,SUMIF($B$10:$B$16,"NCAP_TLIFE",$AX$10:$AX$16)),0,""))</f>
        <v/>
      </c>
      <c r="N265" s="369" t="str">
        <f ca="1">IF($B265&lt;&gt;"PRC_RESID","",IF(N$7=2005+OFFSET(COM_2012!$B$60,$AW265,SUMIF($B$10:$B$16,"NCAP_TLIFE",$AX$10:$AX$16)),0,""))</f>
        <v/>
      </c>
      <c r="O265" s="658" t="str">
        <f ca="1">IF($B265&lt;&gt;"PRC_RESID","",IF(O$7=2005+OFFSET(COM_2012!$B$60,$AW265,SUMIF($B$10:$B$16,"NCAP_TLIFE",$AX$10:$AX$16)),0,""))</f>
        <v/>
      </c>
      <c r="P265" s="369" t="str">
        <f ca="1">IF($B265&lt;&gt;"PRC_RESID","",IF(P$7=2005+OFFSET(COM_2012!$B$60,$AW265,SUMIF($B$10:$B$16,"NCAP_TLIFE",$AX$10:$AX$16)),0,""))</f>
        <v/>
      </c>
      <c r="Q265" s="369" t="str">
        <f ca="1">IF($B265&lt;&gt;"PRC_RESID","",IF(Q$7=2005+OFFSET(COM_2012!$B$60,$AW265,SUMIF($B$10:$B$16,"NCAP_TLIFE",$AX$10:$AX$16)),0,""))</f>
        <v/>
      </c>
      <c r="R265" s="369" t="str">
        <f ca="1">IF($B265&lt;&gt;"PRC_RESID","",IF(R$7=2005+OFFSET(COM_2012!$B$60,$AW265,SUMIF($B$10:$B$16,"NCAP_TLIFE",$AX$10:$AX$16)),0,""))</f>
        <v/>
      </c>
      <c r="S265" s="369" t="str">
        <f ca="1">IF($B265&lt;&gt;"PRC_RESID","",IF(S$7=2005+OFFSET(COM_2012!$B$60,$AW265,SUMIF($B$10:$B$16,"NCAP_TLIFE",$AX$10:$AX$16)),0,""))</f>
        <v/>
      </c>
      <c r="T265" s="369" t="str">
        <f ca="1">IF($B265&lt;&gt;"PRC_RESID","",IF(T$7=2005+OFFSET(COM_2012!$B$60,$AW265,SUMIF($B$10:$B$16,"NCAP_TLIFE",$AX$10:$AX$16)),0,""))</f>
        <v/>
      </c>
      <c r="U265" s="369" t="str">
        <f ca="1">IF($B265&lt;&gt;"PRC_RESID","",IF(U$7=2005+OFFSET(COM_2012!$B$60,$AW265,SUMIF($B$10:$B$16,"NCAP_TLIFE",$AX$10:$AX$16)),0,""))</f>
        <v/>
      </c>
      <c r="V265" s="369" t="str">
        <f ca="1">IF($B265&lt;&gt;"PRC_RESID","",IF(V$7=2005+OFFSET(COM_2012!$B$60,$AW265,SUMIF($B$10:$B$16,"NCAP_TLIFE",$AX$10:$AX$16)),0,""))</f>
        <v/>
      </c>
      <c r="W265" s="369" t="str">
        <f ca="1">IF($B265&lt;&gt;"PRC_RESID","",IF(W$7=2005+OFFSET(COM_2012!$B$60,$AW265,SUMIF($B$10:$B$16,"NCAP_TLIFE",$AX$10:$AX$16)),0,""))</f>
        <v/>
      </c>
      <c r="X265" s="369" t="str">
        <f ca="1">IF($B265&lt;&gt;"PRC_RESID","",IF(X$7=2005+OFFSET(COM_2012!$B$60,$AW265,SUMIF($B$10:$B$16,"NCAP_TLIFE",$AX$10:$AX$16)),0,""))</f>
        <v/>
      </c>
      <c r="Y265" s="369" t="str">
        <f ca="1">IF($B265&lt;&gt;"PRC_RESID","",IF(Y$7=2005+OFFSET(COM_2012!$B$60,$AW265,SUMIF($B$10:$B$16,"NCAP_TLIFE",$AX$10:$AX$16)),0,""))</f>
        <v/>
      </c>
      <c r="Z265" s="369" t="str">
        <f ca="1">IF($B265&lt;&gt;"PRC_RESID","",IF(Z$7=2005+OFFSET(COM_2012!$B$60,$AW265,SUMIF($B$10:$B$16,"NCAP_TLIFE",$AX$10:$AX$16)),0,""))</f>
        <v/>
      </c>
      <c r="AA265" s="369" t="str">
        <f ca="1">IF($B265&lt;&gt;"PRC_RESID","",IF(AA$7=2005+OFFSET(COM_2012!$B$60,$AW265,SUMIF($B$10:$B$16,"NCAP_TLIFE",$AX$10:$AX$16)),0,""))</f>
        <v/>
      </c>
      <c r="AB265" s="369" t="str">
        <f ca="1">IF($B265&lt;&gt;"PRC_RESID","",IF(AB$7=2005+OFFSET(COM_2012!$B$60,$AW265,SUMIF($B$10:$B$16,"NCAP_TLIFE",$AX$10:$AX$16)),0,""))</f>
        <v/>
      </c>
      <c r="AC265" s="369" t="str">
        <f ca="1">IF($B265&lt;&gt;"PRC_RESID","",IF(AC$7=2005+OFFSET(COM_2012!$B$60,$AW265,SUMIF($B$10:$B$16,"NCAP_TLIFE",$AX$10:$AX$16)),0,""))</f>
        <v/>
      </c>
      <c r="AD265" s="369" t="str">
        <f ca="1">IF($B265&lt;&gt;"PRC_RESID","",IF(AD$7=2005+OFFSET(COM_2012!$B$60,$AW265,SUMIF($B$10:$B$16,"NCAP_TLIFE",$AX$10:$AX$16)),0,""))</f>
        <v/>
      </c>
      <c r="AE265" s="369" t="str">
        <f ca="1">IF($B265&lt;&gt;"PRC_RESID","",IF(AE$7=2005+OFFSET(COM_2012!$B$60,$AW265,SUMIF($B$10:$B$16,"NCAP_TLIFE",$AX$10:$AX$16)),0,""))</f>
        <v/>
      </c>
      <c r="AF265" s="369" t="str">
        <f ca="1">IF($B265&lt;&gt;"PRC_RESID","",IF(AF$7=2005+OFFSET(COM_2012!$B$60,$AW265,SUMIF($B$10:$B$16,"NCAP_TLIFE",$AX$10:$AX$16)),0,""))</f>
        <v/>
      </c>
      <c r="AG265" s="369" t="str">
        <f ca="1">IF($B265&lt;&gt;"PRC_RESID","",IF(AG$7=2005+OFFSET(COM_2012!$B$60,$AW265,SUMIF($B$10:$B$16,"NCAP_TLIFE",$AX$10:$AX$16)),0,""))</f>
        <v/>
      </c>
      <c r="AH265" s="369" t="str">
        <f ca="1">IF($B265&lt;&gt;"PRC_RESID","",IF(AH$7=2005+OFFSET(COM_2012!$B$60,$AW265,SUMIF($B$10:$B$16,"NCAP_TLIFE",$AX$10:$AX$16)),0,""))</f>
        <v/>
      </c>
      <c r="AI265" s="369" t="str">
        <f ca="1">IF($B265&lt;&gt;"PRC_RESID","",IF(AI$7=2005+OFFSET(COM_2012!$B$60,$AW265,SUMIF($B$10:$B$16,"NCAP_TLIFE",$AX$10:$AX$16)),0,""))</f>
        <v/>
      </c>
      <c r="AJ265" s="369" t="str">
        <f ca="1">IF($B265&lt;&gt;"PRC_RESID","",IF(AJ$7=2005+OFFSET(COM_2012!$B$60,$AW265,SUMIF($B$10:$B$16,"NCAP_TLIFE",$AX$10:$AX$16)),0,""))</f>
        <v/>
      </c>
      <c r="AK265" s="369" t="str">
        <f ca="1">IF($B265&lt;&gt;"PRC_RESID","",IF(AK$7=2005+OFFSET(COM_2012!$B$60,$AW265,SUMIF($B$10:$B$16,"NCAP_TLIFE",$AX$10:$AX$16)),0,""))</f>
        <v/>
      </c>
      <c r="AL265" s="369" t="str">
        <f ca="1">IF($B265&lt;&gt;"PRC_RESID","",IF(AL$7=2005+OFFSET(COM_2012!$B$60,$AW265,SUMIF($B$10:$B$16,"NCAP_TLIFE",$AX$10:$AX$16)),0,""))</f>
        <v/>
      </c>
      <c r="AM265" s="369" t="str">
        <f ca="1">IF($B265&lt;&gt;"PRC_RESID","",IF(AM$7=2005+OFFSET(COM_2012!$B$60,$AW265,SUMIF($B$10:$B$16,"NCAP_TLIFE",$AX$10:$AX$16)),0,""))</f>
        <v/>
      </c>
      <c r="AN265" s="369" t="str">
        <f ca="1">IF($B265&lt;&gt;"PRC_RESID","",IF(AN$7=2005+OFFSET(COM_2012!$B$60,$AW265,SUMIF($B$10:$B$16,"NCAP_TLIFE",$AX$10:$AX$16)),0,""))</f>
        <v/>
      </c>
      <c r="AO265" s="369" t="str">
        <f ca="1">IF($B265&lt;&gt;"PRC_RESID","",IF(AO$7=2005+OFFSET(COM_2012!$B$60,$AW265,SUMIF($B$10:$B$16,"NCAP_TLIFE",$AX$10:$AX$16)),0,""))</f>
        <v/>
      </c>
      <c r="AP265" s="369" t="str">
        <f ca="1">IF($B265&lt;&gt;"PRC_RESID","",IF(AP$7=2005+OFFSET(COM_2012!$B$60,$AW265,SUMIF($B$10:$B$16,"NCAP_TLIFE",$AX$10:$AX$16)),0,""))</f>
        <v/>
      </c>
      <c r="AQ265" s="369" t="str">
        <f ca="1">IF($B265&lt;&gt;"PRC_RESID","",IF(AQ$7=2005+OFFSET(COM_2012!$B$60,$AW265,SUMIF($B$10:$B$16,"NCAP_TLIFE",$AX$10:$AX$16)),0,""))</f>
        <v/>
      </c>
      <c r="AR265" s="369" t="str">
        <f ca="1">IF($B265&lt;&gt;"PRC_RESID","",IF(AR$7=2005+OFFSET(COM_2012!$B$60,$AW265,SUMIF($B$10:$B$16,"NCAP_TLIFE",$AX$10:$AX$16)),0,""))</f>
        <v/>
      </c>
      <c r="AS265" s="369" t="str">
        <f ca="1">IF($B265&lt;&gt;"PRC_RESID","",IF(AS$7=2005+OFFSET(COM_2012!$B$60,$AW265,SUMIF($B$10:$B$16,"NCAP_TLIFE",$AX$10:$AX$16)),0,""))</f>
        <v/>
      </c>
      <c r="AT265" s="369" t="str">
        <f ca="1">IF($B265&lt;&gt;"PRC_RESID","",IF(AT$7=2005+OFFSET(COM_2012!$B$60,$AW265,SUMIF($B$10:$B$16,"NCAP_TLIFE",$AX$10:$AX$16)),0,""))</f>
        <v/>
      </c>
      <c r="AU265" s="369" t="str">
        <f ca="1">IF($B265&lt;&gt;"PRC_RESID","",IF(AU$7=2005+OFFSET(COM_2012!$B$60,$AW265,SUMIF($B$10:$B$16,"NCAP_TLIFE",$AX$10:$AX$16)),0,""))</f>
        <v/>
      </c>
      <c r="AV265" s="304">
        <f>IF(AW264=COM_2012!$AI$121,AV264+1,AV264)</f>
        <v>4</v>
      </c>
      <c r="AW265" s="304">
        <f t="shared" si="23"/>
        <v>55</v>
      </c>
    </row>
    <row r="266" spans="1:49">
      <c r="A266" s="304" t="str">
        <f ca="1">IF(LEFT(OFFSET(COM_2012!$A$60,AW266,0),2)="\I","*","")</f>
        <v/>
      </c>
      <c r="B266" s="369" t="str">
        <f t="shared" ca="1" si="22"/>
        <v>NCAP_COST</v>
      </c>
      <c r="C266" s="369" t="str">
        <f ca="1">IF($A266="*","",OFFSET(COM_2012!$B$60,AW266,0))</f>
        <v>CEOGAS-E</v>
      </c>
      <c r="D266" s="369" t="str">
        <f t="shared" ca="1" si="26"/>
        <v>-</v>
      </c>
      <c r="E266" s="369" t="str">
        <f t="shared" ca="1" si="26"/>
        <v>-</v>
      </c>
      <c r="F266" s="369" t="str">
        <f t="shared" ca="1" si="26"/>
        <v>-</v>
      </c>
      <c r="G266" s="369" t="str">
        <f t="shared" ca="1" si="26"/>
        <v>-</v>
      </c>
      <c r="H266" s="369" t="str">
        <f t="shared" ca="1" si="26"/>
        <v>-</v>
      </c>
      <c r="I266" s="370">
        <f t="shared" ca="1" si="26"/>
        <v>0</v>
      </c>
      <c r="J266" s="391">
        <f ca="1">IF($A266="*","",OFFSET(COM_2012!$B$60,AW266,SUMIF($B$10:$B$16,B266,$AX$10:$AX$16)))</f>
        <v>410.88682603593844</v>
      </c>
      <c r="K266" s="369" t="str">
        <f ca="1">IF($B266&lt;&gt;"PRC_RESID","",IF(K$7=2005+OFFSET(COM_2012!$B$60,$AW266,SUMIF($B$10:$B$16,"NCAP_TLIFE",$AX$10:$AX$16)),0,""))</f>
        <v/>
      </c>
      <c r="L266" s="369" t="str">
        <f ca="1">IF($B266&lt;&gt;"PRC_RESID","",IF(L$7=2005+OFFSET(COM_2012!$B$60,$AW266,SUMIF($B$10:$B$16,"NCAP_TLIFE",$AX$10:$AX$16)),0,""))</f>
        <v/>
      </c>
      <c r="M266" s="369" t="str">
        <f ca="1">IF($B266&lt;&gt;"PRC_RESID","",IF(M$7=2005+OFFSET(COM_2012!$B$60,$AW266,SUMIF($B$10:$B$16,"NCAP_TLIFE",$AX$10:$AX$16)),0,""))</f>
        <v/>
      </c>
      <c r="N266" s="369" t="str">
        <f ca="1">IF($B266&lt;&gt;"PRC_RESID","",IF(N$7=2005+OFFSET(COM_2012!$B$60,$AW266,SUMIF($B$10:$B$16,"NCAP_TLIFE",$AX$10:$AX$16)),0,""))</f>
        <v/>
      </c>
      <c r="O266" s="658" t="str">
        <f ca="1">IF($B266&lt;&gt;"PRC_RESID","",IF(O$7=2005+OFFSET(COM_2012!$B$60,$AW266,SUMIF($B$10:$B$16,"NCAP_TLIFE",$AX$10:$AX$16)),0,""))</f>
        <v/>
      </c>
      <c r="P266" s="369" t="str">
        <f ca="1">IF($B266&lt;&gt;"PRC_RESID","",IF(P$7=2005+OFFSET(COM_2012!$B$60,$AW266,SUMIF($B$10:$B$16,"NCAP_TLIFE",$AX$10:$AX$16)),0,""))</f>
        <v/>
      </c>
      <c r="Q266" s="369" t="str">
        <f ca="1">IF($B266&lt;&gt;"PRC_RESID","",IF(Q$7=2005+OFFSET(COM_2012!$B$60,$AW266,SUMIF($B$10:$B$16,"NCAP_TLIFE",$AX$10:$AX$16)),0,""))</f>
        <v/>
      </c>
      <c r="R266" s="369" t="str">
        <f ca="1">IF($B266&lt;&gt;"PRC_RESID","",IF(R$7=2005+OFFSET(COM_2012!$B$60,$AW266,SUMIF($B$10:$B$16,"NCAP_TLIFE",$AX$10:$AX$16)),0,""))</f>
        <v/>
      </c>
      <c r="S266" s="369" t="str">
        <f ca="1">IF($B266&lt;&gt;"PRC_RESID","",IF(S$7=2005+OFFSET(COM_2012!$B$60,$AW266,SUMIF($B$10:$B$16,"NCAP_TLIFE",$AX$10:$AX$16)),0,""))</f>
        <v/>
      </c>
      <c r="T266" s="369" t="str">
        <f ca="1">IF($B266&lt;&gt;"PRC_RESID","",IF(T$7=2005+OFFSET(COM_2012!$B$60,$AW266,SUMIF($B$10:$B$16,"NCAP_TLIFE",$AX$10:$AX$16)),0,""))</f>
        <v/>
      </c>
      <c r="U266" s="369" t="str">
        <f ca="1">IF($B266&lt;&gt;"PRC_RESID","",IF(U$7=2005+OFFSET(COM_2012!$B$60,$AW266,SUMIF($B$10:$B$16,"NCAP_TLIFE",$AX$10:$AX$16)),0,""))</f>
        <v/>
      </c>
      <c r="V266" s="369" t="str">
        <f ca="1">IF($B266&lt;&gt;"PRC_RESID","",IF(V$7=2005+OFFSET(COM_2012!$B$60,$AW266,SUMIF($B$10:$B$16,"NCAP_TLIFE",$AX$10:$AX$16)),0,""))</f>
        <v/>
      </c>
      <c r="W266" s="369" t="str">
        <f ca="1">IF($B266&lt;&gt;"PRC_RESID","",IF(W$7=2005+OFFSET(COM_2012!$B$60,$AW266,SUMIF($B$10:$B$16,"NCAP_TLIFE",$AX$10:$AX$16)),0,""))</f>
        <v/>
      </c>
      <c r="X266" s="369" t="str">
        <f ca="1">IF($B266&lt;&gt;"PRC_RESID","",IF(X$7=2005+OFFSET(COM_2012!$B$60,$AW266,SUMIF($B$10:$B$16,"NCAP_TLIFE",$AX$10:$AX$16)),0,""))</f>
        <v/>
      </c>
      <c r="Y266" s="369" t="str">
        <f ca="1">IF($B266&lt;&gt;"PRC_RESID","",IF(Y$7=2005+OFFSET(COM_2012!$B$60,$AW266,SUMIF($B$10:$B$16,"NCAP_TLIFE",$AX$10:$AX$16)),0,""))</f>
        <v/>
      </c>
      <c r="Z266" s="369" t="str">
        <f ca="1">IF($B266&lt;&gt;"PRC_RESID","",IF(Z$7=2005+OFFSET(COM_2012!$B$60,$AW266,SUMIF($B$10:$B$16,"NCAP_TLIFE",$AX$10:$AX$16)),0,""))</f>
        <v/>
      </c>
      <c r="AA266" s="369" t="str">
        <f ca="1">IF($B266&lt;&gt;"PRC_RESID","",IF(AA$7=2005+OFFSET(COM_2012!$B$60,$AW266,SUMIF($B$10:$B$16,"NCAP_TLIFE",$AX$10:$AX$16)),0,""))</f>
        <v/>
      </c>
      <c r="AB266" s="369" t="str">
        <f ca="1">IF($B266&lt;&gt;"PRC_RESID","",IF(AB$7=2005+OFFSET(COM_2012!$B$60,$AW266,SUMIF($B$10:$B$16,"NCAP_TLIFE",$AX$10:$AX$16)),0,""))</f>
        <v/>
      </c>
      <c r="AC266" s="369" t="str">
        <f ca="1">IF($B266&lt;&gt;"PRC_RESID","",IF(AC$7=2005+OFFSET(COM_2012!$B$60,$AW266,SUMIF($B$10:$B$16,"NCAP_TLIFE",$AX$10:$AX$16)),0,""))</f>
        <v/>
      </c>
      <c r="AD266" s="369" t="str">
        <f ca="1">IF($B266&lt;&gt;"PRC_RESID","",IF(AD$7=2005+OFFSET(COM_2012!$B$60,$AW266,SUMIF($B$10:$B$16,"NCAP_TLIFE",$AX$10:$AX$16)),0,""))</f>
        <v/>
      </c>
      <c r="AE266" s="369" t="str">
        <f ca="1">IF($B266&lt;&gt;"PRC_RESID","",IF(AE$7=2005+OFFSET(COM_2012!$B$60,$AW266,SUMIF($B$10:$B$16,"NCAP_TLIFE",$AX$10:$AX$16)),0,""))</f>
        <v/>
      </c>
      <c r="AF266" s="369" t="str">
        <f ca="1">IF($B266&lt;&gt;"PRC_RESID","",IF(AF$7=2005+OFFSET(COM_2012!$B$60,$AW266,SUMIF($B$10:$B$16,"NCAP_TLIFE",$AX$10:$AX$16)),0,""))</f>
        <v/>
      </c>
      <c r="AG266" s="369" t="str">
        <f ca="1">IF($B266&lt;&gt;"PRC_RESID","",IF(AG$7=2005+OFFSET(COM_2012!$B$60,$AW266,SUMIF($B$10:$B$16,"NCAP_TLIFE",$AX$10:$AX$16)),0,""))</f>
        <v/>
      </c>
      <c r="AH266" s="369" t="str">
        <f ca="1">IF($B266&lt;&gt;"PRC_RESID","",IF(AH$7=2005+OFFSET(COM_2012!$B$60,$AW266,SUMIF($B$10:$B$16,"NCAP_TLIFE",$AX$10:$AX$16)),0,""))</f>
        <v/>
      </c>
      <c r="AI266" s="369" t="str">
        <f ca="1">IF($B266&lt;&gt;"PRC_RESID","",IF(AI$7=2005+OFFSET(COM_2012!$B$60,$AW266,SUMIF($B$10:$B$16,"NCAP_TLIFE",$AX$10:$AX$16)),0,""))</f>
        <v/>
      </c>
      <c r="AJ266" s="369" t="str">
        <f ca="1">IF($B266&lt;&gt;"PRC_RESID","",IF(AJ$7=2005+OFFSET(COM_2012!$B$60,$AW266,SUMIF($B$10:$B$16,"NCAP_TLIFE",$AX$10:$AX$16)),0,""))</f>
        <v/>
      </c>
      <c r="AK266" s="369" t="str">
        <f ca="1">IF($B266&lt;&gt;"PRC_RESID","",IF(AK$7=2005+OFFSET(COM_2012!$B$60,$AW266,SUMIF($B$10:$B$16,"NCAP_TLIFE",$AX$10:$AX$16)),0,""))</f>
        <v/>
      </c>
      <c r="AL266" s="369" t="str">
        <f ca="1">IF($B266&lt;&gt;"PRC_RESID","",IF(AL$7=2005+OFFSET(COM_2012!$B$60,$AW266,SUMIF($B$10:$B$16,"NCAP_TLIFE",$AX$10:$AX$16)),0,""))</f>
        <v/>
      </c>
      <c r="AM266" s="369" t="str">
        <f ca="1">IF($B266&lt;&gt;"PRC_RESID","",IF(AM$7=2005+OFFSET(COM_2012!$B$60,$AW266,SUMIF($B$10:$B$16,"NCAP_TLIFE",$AX$10:$AX$16)),0,""))</f>
        <v/>
      </c>
      <c r="AN266" s="369" t="str">
        <f ca="1">IF($B266&lt;&gt;"PRC_RESID","",IF(AN$7=2005+OFFSET(COM_2012!$B$60,$AW266,SUMIF($B$10:$B$16,"NCAP_TLIFE",$AX$10:$AX$16)),0,""))</f>
        <v/>
      </c>
      <c r="AO266" s="369" t="str">
        <f ca="1">IF($B266&lt;&gt;"PRC_RESID","",IF(AO$7=2005+OFFSET(COM_2012!$B$60,$AW266,SUMIF($B$10:$B$16,"NCAP_TLIFE",$AX$10:$AX$16)),0,""))</f>
        <v/>
      </c>
      <c r="AP266" s="369" t="str">
        <f ca="1">IF($B266&lt;&gt;"PRC_RESID","",IF(AP$7=2005+OFFSET(COM_2012!$B$60,$AW266,SUMIF($B$10:$B$16,"NCAP_TLIFE",$AX$10:$AX$16)),0,""))</f>
        <v/>
      </c>
      <c r="AQ266" s="369" t="str">
        <f ca="1">IF($B266&lt;&gt;"PRC_RESID","",IF(AQ$7=2005+OFFSET(COM_2012!$B$60,$AW266,SUMIF($B$10:$B$16,"NCAP_TLIFE",$AX$10:$AX$16)),0,""))</f>
        <v/>
      </c>
      <c r="AR266" s="369" t="str">
        <f ca="1">IF($B266&lt;&gt;"PRC_RESID","",IF(AR$7=2005+OFFSET(COM_2012!$B$60,$AW266,SUMIF($B$10:$B$16,"NCAP_TLIFE",$AX$10:$AX$16)),0,""))</f>
        <v/>
      </c>
      <c r="AS266" s="369" t="str">
        <f ca="1">IF($B266&lt;&gt;"PRC_RESID","",IF(AS$7=2005+OFFSET(COM_2012!$B$60,$AW266,SUMIF($B$10:$B$16,"NCAP_TLIFE",$AX$10:$AX$16)),0,""))</f>
        <v/>
      </c>
      <c r="AT266" s="369" t="str">
        <f ca="1">IF($B266&lt;&gt;"PRC_RESID","",IF(AT$7=2005+OFFSET(COM_2012!$B$60,$AW266,SUMIF($B$10:$B$16,"NCAP_TLIFE",$AX$10:$AX$16)),0,""))</f>
        <v/>
      </c>
      <c r="AU266" s="369" t="str">
        <f ca="1">IF($B266&lt;&gt;"PRC_RESID","",IF(AU$7=2005+OFFSET(COM_2012!$B$60,$AW266,SUMIF($B$10:$B$16,"NCAP_TLIFE",$AX$10:$AX$16)),0,""))</f>
        <v/>
      </c>
      <c r="AV266" s="304">
        <f>IF(AW265=COM_2012!$AI$121,AV265+1,AV265)</f>
        <v>4</v>
      </c>
      <c r="AW266" s="304">
        <f t="shared" si="23"/>
        <v>56</v>
      </c>
    </row>
    <row r="267" spans="1:49">
      <c r="A267" s="304" t="str">
        <f ca="1">IF(LEFT(OFFSET(COM_2012!$A$60,AW267,0),2)="\I","*","")</f>
        <v/>
      </c>
      <c r="B267" s="369" t="str">
        <f t="shared" ca="1" si="22"/>
        <v>NCAP_COST</v>
      </c>
      <c r="C267" s="369" t="str">
        <f ca="1">IF($A267="*","",OFFSET(COM_2012!$B$60,AW267,0))</f>
        <v>CEOOGS-E</v>
      </c>
      <c r="D267" s="369" t="str">
        <f t="shared" ca="1" si="26"/>
        <v>-</v>
      </c>
      <c r="E267" s="369" t="str">
        <f t="shared" ca="1" si="26"/>
        <v>-</v>
      </c>
      <c r="F267" s="369" t="str">
        <f t="shared" ca="1" si="26"/>
        <v>-</v>
      </c>
      <c r="G267" s="369" t="str">
        <f t="shared" ca="1" si="26"/>
        <v>-</v>
      </c>
      <c r="H267" s="369" t="str">
        <f t="shared" ca="1" si="26"/>
        <v>-</v>
      </c>
      <c r="I267" s="370">
        <f t="shared" ca="1" si="26"/>
        <v>0</v>
      </c>
      <c r="J267" s="391">
        <f ca="1">IF($A267="*","",OFFSET(COM_2012!$B$60,AW267,SUMIF($B$10:$B$16,B267,$AX$10:$AX$16)))</f>
        <v>410.88682603593844</v>
      </c>
      <c r="K267" s="369" t="str">
        <f ca="1">IF($B267&lt;&gt;"PRC_RESID","",IF(K$7=2005+OFFSET(COM_2012!$B$60,$AW267,SUMIF($B$10:$B$16,"NCAP_TLIFE",$AX$10:$AX$16)),0,""))</f>
        <v/>
      </c>
      <c r="L267" s="369" t="str">
        <f ca="1">IF($B267&lt;&gt;"PRC_RESID","",IF(L$7=2005+OFFSET(COM_2012!$B$60,$AW267,SUMIF($B$10:$B$16,"NCAP_TLIFE",$AX$10:$AX$16)),0,""))</f>
        <v/>
      </c>
      <c r="M267" s="369" t="str">
        <f ca="1">IF($B267&lt;&gt;"PRC_RESID","",IF(M$7=2005+OFFSET(COM_2012!$B$60,$AW267,SUMIF($B$10:$B$16,"NCAP_TLIFE",$AX$10:$AX$16)),0,""))</f>
        <v/>
      </c>
      <c r="N267" s="369" t="str">
        <f ca="1">IF($B267&lt;&gt;"PRC_RESID","",IF(N$7=2005+OFFSET(COM_2012!$B$60,$AW267,SUMIF($B$10:$B$16,"NCAP_TLIFE",$AX$10:$AX$16)),0,""))</f>
        <v/>
      </c>
      <c r="O267" s="658" t="str">
        <f ca="1">IF($B267&lt;&gt;"PRC_RESID","",IF(O$7=2005+OFFSET(COM_2012!$B$60,$AW267,SUMIF($B$10:$B$16,"NCAP_TLIFE",$AX$10:$AX$16)),0,""))</f>
        <v/>
      </c>
      <c r="P267" s="369" t="str">
        <f ca="1">IF($B267&lt;&gt;"PRC_RESID","",IF(P$7=2005+OFFSET(COM_2012!$B$60,$AW267,SUMIF($B$10:$B$16,"NCAP_TLIFE",$AX$10:$AX$16)),0,""))</f>
        <v/>
      </c>
      <c r="Q267" s="369" t="str">
        <f ca="1">IF($B267&lt;&gt;"PRC_RESID","",IF(Q$7=2005+OFFSET(COM_2012!$B$60,$AW267,SUMIF($B$10:$B$16,"NCAP_TLIFE",$AX$10:$AX$16)),0,""))</f>
        <v/>
      </c>
      <c r="R267" s="369" t="str">
        <f ca="1">IF($B267&lt;&gt;"PRC_RESID","",IF(R$7=2005+OFFSET(COM_2012!$B$60,$AW267,SUMIF($B$10:$B$16,"NCAP_TLIFE",$AX$10:$AX$16)),0,""))</f>
        <v/>
      </c>
      <c r="S267" s="369" t="str">
        <f ca="1">IF($B267&lt;&gt;"PRC_RESID","",IF(S$7=2005+OFFSET(COM_2012!$B$60,$AW267,SUMIF($B$10:$B$16,"NCAP_TLIFE",$AX$10:$AX$16)),0,""))</f>
        <v/>
      </c>
      <c r="T267" s="369" t="str">
        <f ca="1">IF($B267&lt;&gt;"PRC_RESID","",IF(T$7=2005+OFFSET(COM_2012!$B$60,$AW267,SUMIF($B$10:$B$16,"NCAP_TLIFE",$AX$10:$AX$16)),0,""))</f>
        <v/>
      </c>
      <c r="U267" s="369" t="str">
        <f ca="1">IF($B267&lt;&gt;"PRC_RESID","",IF(U$7=2005+OFFSET(COM_2012!$B$60,$AW267,SUMIF($B$10:$B$16,"NCAP_TLIFE",$AX$10:$AX$16)),0,""))</f>
        <v/>
      </c>
      <c r="V267" s="369" t="str">
        <f ca="1">IF($B267&lt;&gt;"PRC_RESID","",IF(V$7=2005+OFFSET(COM_2012!$B$60,$AW267,SUMIF($B$10:$B$16,"NCAP_TLIFE",$AX$10:$AX$16)),0,""))</f>
        <v/>
      </c>
      <c r="W267" s="369" t="str">
        <f ca="1">IF($B267&lt;&gt;"PRC_RESID","",IF(W$7=2005+OFFSET(COM_2012!$B$60,$AW267,SUMIF($B$10:$B$16,"NCAP_TLIFE",$AX$10:$AX$16)),0,""))</f>
        <v/>
      </c>
      <c r="X267" s="369" t="str">
        <f ca="1">IF($B267&lt;&gt;"PRC_RESID","",IF(X$7=2005+OFFSET(COM_2012!$B$60,$AW267,SUMIF($B$10:$B$16,"NCAP_TLIFE",$AX$10:$AX$16)),0,""))</f>
        <v/>
      </c>
      <c r="Y267" s="369" t="str">
        <f ca="1">IF($B267&lt;&gt;"PRC_RESID","",IF(Y$7=2005+OFFSET(COM_2012!$B$60,$AW267,SUMIF($B$10:$B$16,"NCAP_TLIFE",$AX$10:$AX$16)),0,""))</f>
        <v/>
      </c>
      <c r="Z267" s="369" t="str">
        <f ca="1">IF($B267&lt;&gt;"PRC_RESID","",IF(Z$7=2005+OFFSET(COM_2012!$B$60,$AW267,SUMIF($B$10:$B$16,"NCAP_TLIFE",$AX$10:$AX$16)),0,""))</f>
        <v/>
      </c>
      <c r="AA267" s="369" t="str">
        <f ca="1">IF($B267&lt;&gt;"PRC_RESID","",IF(AA$7=2005+OFFSET(COM_2012!$B$60,$AW267,SUMIF($B$10:$B$16,"NCAP_TLIFE",$AX$10:$AX$16)),0,""))</f>
        <v/>
      </c>
      <c r="AB267" s="369" t="str">
        <f ca="1">IF($B267&lt;&gt;"PRC_RESID","",IF(AB$7=2005+OFFSET(COM_2012!$B$60,$AW267,SUMIF($B$10:$B$16,"NCAP_TLIFE",$AX$10:$AX$16)),0,""))</f>
        <v/>
      </c>
      <c r="AC267" s="369" t="str">
        <f ca="1">IF($B267&lt;&gt;"PRC_RESID","",IF(AC$7=2005+OFFSET(COM_2012!$B$60,$AW267,SUMIF($B$10:$B$16,"NCAP_TLIFE",$AX$10:$AX$16)),0,""))</f>
        <v/>
      </c>
      <c r="AD267" s="369" t="str">
        <f ca="1">IF($B267&lt;&gt;"PRC_RESID","",IF(AD$7=2005+OFFSET(COM_2012!$B$60,$AW267,SUMIF($B$10:$B$16,"NCAP_TLIFE",$AX$10:$AX$16)),0,""))</f>
        <v/>
      </c>
      <c r="AE267" s="369" t="str">
        <f ca="1">IF($B267&lt;&gt;"PRC_RESID","",IF(AE$7=2005+OFFSET(COM_2012!$B$60,$AW267,SUMIF($B$10:$B$16,"NCAP_TLIFE",$AX$10:$AX$16)),0,""))</f>
        <v/>
      </c>
      <c r="AF267" s="369" t="str">
        <f ca="1">IF($B267&lt;&gt;"PRC_RESID","",IF(AF$7=2005+OFFSET(COM_2012!$B$60,$AW267,SUMIF($B$10:$B$16,"NCAP_TLIFE",$AX$10:$AX$16)),0,""))</f>
        <v/>
      </c>
      <c r="AG267" s="369" t="str">
        <f ca="1">IF($B267&lt;&gt;"PRC_RESID","",IF(AG$7=2005+OFFSET(COM_2012!$B$60,$AW267,SUMIF($B$10:$B$16,"NCAP_TLIFE",$AX$10:$AX$16)),0,""))</f>
        <v/>
      </c>
      <c r="AH267" s="369" t="str">
        <f ca="1">IF($B267&lt;&gt;"PRC_RESID","",IF(AH$7=2005+OFFSET(COM_2012!$B$60,$AW267,SUMIF($B$10:$B$16,"NCAP_TLIFE",$AX$10:$AX$16)),0,""))</f>
        <v/>
      </c>
      <c r="AI267" s="369" t="str">
        <f ca="1">IF($B267&lt;&gt;"PRC_RESID","",IF(AI$7=2005+OFFSET(COM_2012!$B$60,$AW267,SUMIF($B$10:$B$16,"NCAP_TLIFE",$AX$10:$AX$16)),0,""))</f>
        <v/>
      </c>
      <c r="AJ267" s="369" t="str">
        <f ca="1">IF($B267&lt;&gt;"PRC_RESID","",IF(AJ$7=2005+OFFSET(COM_2012!$B$60,$AW267,SUMIF($B$10:$B$16,"NCAP_TLIFE",$AX$10:$AX$16)),0,""))</f>
        <v/>
      </c>
      <c r="AK267" s="369" t="str">
        <f ca="1">IF($B267&lt;&gt;"PRC_RESID","",IF(AK$7=2005+OFFSET(COM_2012!$B$60,$AW267,SUMIF($B$10:$B$16,"NCAP_TLIFE",$AX$10:$AX$16)),0,""))</f>
        <v/>
      </c>
      <c r="AL267" s="369" t="str">
        <f ca="1">IF($B267&lt;&gt;"PRC_RESID","",IF(AL$7=2005+OFFSET(COM_2012!$B$60,$AW267,SUMIF($B$10:$B$16,"NCAP_TLIFE",$AX$10:$AX$16)),0,""))</f>
        <v/>
      </c>
      <c r="AM267" s="369" t="str">
        <f ca="1">IF($B267&lt;&gt;"PRC_RESID","",IF(AM$7=2005+OFFSET(COM_2012!$B$60,$AW267,SUMIF($B$10:$B$16,"NCAP_TLIFE",$AX$10:$AX$16)),0,""))</f>
        <v/>
      </c>
      <c r="AN267" s="369" t="str">
        <f ca="1">IF($B267&lt;&gt;"PRC_RESID","",IF(AN$7=2005+OFFSET(COM_2012!$B$60,$AW267,SUMIF($B$10:$B$16,"NCAP_TLIFE",$AX$10:$AX$16)),0,""))</f>
        <v/>
      </c>
      <c r="AO267" s="369" t="str">
        <f ca="1">IF($B267&lt;&gt;"PRC_RESID","",IF(AO$7=2005+OFFSET(COM_2012!$B$60,$AW267,SUMIF($B$10:$B$16,"NCAP_TLIFE",$AX$10:$AX$16)),0,""))</f>
        <v/>
      </c>
      <c r="AP267" s="369" t="str">
        <f ca="1">IF($B267&lt;&gt;"PRC_RESID","",IF(AP$7=2005+OFFSET(COM_2012!$B$60,$AW267,SUMIF($B$10:$B$16,"NCAP_TLIFE",$AX$10:$AX$16)),0,""))</f>
        <v/>
      </c>
      <c r="AQ267" s="369" t="str">
        <f ca="1">IF($B267&lt;&gt;"PRC_RESID","",IF(AQ$7=2005+OFFSET(COM_2012!$B$60,$AW267,SUMIF($B$10:$B$16,"NCAP_TLIFE",$AX$10:$AX$16)),0,""))</f>
        <v/>
      </c>
      <c r="AR267" s="369" t="str">
        <f ca="1">IF($B267&lt;&gt;"PRC_RESID","",IF(AR$7=2005+OFFSET(COM_2012!$B$60,$AW267,SUMIF($B$10:$B$16,"NCAP_TLIFE",$AX$10:$AX$16)),0,""))</f>
        <v/>
      </c>
      <c r="AS267" s="369" t="str">
        <f ca="1">IF($B267&lt;&gt;"PRC_RESID","",IF(AS$7=2005+OFFSET(COM_2012!$B$60,$AW267,SUMIF($B$10:$B$16,"NCAP_TLIFE",$AX$10:$AX$16)),0,""))</f>
        <v/>
      </c>
      <c r="AT267" s="369" t="str">
        <f ca="1">IF($B267&lt;&gt;"PRC_RESID","",IF(AT$7=2005+OFFSET(COM_2012!$B$60,$AW267,SUMIF($B$10:$B$16,"NCAP_TLIFE",$AX$10:$AX$16)),0,""))</f>
        <v/>
      </c>
      <c r="AU267" s="369" t="str">
        <f ca="1">IF($B267&lt;&gt;"PRC_RESID","",IF(AU$7=2005+OFFSET(COM_2012!$B$60,$AW267,SUMIF($B$10:$B$16,"NCAP_TLIFE",$AX$10:$AX$16)),0,""))</f>
        <v/>
      </c>
      <c r="AV267" s="304">
        <f>IF(AW266=COM_2012!$AI$121,AV266+1,AV266)</f>
        <v>4</v>
      </c>
      <c r="AW267" s="304">
        <f t="shared" si="23"/>
        <v>57</v>
      </c>
    </row>
    <row r="268" spans="1:49">
      <c r="A268" s="304" t="str">
        <f ca="1">IF(LEFT(OFFSET(COM_2012!$A$60,AW268,0),2)="\I","*","")</f>
        <v/>
      </c>
      <c r="B268" s="369" t="str">
        <f t="shared" ca="1" si="22"/>
        <v>NCAP_COST</v>
      </c>
      <c r="C268" s="369" t="str">
        <f ca="1">IF($A268="*","",OFFSET(COM_2012!$B$60,AW268,0))</f>
        <v>CEOOHF-E</v>
      </c>
      <c r="D268" s="369" t="str">
        <f t="shared" ca="1" si="26"/>
        <v>-</v>
      </c>
      <c r="E268" s="369" t="str">
        <f t="shared" ca="1" si="26"/>
        <v>-</v>
      </c>
      <c r="F268" s="369" t="str">
        <f t="shared" ca="1" si="26"/>
        <v>-</v>
      </c>
      <c r="G268" s="369" t="str">
        <f t="shared" ca="1" si="26"/>
        <v>-</v>
      </c>
      <c r="H268" s="369" t="str">
        <f t="shared" ca="1" si="26"/>
        <v>-</v>
      </c>
      <c r="I268" s="370">
        <f t="shared" ca="1" si="26"/>
        <v>0</v>
      </c>
      <c r="J268" s="391">
        <f ca="1">IF($A268="*","",OFFSET(COM_2012!$B$60,AW268,SUMIF($B$10:$B$16,B268,$AX$10:$AX$16)))</f>
        <v>410.88682603593844</v>
      </c>
      <c r="K268" s="369" t="str">
        <f ca="1">IF($B268&lt;&gt;"PRC_RESID","",IF(K$7=2005+OFFSET(COM_2012!$B$60,$AW268,SUMIF($B$10:$B$16,"NCAP_TLIFE",$AX$10:$AX$16)),0,""))</f>
        <v/>
      </c>
      <c r="L268" s="369" t="str">
        <f ca="1">IF($B268&lt;&gt;"PRC_RESID","",IF(L$7=2005+OFFSET(COM_2012!$B$60,$AW268,SUMIF($B$10:$B$16,"NCAP_TLIFE",$AX$10:$AX$16)),0,""))</f>
        <v/>
      </c>
      <c r="M268" s="369" t="str">
        <f ca="1">IF($B268&lt;&gt;"PRC_RESID","",IF(M$7=2005+OFFSET(COM_2012!$B$60,$AW268,SUMIF($B$10:$B$16,"NCAP_TLIFE",$AX$10:$AX$16)),0,""))</f>
        <v/>
      </c>
      <c r="N268" s="369" t="str">
        <f ca="1">IF($B268&lt;&gt;"PRC_RESID","",IF(N$7=2005+OFFSET(COM_2012!$B$60,$AW268,SUMIF($B$10:$B$16,"NCAP_TLIFE",$AX$10:$AX$16)),0,""))</f>
        <v/>
      </c>
      <c r="O268" s="658" t="str">
        <f ca="1">IF($B268&lt;&gt;"PRC_RESID","",IF(O$7=2005+OFFSET(COM_2012!$B$60,$AW268,SUMIF($B$10:$B$16,"NCAP_TLIFE",$AX$10:$AX$16)),0,""))</f>
        <v/>
      </c>
      <c r="P268" s="369" t="str">
        <f ca="1">IF($B268&lt;&gt;"PRC_RESID","",IF(P$7=2005+OFFSET(COM_2012!$B$60,$AW268,SUMIF($B$10:$B$16,"NCAP_TLIFE",$AX$10:$AX$16)),0,""))</f>
        <v/>
      </c>
      <c r="Q268" s="369" t="str">
        <f ca="1">IF($B268&lt;&gt;"PRC_RESID","",IF(Q$7=2005+OFFSET(COM_2012!$B$60,$AW268,SUMIF($B$10:$B$16,"NCAP_TLIFE",$AX$10:$AX$16)),0,""))</f>
        <v/>
      </c>
      <c r="R268" s="369" t="str">
        <f ca="1">IF($B268&lt;&gt;"PRC_RESID","",IF(R$7=2005+OFFSET(COM_2012!$B$60,$AW268,SUMIF($B$10:$B$16,"NCAP_TLIFE",$AX$10:$AX$16)),0,""))</f>
        <v/>
      </c>
      <c r="S268" s="369" t="str">
        <f ca="1">IF($B268&lt;&gt;"PRC_RESID","",IF(S$7=2005+OFFSET(COM_2012!$B$60,$AW268,SUMIF($B$10:$B$16,"NCAP_TLIFE",$AX$10:$AX$16)),0,""))</f>
        <v/>
      </c>
      <c r="T268" s="369" t="str">
        <f ca="1">IF($B268&lt;&gt;"PRC_RESID","",IF(T$7=2005+OFFSET(COM_2012!$B$60,$AW268,SUMIF($B$10:$B$16,"NCAP_TLIFE",$AX$10:$AX$16)),0,""))</f>
        <v/>
      </c>
      <c r="U268" s="369" t="str">
        <f ca="1">IF($B268&lt;&gt;"PRC_RESID","",IF(U$7=2005+OFFSET(COM_2012!$B$60,$AW268,SUMIF($B$10:$B$16,"NCAP_TLIFE",$AX$10:$AX$16)),0,""))</f>
        <v/>
      </c>
      <c r="V268" s="369" t="str">
        <f ca="1">IF($B268&lt;&gt;"PRC_RESID","",IF(V$7=2005+OFFSET(COM_2012!$B$60,$AW268,SUMIF($B$10:$B$16,"NCAP_TLIFE",$AX$10:$AX$16)),0,""))</f>
        <v/>
      </c>
      <c r="W268" s="369" t="str">
        <f ca="1">IF($B268&lt;&gt;"PRC_RESID","",IF(W$7=2005+OFFSET(COM_2012!$B$60,$AW268,SUMIF($B$10:$B$16,"NCAP_TLIFE",$AX$10:$AX$16)),0,""))</f>
        <v/>
      </c>
      <c r="X268" s="369" t="str">
        <f ca="1">IF($B268&lt;&gt;"PRC_RESID","",IF(X$7=2005+OFFSET(COM_2012!$B$60,$AW268,SUMIF($B$10:$B$16,"NCAP_TLIFE",$AX$10:$AX$16)),0,""))</f>
        <v/>
      </c>
      <c r="Y268" s="369" t="str">
        <f ca="1">IF($B268&lt;&gt;"PRC_RESID","",IF(Y$7=2005+OFFSET(COM_2012!$B$60,$AW268,SUMIF($B$10:$B$16,"NCAP_TLIFE",$AX$10:$AX$16)),0,""))</f>
        <v/>
      </c>
      <c r="Z268" s="369" t="str">
        <f ca="1">IF($B268&lt;&gt;"PRC_RESID","",IF(Z$7=2005+OFFSET(COM_2012!$B$60,$AW268,SUMIF($B$10:$B$16,"NCAP_TLIFE",$AX$10:$AX$16)),0,""))</f>
        <v/>
      </c>
      <c r="AA268" s="369" t="str">
        <f ca="1">IF($B268&lt;&gt;"PRC_RESID","",IF(AA$7=2005+OFFSET(COM_2012!$B$60,$AW268,SUMIF($B$10:$B$16,"NCAP_TLIFE",$AX$10:$AX$16)),0,""))</f>
        <v/>
      </c>
      <c r="AB268" s="369" t="str">
        <f ca="1">IF($B268&lt;&gt;"PRC_RESID","",IF(AB$7=2005+OFFSET(COM_2012!$B$60,$AW268,SUMIF($B$10:$B$16,"NCAP_TLIFE",$AX$10:$AX$16)),0,""))</f>
        <v/>
      </c>
      <c r="AC268" s="369" t="str">
        <f ca="1">IF($B268&lt;&gt;"PRC_RESID","",IF(AC$7=2005+OFFSET(COM_2012!$B$60,$AW268,SUMIF($B$10:$B$16,"NCAP_TLIFE",$AX$10:$AX$16)),0,""))</f>
        <v/>
      </c>
      <c r="AD268" s="369" t="str">
        <f ca="1">IF($B268&lt;&gt;"PRC_RESID","",IF(AD$7=2005+OFFSET(COM_2012!$B$60,$AW268,SUMIF($B$10:$B$16,"NCAP_TLIFE",$AX$10:$AX$16)),0,""))</f>
        <v/>
      </c>
      <c r="AE268" s="369" t="str">
        <f ca="1">IF($B268&lt;&gt;"PRC_RESID","",IF(AE$7=2005+OFFSET(COM_2012!$B$60,$AW268,SUMIF($B$10:$B$16,"NCAP_TLIFE",$AX$10:$AX$16)),0,""))</f>
        <v/>
      </c>
      <c r="AF268" s="369" t="str">
        <f ca="1">IF($B268&lt;&gt;"PRC_RESID","",IF(AF$7=2005+OFFSET(COM_2012!$B$60,$AW268,SUMIF($B$10:$B$16,"NCAP_TLIFE",$AX$10:$AX$16)),0,""))</f>
        <v/>
      </c>
      <c r="AG268" s="369" t="str">
        <f ca="1">IF($B268&lt;&gt;"PRC_RESID","",IF(AG$7=2005+OFFSET(COM_2012!$B$60,$AW268,SUMIF($B$10:$B$16,"NCAP_TLIFE",$AX$10:$AX$16)),0,""))</f>
        <v/>
      </c>
      <c r="AH268" s="369" t="str">
        <f ca="1">IF($B268&lt;&gt;"PRC_RESID","",IF(AH$7=2005+OFFSET(COM_2012!$B$60,$AW268,SUMIF($B$10:$B$16,"NCAP_TLIFE",$AX$10:$AX$16)),0,""))</f>
        <v/>
      </c>
      <c r="AI268" s="369" t="str">
        <f ca="1">IF($B268&lt;&gt;"PRC_RESID","",IF(AI$7=2005+OFFSET(COM_2012!$B$60,$AW268,SUMIF($B$10:$B$16,"NCAP_TLIFE",$AX$10:$AX$16)),0,""))</f>
        <v/>
      </c>
      <c r="AJ268" s="369" t="str">
        <f ca="1">IF($B268&lt;&gt;"PRC_RESID","",IF(AJ$7=2005+OFFSET(COM_2012!$B$60,$AW268,SUMIF($B$10:$B$16,"NCAP_TLIFE",$AX$10:$AX$16)),0,""))</f>
        <v/>
      </c>
      <c r="AK268" s="369" t="str">
        <f ca="1">IF($B268&lt;&gt;"PRC_RESID","",IF(AK$7=2005+OFFSET(COM_2012!$B$60,$AW268,SUMIF($B$10:$B$16,"NCAP_TLIFE",$AX$10:$AX$16)),0,""))</f>
        <v/>
      </c>
      <c r="AL268" s="369" t="str">
        <f ca="1">IF($B268&lt;&gt;"PRC_RESID","",IF(AL$7=2005+OFFSET(COM_2012!$B$60,$AW268,SUMIF($B$10:$B$16,"NCAP_TLIFE",$AX$10:$AX$16)),0,""))</f>
        <v/>
      </c>
      <c r="AM268" s="369" t="str">
        <f ca="1">IF($B268&lt;&gt;"PRC_RESID","",IF(AM$7=2005+OFFSET(COM_2012!$B$60,$AW268,SUMIF($B$10:$B$16,"NCAP_TLIFE",$AX$10:$AX$16)),0,""))</f>
        <v/>
      </c>
      <c r="AN268" s="369" t="str">
        <f ca="1">IF($B268&lt;&gt;"PRC_RESID","",IF(AN$7=2005+OFFSET(COM_2012!$B$60,$AW268,SUMIF($B$10:$B$16,"NCAP_TLIFE",$AX$10:$AX$16)),0,""))</f>
        <v/>
      </c>
      <c r="AO268" s="369" t="str">
        <f ca="1">IF($B268&lt;&gt;"PRC_RESID","",IF(AO$7=2005+OFFSET(COM_2012!$B$60,$AW268,SUMIF($B$10:$B$16,"NCAP_TLIFE",$AX$10:$AX$16)),0,""))</f>
        <v/>
      </c>
      <c r="AP268" s="369" t="str">
        <f ca="1">IF($B268&lt;&gt;"PRC_RESID","",IF(AP$7=2005+OFFSET(COM_2012!$B$60,$AW268,SUMIF($B$10:$B$16,"NCAP_TLIFE",$AX$10:$AX$16)),0,""))</f>
        <v/>
      </c>
      <c r="AQ268" s="369" t="str">
        <f ca="1">IF($B268&lt;&gt;"PRC_RESID","",IF(AQ$7=2005+OFFSET(COM_2012!$B$60,$AW268,SUMIF($B$10:$B$16,"NCAP_TLIFE",$AX$10:$AX$16)),0,""))</f>
        <v/>
      </c>
      <c r="AR268" s="369" t="str">
        <f ca="1">IF($B268&lt;&gt;"PRC_RESID","",IF(AR$7=2005+OFFSET(COM_2012!$B$60,$AW268,SUMIF($B$10:$B$16,"NCAP_TLIFE",$AX$10:$AX$16)),0,""))</f>
        <v/>
      </c>
      <c r="AS268" s="369" t="str">
        <f ca="1">IF($B268&lt;&gt;"PRC_RESID","",IF(AS$7=2005+OFFSET(COM_2012!$B$60,$AW268,SUMIF($B$10:$B$16,"NCAP_TLIFE",$AX$10:$AX$16)),0,""))</f>
        <v/>
      </c>
      <c r="AT268" s="369" t="str">
        <f ca="1">IF($B268&lt;&gt;"PRC_RESID","",IF(AT$7=2005+OFFSET(COM_2012!$B$60,$AW268,SUMIF($B$10:$B$16,"NCAP_TLIFE",$AX$10:$AX$16)),0,""))</f>
        <v/>
      </c>
      <c r="AU268" s="369" t="str">
        <f ca="1">IF($B268&lt;&gt;"PRC_RESID","",IF(AU$7=2005+OFFSET(COM_2012!$B$60,$AW268,SUMIF($B$10:$B$16,"NCAP_TLIFE",$AX$10:$AX$16)),0,""))</f>
        <v/>
      </c>
      <c r="AV268" s="304">
        <f>IF(AW267=COM_2012!$AI$121,AV267+1,AV267)</f>
        <v>4</v>
      </c>
      <c r="AW268" s="304">
        <f t="shared" si="23"/>
        <v>58</v>
      </c>
    </row>
    <row r="269" spans="1:49">
      <c r="A269" s="304" t="str">
        <f ca="1">IF(LEFT(OFFSET(COM_2012!$A$60,AW269,0),2)="\I","*","")</f>
        <v/>
      </c>
      <c r="B269" s="369" t="str">
        <f t="shared" ca="1" si="22"/>
        <v>NCAP_COST</v>
      </c>
      <c r="C269" s="369" t="str">
        <f ca="1">IF($A269="*","",OFFSET(COM_2012!$B$60,AW269,0))</f>
        <v>CEOOKE-E</v>
      </c>
      <c r="D269" s="369" t="str">
        <f t="shared" ca="1" si="26"/>
        <v>-</v>
      </c>
      <c r="E269" s="369" t="str">
        <f t="shared" ca="1" si="26"/>
        <v>-</v>
      </c>
      <c r="F269" s="369" t="str">
        <f t="shared" ca="1" si="26"/>
        <v>-</v>
      </c>
      <c r="G269" s="369" t="str">
        <f t="shared" ca="1" si="26"/>
        <v>-</v>
      </c>
      <c r="H269" s="369" t="str">
        <f t="shared" ca="1" si="26"/>
        <v>-</v>
      </c>
      <c r="I269" s="370">
        <f t="shared" ca="1" si="26"/>
        <v>0</v>
      </c>
      <c r="J269" s="391">
        <f ca="1">IF($A269="*","",OFFSET(COM_2012!$B$60,AW269,SUMIF($B$10:$B$16,B269,$AX$10:$AX$16)))</f>
        <v>410.88682603593844</v>
      </c>
      <c r="K269" s="369" t="str">
        <f ca="1">IF($B269&lt;&gt;"PRC_RESID","",IF(K$7=2005+OFFSET(COM_2012!$B$60,$AW269,SUMIF($B$10:$B$16,"NCAP_TLIFE",$AX$10:$AX$16)),0,""))</f>
        <v/>
      </c>
      <c r="L269" s="369" t="str">
        <f ca="1">IF($B269&lt;&gt;"PRC_RESID","",IF(L$7=2005+OFFSET(COM_2012!$B$60,$AW269,SUMIF($B$10:$B$16,"NCAP_TLIFE",$AX$10:$AX$16)),0,""))</f>
        <v/>
      </c>
      <c r="M269" s="369" t="str">
        <f ca="1">IF($B269&lt;&gt;"PRC_RESID","",IF(M$7=2005+OFFSET(COM_2012!$B$60,$AW269,SUMIF($B$10:$B$16,"NCAP_TLIFE",$AX$10:$AX$16)),0,""))</f>
        <v/>
      </c>
      <c r="N269" s="369" t="str">
        <f ca="1">IF($B269&lt;&gt;"PRC_RESID","",IF(N$7=2005+OFFSET(COM_2012!$B$60,$AW269,SUMIF($B$10:$B$16,"NCAP_TLIFE",$AX$10:$AX$16)),0,""))</f>
        <v/>
      </c>
      <c r="O269" s="658" t="str">
        <f ca="1">IF($B269&lt;&gt;"PRC_RESID","",IF(O$7=2005+OFFSET(COM_2012!$B$60,$AW269,SUMIF($B$10:$B$16,"NCAP_TLIFE",$AX$10:$AX$16)),0,""))</f>
        <v/>
      </c>
      <c r="P269" s="369" t="str">
        <f ca="1">IF($B269&lt;&gt;"PRC_RESID","",IF(P$7=2005+OFFSET(COM_2012!$B$60,$AW269,SUMIF($B$10:$B$16,"NCAP_TLIFE",$AX$10:$AX$16)),0,""))</f>
        <v/>
      </c>
      <c r="Q269" s="369" t="str">
        <f ca="1">IF($B269&lt;&gt;"PRC_RESID","",IF(Q$7=2005+OFFSET(COM_2012!$B$60,$AW269,SUMIF($B$10:$B$16,"NCAP_TLIFE",$AX$10:$AX$16)),0,""))</f>
        <v/>
      </c>
      <c r="R269" s="369" t="str">
        <f ca="1">IF($B269&lt;&gt;"PRC_RESID","",IF(R$7=2005+OFFSET(COM_2012!$B$60,$AW269,SUMIF($B$10:$B$16,"NCAP_TLIFE",$AX$10:$AX$16)),0,""))</f>
        <v/>
      </c>
      <c r="S269" s="369" t="str">
        <f ca="1">IF($B269&lt;&gt;"PRC_RESID","",IF(S$7=2005+OFFSET(COM_2012!$B$60,$AW269,SUMIF($B$10:$B$16,"NCAP_TLIFE",$AX$10:$AX$16)),0,""))</f>
        <v/>
      </c>
      <c r="T269" s="369" t="str">
        <f ca="1">IF($B269&lt;&gt;"PRC_RESID","",IF(T$7=2005+OFFSET(COM_2012!$B$60,$AW269,SUMIF($B$10:$B$16,"NCAP_TLIFE",$AX$10:$AX$16)),0,""))</f>
        <v/>
      </c>
      <c r="U269" s="369" t="str">
        <f ca="1">IF($B269&lt;&gt;"PRC_RESID","",IF(U$7=2005+OFFSET(COM_2012!$B$60,$AW269,SUMIF($B$10:$B$16,"NCAP_TLIFE",$AX$10:$AX$16)),0,""))</f>
        <v/>
      </c>
      <c r="V269" s="369" t="str">
        <f ca="1">IF($B269&lt;&gt;"PRC_RESID","",IF(V$7=2005+OFFSET(COM_2012!$B$60,$AW269,SUMIF($B$10:$B$16,"NCAP_TLIFE",$AX$10:$AX$16)),0,""))</f>
        <v/>
      </c>
      <c r="W269" s="369" t="str">
        <f ca="1">IF($B269&lt;&gt;"PRC_RESID","",IF(W$7=2005+OFFSET(COM_2012!$B$60,$AW269,SUMIF($B$10:$B$16,"NCAP_TLIFE",$AX$10:$AX$16)),0,""))</f>
        <v/>
      </c>
      <c r="X269" s="369" t="str">
        <f ca="1">IF($B269&lt;&gt;"PRC_RESID","",IF(X$7=2005+OFFSET(COM_2012!$B$60,$AW269,SUMIF($B$10:$B$16,"NCAP_TLIFE",$AX$10:$AX$16)),0,""))</f>
        <v/>
      </c>
      <c r="Y269" s="369" t="str">
        <f ca="1">IF($B269&lt;&gt;"PRC_RESID","",IF(Y$7=2005+OFFSET(COM_2012!$B$60,$AW269,SUMIF($B$10:$B$16,"NCAP_TLIFE",$AX$10:$AX$16)),0,""))</f>
        <v/>
      </c>
      <c r="Z269" s="369" t="str">
        <f ca="1">IF($B269&lt;&gt;"PRC_RESID","",IF(Z$7=2005+OFFSET(COM_2012!$B$60,$AW269,SUMIF($B$10:$B$16,"NCAP_TLIFE",$AX$10:$AX$16)),0,""))</f>
        <v/>
      </c>
      <c r="AA269" s="369" t="str">
        <f ca="1">IF($B269&lt;&gt;"PRC_RESID","",IF(AA$7=2005+OFFSET(COM_2012!$B$60,$AW269,SUMIF($B$10:$B$16,"NCAP_TLIFE",$AX$10:$AX$16)),0,""))</f>
        <v/>
      </c>
      <c r="AB269" s="369" t="str">
        <f ca="1">IF($B269&lt;&gt;"PRC_RESID","",IF(AB$7=2005+OFFSET(COM_2012!$B$60,$AW269,SUMIF($B$10:$B$16,"NCAP_TLIFE",$AX$10:$AX$16)),0,""))</f>
        <v/>
      </c>
      <c r="AC269" s="369" t="str">
        <f ca="1">IF($B269&lt;&gt;"PRC_RESID","",IF(AC$7=2005+OFFSET(COM_2012!$B$60,$AW269,SUMIF($B$10:$B$16,"NCAP_TLIFE",$AX$10:$AX$16)),0,""))</f>
        <v/>
      </c>
      <c r="AD269" s="369" t="str">
        <f ca="1">IF($B269&lt;&gt;"PRC_RESID","",IF(AD$7=2005+OFFSET(COM_2012!$B$60,$AW269,SUMIF($B$10:$B$16,"NCAP_TLIFE",$AX$10:$AX$16)),0,""))</f>
        <v/>
      </c>
      <c r="AE269" s="369" t="str">
        <f ca="1">IF($B269&lt;&gt;"PRC_RESID","",IF(AE$7=2005+OFFSET(COM_2012!$B$60,$AW269,SUMIF($B$10:$B$16,"NCAP_TLIFE",$AX$10:$AX$16)),0,""))</f>
        <v/>
      </c>
      <c r="AF269" s="369" t="str">
        <f ca="1">IF($B269&lt;&gt;"PRC_RESID","",IF(AF$7=2005+OFFSET(COM_2012!$B$60,$AW269,SUMIF($B$10:$B$16,"NCAP_TLIFE",$AX$10:$AX$16)),0,""))</f>
        <v/>
      </c>
      <c r="AG269" s="369" t="str">
        <f ca="1">IF($B269&lt;&gt;"PRC_RESID","",IF(AG$7=2005+OFFSET(COM_2012!$B$60,$AW269,SUMIF($B$10:$B$16,"NCAP_TLIFE",$AX$10:$AX$16)),0,""))</f>
        <v/>
      </c>
      <c r="AH269" s="369" t="str">
        <f ca="1">IF($B269&lt;&gt;"PRC_RESID","",IF(AH$7=2005+OFFSET(COM_2012!$B$60,$AW269,SUMIF($B$10:$B$16,"NCAP_TLIFE",$AX$10:$AX$16)),0,""))</f>
        <v/>
      </c>
      <c r="AI269" s="369" t="str">
        <f ca="1">IF($B269&lt;&gt;"PRC_RESID","",IF(AI$7=2005+OFFSET(COM_2012!$B$60,$AW269,SUMIF($B$10:$B$16,"NCAP_TLIFE",$AX$10:$AX$16)),0,""))</f>
        <v/>
      </c>
      <c r="AJ269" s="369" t="str">
        <f ca="1">IF($B269&lt;&gt;"PRC_RESID","",IF(AJ$7=2005+OFFSET(COM_2012!$B$60,$AW269,SUMIF($B$10:$B$16,"NCAP_TLIFE",$AX$10:$AX$16)),0,""))</f>
        <v/>
      </c>
      <c r="AK269" s="369" t="str">
        <f ca="1">IF($B269&lt;&gt;"PRC_RESID","",IF(AK$7=2005+OFFSET(COM_2012!$B$60,$AW269,SUMIF($B$10:$B$16,"NCAP_TLIFE",$AX$10:$AX$16)),0,""))</f>
        <v/>
      </c>
      <c r="AL269" s="369" t="str">
        <f ca="1">IF($B269&lt;&gt;"PRC_RESID","",IF(AL$7=2005+OFFSET(COM_2012!$B$60,$AW269,SUMIF($B$10:$B$16,"NCAP_TLIFE",$AX$10:$AX$16)),0,""))</f>
        <v/>
      </c>
      <c r="AM269" s="369" t="str">
        <f ca="1">IF($B269&lt;&gt;"PRC_RESID","",IF(AM$7=2005+OFFSET(COM_2012!$B$60,$AW269,SUMIF($B$10:$B$16,"NCAP_TLIFE",$AX$10:$AX$16)),0,""))</f>
        <v/>
      </c>
      <c r="AN269" s="369" t="str">
        <f ca="1">IF($B269&lt;&gt;"PRC_RESID","",IF(AN$7=2005+OFFSET(COM_2012!$B$60,$AW269,SUMIF($B$10:$B$16,"NCAP_TLIFE",$AX$10:$AX$16)),0,""))</f>
        <v/>
      </c>
      <c r="AO269" s="369" t="str">
        <f ca="1">IF($B269&lt;&gt;"PRC_RESID","",IF(AO$7=2005+OFFSET(COM_2012!$B$60,$AW269,SUMIF($B$10:$B$16,"NCAP_TLIFE",$AX$10:$AX$16)),0,""))</f>
        <v/>
      </c>
      <c r="AP269" s="369" t="str">
        <f ca="1">IF($B269&lt;&gt;"PRC_RESID","",IF(AP$7=2005+OFFSET(COM_2012!$B$60,$AW269,SUMIF($B$10:$B$16,"NCAP_TLIFE",$AX$10:$AX$16)),0,""))</f>
        <v/>
      </c>
      <c r="AQ269" s="369" t="str">
        <f ca="1">IF($B269&lt;&gt;"PRC_RESID","",IF(AQ$7=2005+OFFSET(COM_2012!$B$60,$AW269,SUMIF($B$10:$B$16,"NCAP_TLIFE",$AX$10:$AX$16)),0,""))</f>
        <v/>
      </c>
      <c r="AR269" s="369" t="str">
        <f ca="1">IF($B269&lt;&gt;"PRC_RESID","",IF(AR$7=2005+OFFSET(COM_2012!$B$60,$AW269,SUMIF($B$10:$B$16,"NCAP_TLIFE",$AX$10:$AX$16)),0,""))</f>
        <v/>
      </c>
      <c r="AS269" s="369" t="str">
        <f ca="1">IF($B269&lt;&gt;"PRC_RESID","",IF(AS$7=2005+OFFSET(COM_2012!$B$60,$AW269,SUMIF($B$10:$B$16,"NCAP_TLIFE",$AX$10:$AX$16)),0,""))</f>
        <v/>
      </c>
      <c r="AT269" s="369" t="str">
        <f ca="1">IF($B269&lt;&gt;"PRC_RESID","",IF(AT$7=2005+OFFSET(COM_2012!$B$60,$AW269,SUMIF($B$10:$B$16,"NCAP_TLIFE",$AX$10:$AX$16)),0,""))</f>
        <v/>
      </c>
      <c r="AU269" s="369" t="str">
        <f ca="1">IF($B269&lt;&gt;"PRC_RESID","",IF(AU$7=2005+OFFSET(COM_2012!$B$60,$AW269,SUMIF($B$10:$B$16,"NCAP_TLIFE",$AX$10:$AX$16)),0,""))</f>
        <v/>
      </c>
      <c r="AV269" s="304">
        <f>IF(AW268=COM_2012!$AI$121,AV268+1,AV268)</f>
        <v>4</v>
      </c>
      <c r="AW269" s="304">
        <f t="shared" si="23"/>
        <v>59</v>
      </c>
    </row>
    <row r="270" spans="1:49">
      <c r="A270" s="304" t="str">
        <f ca="1">IF(LEFT(OFFSET(COM_2012!$A$60,AW270,0),2)="\I","*","")</f>
        <v>*</v>
      </c>
      <c r="B270" s="369" t="str">
        <f t="shared" ca="1" si="22"/>
        <v/>
      </c>
      <c r="C270" s="369" t="str">
        <f ca="1">IF($A270="*","",OFFSET(COM_2012!$B$60,AW270,0))</f>
        <v/>
      </c>
      <c r="D270" s="369" t="str">
        <f t="shared" ca="1" si="26"/>
        <v/>
      </c>
      <c r="E270" s="369" t="str">
        <f t="shared" ca="1" si="26"/>
        <v/>
      </c>
      <c r="F270" s="369" t="str">
        <f t="shared" ca="1" si="26"/>
        <v/>
      </c>
      <c r="G270" s="369" t="str">
        <f t="shared" ca="1" si="26"/>
        <v/>
      </c>
      <c r="H270" s="369" t="str">
        <f t="shared" ca="1" si="26"/>
        <v/>
      </c>
      <c r="I270" s="370" t="str">
        <f t="shared" ca="1" si="26"/>
        <v/>
      </c>
      <c r="J270" s="391" t="str">
        <f ca="1">IF($A270="*","",OFFSET(COM_2012!$B$60,AW270,SUMIF($B$10:$B$16,B270,$AX$10:$AX$16)))</f>
        <v/>
      </c>
      <c r="K270" s="369" t="str">
        <f ca="1">IF($B270&lt;&gt;"PRC_RESID","",IF(K$7=2005+OFFSET(COM_2012!$B$60,$AW270,SUMIF($B$10:$B$16,"NCAP_TLIFE",$AX$10:$AX$16)),0,""))</f>
        <v/>
      </c>
      <c r="L270" s="369" t="str">
        <f ca="1">IF($B270&lt;&gt;"PRC_RESID","",IF(L$7=2005+OFFSET(COM_2012!$B$60,$AW270,SUMIF($B$10:$B$16,"NCAP_TLIFE",$AX$10:$AX$16)),0,""))</f>
        <v/>
      </c>
      <c r="M270" s="369" t="str">
        <f ca="1">IF($B270&lt;&gt;"PRC_RESID","",IF(M$7=2005+OFFSET(COM_2012!$B$60,$AW270,SUMIF($B$10:$B$16,"NCAP_TLIFE",$AX$10:$AX$16)),0,""))</f>
        <v/>
      </c>
      <c r="N270" s="369" t="str">
        <f ca="1">IF($B270&lt;&gt;"PRC_RESID","",IF(N$7=2005+OFFSET(COM_2012!$B$60,$AW270,SUMIF($B$10:$B$16,"NCAP_TLIFE",$AX$10:$AX$16)),0,""))</f>
        <v/>
      </c>
      <c r="O270" s="658" t="str">
        <f ca="1">IF($B270&lt;&gt;"PRC_RESID","",IF(O$7=2005+OFFSET(COM_2012!$B$60,$AW270,SUMIF($B$10:$B$16,"NCAP_TLIFE",$AX$10:$AX$16)),0,""))</f>
        <v/>
      </c>
      <c r="P270" s="369" t="str">
        <f ca="1">IF($B270&lt;&gt;"PRC_RESID","",IF(P$7=2005+OFFSET(COM_2012!$B$60,$AW270,SUMIF($B$10:$B$16,"NCAP_TLIFE",$AX$10:$AX$16)),0,""))</f>
        <v/>
      </c>
      <c r="Q270" s="369" t="str">
        <f ca="1">IF($B270&lt;&gt;"PRC_RESID","",IF(Q$7=2005+OFFSET(COM_2012!$B$60,$AW270,SUMIF($B$10:$B$16,"NCAP_TLIFE",$AX$10:$AX$16)),0,""))</f>
        <v/>
      </c>
      <c r="R270" s="369" t="str">
        <f ca="1">IF($B270&lt;&gt;"PRC_RESID","",IF(R$7=2005+OFFSET(COM_2012!$B$60,$AW270,SUMIF($B$10:$B$16,"NCAP_TLIFE",$AX$10:$AX$16)),0,""))</f>
        <v/>
      </c>
      <c r="S270" s="369" t="str">
        <f ca="1">IF($B270&lt;&gt;"PRC_RESID","",IF(S$7=2005+OFFSET(COM_2012!$B$60,$AW270,SUMIF($B$10:$B$16,"NCAP_TLIFE",$AX$10:$AX$16)),0,""))</f>
        <v/>
      </c>
      <c r="T270" s="369" t="str">
        <f ca="1">IF($B270&lt;&gt;"PRC_RESID","",IF(T$7=2005+OFFSET(COM_2012!$B$60,$AW270,SUMIF($B$10:$B$16,"NCAP_TLIFE",$AX$10:$AX$16)),0,""))</f>
        <v/>
      </c>
      <c r="U270" s="369" t="str">
        <f ca="1">IF($B270&lt;&gt;"PRC_RESID","",IF(U$7=2005+OFFSET(COM_2012!$B$60,$AW270,SUMIF($B$10:$B$16,"NCAP_TLIFE",$AX$10:$AX$16)),0,""))</f>
        <v/>
      </c>
      <c r="V270" s="369" t="str">
        <f ca="1">IF($B270&lt;&gt;"PRC_RESID","",IF(V$7=2005+OFFSET(COM_2012!$B$60,$AW270,SUMIF($B$10:$B$16,"NCAP_TLIFE",$AX$10:$AX$16)),0,""))</f>
        <v/>
      </c>
      <c r="W270" s="369" t="str">
        <f ca="1">IF($B270&lt;&gt;"PRC_RESID","",IF(W$7=2005+OFFSET(COM_2012!$B$60,$AW270,SUMIF($B$10:$B$16,"NCAP_TLIFE",$AX$10:$AX$16)),0,""))</f>
        <v/>
      </c>
      <c r="X270" s="369" t="str">
        <f ca="1">IF($B270&lt;&gt;"PRC_RESID","",IF(X$7=2005+OFFSET(COM_2012!$B$60,$AW270,SUMIF($B$10:$B$16,"NCAP_TLIFE",$AX$10:$AX$16)),0,""))</f>
        <v/>
      </c>
      <c r="Y270" s="369" t="str">
        <f ca="1">IF($B270&lt;&gt;"PRC_RESID","",IF(Y$7=2005+OFFSET(COM_2012!$B$60,$AW270,SUMIF($B$10:$B$16,"NCAP_TLIFE",$AX$10:$AX$16)),0,""))</f>
        <v/>
      </c>
      <c r="Z270" s="369" t="str">
        <f ca="1">IF($B270&lt;&gt;"PRC_RESID","",IF(Z$7=2005+OFFSET(COM_2012!$B$60,$AW270,SUMIF($B$10:$B$16,"NCAP_TLIFE",$AX$10:$AX$16)),0,""))</f>
        <v/>
      </c>
      <c r="AA270" s="369" t="str">
        <f ca="1">IF($B270&lt;&gt;"PRC_RESID","",IF(AA$7=2005+OFFSET(COM_2012!$B$60,$AW270,SUMIF($B$10:$B$16,"NCAP_TLIFE",$AX$10:$AX$16)),0,""))</f>
        <v/>
      </c>
      <c r="AB270" s="369" t="str">
        <f ca="1">IF($B270&lt;&gt;"PRC_RESID","",IF(AB$7=2005+OFFSET(COM_2012!$B$60,$AW270,SUMIF($B$10:$B$16,"NCAP_TLIFE",$AX$10:$AX$16)),0,""))</f>
        <v/>
      </c>
      <c r="AC270" s="369" t="str">
        <f ca="1">IF($B270&lt;&gt;"PRC_RESID","",IF(AC$7=2005+OFFSET(COM_2012!$B$60,$AW270,SUMIF($B$10:$B$16,"NCAP_TLIFE",$AX$10:$AX$16)),0,""))</f>
        <v/>
      </c>
      <c r="AD270" s="369" t="str">
        <f ca="1">IF($B270&lt;&gt;"PRC_RESID","",IF(AD$7=2005+OFFSET(COM_2012!$B$60,$AW270,SUMIF($B$10:$B$16,"NCAP_TLIFE",$AX$10:$AX$16)),0,""))</f>
        <v/>
      </c>
      <c r="AE270" s="369" t="str">
        <f ca="1">IF($B270&lt;&gt;"PRC_RESID","",IF(AE$7=2005+OFFSET(COM_2012!$B$60,$AW270,SUMIF($B$10:$B$16,"NCAP_TLIFE",$AX$10:$AX$16)),0,""))</f>
        <v/>
      </c>
      <c r="AF270" s="369" t="str">
        <f ca="1">IF($B270&lt;&gt;"PRC_RESID","",IF(AF$7=2005+OFFSET(COM_2012!$B$60,$AW270,SUMIF($B$10:$B$16,"NCAP_TLIFE",$AX$10:$AX$16)),0,""))</f>
        <v/>
      </c>
      <c r="AG270" s="369" t="str">
        <f ca="1">IF($B270&lt;&gt;"PRC_RESID","",IF(AG$7=2005+OFFSET(COM_2012!$B$60,$AW270,SUMIF($B$10:$B$16,"NCAP_TLIFE",$AX$10:$AX$16)),0,""))</f>
        <v/>
      </c>
      <c r="AH270" s="369" t="str">
        <f ca="1">IF($B270&lt;&gt;"PRC_RESID","",IF(AH$7=2005+OFFSET(COM_2012!$B$60,$AW270,SUMIF($B$10:$B$16,"NCAP_TLIFE",$AX$10:$AX$16)),0,""))</f>
        <v/>
      </c>
      <c r="AI270" s="369" t="str">
        <f ca="1">IF($B270&lt;&gt;"PRC_RESID","",IF(AI$7=2005+OFFSET(COM_2012!$B$60,$AW270,SUMIF($B$10:$B$16,"NCAP_TLIFE",$AX$10:$AX$16)),0,""))</f>
        <v/>
      </c>
      <c r="AJ270" s="369" t="str">
        <f ca="1">IF($B270&lt;&gt;"PRC_RESID","",IF(AJ$7=2005+OFFSET(COM_2012!$B$60,$AW270,SUMIF($B$10:$B$16,"NCAP_TLIFE",$AX$10:$AX$16)),0,""))</f>
        <v/>
      </c>
      <c r="AK270" s="369" t="str">
        <f ca="1">IF($B270&lt;&gt;"PRC_RESID","",IF(AK$7=2005+OFFSET(COM_2012!$B$60,$AW270,SUMIF($B$10:$B$16,"NCAP_TLIFE",$AX$10:$AX$16)),0,""))</f>
        <v/>
      </c>
      <c r="AL270" s="369" t="str">
        <f ca="1">IF($B270&lt;&gt;"PRC_RESID","",IF(AL$7=2005+OFFSET(COM_2012!$B$60,$AW270,SUMIF($B$10:$B$16,"NCAP_TLIFE",$AX$10:$AX$16)),0,""))</f>
        <v/>
      </c>
      <c r="AM270" s="369" t="str">
        <f ca="1">IF($B270&lt;&gt;"PRC_RESID","",IF(AM$7=2005+OFFSET(COM_2012!$B$60,$AW270,SUMIF($B$10:$B$16,"NCAP_TLIFE",$AX$10:$AX$16)),0,""))</f>
        <v/>
      </c>
      <c r="AN270" s="369" t="str">
        <f ca="1">IF($B270&lt;&gt;"PRC_RESID","",IF(AN$7=2005+OFFSET(COM_2012!$B$60,$AW270,SUMIF($B$10:$B$16,"NCAP_TLIFE",$AX$10:$AX$16)),0,""))</f>
        <v/>
      </c>
      <c r="AO270" s="369" t="str">
        <f ca="1">IF($B270&lt;&gt;"PRC_RESID","",IF(AO$7=2005+OFFSET(COM_2012!$B$60,$AW270,SUMIF($B$10:$B$16,"NCAP_TLIFE",$AX$10:$AX$16)),0,""))</f>
        <v/>
      </c>
      <c r="AP270" s="369" t="str">
        <f ca="1">IF($B270&lt;&gt;"PRC_RESID","",IF(AP$7=2005+OFFSET(COM_2012!$B$60,$AW270,SUMIF($B$10:$B$16,"NCAP_TLIFE",$AX$10:$AX$16)),0,""))</f>
        <v/>
      </c>
      <c r="AQ270" s="369" t="str">
        <f ca="1">IF($B270&lt;&gt;"PRC_RESID","",IF(AQ$7=2005+OFFSET(COM_2012!$B$60,$AW270,SUMIF($B$10:$B$16,"NCAP_TLIFE",$AX$10:$AX$16)),0,""))</f>
        <v/>
      </c>
      <c r="AR270" s="369" t="str">
        <f ca="1">IF($B270&lt;&gt;"PRC_RESID","",IF(AR$7=2005+OFFSET(COM_2012!$B$60,$AW270,SUMIF($B$10:$B$16,"NCAP_TLIFE",$AX$10:$AX$16)),0,""))</f>
        <v/>
      </c>
      <c r="AS270" s="369" t="str">
        <f ca="1">IF($B270&lt;&gt;"PRC_RESID","",IF(AS$7=2005+OFFSET(COM_2012!$B$60,$AW270,SUMIF($B$10:$B$16,"NCAP_TLIFE",$AX$10:$AX$16)),0,""))</f>
        <v/>
      </c>
      <c r="AT270" s="369" t="str">
        <f ca="1">IF($B270&lt;&gt;"PRC_RESID","",IF(AT$7=2005+OFFSET(COM_2012!$B$60,$AW270,SUMIF($B$10:$B$16,"NCAP_TLIFE",$AX$10:$AX$16)),0,""))</f>
        <v/>
      </c>
      <c r="AU270" s="369" t="str">
        <f ca="1">IF($B270&lt;&gt;"PRC_RESID","",IF(AU$7=2005+OFFSET(COM_2012!$B$60,$AW270,SUMIF($B$10:$B$16,"NCAP_TLIFE",$AX$10:$AX$16)),0,""))</f>
        <v/>
      </c>
      <c r="AV270" s="304">
        <f>IF(AW269=COM_2012!$AI$121,AV269+1,AV269)</f>
        <v>4</v>
      </c>
      <c r="AW270" s="304">
        <f t="shared" si="23"/>
        <v>60</v>
      </c>
    </row>
    <row r="271" spans="1:49">
      <c r="A271" s="304" t="str">
        <f ca="1">IF(LEFT(OFFSET(COM_2012!$A$60,AW271,0),2)="\I","*","")</f>
        <v>*</v>
      </c>
      <c r="B271" s="369" t="str">
        <f t="shared" ca="1" si="22"/>
        <v/>
      </c>
      <c r="C271" s="369" t="str">
        <f ca="1">IF($A271="*","",OFFSET(COM_2012!$B$60,AW271,0))</f>
        <v/>
      </c>
      <c r="D271" s="369" t="str">
        <f t="shared" ca="1" si="26"/>
        <v/>
      </c>
      <c r="E271" s="369" t="str">
        <f t="shared" ca="1" si="26"/>
        <v/>
      </c>
      <c r="F271" s="369" t="str">
        <f t="shared" ca="1" si="26"/>
        <v/>
      </c>
      <c r="G271" s="369" t="str">
        <f t="shared" ca="1" si="26"/>
        <v/>
      </c>
      <c r="H271" s="369" t="str">
        <f t="shared" ca="1" si="26"/>
        <v/>
      </c>
      <c r="I271" s="370" t="str">
        <f t="shared" ca="1" si="26"/>
        <v/>
      </c>
      <c r="J271" s="391" t="str">
        <f ca="1">IF($A271="*","",OFFSET(COM_2012!$B$60,AW271,SUMIF($B$10:$B$16,B271,$AX$10:$AX$16)))</f>
        <v/>
      </c>
      <c r="K271" s="369" t="str">
        <f ca="1">IF($B271&lt;&gt;"PRC_RESID","",IF(K$7=2005+OFFSET(COM_2012!$B$60,$AW271,SUMIF($B$10:$B$16,"NCAP_TLIFE",$AX$10:$AX$16)),0,""))</f>
        <v/>
      </c>
      <c r="L271" s="369" t="str">
        <f ca="1">IF($B271&lt;&gt;"PRC_RESID","",IF(L$7=2005+OFFSET(COM_2012!$B$60,$AW271,SUMIF($B$10:$B$16,"NCAP_TLIFE",$AX$10:$AX$16)),0,""))</f>
        <v/>
      </c>
      <c r="M271" s="369" t="str">
        <f ca="1">IF($B271&lt;&gt;"PRC_RESID","",IF(M$7=2005+OFFSET(COM_2012!$B$60,$AW271,SUMIF($B$10:$B$16,"NCAP_TLIFE",$AX$10:$AX$16)),0,""))</f>
        <v/>
      </c>
      <c r="N271" s="369" t="str">
        <f ca="1">IF($B271&lt;&gt;"PRC_RESID","",IF(N$7=2005+OFFSET(COM_2012!$B$60,$AW271,SUMIF($B$10:$B$16,"NCAP_TLIFE",$AX$10:$AX$16)),0,""))</f>
        <v/>
      </c>
      <c r="O271" s="658" t="str">
        <f ca="1">IF($B271&lt;&gt;"PRC_RESID","",IF(O$7=2005+OFFSET(COM_2012!$B$60,$AW271,SUMIF($B$10:$B$16,"NCAP_TLIFE",$AX$10:$AX$16)),0,""))</f>
        <v/>
      </c>
      <c r="P271" s="369" t="str">
        <f ca="1">IF($B271&lt;&gt;"PRC_RESID","",IF(P$7=2005+OFFSET(COM_2012!$B$60,$AW271,SUMIF($B$10:$B$16,"NCAP_TLIFE",$AX$10:$AX$16)),0,""))</f>
        <v/>
      </c>
      <c r="Q271" s="369" t="str">
        <f ca="1">IF($B271&lt;&gt;"PRC_RESID","",IF(Q$7=2005+OFFSET(COM_2012!$B$60,$AW271,SUMIF($B$10:$B$16,"NCAP_TLIFE",$AX$10:$AX$16)),0,""))</f>
        <v/>
      </c>
      <c r="R271" s="369" t="str">
        <f ca="1">IF($B271&lt;&gt;"PRC_RESID","",IF(R$7=2005+OFFSET(COM_2012!$B$60,$AW271,SUMIF($B$10:$B$16,"NCAP_TLIFE",$AX$10:$AX$16)),0,""))</f>
        <v/>
      </c>
      <c r="S271" s="369" t="str">
        <f ca="1">IF($B271&lt;&gt;"PRC_RESID","",IF(S$7=2005+OFFSET(COM_2012!$B$60,$AW271,SUMIF($B$10:$B$16,"NCAP_TLIFE",$AX$10:$AX$16)),0,""))</f>
        <v/>
      </c>
      <c r="T271" s="369" t="str">
        <f ca="1">IF($B271&lt;&gt;"PRC_RESID","",IF(T$7=2005+OFFSET(COM_2012!$B$60,$AW271,SUMIF($B$10:$B$16,"NCAP_TLIFE",$AX$10:$AX$16)),0,""))</f>
        <v/>
      </c>
      <c r="U271" s="369" t="str">
        <f ca="1">IF($B271&lt;&gt;"PRC_RESID","",IF(U$7=2005+OFFSET(COM_2012!$B$60,$AW271,SUMIF($B$10:$B$16,"NCAP_TLIFE",$AX$10:$AX$16)),0,""))</f>
        <v/>
      </c>
      <c r="V271" s="369" t="str">
        <f ca="1">IF($B271&lt;&gt;"PRC_RESID","",IF(V$7=2005+OFFSET(COM_2012!$B$60,$AW271,SUMIF($B$10:$B$16,"NCAP_TLIFE",$AX$10:$AX$16)),0,""))</f>
        <v/>
      </c>
      <c r="W271" s="369" t="str">
        <f ca="1">IF($B271&lt;&gt;"PRC_RESID","",IF(W$7=2005+OFFSET(COM_2012!$B$60,$AW271,SUMIF($B$10:$B$16,"NCAP_TLIFE",$AX$10:$AX$16)),0,""))</f>
        <v/>
      </c>
      <c r="X271" s="369" t="str">
        <f ca="1">IF($B271&lt;&gt;"PRC_RESID","",IF(X$7=2005+OFFSET(COM_2012!$B$60,$AW271,SUMIF($B$10:$B$16,"NCAP_TLIFE",$AX$10:$AX$16)),0,""))</f>
        <v/>
      </c>
      <c r="Y271" s="369" t="str">
        <f ca="1">IF($B271&lt;&gt;"PRC_RESID","",IF(Y$7=2005+OFFSET(COM_2012!$B$60,$AW271,SUMIF($B$10:$B$16,"NCAP_TLIFE",$AX$10:$AX$16)),0,""))</f>
        <v/>
      </c>
      <c r="Z271" s="369" t="str">
        <f ca="1">IF($B271&lt;&gt;"PRC_RESID","",IF(Z$7=2005+OFFSET(COM_2012!$B$60,$AW271,SUMIF($B$10:$B$16,"NCAP_TLIFE",$AX$10:$AX$16)),0,""))</f>
        <v/>
      </c>
      <c r="AA271" s="369" t="str">
        <f ca="1">IF($B271&lt;&gt;"PRC_RESID","",IF(AA$7=2005+OFFSET(COM_2012!$B$60,$AW271,SUMIF($B$10:$B$16,"NCAP_TLIFE",$AX$10:$AX$16)),0,""))</f>
        <v/>
      </c>
      <c r="AB271" s="369" t="str">
        <f ca="1">IF($B271&lt;&gt;"PRC_RESID","",IF(AB$7=2005+OFFSET(COM_2012!$B$60,$AW271,SUMIF($B$10:$B$16,"NCAP_TLIFE",$AX$10:$AX$16)),0,""))</f>
        <v/>
      </c>
      <c r="AC271" s="369" t="str">
        <f ca="1">IF($B271&lt;&gt;"PRC_RESID","",IF(AC$7=2005+OFFSET(COM_2012!$B$60,$AW271,SUMIF($B$10:$B$16,"NCAP_TLIFE",$AX$10:$AX$16)),0,""))</f>
        <v/>
      </c>
      <c r="AD271" s="369" t="str">
        <f ca="1">IF($B271&lt;&gt;"PRC_RESID","",IF(AD$7=2005+OFFSET(COM_2012!$B$60,$AW271,SUMIF($B$10:$B$16,"NCAP_TLIFE",$AX$10:$AX$16)),0,""))</f>
        <v/>
      </c>
      <c r="AE271" s="369" t="str">
        <f ca="1">IF($B271&lt;&gt;"PRC_RESID","",IF(AE$7=2005+OFFSET(COM_2012!$B$60,$AW271,SUMIF($B$10:$B$16,"NCAP_TLIFE",$AX$10:$AX$16)),0,""))</f>
        <v/>
      </c>
      <c r="AF271" s="369" t="str">
        <f ca="1">IF($B271&lt;&gt;"PRC_RESID","",IF(AF$7=2005+OFFSET(COM_2012!$B$60,$AW271,SUMIF($B$10:$B$16,"NCAP_TLIFE",$AX$10:$AX$16)),0,""))</f>
        <v/>
      </c>
      <c r="AG271" s="369" t="str">
        <f ca="1">IF($B271&lt;&gt;"PRC_RESID","",IF(AG$7=2005+OFFSET(COM_2012!$B$60,$AW271,SUMIF($B$10:$B$16,"NCAP_TLIFE",$AX$10:$AX$16)),0,""))</f>
        <v/>
      </c>
      <c r="AH271" s="369" t="str">
        <f ca="1">IF($B271&lt;&gt;"PRC_RESID","",IF(AH$7=2005+OFFSET(COM_2012!$B$60,$AW271,SUMIF($B$10:$B$16,"NCAP_TLIFE",$AX$10:$AX$16)),0,""))</f>
        <v/>
      </c>
      <c r="AI271" s="369" t="str">
        <f ca="1">IF($B271&lt;&gt;"PRC_RESID","",IF(AI$7=2005+OFFSET(COM_2012!$B$60,$AW271,SUMIF($B$10:$B$16,"NCAP_TLIFE",$AX$10:$AX$16)),0,""))</f>
        <v/>
      </c>
      <c r="AJ271" s="369" t="str">
        <f ca="1">IF($B271&lt;&gt;"PRC_RESID","",IF(AJ$7=2005+OFFSET(COM_2012!$B$60,$AW271,SUMIF($B$10:$B$16,"NCAP_TLIFE",$AX$10:$AX$16)),0,""))</f>
        <v/>
      </c>
      <c r="AK271" s="369" t="str">
        <f ca="1">IF($B271&lt;&gt;"PRC_RESID","",IF(AK$7=2005+OFFSET(COM_2012!$B$60,$AW271,SUMIF($B$10:$B$16,"NCAP_TLIFE",$AX$10:$AX$16)),0,""))</f>
        <v/>
      </c>
      <c r="AL271" s="369" t="str">
        <f ca="1">IF($B271&lt;&gt;"PRC_RESID","",IF(AL$7=2005+OFFSET(COM_2012!$B$60,$AW271,SUMIF($B$10:$B$16,"NCAP_TLIFE",$AX$10:$AX$16)),0,""))</f>
        <v/>
      </c>
      <c r="AM271" s="369" t="str">
        <f ca="1">IF($B271&lt;&gt;"PRC_RESID","",IF(AM$7=2005+OFFSET(COM_2012!$B$60,$AW271,SUMIF($B$10:$B$16,"NCAP_TLIFE",$AX$10:$AX$16)),0,""))</f>
        <v/>
      </c>
      <c r="AN271" s="369" t="str">
        <f ca="1">IF($B271&lt;&gt;"PRC_RESID","",IF(AN$7=2005+OFFSET(COM_2012!$B$60,$AW271,SUMIF($B$10:$B$16,"NCAP_TLIFE",$AX$10:$AX$16)),0,""))</f>
        <v/>
      </c>
      <c r="AO271" s="369" t="str">
        <f ca="1">IF($B271&lt;&gt;"PRC_RESID","",IF(AO$7=2005+OFFSET(COM_2012!$B$60,$AW271,SUMIF($B$10:$B$16,"NCAP_TLIFE",$AX$10:$AX$16)),0,""))</f>
        <v/>
      </c>
      <c r="AP271" s="369" t="str">
        <f ca="1">IF($B271&lt;&gt;"PRC_RESID","",IF(AP$7=2005+OFFSET(COM_2012!$B$60,$AW271,SUMIF($B$10:$B$16,"NCAP_TLIFE",$AX$10:$AX$16)),0,""))</f>
        <v/>
      </c>
      <c r="AQ271" s="369" t="str">
        <f ca="1">IF($B271&lt;&gt;"PRC_RESID","",IF(AQ$7=2005+OFFSET(COM_2012!$B$60,$AW271,SUMIF($B$10:$B$16,"NCAP_TLIFE",$AX$10:$AX$16)),0,""))</f>
        <v/>
      </c>
      <c r="AR271" s="369" t="str">
        <f ca="1">IF($B271&lt;&gt;"PRC_RESID","",IF(AR$7=2005+OFFSET(COM_2012!$B$60,$AW271,SUMIF($B$10:$B$16,"NCAP_TLIFE",$AX$10:$AX$16)),0,""))</f>
        <v/>
      </c>
      <c r="AS271" s="369" t="str">
        <f ca="1">IF($B271&lt;&gt;"PRC_RESID","",IF(AS$7=2005+OFFSET(COM_2012!$B$60,$AW271,SUMIF($B$10:$B$16,"NCAP_TLIFE",$AX$10:$AX$16)),0,""))</f>
        <v/>
      </c>
      <c r="AT271" s="369" t="str">
        <f ca="1">IF($B271&lt;&gt;"PRC_RESID","",IF(AT$7=2005+OFFSET(COM_2012!$B$60,$AW271,SUMIF($B$10:$B$16,"NCAP_TLIFE",$AX$10:$AX$16)),0,""))</f>
        <v/>
      </c>
      <c r="AU271" s="369" t="str">
        <f ca="1">IF($B271&lt;&gt;"PRC_RESID","",IF(AU$7=2005+OFFSET(COM_2012!$B$60,$AW271,SUMIF($B$10:$B$16,"NCAP_TLIFE",$AX$10:$AX$16)),0,""))</f>
        <v/>
      </c>
      <c r="AV271" s="304">
        <f>IF(AW270=COM_2012!$AI$121,AV270+1,AV270)</f>
        <v>4</v>
      </c>
      <c r="AW271" s="304">
        <f t="shared" si="23"/>
        <v>61</v>
      </c>
    </row>
    <row r="272" spans="1:49">
      <c r="A272" s="304" t="str">
        <f ca="1">IF(LEFT(OFFSET(COM_2012!$A$60,AW272,0),2)="\I","*","")</f>
        <v/>
      </c>
      <c r="B272" s="369" t="str">
        <f t="shared" ca="1" si="22"/>
        <v>NCAP_FOM</v>
      </c>
      <c r="C272" s="369" t="str">
        <f ca="1">IF($A272="*","",OFFSET(COM_2012!$B$60,AW272,0))</f>
        <v>CECELCCHIL-E</v>
      </c>
      <c r="D272" s="369" t="str">
        <f t="shared" ca="1" si="26"/>
        <v>-</v>
      </c>
      <c r="E272" s="369" t="str">
        <f t="shared" ca="1" si="26"/>
        <v>-</v>
      </c>
      <c r="F272" s="369" t="str">
        <f t="shared" ca="1" si="26"/>
        <v>-</v>
      </c>
      <c r="G272" s="369" t="str">
        <f t="shared" ca="1" si="26"/>
        <v>-</v>
      </c>
      <c r="H272" s="369" t="str">
        <f t="shared" ca="1" si="26"/>
        <v>-</v>
      </c>
      <c r="I272" s="370">
        <f t="shared" ca="1" si="26"/>
        <v>0</v>
      </c>
      <c r="J272" s="391">
        <f ca="1">IF($A272="*","",OFFSET(COM_2012!$B$60,AW272,SUMIF($B$10:$B$16,B272,$AX$10:$AX$16)))</f>
        <v>5.4310780405383028</v>
      </c>
      <c r="K272" s="369" t="str">
        <f ca="1">IF($B272&lt;&gt;"PRC_RESID","",IF(K$7=2005+OFFSET(COM_2012!$B$60,$AW272,SUMIF($B$10:$B$16,"NCAP_TLIFE",$AX$10:$AX$16)),0,""))</f>
        <v/>
      </c>
      <c r="L272" s="369" t="str">
        <f ca="1">IF($B272&lt;&gt;"PRC_RESID","",IF(L$7=2005+OFFSET(COM_2012!$B$60,$AW272,SUMIF($B$10:$B$16,"NCAP_TLIFE",$AX$10:$AX$16)),0,""))</f>
        <v/>
      </c>
      <c r="M272" s="369" t="str">
        <f ca="1">IF($B272&lt;&gt;"PRC_RESID","",IF(M$7=2005+OFFSET(COM_2012!$B$60,$AW272,SUMIF($B$10:$B$16,"NCAP_TLIFE",$AX$10:$AX$16)),0,""))</f>
        <v/>
      </c>
      <c r="N272" s="369" t="str">
        <f ca="1">IF($B272&lt;&gt;"PRC_RESID","",IF(N$7=2005+OFFSET(COM_2012!$B$60,$AW272,SUMIF($B$10:$B$16,"NCAP_TLIFE",$AX$10:$AX$16)),0,""))</f>
        <v/>
      </c>
      <c r="O272" s="658" t="str">
        <f ca="1">IF($B272&lt;&gt;"PRC_RESID","",IF(O$7=2005+OFFSET(COM_2012!$B$60,$AW272,SUMIF($B$10:$B$16,"NCAP_TLIFE",$AX$10:$AX$16)),0,""))</f>
        <v/>
      </c>
      <c r="P272" s="369" t="str">
        <f ca="1">IF($B272&lt;&gt;"PRC_RESID","",IF(P$7=2005+OFFSET(COM_2012!$B$60,$AW272,SUMIF($B$10:$B$16,"NCAP_TLIFE",$AX$10:$AX$16)),0,""))</f>
        <v/>
      </c>
      <c r="Q272" s="369" t="str">
        <f ca="1">IF($B272&lt;&gt;"PRC_RESID","",IF(Q$7=2005+OFFSET(COM_2012!$B$60,$AW272,SUMIF($B$10:$B$16,"NCAP_TLIFE",$AX$10:$AX$16)),0,""))</f>
        <v/>
      </c>
      <c r="R272" s="369" t="str">
        <f ca="1">IF($B272&lt;&gt;"PRC_RESID","",IF(R$7=2005+OFFSET(COM_2012!$B$60,$AW272,SUMIF($B$10:$B$16,"NCAP_TLIFE",$AX$10:$AX$16)),0,""))</f>
        <v/>
      </c>
      <c r="S272" s="369" t="str">
        <f ca="1">IF($B272&lt;&gt;"PRC_RESID","",IF(S$7=2005+OFFSET(COM_2012!$B$60,$AW272,SUMIF($B$10:$B$16,"NCAP_TLIFE",$AX$10:$AX$16)),0,""))</f>
        <v/>
      </c>
      <c r="T272" s="369" t="str">
        <f ca="1">IF($B272&lt;&gt;"PRC_RESID","",IF(T$7=2005+OFFSET(COM_2012!$B$60,$AW272,SUMIF($B$10:$B$16,"NCAP_TLIFE",$AX$10:$AX$16)),0,""))</f>
        <v/>
      </c>
      <c r="U272" s="369" t="str">
        <f ca="1">IF($B272&lt;&gt;"PRC_RESID","",IF(U$7=2005+OFFSET(COM_2012!$B$60,$AW272,SUMIF($B$10:$B$16,"NCAP_TLIFE",$AX$10:$AX$16)),0,""))</f>
        <v/>
      </c>
      <c r="V272" s="369" t="str">
        <f ca="1">IF($B272&lt;&gt;"PRC_RESID","",IF(V$7=2005+OFFSET(COM_2012!$B$60,$AW272,SUMIF($B$10:$B$16,"NCAP_TLIFE",$AX$10:$AX$16)),0,""))</f>
        <v/>
      </c>
      <c r="W272" s="369" t="str">
        <f ca="1">IF($B272&lt;&gt;"PRC_RESID","",IF(W$7=2005+OFFSET(COM_2012!$B$60,$AW272,SUMIF($B$10:$B$16,"NCAP_TLIFE",$AX$10:$AX$16)),0,""))</f>
        <v/>
      </c>
      <c r="X272" s="369" t="str">
        <f ca="1">IF($B272&lt;&gt;"PRC_RESID","",IF(X$7=2005+OFFSET(COM_2012!$B$60,$AW272,SUMIF($B$10:$B$16,"NCAP_TLIFE",$AX$10:$AX$16)),0,""))</f>
        <v/>
      </c>
      <c r="Y272" s="369" t="str">
        <f ca="1">IF($B272&lt;&gt;"PRC_RESID","",IF(Y$7=2005+OFFSET(COM_2012!$B$60,$AW272,SUMIF($B$10:$B$16,"NCAP_TLIFE",$AX$10:$AX$16)),0,""))</f>
        <v/>
      </c>
      <c r="Z272" s="369" t="str">
        <f ca="1">IF($B272&lt;&gt;"PRC_RESID","",IF(Z$7=2005+OFFSET(COM_2012!$B$60,$AW272,SUMIF($B$10:$B$16,"NCAP_TLIFE",$AX$10:$AX$16)),0,""))</f>
        <v/>
      </c>
      <c r="AA272" s="369" t="str">
        <f ca="1">IF($B272&lt;&gt;"PRC_RESID","",IF(AA$7=2005+OFFSET(COM_2012!$B$60,$AW272,SUMIF($B$10:$B$16,"NCAP_TLIFE",$AX$10:$AX$16)),0,""))</f>
        <v/>
      </c>
      <c r="AB272" s="369" t="str">
        <f ca="1">IF($B272&lt;&gt;"PRC_RESID","",IF(AB$7=2005+OFFSET(COM_2012!$B$60,$AW272,SUMIF($B$10:$B$16,"NCAP_TLIFE",$AX$10:$AX$16)),0,""))</f>
        <v/>
      </c>
      <c r="AC272" s="369" t="str">
        <f ca="1">IF($B272&lt;&gt;"PRC_RESID","",IF(AC$7=2005+OFFSET(COM_2012!$B$60,$AW272,SUMIF($B$10:$B$16,"NCAP_TLIFE",$AX$10:$AX$16)),0,""))</f>
        <v/>
      </c>
      <c r="AD272" s="369" t="str">
        <f ca="1">IF($B272&lt;&gt;"PRC_RESID","",IF(AD$7=2005+OFFSET(COM_2012!$B$60,$AW272,SUMIF($B$10:$B$16,"NCAP_TLIFE",$AX$10:$AX$16)),0,""))</f>
        <v/>
      </c>
      <c r="AE272" s="369" t="str">
        <f ca="1">IF($B272&lt;&gt;"PRC_RESID","",IF(AE$7=2005+OFFSET(COM_2012!$B$60,$AW272,SUMIF($B$10:$B$16,"NCAP_TLIFE",$AX$10:$AX$16)),0,""))</f>
        <v/>
      </c>
      <c r="AF272" s="369" t="str">
        <f ca="1">IF($B272&lt;&gt;"PRC_RESID","",IF(AF$7=2005+OFFSET(COM_2012!$B$60,$AW272,SUMIF($B$10:$B$16,"NCAP_TLIFE",$AX$10:$AX$16)),0,""))</f>
        <v/>
      </c>
      <c r="AG272" s="369" t="str">
        <f ca="1">IF($B272&lt;&gt;"PRC_RESID","",IF(AG$7=2005+OFFSET(COM_2012!$B$60,$AW272,SUMIF($B$10:$B$16,"NCAP_TLIFE",$AX$10:$AX$16)),0,""))</f>
        <v/>
      </c>
      <c r="AH272" s="369" t="str">
        <f ca="1">IF($B272&lt;&gt;"PRC_RESID","",IF(AH$7=2005+OFFSET(COM_2012!$B$60,$AW272,SUMIF($B$10:$B$16,"NCAP_TLIFE",$AX$10:$AX$16)),0,""))</f>
        <v/>
      </c>
      <c r="AI272" s="369" t="str">
        <f ca="1">IF($B272&lt;&gt;"PRC_RESID","",IF(AI$7=2005+OFFSET(COM_2012!$B$60,$AW272,SUMIF($B$10:$B$16,"NCAP_TLIFE",$AX$10:$AX$16)),0,""))</f>
        <v/>
      </c>
      <c r="AJ272" s="369" t="str">
        <f ca="1">IF($B272&lt;&gt;"PRC_RESID","",IF(AJ$7=2005+OFFSET(COM_2012!$B$60,$AW272,SUMIF($B$10:$B$16,"NCAP_TLIFE",$AX$10:$AX$16)),0,""))</f>
        <v/>
      </c>
      <c r="AK272" s="369" t="str">
        <f ca="1">IF($B272&lt;&gt;"PRC_RESID","",IF(AK$7=2005+OFFSET(COM_2012!$B$60,$AW272,SUMIF($B$10:$B$16,"NCAP_TLIFE",$AX$10:$AX$16)),0,""))</f>
        <v/>
      </c>
      <c r="AL272" s="369" t="str">
        <f ca="1">IF($B272&lt;&gt;"PRC_RESID","",IF(AL$7=2005+OFFSET(COM_2012!$B$60,$AW272,SUMIF($B$10:$B$16,"NCAP_TLIFE",$AX$10:$AX$16)),0,""))</f>
        <v/>
      </c>
      <c r="AM272" s="369" t="str">
        <f ca="1">IF($B272&lt;&gt;"PRC_RESID","",IF(AM$7=2005+OFFSET(COM_2012!$B$60,$AW272,SUMIF($B$10:$B$16,"NCAP_TLIFE",$AX$10:$AX$16)),0,""))</f>
        <v/>
      </c>
      <c r="AN272" s="369" t="str">
        <f ca="1">IF($B272&lt;&gt;"PRC_RESID","",IF(AN$7=2005+OFFSET(COM_2012!$B$60,$AW272,SUMIF($B$10:$B$16,"NCAP_TLIFE",$AX$10:$AX$16)),0,""))</f>
        <v/>
      </c>
      <c r="AO272" s="369" t="str">
        <f ca="1">IF($B272&lt;&gt;"PRC_RESID","",IF(AO$7=2005+OFFSET(COM_2012!$B$60,$AW272,SUMIF($B$10:$B$16,"NCAP_TLIFE",$AX$10:$AX$16)),0,""))</f>
        <v/>
      </c>
      <c r="AP272" s="369" t="str">
        <f ca="1">IF($B272&lt;&gt;"PRC_RESID","",IF(AP$7=2005+OFFSET(COM_2012!$B$60,$AW272,SUMIF($B$10:$B$16,"NCAP_TLIFE",$AX$10:$AX$16)),0,""))</f>
        <v/>
      </c>
      <c r="AQ272" s="369" t="str">
        <f ca="1">IF($B272&lt;&gt;"PRC_RESID","",IF(AQ$7=2005+OFFSET(COM_2012!$B$60,$AW272,SUMIF($B$10:$B$16,"NCAP_TLIFE",$AX$10:$AX$16)),0,""))</f>
        <v/>
      </c>
      <c r="AR272" s="369" t="str">
        <f ca="1">IF($B272&lt;&gt;"PRC_RESID","",IF(AR$7=2005+OFFSET(COM_2012!$B$60,$AW272,SUMIF($B$10:$B$16,"NCAP_TLIFE",$AX$10:$AX$16)),0,""))</f>
        <v/>
      </c>
      <c r="AS272" s="369" t="str">
        <f ca="1">IF($B272&lt;&gt;"PRC_RESID","",IF(AS$7=2005+OFFSET(COM_2012!$B$60,$AW272,SUMIF($B$10:$B$16,"NCAP_TLIFE",$AX$10:$AX$16)),0,""))</f>
        <v/>
      </c>
      <c r="AT272" s="369" t="str">
        <f ca="1">IF($B272&lt;&gt;"PRC_RESID","",IF(AT$7=2005+OFFSET(COM_2012!$B$60,$AW272,SUMIF($B$10:$B$16,"NCAP_TLIFE",$AX$10:$AX$16)),0,""))</f>
        <v/>
      </c>
      <c r="AU272" s="369" t="str">
        <f ca="1">IF($B272&lt;&gt;"PRC_RESID","",IF(AU$7=2005+OFFSET(COM_2012!$B$60,$AW272,SUMIF($B$10:$B$16,"NCAP_TLIFE",$AX$10:$AX$16)),0,""))</f>
        <v/>
      </c>
      <c r="AV272" s="304">
        <f>IF(AW271=COM_2012!$AI$121,AV271+1,AV271)</f>
        <v>5</v>
      </c>
      <c r="AW272" s="304">
        <f t="shared" si="23"/>
        <v>1</v>
      </c>
    </row>
    <row r="273" spans="1:49">
      <c r="A273" s="304" t="str">
        <f ca="1">IF(LEFT(OFFSET(COM_2012!$A$60,AW273,0),2)="\I","*","")</f>
        <v/>
      </c>
      <c r="B273" s="369" t="str">
        <f t="shared" ca="1" si="22"/>
        <v>NCAP_FOM</v>
      </c>
      <c r="C273" s="369" t="str">
        <f ca="1">IF($A273="*","",OFFSET(COM_2012!$B$60,AW273,0))</f>
        <v>CECELCCEN-E</v>
      </c>
      <c r="D273" s="369" t="str">
        <f t="shared" ca="1" si="26"/>
        <v>-</v>
      </c>
      <c r="E273" s="369" t="str">
        <f t="shared" ca="1" si="26"/>
        <v>-</v>
      </c>
      <c r="F273" s="369" t="str">
        <f t="shared" ca="1" si="26"/>
        <v>-</v>
      </c>
      <c r="G273" s="369" t="str">
        <f t="shared" ca="1" si="26"/>
        <v>-</v>
      </c>
      <c r="H273" s="369" t="str">
        <f t="shared" ca="1" si="26"/>
        <v>-</v>
      </c>
      <c r="I273" s="370">
        <f t="shared" ca="1" si="26"/>
        <v>0</v>
      </c>
      <c r="J273" s="391">
        <f ca="1">IF($A273="*","",OFFSET(COM_2012!$B$60,AW273,SUMIF($B$10:$B$16,B273,$AX$10:$AX$16)))</f>
        <v>9.1486415772278153</v>
      </c>
      <c r="K273" s="369" t="str">
        <f ca="1">IF($B273&lt;&gt;"PRC_RESID","",IF(K$7=2005+OFFSET(COM_2012!$B$60,$AW273,SUMIF($B$10:$B$16,"NCAP_TLIFE",$AX$10:$AX$16)),0,""))</f>
        <v/>
      </c>
      <c r="L273" s="369" t="str">
        <f ca="1">IF($B273&lt;&gt;"PRC_RESID","",IF(L$7=2005+OFFSET(COM_2012!$B$60,$AW273,SUMIF($B$10:$B$16,"NCAP_TLIFE",$AX$10:$AX$16)),0,""))</f>
        <v/>
      </c>
      <c r="M273" s="369" t="str">
        <f ca="1">IF($B273&lt;&gt;"PRC_RESID","",IF(M$7=2005+OFFSET(COM_2012!$B$60,$AW273,SUMIF($B$10:$B$16,"NCAP_TLIFE",$AX$10:$AX$16)),0,""))</f>
        <v/>
      </c>
      <c r="N273" s="369" t="str">
        <f ca="1">IF($B273&lt;&gt;"PRC_RESID","",IF(N$7=2005+OFFSET(COM_2012!$B$60,$AW273,SUMIF($B$10:$B$16,"NCAP_TLIFE",$AX$10:$AX$16)),0,""))</f>
        <v/>
      </c>
      <c r="O273" s="658" t="str">
        <f ca="1">IF($B273&lt;&gt;"PRC_RESID","",IF(O$7=2005+OFFSET(COM_2012!$B$60,$AW273,SUMIF($B$10:$B$16,"NCAP_TLIFE",$AX$10:$AX$16)),0,""))</f>
        <v/>
      </c>
      <c r="P273" s="369" t="str">
        <f ca="1">IF($B273&lt;&gt;"PRC_RESID","",IF(P$7=2005+OFFSET(COM_2012!$B$60,$AW273,SUMIF($B$10:$B$16,"NCAP_TLIFE",$AX$10:$AX$16)),0,""))</f>
        <v/>
      </c>
      <c r="Q273" s="369" t="str">
        <f ca="1">IF($B273&lt;&gt;"PRC_RESID","",IF(Q$7=2005+OFFSET(COM_2012!$B$60,$AW273,SUMIF($B$10:$B$16,"NCAP_TLIFE",$AX$10:$AX$16)),0,""))</f>
        <v/>
      </c>
      <c r="R273" s="369" t="str">
        <f ca="1">IF($B273&lt;&gt;"PRC_RESID","",IF(R$7=2005+OFFSET(COM_2012!$B$60,$AW273,SUMIF($B$10:$B$16,"NCAP_TLIFE",$AX$10:$AX$16)),0,""))</f>
        <v/>
      </c>
      <c r="S273" s="369" t="str">
        <f ca="1">IF($B273&lt;&gt;"PRC_RESID","",IF(S$7=2005+OFFSET(COM_2012!$B$60,$AW273,SUMIF($B$10:$B$16,"NCAP_TLIFE",$AX$10:$AX$16)),0,""))</f>
        <v/>
      </c>
      <c r="T273" s="369" t="str">
        <f ca="1">IF($B273&lt;&gt;"PRC_RESID","",IF(T$7=2005+OFFSET(COM_2012!$B$60,$AW273,SUMIF($B$10:$B$16,"NCAP_TLIFE",$AX$10:$AX$16)),0,""))</f>
        <v/>
      </c>
      <c r="U273" s="369" t="str">
        <f ca="1">IF($B273&lt;&gt;"PRC_RESID","",IF(U$7=2005+OFFSET(COM_2012!$B$60,$AW273,SUMIF($B$10:$B$16,"NCAP_TLIFE",$AX$10:$AX$16)),0,""))</f>
        <v/>
      </c>
      <c r="V273" s="369" t="str">
        <f ca="1">IF($B273&lt;&gt;"PRC_RESID","",IF(V$7=2005+OFFSET(COM_2012!$B$60,$AW273,SUMIF($B$10:$B$16,"NCAP_TLIFE",$AX$10:$AX$16)),0,""))</f>
        <v/>
      </c>
      <c r="W273" s="369" t="str">
        <f ca="1">IF($B273&lt;&gt;"PRC_RESID","",IF(W$7=2005+OFFSET(COM_2012!$B$60,$AW273,SUMIF($B$10:$B$16,"NCAP_TLIFE",$AX$10:$AX$16)),0,""))</f>
        <v/>
      </c>
      <c r="X273" s="369" t="str">
        <f ca="1">IF($B273&lt;&gt;"PRC_RESID","",IF(X$7=2005+OFFSET(COM_2012!$B$60,$AW273,SUMIF($B$10:$B$16,"NCAP_TLIFE",$AX$10:$AX$16)),0,""))</f>
        <v/>
      </c>
      <c r="Y273" s="369" t="str">
        <f ca="1">IF($B273&lt;&gt;"PRC_RESID","",IF(Y$7=2005+OFFSET(COM_2012!$B$60,$AW273,SUMIF($B$10:$B$16,"NCAP_TLIFE",$AX$10:$AX$16)),0,""))</f>
        <v/>
      </c>
      <c r="Z273" s="369" t="str">
        <f ca="1">IF($B273&lt;&gt;"PRC_RESID","",IF(Z$7=2005+OFFSET(COM_2012!$B$60,$AW273,SUMIF($B$10:$B$16,"NCAP_TLIFE",$AX$10:$AX$16)),0,""))</f>
        <v/>
      </c>
      <c r="AA273" s="369" t="str">
        <f ca="1">IF($B273&lt;&gt;"PRC_RESID","",IF(AA$7=2005+OFFSET(COM_2012!$B$60,$AW273,SUMIF($B$10:$B$16,"NCAP_TLIFE",$AX$10:$AX$16)),0,""))</f>
        <v/>
      </c>
      <c r="AB273" s="369" t="str">
        <f ca="1">IF($B273&lt;&gt;"PRC_RESID","",IF(AB$7=2005+OFFSET(COM_2012!$B$60,$AW273,SUMIF($B$10:$B$16,"NCAP_TLIFE",$AX$10:$AX$16)),0,""))</f>
        <v/>
      </c>
      <c r="AC273" s="369" t="str">
        <f ca="1">IF($B273&lt;&gt;"PRC_RESID","",IF(AC$7=2005+OFFSET(COM_2012!$B$60,$AW273,SUMIF($B$10:$B$16,"NCAP_TLIFE",$AX$10:$AX$16)),0,""))</f>
        <v/>
      </c>
      <c r="AD273" s="369" t="str">
        <f ca="1">IF($B273&lt;&gt;"PRC_RESID","",IF(AD$7=2005+OFFSET(COM_2012!$B$60,$AW273,SUMIF($B$10:$B$16,"NCAP_TLIFE",$AX$10:$AX$16)),0,""))</f>
        <v/>
      </c>
      <c r="AE273" s="369" t="str">
        <f ca="1">IF($B273&lt;&gt;"PRC_RESID","",IF(AE$7=2005+OFFSET(COM_2012!$B$60,$AW273,SUMIF($B$10:$B$16,"NCAP_TLIFE",$AX$10:$AX$16)),0,""))</f>
        <v/>
      </c>
      <c r="AF273" s="369" t="str">
        <f ca="1">IF($B273&lt;&gt;"PRC_RESID","",IF(AF$7=2005+OFFSET(COM_2012!$B$60,$AW273,SUMIF($B$10:$B$16,"NCAP_TLIFE",$AX$10:$AX$16)),0,""))</f>
        <v/>
      </c>
      <c r="AG273" s="369" t="str">
        <f ca="1">IF($B273&lt;&gt;"PRC_RESID","",IF(AG$7=2005+OFFSET(COM_2012!$B$60,$AW273,SUMIF($B$10:$B$16,"NCAP_TLIFE",$AX$10:$AX$16)),0,""))</f>
        <v/>
      </c>
      <c r="AH273" s="369" t="str">
        <f ca="1">IF($B273&lt;&gt;"PRC_RESID","",IF(AH$7=2005+OFFSET(COM_2012!$B$60,$AW273,SUMIF($B$10:$B$16,"NCAP_TLIFE",$AX$10:$AX$16)),0,""))</f>
        <v/>
      </c>
      <c r="AI273" s="369" t="str">
        <f ca="1">IF($B273&lt;&gt;"PRC_RESID","",IF(AI$7=2005+OFFSET(COM_2012!$B$60,$AW273,SUMIF($B$10:$B$16,"NCAP_TLIFE",$AX$10:$AX$16)),0,""))</f>
        <v/>
      </c>
      <c r="AJ273" s="369" t="str">
        <f ca="1">IF($B273&lt;&gt;"PRC_RESID","",IF(AJ$7=2005+OFFSET(COM_2012!$B$60,$AW273,SUMIF($B$10:$B$16,"NCAP_TLIFE",$AX$10:$AX$16)),0,""))</f>
        <v/>
      </c>
      <c r="AK273" s="369" t="str">
        <f ca="1">IF($B273&lt;&gt;"PRC_RESID","",IF(AK$7=2005+OFFSET(COM_2012!$B$60,$AW273,SUMIF($B$10:$B$16,"NCAP_TLIFE",$AX$10:$AX$16)),0,""))</f>
        <v/>
      </c>
      <c r="AL273" s="369" t="str">
        <f ca="1">IF($B273&lt;&gt;"PRC_RESID","",IF(AL$7=2005+OFFSET(COM_2012!$B$60,$AW273,SUMIF($B$10:$B$16,"NCAP_TLIFE",$AX$10:$AX$16)),0,""))</f>
        <v/>
      </c>
      <c r="AM273" s="369" t="str">
        <f ca="1">IF($B273&lt;&gt;"PRC_RESID","",IF(AM$7=2005+OFFSET(COM_2012!$B$60,$AW273,SUMIF($B$10:$B$16,"NCAP_TLIFE",$AX$10:$AX$16)),0,""))</f>
        <v/>
      </c>
      <c r="AN273" s="369" t="str">
        <f ca="1">IF($B273&lt;&gt;"PRC_RESID","",IF(AN$7=2005+OFFSET(COM_2012!$B$60,$AW273,SUMIF($B$10:$B$16,"NCAP_TLIFE",$AX$10:$AX$16)),0,""))</f>
        <v/>
      </c>
      <c r="AO273" s="369" t="str">
        <f ca="1">IF($B273&lt;&gt;"PRC_RESID","",IF(AO$7=2005+OFFSET(COM_2012!$B$60,$AW273,SUMIF($B$10:$B$16,"NCAP_TLIFE",$AX$10:$AX$16)),0,""))</f>
        <v/>
      </c>
      <c r="AP273" s="369" t="str">
        <f ca="1">IF($B273&lt;&gt;"PRC_RESID","",IF(AP$7=2005+OFFSET(COM_2012!$B$60,$AW273,SUMIF($B$10:$B$16,"NCAP_TLIFE",$AX$10:$AX$16)),0,""))</f>
        <v/>
      </c>
      <c r="AQ273" s="369" t="str">
        <f ca="1">IF($B273&lt;&gt;"PRC_RESID","",IF(AQ$7=2005+OFFSET(COM_2012!$B$60,$AW273,SUMIF($B$10:$B$16,"NCAP_TLIFE",$AX$10:$AX$16)),0,""))</f>
        <v/>
      </c>
      <c r="AR273" s="369" t="str">
        <f ca="1">IF($B273&lt;&gt;"PRC_RESID","",IF(AR$7=2005+OFFSET(COM_2012!$B$60,$AW273,SUMIF($B$10:$B$16,"NCAP_TLIFE",$AX$10:$AX$16)),0,""))</f>
        <v/>
      </c>
      <c r="AS273" s="369" t="str">
        <f ca="1">IF($B273&lt;&gt;"PRC_RESID","",IF(AS$7=2005+OFFSET(COM_2012!$B$60,$AW273,SUMIF($B$10:$B$16,"NCAP_TLIFE",$AX$10:$AX$16)),0,""))</f>
        <v/>
      </c>
      <c r="AT273" s="369" t="str">
        <f ca="1">IF($B273&lt;&gt;"PRC_RESID","",IF(AT$7=2005+OFFSET(COM_2012!$B$60,$AW273,SUMIF($B$10:$B$16,"NCAP_TLIFE",$AX$10:$AX$16)),0,""))</f>
        <v/>
      </c>
      <c r="AU273" s="369" t="str">
        <f ca="1">IF($B273&lt;&gt;"PRC_RESID","",IF(AU$7=2005+OFFSET(COM_2012!$B$60,$AW273,SUMIF($B$10:$B$16,"NCAP_TLIFE",$AX$10:$AX$16)),0,""))</f>
        <v/>
      </c>
      <c r="AV273" s="304">
        <f>IF(AW272=COM_2012!$AI$121,AV272+1,AV272)</f>
        <v>5</v>
      </c>
      <c r="AW273" s="304">
        <f t="shared" si="23"/>
        <v>2</v>
      </c>
    </row>
    <row r="274" spans="1:49">
      <c r="A274" s="304" t="str">
        <f ca="1">IF(LEFT(OFFSET(COM_2012!$A$60,AW274,0),2)="\I","*","")</f>
        <v/>
      </c>
      <c r="B274" s="369" t="str">
        <f t="shared" ca="1" si="22"/>
        <v>NCAP_FOM</v>
      </c>
      <c r="C274" s="369" t="str">
        <f ca="1">IF($A274="*","",OFFSET(COM_2012!$B$60,AW274,0))</f>
        <v>CECELCHP-E</v>
      </c>
      <c r="D274" s="369" t="str">
        <f t="shared" ca="1" si="26"/>
        <v>-</v>
      </c>
      <c r="E274" s="369" t="str">
        <f t="shared" ca="1" si="26"/>
        <v>-</v>
      </c>
      <c r="F274" s="369" t="str">
        <f t="shared" ca="1" si="26"/>
        <v>-</v>
      </c>
      <c r="G274" s="369" t="str">
        <f t="shared" ca="1" si="26"/>
        <v>-</v>
      </c>
      <c r="H274" s="369" t="str">
        <f t="shared" ca="1" si="26"/>
        <v>-</v>
      </c>
      <c r="I274" s="370">
        <f t="shared" ca="1" si="26"/>
        <v>0</v>
      </c>
      <c r="J274" s="391">
        <f ca="1">IF($A274="*","",OFFSET(COM_2012!$B$60,AW274,SUMIF($B$10:$B$16,B274,$AX$10:$AX$16)))</f>
        <v>11.89645075632396</v>
      </c>
      <c r="K274" s="369" t="str">
        <f ca="1">IF($B274&lt;&gt;"PRC_RESID","",IF(K$7=2005+OFFSET(COM_2012!$B$60,$AW274,SUMIF($B$10:$B$16,"NCAP_TLIFE",$AX$10:$AX$16)),0,""))</f>
        <v/>
      </c>
      <c r="L274" s="369" t="str">
        <f ca="1">IF($B274&lt;&gt;"PRC_RESID","",IF(L$7=2005+OFFSET(COM_2012!$B$60,$AW274,SUMIF($B$10:$B$16,"NCAP_TLIFE",$AX$10:$AX$16)),0,""))</f>
        <v/>
      </c>
      <c r="M274" s="369" t="str">
        <f ca="1">IF($B274&lt;&gt;"PRC_RESID","",IF(M$7=2005+OFFSET(COM_2012!$B$60,$AW274,SUMIF($B$10:$B$16,"NCAP_TLIFE",$AX$10:$AX$16)),0,""))</f>
        <v/>
      </c>
      <c r="N274" s="369" t="str">
        <f ca="1">IF($B274&lt;&gt;"PRC_RESID","",IF(N$7=2005+OFFSET(COM_2012!$B$60,$AW274,SUMIF($B$10:$B$16,"NCAP_TLIFE",$AX$10:$AX$16)),0,""))</f>
        <v/>
      </c>
      <c r="O274" s="658" t="str">
        <f ca="1">IF($B274&lt;&gt;"PRC_RESID","",IF(O$7=2005+OFFSET(COM_2012!$B$60,$AW274,SUMIF($B$10:$B$16,"NCAP_TLIFE",$AX$10:$AX$16)),0,""))</f>
        <v/>
      </c>
      <c r="P274" s="369" t="str">
        <f ca="1">IF($B274&lt;&gt;"PRC_RESID","",IF(P$7=2005+OFFSET(COM_2012!$B$60,$AW274,SUMIF($B$10:$B$16,"NCAP_TLIFE",$AX$10:$AX$16)),0,""))</f>
        <v/>
      </c>
      <c r="Q274" s="369" t="str">
        <f ca="1">IF($B274&lt;&gt;"PRC_RESID","",IF(Q$7=2005+OFFSET(COM_2012!$B$60,$AW274,SUMIF($B$10:$B$16,"NCAP_TLIFE",$AX$10:$AX$16)),0,""))</f>
        <v/>
      </c>
      <c r="R274" s="369" t="str">
        <f ca="1">IF($B274&lt;&gt;"PRC_RESID","",IF(R$7=2005+OFFSET(COM_2012!$B$60,$AW274,SUMIF($B$10:$B$16,"NCAP_TLIFE",$AX$10:$AX$16)),0,""))</f>
        <v/>
      </c>
      <c r="S274" s="369" t="str">
        <f ca="1">IF($B274&lt;&gt;"PRC_RESID","",IF(S$7=2005+OFFSET(COM_2012!$B$60,$AW274,SUMIF($B$10:$B$16,"NCAP_TLIFE",$AX$10:$AX$16)),0,""))</f>
        <v/>
      </c>
      <c r="T274" s="369" t="str">
        <f ca="1">IF($B274&lt;&gt;"PRC_RESID","",IF(T$7=2005+OFFSET(COM_2012!$B$60,$AW274,SUMIF($B$10:$B$16,"NCAP_TLIFE",$AX$10:$AX$16)),0,""))</f>
        <v/>
      </c>
      <c r="U274" s="369" t="str">
        <f ca="1">IF($B274&lt;&gt;"PRC_RESID","",IF(U$7=2005+OFFSET(COM_2012!$B$60,$AW274,SUMIF($B$10:$B$16,"NCAP_TLIFE",$AX$10:$AX$16)),0,""))</f>
        <v/>
      </c>
      <c r="V274" s="369" t="str">
        <f ca="1">IF($B274&lt;&gt;"PRC_RESID","",IF(V$7=2005+OFFSET(COM_2012!$B$60,$AW274,SUMIF($B$10:$B$16,"NCAP_TLIFE",$AX$10:$AX$16)),0,""))</f>
        <v/>
      </c>
      <c r="W274" s="369" t="str">
        <f ca="1">IF($B274&lt;&gt;"PRC_RESID","",IF(W$7=2005+OFFSET(COM_2012!$B$60,$AW274,SUMIF($B$10:$B$16,"NCAP_TLIFE",$AX$10:$AX$16)),0,""))</f>
        <v/>
      </c>
      <c r="X274" s="369" t="str">
        <f ca="1">IF($B274&lt;&gt;"PRC_RESID","",IF(X$7=2005+OFFSET(COM_2012!$B$60,$AW274,SUMIF($B$10:$B$16,"NCAP_TLIFE",$AX$10:$AX$16)),0,""))</f>
        <v/>
      </c>
      <c r="Y274" s="369" t="str">
        <f ca="1">IF($B274&lt;&gt;"PRC_RESID","",IF(Y$7=2005+OFFSET(COM_2012!$B$60,$AW274,SUMIF($B$10:$B$16,"NCAP_TLIFE",$AX$10:$AX$16)),0,""))</f>
        <v/>
      </c>
      <c r="Z274" s="369" t="str">
        <f ca="1">IF($B274&lt;&gt;"PRC_RESID","",IF(Z$7=2005+OFFSET(COM_2012!$B$60,$AW274,SUMIF($B$10:$B$16,"NCAP_TLIFE",$AX$10:$AX$16)),0,""))</f>
        <v/>
      </c>
      <c r="AA274" s="369" t="str">
        <f ca="1">IF($B274&lt;&gt;"PRC_RESID","",IF(AA$7=2005+OFFSET(COM_2012!$B$60,$AW274,SUMIF($B$10:$B$16,"NCAP_TLIFE",$AX$10:$AX$16)),0,""))</f>
        <v/>
      </c>
      <c r="AB274" s="369" t="str">
        <f ca="1">IF($B274&lt;&gt;"PRC_RESID","",IF(AB$7=2005+OFFSET(COM_2012!$B$60,$AW274,SUMIF($B$10:$B$16,"NCAP_TLIFE",$AX$10:$AX$16)),0,""))</f>
        <v/>
      </c>
      <c r="AC274" s="369" t="str">
        <f ca="1">IF($B274&lt;&gt;"PRC_RESID","",IF(AC$7=2005+OFFSET(COM_2012!$B$60,$AW274,SUMIF($B$10:$B$16,"NCAP_TLIFE",$AX$10:$AX$16)),0,""))</f>
        <v/>
      </c>
      <c r="AD274" s="369" t="str">
        <f ca="1">IF($B274&lt;&gt;"PRC_RESID","",IF(AD$7=2005+OFFSET(COM_2012!$B$60,$AW274,SUMIF($B$10:$B$16,"NCAP_TLIFE",$AX$10:$AX$16)),0,""))</f>
        <v/>
      </c>
      <c r="AE274" s="369" t="str">
        <f ca="1">IF($B274&lt;&gt;"PRC_RESID","",IF(AE$7=2005+OFFSET(COM_2012!$B$60,$AW274,SUMIF($B$10:$B$16,"NCAP_TLIFE",$AX$10:$AX$16)),0,""))</f>
        <v/>
      </c>
      <c r="AF274" s="369" t="str">
        <f ca="1">IF($B274&lt;&gt;"PRC_RESID","",IF(AF$7=2005+OFFSET(COM_2012!$B$60,$AW274,SUMIF($B$10:$B$16,"NCAP_TLIFE",$AX$10:$AX$16)),0,""))</f>
        <v/>
      </c>
      <c r="AG274" s="369" t="str">
        <f ca="1">IF($B274&lt;&gt;"PRC_RESID","",IF(AG$7=2005+OFFSET(COM_2012!$B$60,$AW274,SUMIF($B$10:$B$16,"NCAP_TLIFE",$AX$10:$AX$16)),0,""))</f>
        <v/>
      </c>
      <c r="AH274" s="369" t="str">
        <f ca="1">IF($B274&lt;&gt;"PRC_RESID","",IF(AH$7=2005+OFFSET(COM_2012!$B$60,$AW274,SUMIF($B$10:$B$16,"NCAP_TLIFE",$AX$10:$AX$16)),0,""))</f>
        <v/>
      </c>
      <c r="AI274" s="369" t="str">
        <f ca="1">IF($B274&lt;&gt;"PRC_RESID","",IF(AI$7=2005+OFFSET(COM_2012!$B$60,$AW274,SUMIF($B$10:$B$16,"NCAP_TLIFE",$AX$10:$AX$16)),0,""))</f>
        <v/>
      </c>
      <c r="AJ274" s="369" t="str">
        <f ca="1">IF($B274&lt;&gt;"PRC_RESID","",IF(AJ$7=2005+OFFSET(COM_2012!$B$60,$AW274,SUMIF($B$10:$B$16,"NCAP_TLIFE",$AX$10:$AX$16)),0,""))</f>
        <v/>
      </c>
      <c r="AK274" s="369" t="str">
        <f ca="1">IF($B274&lt;&gt;"PRC_RESID","",IF(AK$7=2005+OFFSET(COM_2012!$B$60,$AW274,SUMIF($B$10:$B$16,"NCAP_TLIFE",$AX$10:$AX$16)),0,""))</f>
        <v/>
      </c>
      <c r="AL274" s="369" t="str">
        <f ca="1">IF($B274&lt;&gt;"PRC_RESID","",IF(AL$7=2005+OFFSET(COM_2012!$B$60,$AW274,SUMIF($B$10:$B$16,"NCAP_TLIFE",$AX$10:$AX$16)),0,""))</f>
        <v/>
      </c>
      <c r="AM274" s="369" t="str">
        <f ca="1">IF($B274&lt;&gt;"PRC_RESID","",IF(AM$7=2005+OFFSET(COM_2012!$B$60,$AW274,SUMIF($B$10:$B$16,"NCAP_TLIFE",$AX$10:$AX$16)),0,""))</f>
        <v/>
      </c>
      <c r="AN274" s="369" t="str">
        <f ca="1">IF($B274&lt;&gt;"PRC_RESID","",IF(AN$7=2005+OFFSET(COM_2012!$B$60,$AW274,SUMIF($B$10:$B$16,"NCAP_TLIFE",$AX$10:$AX$16)),0,""))</f>
        <v/>
      </c>
      <c r="AO274" s="369" t="str">
        <f ca="1">IF($B274&lt;&gt;"PRC_RESID","",IF(AO$7=2005+OFFSET(COM_2012!$B$60,$AW274,SUMIF($B$10:$B$16,"NCAP_TLIFE",$AX$10:$AX$16)),0,""))</f>
        <v/>
      </c>
      <c r="AP274" s="369" t="str">
        <f ca="1">IF($B274&lt;&gt;"PRC_RESID","",IF(AP$7=2005+OFFSET(COM_2012!$B$60,$AW274,SUMIF($B$10:$B$16,"NCAP_TLIFE",$AX$10:$AX$16)),0,""))</f>
        <v/>
      </c>
      <c r="AQ274" s="369" t="str">
        <f ca="1">IF($B274&lt;&gt;"PRC_RESID","",IF(AQ$7=2005+OFFSET(COM_2012!$B$60,$AW274,SUMIF($B$10:$B$16,"NCAP_TLIFE",$AX$10:$AX$16)),0,""))</f>
        <v/>
      </c>
      <c r="AR274" s="369" t="str">
        <f ca="1">IF($B274&lt;&gt;"PRC_RESID","",IF(AR$7=2005+OFFSET(COM_2012!$B$60,$AW274,SUMIF($B$10:$B$16,"NCAP_TLIFE",$AX$10:$AX$16)),0,""))</f>
        <v/>
      </c>
      <c r="AS274" s="369" t="str">
        <f ca="1">IF($B274&lt;&gt;"PRC_RESID","",IF(AS$7=2005+OFFSET(COM_2012!$B$60,$AW274,SUMIF($B$10:$B$16,"NCAP_TLIFE",$AX$10:$AX$16)),0,""))</f>
        <v/>
      </c>
      <c r="AT274" s="369" t="str">
        <f ca="1">IF($B274&lt;&gt;"PRC_RESID","",IF(AT$7=2005+OFFSET(COM_2012!$B$60,$AW274,SUMIF($B$10:$B$16,"NCAP_TLIFE",$AX$10:$AX$16)),0,""))</f>
        <v/>
      </c>
      <c r="AU274" s="369" t="str">
        <f ca="1">IF($B274&lt;&gt;"PRC_RESID","",IF(AU$7=2005+OFFSET(COM_2012!$B$60,$AW274,SUMIF($B$10:$B$16,"NCAP_TLIFE",$AX$10:$AX$16)),0,""))</f>
        <v/>
      </c>
      <c r="AV274" s="304">
        <f>IF(AW273=COM_2012!$AI$121,AV273+1,AV273)</f>
        <v>5</v>
      </c>
      <c r="AW274" s="304">
        <f t="shared" si="23"/>
        <v>3</v>
      </c>
    </row>
    <row r="275" spans="1:49">
      <c r="A275" s="304" t="str">
        <f ca="1">IF(LEFT(OFFSET(COM_2012!$A$60,AW275,0),2)="\I","*","")</f>
        <v/>
      </c>
      <c r="B275" s="369" t="str">
        <f t="shared" ca="1" si="22"/>
        <v>NCAP_FOM</v>
      </c>
      <c r="C275" s="369" t="str">
        <f ca="1">IF($A275="*","",OFFSET(COM_2012!$B$60,AW275,0))</f>
        <v>CECELCROOM-E</v>
      </c>
      <c r="D275" s="369" t="str">
        <f t="shared" ca="1" si="26"/>
        <v>-</v>
      </c>
      <c r="E275" s="369" t="str">
        <f t="shared" ca="1" si="26"/>
        <v>-</v>
      </c>
      <c r="F275" s="369" t="str">
        <f t="shared" ca="1" si="26"/>
        <v>-</v>
      </c>
      <c r="G275" s="369" t="str">
        <f t="shared" ca="1" si="26"/>
        <v>-</v>
      </c>
      <c r="H275" s="369" t="str">
        <f t="shared" ca="1" si="26"/>
        <v>-</v>
      </c>
      <c r="I275" s="370">
        <f t="shared" ca="1" si="26"/>
        <v>0</v>
      </c>
      <c r="J275" s="391">
        <f ca="1">IF($A275="*","",OFFSET(COM_2012!$B$60,AW275,SUMIF($B$10:$B$16,B275,$AX$10:$AX$16)))</f>
        <v>4.9654804773986427</v>
      </c>
      <c r="K275" s="369" t="str">
        <f ca="1">IF($B275&lt;&gt;"PRC_RESID","",IF(K$7=2005+OFFSET(COM_2012!$B$60,$AW275,SUMIF($B$10:$B$16,"NCAP_TLIFE",$AX$10:$AX$16)),0,""))</f>
        <v/>
      </c>
      <c r="L275" s="369" t="str">
        <f ca="1">IF($B275&lt;&gt;"PRC_RESID","",IF(L$7=2005+OFFSET(COM_2012!$B$60,$AW275,SUMIF($B$10:$B$16,"NCAP_TLIFE",$AX$10:$AX$16)),0,""))</f>
        <v/>
      </c>
      <c r="M275" s="369" t="str">
        <f ca="1">IF($B275&lt;&gt;"PRC_RESID","",IF(M$7=2005+OFFSET(COM_2012!$B$60,$AW275,SUMIF($B$10:$B$16,"NCAP_TLIFE",$AX$10:$AX$16)),0,""))</f>
        <v/>
      </c>
      <c r="N275" s="369" t="str">
        <f ca="1">IF($B275&lt;&gt;"PRC_RESID","",IF(N$7=2005+OFFSET(COM_2012!$B$60,$AW275,SUMIF($B$10:$B$16,"NCAP_TLIFE",$AX$10:$AX$16)),0,""))</f>
        <v/>
      </c>
      <c r="O275" s="658" t="str">
        <f ca="1">IF($B275&lt;&gt;"PRC_RESID","",IF(O$7=2005+OFFSET(COM_2012!$B$60,$AW275,SUMIF($B$10:$B$16,"NCAP_TLIFE",$AX$10:$AX$16)),0,""))</f>
        <v/>
      </c>
      <c r="P275" s="369" t="str">
        <f ca="1">IF($B275&lt;&gt;"PRC_RESID","",IF(P$7=2005+OFFSET(COM_2012!$B$60,$AW275,SUMIF($B$10:$B$16,"NCAP_TLIFE",$AX$10:$AX$16)),0,""))</f>
        <v/>
      </c>
      <c r="Q275" s="369" t="str">
        <f ca="1">IF($B275&lt;&gt;"PRC_RESID","",IF(Q$7=2005+OFFSET(COM_2012!$B$60,$AW275,SUMIF($B$10:$B$16,"NCAP_TLIFE",$AX$10:$AX$16)),0,""))</f>
        <v/>
      </c>
      <c r="R275" s="369" t="str">
        <f ca="1">IF($B275&lt;&gt;"PRC_RESID","",IF(R$7=2005+OFFSET(COM_2012!$B$60,$AW275,SUMIF($B$10:$B$16,"NCAP_TLIFE",$AX$10:$AX$16)),0,""))</f>
        <v/>
      </c>
      <c r="S275" s="369" t="str">
        <f ca="1">IF($B275&lt;&gt;"PRC_RESID","",IF(S$7=2005+OFFSET(COM_2012!$B$60,$AW275,SUMIF($B$10:$B$16,"NCAP_TLIFE",$AX$10:$AX$16)),0,""))</f>
        <v/>
      </c>
      <c r="T275" s="369" t="str">
        <f ca="1">IF($B275&lt;&gt;"PRC_RESID","",IF(T$7=2005+OFFSET(COM_2012!$B$60,$AW275,SUMIF($B$10:$B$16,"NCAP_TLIFE",$AX$10:$AX$16)),0,""))</f>
        <v/>
      </c>
      <c r="U275" s="369" t="str">
        <f ca="1">IF($B275&lt;&gt;"PRC_RESID","",IF(U$7=2005+OFFSET(COM_2012!$B$60,$AW275,SUMIF($B$10:$B$16,"NCAP_TLIFE",$AX$10:$AX$16)),0,""))</f>
        <v/>
      </c>
      <c r="V275" s="369" t="str">
        <f ca="1">IF($B275&lt;&gt;"PRC_RESID","",IF(V$7=2005+OFFSET(COM_2012!$B$60,$AW275,SUMIF($B$10:$B$16,"NCAP_TLIFE",$AX$10:$AX$16)),0,""))</f>
        <v/>
      </c>
      <c r="W275" s="369" t="str">
        <f ca="1">IF($B275&lt;&gt;"PRC_RESID","",IF(W$7=2005+OFFSET(COM_2012!$B$60,$AW275,SUMIF($B$10:$B$16,"NCAP_TLIFE",$AX$10:$AX$16)),0,""))</f>
        <v/>
      </c>
      <c r="X275" s="369" t="str">
        <f ca="1">IF($B275&lt;&gt;"PRC_RESID","",IF(X$7=2005+OFFSET(COM_2012!$B$60,$AW275,SUMIF($B$10:$B$16,"NCAP_TLIFE",$AX$10:$AX$16)),0,""))</f>
        <v/>
      </c>
      <c r="Y275" s="369" t="str">
        <f ca="1">IF($B275&lt;&gt;"PRC_RESID","",IF(Y$7=2005+OFFSET(COM_2012!$B$60,$AW275,SUMIF($B$10:$B$16,"NCAP_TLIFE",$AX$10:$AX$16)),0,""))</f>
        <v/>
      </c>
      <c r="Z275" s="369" t="str">
        <f ca="1">IF($B275&lt;&gt;"PRC_RESID","",IF(Z$7=2005+OFFSET(COM_2012!$B$60,$AW275,SUMIF($B$10:$B$16,"NCAP_TLIFE",$AX$10:$AX$16)),0,""))</f>
        <v/>
      </c>
      <c r="AA275" s="369" t="str">
        <f ca="1">IF($B275&lt;&gt;"PRC_RESID","",IF(AA$7=2005+OFFSET(COM_2012!$B$60,$AW275,SUMIF($B$10:$B$16,"NCAP_TLIFE",$AX$10:$AX$16)),0,""))</f>
        <v/>
      </c>
      <c r="AB275" s="369" t="str">
        <f ca="1">IF($B275&lt;&gt;"PRC_RESID","",IF(AB$7=2005+OFFSET(COM_2012!$B$60,$AW275,SUMIF($B$10:$B$16,"NCAP_TLIFE",$AX$10:$AX$16)),0,""))</f>
        <v/>
      </c>
      <c r="AC275" s="369" t="str">
        <f ca="1">IF($B275&lt;&gt;"PRC_RESID","",IF(AC$7=2005+OFFSET(COM_2012!$B$60,$AW275,SUMIF($B$10:$B$16,"NCAP_TLIFE",$AX$10:$AX$16)),0,""))</f>
        <v/>
      </c>
      <c r="AD275" s="369" t="str">
        <f ca="1">IF($B275&lt;&gt;"PRC_RESID","",IF(AD$7=2005+OFFSET(COM_2012!$B$60,$AW275,SUMIF($B$10:$B$16,"NCAP_TLIFE",$AX$10:$AX$16)),0,""))</f>
        <v/>
      </c>
      <c r="AE275" s="369" t="str">
        <f ca="1">IF($B275&lt;&gt;"PRC_RESID","",IF(AE$7=2005+OFFSET(COM_2012!$B$60,$AW275,SUMIF($B$10:$B$16,"NCAP_TLIFE",$AX$10:$AX$16)),0,""))</f>
        <v/>
      </c>
      <c r="AF275" s="369" t="str">
        <f ca="1">IF($B275&lt;&gt;"PRC_RESID","",IF(AF$7=2005+OFFSET(COM_2012!$B$60,$AW275,SUMIF($B$10:$B$16,"NCAP_TLIFE",$AX$10:$AX$16)),0,""))</f>
        <v/>
      </c>
      <c r="AG275" s="369" t="str">
        <f ca="1">IF($B275&lt;&gt;"PRC_RESID","",IF(AG$7=2005+OFFSET(COM_2012!$B$60,$AW275,SUMIF($B$10:$B$16,"NCAP_TLIFE",$AX$10:$AX$16)),0,""))</f>
        <v/>
      </c>
      <c r="AH275" s="369" t="str">
        <f ca="1">IF($B275&lt;&gt;"PRC_RESID","",IF(AH$7=2005+OFFSET(COM_2012!$B$60,$AW275,SUMIF($B$10:$B$16,"NCAP_TLIFE",$AX$10:$AX$16)),0,""))</f>
        <v/>
      </c>
      <c r="AI275" s="369" t="str">
        <f ca="1">IF($B275&lt;&gt;"PRC_RESID","",IF(AI$7=2005+OFFSET(COM_2012!$B$60,$AW275,SUMIF($B$10:$B$16,"NCAP_TLIFE",$AX$10:$AX$16)),0,""))</f>
        <v/>
      </c>
      <c r="AJ275" s="369" t="str">
        <f ca="1">IF($B275&lt;&gt;"PRC_RESID","",IF(AJ$7=2005+OFFSET(COM_2012!$B$60,$AW275,SUMIF($B$10:$B$16,"NCAP_TLIFE",$AX$10:$AX$16)),0,""))</f>
        <v/>
      </c>
      <c r="AK275" s="369" t="str">
        <f ca="1">IF($B275&lt;&gt;"PRC_RESID","",IF(AK$7=2005+OFFSET(COM_2012!$B$60,$AW275,SUMIF($B$10:$B$16,"NCAP_TLIFE",$AX$10:$AX$16)),0,""))</f>
        <v/>
      </c>
      <c r="AL275" s="369" t="str">
        <f ca="1">IF($B275&lt;&gt;"PRC_RESID","",IF(AL$7=2005+OFFSET(COM_2012!$B$60,$AW275,SUMIF($B$10:$B$16,"NCAP_TLIFE",$AX$10:$AX$16)),0,""))</f>
        <v/>
      </c>
      <c r="AM275" s="369" t="str">
        <f ca="1">IF($B275&lt;&gt;"PRC_RESID","",IF(AM$7=2005+OFFSET(COM_2012!$B$60,$AW275,SUMIF($B$10:$B$16,"NCAP_TLIFE",$AX$10:$AX$16)),0,""))</f>
        <v/>
      </c>
      <c r="AN275" s="369" t="str">
        <f ca="1">IF($B275&lt;&gt;"PRC_RESID","",IF(AN$7=2005+OFFSET(COM_2012!$B$60,$AW275,SUMIF($B$10:$B$16,"NCAP_TLIFE",$AX$10:$AX$16)),0,""))</f>
        <v/>
      </c>
      <c r="AO275" s="369" t="str">
        <f ca="1">IF($B275&lt;&gt;"PRC_RESID","",IF(AO$7=2005+OFFSET(COM_2012!$B$60,$AW275,SUMIF($B$10:$B$16,"NCAP_TLIFE",$AX$10:$AX$16)),0,""))</f>
        <v/>
      </c>
      <c r="AP275" s="369" t="str">
        <f ca="1">IF($B275&lt;&gt;"PRC_RESID","",IF(AP$7=2005+OFFSET(COM_2012!$B$60,$AW275,SUMIF($B$10:$B$16,"NCAP_TLIFE",$AX$10:$AX$16)),0,""))</f>
        <v/>
      </c>
      <c r="AQ275" s="369" t="str">
        <f ca="1">IF($B275&lt;&gt;"PRC_RESID","",IF(AQ$7=2005+OFFSET(COM_2012!$B$60,$AW275,SUMIF($B$10:$B$16,"NCAP_TLIFE",$AX$10:$AX$16)),0,""))</f>
        <v/>
      </c>
      <c r="AR275" s="369" t="str">
        <f ca="1">IF($B275&lt;&gt;"PRC_RESID","",IF(AR$7=2005+OFFSET(COM_2012!$B$60,$AW275,SUMIF($B$10:$B$16,"NCAP_TLIFE",$AX$10:$AX$16)),0,""))</f>
        <v/>
      </c>
      <c r="AS275" s="369" t="str">
        <f ca="1">IF($B275&lt;&gt;"PRC_RESID","",IF(AS$7=2005+OFFSET(COM_2012!$B$60,$AW275,SUMIF($B$10:$B$16,"NCAP_TLIFE",$AX$10:$AX$16)),0,""))</f>
        <v/>
      </c>
      <c r="AT275" s="369" t="str">
        <f ca="1">IF($B275&lt;&gt;"PRC_RESID","",IF(AT$7=2005+OFFSET(COM_2012!$B$60,$AW275,SUMIF($B$10:$B$16,"NCAP_TLIFE",$AX$10:$AX$16)),0,""))</f>
        <v/>
      </c>
      <c r="AU275" s="369" t="str">
        <f ca="1">IF($B275&lt;&gt;"PRC_RESID","",IF(AU$7=2005+OFFSET(COM_2012!$B$60,$AW275,SUMIF($B$10:$B$16,"NCAP_TLIFE",$AX$10:$AX$16)),0,""))</f>
        <v/>
      </c>
      <c r="AV275" s="304">
        <f>IF(AW274=COM_2012!$AI$121,AV274+1,AV274)</f>
        <v>5</v>
      </c>
      <c r="AW275" s="304">
        <f t="shared" si="23"/>
        <v>4</v>
      </c>
    </row>
    <row r="276" spans="1:49">
      <c r="A276" s="304" t="str">
        <f ca="1">IF(LEFT(OFFSET(COM_2012!$A$60,AW276,0),2)="\I","*","")</f>
        <v/>
      </c>
      <c r="B276" s="369" t="str">
        <f t="shared" ca="1" si="22"/>
        <v>NCAP_FOM</v>
      </c>
      <c r="C276" s="369" t="str">
        <f ca="1">IF($A276="*","",OFFSET(COM_2012!$B$60,AW276,0))</f>
        <v>CECELCCEN-N</v>
      </c>
      <c r="D276" s="369" t="str">
        <f t="shared" ca="1" si="26"/>
        <v>-</v>
      </c>
      <c r="E276" s="369" t="str">
        <f t="shared" ca="1" si="26"/>
        <v>-</v>
      </c>
      <c r="F276" s="369" t="str">
        <f t="shared" ca="1" si="26"/>
        <v>-</v>
      </c>
      <c r="G276" s="369" t="str">
        <f t="shared" ca="1" si="26"/>
        <v>-</v>
      </c>
      <c r="H276" s="369" t="str">
        <f t="shared" ca="1" si="26"/>
        <v>-</v>
      </c>
      <c r="I276" s="370">
        <f t="shared" ca="1" si="26"/>
        <v>0</v>
      </c>
      <c r="J276" s="391">
        <f ca="1">IF($A276="*","",OFFSET(COM_2012!$B$60,AW276,SUMIF($B$10:$B$16,B276,$AX$10:$AX$16)))</f>
        <v>9.1486415772278153</v>
      </c>
      <c r="K276" s="369" t="str">
        <f ca="1">IF($B276&lt;&gt;"PRC_RESID","",IF(K$7=2005+OFFSET(COM_2012!$B$60,$AW276,SUMIF($B$10:$B$16,"NCAP_TLIFE",$AX$10:$AX$16)),0,""))</f>
        <v/>
      </c>
      <c r="L276" s="369" t="str">
        <f ca="1">IF($B276&lt;&gt;"PRC_RESID","",IF(L$7=2005+OFFSET(COM_2012!$B$60,$AW276,SUMIF($B$10:$B$16,"NCAP_TLIFE",$AX$10:$AX$16)),0,""))</f>
        <v/>
      </c>
      <c r="M276" s="369" t="str">
        <f ca="1">IF($B276&lt;&gt;"PRC_RESID","",IF(M$7=2005+OFFSET(COM_2012!$B$60,$AW276,SUMIF($B$10:$B$16,"NCAP_TLIFE",$AX$10:$AX$16)),0,""))</f>
        <v/>
      </c>
      <c r="N276" s="369" t="str">
        <f ca="1">IF($B276&lt;&gt;"PRC_RESID","",IF(N$7=2005+OFFSET(COM_2012!$B$60,$AW276,SUMIF($B$10:$B$16,"NCAP_TLIFE",$AX$10:$AX$16)),0,""))</f>
        <v/>
      </c>
      <c r="O276" s="658" t="str">
        <f ca="1">IF($B276&lt;&gt;"PRC_RESID","",IF(O$7=2005+OFFSET(COM_2012!$B$60,$AW276,SUMIF($B$10:$B$16,"NCAP_TLIFE",$AX$10:$AX$16)),0,""))</f>
        <v/>
      </c>
      <c r="P276" s="369" t="str">
        <f ca="1">IF($B276&lt;&gt;"PRC_RESID","",IF(P$7=2005+OFFSET(COM_2012!$B$60,$AW276,SUMIF($B$10:$B$16,"NCAP_TLIFE",$AX$10:$AX$16)),0,""))</f>
        <v/>
      </c>
      <c r="Q276" s="369" t="str">
        <f ca="1">IF($B276&lt;&gt;"PRC_RESID","",IF(Q$7=2005+OFFSET(COM_2012!$B$60,$AW276,SUMIF($B$10:$B$16,"NCAP_TLIFE",$AX$10:$AX$16)),0,""))</f>
        <v/>
      </c>
      <c r="R276" s="369" t="str">
        <f ca="1">IF($B276&lt;&gt;"PRC_RESID","",IF(R$7=2005+OFFSET(COM_2012!$B$60,$AW276,SUMIF($B$10:$B$16,"NCAP_TLIFE",$AX$10:$AX$16)),0,""))</f>
        <v/>
      </c>
      <c r="S276" s="369" t="str">
        <f ca="1">IF($B276&lt;&gt;"PRC_RESID","",IF(S$7=2005+OFFSET(COM_2012!$B$60,$AW276,SUMIF($B$10:$B$16,"NCAP_TLIFE",$AX$10:$AX$16)),0,""))</f>
        <v/>
      </c>
      <c r="T276" s="369" t="str">
        <f ca="1">IF($B276&lt;&gt;"PRC_RESID","",IF(T$7=2005+OFFSET(COM_2012!$B$60,$AW276,SUMIF($B$10:$B$16,"NCAP_TLIFE",$AX$10:$AX$16)),0,""))</f>
        <v/>
      </c>
      <c r="U276" s="369" t="str">
        <f ca="1">IF($B276&lt;&gt;"PRC_RESID","",IF(U$7=2005+OFFSET(COM_2012!$B$60,$AW276,SUMIF($B$10:$B$16,"NCAP_TLIFE",$AX$10:$AX$16)),0,""))</f>
        <v/>
      </c>
      <c r="V276" s="369" t="str">
        <f ca="1">IF($B276&lt;&gt;"PRC_RESID","",IF(V$7=2005+OFFSET(COM_2012!$B$60,$AW276,SUMIF($B$10:$B$16,"NCAP_TLIFE",$AX$10:$AX$16)),0,""))</f>
        <v/>
      </c>
      <c r="W276" s="369" t="str">
        <f ca="1">IF($B276&lt;&gt;"PRC_RESID","",IF(W$7=2005+OFFSET(COM_2012!$B$60,$AW276,SUMIF($B$10:$B$16,"NCAP_TLIFE",$AX$10:$AX$16)),0,""))</f>
        <v/>
      </c>
      <c r="X276" s="369" t="str">
        <f ca="1">IF($B276&lt;&gt;"PRC_RESID","",IF(X$7=2005+OFFSET(COM_2012!$B$60,$AW276,SUMIF($B$10:$B$16,"NCAP_TLIFE",$AX$10:$AX$16)),0,""))</f>
        <v/>
      </c>
      <c r="Y276" s="369" t="str">
        <f ca="1">IF($B276&lt;&gt;"PRC_RESID","",IF(Y$7=2005+OFFSET(COM_2012!$B$60,$AW276,SUMIF($B$10:$B$16,"NCAP_TLIFE",$AX$10:$AX$16)),0,""))</f>
        <v/>
      </c>
      <c r="Z276" s="369" t="str">
        <f ca="1">IF($B276&lt;&gt;"PRC_RESID","",IF(Z$7=2005+OFFSET(COM_2012!$B$60,$AW276,SUMIF($B$10:$B$16,"NCAP_TLIFE",$AX$10:$AX$16)),0,""))</f>
        <v/>
      </c>
      <c r="AA276" s="369" t="str">
        <f ca="1">IF($B276&lt;&gt;"PRC_RESID","",IF(AA$7=2005+OFFSET(COM_2012!$B$60,$AW276,SUMIF($B$10:$B$16,"NCAP_TLIFE",$AX$10:$AX$16)),0,""))</f>
        <v/>
      </c>
      <c r="AB276" s="369" t="str">
        <f ca="1">IF($B276&lt;&gt;"PRC_RESID","",IF(AB$7=2005+OFFSET(COM_2012!$B$60,$AW276,SUMIF($B$10:$B$16,"NCAP_TLIFE",$AX$10:$AX$16)),0,""))</f>
        <v/>
      </c>
      <c r="AC276" s="369" t="str">
        <f ca="1">IF($B276&lt;&gt;"PRC_RESID","",IF(AC$7=2005+OFFSET(COM_2012!$B$60,$AW276,SUMIF($B$10:$B$16,"NCAP_TLIFE",$AX$10:$AX$16)),0,""))</f>
        <v/>
      </c>
      <c r="AD276" s="369" t="str">
        <f ca="1">IF($B276&lt;&gt;"PRC_RESID","",IF(AD$7=2005+OFFSET(COM_2012!$B$60,$AW276,SUMIF($B$10:$B$16,"NCAP_TLIFE",$AX$10:$AX$16)),0,""))</f>
        <v/>
      </c>
      <c r="AE276" s="369" t="str">
        <f ca="1">IF($B276&lt;&gt;"PRC_RESID","",IF(AE$7=2005+OFFSET(COM_2012!$B$60,$AW276,SUMIF($B$10:$B$16,"NCAP_TLIFE",$AX$10:$AX$16)),0,""))</f>
        <v/>
      </c>
      <c r="AF276" s="369" t="str">
        <f ca="1">IF($B276&lt;&gt;"PRC_RESID","",IF(AF$7=2005+OFFSET(COM_2012!$B$60,$AW276,SUMIF($B$10:$B$16,"NCAP_TLIFE",$AX$10:$AX$16)),0,""))</f>
        <v/>
      </c>
      <c r="AG276" s="369" t="str">
        <f ca="1">IF($B276&lt;&gt;"PRC_RESID","",IF(AG$7=2005+OFFSET(COM_2012!$B$60,$AW276,SUMIF($B$10:$B$16,"NCAP_TLIFE",$AX$10:$AX$16)),0,""))</f>
        <v/>
      </c>
      <c r="AH276" s="369" t="str">
        <f ca="1">IF($B276&lt;&gt;"PRC_RESID","",IF(AH$7=2005+OFFSET(COM_2012!$B$60,$AW276,SUMIF($B$10:$B$16,"NCAP_TLIFE",$AX$10:$AX$16)),0,""))</f>
        <v/>
      </c>
      <c r="AI276" s="369" t="str">
        <f ca="1">IF($B276&lt;&gt;"PRC_RESID","",IF(AI$7=2005+OFFSET(COM_2012!$B$60,$AW276,SUMIF($B$10:$B$16,"NCAP_TLIFE",$AX$10:$AX$16)),0,""))</f>
        <v/>
      </c>
      <c r="AJ276" s="369" t="str">
        <f ca="1">IF($B276&lt;&gt;"PRC_RESID","",IF(AJ$7=2005+OFFSET(COM_2012!$B$60,$AW276,SUMIF($B$10:$B$16,"NCAP_TLIFE",$AX$10:$AX$16)),0,""))</f>
        <v/>
      </c>
      <c r="AK276" s="369" t="str">
        <f ca="1">IF($B276&lt;&gt;"PRC_RESID","",IF(AK$7=2005+OFFSET(COM_2012!$B$60,$AW276,SUMIF($B$10:$B$16,"NCAP_TLIFE",$AX$10:$AX$16)),0,""))</f>
        <v/>
      </c>
      <c r="AL276" s="369" t="str">
        <f ca="1">IF($B276&lt;&gt;"PRC_RESID","",IF(AL$7=2005+OFFSET(COM_2012!$B$60,$AW276,SUMIF($B$10:$B$16,"NCAP_TLIFE",$AX$10:$AX$16)),0,""))</f>
        <v/>
      </c>
      <c r="AM276" s="369" t="str">
        <f ca="1">IF($B276&lt;&gt;"PRC_RESID","",IF(AM$7=2005+OFFSET(COM_2012!$B$60,$AW276,SUMIF($B$10:$B$16,"NCAP_TLIFE",$AX$10:$AX$16)),0,""))</f>
        <v/>
      </c>
      <c r="AN276" s="369" t="str">
        <f ca="1">IF($B276&lt;&gt;"PRC_RESID","",IF(AN$7=2005+OFFSET(COM_2012!$B$60,$AW276,SUMIF($B$10:$B$16,"NCAP_TLIFE",$AX$10:$AX$16)),0,""))</f>
        <v/>
      </c>
      <c r="AO276" s="369" t="str">
        <f ca="1">IF($B276&lt;&gt;"PRC_RESID","",IF(AO$7=2005+OFFSET(COM_2012!$B$60,$AW276,SUMIF($B$10:$B$16,"NCAP_TLIFE",$AX$10:$AX$16)),0,""))</f>
        <v/>
      </c>
      <c r="AP276" s="369" t="str">
        <f ca="1">IF($B276&lt;&gt;"PRC_RESID","",IF(AP$7=2005+OFFSET(COM_2012!$B$60,$AW276,SUMIF($B$10:$B$16,"NCAP_TLIFE",$AX$10:$AX$16)),0,""))</f>
        <v/>
      </c>
      <c r="AQ276" s="369" t="str">
        <f ca="1">IF($B276&lt;&gt;"PRC_RESID","",IF(AQ$7=2005+OFFSET(COM_2012!$B$60,$AW276,SUMIF($B$10:$B$16,"NCAP_TLIFE",$AX$10:$AX$16)),0,""))</f>
        <v/>
      </c>
      <c r="AR276" s="369" t="str">
        <f ca="1">IF($B276&lt;&gt;"PRC_RESID","",IF(AR$7=2005+OFFSET(COM_2012!$B$60,$AW276,SUMIF($B$10:$B$16,"NCAP_TLIFE",$AX$10:$AX$16)),0,""))</f>
        <v/>
      </c>
      <c r="AS276" s="369" t="str">
        <f ca="1">IF($B276&lt;&gt;"PRC_RESID","",IF(AS$7=2005+OFFSET(COM_2012!$B$60,$AW276,SUMIF($B$10:$B$16,"NCAP_TLIFE",$AX$10:$AX$16)),0,""))</f>
        <v/>
      </c>
      <c r="AT276" s="369" t="str">
        <f ca="1">IF($B276&lt;&gt;"PRC_RESID","",IF(AT$7=2005+OFFSET(COM_2012!$B$60,$AW276,SUMIF($B$10:$B$16,"NCAP_TLIFE",$AX$10:$AX$16)),0,""))</f>
        <v/>
      </c>
      <c r="AU276" s="369" t="str">
        <f ca="1">IF($B276&lt;&gt;"PRC_RESID","",IF(AU$7=2005+OFFSET(COM_2012!$B$60,$AW276,SUMIF($B$10:$B$16,"NCAP_TLIFE",$AX$10:$AX$16)),0,""))</f>
        <v/>
      </c>
      <c r="AV276" s="304">
        <f>IF(AW275=COM_2012!$AI$121,AV275+1,AV275)</f>
        <v>5</v>
      </c>
      <c r="AW276" s="304">
        <f t="shared" si="23"/>
        <v>5</v>
      </c>
    </row>
    <row r="277" spans="1:49">
      <c r="A277" s="304" t="str">
        <f ca="1">IF(LEFT(OFFSET(COM_2012!$A$60,AW277,0),2)="\I","*","")</f>
        <v/>
      </c>
      <c r="B277" s="369" t="str">
        <f t="shared" ca="1" si="22"/>
        <v>NCAP_FOM</v>
      </c>
      <c r="C277" s="369" t="str">
        <f ca="1">IF($A277="*","",OFFSET(COM_2012!$B$60,AW277,0))</f>
        <v>CECELCHP-N</v>
      </c>
      <c r="D277" s="369" t="str">
        <f t="shared" ca="1" si="26"/>
        <v>-</v>
      </c>
      <c r="E277" s="369" t="str">
        <f t="shared" ca="1" si="26"/>
        <v>-</v>
      </c>
      <c r="F277" s="369" t="str">
        <f t="shared" ca="1" si="26"/>
        <v>-</v>
      </c>
      <c r="G277" s="369" t="str">
        <f t="shared" ca="1" si="26"/>
        <v>-</v>
      </c>
      <c r="H277" s="369" t="str">
        <f t="shared" ca="1" si="26"/>
        <v>-</v>
      </c>
      <c r="I277" s="370">
        <f t="shared" ca="1" si="26"/>
        <v>0</v>
      </c>
      <c r="J277" s="391">
        <f ca="1">IF($A277="*","",OFFSET(COM_2012!$B$60,AW277,SUMIF($B$10:$B$16,B277,$AX$10:$AX$16)))</f>
        <v>12.475420332583383</v>
      </c>
      <c r="K277" s="369" t="str">
        <f ca="1">IF($B277&lt;&gt;"PRC_RESID","",IF(K$7=2005+OFFSET(COM_2012!$B$60,$AW277,SUMIF($B$10:$B$16,"NCAP_TLIFE",$AX$10:$AX$16)),0,""))</f>
        <v/>
      </c>
      <c r="L277" s="369" t="str">
        <f ca="1">IF($B277&lt;&gt;"PRC_RESID","",IF(L$7=2005+OFFSET(COM_2012!$B$60,$AW277,SUMIF($B$10:$B$16,"NCAP_TLIFE",$AX$10:$AX$16)),0,""))</f>
        <v/>
      </c>
      <c r="M277" s="369" t="str">
        <f ca="1">IF($B277&lt;&gt;"PRC_RESID","",IF(M$7=2005+OFFSET(COM_2012!$B$60,$AW277,SUMIF($B$10:$B$16,"NCAP_TLIFE",$AX$10:$AX$16)),0,""))</f>
        <v/>
      </c>
      <c r="N277" s="369" t="str">
        <f ca="1">IF($B277&lt;&gt;"PRC_RESID","",IF(N$7=2005+OFFSET(COM_2012!$B$60,$AW277,SUMIF($B$10:$B$16,"NCAP_TLIFE",$AX$10:$AX$16)),0,""))</f>
        <v/>
      </c>
      <c r="O277" s="658" t="str">
        <f ca="1">IF($B277&lt;&gt;"PRC_RESID","",IF(O$7=2005+OFFSET(COM_2012!$B$60,$AW277,SUMIF($B$10:$B$16,"NCAP_TLIFE",$AX$10:$AX$16)),0,""))</f>
        <v/>
      </c>
      <c r="P277" s="369" t="str">
        <f ca="1">IF($B277&lt;&gt;"PRC_RESID","",IF(P$7=2005+OFFSET(COM_2012!$B$60,$AW277,SUMIF($B$10:$B$16,"NCAP_TLIFE",$AX$10:$AX$16)),0,""))</f>
        <v/>
      </c>
      <c r="Q277" s="369" t="str">
        <f ca="1">IF($B277&lt;&gt;"PRC_RESID","",IF(Q$7=2005+OFFSET(COM_2012!$B$60,$AW277,SUMIF($B$10:$B$16,"NCAP_TLIFE",$AX$10:$AX$16)),0,""))</f>
        <v/>
      </c>
      <c r="R277" s="369" t="str">
        <f ca="1">IF($B277&lt;&gt;"PRC_RESID","",IF(R$7=2005+OFFSET(COM_2012!$B$60,$AW277,SUMIF($B$10:$B$16,"NCAP_TLIFE",$AX$10:$AX$16)),0,""))</f>
        <v/>
      </c>
      <c r="S277" s="369" t="str">
        <f ca="1">IF($B277&lt;&gt;"PRC_RESID","",IF(S$7=2005+OFFSET(COM_2012!$B$60,$AW277,SUMIF($B$10:$B$16,"NCAP_TLIFE",$AX$10:$AX$16)),0,""))</f>
        <v/>
      </c>
      <c r="T277" s="369" t="str">
        <f ca="1">IF($B277&lt;&gt;"PRC_RESID","",IF(T$7=2005+OFFSET(COM_2012!$B$60,$AW277,SUMIF($B$10:$B$16,"NCAP_TLIFE",$AX$10:$AX$16)),0,""))</f>
        <v/>
      </c>
      <c r="U277" s="369" t="str">
        <f ca="1">IF($B277&lt;&gt;"PRC_RESID","",IF(U$7=2005+OFFSET(COM_2012!$B$60,$AW277,SUMIF($B$10:$B$16,"NCAP_TLIFE",$AX$10:$AX$16)),0,""))</f>
        <v/>
      </c>
      <c r="V277" s="369" t="str">
        <f ca="1">IF($B277&lt;&gt;"PRC_RESID","",IF(V$7=2005+OFFSET(COM_2012!$B$60,$AW277,SUMIF($B$10:$B$16,"NCAP_TLIFE",$AX$10:$AX$16)),0,""))</f>
        <v/>
      </c>
      <c r="W277" s="369" t="str">
        <f ca="1">IF($B277&lt;&gt;"PRC_RESID","",IF(W$7=2005+OFFSET(COM_2012!$B$60,$AW277,SUMIF($B$10:$B$16,"NCAP_TLIFE",$AX$10:$AX$16)),0,""))</f>
        <v/>
      </c>
      <c r="X277" s="369" t="str">
        <f ca="1">IF($B277&lt;&gt;"PRC_RESID","",IF(X$7=2005+OFFSET(COM_2012!$B$60,$AW277,SUMIF($B$10:$B$16,"NCAP_TLIFE",$AX$10:$AX$16)),0,""))</f>
        <v/>
      </c>
      <c r="Y277" s="369" t="str">
        <f ca="1">IF($B277&lt;&gt;"PRC_RESID","",IF(Y$7=2005+OFFSET(COM_2012!$B$60,$AW277,SUMIF($B$10:$B$16,"NCAP_TLIFE",$AX$10:$AX$16)),0,""))</f>
        <v/>
      </c>
      <c r="Z277" s="369" t="str">
        <f ca="1">IF($B277&lt;&gt;"PRC_RESID","",IF(Z$7=2005+OFFSET(COM_2012!$B$60,$AW277,SUMIF($B$10:$B$16,"NCAP_TLIFE",$AX$10:$AX$16)),0,""))</f>
        <v/>
      </c>
      <c r="AA277" s="369" t="str">
        <f ca="1">IF($B277&lt;&gt;"PRC_RESID","",IF(AA$7=2005+OFFSET(COM_2012!$B$60,$AW277,SUMIF($B$10:$B$16,"NCAP_TLIFE",$AX$10:$AX$16)),0,""))</f>
        <v/>
      </c>
      <c r="AB277" s="369" t="str">
        <f ca="1">IF($B277&lt;&gt;"PRC_RESID","",IF(AB$7=2005+OFFSET(COM_2012!$B$60,$AW277,SUMIF($B$10:$B$16,"NCAP_TLIFE",$AX$10:$AX$16)),0,""))</f>
        <v/>
      </c>
      <c r="AC277" s="369" t="str">
        <f ca="1">IF($B277&lt;&gt;"PRC_RESID","",IF(AC$7=2005+OFFSET(COM_2012!$B$60,$AW277,SUMIF($B$10:$B$16,"NCAP_TLIFE",$AX$10:$AX$16)),0,""))</f>
        <v/>
      </c>
      <c r="AD277" s="369" t="str">
        <f ca="1">IF($B277&lt;&gt;"PRC_RESID","",IF(AD$7=2005+OFFSET(COM_2012!$B$60,$AW277,SUMIF($B$10:$B$16,"NCAP_TLIFE",$AX$10:$AX$16)),0,""))</f>
        <v/>
      </c>
      <c r="AE277" s="369" t="str">
        <f ca="1">IF($B277&lt;&gt;"PRC_RESID","",IF(AE$7=2005+OFFSET(COM_2012!$B$60,$AW277,SUMIF($B$10:$B$16,"NCAP_TLIFE",$AX$10:$AX$16)),0,""))</f>
        <v/>
      </c>
      <c r="AF277" s="369" t="str">
        <f ca="1">IF($B277&lt;&gt;"PRC_RESID","",IF(AF$7=2005+OFFSET(COM_2012!$B$60,$AW277,SUMIF($B$10:$B$16,"NCAP_TLIFE",$AX$10:$AX$16)),0,""))</f>
        <v/>
      </c>
      <c r="AG277" s="369" t="str">
        <f ca="1">IF($B277&lt;&gt;"PRC_RESID","",IF(AG$7=2005+OFFSET(COM_2012!$B$60,$AW277,SUMIF($B$10:$B$16,"NCAP_TLIFE",$AX$10:$AX$16)),0,""))</f>
        <v/>
      </c>
      <c r="AH277" s="369" t="str">
        <f ca="1">IF($B277&lt;&gt;"PRC_RESID","",IF(AH$7=2005+OFFSET(COM_2012!$B$60,$AW277,SUMIF($B$10:$B$16,"NCAP_TLIFE",$AX$10:$AX$16)),0,""))</f>
        <v/>
      </c>
      <c r="AI277" s="369" t="str">
        <f ca="1">IF($B277&lt;&gt;"PRC_RESID","",IF(AI$7=2005+OFFSET(COM_2012!$B$60,$AW277,SUMIF($B$10:$B$16,"NCAP_TLIFE",$AX$10:$AX$16)),0,""))</f>
        <v/>
      </c>
      <c r="AJ277" s="369" t="str">
        <f ca="1">IF($B277&lt;&gt;"PRC_RESID","",IF(AJ$7=2005+OFFSET(COM_2012!$B$60,$AW277,SUMIF($B$10:$B$16,"NCAP_TLIFE",$AX$10:$AX$16)),0,""))</f>
        <v/>
      </c>
      <c r="AK277" s="369" t="str">
        <f ca="1">IF($B277&lt;&gt;"PRC_RESID","",IF(AK$7=2005+OFFSET(COM_2012!$B$60,$AW277,SUMIF($B$10:$B$16,"NCAP_TLIFE",$AX$10:$AX$16)),0,""))</f>
        <v/>
      </c>
      <c r="AL277" s="369" t="str">
        <f ca="1">IF($B277&lt;&gt;"PRC_RESID","",IF(AL$7=2005+OFFSET(COM_2012!$B$60,$AW277,SUMIF($B$10:$B$16,"NCAP_TLIFE",$AX$10:$AX$16)),0,""))</f>
        <v/>
      </c>
      <c r="AM277" s="369" t="str">
        <f ca="1">IF($B277&lt;&gt;"PRC_RESID","",IF(AM$7=2005+OFFSET(COM_2012!$B$60,$AW277,SUMIF($B$10:$B$16,"NCAP_TLIFE",$AX$10:$AX$16)),0,""))</f>
        <v/>
      </c>
      <c r="AN277" s="369" t="str">
        <f ca="1">IF($B277&lt;&gt;"PRC_RESID","",IF(AN$7=2005+OFFSET(COM_2012!$B$60,$AW277,SUMIF($B$10:$B$16,"NCAP_TLIFE",$AX$10:$AX$16)),0,""))</f>
        <v/>
      </c>
      <c r="AO277" s="369" t="str">
        <f ca="1">IF($B277&lt;&gt;"PRC_RESID","",IF(AO$7=2005+OFFSET(COM_2012!$B$60,$AW277,SUMIF($B$10:$B$16,"NCAP_TLIFE",$AX$10:$AX$16)),0,""))</f>
        <v/>
      </c>
      <c r="AP277" s="369" t="str">
        <f ca="1">IF($B277&lt;&gt;"PRC_RESID","",IF(AP$7=2005+OFFSET(COM_2012!$B$60,$AW277,SUMIF($B$10:$B$16,"NCAP_TLIFE",$AX$10:$AX$16)),0,""))</f>
        <v/>
      </c>
      <c r="AQ277" s="369" t="str">
        <f ca="1">IF($B277&lt;&gt;"PRC_RESID","",IF(AQ$7=2005+OFFSET(COM_2012!$B$60,$AW277,SUMIF($B$10:$B$16,"NCAP_TLIFE",$AX$10:$AX$16)),0,""))</f>
        <v/>
      </c>
      <c r="AR277" s="369" t="str">
        <f ca="1">IF($B277&lt;&gt;"PRC_RESID","",IF(AR$7=2005+OFFSET(COM_2012!$B$60,$AW277,SUMIF($B$10:$B$16,"NCAP_TLIFE",$AX$10:$AX$16)),0,""))</f>
        <v/>
      </c>
      <c r="AS277" s="369" t="str">
        <f ca="1">IF($B277&lt;&gt;"PRC_RESID","",IF(AS$7=2005+OFFSET(COM_2012!$B$60,$AW277,SUMIF($B$10:$B$16,"NCAP_TLIFE",$AX$10:$AX$16)),0,""))</f>
        <v/>
      </c>
      <c r="AT277" s="369" t="str">
        <f ca="1">IF($B277&lt;&gt;"PRC_RESID","",IF(AT$7=2005+OFFSET(COM_2012!$B$60,$AW277,SUMIF($B$10:$B$16,"NCAP_TLIFE",$AX$10:$AX$16)),0,""))</f>
        <v/>
      </c>
      <c r="AU277" s="369" t="str">
        <f ca="1">IF($B277&lt;&gt;"PRC_RESID","",IF(AU$7=2005+OFFSET(COM_2012!$B$60,$AW277,SUMIF($B$10:$B$16,"NCAP_TLIFE",$AX$10:$AX$16)),0,""))</f>
        <v/>
      </c>
      <c r="AV277" s="304">
        <f>IF(AW276=COM_2012!$AI$121,AV276+1,AV276)</f>
        <v>5</v>
      </c>
      <c r="AW277" s="304">
        <f t="shared" si="23"/>
        <v>6</v>
      </c>
    </row>
    <row r="278" spans="1:49">
      <c r="A278" s="304" t="str">
        <f ca="1">IF(LEFT(OFFSET(COM_2012!$A$60,AW278,0),2)="\I","*","")</f>
        <v>*</v>
      </c>
      <c r="B278" s="369" t="str">
        <f t="shared" ca="1" si="22"/>
        <v/>
      </c>
      <c r="C278" s="369" t="str">
        <f ca="1">IF($A278="*","",OFFSET(COM_2012!$B$60,AW278,0))</f>
        <v/>
      </c>
      <c r="D278" s="369" t="str">
        <f t="shared" ca="1" si="26"/>
        <v/>
      </c>
      <c r="E278" s="369" t="str">
        <f t="shared" ca="1" si="26"/>
        <v/>
      </c>
      <c r="F278" s="369" t="str">
        <f t="shared" ca="1" si="26"/>
        <v/>
      </c>
      <c r="G278" s="369" t="str">
        <f t="shared" ca="1" si="26"/>
        <v/>
      </c>
      <c r="H278" s="369" t="str">
        <f t="shared" ca="1" si="26"/>
        <v/>
      </c>
      <c r="I278" s="370" t="str">
        <f t="shared" ca="1" si="26"/>
        <v/>
      </c>
      <c r="J278" s="391" t="str">
        <f ca="1">IF($A278="*","",OFFSET(COM_2012!$B$60,AW278,SUMIF($B$10:$B$16,B278,$AX$10:$AX$16)))</f>
        <v/>
      </c>
      <c r="K278" s="369" t="str">
        <f ca="1">IF($B278&lt;&gt;"PRC_RESID","",IF(K$7=2005+OFFSET(COM_2012!$B$60,$AW278,SUMIF($B$10:$B$16,"NCAP_TLIFE",$AX$10:$AX$16)),0,""))</f>
        <v/>
      </c>
      <c r="L278" s="369" t="str">
        <f ca="1">IF($B278&lt;&gt;"PRC_RESID","",IF(L$7=2005+OFFSET(COM_2012!$B$60,$AW278,SUMIF($B$10:$B$16,"NCAP_TLIFE",$AX$10:$AX$16)),0,""))</f>
        <v/>
      </c>
      <c r="M278" s="369" t="str">
        <f ca="1">IF($B278&lt;&gt;"PRC_RESID","",IF(M$7=2005+OFFSET(COM_2012!$B$60,$AW278,SUMIF($B$10:$B$16,"NCAP_TLIFE",$AX$10:$AX$16)),0,""))</f>
        <v/>
      </c>
      <c r="N278" s="369" t="str">
        <f ca="1">IF($B278&lt;&gt;"PRC_RESID","",IF(N$7=2005+OFFSET(COM_2012!$B$60,$AW278,SUMIF($B$10:$B$16,"NCAP_TLIFE",$AX$10:$AX$16)),0,""))</f>
        <v/>
      </c>
      <c r="O278" s="658" t="str">
        <f ca="1">IF($B278&lt;&gt;"PRC_RESID","",IF(O$7=2005+OFFSET(COM_2012!$B$60,$AW278,SUMIF($B$10:$B$16,"NCAP_TLIFE",$AX$10:$AX$16)),0,""))</f>
        <v/>
      </c>
      <c r="P278" s="369" t="str">
        <f ca="1">IF($B278&lt;&gt;"PRC_RESID","",IF(P$7=2005+OFFSET(COM_2012!$B$60,$AW278,SUMIF($B$10:$B$16,"NCAP_TLIFE",$AX$10:$AX$16)),0,""))</f>
        <v/>
      </c>
      <c r="Q278" s="369" t="str">
        <f ca="1">IF($B278&lt;&gt;"PRC_RESID","",IF(Q$7=2005+OFFSET(COM_2012!$B$60,$AW278,SUMIF($B$10:$B$16,"NCAP_TLIFE",$AX$10:$AX$16)),0,""))</f>
        <v/>
      </c>
      <c r="R278" s="369" t="str">
        <f ca="1">IF($B278&lt;&gt;"PRC_RESID","",IF(R$7=2005+OFFSET(COM_2012!$B$60,$AW278,SUMIF($B$10:$B$16,"NCAP_TLIFE",$AX$10:$AX$16)),0,""))</f>
        <v/>
      </c>
      <c r="S278" s="369" t="str">
        <f ca="1">IF($B278&lt;&gt;"PRC_RESID","",IF(S$7=2005+OFFSET(COM_2012!$B$60,$AW278,SUMIF($B$10:$B$16,"NCAP_TLIFE",$AX$10:$AX$16)),0,""))</f>
        <v/>
      </c>
      <c r="T278" s="369" t="str">
        <f ca="1">IF($B278&lt;&gt;"PRC_RESID","",IF(T$7=2005+OFFSET(COM_2012!$B$60,$AW278,SUMIF($B$10:$B$16,"NCAP_TLIFE",$AX$10:$AX$16)),0,""))</f>
        <v/>
      </c>
      <c r="U278" s="369" t="str">
        <f ca="1">IF($B278&lt;&gt;"PRC_RESID","",IF(U$7=2005+OFFSET(COM_2012!$B$60,$AW278,SUMIF($B$10:$B$16,"NCAP_TLIFE",$AX$10:$AX$16)),0,""))</f>
        <v/>
      </c>
      <c r="V278" s="369" t="str">
        <f ca="1">IF($B278&lt;&gt;"PRC_RESID","",IF(V$7=2005+OFFSET(COM_2012!$B$60,$AW278,SUMIF($B$10:$B$16,"NCAP_TLIFE",$AX$10:$AX$16)),0,""))</f>
        <v/>
      </c>
      <c r="W278" s="369" t="str">
        <f ca="1">IF($B278&lt;&gt;"PRC_RESID","",IF(W$7=2005+OFFSET(COM_2012!$B$60,$AW278,SUMIF($B$10:$B$16,"NCAP_TLIFE",$AX$10:$AX$16)),0,""))</f>
        <v/>
      </c>
      <c r="X278" s="369" t="str">
        <f ca="1">IF($B278&lt;&gt;"PRC_RESID","",IF(X$7=2005+OFFSET(COM_2012!$B$60,$AW278,SUMIF($B$10:$B$16,"NCAP_TLIFE",$AX$10:$AX$16)),0,""))</f>
        <v/>
      </c>
      <c r="Y278" s="369" t="str">
        <f ca="1">IF($B278&lt;&gt;"PRC_RESID","",IF(Y$7=2005+OFFSET(COM_2012!$B$60,$AW278,SUMIF($B$10:$B$16,"NCAP_TLIFE",$AX$10:$AX$16)),0,""))</f>
        <v/>
      </c>
      <c r="Z278" s="369" t="str">
        <f ca="1">IF($B278&lt;&gt;"PRC_RESID","",IF(Z$7=2005+OFFSET(COM_2012!$B$60,$AW278,SUMIF($B$10:$B$16,"NCAP_TLIFE",$AX$10:$AX$16)),0,""))</f>
        <v/>
      </c>
      <c r="AA278" s="369" t="str">
        <f ca="1">IF($B278&lt;&gt;"PRC_RESID","",IF(AA$7=2005+OFFSET(COM_2012!$B$60,$AW278,SUMIF($B$10:$B$16,"NCAP_TLIFE",$AX$10:$AX$16)),0,""))</f>
        <v/>
      </c>
      <c r="AB278" s="369" t="str">
        <f ca="1">IF($B278&lt;&gt;"PRC_RESID","",IF(AB$7=2005+OFFSET(COM_2012!$B$60,$AW278,SUMIF($B$10:$B$16,"NCAP_TLIFE",$AX$10:$AX$16)),0,""))</f>
        <v/>
      </c>
      <c r="AC278" s="369" t="str">
        <f ca="1">IF($B278&lt;&gt;"PRC_RESID","",IF(AC$7=2005+OFFSET(COM_2012!$B$60,$AW278,SUMIF($B$10:$B$16,"NCAP_TLIFE",$AX$10:$AX$16)),0,""))</f>
        <v/>
      </c>
      <c r="AD278" s="369" t="str">
        <f ca="1">IF($B278&lt;&gt;"PRC_RESID","",IF(AD$7=2005+OFFSET(COM_2012!$B$60,$AW278,SUMIF($B$10:$B$16,"NCAP_TLIFE",$AX$10:$AX$16)),0,""))</f>
        <v/>
      </c>
      <c r="AE278" s="369" t="str">
        <f ca="1">IF($B278&lt;&gt;"PRC_RESID","",IF(AE$7=2005+OFFSET(COM_2012!$B$60,$AW278,SUMIF($B$10:$B$16,"NCAP_TLIFE",$AX$10:$AX$16)),0,""))</f>
        <v/>
      </c>
      <c r="AF278" s="369" t="str">
        <f ca="1">IF($B278&lt;&gt;"PRC_RESID","",IF(AF$7=2005+OFFSET(COM_2012!$B$60,$AW278,SUMIF($B$10:$B$16,"NCAP_TLIFE",$AX$10:$AX$16)),0,""))</f>
        <v/>
      </c>
      <c r="AG278" s="369" t="str">
        <f ca="1">IF($B278&lt;&gt;"PRC_RESID","",IF(AG$7=2005+OFFSET(COM_2012!$B$60,$AW278,SUMIF($B$10:$B$16,"NCAP_TLIFE",$AX$10:$AX$16)),0,""))</f>
        <v/>
      </c>
      <c r="AH278" s="369" t="str">
        <f ca="1">IF($B278&lt;&gt;"PRC_RESID","",IF(AH$7=2005+OFFSET(COM_2012!$B$60,$AW278,SUMIF($B$10:$B$16,"NCAP_TLIFE",$AX$10:$AX$16)),0,""))</f>
        <v/>
      </c>
      <c r="AI278" s="369" t="str">
        <f ca="1">IF($B278&lt;&gt;"PRC_RESID","",IF(AI$7=2005+OFFSET(COM_2012!$B$60,$AW278,SUMIF($B$10:$B$16,"NCAP_TLIFE",$AX$10:$AX$16)),0,""))</f>
        <v/>
      </c>
      <c r="AJ278" s="369" t="str">
        <f ca="1">IF($B278&lt;&gt;"PRC_RESID","",IF(AJ$7=2005+OFFSET(COM_2012!$B$60,$AW278,SUMIF($B$10:$B$16,"NCAP_TLIFE",$AX$10:$AX$16)),0,""))</f>
        <v/>
      </c>
      <c r="AK278" s="369" t="str">
        <f ca="1">IF($B278&lt;&gt;"PRC_RESID","",IF(AK$7=2005+OFFSET(COM_2012!$B$60,$AW278,SUMIF($B$10:$B$16,"NCAP_TLIFE",$AX$10:$AX$16)),0,""))</f>
        <v/>
      </c>
      <c r="AL278" s="369" t="str">
        <f ca="1">IF($B278&lt;&gt;"PRC_RESID","",IF(AL$7=2005+OFFSET(COM_2012!$B$60,$AW278,SUMIF($B$10:$B$16,"NCAP_TLIFE",$AX$10:$AX$16)),0,""))</f>
        <v/>
      </c>
      <c r="AM278" s="369" t="str">
        <f ca="1">IF($B278&lt;&gt;"PRC_RESID","",IF(AM$7=2005+OFFSET(COM_2012!$B$60,$AW278,SUMIF($B$10:$B$16,"NCAP_TLIFE",$AX$10:$AX$16)),0,""))</f>
        <v/>
      </c>
      <c r="AN278" s="369" t="str">
        <f ca="1">IF($B278&lt;&gt;"PRC_RESID","",IF(AN$7=2005+OFFSET(COM_2012!$B$60,$AW278,SUMIF($B$10:$B$16,"NCAP_TLIFE",$AX$10:$AX$16)),0,""))</f>
        <v/>
      </c>
      <c r="AO278" s="369" t="str">
        <f ca="1">IF($B278&lt;&gt;"PRC_RESID","",IF(AO$7=2005+OFFSET(COM_2012!$B$60,$AW278,SUMIF($B$10:$B$16,"NCAP_TLIFE",$AX$10:$AX$16)),0,""))</f>
        <v/>
      </c>
      <c r="AP278" s="369" t="str">
        <f ca="1">IF($B278&lt;&gt;"PRC_RESID","",IF(AP$7=2005+OFFSET(COM_2012!$B$60,$AW278,SUMIF($B$10:$B$16,"NCAP_TLIFE",$AX$10:$AX$16)),0,""))</f>
        <v/>
      </c>
      <c r="AQ278" s="369" t="str">
        <f ca="1">IF($B278&lt;&gt;"PRC_RESID","",IF(AQ$7=2005+OFFSET(COM_2012!$B$60,$AW278,SUMIF($B$10:$B$16,"NCAP_TLIFE",$AX$10:$AX$16)),0,""))</f>
        <v/>
      </c>
      <c r="AR278" s="369" t="str">
        <f ca="1">IF($B278&lt;&gt;"PRC_RESID","",IF(AR$7=2005+OFFSET(COM_2012!$B$60,$AW278,SUMIF($B$10:$B$16,"NCAP_TLIFE",$AX$10:$AX$16)),0,""))</f>
        <v/>
      </c>
      <c r="AS278" s="369" t="str">
        <f ca="1">IF($B278&lt;&gt;"PRC_RESID","",IF(AS$7=2005+OFFSET(COM_2012!$B$60,$AW278,SUMIF($B$10:$B$16,"NCAP_TLIFE",$AX$10:$AX$16)),0,""))</f>
        <v/>
      </c>
      <c r="AT278" s="369" t="str">
        <f ca="1">IF($B278&lt;&gt;"PRC_RESID","",IF(AT$7=2005+OFFSET(COM_2012!$B$60,$AW278,SUMIF($B$10:$B$16,"NCAP_TLIFE",$AX$10:$AX$16)),0,""))</f>
        <v/>
      </c>
      <c r="AU278" s="369" t="str">
        <f ca="1">IF($B278&lt;&gt;"PRC_RESID","",IF(AU$7=2005+OFFSET(COM_2012!$B$60,$AW278,SUMIF($B$10:$B$16,"NCAP_TLIFE",$AX$10:$AX$16)),0,""))</f>
        <v/>
      </c>
      <c r="AV278" s="304">
        <f>IF(AW277=COM_2012!$AI$121,AV277+1,AV277)</f>
        <v>5</v>
      </c>
      <c r="AW278" s="304">
        <f t="shared" si="23"/>
        <v>7</v>
      </c>
    </row>
    <row r="279" spans="1:49">
      <c r="A279" s="304" t="str">
        <f ca="1">IF(LEFT(OFFSET(COM_2012!$A$60,AW279,0),2)="\I","*","")</f>
        <v>*</v>
      </c>
      <c r="B279" s="369" t="str">
        <f t="shared" ca="1" si="22"/>
        <v/>
      </c>
      <c r="C279" s="369" t="str">
        <f ca="1">IF($A279="*","",OFFSET(COM_2012!$B$60,AW279,0))</f>
        <v/>
      </c>
      <c r="D279" s="369" t="str">
        <f t="shared" ca="1" si="26"/>
        <v/>
      </c>
      <c r="E279" s="369" t="str">
        <f t="shared" ca="1" si="26"/>
        <v/>
      </c>
      <c r="F279" s="369" t="str">
        <f t="shared" ca="1" si="26"/>
        <v/>
      </c>
      <c r="G279" s="369" t="str">
        <f t="shared" ca="1" si="26"/>
        <v/>
      </c>
      <c r="H279" s="369" t="str">
        <f t="shared" ca="1" si="26"/>
        <v/>
      </c>
      <c r="I279" s="370" t="str">
        <f t="shared" ca="1" si="26"/>
        <v/>
      </c>
      <c r="J279" s="391" t="str">
        <f ca="1">IF($A279="*","",OFFSET(COM_2012!$B$60,AW279,SUMIF($B$10:$B$16,B279,$AX$10:$AX$16)))</f>
        <v/>
      </c>
      <c r="K279" s="369" t="str">
        <f ca="1">IF($B279&lt;&gt;"PRC_RESID","",IF(K$7=2005+OFFSET(COM_2012!$B$60,$AW279,SUMIF($B$10:$B$16,"NCAP_TLIFE",$AX$10:$AX$16)),0,""))</f>
        <v/>
      </c>
      <c r="L279" s="369" t="str">
        <f ca="1">IF($B279&lt;&gt;"PRC_RESID","",IF(L$7=2005+OFFSET(COM_2012!$B$60,$AW279,SUMIF($B$10:$B$16,"NCAP_TLIFE",$AX$10:$AX$16)),0,""))</f>
        <v/>
      </c>
      <c r="M279" s="369" t="str">
        <f ca="1">IF($B279&lt;&gt;"PRC_RESID","",IF(M$7=2005+OFFSET(COM_2012!$B$60,$AW279,SUMIF($B$10:$B$16,"NCAP_TLIFE",$AX$10:$AX$16)),0,""))</f>
        <v/>
      </c>
      <c r="N279" s="369" t="str">
        <f ca="1">IF($B279&lt;&gt;"PRC_RESID","",IF(N$7=2005+OFFSET(COM_2012!$B$60,$AW279,SUMIF($B$10:$B$16,"NCAP_TLIFE",$AX$10:$AX$16)),0,""))</f>
        <v/>
      </c>
      <c r="O279" s="658" t="str">
        <f ca="1">IF($B279&lt;&gt;"PRC_RESID","",IF(O$7=2005+OFFSET(COM_2012!$B$60,$AW279,SUMIF($B$10:$B$16,"NCAP_TLIFE",$AX$10:$AX$16)),0,""))</f>
        <v/>
      </c>
      <c r="P279" s="369" t="str">
        <f ca="1">IF($B279&lt;&gt;"PRC_RESID","",IF(P$7=2005+OFFSET(COM_2012!$B$60,$AW279,SUMIF($B$10:$B$16,"NCAP_TLIFE",$AX$10:$AX$16)),0,""))</f>
        <v/>
      </c>
      <c r="Q279" s="369" t="str">
        <f ca="1">IF($B279&lt;&gt;"PRC_RESID","",IF(Q$7=2005+OFFSET(COM_2012!$B$60,$AW279,SUMIF($B$10:$B$16,"NCAP_TLIFE",$AX$10:$AX$16)),0,""))</f>
        <v/>
      </c>
      <c r="R279" s="369" t="str">
        <f ca="1">IF($B279&lt;&gt;"PRC_RESID","",IF(R$7=2005+OFFSET(COM_2012!$B$60,$AW279,SUMIF($B$10:$B$16,"NCAP_TLIFE",$AX$10:$AX$16)),0,""))</f>
        <v/>
      </c>
      <c r="S279" s="369" t="str">
        <f ca="1">IF($B279&lt;&gt;"PRC_RESID","",IF(S$7=2005+OFFSET(COM_2012!$B$60,$AW279,SUMIF($B$10:$B$16,"NCAP_TLIFE",$AX$10:$AX$16)),0,""))</f>
        <v/>
      </c>
      <c r="T279" s="369" t="str">
        <f ca="1">IF($B279&lt;&gt;"PRC_RESID","",IF(T$7=2005+OFFSET(COM_2012!$B$60,$AW279,SUMIF($B$10:$B$16,"NCAP_TLIFE",$AX$10:$AX$16)),0,""))</f>
        <v/>
      </c>
      <c r="U279" s="369" t="str">
        <f ca="1">IF($B279&lt;&gt;"PRC_RESID","",IF(U$7=2005+OFFSET(COM_2012!$B$60,$AW279,SUMIF($B$10:$B$16,"NCAP_TLIFE",$AX$10:$AX$16)),0,""))</f>
        <v/>
      </c>
      <c r="V279" s="369" t="str">
        <f ca="1">IF($B279&lt;&gt;"PRC_RESID","",IF(V$7=2005+OFFSET(COM_2012!$B$60,$AW279,SUMIF($B$10:$B$16,"NCAP_TLIFE",$AX$10:$AX$16)),0,""))</f>
        <v/>
      </c>
      <c r="W279" s="369" t="str">
        <f ca="1">IF($B279&lt;&gt;"PRC_RESID","",IF(W$7=2005+OFFSET(COM_2012!$B$60,$AW279,SUMIF($B$10:$B$16,"NCAP_TLIFE",$AX$10:$AX$16)),0,""))</f>
        <v/>
      </c>
      <c r="X279" s="369" t="str">
        <f ca="1">IF($B279&lt;&gt;"PRC_RESID","",IF(X$7=2005+OFFSET(COM_2012!$B$60,$AW279,SUMIF($B$10:$B$16,"NCAP_TLIFE",$AX$10:$AX$16)),0,""))</f>
        <v/>
      </c>
      <c r="Y279" s="369" t="str">
        <f ca="1">IF($B279&lt;&gt;"PRC_RESID","",IF(Y$7=2005+OFFSET(COM_2012!$B$60,$AW279,SUMIF($B$10:$B$16,"NCAP_TLIFE",$AX$10:$AX$16)),0,""))</f>
        <v/>
      </c>
      <c r="Z279" s="369" t="str">
        <f ca="1">IF($B279&lt;&gt;"PRC_RESID","",IF(Z$7=2005+OFFSET(COM_2012!$B$60,$AW279,SUMIF($B$10:$B$16,"NCAP_TLIFE",$AX$10:$AX$16)),0,""))</f>
        <v/>
      </c>
      <c r="AA279" s="369" t="str">
        <f ca="1">IF($B279&lt;&gt;"PRC_RESID","",IF(AA$7=2005+OFFSET(COM_2012!$B$60,$AW279,SUMIF($B$10:$B$16,"NCAP_TLIFE",$AX$10:$AX$16)),0,""))</f>
        <v/>
      </c>
      <c r="AB279" s="369" t="str">
        <f ca="1">IF($B279&lt;&gt;"PRC_RESID","",IF(AB$7=2005+OFFSET(COM_2012!$B$60,$AW279,SUMIF($B$10:$B$16,"NCAP_TLIFE",$AX$10:$AX$16)),0,""))</f>
        <v/>
      </c>
      <c r="AC279" s="369" t="str">
        <f ca="1">IF($B279&lt;&gt;"PRC_RESID","",IF(AC$7=2005+OFFSET(COM_2012!$B$60,$AW279,SUMIF($B$10:$B$16,"NCAP_TLIFE",$AX$10:$AX$16)),0,""))</f>
        <v/>
      </c>
      <c r="AD279" s="369" t="str">
        <f ca="1">IF($B279&lt;&gt;"PRC_RESID","",IF(AD$7=2005+OFFSET(COM_2012!$B$60,$AW279,SUMIF($B$10:$B$16,"NCAP_TLIFE",$AX$10:$AX$16)),0,""))</f>
        <v/>
      </c>
      <c r="AE279" s="369" t="str">
        <f ca="1">IF($B279&lt;&gt;"PRC_RESID","",IF(AE$7=2005+OFFSET(COM_2012!$B$60,$AW279,SUMIF($B$10:$B$16,"NCAP_TLIFE",$AX$10:$AX$16)),0,""))</f>
        <v/>
      </c>
      <c r="AF279" s="369" t="str">
        <f ca="1">IF($B279&lt;&gt;"PRC_RESID","",IF(AF$7=2005+OFFSET(COM_2012!$B$60,$AW279,SUMIF($B$10:$B$16,"NCAP_TLIFE",$AX$10:$AX$16)),0,""))</f>
        <v/>
      </c>
      <c r="AG279" s="369" t="str">
        <f ca="1">IF($B279&lt;&gt;"PRC_RESID","",IF(AG$7=2005+OFFSET(COM_2012!$B$60,$AW279,SUMIF($B$10:$B$16,"NCAP_TLIFE",$AX$10:$AX$16)),0,""))</f>
        <v/>
      </c>
      <c r="AH279" s="369" t="str">
        <f ca="1">IF($B279&lt;&gt;"PRC_RESID","",IF(AH$7=2005+OFFSET(COM_2012!$B$60,$AW279,SUMIF($B$10:$B$16,"NCAP_TLIFE",$AX$10:$AX$16)),0,""))</f>
        <v/>
      </c>
      <c r="AI279" s="369" t="str">
        <f ca="1">IF($B279&lt;&gt;"PRC_RESID","",IF(AI$7=2005+OFFSET(COM_2012!$B$60,$AW279,SUMIF($B$10:$B$16,"NCAP_TLIFE",$AX$10:$AX$16)),0,""))</f>
        <v/>
      </c>
      <c r="AJ279" s="369" t="str">
        <f ca="1">IF($B279&lt;&gt;"PRC_RESID","",IF(AJ$7=2005+OFFSET(COM_2012!$B$60,$AW279,SUMIF($B$10:$B$16,"NCAP_TLIFE",$AX$10:$AX$16)),0,""))</f>
        <v/>
      </c>
      <c r="AK279" s="369" t="str">
        <f ca="1">IF($B279&lt;&gt;"PRC_RESID","",IF(AK$7=2005+OFFSET(COM_2012!$B$60,$AW279,SUMIF($B$10:$B$16,"NCAP_TLIFE",$AX$10:$AX$16)),0,""))</f>
        <v/>
      </c>
      <c r="AL279" s="369" t="str">
        <f ca="1">IF($B279&lt;&gt;"PRC_RESID","",IF(AL$7=2005+OFFSET(COM_2012!$B$60,$AW279,SUMIF($B$10:$B$16,"NCAP_TLIFE",$AX$10:$AX$16)),0,""))</f>
        <v/>
      </c>
      <c r="AM279" s="369" t="str">
        <f ca="1">IF($B279&lt;&gt;"PRC_RESID","",IF(AM$7=2005+OFFSET(COM_2012!$B$60,$AW279,SUMIF($B$10:$B$16,"NCAP_TLIFE",$AX$10:$AX$16)),0,""))</f>
        <v/>
      </c>
      <c r="AN279" s="369" t="str">
        <f ca="1">IF($B279&lt;&gt;"PRC_RESID","",IF(AN$7=2005+OFFSET(COM_2012!$B$60,$AW279,SUMIF($B$10:$B$16,"NCAP_TLIFE",$AX$10:$AX$16)),0,""))</f>
        <v/>
      </c>
      <c r="AO279" s="369" t="str">
        <f ca="1">IF($B279&lt;&gt;"PRC_RESID","",IF(AO$7=2005+OFFSET(COM_2012!$B$60,$AW279,SUMIF($B$10:$B$16,"NCAP_TLIFE",$AX$10:$AX$16)),0,""))</f>
        <v/>
      </c>
      <c r="AP279" s="369" t="str">
        <f ca="1">IF($B279&lt;&gt;"PRC_RESID","",IF(AP$7=2005+OFFSET(COM_2012!$B$60,$AW279,SUMIF($B$10:$B$16,"NCAP_TLIFE",$AX$10:$AX$16)),0,""))</f>
        <v/>
      </c>
      <c r="AQ279" s="369" t="str">
        <f ca="1">IF($B279&lt;&gt;"PRC_RESID","",IF(AQ$7=2005+OFFSET(COM_2012!$B$60,$AW279,SUMIF($B$10:$B$16,"NCAP_TLIFE",$AX$10:$AX$16)),0,""))</f>
        <v/>
      </c>
      <c r="AR279" s="369" t="str">
        <f ca="1">IF($B279&lt;&gt;"PRC_RESID","",IF(AR$7=2005+OFFSET(COM_2012!$B$60,$AW279,SUMIF($B$10:$B$16,"NCAP_TLIFE",$AX$10:$AX$16)),0,""))</f>
        <v/>
      </c>
      <c r="AS279" s="369" t="str">
        <f ca="1">IF($B279&lt;&gt;"PRC_RESID","",IF(AS$7=2005+OFFSET(COM_2012!$B$60,$AW279,SUMIF($B$10:$B$16,"NCAP_TLIFE",$AX$10:$AX$16)),0,""))</f>
        <v/>
      </c>
      <c r="AT279" s="369" t="str">
        <f ca="1">IF($B279&lt;&gt;"PRC_RESID","",IF(AT$7=2005+OFFSET(COM_2012!$B$60,$AW279,SUMIF($B$10:$B$16,"NCAP_TLIFE",$AX$10:$AX$16)),0,""))</f>
        <v/>
      </c>
      <c r="AU279" s="369" t="str">
        <f ca="1">IF($B279&lt;&gt;"PRC_RESID","",IF(AU$7=2005+OFFSET(COM_2012!$B$60,$AW279,SUMIF($B$10:$B$16,"NCAP_TLIFE",$AX$10:$AX$16)),0,""))</f>
        <v/>
      </c>
      <c r="AV279" s="304">
        <f>IF(AW278=COM_2012!$AI$121,AV278+1,AV278)</f>
        <v>5</v>
      </c>
      <c r="AW279" s="304">
        <f t="shared" si="23"/>
        <v>8</v>
      </c>
    </row>
    <row r="280" spans="1:49">
      <c r="A280" s="304" t="str">
        <f ca="1">IF(LEFT(OFFSET(COM_2012!$A$60,AW280,0),2)="\I","*","")</f>
        <v/>
      </c>
      <c r="B280" s="369" t="str">
        <f t="shared" ca="1" si="22"/>
        <v>NCAP_FOM</v>
      </c>
      <c r="C280" s="369" t="str">
        <f ca="1">IF($A280="*","",OFFSET(COM_2012!$B$60,AW280,0))</f>
        <v>CEHCOA-E</v>
      </c>
      <c r="D280" s="369" t="str">
        <f t="shared" ca="1" si="26"/>
        <v>-</v>
      </c>
      <c r="E280" s="369" t="str">
        <f t="shared" ca="1" si="26"/>
        <v>-</v>
      </c>
      <c r="F280" s="369" t="str">
        <f t="shared" ca="1" si="26"/>
        <v>-</v>
      </c>
      <c r="G280" s="369" t="str">
        <f t="shared" ca="1" si="26"/>
        <v>-</v>
      </c>
      <c r="H280" s="369" t="str">
        <f t="shared" ca="1" si="26"/>
        <v>-</v>
      </c>
      <c r="I280" s="370">
        <f t="shared" ca="1" si="26"/>
        <v>0</v>
      </c>
      <c r="J280" s="391">
        <f ca="1">IF($A280="*","",OFFSET(COM_2012!$B$60,AW280,SUMIF($B$10:$B$16,B280,$AX$10:$AX$16)))</f>
        <v>17.945037756394218</v>
      </c>
      <c r="K280" s="369" t="str">
        <f ca="1">IF($B280&lt;&gt;"PRC_RESID","",IF(K$7=2005+OFFSET(COM_2012!$B$60,$AW280,SUMIF($B$10:$B$16,"NCAP_TLIFE",$AX$10:$AX$16)),0,""))</f>
        <v/>
      </c>
      <c r="L280" s="369" t="str">
        <f ca="1">IF($B280&lt;&gt;"PRC_RESID","",IF(L$7=2005+OFFSET(COM_2012!$B$60,$AW280,SUMIF($B$10:$B$16,"NCAP_TLIFE",$AX$10:$AX$16)),0,""))</f>
        <v/>
      </c>
      <c r="M280" s="369" t="str">
        <f ca="1">IF($B280&lt;&gt;"PRC_RESID","",IF(M$7=2005+OFFSET(COM_2012!$B$60,$AW280,SUMIF($B$10:$B$16,"NCAP_TLIFE",$AX$10:$AX$16)),0,""))</f>
        <v/>
      </c>
      <c r="N280" s="369" t="str">
        <f ca="1">IF($B280&lt;&gt;"PRC_RESID","",IF(N$7=2005+OFFSET(COM_2012!$B$60,$AW280,SUMIF($B$10:$B$16,"NCAP_TLIFE",$AX$10:$AX$16)),0,""))</f>
        <v/>
      </c>
      <c r="O280" s="658" t="str">
        <f ca="1">IF($B280&lt;&gt;"PRC_RESID","",IF(O$7=2005+OFFSET(COM_2012!$B$60,$AW280,SUMIF($B$10:$B$16,"NCAP_TLIFE",$AX$10:$AX$16)),0,""))</f>
        <v/>
      </c>
      <c r="P280" s="369" t="str">
        <f ca="1">IF($B280&lt;&gt;"PRC_RESID","",IF(P$7=2005+OFFSET(COM_2012!$B$60,$AW280,SUMIF($B$10:$B$16,"NCAP_TLIFE",$AX$10:$AX$16)),0,""))</f>
        <v/>
      </c>
      <c r="Q280" s="369" t="str">
        <f ca="1">IF($B280&lt;&gt;"PRC_RESID","",IF(Q$7=2005+OFFSET(COM_2012!$B$60,$AW280,SUMIF($B$10:$B$16,"NCAP_TLIFE",$AX$10:$AX$16)),0,""))</f>
        <v/>
      </c>
      <c r="R280" s="369" t="str">
        <f ca="1">IF($B280&lt;&gt;"PRC_RESID","",IF(R$7=2005+OFFSET(COM_2012!$B$60,$AW280,SUMIF($B$10:$B$16,"NCAP_TLIFE",$AX$10:$AX$16)),0,""))</f>
        <v/>
      </c>
      <c r="S280" s="369" t="str">
        <f ca="1">IF($B280&lt;&gt;"PRC_RESID","",IF(S$7=2005+OFFSET(COM_2012!$B$60,$AW280,SUMIF($B$10:$B$16,"NCAP_TLIFE",$AX$10:$AX$16)),0,""))</f>
        <v/>
      </c>
      <c r="T280" s="369" t="str">
        <f ca="1">IF($B280&lt;&gt;"PRC_RESID","",IF(T$7=2005+OFFSET(COM_2012!$B$60,$AW280,SUMIF($B$10:$B$16,"NCAP_TLIFE",$AX$10:$AX$16)),0,""))</f>
        <v/>
      </c>
      <c r="U280" s="369" t="str">
        <f ca="1">IF($B280&lt;&gt;"PRC_RESID","",IF(U$7=2005+OFFSET(COM_2012!$B$60,$AW280,SUMIF($B$10:$B$16,"NCAP_TLIFE",$AX$10:$AX$16)),0,""))</f>
        <v/>
      </c>
      <c r="V280" s="369" t="str">
        <f ca="1">IF($B280&lt;&gt;"PRC_RESID","",IF(V$7=2005+OFFSET(COM_2012!$B$60,$AW280,SUMIF($B$10:$B$16,"NCAP_TLIFE",$AX$10:$AX$16)),0,""))</f>
        <v/>
      </c>
      <c r="W280" s="369" t="str">
        <f ca="1">IF($B280&lt;&gt;"PRC_RESID","",IF(W$7=2005+OFFSET(COM_2012!$B$60,$AW280,SUMIF($B$10:$B$16,"NCAP_TLIFE",$AX$10:$AX$16)),0,""))</f>
        <v/>
      </c>
      <c r="X280" s="369" t="str">
        <f ca="1">IF($B280&lt;&gt;"PRC_RESID","",IF(X$7=2005+OFFSET(COM_2012!$B$60,$AW280,SUMIF($B$10:$B$16,"NCAP_TLIFE",$AX$10:$AX$16)),0,""))</f>
        <v/>
      </c>
      <c r="Y280" s="369" t="str">
        <f ca="1">IF($B280&lt;&gt;"PRC_RESID","",IF(Y$7=2005+OFFSET(COM_2012!$B$60,$AW280,SUMIF($B$10:$B$16,"NCAP_TLIFE",$AX$10:$AX$16)),0,""))</f>
        <v/>
      </c>
      <c r="Z280" s="369" t="str">
        <f ca="1">IF($B280&lt;&gt;"PRC_RESID","",IF(Z$7=2005+OFFSET(COM_2012!$B$60,$AW280,SUMIF($B$10:$B$16,"NCAP_TLIFE",$AX$10:$AX$16)),0,""))</f>
        <v/>
      </c>
      <c r="AA280" s="369" t="str">
        <f ca="1">IF($B280&lt;&gt;"PRC_RESID","",IF(AA$7=2005+OFFSET(COM_2012!$B$60,$AW280,SUMIF($B$10:$B$16,"NCAP_TLIFE",$AX$10:$AX$16)),0,""))</f>
        <v/>
      </c>
      <c r="AB280" s="369" t="str">
        <f ca="1">IF($B280&lt;&gt;"PRC_RESID","",IF(AB$7=2005+OFFSET(COM_2012!$B$60,$AW280,SUMIF($B$10:$B$16,"NCAP_TLIFE",$AX$10:$AX$16)),0,""))</f>
        <v/>
      </c>
      <c r="AC280" s="369" t="str">
        <f ca="1">IF($B280&lt;&gt;"PRC_RESID","",IF(AC$7=2005+OFFSET(COM_2012!$B$60,$AW280,SUMIF($B$10:$B$16,"NCAP_TLIFE",$AX$10:$AX$16)),0,""))</f>
        <v/>
      </c>
      <c r="AD280" s="369" t="str">
        <f ca="1">IF($B280&lt;&gt;"PRC_RESID","",IF(AD$7=2005+OFFSET(COM_2012!$B$60,$AW280,SUMIF($B$10:$B$16,"NCAP_TLIFE",$AX$10:$AX$16)),0,""))</f>
        <v/>
      </c>
      <c r="AE280" s="369" t="str">
        <f ca="1">IF($B280&lt;&gt;"PRC_RESID","",IF(AE$7=2005+OFFSET(COM_2012!$B$60,$AW280,SUMIF($B$10:$B$16,"NCAP_TLIFE",$AX$10:$AX$16)),0,""))</f>
        <v/>
      </c>
      <c r="AF280" s="369" t="str">
        <f ca="1">IF($B280&lt;&gt;"PRC_RESID","",IF(AF$7=2005+OFFSET(COM_2012!$B$60,$AW280,SUMIF($B$10:$B$16,"NCAP_TLIFE",$AX$10:$AX$16)),0,""))</f>
        <v/>
      </c>
      <c r="AG280" s="369" t="str">
        <f ca="1">IF($B280&lt;&gt;"PRC_RESID","",IF(AG$7=2005+OFFSET(COM_2012!$B$60,$AW280,SUMIF($B$10:$B$16,"NCAP_TLIFE",$AX$10:$AX$16)),0,""))</f>
        <v/>
      </c>
      <c r="AH280" s="369" t="str">
        <f ca="1">IF($B280&lt;&gt;"PRC_RESID","",IF(AH$7=2005+OFFSET(COM_2012!$B$60,$AW280,SUMIF($B$10:$B$16,"NCAP_TLIFE",$AX$10:$AX$16)),0,""))</f>
        <v/>
      </c>
      <c r="AI280" s="369" t="str">
        <f ca="1">IF($B280&lt;&gt;"PRC_RESID","",IF(AI$7=2005+OFFSET(COM_2012!$B$60,$AW280,SUMIF($B$10:$B$16,"NCAP_TLIFE",$AX$10:$AX$16)),0,""))</f>
        <v/>
      </c>
      <c r="AJ280" s="369" t="str">
        <f ca="1">IF($B280&lt;&gt;"PRC_RESID","",IF(AJ$7=2005+OFFSET(COM_2012!$B$60,$AW280,SUMIF($B$10:$B$16,"NCAP_TLIFE",$AX$10:$AX$16)),0,""))</f>
        <v/>
      </c>
      <c r="AK280" s="369" t="str">
        <f ca="1">IF($B280&lt;&gt;"PRC_RESID","",IF(AK$7=2005+OFFSET(COM_2012!$B$60,$AW280,SUMIF($B$10:$B$16,"NCAP_TLIFE",$AX$10:$AX$16)),0,""))</f>
        <v/>
      </c>
      <c r="AL280" s="369" t="str">
        <f ca="1">IF($B280&lt;&gt;"PRC_RESID","",IF(AL$7=2005+OFFSET(COM_2012!$B$60,$AW280,SUMIF($B$10:$B$16,"NCAP_TLIFE",$AX$10:$AX$16)),0,""))</f>
        <v/>
      </c>
      <c r="AM280" s="369" t="str">
        <f ca="1">IF($B280&lt;&gt;"PRC_RESID","",IF(AM$7=2005+OFFSET(COM_2012!$B$60,$AW280,SUMIF($B$10:$B$16,"NCAP_TLIFE",$AX$10:$AX$16)),0,""))</f>
        <v/>
      </c>
      <c r="AN280" s="369" t="str">
        <f ca="1">IF($B280&lt;&gt;"PRC_RESID","",IF(AN$7=2005+OFFSET(COM_2012!$B$60,$AW280,SUMIF($B$10:$B$16,"NCAP_TLIFE",$AX$10:$AX$16)),0,""))</f>
        <v/>
      </c>
      <c r="AO280" s="369" t="str">
        <f ca="1">IF($B280&lt;&gt;"PRC_RESID","",IF(AO$7=2005+OFFSET(COM_2012!$B$60,$AW280,SUMIF($B$10:$B$16,"NCAP_TLIFE",$AX$10:$AX$16)),0,""))</f>
        <v/>
      </c>
      <c r="AP280" s="369" t="str">
        <f ca="1">IF($B280&lt;&gt;"PRC_RESID","",IF(AP$7=2005+OFFSET(COM_2012!$B$60,$AW280,SUMIF($B$10:$B$16,"NCAP_TLIFE",$AX$10:$AX$16)),0,""))</f>
        <v/>
      </c>
      <c r="AQ280" s="369" t="str">
        <f ca="1">IF($B280&lt;&gt;"PRC_RESID","",IF(AQ$7=2005+OFFSET(COM_2012!$B$60,$AW280,SUMIF($B$10:$B$16,"NCAP_TLIFE",$AX$10:$AX$16)),0,""))</f>
        <v/>
      </c>
      <c r="AR280" s="369" t="str">
        <f ca="1">IF($B280&lt;&gt;"PRC_RESID","",IF(AR$7=2005+OFFSET(COM_2012!$B$60,$AW280,SUMIF($B$10:$B$16,"NCAP_TLIFE",$AX$10:$AX$16)),0,""))</f>
        <v/>
      </c>
      <c r="AS280" s="369" t="str">
        <f ca="1">IF($B280&lt;&gt;"PRC_RESID","",IF(AS$7=2005+OFFSET(COM_2012!$B$60,$AW280,SUMIF($B$10:$B$16,"NCAP_TLIFE",$AX$10:$AX$16)),0,""))</f>
        <v/>
      </c>
      <c r="AT280" s="369" t="str">
        <f ca="1">IF($B280&lt;&gt;"PRC_RESID","",IF(AT$7=2005+OFFSET(COM_2012!$B$60,$AW280,SUMIF($B$10:$B$16,"NCAP_TLIFE",$AX$10:$AX$16)),0,""))</f>
        <v/>
      </c>
      <c r="AU280" s="369" t="str">
        <f ca="1">IF($B280&lt;&gt;"PRC_RESID","",IF(AU$7=2005+OFFSET(COM_2012!$B$60,$AW280,SUMIF($B$10:$B$16,"NCAP_TLIFE",$AX$10:$AX$16)),0,""))</f>
        <v/>
      </c>
      <c r="AV280" s="304">
        <f>IF(AW279=COM_2012!$AI$121,AV279+1,AV279)</f>
        <v>5</v>
      </c>
      <c r="AW280" s="304">
        <f t="shared" si="23"/>
        <v>9</v>
      </c>
    </row>
    <row r="281" spans="1:49">
      <c r="A281" s="304" t="str">
        <f ca="1">IF(LEFT(OFFSET(COM_2012!$A$60,AW281,0),2)="\I","*","")</f>
        <v/>
      </c>
      <c r="B281" s="369" t="str">
        <f t="shared" ca="1" si="22"/>
        <v>NCAP_FOM</v>
      </c>
      <c r="C281" s="369" t="str">
        <f ca="1">IF($A281="*","",OFFSET(COM_2012!$B$60,AW281,0))</f>
        <v>CEHELC-E</v>
      </c>
      <c r="D281" s="369" t="str">
        <f t="shared" ca="1" si="26"/>
        <v>-</v>
      </c>
      <c r="E281" s="369" t="str">
        <f t="shared" ca="1" si="26"/>
        <v>-</v>
      </c>
      <c r="F281" s="369" t="str">
        <f t="shared" ca="1" si="26"/>
        <v>-</v>
      </c>
      <c r="G281" s="369" t="str">
        <f t="shared" ca="1" si="26"/>
        <v>-</v>
      </c>
      <c r="H281" s="369" t="str">
        <f t="shared" ca="1" si="26"/>
        <v>-</v>
      </c>
      <c r="I281" s="370">
        <f t="shared" ca="1" si="26"/>
        <v>0</v>
      </c>
      <c r="J281" s="391">
        <f ca="1">IF($A281="*","",OFFSET(COM_2012!$B$60,AW281,SUMIF($B$10:$B$16,B281,$AX$10:$AX$16)))</f>
        <v>3.1420618543499241</v>
      </c>
      <c r="K281" s="369" t="str">
        <f ca="1">IF($B281&lt;&gt;"PRC_RESID","",IF(K$7=2005+OFFSET(COM_2012!$B$60,$AW281,SUMIF($B$10:$B$16,"NCAP_TLIFE",$AX$10:$AX$16)),0,""))</f>
        <v/>
      </c>
      <c r="L281" s="369" t="str">
        <f ca="1">IF($B281&lt;&gt;"PRC_RESID","",IF(L$7=2005+OFFSET(COM_2012!$B$60,$AW281,SUMIF($B$10:$B$16,"NCAP_TLIFE",$AX$10:$AX$16)),0,""))</f>
        <v/>
      </c>
      <c r="M281" s="369" t="str">
        <f ca="1">IF($B281&lt;&gt;"PRC_RESID","",IF(M$7=2005+OFFSET(COM_2012!$B$60,$AW281,SUMIF($B$10:$B$16,"NCAP_TLIFE",$AX$10:$AX$16)),0,""))</f>
        <v/>
      </c>
      <c r="N281" s="369" t="str">
        <f ca="1">IF($B281&lt;&gt;"PRC_RESID","",IF(N$7=2005+OFFSET(COM_2012!$B$60,$AW281,SUMIF($B$10:$B$16,"NCAP_TLIFE",$AX$10:$AX$16)),0,""))</f>
        <v/>
      </c>
      <c r="O281" s="658" t="str">
        <f ca="1">IF($B281&lt;&gt;"PRC_RESID","",IF(O$7=2005+OFFSET(COM_2012!$B$60,$AW281,SUMIF($B$10:$B$16,"NCAP_TLIFE",$AX$10:$AX$16)),0,""))</f>
        <v/>
      </c>
      <c r="P281" s="369" t="str">
        <f ca="1">IF($B281&lt;&gt;"PRC_RESID","",IF(P$7=2005+OFFSET(COM_2012!$B$60,$AW281,SUMIF($B$10:$B$16,"NCAP_TLIFE",$AX$10:$AX$16)),0,""))</f>
        <v/>
      </c>
      <c r="Q281" s="369" t="str">
        <f ca="1">IF($B281&lt;&gt;"PRC_RESID","",IF(Q$7=2005+OFFSET(COM_2012!$B$60,$AW281,SUMIF($B$10:$B$16,"NCAP_TLIFE",$AX$10:$AX$16)),0,""))</f>
        <v/>
      </c>
      <c r="R281" s="369" t="str">
        <f ca="1">IF($B281&lt;&gt;"PRC_RESID","",IF(R$7=2005+OFFSET(COM_2012!$B$60,$AW281,SUMIF($B$10:$B$16,"NCAP_TLIFE",$AX$10:$AX$16)),0,""))</f>
        <v/>
      </c>
      <c r="S281" s="369" t="str">
        <f ca="1">IF($B281&lt;&gt;"PRC_RESID","",IF(S$7=2005+OFFSET(COM_2012!$B$60,$AW281,SUMIF($B$10:$B$16,"NCAP_TLIFE",$AX$10:$AX$16)),0,""))</f>
        <v/>
      </c>
      <c r="T281" s="369" t="str">
        <f ca="1">IF($B281&lt;&gt;"PRC_RESID","",IF(T$7=2005+OFFSET(COM_2012!$B$60,$AW281,SUMIF($B$10:$B$16,"NCAP_TLIFE",$AX$10:$AX$16)),0,""))</f>
        <v/>
      </c>
      <c r="U281" s="369" t="str">
        <f ca="1">IF($B281&lt;&gt;"PRC_RESID","",IF(U$7=2005+OFFSET(COM_2012!$B$60,$AW281,SUMIF($B$10:$B$16,"NCAP_TLIFE",$AX$10:$AX$16)),0,""))</f>
        <v/>
      </c>
      <c r="V281" s="369" t="str">
        <f ca="1">IF($B281&lt;&gt;"PRC_RESID","",IF(V$7=2005+OFFSET(COM_2012!$B$60,$AW281,SUMIF($B$10:$B$16,"NCAP_TLIFE",$AX$10:$AX$16)),0,""))</f>
        <v/>
      </c>
      <c r="W281" s="369" t="str">
        <f ca="1">IF($B281&lt;&gt;"PRC_RESID","",IF(W$7=2005+OFFSET(COM_2012!$B$60,$AW281,SUMIF($B$10:$B$16,"NCAP_TLIFE",$AX$10:$AX$16)),0,""))</f>
        <v/>
      </c>
      <c r="X281" s="369" t="str">
        <f ca="1">IF($B281&lt;&gt;"PRC_RESID","",IF(X$7=2005+OFFSET(COM_2012!$B$60,$AW281,SUMIF($B$10:$B$16,"NCAP_TLIFE",$AX$10:$AX$16)),0,""))</f>
        <v/>
      </c>
      <c r="Y281" s="369" t="str">
        <f ca="1">IF($B281&lt;&gt;"PRC_RESID","",IF(Y$7=2005+OFFSET(COM_2012!$B$60,$AW281,SUMIF($B$10:$B$16,"NCAP_TLIFE",$AX$10:$AX$16)),0,""))</f>
        <v/>
      </c>
      <c r="Z281" s="369" t="str">
        <f ca="1">IF($B281&lt;&gt;"PRC_RESID","",IF(Z$7=2005+OFFSET(COM_2012!$B$60,$AW281,SUMIF($B$10:$B$16,"NCAP_TLIFE",$AX$10:$AX$16)),0,""))</f>
        <v/>
      </c>
      <c r="AA281" s="369" t="str">
        <f ca="1">IF($B281&lt;&gt;"PRC_RESID","",IF(AA$7=2005+OFFSET(COM_2012!$B$60,$AW281,SUMIF($B$10:$B$16,"NCAP_TLIFE",$AX$10:$AX$16)),0,""))</f>
        <v/>
      </c>
      <c r="AB281" s="369" t="str">
        <f ca="1">IF($B281&lt;&gt;"PRC_RESID","",IF(AB$7=2005+OFFSET(COM_2012!$B$60,$AW281,SUMIF($B$10:$B$16,"NCAP_TLIFE",$AX$10:$AX$16)),0,""))</f>
        <v/>
      </c>
      <c r="AC281" s="369" t="str">
        <f ca="1">IF($B281&lt;&gt;"PRC_RESID","",IF(AC$7=2005+OFFSET(COM_2012!$B$60,$AW281,SUMIF($B$10:$B$16,"NCAP_TLIFE",$AX$10:$AX$16)),0,""))</f>
        <v/>
      </c>
      <c r="AD281" s="369" t="str">
        <f ca="1">IF($B281&lt;&gt;"PRC_RESID","",IF(AD$7=2005+OFFSET(COM_2012!$B$60,$AW281,SUMIF($B$10:$B$16,"NCAP_TLIFE",$AX$10:$AX$16)),0,""))</f>
        <v/>
      </c>
      <c r="AE281" s="369" t="str">
        <f ca="1">IF($B281&lt;&gt;"PRC_RESID","",IF(AE$7=2005+OFFSET(COM_2012!$B$60,$AW281,SUMIF($B$10:$B$16,"NCAP_TLIFE",$AX$10:$AX$16)),0,""))</f>
        <v/>
      </c>
      <c r="AF281" s="369" t="str">
        <f ca="1">IF($B281&lt;&gt;"PRC_RESID","",IF(AF$7=2005+OFFSET(COM_2012!$B$60,$AW281,SUMIF($B$10:$B$16,"NCAP_TLIFE",$AX$10:$AX$16)),0,""))</f>
        <v/>
      </c>
      <c r="AG281" s="369" t="str">
        <f ca="1">IF($B281&lt;&gt;"PRC_RESID","",IF(AG$7=2005+OFFSET(COM_2012!$B$60,$AW281,SUMIF($B$10:$B$16,"NCAP_TLIFE",$AX$10:$AX$16)),0,""))</f>
        <v/>
      </c>
      <c r="AH281" s="369" t="str">
        <f ca="1">IF($B281&lt;&gt;"PRC_RESID","",IF(AH$7=2005+OFFSET(COM_2012!$B$60,$AW281,SUMIF($B$10:$B$16,"NCAP_TLIFE",$AX$10:$AX$16)),0,""))</f>
        <v/>
      </c>
      <c r="AI281" s="369" t="str">
        <f ca="1">IF($B281&lt;&gt;"PRC_RESID","",IF(AI$7=2005+OFFSET(COM_2012!$B$60,$AW281,SUMIF($B$10:$B$16,"NCAP_TLIFE",$AX$10:$AX$16)),0,""))</f>
        <v/>
      </c>
      <c r="AJ281" s="369" t="str">
        <f ca="1">IF($B281&lt;&gt;"PRC_RESID","",IF(AJ$7=2005+OFFSET(COM_2012!$B$60,$AW281,SUMIF($B$10:$B$16,"NCAP_TLIFE",$AX$10:$AX$16)),0,""))</f>
        <v/>
      </c>
      <c r="AK281" s="369" t="str">
        <f ca="1">IF($B281&lt;&gt;"PRC_RESID","",IF(AK$7=2005+OFFSET(COM_2012!$B$60,$AW281,SUMIF($B$10:$B$16,"NCAP_TLIFE",$AX$10:$AX$16)),0,""))</f>
        <v/>
      </c>
      <c r="AL281" s="369" t="str">
        <f ca="1">IF($B281&lt;&gt;"PRC_RESID","",IF(AL$7=2005+OFFSET(COM_2012!$B$60,$AW281,SUMIF($B$10:$B$16,"NCAP_TLIFE",$AX$10:$AX$16)),0,""))</f>
        <v/>
      </c>
      <c r="AM281" s="369" t="str">
        <f ca="1">IF($B281&lt;&gt;"PRC_RESID","",IF(AM$7=2005+OFFSET(COM_2012!$B$60,$AW281,SUMIF($B$10:$B$16,"NCAP_TLIFE",$AX$10:$AX$16)),0,""))</f>
        <v/>
      </c>
      <c r="AN281" s="369" t="str">
        <f ca="1">IF($B281&lt;&gt;"PRC_RESID","",IF(AN$7=2005+OFFSET(COM_2012!$B$60,$AW281,SUMIF($B$10:$B$16,"NCAP_TLIFE",$AX$10:$AX$16)),0,""))</f>
        <v/>
      </c>
      <c r="AO281" s="369" t="str">
        <f ca="1">IF($B281&lt;&gt;"PRC_RESID","",IF(AO$7=2005+OFFSET(COM_2012!$B$60,$AW281,SUMIF($B$10:$B$16,"NCAP_TLIFE",$AX$10:$AX$16)),0,""))</f>
        <v/>
      </c>
      <c r="AP281" s="369" t="str">
        <f ca="1">IF($B281&lt;&gt;"PRC_RESID","",IF(AP$7=2005+OFFSET(COM_2012!$B$60,$AW281,SUMIF($B$10:$B$16,"NCAP_TLIFE",$AX$10:$AX$16)),0,""))</f>
        <v/>
      </c>
      <c r="AQ281" s="369" t="str">
        <f ca="1">IF($B281&lt;&gt;"PRC_RESID","",IF(AQ$7=2005+OFFSET(COM_2012!$B$60,$AW281,SUMIF($B$10:$B$16,"NCAP_TLIFE",$AX$10:$AX$16)),0,""))</f>
        <v/>
      </c>
      <c r="AR281" s="369" t="str">
        <f ca="1">IF($B281&lt;&gt;"PRC_RESID","",IF(AR$7=2005+OFFSET(COM_2012!$B$60,$AW281,SUMIF($B$10:$B$16,"NCAP_TLIFE",$AX$10:$AX$16)),0,""))</f>
        <v/>
      </c>
      <c r="AS281" s="369" t="str">
        <f ca="1">IF($B281&lt;&gt;"PRC_RESID","",IF(AS$7=2005+OFFSET(COM_2012!$B$60,$AW281,SUMIF($B$10:$B$16,"NCAP_TLIFE",$AX$10:$AX$16)),0,""))</f>
        <v/>
      </c>
      <c r="AT281" s="369" t="str">
        <f ca="1">IF($B281&lt;&gt;"PRC_RESID","",IF(AT$7=2005+OFFSET(COM_2012!$B$60,$AW281,SUMIF($B$10:$B$16,"NCAP_TLIFE",$AX$10:$AX$16)),0,""))</f>
        <v/>
      </c>
      <c r="AU281" s="369" t="str">
        <f ca="1">IF($B281&lt;&gt;"PRC_RESID","",IF(AU$7=2005+OFFSET(COM_2012!$B$60,$AW281,SUMIF($B$10:$B$16,"NCAP_TLIFE",$AX$10:$AX$16)),0,""))</f>
        <v/>
      </c>
      <c r="AV281" s="304">
        <f>IF(AW280=COM_2012!$AI$121,AV280+1,AV280)</f>
        <v>5</v>
      </c>
      <c r="AW281" s="304">
        <f t="shared" si="23"/>
        <v>10</v>
      </c>
    </row>
    <row r="282" spans="1:49">
      <c r="A282" s="304" t="str">
        <f ca="1">IF(LEFT(OFFSET(COM_2012!$A$60,AW282,0),2)="\I","*","")</f>
        <v/>
      </c>
      <c r="B282" s="369" t="str">
        <f t="shared" ca="1" si="22"/>
        <v>NCAP_FOM</v>
      </c>
      <c r="C282" s="369" t="str">
        <f ca="1">IF($A282="*","",OFFSET(COM_2012!$B$60,AW282,0))</f>
        <v>CEHGAS-E</v>
      </c>
      <c r="D282" s="369" t="str">
        <f t="shared" ca="1" si="26"/>
        <v>-</v>
      </c>
      <c r="E282" s="369" t="str">
        <f t="shared" ca="1" si="26"/>
        <v>-</v>
      </c>
      <c r="F282" s="369" t="str">
        <f t="shared" ca="1" si="26"/>
        <v>-</v>
      </c>
      <c r="G282" s="369" t="str">
        <f t="shared" ca="1" si="26"/>
        <v>-</v>
      </c>
      <c r="H282" s="369" t="str">
        <f t="shared" ca="1" si="26"/>
        <v>-</v>
      </c>
      <c r="I282" s="370">
        <f t="shared" ca="1" si="26"/>
        <v>0</v>
      </c>
      <c r="J282" s="391">
        <f ca="1">IF($A282="*","",OFFSET(COM_2012!$B$60,AW282,SUMIF($B$10:$B$16,B282,$AX$10:$AX$16)))</f>
        <v>3.4864360018767009</v>
      </c>
      <c r="K282" s="369" t="str">
        <f ca="1">IF($B282&lt;&gt;"PRC_RESID","",IF(K$7=2005+OFFSET(COM_2012!$B$60,$AW282,SUMIF($B$10:$B$16,"NCAP_TLIFE",$AX$10:$AX$16)),0,""))</f>
        <v/>
      </c>
      <c r="L282" s="369" t="str">
        <f ca="1">IF($B282&lt;&gt;"PRC_RESID","",IF(L$7=2005+OFFSET(COM_2012!$B$60,$AW282,SUMIF($B$10:$B$16,"NCAP_TLIFE",$AX$10:$AX$16)),0,""))</f>
        <v/>
      </c>
      <c r="M282" s="369" t="str">
        <f ca="1">IF($B282&lt;&gt;"PRC_RESID","",IF(M$7=2005+OFFSET(COM_2012!$B$60,$AW282,SUMIF($B$10:$B$16,"NCAP_TLIFE",$AX$10:$AX$16)),0,""))</f>
        <v/>
      </c>
      <c r="N282" s="369" t="str">
        <f ca="1">IF($B282&lt;&gt;"PRC_RESID","",IF(N$7=2005+OFFSET(COM_2012!$B$60,$AW282,SUMIF($B$10:$B$16,"NCAP_TLIFE",$AX$10:$AX$16)),0,""))</f>
        <v/>
      </c>
      <c r="O282" s="658" t="str">
        <f ca="1">IF($B282&lt;&gt;"PRC_RESID","",IF(O$7=2005+OFFSET(COM_2012!$B$60,$AW282,SUMIF($B$10:$B$16,"NCAP_TLIFE",$AX$10:$AX$16)),0,""))</f>
        <v/>
      </c>
      <c r="P282" s="369" t="str">
        <f ca="1">IF($B282&lt;&gt;"PRC_RESID","",IF(P$7=2005+OFFSET(COM_2012!$B$60,$AW282,SUMIF($B$10:$B$16,"NCAP_TLIFE",$AX$10:$AX$16)),0,""))</f>
        <v/>
      </c>
      <c r="Q282" s="369" t="str">
        <f ca="1">IF($B282&lt;&gt;"PRC_RESID","",IF(Q$7=2005+OFFSET(COM_2012!$B$60,$AW282,SUMIF($B$10:$B$16,"NCAP_TLIFE",$AX$10:$AX$16)),0,""))</f>
        <v/>
      </c>
      <c r="R282" s="369" t="str">
        <f ca="1">IF($B282&lt;&gt;"PRC_RESID","",IF(R$7=2005+OFFSET(COM_2012!$B$60,$AW282,SUMIF($B$10:$B$16,"NCAP_TLIFE",$AX$10:$AX$16)),0,""))</f>
        <v/>
      </c>
      <c r="S282" s="369" t="str">
        <f ca="1">IF($B282&lt;&gt;"PRC_RESID","",IF(S$7=2005+OFFSET(COM_2012!$B$60,$AW282,SUMIF($B$10:$B$16,"NCAP_TLIFE",$AX$10:$AX$16)),0,""))</f>
        <v/>
      </c>
      <c r="T282" s="369" t="str">
        <f ca="1">IF($B282&lt;&gt;"PRC_RESID","",IF(T$7=2005+OFFSET(COM_2012!$B$60,$AW282,SUMIF($B$10:$B$16,"NCAP_TLIFE",$AX$10:$AX$16)),0,""))</f>
        <v/>
      </c>
      <c r="U282" s="369" t="str">
        <f ca="1">IF($B282&lt;&gt;"PRC_RESID","",IF(U$7=2005+OFFSET(COM_2012!$B$60,$AW282,SUMIF($B$10:$B$16,"NCAP_TLIFE",$AX$10:$AX$16)),0,""))</f>
        <v/>
      </c>
      <c r="V282" s="369" t="str">
        <f ca="1">IF($B282&lt;&gt;"PRC_RESID","",IF(V$7=2005+OFFSET(COM_2012!$B$60,$AW282,SUMIF($B$10:$B$16,"NCAP_TLIFE",$AX$10:$AX$16)),0,""))</f>
        <v/>
      </c>
      <c r="W282" s="369" t="str">
        <f ca="1">IF($B282&lt;&gt;"PRC_RESID","",IF(W$7=2005+OFFSET(COM_2012!$B$60,$AW282,SUMIF($B$10:$B$16,"NCAP_TLIFE",$AX$10:$AX$16)),0,""))</f>
        <v/>
      </c>
      <c r="X282" s="369" t="str">
        <f ca="1">IF($B282&lt;&gt;"PRC_RESID","",IF(X$7=2005+OFFSET(COM_2012!$B$60,$AW282,SUMIF($B$10:$B$16,"NCAP_TLIFE",$AX$10:$AX$16)),0,""))</f>
        <v/>
      </c>
      <c r="Y282" s="369" t="str">
        <f ca="1">IF($B282&lt;&gt;"PRC_RESID","",IF(Y$7=2005+OFFSET(COM_2012!$B$60,$AW282,SUMIF($B$10:$B$16,"NCAP_TLIFE",$AX$10:$AX$16)),0,""))</f>
        <v/>
      </c>
      <c r="Z282" s="369" t="str">
        <f ca="1">IF($B282&lt;&gt;"PRC_RESID","",IF(Z$7=2005+OFFSET(COM_2012!$B$60,$AW282,SUMIF($B$10:$B$16,"NCAP_TLIFE",$AX$10:$AX$16)),0,""))</f>
        <v/>
      </c>
      <c r="AA282" s="369" t="str">
        <f ca="1">IF($B282&lt;&gt;"PRC_RESID","",IF(AA$7=2005+OFFSET(COM_2012!$B$60,$AW282,SUMIF($B$10:$B$16,"NCAP_TLIFE",$AX$10:$AX$16)),0,""))</f>
        <v/>
      </c>
      <c r="AB282" s="369" t="str">
        <f ca="1">IF($B282&lt;&gt;"PRC_RESID","",IF(AB$7=2005+OFFSET(COM_2012!$B$60,$AW282,SUMIF($B$10:$B$16,"NCAP_TLIFE",$AX$10:$AX$16)),0,""))</f>
        <v/>
      </c>
      <c r="AC282" s="369" t="str">
        <f ca="1">IF($B282&lt;&gt;"PRC_RESID","",IF(AC$7=2005+OFFSET(COM_2012!$B$60,$AW282,SUMIF($B$10:$B$16,"NCAP_TLIFE",$AX$10:$AX$16)),0,""))</f>
        <v/>
      </c>
      <c r="AD282" s="369" t="str">
        <f ca="1">IF($B282&lt;&gt;"PRC_RESID","",IF(AD$7=2005+OFFSET(COM_2012!$B$60,$AW282,SUMIF($B$10:$B$16,"NCAP_TLIFE",$AX$10:$AX$16)),0,""))</f>
        <v/>
      </c>
      <c r="AE282" s="369" t="str">
        <f ca="1">IF($B282&lt;&gt;"PRC_RESID","",IF(AE$7=2005+OFFSET(COM_2012!$B$60,$AW282,SUMIF($B$10:$B$16,"NCAP_TLIFE",$AX$10:$AX$16)),0,""))</f>
        <v/>
      </c>
      <c r="AF282" s="369" t="str">
        <f ca="1">IF($B282&lt;&gt;"PRC_RESID","",IF(AF$7=2005+OFFSET(COM_2012!$B$60,$AW282,SUMIF($B$10:$B$16,"NCAP_TLIFE",$AX$10:$AX$16)),0,""))</f>
        <v/>
      </c>
      <c r="AG282" s="369" t="str">
        <f ca="1">IF($B282&lt;&gt;"PRC_RESID","",IF(AG$7=2005+OFFSET(COM_2012!$B$60,$AW282,SUMIF($B$10:$B$16,"NCAP_TLIFE",$AX$10:$AX$16)),0,""))</f>
        <v/>
      </c>
      <c r="AH282" s="369" t="str">
        <f ca="1">IF($B282&lt;&gt;"PRC_RESID","",IF(AH$7=2005+OFFSET(COM_2012!$B$60,$AW282,SUMIF($B$10:$B$16,"NCAP_TLIFE",$AX$10:$AX$16)),0,""))</f>
        <v/>
      </c>
      <c r="AI282" s="369" t="str">
        <f ca="1">IF($B282&lt;&gt;"PRC_RESID","",IF(AI$7=2005+OFFSET(COM_2012!$B$60,$AW282,SUMIF($B$10:$B$16,"NCAP_TLIFE",$AX$10:$AX$16)),0,""))</f>
        <v/>
      </c>
      <c r="AJ282" s="369" t="str">
        <f ca="1">IF($B282&lt;&gt;"PRC_RESID","",IF(AJ$7=2005+OFFSET(COM_2012!$B$60,$AW282,SUMIF($B$10:$B$16,"NCAP_TLIFE",$AX$10:$AX$16)),0,""))</f>
        <v/>
      </c>
      <c r="AK282" s="369" t="str">
        <f ca="1">IF($B282&lt;&gt;"PRC_RESID","",IF(AK$7=2005+OFFSET(COM_2012!$B$60,$AW282,SUMIF($B$10:$B$16,"NCAP_TLIFE",$AX$10:$AX$16)),0,""))</f>
        <v/>
      </c>
      <c r="AL282" s="369" t="str">
        <f ca="1">IF($B282&lt;&gt;"PRC_RESID","",IF(AL$7=2005+OFFSET(COM_2012!$B$60,$AW282,SUMIF($B$10:$B$16,"NCAP_TLIFE",$AX$10:$AX$16)),0,""))</f>
        <v/>
      </c>
      <c r="AM282" s="369" t="str">
        <f ca="1">IF($B282&lt;&gt;"PRC_RESID","",IF(AM$7=2005+OFFSET(COM_2012!$B$60,$AW282,SUMIF($B$10:$B$16,"NCAP_TLIFE",$AX$10:$AX$16)),0,""))</f>
        <v/>
      </c>
      <c r="AN282" s="369" t="str">
        <f ca="1">IF($B282&lt;&gt;"PRC_RESID","",IF(AN$7=2005+OFFSET(COM_2012!$B$60,$AW282,SUMIF($B$10:$B$16,"NCAP_TLIFE",$AX$10:$AX$16)),0,""))</f>
        <v/>
      </c>
      <c r="AO282" s="369" t="str">
        <f ca="1">IF($B282&lt;&gt;"PRC_RESID","",IF(AO$7=2005+OFFSET(COM_2012!$B$60,$AW282,SUMIF($B$10:$B$16,"NCAP_TLIFE",$AX$10:$AX$16)),0,""))</f>
        <v/>
      </c>
      <c r="AP282" s="369" t="str">
        <f ca="1">IF($B282&lt;&gt;"PRC_RESID","",IF(AP$7=2005+OFFSET(COM_2012!$B$60,$AW282,SUMIF($B$10:$B$16,"NCAP_TLIFE",$AX$10:$AX$16)),0,""))</f>
        <v/>
      </c>
      <c r="AQ282" s="369" t="str">
        <f ca="1">IF($B282&lt;&gt;"PRC_RESID","",IF(AQ$7=2005+OFFSET(COM_2012!$B$60,$AW282,SUMIF($B$10:$B$16,"NCAP_TLIFE",$AX$10:$AX$16)),0,""))</f>
        <v/>
      </c>
      <c r="AR282" s="369" t="str">
        <f ca="1">IF($B282&lt;&gt;"PRC_RESID","",IF(AR$7=2005+OFFSET(COM_2012!$B$60,$AW282,SUMIF($B$10:$B$16,"NCAP_TLIFE",$AX$10:$AX$16)),0,""))</f>
        <v/>
      </c>
      <c r="AS282" s="369" t="str">
        <f ca="1">IF($B282&lt;&gt;"PRC_RESID","",IF(AS$7=2005+OFFSET(COM_2012!$B$60,$AW282,SUMIF($B$10:$B$16,"NCAP_TLIFE",$AX$10:$AX$16)),0,""))</f>
        <v/>
      </c>
      <c r="AT282" s="369" t="str">
        <f ca="1">IF($B282&lt;&gt;"PRC_RESID","",IF(AT$7=2005+OFFSET(COM_2012!$B$60,$AW282,SUMIF($B$10:$B$16,"NCAP_TLIFE",$AX$10:$AX$16)),0,""))</f>
        <v/>
      </c>
      <c r="AU282" s="369" t="str">
        <f ca="1">IF($B282&lt;&gt;"PRC_RESID","",IF(AU$7=2005+OFFSET(COM_2012!$B$60,$AW282,SUMIF($B$10:$B$16,"NCAP_TLIFE",$AX$10:$AX$16)),0,""))</f>
        <v/>
      </c>
      <c r="AV282" s="304">
        <f>IF(AW281=COM_2012!$AI$121,AV281+1,AV281)</f>
        <v>5</v>
      </c>
      <c r="AW282" s="304">
        <f t="shared" si="23"/>
        <v>11</v>
      </c>
    </row>
    <row r="283" spans="1:49">
      <c r="A283" s="304" t="str">
        <f ca="1">IF(LEFT(OFFSET(COM_2012!$A$60,AW283,0),2)="\I","*","")</f>
        <v/>
      </c>
      <c r="B283" s="369" t="str">
        <f t="shared" ca="1" si="22"/>
        <v>NCAP_FOM</v>
      </c>
      <c r="C283" s="369" t="str">
        <f ca="1">IF($A283="*","",OFFSET(COM_2012!$B$60,AW283,0))</f>
        <v>CEHELC-N</v>
      </c>
      <c r="D283" s="369" t="str">
        <f t="shared" ca="1" si="26"/>
        <v>-</v>
      </c>
      <c r="E283" s="369" t="str">
        <f t="shared" ca="1" si="26"/>
        <v>-</v>
      </c>
      <c r="F283" s="369" t="str">
        <f t="shared" ca="1" si="26"/>
        <v>-</v>
      </c>
      <c r="G283" s="369" t="str">
        <f t="shared" ca="1" si="26"/>
        <v>-</v>
      </c>
      <c r="H283" s="369" t="str">
        <f t="shared" ca="1" si="26"/>
        <v>-</v>
      </c>
      <c r="I283" s="370">
        <f t="shared" ca="1" si="26"/>
        <v>0</v>
      </c>
      <c r="J283" s="391">
        <f ca="1">IF($A283="*","",OFFSET(COM_2012!$B$60,AW283,SUMIF($B$10:$B$16,B283,$AX$10:$AX$16)))</f>
        <v>17.945037756394218</v>
      </c>
      <c r="K283" s="369" t="str">
        <f ca="1">IF($B283&lt;&gt;"PRC_RESID","",IF(K$7=2005+OFFSET(COM_2012!$B$60,$AW283,SUMIF($B$10:$B$16,"NCAP_TLIFE",$AX$10:$AX$16)),0,""))</f>
        <v/>
      </c>
      <c r="L283" s="369" t="str">
        <f ca="1">IF($B283&lt;&gt;"PRC_RESID","",IF(L$7=2005+OFFSET(COM_2012!$B$60,$AW283,SUMIF($B$10:$B$16,"NCAP_TLIFE",$AX$10:$AX$16)),0,""))</f>
        <v/>
      </c>
      <c r="M283" s="369" t="str">
        <f ca="1">IF($B283&lt;&gt;"PRC_RESID","",IF(M$7=2005+OFFSET(COM_2012!$B$60,$AW283,SUMIF($B$10:$B$16,"NCAP_TLIFE",$AX$10:$AX$16)),0,""))</f>
        <v/>
      </c>
      <c r="N283" s="369" t="str">
        <f ca="1">IF($B283&lt;&gt;"PRC_RESID","",IF(N$7=2005+OFFSET(COM_2012!$B$60,$AW283,SUMIF($B$10:$B$16,"NCAP_TLIFE",$AX$10:$AX$16)),0,""))</f>
        <v/>
      </c>
      <c r="O283" s="658" t="str">
        <f ca="1">IF($B283&lt;&gt;"PRC_RESID","",IF(O$7=2005+OFFSET(COM_2012!$B$60,$AW283,SUMIF($B$10:$B$16,"NCAP_TLIFE",$AX$10:$AX$16)),0,""))</f>
        <v/>
      </c>
      <c r="P283" s="369" t="str">
        <f ca="1">IF($B283&lt;&gt;"PRC_RESID","",IF(P$7=2005+OFFSET(COM_2012!$B$60,$AW283,SUMIF($B$10:$B$16,"NCAP_TLIFE",$AX$10:$AX$16)),0,""))</f>
        <v/>
      </c>
      <c r="Q283" s="369" t="str">
        <f ca="1">IF($B283&lt;&gt;"PRC_RESID","",IF(Q$7=2005+OFFSET(COM_2012!$B$60,$AW283,SUMIF($B$10:$B$16,"NCAP_TLIFE",$AX$10:$AX$16)),0,""))</f>
        <v/>
      </c>
      <c r="R283" s="369" t="str">
        <f ca="1">IF($B283&lt;&gt;"PRC_RESID","",IF(R$7=2005+OFFSET(COM_2012!$B$60,$AW283,SUMIF($B$10:$B$16,"NCAP_TLIFE",$AX$10:$AX$16)),0,""))</f>
        <v/>
      </c>
      <c r="S283" s="369" t="str">
        <f ca="1">IF($B283&lt;&gt;"PRC_RESID","",IF(S$7=2005+OFFSET(COM_2012!$B$60,$AW283,SUMIF($B$10:$B$16,"NCAP_TLIFE",$AX$10:$AX$16)),0,""))</f>
        <v/>
      </c>
      <c r="T283" s="369" t="str">
        <f ca="1">IF($B283&lt;&gt;"PRC_RESID","",IF(T$7=2005+OFFSET(COM_2012!$B$60,$AW283,SUMIF($B$10:$B$16,"NCAP_TLIFE",$AX$10:$AX$16)),0,""))</f>
        <v/>
      </c>
      <c r="U283" s="369" t="str">
        <f ca="1">IF($B283&lt;&gt;"PRC_RESID","",IF(U$7=2005+OFFSET(COM_2012!$B$60,$AW283,SUMIF($B$10:$B$16,"NCAP_TLIFE",$AX$10:$AX$16)),0,""))</f>
        <v/>
      </c>
      <c r="V283" s="369" t="str">
        <f ca="1">IF($B283&lt;&gt;"PRC_RESID","",IF(V$7=2005+OFFSET(COM_2012!$B$60,$AW283,SUMIF($B$10:$B$16,"NCAP_TLIFE",$AX$10:$AX$16)),0,""))</f>
        <v/>
      </c>
      <c r="W283" s="369" t="str">
        <f ca="1">IF($B283&lt;&gt;"PRC_RESID","",IF(W$7=2005+OFFSET(COM_2012!$B$60,$AW283,SUMIF($B$10:$B$16,"NCAP_TLIFE",$AX$10:$AX$16)),0,""))</f>
        <v/>
      </c>
      <c r="X283" s="369" t="str">
        <f ca="1">IF($B283&lt;&gt;"PRC_RESID","",IF(X$7=2005+OFFSET(COM_2012!$B$60,$AW283,SUMIF($B$10:$B$16,"NCAP_TLIFE",$AX$10:$AX$16)),0,""))</f>
        <v/>
      </c>
      <c r="Y283" s="369" t="str">
        <f ca="1">IF($B283&lt;&gt;"PRC_RESID","",IF(Y$7=2005+OFFSET(COM_2012!$B$60,$AW283,SUMIF($B$10:$B$16,"NCAP_TLIFE",$AX$10:$AX$16)),0,""))</f>
        <v/>
      </c>
      <c r="Z283" s="369" t="str">
        <f ca="1">IF($B283&lt;&gt;"PRC_RESID","",IF(Z$7=2005+OFFSET(COM_2012!$B$60,$AW283,SUMIF($B$10:$B$16,"NCAP_TLIFE",$AX$10:$AX$16)),0,""))</f>
        <v/>
      </c>
      <c r="AA283" s="369" t="str">
        <f ca="1">IF($B283&lt;&gt;"PRC_RESID","",IF(AA$7=2005+OFFSET(COM_2012!$B$60,$AW283,SUMIF($B$10:$B$16,"NCAP_TLIFE",$AX$10:$AX$16)),0,""))</f>
        <v/>
      </c>
      <c r="AB283" s="369" t="str">
        <f ca="1">IF($B283&lt;&gt;"PRC_RESID","",IF(AB$7=2005+OFFSET(COM_2012!$B$60,$AW283,SUMIF($B$10:$B$16,"NCAP_TLIFE",$AX$10:$AX$16)),0,""))</f>
        <v/>
      </c>
      <c r="AC283" s="369" t="str">
        <f ca="1">IF($B283&lt;&gt;"PRC_RESID","",IF(AC$7=2005+OFFSET(COM_2012!$B$60,$AW283,SUMIF($B$10:$B$16,"NCAP_TLIFE",$AX$10:$AX$16)),0,""))</f>
        <v/>
      </c>
      <c r="AD283" s="369" t="str">
        <f ca="1">IF($B283&lt;&gt;"PRC_RESID","",IF(AD$7=2005+OFFSET(COM_2012!$B$60,$AW283,SUMIF($B$10:$B$16,"NCAP_TLIFE",$AX$10:$AX$16)),0,""))</f>
        <v/>
      </c>
      <c r="AE283" s="369" t="str">
        <f ca="1">IF($B283&lt;&gt;"PRC_RESID","",IF(AE$7=2005+OFFSET(COM_2012!$B$60,$AW283,SUMIF($B$10:$B$16,"NCAP_TLIFE",$AX$10:$AX$16)),0,""))</f>
        <v/>
      </c>
      <c r="AF283" s="369" t="str">
        <f ca="1">IF($B283&lt;&gt;"PRC_RESID","",IF(AF$7=2005+OFFSET(COM_2012!$B$60,$AW283,SUMIF($B$10:$B$16,"NCAP_TLIFE",$AX$10:$AX$16)),0,""))</f>
        <v/>
      </c>
      <c r="AG283" s="369" t="str">
        <f ca="1">IF($B283&lt;&gt;"PRC_RESID","",IF(AG$7=2005+OFFSET(COM_2012!$B$60,$AW283,SUMIF($B$10:$B$16,"NCAP_TLIFE",$AX$10:$AX$16)),0,""))</f>
        <v/>
      </c>
      <c r="AH283" s="369" t="str">
        <f ca="1">IF($B283&lt;&gt;"PRC_RESID","",IF(AH$7=2005+OFFSET(COM_2012!$B$60,$AW283,SUMIF($B$10:$B$16,"NCAP_TLIFE",$AX$10:$AX$16)),0,""))</f>
        <v/>
      </c>
      <c r="AI283" s="369" t="str">
        <f ca="1">IF($B283&lt;&gt;"PRC_RESID","",IF(AI$7=2005+OFFSET(COM_2012!$B$60,$AW283,SUMIF($B$10:$B$16,"NCAP_TLIFE",$AX$10:$AX$16)),0,""))</f>
        <v/>
      </c>
      <c r="AJ283" s="369" t="str">
        <f ca="1">IF($B283&lt;&gt;"PRC_RESID","",IF(AJ$7=2005+OFFSET(COM_2012!$B$60,$AW283,SUMIF($B$10:$B$16,"NCAP_TLIFE",$AX$10:$AX$16)),0,""))</f>
        <v/>
      </c>
      <c r="AK283" s="369" t="str">
        <f ca="1">IF($B283&lt;&gt;"PRC_RESID","",IF(AK$7=2005+OFFSET(COM_2012!$B$60,$AW283,SUMIF($B$10:$B$16,"NCAP_TLIFE",$AX$10:$AX$16)),0,""))</f>
        <v/>
      </c>
      <c r="AL283" s="369" t="str">
        <f ca="1">IF($B283&lt;&gt;"PRC_RESID","",IF(AL$7=2005+OFFSET(COM_2012!$B$60,$AW283,SUMIF($B$10:$B$16,"NCAP_TLIFE",$AX$10:$AX$16)),0,""))</f>
        <v/>
      </c>
      <c r="AM283" s="369" t="str">
        <f ca="1">IF($B283&lt;&gt;"PRC_RESID","",IF(AM$7=2005+OFFSET(COM_2012!$B$60,$AW283,SUMIF($B$10:$B$16,"NCAP_TLIFE",$AX$10:$AX$16)),0,""))</f>
        <v/>
      </c>
      <c r="AN283" s="369" t="str">
        <f ca="1">IF($B283&lt;&gt;"PRC_RESID","",IF(AN$7=2005+OFFSET(COM_2012!$B$60,$AW283,SUMIF($B$10:$B$16,"NCAP_TLIFE",$AX$10:$AX$16)),0,""))</f>
        <v/>
      </c>
      <c r="AO283" s="369" t="str">
        <f ca="1">IF($B283&lt;&gt;"PRC_RESID","",IF(AO$7=2005+OFFSET(COM_2012!$B$60,$AW283,SUMIF($B$10:$B$16,"NCAP_TLIFE",$AX$10:$AX$16)),0,""))</f>
        <v/>
      </c>
      <c r="AP283" s="369" t="str">
        <f ca="1">IF($B283&lt;&gt;"PRC_RESID","",IF(AP$7=2005+OFFSET(COM_2012!$B$60,$AW283,SUMIF($B$10:$B$16,"NCAP_TLIFE",$AX$10:$AX$16)),0,""))</f>
        <v/>
      </c>
      <c r="AQ283" s="369" t="str">
        <f ca="1">IF($B283&lt;&gt;"PRC_RESID","",IF(AQ$7=2005+OFFSET(COM_2012!$B$60,$AW283,SUMIF($B$10:$B$16,"NCAP_TLIFE",$AX$10:$AX$16)),0,""))</f>
        <v/>
      </c>
      <c r="AR283" s="369" t="str">
        <f ca="1">IF($B283&lt;&gt;"PRC_RESID","",IF(AR$7=2005+OFFSET(COM_2012!$B$60,$AW283,SUMIF($B$10:$B$16,"NCAP_TLIFE",$AX$10:$AX$16)),0,""))</f>
        <v/>
      </c>
      <c r="AS283" s="369" t="str">
        <f ca="1">IF($B283&lt;&gt;"PRC_RESID","",IF(AS$7=2005+OFFSET(COM_2012!$B$60,$AW283,SUMIF($B$10:$B$16,"NCAP_TLIFE",$AX$10:$AX$16)),0,""))</f>
        <v/>
      </c>
      <c r="AT283" s="369" t="str">
        <f ca="1">IF($B283&lt;&gt;"PRC_RESID","",IF(AT$7=2005+OFFSET(COM_2012!$B$60,$AW283,SUMIF($B$10:$B$16,"NCAP_TLIFE",$AX$10:$AX$16)),0,""))</f>
        <v/>
      </c>
      <c r="AU283" s="369" t="str">
        <f ca="1">IF($B283&lt;&gt;"PRC_RESID","",IF(AU$7=2005+OFFSET(COM_2012!$B$60,$AW283,SUMIF($B$10:$B$16,"NCAP_TLIFE",$AX$10:$AX$16)),0,""))</f>
        <v/>
      </c>
      <c r="AV283" s="304">
        <f>IF(AW282=COM_2012!$AI$121,AV282+1,AV282)</f>
        <v>5</v>
      </c>
      <c r="AW283" s="304">
        <f t="shared" si="23"/>
        <v>12</v>
      </c>
    </row>
    <row r="284" spans="1:49">
      <c r="A284" s="304" t="str">
        <f ca="1">IF(LEFT(OFFSET(COM_2012!$A$60,AW284,0),2)="\I","*","")</f>
        <v/>
      </c>
      <c r="B284" s="369" t="str">
        <f t="shared" ref="B284:B347" ca="1" si="27">IF(A284="*","",VLOOKUP("*"&amp;AV284,$A$9:$B$16,2,FALSE))</f>
        <v>NCAP_FOM</v>
      </c>
      <c r="C284" s="369" t="str">
        <f ca="1">IF($A284="*","",OFFSET(COM_2012!$B$60,AW284,0))</f>
        <v>CEHGAS-N</v>
      </c>
      <c r="D284" s="369" t="str">
        <f t="shared" ref="D284:I302" ca="1" si="28">IF($A284="*","",VLOOKUP($B284,$B$10:$I$16,D$9,FALSE))</f>
        <v>-</v>
      </c>
      <c r="E284" s="369" t="str">
        <f t="shared" ca="1" si="28"/>
        <v>-</v>
      </c>
      <c r="F284" s="369" t="str">
        <f t="shared" ca="1" si="28"/>
        <v>-</v>
      </c>
      <c r="G284" s="369" t="str">
        <f t="shared" ca="1" si="28"/>
        <v>-</v>
      </c>
      <c r="H284" s="369" t="str">
        <f t="shared" ca="1" si="28"/>
        <v>-</v>
      </c>
      <c r="I284" s="370">
        <f t="shared" ca="1" si="28"/>
        <v>0</v>
      </c>
      <c r="J284" s="391">
        <f ca="1">IF($A284="*","",OFFSET(COM_2012!$B$60,AW284,SUMIF($B$10:$B$16,B284,$AX$10:$AX$16)))</f>
        <v>3.4864360018767009</v>
      </c>
      <c r="K284" s="369" t="str">
        <f ca="1">IF($B284&lt;&gt;"PRC_RESID","",IF(K$7=2005+OFFSET(COM_2012!$B$60,$AW284,SUMIF($B$10:$B$16,"NCAP_TLIFE",$AX$10:$AX$16)),0,""))</f>
        <v/>
      </c>
      <c r="L284" s="369" t="str">
        <f ca="1">IF($B284&lt;&gt;"PRC_RESID","",IF(L$7=2005+OFFSET(COM_2012!$B$60,$AW284,SUMIF($B$10:$B$16,"NCAP_TLIFE",$AX$10:$AX$16)),0,""))</f>
        <v/>
      </c>
      <c r="M284" s="369" t="str">
        <f ca="1">IF($B284&lt;&gt;"PRC_RESID","",IF(M$7=2005+OFFSET(COM_2012!$B$60,$AW284,SUMIF($B$10:$B$16,"NCAP_TLIFE",$AX$10:$AX$16)),0,""))</f>
        <v/>
      </c>
      <c r="N284" s="369" t="str">
        <f ca="1">IF($B284&lt;&gt;"PRC_RESID","",IF(N$7=2005+OFFSET(COM_2012!$B$60,$AW284,SUMIF($B$10:$B$16,"NCAP_TLIFE",$AX$10:$AX$16)),0,""))</f>
        <v/>
      </c>
      <c r="O284" s="658" t="str">
        <f ca="1">IF($B284&lt;&gt;"PRC_RESID","",IF(O$7=2005+OFFSET(COM_2012!$B$60,$AW284,SUMIF($B$10:$B$16,"NCAP_TLIFE",$AX$10:$AX$16)),0,""))</f>
        <v/>
      </c>
      <c r="P284" s="369" t="str">
        <f ca="1">IF($B284&lt;&gt;"PRC_RESID","",IF(P$7=2005+OFFSET(COM_2012!$B$60,$AW284,SUMIF($B$10:$B$16,"NCAP_TLIFE",$AX$10:$AX$16)),0,""))</f>
        <v/>
      </c>
      <c r="Q284" s="369" t="str">
        <f ca="1">IF($B284&lt;&gt;"PRC_RESID","",IF(Q$7=2005+OFFSET(COM_2012!$B$60,$AW284,SUMIF($B$10:$B$16,"NCAP_TLIFE",$AX$10:$AX$16)),0,""))</f>
        <v/>
      </c>
      <c r="R284" s="369" t="str">
        <f ca="1">IF($B284&lt;&gt;"PRC_RESID","",IF(R$7=2005+OFFSET(COM_2012!$B$60,$AW284,SUMIF($B$10:$B$16,"NCAP_TLIFE",$AX$10:$AX$16)),0,""))</f>
        <v/>
      </c>
      <c r="S284" s="369" t="str">
        <f ca="1">IF($B284&lt;&gt;"PRC_RESID","",IF(S$7=2005+OFFSET(COM_2012!$B$60,$AW284,SUMIF($B$10:$B$16,"NCAP_TLIFE",$AX$10:$AX$16)),0,""))</f>
        <v/>
      </c>
      <c r="T284" s="369" t="str">
        <f ca="1">IF($B284&lt;&gt;"PRC_RESID","",IF(T$7=2005+OFFSET(COM_2012!$B$60,$AW284,SUMIF($B$10:$B$16,"NCAP_TLIFE",$AX$10:$AX$16)),0,""))</f>
        <v/>
      </c>
      <c r="U284" s="369" t="str">
        <f ca="1">IF($B284&lt;&gt;"PRC_RESID","",IF(U$7=2005+OFFSET(COM_2012!$B$60,$AW284,SUMIF($B$10:$B$16,"NCAP_TLIFE",$AX$10:$AX$16)),0,""))</f>
        <v/>
      </c>
      <c r="V284" s="369" t="str">
        <f ca="1">IF($B284&lt;&gt;"PRC_RESID","",IF(V$7=2005+OFFSET(COM_2012!$B$60,$AW284,SUMIF($B$10:$B$16,"NCAP_TLIFE",$AX$10:$AX$16)),0,""))</f>
        <v/>
      </c>
      <c r="W284" s="369" t="str">
        <f ca="1">IF($B284&lt;&gt;"PRC_RESID","",IF(W$7=2005+OFFSET(COM_2012!$B$60,$AW284,SUMIF($B$10:$B$16,"NCAP_TLIFE",$AX$10:$AX$16)),0,""))</f>
        <v/>
      </c>
      <c r="X284" s="369" t="str">
        <f ca="1">IF($B284&lt;&gt;"PRC_RESID","",IF(X$7=2005+OFFSET(COM_2012!$B$60,$AW284,SUMIF($B$10:$B$16,"NCAP_TLIFE",$AX$10:$AX$16)),0,""))</f>
        <v/>
      </c>
      <c r="Y284" s="369" t="str">
        <f ca="1">IF($B284&lt;&gt;"PRC_RESID","",IF(Y$7=2005+OFFSET(COM_2012!$B$60,$AW284,SUMIF($B$10:$B$16,"NCAP_TLIFE",$AX$10:$AX$16)),0,""))</f>
        <v/>
      </c>
      <c r="Z284" s="369" t="str">
        <f ca="1">IF($B284&lt;&gt;"PRC_RESID","",IF(Z$7=2005+OFFSET(COM_2012!$B$60,$AW284,SUMIF($B$10:$B$16,"NCAP_TLIFE",$AX$10:$AX$16)),0,""))</f>
        <v/>
      </c>
      <c r="AA284" s="369" t="str">
        <f ca="1">IF($B284&lt;&gt;"PRC_RESID","",IF(AA$7=2005+OFFSET(COM_2012!$B$60,$AW284,SUMIF($B$10:$B$16,"NCAP_TLIFE",$AX$10:$AX$16)),0,""))</f>
        <v/>
      </c>
      <c r="AB284" s="369" t="str">
        <f ca="1">IF($B284&lt;&gt;"PRC_RESID","",IF(AB$7=2005+OFFSET(COM_2012!$B$60,$AW284,SUMIF($B$10:$B$16,"NCAP_TLIFE",$AX$10:$AX$16)),0,""))</f>
        <v/>
      </c>
      <c r="AC284" s="369" t="str">
        <f ca="1">IF($B284&lt;&gt;"PRC_RESID","",IF(AC$7=2005+OFFSET(COM_2012!$B$60,$AW284,SUMIF($B$10:$B$16,"NCAP_TLIFE",$AX$10:$AX$16)),0,""))</f>
        <v/>
      </c>
      <c r="AD284" s="369" t="str">
        <f ca="1">IF($B284&lt;&gt;"PRC_RESID","",IF(AD$7=2005+OFFSET(COM_2012!$B$60,$AW284,SUMIF($B$10:$B$16,"NCAP_TLIFE",$AX$10:$AX$16)),0,""))</f>
        <v/>
      </c>
      <c r="AE284" s="369" t="str">
        <f ca="1">IF($B284&lt;&gt;"PRC_RESID","",IF(AE$7=2005+OFFSET(COM_2012!$B$60,$AW284,SUMIF($B$10:$B$16,"NCAP_TLIFE",$AX$10:$AX$16)),0,""))</f>
        <v/>
      </c>
      <c r="AF284" s="369" t="str">
        <f ca="1">IF($B284&lt;&gt;"PRC_RESID","",IF(AF$7=2005+OFFSET(COM_2012!$B$60,$AW284,SUMIF($B$10:$B$16,"NCAP_TLIFE",$AX$10:$AX$16)),0,""))</f>
        <v/>
      </c>
      <c r="AG284" s="369" t="str">
        <f ca="1">IF($B284&lt;&gt;"PRC_RESID","",IF(AG$7=2005+OFFSET(COM_2012!$B$60,$AW284,SUMIF($B$10:$B$16,"NCAP_TLIFE",$AX$10:$AX$16)),0,""))</f>
        <v/>
      </c>
      <c r="AH284" s="369" t="str">
        <f ca="1">IF($B284&lt;&gt;"PRC_RESID","",IF(AH$7=2005+OFFSET(COM_2012!$B$60,$AW284,SUMIF($B$10:$B$16,"NCAP_TLIFE",$AX$10:$AX$16)),0,""))</f>
        <v/>
      </c>
      <c r="AI284" s="369" t="str">
        <f ca="1">IF($B284&lt;&gt;"PRC_RESID","",IF(AI$7=2005+OFFSET(COM_2012!$B$60,$AW284,SUMIF($B$10:$B$16,"NCAP_TLIFE",$AX$10:$AX$16)),0,""))</f>
        <v/>
      </c>
      <c r="AJ284" s="369" t="str">
        <f ca="1">IF($B284&lt;&gt;"PRC_RESID","",IF(AJ$7=2005+OFFSET(COM_2012!$B$60,$AW284,SUMIF($B$10:$B$16,"NCAP_TLIFE",$AX$10:$AX$16)),0,""))</f>
        <v/>
      </c>
      <c r="AK284" s="369" t="str">
        <f ca="1">IF($B284&lt;&gt;"PRC_RESID","",IF(AK$7=2005+OFFSET(COM_2012!$B$60,$AW284,SUMIF($B$10:$B$16,"NCAP_TLIFE",$AX$10:$AX$16)),0,""))</f>
        <v/>
      </c>
      <c r="AL284" s="369" t="str">
        <f ca="1">IF($B284&lt;&gt;"PRC_RESID","",IF(AL$7=2005+OFFSET(COM_2012!$B$60,$AW284,SUMIF($B$10:$B$16,"NCAP_TLIFE",$AX$10:$AX$16)),0,""))</f>
        <v/>
      </c>
      <c r="AM284" s="369" t="str">
        <f ca="1">IF($B284&lt;&gt;"PRC_RESID","",IF(AM$7=2005+OFFSET(COM_2012!$B$60,$AW284,SUMIF($B$10:$B$16,"NCAP_TLIFE",$AX$10:$AX$16)),0,""))</f>
        <v/>
      </c>
      <c r="AN284" s="369" t="str">
        <f ca="1">IF($B284&lt;&gt;"PRC_RESID","",IF(AN$7=2005+OFFSET(COM_2012!$B$60,$AW284,SUMIF($B$10:$B$16,"NCAP_TLIFE",$AX$10:$AX$16)),0,""))</f>
        <v/>
      </c>
      <c r="AO284" s="369" t="str">
        <f ca="1">IF($B284&lt;&gt;"PRC_RESID","",IF(AO$7=2005+OFFSET(COM_2012!$B$60,$AW284,SUMIF($B$10:$B$16,"NCAP_TLIFE",$AX$10:$AX$16)),0,""))</f>
        <v/>
      </c>
      <c r="AP284" s="369" t="str">
        <f ca="1">IF($B284&lt;&gt;"PRC_RESID","",IF(AP$7=2005+OFFSET(COM_2012!$B$60,$AW284,SUMIF($B$10:$B$16,"NCAP_TLIFE",$AX$10:$AX$16)),0,""))</f>
        <v/>
      </c>
      <c r="AQ284" s="369" t="str">
        <f ca="1">IF($B284&lt;&gt;"PRC_RESID","",IF(AQ$7=2005+OFFSET(COM_2012!$B$60,$AW284,SUMIF($B$10:$B$16,"NCAP_TLIFE",$AX$10:$AX$16)),0,""))</f>
        <v/>
      </c>
      <c r="AR284" s="369" t="str">
        <f ca="1">IF($B284&lt;&gt;"PRC_RESID","",IF(AR$7=2005+OFFSET(COM_2012!$B$60,$AW284,SUMIF($B$10:$B$16,"NCAP_TLIFE",$AX$10:$AX$16)),0,""))</f>
        <v/>
      </c>
      <c r="AS284" s="369" t="str">
        <f ca="1">IF($B284&lt;&gt;"PRC_RESID","",IF(AS$7=2005+OFFSET(COM_2012!$B$60,$AW284,SUMIF($B$10:$B$16,"NCAP_TLIFE",$AX$10:$AX$16)),0,""))</f>
        <v/>
      </c>
      <c r="AT284" s="369" t="str">
        <f ca="1">IF($B284&lt;&gt;"PRC_RESID","",IF(AT$7=2005+OFFSET(COM_2012!$B$60,$AW284,SUMIF($B$10:$B$16,"NCAP_TLIFE",$AX$10:$AX$16)),0,""))</f>
        <v/>
      </c>
      <c r="AU284" s="369" t="str">
        <f ca="1">IF($B284&lt;&gt;"PRC_RESID","",IF(AU$7=2005+OFFSET(COM_2012!$B$60,$AW284,SUMIF($B$10:$B$16,"NCAP_TLIFE",$AX$10:$AX$16)),0,""))</f>
        <v/>
      </c>
      <c r="AV284" s="304">
        <f>IF(AW283=COM_2012!$AI$121,AV283+1,AV283)</f>
        <v>5</v>
      </c>
      <c r="AW284" s="304">
        <f t="shared" si="23"/>
        <v>13</v>
      </c>
    </row>
    <row r="285" spans="1:49">
      <c r="A285" s="304" t="str">
        <f ca="1">IF(LEFT(OFFSET(COM_2012!$A$60,AW285,0),2)="\I","*","")</f>
        <v>*</v>
      </c>
      <c r="B285" s="369" t="str">
        <f t="shared" ca="1" si="27"/>
        <v/>
      </c>
      <c r="C285" s="369" t="str">
        <f ca="1">IF($A285="*","",OFFSET(COM_2012!$B$60,AW285,0))</f>
        <v/>
      </c>
      <c r="D285" s="369" t="str">
        <f t="shared" ca="1" si="28"/>
        <v/>
      </c>
      <c r="E285" s="369" t="str">
        <f t="shared" ca="1" si="28"/>
        <v/>
      </c>
      <c r="F285" s="369" t="str">
        <f t="shared" ca="1" si="28"/>
        <v/>
      </c>
      <c r="G285" s="369" t="str">
        <f t="shared" ca="1" si="28"/>
        <v/>
      </c>
      <c r="H285" s="369" t="str">
        <f t="shared" ca="1" si="28"/>
        <v/>
      </c>
      <c r="I285" s="370" t="str">
        <f t="shared" ca="1" si="28"/>
        <v/>
      </c>
      <c r="J285" s="391" t="str">
        <f ca="1">IF($A285="*","",OFFSET(COM_2012!$B$60,AW285,SUMIF($B$10:$B$16,B285,$AX$10:$AX$16)))</f>
        <v/>
      </c>
      <c r="K285" s="369" t="str">
        <f ca="1">IF($B285&lt;&gt;"PRC_RESID","",IF(K$7=2005+OFFSET(COM_2012!$B$60,$AW285,SUMIF($B$10:$B$16,"NCAP_TLIFE",$AX$10:$AX$16)),0,""))</f>
        <v/>
      </c>
      <c r="L285" s="369" t="str">
        <f ca="1">IF($B285&lt;&gt;"PRC_RESID","",IF(L$7=2005+OFFSET(COM_2012!$B$60,$AW285,SUMIF($B$10:$B$16,"NCAP_TLIFE",$AX$10:$AX$16)),0,""))</f>
        <v/>
      </c>
      <c r="M285" s="369" t="str">
        <f ca="1">IF($B285&lt;&gt;"PRC_RESID","",IF(M$7=2005+OFFSET(COM_2012!$B$60,$AW285,SUMIF($B$10:$B$16,"NCAP_TLIFE",$AX$10:$AX$16)),0,""))</f>
        <v/>
      </c>
      <c r="N285" s="369" t="str">
        <f ca="1">IF($B285&lt;&gt;"PRC_RESID","",IF(N$7=2005+OFFSET(COM_2012!$B$60,$AW285,SUMIF($B$10:$B$16,"NCAP_TLIFE",$AX$10:$AX$16)),0,""))</f>
        <v/>
      </c>
      <c r="O285" s="658" t="str">
        <f ca="1">IF($B285&lt;&gt;"PRC_RESID","",IF(O$7=2005+OFFSET(COM_2012!$B$60,$AW285,SUMIF($B$10:$B$16,"NCAP_TLIFE",$AX$10:$AX$16)),0,""))</f>
        <v/>
      </c>
      <c r="P285" s="369" t="str">
        <f ca="1">IF($B285&lt;&gt;"PRC_RESID","",IF(P$7=2005+OFFSET(COM_2012!$B$60,$AW285,SUMIF($B$10:$B$16,"NCAP_TLIFE",$AX$10:$AX$16)),0,""))</f>
        <v/>
      </c>
      <c r="Q285" s="369" t="str">
        <f ca="1">IF($B285&lt;&gt;"PRC_RESID","",IF(Q$7=2005+OFFSET(COM_2012!$B$60,$AW285,SUMIF($B$10:$B$16,"NCAP_TLIFE",$AX$10:$AX$16)),0,""))</f>
        <v/>
      </c>
      <c r="R285" s="369" t="str">
        <f ca="1">IF($B285&lt;&gt;"PRC_RESID","",IF(R$7=2005+OFFSET(COM_2012!$B$60,$AW285,SUMIF($B$10:$B$16,"NCAP_TLIFE",$AX$10:$AX$16)),0,""))</f>
        <v/>
      </c>
      <c r="S285" s="369" t="str">
        <f ca="1">IF($B285&lt;&gt;"PRC_RESID","",IF(S$7=2005+OFFSET(COM_2012!$B$60,$AW285,SUMIF($B$10:$B$16,"NCAP_TLIFE",$AX$10:$AX$16)),0,""))</f>
        <v/>
      </c>
      <c r="T285" s="369" t="str">
        <f ca="1">IF($B285&lt;&gt;"PRC_RESID","",IF(T$7=2005+OFFSET(COM_2012!$B$60,$AW285,SUMIF($B$10:$B$16,"NCAP_TLIFE",$AX$10:$AX$16)),0,""))</f>
        <v/>
      </c>
      <c r="U285" s="369" t="str">
        <f ca="1">IF($B285&lt;&gt;"PRC_RESID","",IF(U$7=2005+OFFSET(COM_2012!$B$60,$AW285,SUMIF($B$10:$B$16,"NCAP_TLIFE",$AX$10:$AX$16)),0,""))</f>
        <v/>
      </c>
      <c r="V285" s="369" t="str">
        <f ca="1">IF($B285&lt;&gt;"PRC_RESID","",IF(V$7=2005+OFFSET(COM_2012!$B$60,$AW285,SUMIF($B$10:$B$16,"NCAP_TLIFE",$AX$10:$AX$16)),0,""))</f>
        <v/>
      </c>
      <c r="W285" s="369" t="str">
        <f ca="1">IF($B285&lt;&gt;"PRC_RESID","",IF(W$7=2005+OFFSET(COM_2012!$B$60,$AW285,SUMIF($B$10:$B$16,"NCAP_TLIFE",$AX$10:$AX$16)),0,""))</f>
        <v/>
      </c>
      <c r="X285" s="369" t="str">
        <f ca="1">IF($B285&lt;&gt;"PRC_RESID","",IF(X$7=2005+OFFSET(COM_2012!$B$60,$AW285,SUMIF($B$10:$B$16,"NCAP_TLIFE",$AX$10:$AX$16)),0,""))</f>
        <v/>
      </c>
      <c r="Y285" s="369" t="str">
        <f ca="1">IF($B285&lt;&gt;"PRC_RESID","",IF(Y$7=2005+OFFSET(COM_2012!$B$60,$AW285,SUMIF($B$10:$B$16,"NCAP_TLIFE",$AX$10:$AX$16)),0,""))</f>
        <v/>
      </c>
      <c r="Z285" s="369" t="str">
        <f ca="1">IF($B285&lt;&gt;"PRC_RESID","",IF(Z$7=2005+OFFSET(COM_2012!$B$60,$AW285,SUMIF($B$10:$B$16,"NCAP_TLIFE",$AX$10:$AX$16)),0,""))</f>
        <v/>
      </c>
      <c r="AA285" s="369" t="str">
        <f ca="1">IF($B285&lt;&gt;"PRC_RESID","",IF(AA$7=2005+OFFSET(COM_2012!$B$60,$AW285,SUMIF($B$10:$B$16,"NCAP_TLIFE",$AX$10:$AX$16)),0,""))</f>
        <v/>
      </c>
      <c r="AB285" s="369" t="str">
        <f ca="1">IF($B285&lt;&gt;"PRC_RESID","",IF(AB$7=2005+OFFSET(COM_2012!$B$60,$AW285,SUMIF($B$10:$B$16,"NCAP_TLIFE",$AX$10:$AX$16)),0,""))</f>
        <v/>
      </c>
      <c r="AC285" s="369" t="str">
        <f ca="1">IF($B285&lt;&gt;"PRC_RESID","",IF(AC$7=2005+OFFSET(COM_2012!$B$60,$AW285,SUMIF($B$10:$B$16,"NCAP_TLIFE",$AX$10:$AX$16)),0,""))</f>
        <v/>
      </c>
      <c r="AD285" s="369" t="str">
        <f ca="1">IF($B285&lt;&gt;"PRC_RESID","",IF(AD$7=2005+OFFSET(COM_2012!$B$60,$AW285,SUMIF($B$10:$B$16,"NCAP_TLIFE",$AX$10:$AX$16)),0,""))</f>
        <v/>
      </c>
      <c r="AE285" s="369" t="str">
        <f ca="1">IF($B285&lt;&gt;"PRC_RESID","",IF(AE$7=2005+OFFSET(COM_2012!$B$60,$AW285,SUMIF($B$10:$B$16,"NCAP_TLIFE",$AX$10:$AX$16)),0,""))</f>
        <v/>
      </c>
      <c r="AF285" s="369" t="str">
        <f ca="1">IF($B285&lt;&gt;"PRC_RESID","",IF(AF$7=2005+OFFSET(COM_2012!$B$60,$AW285,SUMIF($B$10:$B$16,"NCAP_TLIFE",$AX$10:$AX$16)),0,""))</f>
        <v/>
      </c>
      <c r="AG285" s="369" t="str">
        <f ca="1">IF($B285&lt;&gt;"PRC_RESID","",IF(AG$7=2005+OFFSET(COM_2012!$B$60,$AW285,SUMIF($B$10:$B$16,"NCAP_TLIFE",$AX$10:$AX$16)),0,""))</f>
        <v/>
      </c>
      <c r="AH285" s="369" t="str">
        <f ca="1">IF($B285&lt;&gt;"PRC_RESID","",IF(AH$7=2005+OFFSET(COM_2012!$B$60,$AW285,SUMIF($B$10:$B$16,"NCAP_TLIFE",$AX$10:$AX$16)),0,""))</f>
        <v/>
      </c>
      <c r="AI285" s="369" t="str">
        <f ca="1">IF($B285&lt;&gt;"PRC_RESID","",IF(AI$7=2005+OFFSET(COM_2012!$B$60,$AW285,SUMIF($B$10:$B$16,"NCAP_TLIFE",$AX$10:$AX$16)),0,""))</f>
        <v/>
      </c>
      <c r="AJ285" s="369" t="str">
        <f ca="1">IF($B285&lt;&gt;"PRC_RESID","",IF(AJ$7=2005+OFFSET(COM_2012!$B$60,$AW285,SUMIF($B$10:$B$16,"NCAP_TLIFE",$AX$10:$AX$16)),0,""))</f>
        <v/>
      </c>
      <c r="AK285" s="369" t="str">
        <f ca="1">IF($B285&lt;&gt;"PRC_RESID","",IF(AK$7=2005+OFFSET(COM_2012!$B$60,$AW285,SUMIF($B$10:$B$16,"NCAP_TLIFE",$AX$10:$AX$16)),0,""))</f>
        <v/>
      </c>
      <c r="AL285" s="369" t="str">
        <f ca="1">IF($B285&lt;&gt;"PRC_RESID","",IF(AL$7=2005+OFFSET(COM_2012!$B$60,$AW285,SUMIF($B$10:$B$16,"NCAP_TLIFE",$AX$10:$AX$16)),0,""))</f>
        <v/>
      </c>
      <c r="AM285" s="369" t="str">
        <f ca="1">IF($B285&lt;&gt;"PRC_RESID","",IF(AM$7=2005+OFFSET(COM_2012!$B$60,$AW285,SUMIF($B$10:$B$16,"NCAP_TLIFE",$AX$10:$AX$16)),0,""))</f>
        <v/>
      </c>
      <c r="AN285" s="369" t="str">
        <f ca="1">IF($B285&lt;&gt;"PRC_RESID","",IF(AN$7=2005+OFFSET(COM_2012!$B$60,$AW285,SUMIF($B$10:$B$16,"NCAP_TLIFE",$AX$10:$AX$16)),0,""))</f>
        <v/>
      </c>
      <c r="AO285" s="369" t="str">
        <f ca="1">IF($B285&lt;&gt;"PRC_RESID","",IF(AO$7=2005+OFFSET(COM_2012!$B$60,$AW285,SUMIF($B$10:$B$16,"NCAP_TLIFE",$AX$10:$AX$16)),0,""))</f>
        <v/>
      </c>
      <c r="AP285" s="369" t="str">
        <f ca="1">IF($B285&lt;&gt;"PRC_RESID","",IF(AP$7=2005+OFFSET(COM_2012!$B$60,$AW285,SUMIF($B$10:$B$16,"NCAP_TLIFE",$AX$10:$AX$16)),0,""))</f>
        <v/>
      </c>
      <c r="AQ285" s="369" t="str">
        <f ca="1">IF($B285&lt;&gt;"PRC_RESID","",IF(AQ$7=2005+OFFSET(COM_2012!$B$60,$AW285,SUMIF($B$10:$B$16,"NCAP_TLIFE",$AX$10:$AX$16)),0,""))</f>
        <v/>
      </c>
      <c r="AR285" s="369" t="str">
        <f ca="1">IF($B285&lt;&gt;"PRC_RESID","",IF(AR$7=2005+OFFSET(COM_2012!$B$60,$AW285,SUMIF($B$10:$B$16,"NCAP_TLIFE",$AX$10:$AX$16)),0,""))</f>
        <v/>
      </c>
      <c r="AS285" s="369" t="str">
        <f ca="1">IF($B285&lt;&gt;"PRC_RESID","",IF(AS$7=2005+OFFSET(COM_2012!$B$60,$AW285,SUMIF($B$10:$B$16,"NCAP_TLIFE",$AX$10:$AX$16)),0,""))</f>
        <v/>
      </c>
      <c r="AT285" s="369" t="str">
        <f ca="1">IF($B285&lt;&gt;"PRC_RESID","",IF(AT$7=2005+OFFSET(COM_2012!$B$60,$AW285,SUMIF($B$10:$B$16,"NCAP_TLIFE",$AX$10:$AX$16)),0,""))</f>
        <v/>
      </c>
      <c r="AU285" s="369" t="str">
        <f ca="1">IF($B285&lt;&gt;"PRC_RESID","",IF(AU$7=2005+OFFSET(COM_2012!$B$60,$AW285,SUMIF($B$10:$B$16,"NCAP_TLIFE",$AX$10:$AX$16)),0,""))</f>
        <v/>
      </c>
      <c r="AV285" s="304">
        <f>IF(AW284=COM_2012!$AI$121,AV284+1,AV284)</f>
        <v>5</v>
      </c>
      <c r="AW285" s="304">
        <f t="shared" si="23"/>
        <v>14</v>
      </c>
    </row>
    <row r="286" spans="1:49">
      <c r="A286" s="304" t="str">
        <f ca="1">IF(LEFT(OFFSET(COM_2012!$A$60,AW286,0),2)="\I","*","")</f>
        <v>*</v>
      </c>
      <c r="B286" s="369" t="str">
        <f t="shared" ca="1" si="27"/>
        <v/>
      </c>
      <c r="C286" s="369" t="str">
        <f ca="1">IF($A286="*","",OFFSET(COM_2012!$B$60,AW286,0))</f>
        <v/>
      </c>
      <c r="D286" s="369" t="str">
        <f t="shared" ca="1" si="28"/>
        <v/>
      </c>
      <c r="E286" s="369" t="str">
        <f t="shared" ca="1" si="28"/>
        <v/>
      </c>
      <c r="F286" s="369" t="str">
        <f t="shared" ca="1" si="28"/>
        <v/>
      </c>
      <c r="G286" s="369" t="str">
        <f t="shared" ca="1" si="28"/>
        <v/>
      </c>
      <c r="H286" s="369" t="str">
        <f t="shared" ca="1" si="28"/>
        <v/>
      </c>
      <c r="I286" s="370" t="str">
        <f t="shared" ca="1" si="28"/>
        <v/>
      </c>
      <c r="J286" s="391" t="str">
        <f ca="1">IF($A286="*","",OFFSET(COM_2012!$B$60,AW286,SUMIF($B$10:$B$16,B286,$AX$10:$AX$16)))</f>
        <v/>
      </c>
      <c r="K286" s="369" t="str">
        <f ca="1">IF($B286&lt;&gt;"PRC_RESID","",IF(K$7=2005+OFFSET(COM_2012!$B$60,$AW286,SUMIF($B$10:$B$16,"NCAP_TLIFE",$AX$10:$AX$16)),0,""))</f>
        <v/>
      </c>
      <c r="L286" s="369" t="str">
        <f ca="1">IF($B286&lt;&gt;"PRC_RESID","",IF(L$7=2005+OFFSET(COM_2012!$B$60,$AW286,SUMIF($B$10:$B$16,"NCAP_TLIFE",$AX$10:$AX$16)),0,""))</f>
        <v/>
      </c>
      <c r="M286" s="369" t="str">
        <f ca="1">IF($B286&lt;&gt;"PRC_RESID","",IF(M$7=2005+OFFSET(COM_2012!$B$60,$AW286,SUMIF($B$10:$B$16,"NCAP_TLIFE",$AX$10:$AX$16)),0,""))</f>
        <v/>
      </c>
      <c r="N286" s="369" t="str">
        <f ca="1">IF($B286&lt;&gt;"PRC_RESID","",IF(N$7=2005+OFFSET(COM_2012!$B$60,$AW286,SUMIF($B$10:$B$16,"NCAP_TLIFE",$AX$10:$AX$16)),0,""))</f>
        <v/>
      </c>
      <c r="O286" s="658" t="str">
        <f ca="1">IF($B286&lt;&gt;"PRC_RESID","",IF(O$7=2005+OFFSET(COM_2012!$B$60,$AW286,SUMIF($B$10:$B$16,"NCAP_TLIFE",$AX$10:$AX$16)),0,""))</f>
        <v/>
      </c>
      <c r="P286" s="369" t="str">
        <f ca="1">IF($B286&lt;&gt;"PRC_RESID","",IF(P$7=2005+OFFSET(COM_2012!$B$60,$AW286,SUMIF($B$10:$B$16,"NCAP_TLIFE",$AX$10:$AX$16)),0,""))</f>
        <v/>
      </c>
      <c r="Q286" s="369" t="str">
        <f ca="1">IF($B286&lt;&gt;"PRC_RESID","",IF(Q$7=2005+OFFSET(COM_2012!$B$60,$AW286,SUMIF($B$10:$B$16,"NCAP_TLIFE",$AX$10:$AX$16)),0,""))</f>
        <v/>
      </c>
      <c r="R286" s="369" t="str">
        <f ca="1">IF($B286&lt;&gt;"PRC_RESID","",IF(R$7=2005+OFFSET(COM_2012!$B$60,$AW286,SUMIF($B$10:$B$16,"NCAP_TLIFE",$AX$10:$AX$16)),0,""))</f>
        <v/>
      </c>
      <c r="S286" s="369" t="str">
        <f ca="1">IF($B286&lt;&gt;"PRC_RESID","",IF(S$7=2005+OFFSET(COM_2012!$B$60,$AW286,SUMIF($B$10:$B$16,"NCAP_TLIFE",$AX$10:$AX$16)),0,""))</f>
        <v/>
      </c>
      <c r="T286" s="369" t="str">
        <f ca="1">IF($B286&lt;&gt;"PRC_RESID","",IF(T$7=2005+OFFSET(COM_2012!$B$60,$AW286,SUMIF($B$10:$B$16,"NCAP_TLIFE",$AX$10:$AX$16)),0,""))</f>
        <v/>
      </c>
      <c r="U286" s="369" t="str">
        <f ca="1">IF($B286&lt;&gt;"PRC_RESID","",IF(U$7=2005+OFFSET(COM_2012!$B$60,$AW286,SUMIF($B$10:$B$16,"NCAP_TLIFE",$AX$10:$AX$16)),0,""))</f>
        <v/>
      </c>
      <c r="V286" s="369" t="str">
        <f ca="1">IF($B286&lt;&gt;"PRC_RESID","",IF(V$7=2005+OFFSET(COM_2012!$B$60,$AW286,SUMIF($B$10:$B$16,"NCAP_TLIFE",$AX$10:$AX$16)),0,""))</f>
        <v/>
      </c>
      <c r="W286" s="369" t="str">
        <f ca="1">IF($B286&lt;&gt;"PRC_RESID","",IF(W$7=2005+OFFSET(COM_2012!$B$60,$AW286,SUMIF($B$10:$B$16,"NCAP_TLIFE",$AX$10:$AX$16)),0,""))</f>
        <v/>
      </c>
      <c r="X286" s="369" t="str">
        <f ca="1">IF($B286&lt;&gt;"PRC_RESID","",IF(X$7=2005+OFFSET(COM_2012!$B$60,$AW286,SUMIF($B$10:$B$16,"NCAP_TLIFE",$AX$10:$AX$16)),0,""))</f>
        <v/>
      </c>
      <c r="Y286" s="369" t="str">
        <f ca="1">IF($B286&lt;&gt;"PRC_RESID","",IF(Y$7=2005+OFFSET(COM_2012!$B$60,$AW286,SUMIF($B$10:$B$16,"NCAP_TLIFE",$AX$10:$AX$16)),0,""))</f>
        <v/>
      </c>
      <c r="Z286" s="369" t="str">
        <f ca="1">IF($B286&lt;&gt;"PRC_RESID","",IF(Z$7=2005+OFFSET(COM_2012!$B$60,$AW286,SUMIF($B$10:$B$16,"NCAP_TLIFE",$AX$10:$AX$16)),0,""))</f>
        <v/>
      </c>
      <c r="AA286" s="369" t="str">
        <f ca="1">IF($B286&lt;&gt;"PRC_RESID","",IF(AA$7=2005+OFFSET(COM_2012!$B$60,$AW286,SUMIF($B$10:$B$16,"NCAP_TLIFE",$AX$10:$AX$16)),0,""))</f>
        <v/>
      </c>
      <c r="AB286" s="369" t="str">
        <f ca="1">IF($B286&lt;&gt;"PRC_RESID","",IF(AB$7=2005+OFFSET(COM_2012!$B$60,$AW286,SUMIF($B$10:$B$16,"NCAP_TLIFE",$AX$10:$AX$16)),0,""))</f>
        <v/>
      </c>
      <c r="AC286" s="369" t="str">
        <f ca="1">IF($B286&lt;&gt;"PRC_RESID","",IF(AC$7=2005+OFFSET(COM_2012!$B$60,$AW286,SUMIF($B$10:$B$16,"NCAP_TLIFE",$AX$10:$AX$16)),0,""))</f>
        <v/>
      </c>
      <c r="AD286" s="369" t="str">
        <f ca="1">IF($B286&lt;&gt;"PRC_RESID","",IF(AD$7=2005+OFFSET(COM_2012!$B$60,$AW286,SUMIF($B$10:$B$16,"NCAP_TLIFE",$AX$10:$AX$16)),0,""))</f>
        <v/>
      </c>
      <c r="AE286" s="369" t="str">
        <f ca="1">IF($B286&lt;&gt;"PRC_RESID","",IF(AE$7=2005+OFFSET(COM_2012!$B$60,$AW286,SUMIF($B$10:$B$16,"NCAP_TLIFE",$AX$10:$AX$16)),0,""))</f>
        <v/>
      </c>
      <c r="AF286" s="369" t="str">
        <f ca="1">IF($B286&lt;&gt;"PRC_RESID","",IF(AF$7=2005+OFFSET(COM_2012!$B$60,$AW286,SUMIF($B$10:$B$16,"NCAP_TLIFE",$AX$10:$AX$16)),0,""))</f>
        <v/>
      </c>
      <c r="AG286" s="369" t="str">
        <f ca="1">IF($B286&lt;&gt;"PRC_RESID","",IF(AG$7=2005+OFFSET(COM_2012!$B$60,$AW286,SUMIF($B$10:$B$16,"NCAP_TLIFE",$AX$10:$AX$16)),0,""))</f>
        <v/>
      </c>
      <c r="AH286" s="369" t="str">
        <f ca="1">IF($B286&lt;&gt;"PRC_RESID","",IF(AH$7=2005+OFFSET(COM_2012!$B$60,$AW286,SUMIF($B$10:$B$16,"NCAP_TLIFE",$AX$10:$AX$16)),0,""))</f>
        <v/>
      </c>
      <c r="AI286" s="369" t="str">
        <f ca="1">IF($B286&lt;&gt;"PRC_RESID","",IF(AI$7=2005+OFFSET(COM_2012!$B$60,$AW286,SUMIF($B$10:$B$16,"NCAP_TLIFE",$AX$10:$AX$16)),0,""))</f>
        <v/>
      </c>
      <c r="AJ286" s="369" t="str">
        <f ca="1">IF($B286&lt;&gt;"PRC_RESID","",IF(AJ$7=2005+OFFSET(COM_2012!$B$60,$AW286,SUMIF($B$10:$B$16,"NCAP_TLIFE",$AX$10:$AX$16)),0,""))</f>
        <v/>
      </c>
      <c r="AK286" s="369" t="str">
        <f ca="1">IF($B286&lt;&gt;"PRC_RESID","",IF(AK$7=2005+OFFSET(COM_2012!$B$60,$AW286,SUMIF($B$10:$B$16,"NCAP_TLIFE",$AX$10:$AX$16)),0,""))</f>
        <v/>
      </c>
      <c r="AL286" s="369" t="str">
        <f ca="1">IF($B286&lt;&gt;"PRC_RESID","",IF(AL$7=2005+OFFSET(COM_2012!$B$60,$AW286,SUMIF($B$10:$B$16,"NCAP_TLIFE",$AX$10:$AX$16)),0,""))</f>
        <v/>
      </c>
      <c r="AM286" s="369" t="str">
        <f ca="1">IF($B286&lt;&gt;"PRC_RESID","",IF(AM$7=2005+OFFSET(COM_2012!$B$60,$AW286,SUMIF($B$10:$B$16,"NCAP_TLIFE",$AX$10:$AX$16)),0,""))</f>
        <v/>
      </c>
      <c r="AN286" s="369" t="str">
        <f ca="1">IF($B286&lt;&gt;"PRC_RESID","",IF(AN$7=2005+OFFSET(COM_2012!$B$60,$AW286,SUMIF($B$10:$B$16,"NCAP_TLIFE",$AX$10:$AX$16)),0,""))</f>
        <v/>
      </c>
      <c r="AO286" s="369" t="str">
        <f ca="1">IF($B286&lt;&gt;"PRC_RESID","",IF(AO$7=2005+OFFSET(COM_2012!$B$60,$AW286,SUMIF($B$10:$B$16,"NCAP_TLIFE",$AX$10:$AX$16)),0,""))</f>
        <v/>
      </c>
      <c r="AP286" s="369" t="str">
        <f ca="1">IF($B286&lt;&gt;"PRC_RESID","",IF(AP$7=2005+OFFSET(COM_2012!$B$60,$AW286,SUMIF($B$10:$B$16,"NCAP_TLIFE",$AX$10:$AX$16)),0,""))</f>
        <v/>
      </c>
      <c r="AQ286" s="369" t="str">
        <f ca="1">IF($B286&lt;&gt;"PRC_RESID","",IF(AQ$7=2005+OFFSET(COM_2012!$B$60,$AW286,SUMIF($B$10:$B$16,"NCAP_TLIFE",$AX$10:$AX$16)),0,""))</f>
        <v/>
      </c>
      <c r="AR286" s="369" t="str">
        <f ca="1">IF($B286&lt;&gt;"PRC_RESID","",IF(AR$7=2005+OFFSET(COM_2012!$B$60,$AW286,SUMIF($B$10:$B$16,"NCAP_TLIFE",$AX$10:$AX$16)),0,""))</f>
        <v/>
      </c>
      <c r="AS286" s="369" t="str">
        <f ca="1">IF($B286&lt;&gt;"PRC_RESID","",IF(AS$7=2005+OFFSET(COM_2012!$B$60,$AW286,SUMIF($B$10:$B$16,"NCAP_TLIFE",$AX$10:$AX$16)),0,""))</f>
        <v/>
      </c>
      <c r="AT286" s="369" t="str">
        <f ca="1">IF($B286&lt;&gt;"PRC_RESID","",IF(AT$7=2005+OFFSET(COM_2012!$B$60,$AW286,SUMIF($B$10:$B$16,"NCAP_TLIFE",$AX$10:$AX$16)),0,""))</f>
        <v/>
      </c>
      <c r="AU286" s="369" t="str">
        <f ca="1">IF($B286&lt;&gt;"PRC_RESID","",IF(AU$7=2005+OFFSET(COM_2012!$B$60,$AW286,SUMIF($B$10:$B$16,"NCAP_TLIFE",$AX$10:$AX$16)),0,""))</f>
        <v/>
      </c>
      <c r="AV286" s="304">
        <f>IF(AW285=COM_2012!$AI$121,AV285+1,AV285)</f>
        <v>5</v>
      </c>
      <c r="AW286" s="304">
        <f t="shared" si="23"/>
        <v>15</v>
      </c>
    </row>
    <row r="287" spans="1:49">
      <c r="A287" s="304" t="str">
        <f ca="1">IF(LEFT(OFFSET(COM_2012!$A$60,AW287,0),2)="\I","*","")</f>
        <v/>
      </c>
      <c r="B287" s="369" t="str">
        <f t="shared" ca="1" si="27"/>
        <v>NCAP_FOM</v>
      </c>
      <c r="C287" s="369" t="str">
        <f ca="1">IF($A287="*","",OFFSET(COM_2012!$B$60,AW287,0))</f>
        <v>CEKOLP-E</v>
      </c>
      <c r="D287" s="369" t="str">
        <f t="shared" ca="1" si="28"/>
        <v>-</v>
      </c>
      <c r="E287" s="369" t="str">
        <f t="shared" ca="1" si="28"/>
        <v>-</v>
      </c>
      <c r="F287" s="369" t="str">
        <f t="shared" ca="1" si="28"/>
        <v>-</v>
      </c>
      <c r="G287" s="369" t="str">
        <f t="shared" ca="1" si="28"/>
        <v>-</v>
      </c>
      <c r="H287" s="369" t="str">
        <f t="shared" ca="1" si="28"/>
        <v>-</v>
      </c>
      <c r="I287" s="370">
        <f t="shared" ca="1" si="28"/>
        <v>0</v>
      </c>
      <c r="J287" s="391">
        <f ca="1">IF($A287="*","",OFFSET(COM_2012!$B$60,AW287,SUMIF($B$10:$B$16,B287,$AX$10:$AX$16)))</f>
        <v>17.662153776607365</v>
      </c>
      <c r="K287" s="369" t="str">
        <f ca="1">IF($B287&lt;&gt;"PRC_RESID","",IF(K$7=2005+OFFSET(COM_2012!$B$60,$AW287,SUMIF($B$10:$B$16,"NCAP_TLIFE",$AX$10:$AX$16)),0,""))</f>
        <v/>
      </c>
      <c r="L287" s="369" t="str">
        <f ca="1">IF($B287&lt;&gt;"PRC_RESID","",IF(L$7=2005+OFFSET(COM_2012!$B$60,$AW287,SUMIF($B$10:$B$16,"NCAP_TLIFE",$AX$10:$AX$16)),0,""))</f>
        <v/>
      </c>
      <c r="M287" s="369" t="str">
        <f ca="1">IF($B287&lt;&gt;"PRC_RESID","",IF(M$7=2005+OFFSET(COM_2012!$B$60,$AW287,SUMIF($B$10:$B$16,"NCAP_TLIFE",$AX$10:$AX$16)),0,""))</f>
        <v/>
      </c>
      <c r="N287" s="369" t="str">
        <f ca="1">IF($B287&lt;&gt;"PRC_RESID","",IF(N$7=2005+OFFSET(COM_2012!$B$60,$AW287,SUMIF($B$10:$B$16,"NCAP_TLIFE",$AX$10:$AX$16)),0,""))</f>
        <v/>
      </c>
      <c r="O287" s="658" t="str">
        <f ca="1">IF($B287&lt;&gt;"PRC_RESID","",IF(O$7=2005+OFFSET(COM_2012!$B$60,$AW287,SUMIF($B$10:$B$16,"NCAP_TLIFE",$AX$10:$AX$16)),0,""))</f>
        <v/>
      </c>
      <c r="P287" s="369" t="str">
        <f ca="1">IF($B287&lt;&gt;"PRC_RESID","",IF(P$7=2005+OFFSET(COM_2012!$B$60,$AW287,SUMIF($B$10:$B$16,"NCAP_TLIFE",$AX$10:$AX$16)),0,""))</f>
        <v/>
      </c>
      <c r="Q287" s="369" t="str">
        <f ca="1">IF($B287&lt;&gt;"PRC_RESID","",IF(Q$7=2005+OFFSET(COM_2012!$B$60,$AW287,SUMIF($B$10:$B$16,"NCAP_TLIFE",$AX$10:$AX$16)),0,""))</f>
        <v/>
      </c>
      <c r="R287" s="369" t="str">
        <f ca="1">IF($B287&lt;&gt;"PRC_RESID","",IF(R$7=2005+OFFSET(COM_2012!$B$60,$AW287,SUMIF($B$10:$B$16,"NCAP_TLIFE",$AX$10:$AX$16)),0,""))</f>
        <v/>
      </c>
      <c r="S287" s="369" t="str">
        <f ca="1">IF($B287&lt;&gt;"PRC_RESID","",IF(S$7=2005+OFFSET(COM_2012!$B$60,$AW287,SUMIF($B$10:$B$16,"NCAP_TLIFE",$AX$10:$AX$16)),0,""))</f>
        <v/>
      </c>
      <c r="T287" s="369" t="str">
        <f ca="1">IF($B287&lt;&gt;"PRC_RESID","",IF(T$7=2005+OFFSET(COM_2012!$B$60,$AW287,SUMIF($B$10:$B$16,"NCAP_TLIFE",$AX$10:$AX$16)),0,""))</f>
        <v/>
      </c>
      <c r="U287" s="369" t="str">
        <f ca="1">IF($B287&lt;&gt;"PRC_RESID","",IF(U$7=2005+OFFSET(COM_2012!$B$60,$AW287,SUMIF($B$10:$B$16,"NCAP_TLIFE",$AX$10:$AX$16)),0,""))</f>
        <v/>
      </c>
      <c r="V287" s="369" t="str">
        <f ca="1">IF($B287&lt;&gt;"PRC_RESID","",IF(V$7=2005+OFFSET(COM_2012!$B$60,$AW287,SUMIF($B$10:$B$16,"NCAP_TLIFE",$AX$10:$AX$16)),0,""))</f>
        <v/>
      </c>
      <c r="W287" s="369" t="str">
        <f ca="1">IF($B287&lt;&gt;"PRC_RESID","",IF(W$7=2005+OFFSET(COM_2012!$B$60,$AW287,SUMIF($B$10:$B$16,"NCAP_TLIFE",$AX$10:$AX$16)),0,""))</f>
        <v/>
      </c>
      <c r="X287" s="369" t="str">
        <f ca="1">IF($B287&lt;&gt;"PRC_RESID","",IF(X$7=2005+OFFSET(COM_2012!$B$60,$AW287,SUMIF($B$10:$B$16,"NCAP_TLIFE",$AX$10:$AX$16)),0,""))</f>
        <v/>
      </c>
      <c r="Y287" s="369" t="str">
        <f ca="1">IF($B287&lt;&gt;"PRC_RESID","",IF(Y$7=2005+OFFSET(COM_2012!$B$60,$AW287,SUMIF($B$10:$B$16,"NCAP_TLIFE",$AX$10:$AX$16)),0,""))</f>
        <v/>
      </c>
      <c r="Z287" s="369" t="str">
        <f ca="1">IF($B287&lt;&gt;"PRC_RESID","",IF(Z$7=2005+OFFSET(COM_2012!$B$60,$AW287,SUMIF($B$10:$B$16,"NCAP_TLIFE",$AX$10:$AX$16)),0,""))</f>
        <v/>
      </c>
      <c r="AA287" s="369" t="str">
        <f ca="1">IF($B287&lt;&gt;"PRC_RESID","",IF(AA$7=2005+OFFSET(COM_2012!$B$60,$AW287,SUMIF($B$10:$B$16,"NCAP_TLIFE",$AX$10:$AX$16)),0,""))</f>
        <v/>
      </c>
      <c r="AB287" s="369" t="str">
        <f ca="1">IF($B287&lt;&gt;"PRC_RESID","",IF(AB$7=2005+OFFSET(COM_2012!$B$60,$AW287,SUMIF($B$10:$B$16,"NCAP_TLIFE",$AX$10:$AX$16)),0,""))</f>
        <v/>
      </c>
      <c r="AC287" s="369" t="str">
        <f ca="1">IF($B287&lt;&gt;"PRC_RESID","",IF(AC$7=2005+OFFSET(COM_2012!$B$60,$AW287,SUMIF($B$10:$B$16,"NCAP_TLIFE",$AX$10:$AX$16)),0,""))</f>
        <v/>
      </c>
      <c r="AD287" s="369" t="str">
        <f ca="1">IF($B287&lt;&gt;"PRC_RESID","",IF(AD$7=2005+OFFSET(COM_2012!$B$60,$AW287,SUMIF($B$10:$B$16,"NCAP_TLIFE",$AX$10:$AX$16)),0,""))</f>
        <v/>
      </c>
      <c r="AE287" s="369" t="str">
        <f ca="1">IF($B287&lt;&gt;"PRC_RESID","",IF(AE$7=2005+OFFSET(COM_2012!$B$60,$AW287,SUMIF($B$10:$B$16,"NCAP_TLIFE",$AX$10:$AX$16)),0,""))</f>
        <v/>
      </c>
      <c r="AF287" s="369" t="str">
        <f ca="1">IF($B287&lt;&gt;"PRC_RESID","",IF(AF$7=2005+OFFSET(COM_2012!$B$60,$AW287,SUMIF($B$10:$B$16,"NCAP_TLIFE",$AX$10:$AX$16)),0,""))</f>
        <v/>
      </c>
      <c r="AG287" s="369" t="str">
        <f ca="1">IF($B287&lt;&gt;"PRC_RESID","",IF(AG$7=2005+OFFSET(COM_2012!$B$60,$AW287,SUMIF($B$10:$B$16,"NCAP_TLIFE",$AX$10:$AX$16)),0,""))</f>
        <v/>
      </c>
      <c r="AH287" s="369" t="str">
        <f ca="1">IF($B287&lt;&gt;"PRC_RESID","",IF(AH$7=2005+OFFSET(COM_2012!$B$60,$AW287,SUMIF($B$10:$B$16,"NCAP_TLIFE",$AX$10:$AX$16)),0,""))</f>
        <v/>
      </c>
      <c r="AI287" s="369" t="str">
        <f ca="1">IF($B287&lt;&gt;"PRC_RESID","",IF(AI$7=2005+OFFSET(COM_2012!$B$60,$AW287,SUMIF($B$10:$B$16,"NCAP_TLIFE",$AX$10:$AX$16)),0,""))</f>
        <v/>
      </c>
      <c r="AJ287" s="369" t="str">
        <f ca="1">IF($B287&lt;&gt;"PRC_RESID","",IF(AJ$7=2005+OFFSET(COM_2012!$B$60,$AW287,SUMIF($B$10:$B$16,"NCAP_TLIFE",$AX$10:$AX$16)),0,""))</f>
        <v/>
      </c>
      <c r="AK287" s="369" t="str">
        <f ca="1">IF($B287&lt;&gt;"PRC_RESID","",IF(AK$7=2005+OFFSET(COM_2012!$B$60,$AW287,SUMIF($B$10:$B$16,"NCAP_TLIFE",$AX$10:$AX$16)),0,""))</f>
        <v/>
      </c>
      <c r="AL287" s="369" t="str">
        <f ca="1">IF($B287&lt;&gt;"PRC_RESID","",IF(AL$7=2005+OFFSET(COM_2012!$B$60,$AW287,SUMIF($B$10:$B$16,"NCAP_TLIFE",$AX$10:$AX$16)),0,""))</f>
        <v/>
      </c>
      <c r="AM287" s="369" t="str">
        <f ca="1">IF($B287&lt;&gt;"PRC_RESID","",IF(AM$7=2005+OFFSET(COM_2012!$B$60,$AW287,SUMIF($B$10:$B$16,"NCAP_TLIFE",$AX$10:$AX$16)),0,""))</f>
        <v/>
      </c>
      <c r="AN287" s="369" t="str">
        <f ca="1">IF($B287&lt;&gt;"PRC_RESID","",IF(AN$7=2005+OFFSET(COM_2012!$B$60,$AW287,SUMIF($B$10:$B$16,"NCAP_TLIFE",$AX$10:$AX$16)),0,""))</f>
        <v/>
      </c>
      <c r="AO287" s="369" t="str">
        <f ca="1">IF($B287&lt;&gt;"PRC_RESID","",IF(AO$7=2005+OFFSET(COM_2012!$B$60,$AW287,SUMIF($B$10:$B$16,"NCAP_TLIFE",$AX$10:$AX$16)),0,""))</f>
        <v/>
      </c>
      <c r="AP287" s="369" t="str">
        <f ca="1">IF($B287&lt;&gt;"PRC_RESID","",IF(AP$7=2005+OFFSET(COM_2012!$B$60,$AW287,SUMIF($B$10:$B$16,"NCAP_TLIFE",$AX$10:$AX$16)),0,""))</f>
        <v/>
      </c>
      <c r="AQ287" s="369" t="str">
        <f ca="1">IF($B287&lt;&gt;"PRC_RESID","",IF(AQ$7=2005+OFFSET(COM_2012!$B$60,$AW287,SUMIF($B$10:$B$16,"NCAP_TLIFE",$AX$10:$AX$16)),0,""))</f>
        <v/>
      </c>
      <c r="AR287" s="369" t="str">
        <f ca="1">IF($B287&lt;&gt;"PRC_RESID","",IF(AR$7=2005+OFFSET(COM_2012!$B$60,$AW287,SUMIF($B$10:$B$16,"NCAP_TLIFE",$AX$10:$AX$16)),0,""))</f>
        <v/>
      </c>
      <c r="AS287" s="369" t="str">
        <f ca="1">IF($B287&lt;&gt;"PRC_RESID","",IF(AS$7=2005+OFFSET(COM_2012!$B$60,$AW287,SUMIF($B$10:$B$16,"NCAP_TLIFE",$AX$10:$AX$16)),0,""))</f>
        <v/>
      </c>
      <c r="AT287" s="369" t="str">
        <f ca="1">IF($B287&lt;&gt;"PRC_RESID","",IF(AT$7=2005+OFFSET(COM_2012!$B$60,$AW287,SUMIF($B$10:$B$16,"NCAP_TLIFE",$AX$10:$AX$16)),0,""))</f>
        <v/>
      </c>
      <c r="AU287" s="369" t="str">
        <f ca="1">IF($B287&lt;&gt;"PRC_RESID","",IF(AU$7=2005+OFFSET(COM_2012!$B$60,$AW287,SUMIF($B$10:$B$16,"NCAP_TLIFE",$AX$10:$AX$16)),0,""))</f>
        <v/>
      </c>
      <c r="AV287" s="304">
        <f>IF(AW286=COM_2012!$AI$121,AV286+1,AV286)</f>
        <v>5</v>
      </c>
      <c r="AW287" s="304">
        <f t="shared" si="23"/>
        <v>16</v>
      </c>
    </row>
    <row r="288" spans="1:49">
      <c r="A288" s="304" t="str">
        <f ca="1">IF(LEFT(OFFSET(COM_2012!$A$60,AW288,0),2)="\I","*","")</f>
        <v/>
      </c>
      <c r="B288" s="369" t="str">
        <f t="shared" ca="1" si="27"/>
        <v>NCAP_FOM</v>
      </c>
      <c r="C288" s="369" t="str">
        <f ca="1">IF($A288="*","",OFFSET(COM_2012!$B$60,AW288,0))</f>
        <v>CEKELC-E</v>
      </c>
      <c r="D288" s="369" t="str">
        <f t="shared" ca="1" si="28"/>
        <v>-</v>
      </c>
      <c r="E288" s="369" t="str">
        <f t="shared" ca="1" si="28"/>
        <v>-</v>
      </c>
      <c r="F288" s="369" t="str">
        <f t="shared" ca="1" si="28"/>
        <v>-</v>
      </c>
      <c r="G288" s="369" t="str">
        <f t="shared" ca="1" si="28"/>
        <v>-</v>
      </c>
      <c r="H288" s="369" t="str">
        <f t="shared" ca="1" si="28"/>
        <v>-</v>
      </c>
      <c r="I288" s="370">
        <f t="shared" ca="1" si="28"/>
        <v>0</v>
      </c>
      <c r="J288" s="391">
        <f ca="1">IF($A288="*","",OFFSET(COM_2012!$B$60,AW288,SUMIF($B$10:$B$16,B288,$AX$10:$AX$16)))</f>
        <v>17.662153776607365</v>
      </c>
      <c r="K288" s="369" t="str">
        <f ca="1">IF($B288&lt;&gt;"PRC_RESID","",IF(K$7=2005+OFFSET(COM_2012!$B$60,$AW288,SUMIF($B$10:$B$16,"NCAP_TLIFE",$AX$10:$AX$16)),0,""))</f>
        <v/>
      </c>
      <c r="L288" s="369" t="str">
        <f ca="1">IF($B288&lt;&gt;"PRC_RESID","",IF(L$7=2005+OFFSET(COM_2012!$B$60,$AW288,SUMIF($B$10:$B$16,"NCAP_TLIFE",$AX$10:$AX$16)),0,""))</f>
        <v/>
      </c>
      <c r="M288" s="369" t="str">
        <f ca="1">IF($B288&lt;&gt;"PRC_RESID","",IF(M$7=2005+OFFSET(COM_2012!$B$60,$AW288,SUMIF($B$10:$B$16,"NCAP_TLIFE",$AX$10:$AX$16)),0,""))</f>
        <v/>
      </c>
      <c r="N288" s="369" t="str">
        <f ca="1">IF($B288&lt;&gt;"PRC_RESID","",IF(N$7=2005+OFFSET(COM_2012!$B$60,$AW288,SUMIF($B$10:$B$16,"NCAP_TLIFE",$AX$10:$AX$16)),0,""))</f>
        <v/>
      </c>
      <c r="O288" s="658" t="str">
        <f ca="1">IF($B288&lt;&gt;"PRC_RESID","",IF(O$7=2005+OFFSET(COM_2012!$B$60,$AW288,SUMIF($B$10:$B$16,"NCAP_TLIFE",$AX$10:$AX$16)),0,""))</f>
        <v/>
      </c>
      <c r="P288" s="369" t="str">
        <f ca="1">IF($B288&lt;&gt;"PRC_RESID","",IF(P$7=2005+OFFSET(COM_2012!$B$60,$AW288,SUMIF($B$10:$B$16,"NCAP_TLIFE",$AX$10:$AX$16)),0,""))</f>
        <v/>
      </c>
      <c r="Q288" s="369" t="str">
        <f ca="1">IF($B288&lt;&gt;"PRC_RESID","",IF(Q$7=2005+OFFSET(COM_2012!$B$60,$AW288,SUMIF($B$10:$B$16,"NCAP_TLIFE",$AX$10:$AX$16)),0,""))</f>
        <v/>
      </c>
      <c r="R288" s="369" t="str">
        <f ca="1">IF($B288&lt;&gt;"PRC_RESID","",IF(R$7=2005+OFFSET(COM_2012!$B$60,$AW288,SUMIF($B$10:$B$16,"NCAP_TLIFE",$AX$10:$AX$16)),0,""))</f>
        <v/>
      </c>
      <c r="S288" s="369" t="str">
        <f ca="1">IF($B288&lt;&gt;"PRC_RESID","",IF(S$7=2005+OFFSET(COM_2012!$B$60,$AW288,SUMIF($B$10:$B$16,"NCAP_TLIFE",$AX$10:$AX$16)),0,""))</f>
        <v/>
      </c>
      <c r="T288" s="369" t="str">
        <f ca="1">IF($B288&lt;&gt;"PRC_RESID","",IF(T$7=2005+OFFSET(COM_2012!$B$60,$AW288,SUMIF($B$10:$B$16,"NCAP_TLIFE",$AX$10:$AX$16)),0,""))</f>
        <v/>
      </c>
      <c r="U288" s="369" t="str">
        <f ca="1">IF($B288&lt;&gt;"PRC_RESID","",IF(U$7=2005+OFFSET(COM_2012!$B$60,$AW288,SUMIF($B$10:$B$16,"NCAP_TLIFE",$AX$10:$AX$16)),0,""))</f>
        <v/>
      </c>
      <c r="V288" s="369" t="str">
        <f ca="1">IF($B288&lt;&gt;"PRC_RESID","",IF(V$7=2005+OFFSET(COM_2012!$B$60,$AW288,SUMIF($B$10:$B$16,"NCAP_TLIFE",$AX$10:$AX$16)),0,""))</f>
        <v/>
      </c>
      <c r="W288" s="369" t="str">
        <f ca="1">IF($B288&lt;&gt;"PRC_RESID","",IF(W$7=2005+OFFSET(COM_2012!$B$60,$AW288,SUMIF($B$10:$B$16,"NCAP_TLIFE",$AX$10:$AX$16)),0,""))</f>
        <v/>
      </c>
      <c r="X288" s="369" t="str">
        <f ca="1">IF($B288&lt;&gt;"PRC_RESID","",IF(X$7=2005+OFFSET(COM_2012!$B$60,$AW288,SUMIF($B$10:$B$16,"NCAP_TLIFE",$AX$10:$AX$16)),0,""))</f>
        <v/>
      </c>
      <c r="Y288" s="369" t="str">
        <f ca="1">IF($B288&lt;&gt;"PRC_RESID","",IF(Y$7=2005+OFFSET(COM_2012!$B$60,$AW288,SUMIF($B$10:$B$16,"NCAP_TLIFE",$AX$10:$AX$16)),0,""))</f>
        <v/>
      </c>
      <c r="Z288" s="369" t="str">
        <f ca="1">IF($B288&lt;&gt;"PRC_RESID","",IF(Z$7=2005+OFFSET(COM_2012!$B$60,$AW288,SUMIF($B$10:$B$16,"NCAP_TLIFE",$AX$10:$AX$16)),0,""))</f>
        <v/>
      </c>
      <c r="AA288" s="369" t="str">
        <f ca="1">IF($B288&lt;&gt;"PRC_RESID","",IF(AA$7=2005+OFFSET(COM_2012!$B$60,$AW288,SUMIF($B$10:$B$16,"NCAP_TLIFE",$AX$10:$AX$16)),0,""))</f>
        <v/>
      </c>
      <c r="AB288" s="369" t="str">
        <f ca="1">IF($B288&lt;&gt;"PRC_RESID","",IF(AB$7=2005+OFFSET(COM_2012!$B$60,$AW288,SUMIF($B$10:$B$16,"NCAP_TLIFE",$AX$10:$AX$16)),0,""))</f>
        <v/>
      </c>
      <c r="AC288" s="369" t="str">
        <f ca="1">IF($B288&lt;&gt;"PRC_RESID","",IF(AC$7=2005+OFFSET(COM_2012!$B$60,$AW288,SUMIF($B$10:$B$16,"NCAP_TLIFE",$AX$10:$AX$16)),0,""))</f>
        <v/>
      </c>
      <c r="AD288" s="369" t="str">
        <f ca="1">IF($B288&lt;&gt;"PRC_RESID","",IF(AD$7=2005+OFFSET(COM_2012!$B$60,$AW288,SUMIF($B$10:$B$16,"NCAP_TLIFE",$AX$10:$AX$16)),0,""))</f>
        <v/>
      </c>
      <c r="AE288" s="369" t="str">
        <f ca="1">IF($B288&lt;&gt;"PRC_RESID","",IF(AE$7=2005+OFFSET(COM_2012!$B$60,$AW288,SUMIF($B$10:$B$16,"NCAP_TLIFE",$AX$10:$AX$16)),0,""))</f>
        <v/>
      </c>
      <c r="AF288" s="369" t="str">
        <f ca="1">IF($B288&lt;&gt;"PRC_RESID","",IF(AF$7=2005+OFFSET(COM_2012!$B$60,$AW288,SUMIF($B$10:$B$16,"NCAP_TLIFE",$AX$10:$AX$16)),0,""))</f>
        <v/>
      </c>
      <c r="AG288" s="369" t="str">
        <f ca="1">IF($B288&lt;&gt;"PRC_RESID","",IF(AG$7=2005+OFFSET(COM_2012!$B$60,$AW288,SUMIF($B$10:$B$16,"NCAP_TLIFE",$AX$10:$AX$16)),0,""))</f>
        <v/>
      </c>
      <c r="AH288" s="369" t="str">
        <f ca="1">IF($B288&lt;&gt;"PRC_RESID","",IF(AH$7=2005+OFFSET(COM_2012!$B$60,$AW288,SUMIF($B$10:$B$16,"NCAP_TLIFE",$AX$10:$AX$16)),0,""))</f>
        <v/>
      </c>
      <c r="AI288" s="369" t="str">
        <f ca="1">IF($B288&lt;&gt;"PRC_RESID","",IF(AI$7=2005+OFFSET(COM_2012!$B$60,$AW288,SUMIF($B$10:$B$16,"NCAP_TLIFE",$AX$10:$AX$16)),0,""))</f>
        <v/>
      </c>
      <c r="AJ288" s="369" t="str">
        <f ca="1">IF($B288&lt;&gt;"PRC_RESID","",IF(AJ$7=2005+OFFSET(COM_2012!$B$60,$AW288,SUMIF($B$10:$B$16,"NCAP_TLIFE",$AX$10:$AX$16)),0,""))</f>
        <v/>
      </c>
      <c r="AK288" s="369" t="str">
        <f ca="1">IF($B288&lt;&gt;"PRC_RESID","",IF(AK$7=2005+OFFSET(COM_2012!$B$60,$AW288,SUMIF($B$10:$B$16,"NCAP_TLIFE",$AX$10:$AX$16)),0,""))</f>
        <v/>
      </c>
      <c r="AL288" s="369" t="str">
        <f ca="1">IF($B288&lt;&gt;"PRC_RESID","",IF(AL$7=2005+OFFSET(COM_2012!$B$60,$AW288,SUMIF($B$10:$B$16,"NCAP_TLIFE",$AX$10:$AX$16)),0,""))</f>
        <v/>
      </c>
      <c r="AM288" s="369" t="str">
        <f ca="1">IF($B288&lt;&gt;"PRC_RESID","",IF(AM$7=2005+OFFSET(COM_2012!$B$60,$AW288,SUMIF($B$10:$B$16,"NCAP_TLIFE",$AX$10:$AX$16)),0,""))</f>
        <v/>
      </c>
      <c r="AN288" s="369" t="str">
        <f ca="1">IF($B288&lt;&gt;"PRC_RESID","",IF(AN$7=2005+OFFSET(COM_2012!$B$60,$AW288,SUMIF($B$10:$B$16,"NCAP_TLIFE",$AX$10:$AX$16)),0,""))</f>
        <v/>
      </c>
      <c r="AO288" s="369" t="str">
        <f ca="1">IF($B288&lt;&gt;"PRC_RESID","",IF(AO$7=2005+OFFSET(COM_2012!$B$60,$AW288,SUMIF($B$10:$B$16,"NCAP_TLIFE",$AX$10:$AX$16)),0,""))</f>
        <v/>
      </c>
      <c r="AP288" s="369" t="str">
        <f ca="1">IF($B288&lt;&gt;"PRC_RESID","",IF(AP$7=2005+OFFSET(COM_2012!$B$60,$AW288,SUMIF($B$10:$B$16,"NCAP_TLIFE",$AX$10:$AX$16)),0,""))</f>
        <v/>
      </c>
      <c r="AQ288" s="369" t="str">
        <f ca="1">IF($B288&lt;&gt;"PRC_RESID","",IF(AQ$7=2005+OFFSET(COM_2012!$B$60,$AW288,SUMIF($B$10:$B$16,"NCAP_TLIFE",$AX$10:$AX$16)),0,""))</f>
        <v/>
      </c>
      <c r="AR288" s="369" t="str">
        <f ca="1">IF($B288&lt;&gt;"PRC_RESID","",IF(AR$7=2005+OFFSET(COM_2012!$B$60,$AW288,SUMIF($B$10:$B$16,"NCAP_TLIFE",$AX$10:$AX$16)),0,""))</f>
        <v/>
      </c>
      <c r="AS288" s="369" t="str">
        <f ca="1">IF($B288&lt;&gt;"PRC_RESID","",IF(AS$7=2005+OFFSET(COM_2012!$B$60,$AW288,SUMIF($B$10:$B$16,"NCAP_TLIFE",$AX$10:$AX$16)),0,""))</f>
        <v/>
      </c>
      <c r="AT288" s="369" t="str">
        <f ca="1">IF($B288&lt;&gt;"PRC_RESID","",IF(AT$7=2005+OFFSET(COM_2012!$B$60,$AW288,SUMIF($B$10:$B$16,"NCAP_TLIFE",$AX$10:$AX$16)),0,""))</f>
        <v/>
      </c>
      <c r="AU288" s="369" t="str">
        <f ca="1">IF($B288&lt;&gt;"PRC_RESID","",IF(AU$7=2005+OFFSET(COM_2012!$B$60,$AW288,SUMIF($B$10:$B$16,"NCAP_TLIFE",$AX$10:$AX$16)),0,""))</f>
        <v/>
      </c>
      <c r="AV288" s="304">
        <f>IF(AW287=COM_2012!$AI$121,AV287+1,AV287)</f>
        <v>5</v>
      </c>
      <c r="AW288" s="304">
        <f t="shared" ref="AW288:AW321" si="29">IF(AV288=AV287,AW287+1,1)</f>
        <v>17</v>
      </c>
    </row>
    <row r="289" spans="1:49">
      <c r="A289" s="304" t="str">
        <f ca="1">IF(LEFT(OFFSET(COM_2012!$A$60,AW289,0),2)="\I","*","")</f>
        <v/>
      </c>
      <c r="B289" s="369" t="str">
        <f t="shared" ca="1" si="27"/>
        <v>NCAP_FOM</v>
      </c>
      <c r="C289" s="369" t="str">
        <f ca="1">IF($A289="*","",OFFSET(COM_2012!$B$60,AW289,0))</f>
        <v>CEKCOA-E</v>
      </c>
      <c r="D289" s="369" t="str">
        <f t="shared" ca="1" si="28"/>
        <v>-</v>
      </c>
      <c r="E289" s="369" t="str">
        <f t="shared" ca="1" si="28"/>
        <v>-</v>
      </c>
      <c r="F289" s="369" t="str">
        <f t="shared" ca="1" si="28"/>
        <v>-</v>
      </c>
      <c r="G289" s="369" t="str">
        <f t="shared" ca="1" si="28"/>
        <v>-</v>
      </c>
      <c r="H289" s="369" t="str">
        <f t="shared" ca="1" si="28"/>
        <v>-</v>
      </c>
      <c r="I289" s="370">
        <f t="shared" ca="1" si="28"/>
        <v>0</v>
      </c>
      <c r="J289" s="391">
        <f ca="1">IF($A289="*","",OFFSET(COM_2012!$B$60,AW289,SUMIF($B$10:$B$16,B289,$AX$10:$AX$16)))</f>
        <v>17.662153776607365</v>
      </c>
      <c r="K289" s="369" t="str">
        <f ca="1">IF($B289&lt;&gt;"PRC_RESID","",IF(K$7=2005+OFFSET(COM_2012!$B$60,$AW289,SUMIF($B$10:$B$16,"NCAP_TLIFE",$AX$10:$AX$16)),0,""))</f>
        <v/>
      </c>
      <c r="L289" s="369" t="str">
        <f ca="1">IF($B289&lt;&gt;"PRC_RESID","",IF(L$7=2005+OFFSET(COM_2012!$B$60,$AW289,SUMIF($B$10:$B$16,"NCAP_TLIFE",$AX$10:$AX$16)),0,""))</f>
        <v/>
      </c>
      <c r="M289" s="369" t="str">
        <f ca="1">IF($B289&lt;&gt;"PRC_RESID","",IF(M$7=2005+OFFSET(COM_2012!$B$60,$AW289,SUMIF($B$10:$B$16,"NCAP_TLIFE",$AX$10:$AX$16)),0,""))</f>
        <v/>
      </c>
      <c r="N289" s="369" t="str">
        <f ca="1">IF($B289&lt;&gt;"PRC_RESID","",IF(N$7=2005+OFFSET(COM_2012!$B$60,$AW289,SUMIF($B$10:$B$16,"NCAP_TLIFE",$AX$10:$AX$16)),0,""))</f>
        <v/>
      </c>
      <c r="O289" s="658" t="str">
        <f ca="1">IF($B289&lt;&gt;"PRC_RESID","",IF(O$7=2005+OFFSET(COM_2012!$B$60,$AW289,SUMIF($B$10:$B$16,"NCAP_TLIFE",$AX$10:$AX$16)),0,""))</f>
        <v/>
      </c>
      <c r="P289" s="369" t="str">
        <f ca="1">IF($B289&lt;&gt;"PRC_RESID","",IF(P$7=2005+OFFSET(COM_2012!$B$60,$AW289,SUMIF($B$10:$B$16,"NCAP_TLIFE",$AX$10:$AX$16)),0,""))</f>
        <v/>
      </c>
      <c r="Q289" s="369" t="str">
        <f ca="1">IF($B289&lt;&gt;"PRC_RESID","",IF(Q$7=2005+OFFSET(COM_2012!$B$60,$AW289,SUMIF($B$10:$B$16,"NCAP_TLIFE",$AX$10:$AX$16)),0,""))</f>
        <v/>
      </c>
      <c r="R289" s="369" t="str">
        <f ca="1">IF($B289&lt;&gt;"PRC_RESID","",IF(R$7=2005+OFFSET(COM_2012!$B$60,$AW289,SUMIF($B$10:$B$16,"NCAP_TLIFE",$AX$10:$AX$16)),0,""))</f>
        <v/>
      </c>
      <c r="S289" s="369" t="str">
        <f ca="1">IF($B289&lt;&gt;"PRC_RESID","",IF(S$7=2005+OFFSET(COM_2012!$B$60,$AW289,SUMIF($B$10:$B$16,"NCAP_TLIFE",$AX$10:$AX$16)),0,""))</f>
        <v/>
      </c>
      <c r="T289" s="369" t="str">
        <f ca="1">IF($B289&lt;&gt;"PRC_RESID","",IF(T$7=2005+OFFSET(COM_2012!$B$60,$AW289,SUMIF($B$10:$B$16,"NCAP_TLIFE",$AX$10:$AX$16)),0,""))</f>
        <v/>
      </c>
      <c r="U289" s="369" t="str">
        <f ca="1">IF($B289&lt;&gt;"PRC_RESID","",IF(U$7=2005+OFFSET(COM_2012!$B$60,$AW289,SUMIF($B$10:$B$16,"NCAP_TLIFE",$AX$10:$AX$16)),0,""))</f>
        <v/>
      </c>
      <c r="V289" s="369" t="str">
        <f ca="1">IF($B289&lt;&gt;"PRC_RESID","",IF(V$7=2005+OFFSET(COM_2012!$B$60,$AW289,SUMIF($B$10:$B$16,"NCAP_TLIFE",$AX$10:$AX$16)),0,""))</f>
        <v/>
      </c>
      <c r="W289" s="369" t="str">
        <f ca="1">IF($B289&lt;&gt;"PRC_RESID","",IF(W$7=2005+OFFSET(COM_2012!$B$60,$AW289,SUMIF($B$10:$B$16,"NCAP_TLIFE",$AX$10:$AX$16)),0,""))</f>
        <v/>
      </c>
      <c r="X289" s="369" t="str">
        <f ca="1">IF($B289&lt;&gt;"PRC_RESID","",IF(X$7=2005+OFFSET(COM_2012!$B$60,$AW289,SUMIF($B$10:$B$16,"NCAP_TLIFE",$AX$10:$AX$16)),0,""))</f>
        <v/>
      </c>
      <c r="Y289" s="369" t="str">
        <f ca="1">IF($B289&lt;&gt;"PRC_RESID","",IF(Y$7=2005+OFFSET(COM_2012!$B$60,$AW289,SUMIF($B$10:$B$16,"NCAP_TLIFE",$AX$10:$AX$16)),0,""))</f>
        <v/>
      </c>
      <c r="Z289" s="369" t="str">
        <f ca="1">IF($B289&lt;&gt;"PRC_RESID","",IF(Z$7=2005+OFFSET(COM_2012!$B$60,$AW289,SUMIF($B$10:$B$16,"NCAP_TLIFE",$AX$10:$AX$16)),0,""))</f>
        <v/>
      </c>
      <c r="AA289" s="369" t="str">
        <f ca="1">IF($B289&lt;&gt;"PRC_RESID","",IF(AA$7=2005+OFFSET(COM_2012!$B$60,$AW289,SUMIF($B$10:$B$16,"NCAP_TLIFE",$AX$10:$AX$16)),0,""))</f>
        <v/>
      </c>
      <c r="AB289" s="369" t="str">
        <f ca="1">IF($B289&lt;&gt;"PRC_RESID","",IF(AB$7=2005+OFFSET(COM_2012!$B$60,$AW289,SUMIF($B$10:$B$16,"NCAP_TLIFE",$AX$10:$AX$16)),0,""))</f>
        <v/>
      </c>
      <c r="AC289" s="369" t="str">
        <f ca="1">IF($B289&lt;&gt;"PRC_RESID","",IF(AC$7=2005+OFFSET(COM_2012!$B$60,$AW289,SUMIF($B$10:$B$16,"NCAP_TLIFE",$AX$10:$AX$16)),0,""))</f>
        <v/>
      </c>
      <c r="AD289" s="369" t="str">
        <f ca="1">IF($B289&lt;&gt;"PRC_RESID","",IF(AD$7=2005+OFFSET(COM_2012!$B$60,$AW289,SUMIF($B$10:$B$16,"NCAP_TLIFE",$AX$10:$AX$16)),0,""))</f>
        <v/>
      </c>
      <c r="AE289" s="369" t="str">
        <f ca="1">IF($B289&lt;&gt;"PRC_RESID","",IF(AE$7=2005+OFFSET(COM_2012!$B$60,$AW289,SUMIF($B$10:$B$16,"NCAP_TLIFE",$AX$10:$AX$16)),0,""))</f>
        <v/>
      </c>
      <c r="AF289" s="369" t="str">
        <f ca="1">IF($B289&lt;&gt;"PRC_RESID","",IF(AF$7=2005+OFFSET(COM_2012!$B$60,$AW289,SUMIF($B$10:$B$16,"NCAP_TLIFE",$AX$10:$AX$16)),0,""))</f>
        <v/>
      </c>
      <c r="AG289" s="369" t="str">
        <f ca="1">IF($B289&lt;&gt;"PRC_RESID","",IF(AG$7=2005+OFFSET(COM_2012!$B$60,$AW289,SUMIF($B$10:$B$16,"NCAP_TLIFE",$AX$10:$AX$16)),0,""))</f>
        <v/>
      </c>
      <c r="AH289" s="369" t="str">
        <f ca="1">IF($B289&lt;&gt;"PRC_RESID","",IF(AH$7=2005+OFFSET(COM_2012!$B$60,$AW289,SUMIF($B$10:$B$16,"NCAP_TLIFE",$AX$10:$AX$16)),0,""))</f>
        <v/>
      </c>
      <c r="AI289" s="369" t="str">
        <f ca="1">IF($B289&lt;&gt;"PRC_RESID","",IF(AI$7=2005+OFFSET(COM_2012!$B$60,$AW289,SUMIF($B$10:$B$16,"NCAP_TLIFE",$AX$10:$AX$16)),0,""))</f>
        <v/>
      </c>
      <c r="AJ289" s="369" t="str">
        <f ca="1">IF($B289&lt;&gt;"PRC_RESID","",IF(AJ$7=2005+OFFSET(COM_2012!$B$60,$AW289,SUMIF($B$10:$B$16,"NCAP_TLIFE",$AX$10:$AX$16)),0,""))</f>
        <v/>
      </c>
      <c r="AK289" s="369" t="str">
        <f ca="1">IF($B289&lt;&gt;"PRC_RESID","",IF(AK$7=2005+OFFSET(COM_2012!$B$60,$AW289,SUMIF($B$10:$B$16,"NCAP_TLIFE",$AX$10:$AX$16)),0,""))</f>
        <v/>
      </c>
      <c r="AL289" s="369" t="str">
        <f ca="1">IF($B289&lt;&gt;"PRC_RESID","",IF(AL$7=2005+OFFSET(COM_2012!$B$60,$AW289,SUMIF($B$10:$B$16,"NCAP_TLIFE",$AX$10:$AX$16)),0,""))</f>
        <v/>
      </c>
      <c r="AM289" s="369" t="str">
        <f ca="1">IF($B289&lt;&gt;"PRC_RESID","",IF(AM$7=2005+OFFSET(COM_2012!$B$60,$AW289,SUMIF($B$10:$B$16,"NCAP_TLIFE",$AX$10:$AX$16)),0,""))</f>
        <v/>
      </c>
      <c r="AN289" s="369" t="str">
        <f ca="1">IF($B289&lt;&gt;"PRC_RESID","",IF(AN$7=2005+OFFSET(COM_2012!$B$60,$AW289,SUMIF($B$10:$B$16,"NCAP_TLIFE",$AX$10:$AX$16)),0,""))</f>
        <v/>
      </c>
      <c r="AO289" s="369" t="str">
        <f ca="1">IF($B289&lt;&gt;"PRC_RESID","",IF(AO$7=2005+OFFSET(COM_2012!$B$60,$AW289,SUMIF($B$10:$B$16,"NCAP_TLIFE",$AX$10:$AX$16)),0,""))</f>
        <v/>
      </c>
      <c r="AP289" s="369" t="str">
        <f ca="1">IF($B289&lt;&gt;"PRC_RESID","",IF(AP$7=2005+OFFSET(COM_2012!$B$60,$AW289,SUMIF($B$10:$B$16,"NCAP_TLIFE",$AX$10:$AX$16)),0,""))</f>
        <v/>
      </c>
      <c r="AQ289" s="369" t="str">
        <f ca="1">IF($B289&lt;&gt;"PRC_RESID","",IF(AQ$7=2005+OFFSET(COM_2012!$B$60,$AW289,SUMIF($B$10:$B$16,"NCAP_TLIFE",$AX$10:$AX$16)),0,""))</f>
        <v/>
      </c>
      <c r="AR289" s="369" t="str">
        <f ca="1">IF($B289&lt;&gt;"PRC_RESID","",IF(AR$7=2005+OFFSET(COM_2012!$B$60,$AW289,SUMIF($B$10:$B$16,"NCAP_TLIFE",$AX$10:$AX$16)),0,""))</f>
        <v/>
      </c>
      <c r="AS289" s="369" t="str">
        <f ca="1">IF($B289&lt;&gt;"PRC_RESID","",IF(AS$7=2005+OFFSET(COM_2012!$B$60,$AW289,SUMIF($B$10:$B$16,"NCAP_TLIFE",$AX$10:$AX$16)),0,""))</f>
        <v/>
      </c>
      <c r="AT289" s="369" t="str">
        <f ca="1">IF($B289&lt;&gt;"PRC_RESID","",IF(AT$7=2005+OFFSET(COM_2012!$B$60,$AW289,SUMIF($B$10:$B$16,"NCAP_TLIFE",$AX$10:$AX$16)),0,""))</f>
        <v/>
      </c>
      <c r="AU289" s="369" t="str">
        <f ca="1">IF($B289&lt;&gt;"PRC_RESID","",IF(AU$7=2005+OFFSET(COM_2012!$B$60,$AW289,SUMIF($B$10:$B$16,"NCAP_TLIFE",$AX$10:$AX$16)),0,""))</f>
        <v/>
      </c>
      <c r="AV289" s="304">
        <f>IF(AW288=COM_2012!$AI$121,AV288+1,AV288)</f>
        <v>5</v>
      </c>
      <c r="AW289" s="304">
        <f t="shared" si="29"/>
        <v>18</v>
      </c>
    </row>
    <row r="290" spans="1:49">
      <c r="A290" s="304" t="str">
        <f ca="1">IF(LEFT(OFFSET(COM_2012!$A$60,AW290,0),2)="\I","*","")</f>
        <v>*</v>
      </c>
      <c r="B290" s="369" t="str">
        <f t="shared" ca="1" si="27"/>
        <v/>
      </c>
      <c r="C290" s="369" t="str">
        <f ca="1">IF($A290="*","",OFFSET(COM_2012!$B$60,AW290,0))</f>
        <v/>
      </c>
      <c r="D290" s="369" t="str">
        <f t="shared" ca="1" si="28"/>
        <v/>
      </c>
      <c r="E290" s="369" t="str">
        <f t="shared" ca="1" si="28"/>
        <v/>
      </c>
      <c r="F290" s="369" t="str">
        <f t="shared" ca="1" si="28"/>
        <v/>
      </c>
      <c r="G290" s="369" t="str">
        <f t="shared" ca="1" si="28"/>
        <v/>
      </c>
      <c r="H290" s="369" t="str">
        <f t="shared" ca="1" si="28"/>
        <v/>
      </c>
      <c r="I290" s="370" t="str">
        <f t="shared" ca="1" si="28"/>
        <v/>
      </c>
      <c r="J290" s="391" t="str">
        <f ca="1">IF($A290="*","",OFFSET(COM_2012!$B$60,AW290,SUMIF($B$10:$B$16,B290,$AX$10:$AX$16)))</f>
        <v/>
      </c>
      <c r="K290" s="369" t="str">
        <f ca="1">IF($B290&lt;&gt;"PRC_RESID","",IF(K$7=2005+OFFSET(COM_2012!$B$60,$AW290,SUMIF($B$10:$B$16,"NCAP_TLIFE",$AX$10:$AX$16)),0,""))</f>
        <v/>
      </c>
      <c r="L290" s="369" t="str">
        <f ca="1">IF($B290&lt;&gt;"PRC_RESID","",IF(L$7=2005+OFFSET(COM_2012!$B$60,$AW290,SUMIF($B$10:$B$16,"NCAP_TLIFE",$AX$10:$AX$16)),0,""))</f>
        <v/>
      </c>
      <c r="M290" s="369" t="str">
        <f ca="1">IF($B290&lt;&gt;"PRC_RESID","",IF(M$7=2005+OFFSET(COM_2012!$B$60,$AW290,SUMIF($B$10:$B$16,"NCAP_TLIFE",$AX$10:$AX$16)),0,""))</f>
        <v/>
      </c>
      <c r="N290" s="369" t="str">
        <f ca="1">IF($B290&lt;&gt;"PRC_RESID","",IF(N$7=2005+OFFSET(COM_2012!$B$60,$AW290,SUMIF($B$10:$B$16,"NCAP_TLIFE",$AX$10:$AX$16)),0,""))</f>
        <v/>
      </c>
      <c r="O290" s="658" t="str">
        <f ca="1">IF($B290&lt;&gt;"PRC_RESID","",IF(O$7=2005+OFFSET(COM_2012!$B$60,$AW290,SUMIF($B$10:$B$16,"NCAP_TLIFE",$AX$10:$AX$16)),0,""))</f>
        <v/>
      </c>
      <c r="P290" s="369" t="str">
        <f ca="1">IF($B290&lt;&gt;"PRC_RESID","",IF(P$7=2005+OFFSET(COM_2012!$B$60,$AW290,SUMIF($B$10:$B$16,"NCAP_TLIFE",$AX$10:$AX$16)),0,""))</f>
        <v/>
      </c>
      <c r="Q290" s="369" t="str">
        <f ca="1">IF($B290&lt;&gt;"PRC_RESID","",IF(Q$7=2005+OFFSET(COM_2012!$B$60,$AW290,SUMIF($B$10:$B$16,"NCAP_TLIFE",$AX$10:$AX$16)),0,""))</f>
        <v/>
      </c>
      <c r="R290" s="369" t="str">
        <f ca="1">IF($B290&lt;&gt;"PRC_RESID","",IF(R$7=2005+OFFSET(COM_2012!$B$60,$AW290,SUMIF($B$10:$B$16,"NCAP_TLIFE",$AX$10:$AX$16)),0,""))</f>
        <v/>
      </c>
      <c r="S290" s="369" t="str">
        <f ca="1">IF($B290&lt;&gt;"PRC_RESID","",IF(S$7=2005+OFFSET(COM_2012!$B$60,$AW290,SUMIF($B$10:$B$16,"NCAP_TLIFE",$AX$10:$AX$16)),0,""))</f>
        <v/>
      </c>
      <c r="T290" s="369" t="str">
        <f ca="1">IF($B290&lt;&gt;"PRC_RESID","",IF(T$7=2005+OFFSET(COM_2012!$B$60,$AW290,SUMIF($B$10:$B$16,"NCAP_TLIFE",$AX$10:$AX$16)),0,""))</f>
        <v/>
      </c>
      <c r="U290" s="369" t="str">
        <f ca="1">IF($B290&lt;&gt;"PRC_RESID","",IF(U$7=2005+OFFSET(COM_2012!$B$60,$AW290,SUMIF($B$10:$B$16,"NCAP_TLIFE",$AX$10:$AX$16)),0,""))</f>
        <v/>
      </c>
      <c r="V290" s="369" t="str">
        <f ca="1">IF($B290&lt;&gt;"PRC_RESID","",IF(V$7=2005+OFFSET(COM_2012!$B$60,$AW290,SUMIF($B$10:$B$16,"NCAP_TLIFE",$AX$10:$AX$16)),0,""))</f>
        <v/>
      </c>
      <c r="W290" s="369" t="str">
        <f ca="1">IF($B290&lt;&gt;"PRC_RESID","",IF(W$7=2005+OFFSET(COM_2012!$B$60,$AW290,SUMIF($B$10:$B$16,"NCAP_TLIFE",$AX$10:$AX$16)),0,""))</f>
        <v/>
      </c>
      <c r="X290" s="369" t="str">
        <f ca="1">IF($B290&lt;&gt;"PRC_RESID","",IF(X$7=2005+OFFSET(COM_2012!$B$60,$AW290,SUMIF($B$10:$B$16,"NCAP_TLIFE",$AX$10:$AX$16)),0,""))</f>
        <v/>
      </c>
      <c r="Y290" s="369" t="str">
        <f ca="1">IF($B290&lt;&gt;"PRC_RESID","",IF(Y$7=2005+OFFSET(COM_2012!$B$60,$AW290,SUMIF($B$10:$B$16,"NCAP_TLIFE",$AX$10:$AX$16)),0,""))</f>
        <v/>
      </c>
      <c r="Z290" s="369" t="str">
        <f ca="1">IF($B290&lt;&gt;"PRC_RESID","",IF(Z$7=2005+OFFSET(COM_2012!$B$60,$AW290,SUMIF($B$10:$B$16,"NCAP_TLIFE",$AX$10:$AX$16)),0,""))</f>
        <v/>
      </c>
      <c r="AA290" s="369" t="str">
        <f ca="1">IF($B290&lt;&gt;"PRC_RESID","",IF(AA$7=2005+OFFSET(COM_2012!$B$60,$AW290,SUMIF($B$10:$B$16,"NCAP_TLIFE",$AX$10:$AX$16)),0,""))</f>
        <v/>
      </c>
      <c r="AB290" s="369" t="str">
        <f ca="1">IF($B290&lt;&gt;"PRC_RESID","",IF(AB$7=2005+OFFSET(COM_2012!$B$60,$AW290,SUMIF($B$10:$B$16,"NCAP_TLIFE",$AX$10:$AX$16)),0,""))</f>
        <v/>
      </c>
      <c r="AC290" s="369" t="str">
        <f ca="1">IF($B290&lt;&gt;"PRC_RESID","",IF(AC$7=2005+OFFSET(COM_2012!$B$60,$AW290,SUMIF($B$10:$B$16,"NCAP_TLIFE",$AX$10:$AX$16)),0,""))</f>
        <v/>
      </c>
      <c r="AD290" s="369" t="str">
        <f ca="1">IF($B290&lt;&gt;"PRC_RESID","",IF(AD$7=2005+OFFSET(COM_2012!$B$60,$AW290,SUMIF($B$10:$B$16,"NCAP_TLIFE",$AX$10:$AX$16)),0,""))</f>
        <v/>
      </c>
      <c r="AE290" s="369" t="str">
        <f ca="1">IF($B290&lt;&gt;"PRC_RESID","",IF(AE$7=2005+OFFSET(COM_2012!$B$60,$AW290,SUMIF($B$10:$B$16,"NCAP_TLIFE",$AX$10:$AX$16)),0,""))</f>
        <v/>
      </c>
      <c r="AF290" s="369" t="str">
        <f ca="1">IF($B290&lt;&gt;"PRC_RESID","",IF(AF$7=2005+OFFSET(COM_2012!$B$60,$AW290,SUMIF($B$10:$B$16,"NCAP_TLIFE",$AX$10:$AX$16)),0,""))</f>
        <v/>
      </c>
      <c r="AG290" s="369" t="str">
        <f ca="1">IF($B290&lt;&gt;"PRC_RESID","",IF(AG$7=2005+OFFSET(COM_2012!$B$60,$AW290,SUMIF($B$10:$B$16,"NCAP_TLIFE",$AX$10:$AX$16)),0,""))</f>
        <v/>
      </c>
      <c r="AH290" s="369" t="str">
        <f ca="1">IF($B290&lt;&gt;"PRC_RESID","",IF(AH$7=2005+OFFSET(COM_2012!$B$60,$AW290,SUMIF($B$10:$B$16,"NCAP_TLIFE",$AX$10:$AX$16)),0,""))</f>
        <v/>
      </c>
      <c r="AI290" s="369" t="str">
        <f ca="1">IF($B290&lt;&gt;"PRC_RESID","",IF(AI$7=2005+OFFSET(COM_2012!$B$60,$AW290,SUMIF($B$10:$B$16,"NCAP_TLIFE",$AX$10:$AX$16)),0,""))</f>
        <v/>
      </c>
      <c r="AJ290" s="369" t="str">
        <f ca="1">IF($B290&lt;&gt;"PRC_RESID","",IF(AJ$7=2005+OFFSET(COM_2012!$B$60,$AW290,SUMIF($B$10:$B$16,"NCAP_TLIFE",$AX$10:$AX$16)),0,""))</f>
        <v/>
      </c>
      <c r="AK290" s="369" t="str">
        <f ca="1">IF($B290&lt;&gt;"PRC_RESID","",IF(AK$7=2005+OFFSET(COM_2012!$B$60,$AW290,SUMIF($B$10:$B$16,"NCAP_TLIFE",$AX$10:$AX$16)),0,""))</f>
        <v/>
      </c>
      <c r="AL290" s="369" t="str">
        <f ca="1">IF($B290&lt;&gt;"PRC_RESID","",IF(AL$7=2005+OFFSET(COM_2012!$B$60,$AW290,SUMIF($B$10:$B$16,"NCAP_TLIFE",$AX$10:$AX$16)),0,""))</f>
        <v/>
      </c>
      <c r="AM290" s="369" t="str">
        <f ca="1">IF($B290&lt;&gt;"PRC_RESID","",IF(AM$7=2005+OFFSET(COM_2012!$B$60,$AW290,SUMIF($B$10:$B$16,"NCAP_TLIFE",$AX$10:$AX$16)),0,""))</f>
        <v/>
      </c>
      <c r="AN290" s="369" t="str">
        <f ca="1">IF($B290&lt;&gt;"PRC_RESID","",IF(AN$7=2005+OFFSET(COM_2012!$B$60,$AW290,SUMIF($B$10:$B$16,"NCAP_TLIFE",$AX$10:$AX$16)),0,""))</f>
        <v/>
      </c>
      <c r="AO290" s="369" t="str">
        <f ca="1">IF($B290&lt;&gt;"PRC_RESID","",IF(AO$7=2005+OFFSET(COM_2012!$B$60,$AW290,SUMIF($B$10:$B$16,"NCAP_TLIFE",$AX$10:$AX$16)),0,""))</f>
        <v/>
      </c>
      <c r="AP290" s="369" t="str">
        <f ca="1">IF($B290&lt;&gt;"PRC_RESID","",IF(AP$7=2005+OFFSET(COM_2012!$B$60,$AW290,SUMIF($B$10:$B$16,"NCAP_TLIFE",$AX$10:$AX$16)),0,""))</f>
        <v/>
      </c>
      <c r="AQ290" s="369" t="str">
        <f ca="1">IF($B290&lt;&gt;"PRC_RESID","",IF(AQ$7=2005+OFFSET(COM_2012!$B$60,$AW290,SUMIF($B$10:$B$16,"NCAP_TLIFE",$AX$10:$AX$16)),0,""))</f>
        <v/>
      </c>
      <c r="AR290" s="369" t="str">
        <f ca="1">IF($B290&lt;&gt;"PRC_RESID","",IF(AR$7=2005+OFFSET(COM_2012!$B$60,$AW290,SUMIF($B$10:$B$16,"NCAP_TLIFE",$AX$10:$AX$16)),0,""))</f>
        <v/>
      </c>
      <c r="AS290" s="369" t="str">
        <f ca="1">IF($B290&lt;&gt;"PRC_RESID","",IF(AS$7=2005+OFFSET(COM_2012!$B$60,$AW290,SUMIF($B$10:$B$16,"NCAP_TLIFE",$AX$10:$AX$16)),0,""))</f>
        <v/>
      </c>
      <c r="AT290" s="369" t="str">
        <f ca="1">IF($B290&lt;&gt;"PRC_RESID","",IF(AT$7=2005+OFFSET(COM_2012!$B$60,$AW290,SUMIF($B$10:$B$16,"NCAP_TLIFE",$AX$10:$AX$16)),0,""))</f>
        <v/>
      </c>
      <c r="AU290" s="369" t="str">
        <f ca="1">IF($B290&lt;&gt;"PRC_RESID","",IF(AU$7=2005+OFFSET(COM_2012!$B$60,$AW290,SUMIF($B$10:$B$16,"NCAP_TLIFE",$AX$10:$AX$16)),0,""))</f>
        <v/>
      </c>
      <c r="AV290" s="304">
        <f>IF(AW289=COM_2012!$AI$121,AV289+1,AV289)</f>
        <v>5</v>
      </c>
      <c r="AW290" s="304">
        <f t="shared" si="29"/>
        <v>19</v>
      </c>
    </row>
    <row r="291" spans="1:49">
      <c r="A291" s="304" t="str">
        <f ca="1">IF(LEFT(OFFSET(COM_2012!$A$60,AW291,0),2)="\I","*","")</f>
        <v>*</v>
      </c>
      <c r="B291" s="369" t="str">
        <f t="shared" ca="1" si="27"/>
        <v/>
      </c>
      <c r="C291" s="369" t="str">
        <f ca="1">IF($A291="*","",OFFSET(COM_2012!$B$60,AW291,0))</f>
        <v/>
      </c>
      <c r="D291" s="369" t="str">
        <f t="shared" ca="1" si="28"/>
        <v/>
      </c>
      <c r="E291" s="369" t="str">
        <f t="shared" ca="1" si="28"/>
        <v/>
      </c>
      <c r="F291" s="369" t="str">
        <f t="shared" ca="1" si="28"/>
        <v/>
      </c>
      <c r="G291" s="369" t="str">
        <f t="shared" ca="1" si="28"/>
        <v/>
      </c>
      <c r="H291" s="369" t="str">
        <f t="shared" ca="1" si="28"/>
        <v/>
      </c>
      <c r="I291" s="370" t="str">
        <f t="shared" ca="1" si="28"/>
        <v/>
      </c>
      <c r="J291" s="391" t="str">
        <f ca="1">IF($A291="*","",OFFSET(COM_2012!$B$60,AW291,SUMIF($B$10:$B$16,B291,$AX$10:$AX$16)))</f>
        <v/>
      </c>
      <c r="K291" s="369" t="str">
        <f ca="1">IF($B291&lt;&gt;"PRC_RESID","",IF(K$7=2005+OFFSET(COM_2012!$B$60,$AW291,SUMIF($B$10:$B$16,"NCAP_TLIFE",$AX$10:$AX$16)),0,""))</f>
        <v/>
      </c>
      <c r="L291" s="369" t="str">
        <f ca="1">IF($B291&lt;&gt;"PRC_RESID","",IF(L$7=2005+OFFSET(COM_2012!$B$60,$AW291,SUMIF($B$10:$B$16,"NCAP_TLIFE",$AX$10:$AX$16)),0,""))</f>
        <v/>
      </c>
      <c r="M291" s="369" t="str">
        <f ca="1">IF($B291&lt;&gt;"PRC_RESID","",IF(M$7=2005+OFFSET(COM_2012!$B$60,$AW291,SUMIF($B$10:$B$16,"NCAP_TLIFE",$AX$10:$AX$16)),0,""))</f>
        <v/>
      </c>
      <c r="N291" s="369" t="str">
        <f ca="1">IF($B291&lt;&gt;"PRC_RESID","",IF(N$7=2005+OFFSET(COM_2012!$B$60,$AW291,SUMIF($B$10:$B$16,"NCAP_TLIFE",$AX$10:$AX$16)),0,""))</f>
        <v/>
      </c>
      <c r="O291" s="658" t="str">
        <f ca="1">IF($B291&lt;&gt;"PRC_RESID","",IF(O$7=2005+OFFSET(COM_2012!$B$60,$AW291,SUMIF($B$10:$B$16,"NCAP_TLIFE",$AX$10:$AX$16)),0,""))</f>
        <v/>
      </c>
      <c r="P291" s="369" t="str">
        <f ca="1">IF($B291&lt;&gt;"PRC_RESID","",IF(P$7=2005+OFFSET(COM_2012!$B$60,$AW291,SUMIF($B$10:$B$16,"NCAP_TLIFE",$AX$10:$AX$16)),0,""))</f>
        <v/>
      </c>
      <c r="Q291" s="369" t="str">
        <f ca="1">IF($B291&lt;&gt;"PRC_RESID","",IF(Q$7=2005+OFFSET(COM_2012!$B$60,$AW291,SUMIF($B$10:$B$16,"NCAP_TLIFE",$AX$10:$AX$16)),0,""))</f>
        <v/>
      </c>
      <c r="R291" s="369" t="str">
        <f ca="1">IF($B291&lt;&gt;"PRC_RESID","",IF(R$7=2005+OFFSET(COM_2012!$B$60,$AW291,SUMIF($B$10:$B$16,"NCAP_TLIFE",$AX$10:$AX$16)),0,""))</f>
        <v/>
      </c>
      <c r="S291" s="369" t="str">
        <f ca="1">IF($B291&lt;&gt;"PRC_RESID","",IF(S$7=2005+OFFSET(COM_2012!$B$60,$AW291,SUMIF($B$10:$B$16,"NCAP_TLIFE",$AX$10:$AX$16)),0,""))</f>
        <v/>
      </c>
      <c r="T291" s="369" t="str">
        <f ca="1">IF($B291&lt;&gt;"PRC_RESID","",IF(T$7=2005+OFFSET(COM_2012!$B$60,$AW291,SUMIF($B$10:$B$16,"NCAP_TLIFE",$AX$10:$AX$16)),0,""))</f>
        <v/>
      </c>
      <c r="U291" s="369" t="str">
        <f ca="1">IF($B291&lt;&gt;"PRC_RESID","",IF(U$7=2005+OFFSET(COM_2012!$B$60,$AW291,SUMIF($B$10:$B$16,"NCAP_TLIFE",$AX$10:$AX$16)),0,""))</f>
        <v/>
      </c>
      <c r="V291" s="369" t="str">
        <f ca="1">IF($B291&lt;&gt;"PRC_RESID","",IF(V$7=2005+OFFSET(COM_2012!$B$60,$AW291,SUMIF($B$10:$B$16,"NCAP_TLIFE",$AX$10:$AX$16)),0,""))</f>
        <v/>
      </c>
      <c r="W291" s="369" t="str">
        <f ca="1">IF($B291&lt;&gt;"PRC_RESID","",IF(W$7=2005+OFFSET(COM_2012!$B$60,$AW291,SUMIF($B$10:$B$16,"NCAP_TLIFE",$AX$10:$AX$16)),0,""))</f>
        <v/>
      </c>
      <c r="X291" s="369" t="str">
        <f ca="1">IF($B291&lt;&gt;"PRC_RESID","",IF(X$7=2005+OFFSET(COM_2012!$B$60,$AW291,SUMIF($B$10:$B$16,"NCAP_TLIFE",$AX$10:$AX$16)),0,""))</f>
        <v/>
      </c>
      <c r="Y291" s="369" t="str">
        <f ca="1">IF($B291&lt;&gt;"PRC_RESID","",IF(Y$7=2005+OFFSET(COM_2012!$B$60,$AW291,SUMIF($B$10:$B$16,"NCAP_TLIFE",$AX$10:$AX$16)),0,""))</f>
        <v/>
      </c>
      <c r="Z291" s="369" t="str">
        <f ca="1">IF($B291&lt;&gt;"PRC_RESID","",IF(Z$7=2005+OFFSET(COM_2012!$B$60,$AW291,SUMIF($B$10:$B$16,"NCAP_TLIFE",$AX$10:$AX$16)),0,""))</f>
        <v/>
      </c>
      <c r="AA291" s="369" t="str">
        <f ca="1">IF($B291&lt;&gt;"PRC_RESID","",IF(AA$7=2005+OFFSET(COM_2012!$B$60,$AW291,SUMIF($B$10:$B$16,"NCAP_TLIFE",$AX$10:$AX$16)),0,""))</f>
        <v/>
      </c>
      <c r="AB291" s="369" t="str">
        <f ca="1">IF($B291&lt;&gt;"PRC_RESID","",IF(AB$7=2005+OFFSET(COM_2012!$B$60,$AW291,SUMIF($B$10:$B$16,"NCAP_TLIFE",$AX$10:$AX$16)),0,""))</f>
        <v/>
      </c>
      <c r="AC291" s="369" t="str">
        <f ca="1">IF($B291&lt;&gt;"PRC_RESID","",IF(AC$7=2005+OFFSET(COM_2012!$B$60,$AW291,SUMIF($B$10:$B$16,"NCAP_TLIFE",$AX$10:$AX$16)),0,""))</f>
        <v/>
      </c>
      <c r="AD291" s="369" t="str">
        <f ca="1">IF($B291&lt;&gt;"PRC_RESID","",IF(AD$7=2005+OFFSET(COM_2012!$B$60,$AW291,SUMIF($B$10:$B$16,"NCAP_TLIFE",$AX$10:$AX$16)),0,""))</f>
        <v/>
      </c>
      <c r="AE291" s="369" t="str">
        <f ca="1">IF($B291&lt;&gt;"PRC_RESID","",IF(AE$7=2005+OFFSET(COM_2012!$B$60,$AW291,SUMIF($B$10:$B$16,"NCAP_TLIFE",$AX$10:$AX$16)),0,""))</f>
        <v/>
      </c>
      <c r="AF291" s="369" t="str">
        <f ca="1">IF($B291&lt;&gt;"PRC_RESID","",IF(AF$7=2005+OFFSET(COM_2012!$B$60,$AW291,SUMIF($B$10:$B$16,"NCAP_TLIFE",$AX$10:$AX$16)),0,""))</f>
        <v/>
      </c>
      <c r="AG291" s="369" t="str">
        <f ca="1">IF($B291&lt;&gt;"PRC_RESID","",IF(AG$7=2005+OFFSET(COM_2012!$B$60,$AW291,SUMIF($B$10:$B$16,"NCAP_TLIFE",$AX$10:$AX$16)),0,""))</f>
        <v/>
      </c>
      <c r="AH291" s="369" t="str">
        <f ca="1">IF($B291&lt;&gt;"PRC_RESID","",IF(AH$7=2005+OFFSET(COM_2012!$B$60,$AW291,SUMIF($B$10:$B$16,"NCAP_TLIFE",$AX$10:$AX$16)),0,""))</f>
        <v/>
      </c>
      <c r="AI291" s="369" t="str">
        <f ca="1">IF($B291&lt;&gt;"PRC_RESID","",IF(AI$7=2005+OFFSET(COM_2012!$B$60,$AW291,SUMIF($B$10:$B$16,"NCAP_TLIFE",$AX$10:$AX$16)),0,""))</f>
        <v/>
      </c>
      <c r="AJ291" s="369" t="str">
        <f ca="1">IF($B291&lt;&gt;"PRC_RESID","",IF(AJ$7=2005+OFFSET(COM_2012!$B$60,$AW291,SUMIF($B$10:$B$16,"NCAP_TLIFE",$AX$10:$AX$16)),0,""))</f>
        <v/>
      </c>
      <c r="AK291" s="369" t="str">
        <f ca="1">IF($B291&lt;&gt;"PRC_RESID","",IF(AK$7=2005+OFFSET(COM_2012!$B$60,$AW291,SUMIF($B$10:$B$16,"NCAP_TLIFE",$AX$10:$AX$16)),0,""))</f>
        <v/>
      </c>
      <c r="AL291" s="369" t="str">
        <f ca="1">IF($B291&lt;&gt;"PRC_RESID","",IF(AL$7=2005+OFFSET(COM_2012!$B$60,$AW291,SUMIF($B$10:$B$16,"NCAP_TLIFE",$AX$10:$AX$16)),0,""))</f>
        <v/>
      </c>
      <c r="AM291" s="369" t="str">
        <f ca="1">IF($B291&lt;&gt;"PRC_RESID","",IF(AM$7=2005+OFFSET(COM_2012!$B$60,$AW291,SUMIF($B$10:$B$16,"NCAP_TLIFE",$AX$10:$AX$16)),0,""))</f>
        <v/>
      </c>
      <c r="AN291" s="369" t="str">
        <f ca="1">IF($B291&lt;&gt;"PRC_RESID","",IF(AN$7=2005+OFFSET(COM_2012!$B$60,$AW291,SUMIF($B$10:$B$16,"NCAP_TLIFE",$AX$10:$AX$16)),0,""))</f>
        <v/>
      </c>
      <c r="AO291" s="369" t="str">
        <f ca="1">IF($B291&lt;&gt;"PRC_RESID","",IF(AO$7=2005+OFFSET(COM_2012!$B$60,$AW291,SUMIF($B$10:$B$16,"NCAP_TLIFE",$AX$10:$AX$16)),0,""))</f>
        <v/>
      </c>
      <c r="AP291" s="369" t="str">
        <f ca="1">IF($B291&lt;&gt;"PRC_RESID","",IF(AP$7=2005+OFFSET(COM_2012!$B$60,$AW291,SUMIF($B$10:$B$16,"NCAP_TLIFE",$AX$10:$AX$16)),0,""))</f>
        <v/>
      </c>
      <c r="AQ291" s="369" t="str">
        <f ca="1">IF($B291&lt;&gt;"PRC_RESID","",IF(AQ$7=2005+OFFSET(COM_2012!$B$60,$AW291,SUMIF($B$10:$B$16,"NCAP_TLIFE",$AX$10:$AX$16)),0,""))</f>
        <v/>
      </c>
      <c r="AR291" s="369" t="str">
        <f ca="1">IF($B291&lt;&gt;"PRC_RESID","",IF(AR$7=2005+OFFSET(COM_2012!$B$60,$AW291,SUMIF($B$10:$B$16,"NCAP_TLIFE",$AX$10:$AX$16)),0,""))</f>
        <v/>
      </c>
      <c r="AS291" s="369" t="str">
        <f ca="1">IF($B291&lt;&gt;"PRC_RESID","",IF(AS$7=2005+OFFSET(COM_2012!$B$60,$AW291,SUMIF($B$10:$B$16,"NCAP_TLIFE",$AX$10:$AX$16)),0,""))</f>
        <v/>
      </c>
      <c r="AT291" s="369" t="str">
        <f ca="1">IF($B291&lt;&gt;"PRC_RESID","",IF(AT$7=2005+OFFSET(COM_2012!$B$60,$AW291,SUMIF($B$10:$B$16,"NCAP_TLIFE",$AX$10:$AX$16)),0,""))</f>
        <v/>
      </c>
      <c r="AU291" s="369" t="str">
        <f ca="1">IF($B291&lt;&gt;"PRC_RESID","",IF(AU$7=2005+OFFSET(COM_2012!$B$60,$AW291,SUMIF($B$10:$B$16,"NCAP_TLIFE",$AX$10:$AX$16)),0,""))</f>
        <v/>
      </c>
      <c r="AV291" s="304">
        <f>IF(AW290=COM_2012!$AI$121,AV290+1,AV290)</f>
        <v>5</v>
      </c>
      <c r="AW291" s="304">
        <f t="shared" si="29"/>
        <v>20</v>
      </c>
    </row>
    <row r="292" spans="1:49">
      <c r="A292" s="304" t="str">
        <f ca="1">IF(LEFT(OFFSET(COM_2012!$A$60,AW292,0),2)="\I","*","")</f>
        <v/>
      </c>
      <c r="B292" s="369" t="str">
        <f t="shared" ca="1" si="27"/>
        <v>NCAP_FOM</v>
      </c>
      <c r="C292" s="369" t="str">
        <f ca="1">IF($A292="*","",OFFSET(COM_2012!$B$60,AW292,0))</f>
        <v>CELELCCFL-E</v>
      </c>
      <c r="D292" s="369" t="str">
        <f t="shared" ca="1" si="28"/>
        <v>-</v>
      </c>
      <c r="E292" s="369" t="str">
        <f t="shared" ca="1" si="28"/>
        <v>-</v>
      </c>
      <c r="F292" s="369" t="str">
        <f t="shared" ca="1" si="28"/>
        <v>-</v>
      </c>
      <c r="G292" s="369" t="str">
        <f t="shared" ca="1" si="28"/>
        <v>-</v>
      </c>
      <c r="H292" s="369" t="str">
        <f t="shared" ca="1" si="28"/>
        <v>-</v>
      </c>
      <c r="I292" s="370">
        <f t="shared" ca="1" si="28"/>
        <v>0</v>
      </c>
      <c r="J292" s="391">
        <f ca="1">IF($A292="*","",OFFSET(COM_2012!$B$60,AW292,SUMIF($B$10:$B$16,B292,$AX$10:$AX$16)))</f>
        <v>0.25202184369189851</v>
      </c>
      <c r="K292" s="369" t="str">
        <f ca="1">IF($B292&lt;&gt;"PRC_RESID","",IF(K$7=2005+OFFSET(COM_2012!$B$60,$AW292,SUMIF($B$10:$B$16,"NCAP_TLIFE",$AX$10:$AX$16)),0,""))</f>
        <v/>
      </c>
      <c r="L292" s="369" t="str">
        <f ca="1">IF($B292&lt;&gt;"PRC_RESID","",IF(L$7=2005+OFFSET(COM_2012!$B$60,$AW292,SUMIF($B$10:$B$16,"NCAP_TLIFE",$AX$10:$AX$16)),0,""))</f>
        <v/>
      </c>
      <c r="M292" s="369" t="str">
        <f ca="1">IF($B292&lt;&gt;"PRC_RESID","",IF(M$7=2005+OFFSET(COM_2012!$B$60,$AW292,SUMIF($B$10:$B$16,"NCAP_TLIFE",$AX$10:$AX$16)),0,""))</f>
        <v/>
      </c>
      <c r="N292" s="369" t="str">
        <f ca="1">IF($B292&lt;&gt;"PRC_RESID","",IF(N$7=2005+OFFSET(COM_2012!$B$60,$AW292,SUMIF($B$10:$B$16,"NCAP_TLIFE",$AX$10:$AX$16)),0,""))</f>
        <v/>
      </c>
      <c r="O292" s="658" t="str">
        <f ca="1">IF($B292&lt;&gt;"PRC_RESID","",IF(O$7=2005+OFFSET(COM_2012!$B$60,$AW292,SUMIF($B$10:$B$16,"NCAP_TLIFE",$AX$10:$AX$16)),0,""))</f>
        <v/>
      </c>
      <c r="P292" s="369" t="str">
        <f ca="1">IF($B292&lt;&gt;"PRC_RESID","",IF(P$7=2005+OFFSET(COM_2012!$B$60,$AW292,SUMIF($B$10:$B$16,"NCAP_TLIFE",$AX$10:$AX$16)),0,""))</f>
        <v/>
      </c>
      <c r="Q292" s="369" t="str">
        <f ca="1">IF($B292&lt;&gt;"PRC_RESID","",IF(Q$7=2005+OFFSET(COM_2012!$B$60,$AW292,SUMIF($B$10:$B$16,"NCAP_TLIFE",$AX$10:$AX$16)),0,""))</f>
        <v/>
      </c>
      <c r="R292" s="369" t="str">
        <f ca="1">IF($B292&lt;&gt;"PRC_RESID","",IF(R$7=2005+OFFSET(COM_2012!$B$60,$AW292,SUMIF($B$10:$B$16,"NCAP_TLIFE",$AX$10:$AX$16)),0,""))</f>
        <v/>
      </c>
      <c r="S292" s="369" t="str">
        <f ca="1">IF($B292&lt;&gt;"PRC_RESID","",IF(S$7=2005+OFFSET(COM_2012!$B$60,$AW292,SUMIF($B$10:$B$16,"NCAP_TLIFE",$AX$10:$AX$16)),0,""))</f>
        <v/>
      </c>
      <c r="T292" s="369" t="str">
        <f ca="1">IF($B292&lt;&gt;"PRC_RESID","",IF(T$7=2005+OFFSET(COM_2012!$B$60,$AW292,SUMIF($B$10:$B$16,"NCAP_TLIFE",$AX$10:$AX$16)),0,""))</f>
        <v/>
      </c>
      <c r="U292" s="369" t="str">
        <f ca="1">IF($B292&lt;&gt;"PRC_RESID","",IF(U$7=2005+OFFSET(COM_2012!$B$60,$AW292,SUMIF($B$10:$B$16,"NCAP_TLIFE",$AX$10:$AX$16)),0,""))</f>
        <v/>
      </c>
      <c r="V292" s="369" t="str">
        <f ca="1">IF($B292&lt;&gt;"PRC_RESID","",IF(V$7=2005+OFFSET(COM_2012!$B$60,$AW292,SUMIF($B$10:$B$16,"NCAP_TLIFE",$AX$10:$AX$16)),0,""))</f>
        <v/>
      </c>
      <c r="W292" s="369" t="str">
        <f ca="1">IF($B292&lt;&gt;"PRC_RESID","",IF(W$7=2005+OFFSET(COM_2012!$B$60,$AW292,SUMIF($B$10:$B$16,"NCAP_TLIFE",$AX$10:$AX$16)),0,""))</f>
        <v/>
      </c>
      <c r="X292" s="369" t="str">
        <f ca="1">IF($B292&lt;&gt;"PRC_RESID","",IF(X$7=2005+OFFSET(COM_2012!$B$60,$AW292,SUMIF($B$10:$B$16,"NCAP_TLIFE",$AX$10:$AX$16)),0,""))</f>
        <v/>
      </c>
      <c r="Y292" s="369" t="str">
        <f ca="1">IF($B292&lt;&gt;"PRC_RESID","",IF(Y$7=2005+OFFSET(COM_2012!$B$60,$AW292,SUMIF($B$10:$B$16,"NCAP_TLIFE",$AX$10:$AX$16)),0,""))</f>
        <v/>
      </c>
      <c r="Z292" s="369" t="str">
        <f ca="1">IF($B292&lt;&gt;"PRC_RESID","",IF(Z$7=2005+OFFSET(COM_2012!$B$60,$AW292,SUMIF($B$10:$B$16,"NCAP_TLIFE",$AX$10:$AX$16)),0,""))</f>
        <v/>
      </c>
      <c r="AA292" s="369" t="str">
        <f ca="1">IF($B292&lt;&gt;"PRC_RESID","",IF(AA$7=2005+OFFSET(COM_2012!$B$60,$AW292,SUMIF($B$10:$B$16,"NCAP_TLIFE",$AX$10:$AX$16)),0,""))</f>
        <v/>
      </c>
      <c r="AB292" s="369" t="str">
        <f ca="1">IF($B292&lt;&gt;"PRC_RESID","",IF(AB$7=2005+OFFSET(COM_2012!$B$60,$AW292,SUMIF($B$10:$B$16,"NCAP_TLIFE",$AX$10:$AX$16)),0,""))</f>
        <v/>
      </c>
      <c r="AC292" s="369" t="str">
        <f ca="1">IF($B292&lt;&gt;"PRC_RESID","",IF(AC$7=2005+OFFSET(COM_2012!$B$60,$AW292,SUMIF($B$10:$B$16,"NCAP_TLIFE",$AX$10:$AX$16)),0,""))</f>
        <v/>
      </c>
      <c r="AD292" s="369" t="str">
        <f ca="1">IF($B292&lt;&gt;"PRC_RESID","",IF(AD$7=2005+OFFSET(COM_2012!$B$60,$AW292,SUMIF($B$10:$B$16,"NCAP_TLIFE",$AX$10:$AX$16)),0,""))</f>
        <v/>
      </c>
      <c r="AE292" s="369" t="str">
        <f ca="1">IF($B292&lt;&gt;"PRC_RESID","",IF(AE$7=2005+OFFSET(COM_2012!$B$60,$AW292,SUMIF($B$10:$B$16,"NCAP_TLIFE",$AX$10:$AX$16)),0,""))</f>
        <v/>
      </c>
      <c r="AF292" s="369" t="str">
        <f ca="1">IF($B292&lt;&gt;"PRC_RESID","",IF(AF$7=2005+OFFSET(COM_2012!$B$60,$AW292,SUMIF($B$10:$B$16,"NCAP_TLIFE",$AX$10:$AX$16)),0,""))</f>
        <v/>
      </c>
      <c r="AG292" s="369" t="str">
        <f ca="1">IF($B292&lt;&gt;"PRC_RESID","",IF(AG$7=2005+OFFSET(COM_2012!$B$60,$AW292,SUMIF($B$10:$B$16,"NCAP_TLIFE",$AX$10:$AX$16)),0,""))</f>
        <v/>
      </c>
      <c r="AH292" s="369" t="str">
        <f ca="1">IF($B292&lt;&gt;"PRC_RESID","",IF(AH$7=2005+OFFSET(COM_2012!$B$60,$AW292,SUMIF($B$10:$B$16,"NCAP_TLIFE",$AX$10:$AX$16)),0,""))</f>
        <v/>
      </c>
      <c r="AI292" s="369" t="str">
        <f ca="1">IF($B292&lt;&gt;"PRC_RESID","",IF(AI$7=2005+OFFSET(COM_2012!$B$60,$AW292,SUMIF($B$10:$B$16,"NCAP_TLIFE",$AX$10:$AX$16)),0,""))</f>
        <v/>
      </c>
      <c r="AJ292" s="369" t="str">
        <f ca="1">IF($B292&lt;&gt;"PRC_RESID","",IF(AJ$7=2005+OFFSET(COM_2012!$B$60,$AW292,SUMIF($B$10:$B$16,"NCAP_TLIFE",$AX$10:$AX$16)),0,""))</f>
        <v/>
      </c>
      <c r="AK292" s="369" t="str">
        <f ca="1">IF($B292&lt;&gt;"PRC_RESID","",IF(AK$7=2005+OFFSET(COM_2012!$B$60,$AW292,SUMIF($B$10:$B$16,"NCAP_TLIFE",$AX$10:$AX$16)),0,""))</f>
        <v/>
      </c>
      <c r="AL292" s="369" t="str">
        <f ca="1">IF($B292&lt;&gt;"PRC_RESID","",IF(AL$7=2005+OFFSET(COM_2012!$B$60,$AW292,SUMIF($B$10:$B$16,"NCAP_TLIFE",$AX$10:$AX$16)),0,""))</f>
        <v/>
      </c>
      <c r="AM292" s="369" t="str">
        <f ca="1">IF($B292&lt;&gt;"PRC_RESID","",IF(AM$7=2005+OFFSET(COM_2012!$B$60,$AW292,SUMIF($B$10:$B$16,"NCAP_TLIFE",$AX$10:$AX$16)),0,""))</f>
        <v/>
      </c>
      <c r="AN292" s="369" t="str">
        <f ca="1">IF($B292&lt;&gt;"PRC_RESID","",IF(AN$7=2005+OFFSET(COM_2012!$B$60,$AW292,SUMIF($B$10:$B$16,"NCAP_TLIFE",$AX$10:$AX$16)),0,""))</f>
        <v/>
      </c>
      <c r="AO292" s="369" t="str">
        <f ca="1">IF($B292&lt;&gt;"PRC_RESID","",IF(AO$7=2005+OFFSET(COM_2012!$B$60,$AW292,SUMIF($B$10:$B$16,"NCAP_TLIFE",$AX$10:$AX$16)),0,""))</f>
        <v/>
      </c>
      <c r="AP292" s="369" t="str">
        <f ca="1">IF($B292&lt;&gt;"PRC_RESID","",IF(AP$7=2005+OFFSET(COM_2012!$B$60,$AW292,SUMIF($B$10:$B$16,"NCAP_TLIFE",$AX$10:$AX$16)),0,""))</f>
        <v/>
      </c>
      <c r="AQ292" s="369" t="str">
        <f ca="1">IF($B292&lt;&gt;"PRC_RESID","",IF(AQ$7=2005+OFFSET(COM_2012!$B$60,$AW292,SUMIF($B$10:$B$16,"NCAP_TLIFE",$AX$10:$AX$16)),0,""))</f>
        <v/>
      </c>
      <c r="AR292" s="369" t="str">
        <f ca="1">IF($B292&lt;&gt;"PRC_RESID","",IF(AR$7=2005+OFFSET(COM_2012!$B$60,$AW292,SUMIF($B$10:$B$16,"NCAP_TLIFE",$AX$10:$AX$16)),0,""))</f>
        <v/>
      </c>
      <c r="AS292" s="369" t="str">
        <f ca="1">IF($B292&lt;&gt;"PRC_RESID","",IF(AS$7=2005+OFFSET(COM_2012!$B$60,$AW292,SUMIF($B$10:$B$16,"NCAP_TLIFE",$AX$10:$AX$16)),0,""))</f>
        <v/>
      </c>
      <c r="AT292" s="369" t="str">
        <f ca="1">IF($B292&lt;&gt;"PRC_RESID","",IF(AT$7=2005+OFFSET(COM_2012!$B$60,$AW292,SUMIF($B$10:$B$16,"NCAP_TLIFE",$AX$10:$AX$16)),0,""))</f>
        <v/>
      </c>
      <c r="AU292" s="369" t="str">
        <f ca="1">IF($B292&lt;&gt;"PRC_RESID","",IF(AU$7=2005+OFFSET(COM_2012!$B$60,$AW292,SUMIF($B$10:$B$16,"NCAP_TLIFE",$AX$10:$AX$16)),0,""))</f>
        <v/>
      </c>
      <c r="AV292" s="304">
        <f>IF(AW291=COM_2012!$AI$121,AV291+1,AV291)</f>
        <v>5</v>
      </c>
      <c r="AW292" s="304">
        <f t="shared" si="29"/>
        <v>21</v>
      </c>
    </row>
    <row r="293" spans="1:49">
      <c r="A293" s="304" t="str">
        <f ca="1">IF(LEFT(OFFSET(COM_2012!$A$60,AW293,0),2)="\I","*","")</f>
        <v/>
      </c>
      <c r="B293" s="369" t="str">
        <f t="shared" ca="1" si="27"/>
        <v>NCAP_FOM</v>
      </c>
      <c r="C293" s="369" t="str">
        <f ca="1">IF($A293="*","",OFFSET(COM_2012!$B$60,AW293,0))</f>
        <v>CELELCFLU-E</v>
      </c>
      <c r="D293" s="369" t="str">
        <f t="shared" ca="1" si="28"/>
        <v>-</v>
      </c>
      <c r="E293" s="369" t="str">
        <f t="shared" ca="1" si="28"/>
        <v>-</v>
      </c>
      <c r="F293" s="369" t="str">
        <f t="shared" ca="1" si="28"/>
        <v>-</v>
      </c>
      <c r="G293" s="369" t="str">
        <f t="shared" ca="1" si="28"/>
        <v>-</v>
      </c>
      <c r="H293" s="369" t="str">
        <f t="shared" ca="1" si="28"/>
        <v>-</v>
      </c>
      <c r="I293" s="370">
        <f t="shared" ca="1" si="28"/>
        <v>0</v>
      </c>
      <c r="J293" s="391">
        <f ca="1">IF($A293="*","",OFFSET(COM_2012!$B$60,AW293,SUMIF($B$10:$B$16,B293,$AX$10:$AX$16)))</f>
        <v>0.210204059893464</v>
      </c>
      <c r="K293" s="369" t="str">
        <f ca="1">IF($B293&lt;&gt;"PRC_RESID","",IF(K$7=2005+OFFSET(COM_2012!$B$60,$AW293,SUMIF($B$10:$B$16,"NCAP_TLIFE",$AX$10:$AX$16)),0,""))</f>
        <v/>
      </c>
      <c r="L293" s="369" t="str">
        <f ca="1">IF($B293&lt;&gt;"PRC_RESID","",IF(L$7=2005+OFFSET(COM_2012!$B$60,$AW293,SUMIF($B$10:$B$16,"NCAP_TLIFE",$AX$10:$AX$16)),0,""))</f>
        <v/>
      </c>
      <c r="M293" s="369" t="str">
        <f ca="1">IF($B293&lt;&gt;"PRC_RESID","",IF(M$7=2005+OFFSET(COM_2012!$B$60,$AW293,SUMIF($B$10:$B$16,"NCAP_TLIFE",$AX$10:$AX$16)),0,""))</f>
        <v/>
      </c>
      <c r="N293" s="369" t="str">
        <f ca="1">IF($B293&lt;&gt;"PRC_RESID","",IF(N$7=2005+OFFSET(COM_2012!$B$60,$AW293,SUMIF($B$10:$B$16,"NCAP_TLIFE",$AX$10:$AX$16)),0,""))</f>
        <v/>
      </c>
      <c r="O293" s="658" t="str">
        <f ca="1">IF($B293&lt;&gt;"PRC_RESID","",IF(O$7=2005+OFFSET(COM_2012!$B$60,$AW293,SUMIF($B$10:$B$16,"NCAP_TLIFE",$AX$10:$AX$16)),0,""))</f>
        <v/>
      </c>
      <c r="P293" s="369" t="str">
        <f ca="1">IF($B293&lt;&gt;"PRC_RESID","",IF(P$7=2005+OFFSET(COM_2012!$B$60,$AW293,SUMIF($B$10:$B$16,"NCAP_TLIFE",$AX$10:$AX$16)),0,""))</f>
        <v/>
      </c>
      <c r="Q293" s="369" t="str">
        <f ca="1">IF($B293&lt;&gt;"PRC_RESID","",IF(Q$7=2005+OFFSET(COM_2012!$B$60,$AW293,SUMIF($B$10:$B$16,"NCAP_TLIFE",$AX$10:$AX$16)),0,""))</f>
        <v/>
      </c>
      <c r="R293" s="369" t="str">
        <f ca="1">IF($B293&lt;&gt;"PRC_RESID","",IF(R$7=2005+OFFSET(COM_2012!$B$60,$AW293,SUMIF($B$10:$B$16,"NCAP_TLIFE",$AX$10:$AX$16)),0,""))</f>
        <v/>
      </c>
      <c r="S293" s="369" t="str">
        <f ca="1">IF($B293&lt;&gt;"PRC_RESID","",IF(S$7=2005+OFFSET(COM_2012!$B$60,$AW293,SUMIF($B$10:$B$16,"NCAP_TLIFE",$AX$10:$AX$16)),0,""))</f>
        <v/>
      </c>
      <c r="T293" s="369" t="str">
        <f ca="1">IF($B293&lt;&gt;"PRC_RESID","",IF(T$7=2005+OFFSET(COM_2012!$B$60,$AW293,SUMIF($B$10:$B$16,"NCAP_TLIFE",$AX$10:$AX$16)),0,""))</f>
        <v/>
      </c>
      <c r="U293" s="369" t="str">
        <f ca="1">IF($B293&lt;&gt;"PRC_RESID","",IF(U$7=2005+OFFSET(COM_2012!$B$60,$AW293,SUMIF($B$10:$B$16,"NCAP_TLIFE",$AX$10:$AX$16)),0,""))</f>
        <v/>
      </c>
      <c r="V293" s="369" t="str">
        <f ca="1">IF($B293&lt;&gt;"PRC_RESID","",IF(V$7=2005+OFFSET(COM_2012!$B$60,$AW293,SUMIF($B$10:$B$16,"NCAP_TLIFE",$AX$10:$AX$16)),0,""))</f>
        <v/>
      </c>
      <c r="W293" s="369" t="str">
        <f ca="1">IF($B293&lt;&gt;"PRC_RESID","",IF(W$7=2005+OFFSET(COM_2012!$B$60,$AW293,SUMIF($B$10:$B$16,"NCAP_TLIFE",$AX$10:$AX$16)),0,""))</f>
        <v/>
      </c>
      <c r="X293" s="369" t="str">
        <f ca="1">IF($B293&lt;&gt;"PRC_RESID","",IF(X$7=2005+OFFSET(COM_2012!$B$60,$AW293,SUMIF($B$10:$B$16,"NCAP_TLIFE",$AX$10:$AX$16)),0,""))</f>
        <v/>
      </c>
      <c r="Y293" s="369" t="str">
        <f ca="1">IF($B293&lt;&gt;"PRC_RESID","",IF(Y$7=2005+OFFSET(COM_2012!$B$60,$AW293,SUMIF($B$10:$B$16,"NCAP_TLIFE",$AX$10:$AX$16)),0,""))</f>
        <v/>
      </c>
      <c r="Z293" s="369" t="str">
        <f ca="1">IF($B293&lt;&gt;"PRC_RESID","",IF(Z$7=2005+OFFSET(COM_2012!$B$60,$AW293,SUMIF($B$10:$B$16,"NCAP_TLIFE",$AX$10:$AX$16)),0,""))</f>
        <v/>
      </c>
      <c r="AA293" s="369" t="str">
        <f ca="1">IF($B293&lt;&gt;"PRC_RESID","",IF(AA$7=2005+OFFSET(COM_2012!$B$60,$AW293,SUMIF($B$10:$B$16,"NCAP_TLIFE",$AX$10:$AX$16)),0,""))</f>
        <v/>
      </c>
      <c r="AB293" s="369" t="str">
        <f ca="1">IF($B293&lt;&gt;"PRC_RESID","",IF(AB$7=2005+OFFSET(COM_2012!$B$60,$AW293,SUMIF($B$10:$B$16,"NCAP_TLIFE",$AX$10:$AX$16)),0,""))</f>
        <v/>
      </c>
      <c r="AC293" s="369" t="str">
        <f ca="1">IF($B293&lt;&gt;"PRC_RESID","",IF(AC$7=2005+OFFSET(COM_2012!$B$60,$AW293,SUMIF($B$10:$B$16,"NCAP_TLIFE",$AX$10:$AX$16)),0,""))</f>
        <v/>
      </c>
      <c r="AD293" s="369" t="str">
        <f ca="1">IF($B293&lt;&gt;"PRC_RESID","",IF(AD$7=2005+OFFSET(COM_2012!$B$60,$AW293,SUMIF($B$10:$B$16,"NCAP_TLIFE",$AX$10:$AX$16)),0,""))</f>
        <v/>
      </c>
      <c r="AE293" s="369" t="str">
        <f ca="1">IF($B293&lt;&gt;"PRC_RESID","",IF(AE$7=2005+OFFSET(COM_2012!$B$60,$AW293,SUMIF($B$10:$B$16,"NCAP_TLIFE",$AX$10:$AX$16)),0,""))</f>
        <v/>
      </c>
      <c r="AF293" s="369" t="str">
        <f ca="1">IF($B293&lt;&gt;"PRC_RESID","",IF(AF$7=2005+OFFSET(COM_2012!$B$60,$AW293,SUMIF($B$10:$B$16,"NCAP_TLIFE",$AX$10:$AX$16)),0,""))</f>
        <v/>
      </c>
      <c r="AG293" s="369" t="str">
        <f ca="1">IF($B293&lt;&gt;"PRC_RESID","",IF(AG$7=2005+OFFSET(COM_2012!$B$60,$AW293,SUMIF($B$10:$B$16,"NCAP_TLIFE",$AX$10:$AX$16)),0,""))</f>
        <v/>
      </c>
      <c r="AH293" s="369" t="str">
        <f ca="1">IF($B293&lt;&gt;"PRC_RESID","",IF(AH$7=2005+OFFSET(COM_2012!$B$60,$AW293,SUMIF($B$10:$B$16,"NCAP_TLIFE",$AX$10:$AX$16)),0,""))</f>
        <v/>
      </c>
      <c r="AI293" s="369" t="str">
        <f ca="1">IF($B293&lt;&gt;"PRC_RESID","",IF(AI$7=2005+OFFSET(COM_2012!$B$60,$AW293,SUMIF($B$10:$B$16,"NCAP_TLIFE",$AX$10:$AX$16)),0,""))</f>
        <v/>
      </c>
      <c r="AJ293" s="369" t="str">
        <f ca="1">IF($B293&lt;&gt;"PRC_RESID","",IF(AJ$7=2005+OFFSET(COM_2012!$B$60,$AW293,SUMIF($B$10:$B$16,"NCAP_TLIFE",$AX$10:$AX$16)),0,""))</f>
        <v/>
      </c>
      <c r="AK293" s="369" t="str">
        <f ca="1">IF($B293&lt;&gt;"PRC_RESID","",IF(AK$7=2005+OFFSET(COM_2012!$B$60,$AW293,SUMIF($B$10:$B$16,"NCAP_TLIFE",$AX$10:$AX$16)),0,""))</f>
        <v/>
      </c>
      <c r="AL293" s="369" t="str">
        <f ca="1">IF($B293&lt;&gt;"PRC_RESID","",IF(AL$7=2005+OFFSET(COM_2012!$B$60,$AW293,SUMIF($B$10:$B$16,"NCAP_TLIFE",$AX$10:$AX$16)),0,""))</f>
        <v/>
      </c>
      <c r="AM293" s="369" t="str">
        <f ca="1">IF($B293&lt;&gt;"PRC_RESID","",IF(AM$7=2005+OFFSET(COM_2012!$B$60,$AW293,SUMIF($B$10:$B$16,"NCAP_TLIFE",$AX$10:$AX$16)),0,""))</f>
        <v/>
      </c>
      <c r="AN293" s="369" t="str">
        <f ca="1">IF($B293&lt;&gt;"PRC_RESID","",IF(AN$7=2005+OFFSET(COM_2012!$B$60,$AW293,SUMIF($B$10:$B$16,"NCAP_TLIFE",$AX$10:$AX$16)),0,""))</f>
        <v/>
      </c>
      <c r="AO293" s="369" t="str">
        <f ca="1">IF($B293&lt;&gt;"PRC_RESID","",IF(AO$7=2005+OFFSET(COM_2012!$B$60,$AW293,SUMIF($B$10:$B$16,"NCAP_TLIFE",$AX$10:$AX$16)),0,""))</f>
        <v/>
      </c>
      <c r="AP293" s="369" t="str">
        <f ca="1">IF($B293&lt;&gt;"PRC_RESID","",IF(AP$7=2005+OFFSET(COM_2012!$B$60,$AW293,SUMIF($B$10:$B$16,"NCAP_TLIFE",$AX$10:$AX$16)),0,""))</f>
        <v/>
      </c>
      <c r="AQ293" s="369" t="str">
        <f ca="1">IF($B293&lt;&gt;"PRC_RESID","",IF(AQ$7=2005+OFFSET(COM_2012!$B$60,$AW293,SUMIF($B$10:$B$16,"NCAP_TLIFE",$AX$10:$AX$16)),0,""))</f>
        <v/>
      </c>
      <c r="AR293" s="369" t="str">
        <f ca="1">IF($B293&lt;&gt;"PRC_RESID","",IF(AR$7=2005+OFFSET(COM_2012!$B$60,$AW293,SUMIF($B$10:$B$16,"NCAP_TLIFE",$AX$10:$AX$16)),0,""))</f>
        <v/>
      </c>
      <c r="AS293" s="369" t="str">
        <f ca="1">IF($B293&lt;&gt;"PRC_RESID","",IF(AS$7=2005+OFFSET(COM_2012!$B$60,$AW293,SUMIF($B$10:$B$16,"NCAP_TLIFE",$AX$10:$AX$16)),0,""))</f>
        <v/>
      </c>
      <c r="AT293" s="369" t="str">
        <f ca="1">IF($B293&lt;&gt;"PRC_RESID","",IF(AT$7=2005+OFFSET(COM_2012!$B$60,$AW293,SUMIF($B$10:$B$16,"NCAP_TLIFE",$AX$10:$AX$16)),0,""))</f>
        <v/>
      </c>
      <c r="AU293" s="369" t="str">
        <f ca="1">IF($B293&lt;&gt;"PRC_RESID","",IF(AU$7=2005+OFFSET(COM_2012!$B$60,$AW293,SUMIF($B$10:$B$16,"NCAP_TLIFE",$AX$10:$AX$16)),0,""))</f>
        <v/>
      </c>
      <c r="AV293" s="304">
        <f>IF(AW292=COM_2012!$AI$121,AV292+1,AV292)</f>
        <v>5</v>
      </c>
      <c r="AW293" s="304">
        <f t="shared" si="29"/>
        <v>22</v>
      </c>
    </row>
    <row r="294" spans="1:49">
      <c r="A294" s="304" t="str">
        <f ca="1">IF(LEFT(OFFSET(COM_2012!$A$60,AW294,0),2)="\I","*","")</f>
        <v/>
      </c>
      <c r="B294" s="369" t="str">
        <f t="shared" ca="1" si="27"/>
        <v>NCAP_FOM</v>
      </c>
      <c r="C294" s="369" t="str">
        <f ca="1">IF($A294="*","",OFFSET(COM_2012!$B$60,AW294,0))</f>
        <v>CELELCHAL-E</v>
      </c>
      <c r="D294" s="369" t="str">
        <f t="shared" ca="1" si="28"/>
        <v>-</v>
      </c>
      <c r="E294" s="369" t="str">
        <f t="shared" ca="1" si="28"/>
        <v>-</v>
      </c>
      <c r="F294" s="369" t="str">
        <f t="shared" ca="1" si="28"/>
        <v>-</v>
      </c>
      <c r="G294" s="369" t="str">
        <f t="shared" ca="1" si="28"/>
        <v>-</v>
      </c>
      <c r="H294" s="369" t="str">
        <f t="shared" ca="1" si="28"/>
        <v>-</v>
      </c>
      <c r="I294" s="370">
        <f t="shared" ca="1" si="28"/>
        <v>0</v>
      </c>
      <c r="J294" s="391">
        <f ca="1">IF($A294="*","",OFFSET(COM_2012!$B$60,AW294,SUMIF($B$10:$B$16,B294,$AX$10:$AX$16)))</f>
        <v>7.5829581287827852E-2</v>
      </c>
      <c r="K294" s="369" t="str">
        <f ca="1">IF($B294&lt;&gt;"PRC_RESID","",IF(K$7=2005+OFFSET(COM_2012!$B$60,$AW294,SUMIF($B$10:$B$16,"NCAP_TLIFE",$AX$10:$AX$16)),0,""))</f>
        <v/>
      </c>
      <c r="L294" s="369" t="str">
        <f ca="1">IF($B294&lt;&gt;"PRC_RESID","",IF(L$7=2005+OFFSET(COM_2012!$B$60,$AW294,SUMIF($B$10:$B$16,"NCAP_TLIFE",$AX$10:$AX$16)),0,""))</f>
        <v/>
      </c>
      <c r="M294" s="369" t="str">
        <f ca="1">IF($B294&lt;&gt;"PRC_RESID","",IF(M$7=2005+OFFSET(COM_2012!$B$60,$AW294,SUMIF($B$10:$B$16,"NCAP_TLIFE",$AX$10:$AX$16)),0,""))</f>
        <v/>
      </c>
      <c r="N294" s="369" t="str">
        <f ca="1">IF($B294&lt;&gt;"PRC_RESID","",IF(N$7=2005+OFFSET(COM_2012!$B$60,$AW294,SUMIF($B$10:$B$16,"NCAP_TLIFE",$AX$10:$AX$16)),0,""))</f>
        <v/>
      </c>
      <c r="O294" s="658" t="str">
        <f ca="1">IF($B294&lt;&gt;"PRC_RESID","",IF(O$7=2005+OFFSET(COM_2012!$B$60,$AW294,SUMIF($B$10:$B$16,"NCAP_TLIFE",$AX$10:$AX$16)),0,""))</f>
        <v/>
      </c>
      <c r="P294" s="369" t="str">
        <f ca="1">IF($B294&lt;&gt;"PRC_RESID","",IF(P$7=2005+OFFSET(COM_2012!$B$60,$AW294,SUMIF($B$10:$B$16,"NCAP_TLIFE",$AX$10:$AX$16)),0,""))</f>
        <v/>
      </c>
      <c r="Q294" s="369" t="str">
        <f ca="1">IF($B294&lt;&gt;"PRC_RESID","",IF(Q$7=2005+OFFSET(COM_2012!$B$60,$AW294,SUMIF($B$10:$B$16,"NCAP_TLIFE",$AX$10:$AX$16)),0,""))</f>
        <v/>
      </c>
      <c r="R294" s="369" t="str">
        <f ca="1">IF($B294&lt;&gt;"PRC_RESID","",IF(R$7=2005+OFFSET(COM_2012!$B$60,$AW294,SUMIF($B$10:$B$16,"NCAP_TLIFE",$AX$10:$AX$16)),0,""))</f>
        <v/>
      </c>
      <c r="S294" s="369" t="str">
        <f ca="1">IF($B294&lt;&gt;"PRC_RESID","",IF(S$7=2005+OFFSET(COM_2012!$B$60,$AW294,SUMIF($B$10:$B$16,"NCAP_TLIFE",$AX$10:$AX$16)),0,""))</f>
        <v/>
      </c>
      <c r="T294" s="369" t="str">
        <f ca="1">IF($B294&lt;&gt;"PRC_RESID","",IF(T$7=2005+OFFSET(COM_2012!$B$60,$AW294,SUMIF($B$10:$B$16,"NCAP_TLIFE",$AX$10:$AX$16)),0,""))</f>
        <v/>
      </c>
      <c r="U294" s="369" t="str">
        <f ca="1">IF($B294&lt;&gt;"PRC_RESID","",IF(U$7=2005+OFFSET(COM_2012!$B$60,$AW294,SUMIF($B$10:$B$16,"NCAP_TLIFE",$AX$10:$AX$16)),0,""))</f>
        <v/>
      </c>
      <c r="V294" s="369" t="str">
        <f ca="1">IF($B294&lt;&gt;"PRC_RESID","",IF(V$7=2005+OFFSET(COM_2012!$B$60,$AW294,SUMIF($B$10:$B$16,"NCAP_TLIFE",$AX$10:$AX$16)),0,""))</f>
        <v/>
      </c>
      <c r="W294" s="369" t="str">
        <f ca="1">IF($B294&lt;&gt;"PRC_RESID","",IF(W$7=2005+OFFSET(COM_2012!$B$60,$AW294,SUMIF($B$10:$B$16,"NCAP_TLIFE",$AX$10:$AX$16)),0,""))</f>
        <v/>
      </c>
      <c r="X294" s="369" t="str">
        <f ca="1">IF($B294&lt;&gt;"PRC_RESID","",IF(X$7=2005+OFFSET(COM_2012!$B$60,$AW294,SUMIF($B$10:$B$16,"NCAP_TLIFE",$AX$10:$AX$16)),0,""))</f>
        <v/>
      </c>
      <c r="Y294" s="369" t="str">
        <f ca="1">IF($B294&lt;&gt;"PRC_RESID","",IF(Y$7=2005+OFFSET(COM_2012!$B$60,$AW294,SUMIF($B$10:$B$16,"NCAP_TLIFE",$AX$10:$AX$16)),0,""))</f>
        <v/>
      </c>
      <c r="Z294" s="369" t="str">
        <f ca="1">IF($B294&lt;&gt;"PRC_RESID","",IF(Z$7=2005+OFFSET(COM_2012!$B$60,$AW294,SUMIF($B$10:$B$16,"NCAP_TLIFE",$AX$10:$AX$16)),0,""))</f>
        <v/>
      </c>
      <c r="AA294" s="369" t="str">
        <f ca="1">IF($B294&lt;&gt;"PRC_RESID","",IF(AA$7=2005+OFFSET(COM_2012!$B$60,$AW294,SUMIF($B$10:$B$16,"NCAP_TLIFE",$AX$10:$AX$16)),0,""))</f>
        <v/>
      </c>
      <c r="AB294" s="369" t="str">
        <f ca="1">IF($B294&lt;&gt;"PRC_RESID","",IF(AB$7=2005+OFFSET(COM_2012!$B$60,$AW294,SUMIF($B$10:$B$16,"NCAP_TLIFE",$AX$10:$AX$16)),0,""))</f>
        <v/>
      </c>
      <c r="AC294" s="369" t="str">
        <f ca="1">IF($B294&lt;&gt;"PRC_RESID","",IF(AC$7=2005+OFFSET(COM_2012!$B$60,$AW294,SUMIF($B$10:$B$16,"NCAP_TLIFE",$AX$10:$AX$16)),0,""))</f>
        <v/>
      </c>
      <c r="AD294" s="369" t="str">
        <f ca="1">IF($B294&lt;&gt;"PRC_RESID","",IF(AD$7=2005+OFFSET(COM_2012!$B$60,$AW294,SUMIF($B$10:$B$16,"NCAP_TLIFE",$AX$10:$AX$16)),0,""))</f>
        <v/>
      </c>
      <c r="AE294" s="369" t="str">
        <f ca="1">IF($B294&lt;&gt;"PRC_RESID","",IF(AE$7=2005+OFFSET(COM_2012!$B$60,$AW294,SUMIF($B$10:$B$16,"NCAP_TLIFE",$AX$10:$AX$16)),0,""))</f>
        <v/>
      </c>
      <c r="AF294" s="369" t="str">
        <f ca="1">IF($B294&lt;&gt;"PRC_RESID","",IF(AF$7=2005+OFFSET(COM_2012!$B$60,$AW294,SUMIF($B$10:$B$16,"NCAP_TLIFE",$AX$10:$AX$16)),0,""))</f>
        <v/>
      </c>
      <c r="AG294" s="369" t="str">
        <f ca="1">IF($B294&lt;&gt;"PRC_RESID","",IF(AG$7=2005+OFFSET(COM_2012!$B$60,$AW294,SUMIF($B$10:$B$16,"NCAP_TLIFE",$AX$10:$AX$16)),0,""))</f>
        <v/>
      </c>
      <c r="AH294" s="369" t="str">
        <f ca="1">IF($B294&lt;&gt;"PRC_RESID","",IF(AH$7=2005+OFFSET(COM_2012!$B$60,$AW294,SUMIF($B$10:$B$16,"NCAP_TLIFE",$AX$10:$AX$16)),0,""))</f>
        <v/>
      </c>
      <c r="AI294" s="369" t="str">
        <f ca="1">IF($B294&lt;&gt;"PRC_RESID","",IF(AI$7=2005+OFFSET(COM_2012!$B$60,$AW294,SUMIF($B$10:$B$16,"NCAP_TLIFE",$AX$10:$AX$16)),0,""))</f>
        <v/>
      </c>
      <c r="AJ294" s="369" t="str">
        <f ca="1">IF($B294&lt;&gt;"PRC_RESID","",IF(AJ$7=2005+OFFSET(COM_2012!$B$60,$AW294,SUMIF($B$10:$B$16,"NCAP_TLIFE",$AX$10:$AX$16)),0,""))</f>
        <v/>
      </c>
      <c r="AK294" s="369" t="str">
        <f ca="1">IF($B294&lt;&gt;"PRC_RESID","",IF(AK$7=2005+OFFSET(COM_2012!$B$60,$AW294,SUMIF($B$10:$B$16,"NCAP_TLIFE",$AX$10:$AX$16)),0,""))</f>
        <v/>
      </c>
      <c r="AL294" s="369" t="str">
        <f ca="1">IF($B294&lt;&gt;"PRC_RESID","",IF(AL$7=2005+OFFSET(COM_2012!$B$60,$AW294,SUMIF($B$10:$B$16,"NCAP_TLIFE",$AX$10:$AX$16)),0,""))</f>
        <v/>
      </c>
      <c r="AM294" s="369" t="str">
        <f ca="1">IF($B294&lt;&gt;"PRC_RESID","",IF(AM$7=2005+OFFSET(COM_2012!$B$60,$AW294,SUMIF($B$10:$B$16,"NCAP_TLIFE",$AX$10:$AX$16)),0,""))</f>
        <v/>
      </c>
      <c r="AN294" s="369" t="str">
        <f ca="1">IF($B294&lt;&gt;"PRC_RESID","",IF(AN$7=2005+OFFSET(COM_2012!$B$60,$AW294,SUMIF($B$10:$B$16,"NCAP_TLIFE",$AX$10:$AX$16)),0,""))</f>
        <v/>
      </c>
      <c r="AO294" s="369" t="str">
        <f ca="1">IF($B294&lt;&gt;"PRC_RESID","",IF(AO$7=2005+OFFSET(COM_2012!$B$60,$AW294,SUMIF($B$10:$B$16,"NCAP_TLIFE",$AX$10:$AX$16)),0,""))</f>
        <v/>
      </c>
      <c r="AP294" s="369" t="str">
        <f ca="1">IF($B294&lt;&gt;"PRC_RESID","",IF(AP$7=2005+OFFSET(COM_2012!$B$60,$AW294,SUMIF($B$10:$B$16,"NCAP_TLIFE",$AX$10:$AX$16)),0,""))</f>
        <v/>
      </c>
      <c r="AQ294" s="369" t="str">
        <f ca="1">IF($B294&lt;&gt;"PRC_RESID","",IF(AQ$7=2005+OFFSET(COM_2012!$B$60,$AW294,SUMIF($B$10:$B$16,"NCAP_TLIFE",$AX$10:$AX$16)),0,""))</f>
        <v/>
      </c>
      <c r="AR294" s="369" t="str">
        <f ca="1">IF($B294&lt;&gt;"PRC_RESID","",IF(AR$7=2005+OFFSET(COM_2012!$B$60,$AW294,SUMIF($B$10:$B$16,"NCAP_TLIFE",$AX$10:$AX$16)),0,""))</f>
        <v/>
      </c>
      <c r="AS294" s="369" t="str">
        <f ca="1">IF($B294&lt;&gt;"PRC_RESID","",IF(AS$7=2005+OFFSET(COM_2012!$B$60,$AW294,SUMIF($B$10:$B$16,"NCAP_TLIFE",$AX$10:$AX$16)),0,""))</f>
        <v/>
      </c>
      <c r="AT294" s="369" t="str">
        <f ca="1">IF($B294&lt;&gt;"PRC_RESID","",IF(AT$7=2005+OFFSET(COM_2012!$B$60,$AW294,SUMIF($B$10:$B$16,"NCAP_TLIFE",$AX$10:$AX$16)),0,""))</f>
        <v/>
      </c>
      <c r="AU294" s="369" t="str">
        <f ca="1">IF($B294&lt;&gt;"PRC_RESID","",IF(AU$7=2005+OFFSET(COM_2012!$B$60,$AW294,SUMIF($B$10:$B$16,"NCAP_TLIFE",$AX$10:$AX$16)),0,""))</f>
        <v/>
      </c>
      <c r="AV294" s="304">
        <f>IF(AW293=COM_2012!$AI$121,AV293+1,AV293)</f>
        <v>5</v>
      </c>
      <c r="AW294" s="304">
        <f t="shared" si="29"/>
        <v>23</v>
      </c>
    </row>
    <row r="295" spans="1:49">
      <c r="A295" s="304" t="str">
        <f ca="1">IF(LEFT(OFFSET(COM_2012!$A$60,AW295,0),2)="\I","*","")</f>
        <v/>
      </c>
      <c r="B295" s="369" t="str">
        <f t="shared" ca="1" si="27"/>
        <v>NCAP_FOM</v>
      </c>
      <c r="C295" s="369" t="str">
        <f ca="1">IF($A295="*","",OFFSET(COM_2012!$B$60,AW295,0))</f>
        <v>CELELCHID-E</v>
      </c>
      <c r="D295" s="369" t="str">
        <f t="shared" ca="1" si="28"/>
        <v>-</v>
      </c>
      <c r="E295" s="369" t="str">
        <f t="shared" ca="1" si="28"/>
        <v>-</v>
      </c>
      <c r="F295" s="369" t="str">
        <f t="shared" ca="1" si="28"/>
        <v>-</v>
      </c>
      <c r="G295" s="369" t="str">
        <f t="shared" ca="1" si="28"/>
        <v>-</v>
      </c>
      <c r="H295" s="369" t="str">
        <f t="shared" ca="1" si="28"/>
        <v>-</v>
      </c>
      <c r="I295" s="370">
        <f t="shared" ca="1" si="28"/>
        <v>0</v>
      </c>
      <c r="J295" s="391">
        <f ca="1">IF($A295="*","",OFFSET(COM_2012!$B$60,AW295,SUMIF($B$10:$B$16,B295,$AX$10:$AX$16)))</f>
        <v>3.0666374785518619E-2</v>
      </c>
      <c r="K295" s="369" t="str">
        <f ca="1">IF($B295&lt;&gt;"PRC_RESID","",IF(K$7=2005+OFFSET(COM_2012!$B$60,$AW295,SUMIF($B$10:$B$16,"NCAP_TLIFE",$AX$10:$AX$16)),0,""))</f>
        <v/>
      </c>
      <c r="L295" s="369" t="str">
        <f ca="1">IF($B295&lt;&gt;"PRC_RESID","",IF(L$7=2005+OFFSET(COM_2012!$B$60,$AW295,SUMIF($B$10:$B$16,"NCAP_TLIFE",$AX$10:$AX$16)),0,""))</f>
        <v/>
      </c>
      <c r="M295" s="369" t="str">
        <f ca="1">IF($B295&lt;&gt;"PRC_RESID","",IF(M$7=2005+OFFSET(COM_2012!$B$60,$AW295,SUMIF($B$10:$B$16,"NCAP_TLIFE",$AX$10:$AX$16)),0,""))</f>
        <v/>
      </c>
      <c r="N295" s="369" t="str">
        <f ca="1">IF($B295&lt;&gt;"PRC_RESID","",IF(N$7=2005+OFFSET(COM_2012!$B$60,$AW295,SUMIF($B$10:$B$16,"NCAP_TLIFE",$AX$10:$AX$16)),0,""))</f>
        <v/>
      </c>
      <c r="O295" s="658" t="str">
        <f ca="1">IF($B295&lt;&gt;"PRC_RESID","",IF(O$7=2005+OFFSET(COM_2012!$B$60,$AW295,SUMIF($B$10:$B$16,"NCAP_TLIFE",$AX$10:$AX$16)),0,""))</f>
        <v/>
      </c>
      <c r="P295" s="369" t="str">
        <f ca="1">IF($B295&lt;&gt;"PRC_RESID","",IF(P$7=2005+OFFSET(COM_2012!$B$60,$AW295,SUMIF($B$10:$B$16,"NCAP_TLIFE",$AX$10:$AX$16)),0,""))</f>
        <v/>
      </c>
      <c r="Q295" s="369" t="str">
        <f ca="1">IF($B295&lt;&gt;"PRC_RESID","",IF(Q$7=2005+OFFSET(COM_2012!$B$60,$AW295,SUMIF($B$10:$B$16,"NCAP_TLIFE",$AX$10:$AX$16)),0,""))</f>
        <v/>
      </c>
      <c r="R295" s="369" t="str">
        <f ca="1">IF($B295&lt;&gt;"PRC_RESID","",IF(R$7=2005+OFFSET(COM_2012!$B$60,$AW295,SUMIF($B$10:$B$16,"NCAP_TLIFE",$AX$10:$AX$16)),0,""))</f>
        <v/>
      </c>
      <c r="S295" s="369" t="str">
        <f ca="1">IF($B295&lt;&gt;"PRC_RESID","",IF(S$7=2005+OFFSET(COM_2012!$B$60,$AW295,SUMIF($B$10:$B$16,"NCAP_TLIFE",$AX$10:$AX$16)),0,""))</f>
        <v/>
      </c>
      <c r="T295" s="369" t="str">
        <f ca="1">IF($B295&lt;&gt;"PRC_RESID","",IF(T$7=2005+OFFSET(COM_2012!$B$60,$AW295,SUMIF($B$10:$B$16,"NCAP_TLIFE",$AX$10:$AX$16)),0,""))</f>
        <v/>
      </c>
      <c r="U295" s="369" t="str">
        <f ca="1">IF($B295&lt;&gt;"PRC_RESID","",IF(U$7=2005+OFFSET(COM_2012!$B$60,$AW295,SUMIF($B$10:$B$16,"NCAP_TLIFE",$AX$10:$AX$16)),0,""))</f>
        <v/>
      </c>
      <c r="V295" s="369" t="str">
        <f ca="1">IF($B295&lt;&gt;"PRC_RESID","",IF(V$7=2005+OFFSET(COM_2012!$B$60,$AW295,SUMIF($B$10:$B$16,"NCAP_TLIFE",$AX$10:$AX$16)),0,""))</f>
        <v/>
      </c>
      <c r="W295" s="369" t="str">
        <f ca="1">IF($B295&lt;&gt;"PRC_RESID","",IF(W$7=2005+OFFSET(COM_2012!$B$60,$AW295,SUMIF($B$10:$B$16,"NCAP_TLIFE",$AX$10:$AX$16)),0,""))</f>
        <v/>
      </c>
      <c r="X295" s="369" t="str">
        <f ca="1">IF($B295&lt;&gt;"PRC_RESID","",IF(X$7=2005+OFFSET(COM_2012!$B$60,$AW295,SUMIF($B$10:$B$16,"NCAP_TLIFE",$AX$10:$AX$16)),0,""))</f>
        <v/>
      </c>
      <c r="Y295" s="369" t="str">
        <f ca="1">IF($B295&lt;&gt;"PRC_RESID","",IF(Y$7=2005+OFFSET(COM_2012!$B$60,$AW295,SUMIF($B$10:$B$16,"NCAP_TLIFE",$AX$10:$AX$16)),0,""))</f>
        <v/>
      </c>
      <c r="Z295" s="369" t="str">
        <f ca="1">IF($B295&lt;&gt;"PRC_RESID","",IF(Z$7=2005+OFFSET(COM_2012!$B$60,$AW295,SUMIF($B$10:$B$16,"NCAP_TLIFE",$AX$10:$AX$16)),0,""))</f>
        <v/>
      </c>
      <c r="AA295" s="369" t="str">
        <f ca="1">IF($B295&lt;&gt;"PRC_RESID","",IF(AA$7=2005+OFFSET(COM_2012!$B$60,$AW295,SUMIF($B$10:$B$16,"NCAP_TLIFE",$AX$10:$AX$16)),0,""))</f>
        <v/>
      </c>
      <c r="AB295" s="369" t="str">
        <f ca="1">IF($B295&lt;&gt;"PRC_RESID","",IF(AB$7=2005+OFFSET(COM_2012!$B$60,$AW295,SUMIF($B$10:$B$16,"NCAP_TLIFE",$AX$10:$AX$16)),0,""))</f>
        <v/>
      </c>
      <c r="AC295" s="369" t="str">
        <f ca="1">IF($B295&lt;&gt;"PRC_RESID","",IF(AC$7=2005+OFFSET(COM_2012!$B$60,$AW295,SUMIF($B$10:$B$16,"NCAP_TLIFE",$AX$10:$AX$16)),0,""))</f>
        <v/>
      </c>
      <c r="AD295" s="369" t="str">
        <f ca="1">IF($B295&lt;&gt;"PRC_RESID","",IF(AD$7=2005+OFFSET(COM_2012!$B$60,$AW295,SUMIF($B$10:$B$16,"NCAP_TLIFE",$AX$10:$AX$16)),0,""))</f>
        <v/>
      </c>
      <c r="AE295" s="369" t="str">
        <f ca="1">IF($B295&lt;&gt;"PRC_RESID","",IF(AE$7=2005+OFFSET(COM_2012!$B$60,$AW295,SUMIF($B$10:$B$16,"NCAP_TLIFE",$AX$10:$AX$16)),0,""))</f>
        <v/>
      </c>
      <c r="AF295" s="369" t="str">
        <f ca="1">IF($B295&lt;&gt;"PRC_RESID","",IF(AF$7=2005+OFFSET(COM_2012!$B$60,$AW295,SUMIF($B$10:$B$16,"NCAP_TLIFE",$AX$10:$AX$16)),0,""))</f>
        <v/>
      </c>
      <c r="AG295" s="369" t="str">
        <f ca="1">IF($B295&lt;&gt;"PRC_RESID","",IF(AG$7=2005+OFFSET(COM_2012!$B$60,$AW295,SUMIF($B$10:$B$16,"NCAP_TLIFE",$AX$10:$AX$16)),0,""))</f>
        <v/>
      </c>
      <c r="AH295" s="369" t="str">
        <f ca="1">IF($B295&lt;&gt;"PRC_RESID","",IF(AH$7=2005+OFFSET(COM_2012!$B$60,$AW295,SUMIF($B$10:$B$16,"NCAP_TLIFE",$AX$10:$AX$16)),0,""))</f>
        <v/>
      </c>
      <c r="AI295" s="369" t="str">
        <f ca="1">IF($B295&lt;&gt;"PRC_RESID","",IF(AI$7=2005+OFFSET(COM_2012!$B$60,$AW295,SUMIF($B$10:$B$16,"NCAP_TLIFE",$AX$10:$AX$16)),0,""))</f>
        <v/>
      </c>
      <c r="AJ295" s="369" t="str">
        <f ca="1">IF($B295&lt;&gt;"PRC_RESID","",IF(AJ$7=2005+OFFSET(COM_2012!$B$60,$AW295,SUMIF($B$10:$B$16,"NCAP_TLIFE",$AX$10:$AX$16)),0,""))</f>
        <v/>
      </c>
      <c r="AK295" s="369" t="str">
        <f ca="1">IF($B295&lt;&gt;"PRC_RESID","",IF(AK$7=2005+OFFSET(COM_2012!$B$60,$AW295,SUMIF($B$10:$B$16,"NCAP_TLIFE",$AX$10:$AX$16)),0,""))</f>
        <v/>
      </c>
      <c r="AL295" s="369" t="str">
        <f ca="1">IF($B295&lt;&gt;"PRC_RESID","",IF(AL$7=2005+OFFSET(COM_2012!$B$60,$AW295,SUMIF($B$10:$B$16,"NCAP_TLIFE",$AX$10:$AX$16)),0,""))</f>
        <v/>
      </c>
      <c r="AM295" s="369" t="str">
        <f ca="1">IF($B295&lt;&gt;"PRC_RESID","",IF(AM$7=2005+OFFSET(COM_2012!$B$60,$AW295,SUMIF($B$10:$B$16,"NCAP_TLIFE",$AX$10:$AX$16)),0,""))</f>
        <v/>
      </c>
      <c r="AN295" s="369" t="str">
        <f ca="1">IF($B295&lt;&gt;"PRC_RESID","",IF(AN$7=2005+OFFSET(COM_2012!$B$60,$AW295,SUMIF($B$10:$B$16,"NCAP_TLIFE",$AX$10:$AX$16)),0,""))</f>
        <v/>
      </c>
      <c r="AO295" s="369" t="str">
        <f ca="1">IF($B295&lt;&gt;"PRC_RESID","",IF(AO$7=2005+OFFSET(COM_2012!$B$60,$AW295,SUMIF($B$10:$B$16,"NCAP_TLIFE",$AX$10:$AX$16)),0,""))</f>
        <v/>
      </c>
      <c r="AP295" s="369" t="str">
        <f ca="1">IF($B295&lt;&gt;"PRC_RESID","",IF(AP$7=2005+OFFSET(COM_2012!$B$60,$AW295,SUMIF($B$10:$B$16,"NCAP_TLIFE",$AX$10:$AX$16)),0,""))</f>
        <v/>
      </c>
      <c r="AQ295" s="369" t="str">
        <f ca="1">IF($B295&lt;&gt;"PRC_RESID","",IF(AQ$7=2005+OFFSET(COM_2012!$B$60,$AW295,SUMIF($B$10:$B$16,"NCAP_TLIFE",$AX$10:$AX$16)),0,""))</f>
        <v/>
      </c>
      <c r="AR295" s="369" t="str">
        <f ca="1">IF($B295&lt;&gt;"PRC_RESID","",IF(AR$7=2005+OFFSET(COM_2012!$B$60,$AW295,SUMIF($B$10:$B$16,"NCAP_TLIFE",$AX$10:$AX$16)),0,""))</f>
        <v/>
      </c>
      <c r="AS295" s="369" t="str">
        <f ca="1">IF($B295&lt;&gt;"PRC_RESID","",IF(AS$7=2005+OFFSET(COM_2012!$B$60,$AW295,SUMIF($B$10:$B$16,"NCAP_TLIFE",$AX$10:$AX$16)),0,""))</f>
        <v/>
      </c>
      <c r="AT295" s="369" t="str">
        <f ca="1">IF($B295&lt;&gt;"PRC_RESID","",IF(AT$7=2005+OFFSET(COM_2012!$B$60,$AW295,SUMIF($B$10:$B$16,"NCAP_TLIFE",$AX$10:$AX$16)),0,""))</f>
        <v/>
      </c>
      <c r="AU295" s="369" t="str">
        <f ca="1">IF($B295&lt;&gt;"PRC_RESID","",IF(AU$7=2005+OFFSET(COM_2012!$B$60,$AW295,SUMIF($B$10:$B$16,"NCAP_TLIFE",$AX$10:$AX$16)),0,""))</f>
        <v/>
      </c>
      <c r="AV295" s="304">
        <f>IF(AW294=COM_2012!$AI$121,AV294+1,AV294)</f>
        <v>5</v>
      </c>
      <c r="AW295" s="304">
        <f t="shared" si="29"/>
        <v>24</v>
      </c>
    </row>
    <row r="296" spans="1:49">
      <c r="A296" s="304" t="str">
        <f ca="1">IF(LEFT(OFFSET(COM_2012!$A$60,AW296,0),2)="\I","*","")</f>
        <v/>
      </c>
      <c r="B296" s="369" t="str">
        <f t="shared" ca="1" si="27"/>
        <v>NCAP_FOM</v>
      </c>
      <c r="C296" s="369" t="str">
        <f ca="1">IF($A296="*","",OFFSET(COM_2012!$B$60,AW296,0))</f>
        <v>CELELCINC-E</v>
      </c>
      <c r="D296" s="369" t="str">
        <f t="shared" ca="1" si="28"/>
        <v>-</v>
      </c>
      <c r="E296" s="369" t="str">
        <f t="shared" ca="1" si="28"/>
        <v>-</v>
      </c>
      <c r="F296" s="369" t="str">
        <f t="shared" ca="1" si="28"/>
        <v>-</v>
      </c>
      <c r="G296" s="369" t="str">
        <f t="shared" ca="1" si="28"/>
        <v>-</v>
      </c>
      <c r="H296" s="369" t="str">
        <f t="shared" ca="1" si="28"/>
        <v>-</v>
      </c>
      <c r="I296" s="370">
        <f t="shared" ca="1" si="28"/>
        <v>0</v>
      </c>
      <c r="J296" s="391">
        <f ca="1">IF($A296="*","",OFFSET(COM_2012!$B$60,AW296,SUMIF($B$10:$B$16,B296,$AX$10:$AX$16)))</f>
        <v>2.6729589482474083E-2</v>
      </c>
      <c r="K296" s="369" t="str">
        <f ca="1">IF($B296&lt;&gt;"PRC_RESID","",IF(K$7=2005+OFFSET(COM_2012!$B$60,$AW296,SUMIF($B$10:$B$16,"NCAP_TLIFE",$AX$10:$AX$16)),0,""))</f>
        <v/>
      </c>
      <c r="L296" s="369" t="str">
        <f ca="1">IF($B296&lt;&gt;"PRC_RESID","",IF(L$7=2005+OFFSET(COM_2012!$B$60,$AW296,SUMIF($B$10:$B$16,"NCAP_TLIFE",$AX$10:$AX$16)),0,""))</f>
        <v/>
      </c>
      <c r="M296" s="369" t="str">
        <f ca="1">IF($B296&lt;&gt;"PRC_RESID","",IF(M$7=2005+OFFSET(COM_2012!$B$60,$AW296,SUMIF($B$10:$B$16,"NCAP_TLIFE",$AX$10:$AX$16)),0,""))</f>
        <v/>
      </c>
      <c r="N296" s="369" t="str">
        <f ca="1">IF($B296&lt;&gt;"PRC_RESID","",IF(N$7=2005+OFFSET(COM_2012!$B$60,$AW296,SUMIF($B$10:$B$16,"NCAP_TLIFE",$AX$10:$AX$16)),0,""))</f>
        <v/>
      </c>
      <c r="O296" s="658" t="str">
        <f ca="1">IF($B296&lt;&gt;"PRC_RESID","",IF(O$7=2005+OFFSET(COM_2012!$B$60,$AW296,SUMIF($B$10:$B$16,"NCAP_TLIFE",$AX$10:$AX$16)),0,""))</f>
        <v/>
      </c>
      <c r="P296" s="369" t="str">
        <f ca="1">IF($B296&lt;&gt;"PRC_RESID","",IF(P$7=2005+OFFSET(COM_2012!$B$60,$AW296,SUMIF($B$10:$B$16,"NCAP_TLIFE",$AX$10:$AX$16)),0,""))</f>
        <v/>
      </c>
      <c r="Q296" s="369" t="str">
        <f ca="1">IF($B296&lt;&gt;"PRC_RESID","",IF(Q$7=2005+OFFSET(COM_2012!$B$60,$AW296,SUMIF($B$10:$B$16,"NCAP_TLIFE",$AX$10:$AX$16)),0,""))</f>
        <v/>
      </c>
      <c r="R296" s="369" t="str">
        <f ca="1">IF($B296&lt;&gt;"PRC_RESID","",IF(R$7=2005+OFFSET(COM_2012!$B$60,$AW296,SUMIF($B$10:$B$16,"NCAP_TLIFE",$AX$10:$AX$16)),0,""))</f>
        <v/>
      </c>
      <c r="S296" s="369" t="str">
        <f ca="1">IF($B296&lt;&gt;"PRC_RESID","",IF(S$7=2005+OFFSET(COM_2012!$B$60,$AW296,SUMIF($B$10:$B$16,"NCAP_TLIFE",$AX$10:$AX$16)),0,""))</f>
        <v/>
      </c>
      <c r="T296" s="369" t="str">
        <f ca="1">IF($B296&lt;&gt;"PRC_RESID","",IF(T$7=2005+OFFSET(COM_2012!$B$60,$AW296,SUMIF($B$10:$B$16,"NCAP_TLIFE",$AX$10:$AX$16)),0,""))</f>
        <v/>
      </c>
      <c r="U296" s="369" t="str">
        <f ca="1">IF($B296&lt;&gt;"PRC_RESID","",IF(U$7=2005+OFFSET(COM_2012!$B$60,$AW296,SUMIF($B$10:$B$16,"NCAP_TLIFE",$AX$10:$AX$16)),0,""))</f>
        <v/>
      </c>
      <c r="V296" s="369" t="str">
        <f ca="1">IF($B296&lt;&gt;"PRC_RESID","",IF(V$7=2005+OFFSET(COM_2012!$B$60,$AW296,SUMIF($B$10:$B$16,"NCAP_TLIFE",$AX$10:$AX$16)),0,""))</f>
        <v/>
      </c>
      <c r="W296" s="369" t="str">
        <f ca="1">IF($B296&lt;&gt;"PRC_RESID","",IF(W$7=2005+OFFSET(COM_2012!$B$60,$AW296,SUMIF($B$10:$B$16,"NCAP_TLIFE",$AX$10:$AX$16)),0,""))</f>
        <v/>
      </c>
      <c r="X296" s="369" t="str">
        <f ca="1">IF($B296&lt;&gt;"PRC_RESID","",IF(X$7=2005+OFFSET(COM_2012!$B$60,$AW296,SUMIF($B$10:$B$16,"NCAP_TLIFE",$AX$10:$AX$16)),0,""))</f>
        <v/>
      </c>
      <c r="Y296" s="369" t="str">
        <f ca="1">IF($B296&lt;&gt;"PRC_RESID","",IF(Y$7=2005+OFFSET(COM_2012!$B$60,$AW296,SUMIF($B$10:$B$16,"NCAP_TLIFE",$AX$10:$AX$16)),0,""))</f>
        <v/>
      </c>
      <c r="Z296" s="369" t="str">
        <f ca="1">IF($B296&lt;&gt;"PRC_RESID","",IF(Z$7=2005+OFFSET(COM_2012!$B$60,$AW296,SUMIF($B$10:$B$16,"NCAP_TLIFE",$AX$10:$AX$16)),0,""))</f>
        <v/>
      </c>
      <c r="AA296" s="369" t="str">
        <f ca="1">IF($B296&lt;&gt;"PRC_RESID","",IF(AA$7=2005+OFFSET(COM_2012!$B$60,$AW296,SUMIF($B$10:$B$16,"NCAP_TLIFE",$AX$10:$AX$16)),0,""))</f>
        <v/>
      </c>
      <c r="AB296" s="369" t="str">
        <f ca="1">IF($B296&lt;&gt;"PRC_RESID","",IF(AB$7=2005+OFFSET(COM_2012!$B$60,$AW296,SUMIF($B$10:$B$16,"NCAP_TLIFE",$AX$10:$AX$16)),0,""))</f>
        <v/>
      </c>
      <c r="AC296" s="369" t="str">
        <f ca="1">IF($B296&lt;&gt;"PRC_RESID","",IF(AC$7=2005+OFFSET(COM_2012!$B$60,$AW296,SUMIF($B$10:$B$16,"NCAP_TLIFE",$AX$10:$AX$16)),0,""))</f>
        <v/>
      </c>
      <c r="AD296" s="369" t="str">
        <f ca="1">IF($B296&lt;&gt;"PRC_RESID","",IF(AD$7=2005+OFFSET(COM_2012!$B$60,$AW296,SUMIF($B$10:$B$16,"NCAP_TLIFE",$AX$10:$AX$16)),0,""))</f>
        <v/>
      </c>
      <c r="AE296" s="369" t="str">
        <f ca="1">IF($B296&lt;&gt;"PRC_RESID","",IF(AE$7=2005+OFFSET(COM_2012!$B$60,$AW296,SUMIF($B$10:$B$16,"NCAP_TLIFE",$AX$10:$AX$16)),0,""))</f>
        <v/>
      </c>
      <c r="AF296" s="369" t="str">
        <f ca="1">IF($B296&lt;&gt;"PRC_RESID","",IF(AF$7=2005+OFFSET(COM_2012!$B$60,$AW296,SUMIF($B$10:$B$16,"NCAP_TLIFE",$AX$10:$AX$16)),0,""))</f>
        <v/>
      </c>
      <c r="AG296" s="369" t="str">
        <f ca="1">IF($B296&lt;&gt;"PRC_RESID","",IF(AG$7=2005+OFFSET(COM_2012!$B$60,$AW296,SUMIF($B$10:$B$16,"NCAP_TLIFE",$AX$10:$AX$16)),0,""))</f>
        <v/>
      </c>
      <c r="AH296" s="369" t="str">
        <f ca="1">IF($B296&lt;&gt;"PRC_RESID","",IF(AH$7=2005+OFFSET(COM_2012!$B$60,$AW296,SUMIF($B$10:$B$16,"NCAP_TLIFE",$AX$10:$AX$16)),0,""))</f>
        <v/>
      </c>
      <c r="AI296" s="369" t="str">
        <f ca="1">IF($B296&lt;&gt;"PRC_RESID","",IF(AI$7=2005+OFFSET(COM_2012!$B$60,$AW296,SUMIF($B$10:$B$16,"NCAP_TLIFE",$AX$10:$AX$16)),0,""))</f>
        <v/>
      </c>
      <c r="AJ296" s="369" t="str">
        <f ca="1">IF($B296&lt;&gt;"PRC_RESID","",IF(AJ$7=2005+OFFSET(COM_2012!$B$60,$AW296,SUMIF($B$10:$B$16,"NCAP_TLIFE",$AX$10:$AX$16)),0,""))</f>
        <v/>
      </c>
      <c r="AK296" s="369" t="str">
        <f ca="1">IF($B296&lt;&gt;"PRC_RESID","",IF(AK$7=2005+OFFSET(COM_2012!$B$60,$AW296,SUMIF($B$10:$B$16,"NCAP_TLIFE",$AX$10:$AX$16)),0,""))</f>
        <v/>
      </c>
      <c r="AL296" s="369" t="str">
        <f ca="1">IF($B296&lt;&gt;"PRC_RESID","",IF(AL$7=2005+OFFSET(COM_2012!$B$60,$AW296,SUMIF($B$10:$B$16,"NCAP_TLIFE",$AX$10:$AX$16)),0,""))</f>
        <v/>
      </c>
      <c r="AM296" s="369" t="str">
        <f ca="1">IF($B296&lt;&gt;"PRC_RESID","",IF(AM$7=2005+OFFSET(COM_2012!$B$60,$AW296,SUMIF($B$10:$B$16,"NCAP_TLIFE",$AX$10:$AX$16)),0,""))</f>
        <v/>
      </c>
      <c r="AN296" s="369" t="str">
        <f ca="1">IF($B296&lt;&gt;"PRC_RESID","",IF(AN$7=2005+OFFSET(COM_2012!$B$60,$AW296,SUMIF($B$10:$B$16,"NCAP_TLIFE",$AX$10:$AX$16)),0,""))</f>
        <v/>
      </c>
      <c r="AO296" s="369" t="str">
        <f ca="1">IF($B296&lt;&gt;"PRC_RESID","",IF(AO$7=2005+OFFSET(COM_2012!$B$60,$AW296,SUMIF($B$10:$B$16,"NCAP_TLIFE",$AX$10:$AX$16)),0,""))</f>
        <v/>
      </c>
      <c r="AP296" s="369" t="str">
        <f ca="1">IF($B296&lt;&gt;"PRC_RESID","",IF(AP$7=2005+OFFSET(COM_2012!$B$60,$AW296,SUMIF($B$10:$B$16,"NCAP_TLIFE",$AX$10:$AX$16)),0,""))</f>
        <v/>
      </c>
      <c r="AQ296" s="369" t="str">
        <f ca="1">IF($B296&lt;&gt;"PRC_RESID","",IF(AQ$7=2005+OFFSET(COM_2012!$B$60,$AW296,SUMIF($B$10:$B$16,"NCAP_TLIFE",$AX$10:$AX$16)),0,""))</f>
        <v/>
      </c>
      <c r="AR296" s="369" t="str">
        <f ca="1">IF($B296&lt;&gt;"PRC_RESID","",IF(AR$7=2005+OFFSET(COM_2012!$B$60,$AW296,SUMIF($B$10:$B$16,"NCAP_TLIFE",$AX$10:$AX$16)),0,""))</f>
        <v/>
      </c>
      <c r="AS296" s="369" t="str">
        <f ca="1">IF($B296&lt;&gt;"PRC_RESID","",IF(AS$7=2005+OFFSET(COM_2012!$B$60,$AW296,SUMIF($B$10:$B$16,"NCAP_TLIFE",$AX$10:$AX$16)),0,""))</f>
        <v/>
      </c>
      <c r="AT296" s="369" t="str">
        <f ca="1">IF($B296&lt;&gt;"PRC_RESID","",IF(AT$7=2005+OFFSET(COM_2012!$B$60,$AW296,SUMIF($B$10:$B$16,"NCAP_TLIFE",$AX$10:$AX$16)),0,""))</f>
        <v/>
      </c>
      <c r="AU296" s="369" t="str">
        <f ca="1">IF($B296&lt;&gt;"PRC_RESID","",IF(AU$7=2005+OFFSET(COM_2012!$B$60,$AW296,SUMIF($B$10:$B$16,"NCAP_TLIFE",$AX$10:$AX$16)),0,""))</f>
        <v/>
      </c>
      <c r="AV296" s="304">
        <f>IF(AW295=COM_2012!$AI$121,AV295+1,AV295)</f>
        <v>5</v>
      </c>
      <c r="AW296" s="304">
        <f t="shared" si="29"/>
        <v>25</v>
      </c>
    </row>
    <row r="297" spans="1:49">
      <c r="A297" s="304" t="str">
        <f ca="1">IF(LEFT(OFFSET(COM_2012!$A$60,AW297,0),2)="\I","*","")</f>
        <v/>
      </c>
      <c r="B297" s="369" t="str">
        <f t="shared" ca="1" si="27"/>
        <v>NCAP_FOM</v>
      </c>
      <c r="C297" s="369" t="str">
        <f ca="1">IF($A297="*","",OFFSET(COM_2012!$B$60,AW297,0))</f>
        <v>CELELCLED-N</v>
      </c>
      <c r="D297" s="369" t="str">
        <f t="shared" ca="1" si="28"/>
        <v>-</v>
      </c>
      <c r="E297" s="369" t="str">
        <f t="shared" ca="1" si="28"/>
        <v>-</v>
      </c>
      <c r="F297" s="369" t="str">
        <f t="shared" ca="1" si="28"/>
        <v>-</v>
      </c>
      <c r="G297" s="369" t="str">
        <f t="shared" ca="1" si="28"/>
        <v>-</v>
      </c>
      <c r="H297" s="369" t="str">
        <f t="shared" ca="1" si="28"/>
        <v>-</v>
      </c>
      <c r="I297" s="370">
        <f t="shared" ca="1" si="28"/>
        <v>0</v>
      </c>
      <c r="J297" s="391">
        <f ca="1">IF($A297="*","",OFFSET(COM_2012!$B$60,AW297,SUMIF($B$10:$B$16,B297,$AX$10:$AX$16)))</f>
        <v>0.49258814903416526</v>
      </c>
      <c r="K297" s="369" t="str">
        <f ca="1">IF($B297&lt;&gt;"PRC_RESID","",IF(K$7=2005+OFFSET(COM_2012!$B$60,$AW297,SUMIF($B$10:$B$16,"NCAP_TLIFE",$AX$10:$AX$16)),0,""))</f>
        <v/>
      </c>
      <c r="L297" s="369" t="str">
        <f ca="1">IF($B297&lt;&gt;"PRC_RESID","",IF(L$7=2005+OFFSET(COM_2012!$B$60,$AW297,SUMIF($B$10:$B$16,"NCAP_TLIFE",$AX$10:$AX$16)),0,""))</f>
        <v/>
      </c>
      <c r="M297" s="369" t="str">
        <f ca="1">IF($B297&lt;&gt;"PRC_RESID","",IF(M$7=2005+OFFSET(COM_2012!$B$60,$AW297,SUMIF($B$10:$B$16,"NCAP_TLIFE",$AX$10:$AX$16)),0,""))</f>
        <v/>
      </c>
      <c r="N297" s="369" t="str">
        <f ca="1">IF($B297&lt;&gt;"PRC_RESID","",IF(N$7=2005+OFFSET(COM_2012!$B$60,$AW297,SUMIF($B$10:$B$16,"NCAP_TLIFE",$AX$10:$AX$16)),0,""))</f>
        <v/>
      </c>
      <c r="O297" s="658" t="str">
        <f ca="1">IF($B297&lt;&gt;"PRC_RESID","",IF(O$7=2005+OFFSET(COM_2012!$B$60,$AW297,SUMIF($B$10:$B$16,"NCAP_TLIFE",$AX$10:$AX$16)),0,""))</f>
        <v/>
      </c>
      <c r="P297" s="369" t="str">
        <f ca="1">IF($B297&lt;&gt;"PRC_RESID","",IF(P$7=2005+OFFSET(COM_2012!$B$60,$AW297,SUMIF($B$10:$B$16,"NCAP_TLIFE",$AX$10:$AX$16)),0,""))</f>
        <v/>
      </c>
      <c r="Q297" s="369" t="str">
        <f ca="1">IF($B297&lt;&gt;"PRC_RESID","",IF(Q$7=2005+OFFSET(COM_2012!$B$60,$AW297,SUMIF($B$10:$B$16,"NCAP_TLIFE",$AX$10:$AX$16)),0,""))</f>
        <v/>
      </c>
      <c r="R297" s="369" t="str">
        <f ca="1">IF($B297&lt;&gt;"PRC_RESID","",IF(R$7=2005+OFFSET(COM_2012!$B$60,$AW297,SUMIF($B$10:$B$16,"NCAP_TLIFE",$AX$10:$AX$16)),0,""))</f>
        <v/>
      </c>
      <c r="S297" s="369" t="str">
        <f ca="1">IF($B297&lt;&gt;"PRC_RESID","",IF(S$7=2005+OFFSET(COM_2012!$B$60,$AW297,SUMIF($B$10:$B$16,"NCAP_TLIFE",$AX$10:$AX$16)),0,""))</f>
        <v/>
      </c>
      <c r="T297" s="369" t="str">
        <f ca="1">IF($B297&lt;&gt;"PRC_RESID","",IF(T$7=2005+OFFSET(COM_2012!$B$60,$AW297,SUMIF($B$10:$B$16,"NCAP_TLIFE",$AX$10:$AX$16)),0,""))</f>
        <v/>
      </c>
      <c r="U297" s="369" t="str">
        <f ca="1">IF($B297&lt;&gt;"PRC_RESID","",IF(U$7=2005+OFFSET(COM_2012!$B$60,$AW297,SUMIF($B$10:$B$16,"NCAP_TLIFE",$AX$10:$AX$16)),0,""))</f>
        <v/>
      </c>
      <c r="V297" s="369" t="str">
        <f ca="1">IF($B297&lt;&gt;"PRC_RESID","",IF(V$7=2005+OFFSET(COM_2012!$B$60,$AW297,SUMIF($B$10:$B$16,"NCAP_TLIFE",$AX$10:$AX$16)),0,""))</f>
        <v/>
      </c>
      <c r="W297" s="369" t="str">
        <f ca="1">IF($B297&lt;&gt;"PRC_RESID","",IF(W$7=2005+OFFSET(COM_2012!$B$60,$AW297,SUMIF($B$10:$B$16,"NCAP_TLIFE",$AX$10:$AX$16)),0,""))</f>
        <v/>
      </c>
      <c r="X297" s="369" t="str">
        <f ca="1">IF($B297&lt;&gt;"PRC_RESID","",IF(X$7=2005+OFFSET(COM_2012!$B$60,$AW297,SUMIF($B$10:$B$16,"NCAP_TLIFE",$AX$10:$AX$16)),0,""))</f>
        <v/>
      </c>
      <c r="Y297" s="369" t="str">
        <f ca="1">IF($B297&lt;&gt;"PRC_RESID","",IF(Y$7=2005+OFFSET(COM_2012!$B$60,$AW297,SUMIF($B$10:$B$16,"NCAP_TLIFE",$AX$10:$AX$16)),0,""))</f>
        <v/>
      </c>
      <c r="Z297" s="369" t="str">
        <f ca="1">IF($B297&lt;&gt;"PRC_RESID","",IF(Z$7=2005+OFFSET(COM_2012!$B$60,$AW297,SUMIF($B$10:$B$16,"NCAP_TLIFE",$AX$10:$AX$16)),0,""))</f>
        <v/>
      </c>
      <c r="AA297" s="369" t="str">
        <f ca="1">IF($B297&lt;&gt;"PRC_RESID","",IF(AA$7=2005+OFFSET(COM_2012!$B$60,$AW297,SUMIF($B$10:$B$16,"NCAP_TLIFE",$AX$10:$AX$16)),0,""))</f>
        <v/>
      </c>
      <c r="AB297" s="369" t="str">
        <f ca="1">IF($B297&lt;&gt;"PRC_RESID","",IF(AB$7=2005+OFFSET(COM_2012!$B$60,$AW297,SUMIF($B$10:$B$16,"NCAP_TLIFE",$AX$10:$AX$16)),0,""))</f>
        <v/>
      </c>
      <c r="AC297" s="369" t="str">
        <f ca="1">IF($B297&lt;&gt;"PRC_RESID","",IF(AC$7=2005+OFFSET(COM_2012!$B$60,$AW297,SUMIF($B$10:$B$16,"NCAP_TLIFE",$AX$10:$AX$16)),0,""))</f>
        <v/>
      </c>
      <c r="AD297" s="369" t="str">
        <f ca="1">IF($B297&lt;&gt;"PRC_RESID","",IF(AD$7=2005+OFFSET(COM_2012!$B$60,$AW297,SUMIF($B$10:$B$16,"NCAP_TLIFE",$AX$10:$AX$16)),0,""))</f>
        <v/>
      </c>
      <c r="AE297" s="369" t="str">
        <f ca="1">IF($B297&lt;&gt;"PRC_RESID","",IF(AE$7=2005+OFFSET(COM_2012!$B$60,$AW297,SUMIF($B$10:$B$16,"NCAP_TLIFE",$AX$10:$AX$16)),0,""))</f>
        <v/>
      </c>
      <c r="AF297" s="369" t="str">
        <f ca="1">IF($B297&lt;&gt;"PRC_RESID","",IF(AF$7=2005+OFFSET(COM_2012!$B$60,$AW297,SUMIF($B$10:$B$16,"NCAP_TLIFE",$AX$10:$AX$16)),0,""))</f>
        <v/>
      </c>
      <c r="AG297" s="369" t="str">
        <f ca="1">IF($B297&lt;&gt;"PRC_RESID","",IF(AG$7=2005+OFFSET(COM_2012!$B$60,$AW297,SUMIF($B$10:$B$16,"NCAP_TLIFE",$AX$10:$AX$16)),0,""))</f>
        <v/>
      </c>
      <c r="AH297" s="369" t="str">
        <f ca="1">IF($B297&lt;&gt;"PRC_RESID","",IF(AH$7=2005+OFFSET(COM_2012!$B$60,$AW297,SUMIF($B$10:$B$16,"NCAP_TLIFE",$AX$10:$AX$16)),0,""))</f>
        <v/>
      </c>
      <c r="AI297" s="369" t="str">
        <f ca="1">IF($B297&lt;&gt;"PRC_RESID","",IF(AI$7=2005+OFFSET(COM_2012!$B$60,$AW297,SUMIF($B$10:$B$16,"NCAP_TLIFE",$AX$10:$AX$16)),0,""))</f>
        <v/>
      </c>
      <c r="AJ297" s="369" t="str">
        <f ca="1">IF($B297&lt;&gt;"PRC_RESID","",IF(AJ$7=2005+OFFSET(COM_2012!$B$60,$AW297,SUMIF($B$10:$B$16,"NCAP_TLIFE",$AX$10:$AX$16)),0,""))</f>
        <v/>
      </c>
      <c r="AK297" s="369" t="str">
        <f ca="1">IF($B297&lt;&gt;"PRC_RESID","",IF(AK$7=2005+OFFSET(COM_2012!$B$60,$AW297,SUMIF($B$10:$B$16,"NCAP_TLIFE",$AX$10:$AX$16)),0,""))</f>
        <v/>
      </c>
      <c r="AL297" s="369" t="str">
        <f ca="1">IF($B297&lt;&gt;"PRC_RESID","",IF(AL$7=2005+OFFSET(COM_2012!$B$60,$AW297,SUMIF($B$10:$B$16,"NCAP_TLIFE",$AX$10:$AX$16)),0,""))</f>
        <v/>
      </c>
      <c r="AM297" s="369" t="str">
        <f ca="1">IF($B297&lt;&gt;"PRC_RESID","",IF(AM$7=2005+OFFSET(COM_2012!$B$60,$AW297,SUMIF($B$10:$B$16,"NCAP_TLIFE",$AX$10:$AX$16)),0,""))</f>
        <v/>
      </c>
      <c r="AN297" s="369" t="str">
        <f ca="1">IF($B297&lt;&gt;"PRC_RESID","",IF(AN$7=2005+OFFSET(COM_2012!$B$60,$AW297,SUMIF($B$10:$B$16,"NCAP_TLIFE",$AX$10:$AX$16)),0,""))</f>
        <v/>
      </c>
      <c r="AO297" s="369" t="str">
        <f ca="1">IF($B297&lt;&gt;"PRC_RESID","",IF(AO$7=2005+OFFSET(COM_2012!$B$60,$AW297,SUMIF($B$10:$B$16,"NCAP_TLIFE",$AX$10:$AX$16)),0,""))</f>
        <v/>
      </c>
      <c r="AP297" s="369" t="str">
        <f ca="1">IF($B297&lt;&gt;"PRC_RESID","",IF(AP$7=2005+OFFSET(COM_2012!$B$60,$AW297,SUMIF($B$10:$B$16,"NCAP_TLIFE",$AX$10:$AX$16)),0,""))</f>
        <v/>
      </c>
      <c r="AQ297" s="369" t="str">
        <f ca="1">IF($B297&lt;&gt;"PRC_RESID","",IF(AQ$7=2005+OFFSET(COM_2012!$B$60,$AW297,SUMIF($B$10:$B$16,"NCAP_TLIFE",$AX$10:$AX$16)),0,""))</f>
        <v/>
      </c>
      <c r="AR297" s="369" t="str">
        <f ca="1">IF($B297&lt;&gt;"PRC_RESID","",IF(AR$7=2005+OFFSET(COM_2012!$B$60,$AW297,SUMIF($B$10:$B$16,"NCAP_TLIFE",$AX$10:$AX$16)),0,""))</f>
        <v/>
      </c>
      <c r="AS297" s="369" t="str">
        <f ca="1">IF($B297&lt;&gt;"PRC_RESID","",IF(AS$7=2005+OFFSET(COM_2012!$B$60,$AW297,SUMIF($B$10:$B$16,"NCAP_TLIFE",$AX$10:$AX$16)),0,""))</f>
        <v/>
      </c>
      <c r="AT297" s="369" t="str">
        <f ca="1">IF($B297&lt;&gt;"PRC_RESID","",IF(AT$7=2005+OFFSET(COM_2012!$B$60,$AW297,SUMIF($B$10:$B$16,"NCAP_TLIFE",$AX$10:$AX$16)),0,""))</f>
        <v/>
      </c>
      <c r="AU297" s="369" t="str">
        <f ca="1">IF($B297&lt;&gt;"PRC_RESID","",IF(AU$7=2005+OFFSET(COM_2012!$B$60,$AW297,SUMIF($B$10:$B$16,"NCAP_TLIFE",$AX$10:$AX$16)),0,""))</f>
        <v/>
      </c>
      <c r="AV297" s="304">
        <f>IF(AW296=COM_2012!$AI$121,AV296+1,AV296)</f>
        <v>5</v>
      </c>
      <c r="AW297" s="304">
        <f t="shared" si="29"/>
        <v>26</v>
      </c>
    </row>
    <row r="298" spans="1:49">
      <c r="A298" s="304" t="str">
        <f ca="1">IF(LEFT(OFFSET(COM_2012!$A$60,AW298,0),2)="\I","*","")</f>
        <v>*</v>
      </c>
      <c r="B298" s="369" t="str">
        <f t="shared" ca="1" si="27"/>
        <v/>
      </c>
      <c r="C298" s="369" t="str">
        <f ca="1">IF($A298="*","",OFFSET(COM_2012!$B$60,AW298,0))</f>
        <v/>
      </c>
      <c r="D298" s="369" t="str">
        <f t="shared" ca="1" si="28"/>
        <v/>
      </c>
      <c r="E298" s="369" t="str">
        <f t="shared" ca="1" si="28"/>
        <v/>
      </c>
      <c r="F298" s="369" t="str">
        <f t="shared" ca="1" si="28"/>
        <v/>
      </c>
      <c r="G298" s="369" t="str">
        <f t="shared" ca="1" si="28"/>
        <v/>
      </c>
      <c r="H298" s="369" t="str">
        <f t="shared" ca="1" si="28"/>
        <v/>
      </c>
      <c r="I298" s="370" t="str">
        <f t="shared" ca="1" si="28"/>
        <v/>
      </c>
      <c r="J298" s="391" t="str">
        <f ca="1">IF($A298="*","",OFFSET(COM_2012!$B$60,AW298,SUMIF($B$10:$B$16,B298,$AX$10:$AX$16)))</f>
        <v/>
      </c>
      <c r="K298" s="369" t="str">
        <f ca="1">IF($B298&lt;&gt;"PRC_RESID","",IF(K$7=2005+OFFSET(COM_2012!$B$60,$AW298,SUMIF($B$10:$B$16,"NCAP_TLIFE",$AX$10:$AX$16)),0,""))</f>
        <v/>
      </c>
      <c r="L298" s="369" t="str">
        <f ca="1">IF($B298&lt;&gt;"PRC_RESID","",IF(L$7=2005+OFFSET(COM_2012!$B$60,$AW298,SUMIF($B$10:$B$16,"NCAP_TLIFE",$AX$10:$AX$16)),0,""))</f>
        <v/>
      </c>
      <c r="M298" s="369" t="str">
        <f ca="1">IF($B298&lt;&gt;"PRC_RESID","",IF(M$7=2005+OFFSET(COM_2012!$B$60,$AW298,SUMIF($B$10:$B$16,"NCAP_TLIFE",$AX$10:$AX$16)),0,""))</f>
        <v/>
      </c>
      <c r="N298" s="369" t="str">
        <f ca="1">IF($B298&lt;&gt;"PRC_RESID","",IF(N$7=2005+OFFSET(COM_2012!$B$60,$AW298,SUMIF($B$10:$B$16,"NCAP_TLIFE",$AX$10:$AX$16)),0,""))</f>
        <v/>
      </c>
      <c r="O298" s="658" t="str">
        <f ca="1">IF($B298&lt;&gt;"PRC_RESID","",IF(O$7=2005+OFFSET(COM_2012!$B$60,$AW298,SUMIF($B$10:$B$16,"NCAP_TLIFE",$AX$10:$AX$16)),0,""))</f>
        <v/>
      </c>
      <c r="P298" s="369" t="str">
        <f ca="1">IF($B298&lt;&gt;"PRC_RESID","",IF(P$7=2005+OFFSET(COM_2012!$B$60,$AW298,SUMIF($B$10:$B$16,"NCAP_TLIFE",$AX$10:$AX$16)),0,""))</f>
        <v/>
      </c>
      <c r="Q298" s="369" t="str">
        <f ca="1">IF($B298&lt;&gt;"PRC_RESID","",IF(Q$7=2005+OFFSET(COM_2012!$B$60,$AW298,SUMIF($B$10:$B$16,"NCAP_TLIFE",$AX$10:$AX$16)),0,""))</f>
        <v/>
      </c>
      <c r="R298" s="369" t="str">
        <f ca="1">IF($B298&lt;&gt;"PRC_RESID","",IF(R$7=2005+OFFSET(COM_2012!$B$60,$AW298,SUMIF($B$10:$B$16,"NCAP_TLIFE",$AX$10:$AX$16)),0,""))</f>
        <v/>
      </c>
      <c r="S298" s="369" t="str">
        <f ca="1">IF($B298&lt;&gt;"PRC_RESID","",IF(S$7=2005+OFFSET(COM_2012!$B$60,$AW298,SUMIF($B$10:$B$16,"NCAP_TLIFE",$AX$10:$AX$16)),0,""))</f>
        <v/>
      </c>
      <c r="T298" s="369" t="str">
        <f ca="1">IF($B298&lt;&gt;"PRC_RESID","",IF(T$7=2005+OFFSET(COM_2012!$B$60,$AW298,SUMIF($B$10:$B$16,"NCAP_TLIFE",$AX$10:$AX$16)),0,""))</f>
        <v/>
      </c>
      <c r="U298" s="369" t="str">
        <f ca="1">IF($B298&lt;&gt;"PRC_RESID","",IF(U$7=2005+OFFSET(COM_2012!$B$60,$AW298,SUMIF($B$10:$B$16,"NCAP_TLIFE",$AX$10:$AX$16)),0,""))</f>
        <v/>
      </c>
      <c r="V298" s="369" t="str">
        <f ca="1">IF($B298&lt;&gt;"PRC_RESID","",IF(V$7=2005+OFFSET(COM_2012!$B$60,$AW298,SUMIF($B$10:$B$16,"NCAP_TLIFE",$AX$10:$AX$16)),0,""))</f>
        <v/>
      </c>
      <c r="W298" s="369" t="str">
        <f ca="1">IF($B298&lt;&gt;"PRC_RESID","",IF(W$7=2005+OFFSET(COM_2012!$B$60,$AW298,SUMIF($B$10:$B$16,"NCAP_TLIFE",$AX$10:$AX$16)),0,""))</f>
        <v/>
      </c>
      <c r="X298" s="369" t="str">
        <f ca="1">IF($B298&lt;&gt;"PRC_RESID","",IF(X$7=2005+OFFSET(COM_2012!$B$60,$AW298,SUMIF($B$10:$B$16,"NCAP_TLIFE",$AX$10:$AX$16)),0,""))</f>
        <v/>
      </c>
      <c r="Y298" s="369" t="str">
        <f ca="1">IF($B298&lt;&gt;"PRC_RESID","",IF(Y$7=2005+OFFSET(COM_2012!$B$60,$AW298,SUMIF($B$10:$B$16,"NCAP_TLIFE",$AX$10:$AX$16)),0,""))</f>
        <v/>
      </c>
      <c r="Z298" s="369" t="str">
        <f ca="1">IF($B298&lt;&gt;"PRC_RESID","",IF(Z$7=2005+OFFSET(COM_2012!$B$60,$AW298,SUMIF($B$10:$B$16,"NCAP_TLIFE",$AX$10:$AX$16)),0,""))</f>
        <v/>
      </c>
      <c r="AA298" s="369" t="str">
        <f ca="1">IF($B298&lt;&gt;"PRC_RESID","",IF(AA$7=2005+OFFSET(COM_2012!$B$60,$AW298,SUMIF($B$10:$B$16,"NCAP_TLIFE",$AX$10:$AX$16)),0,""))</f>
        <v/>
      </c>
      <c r="AB298" s="369" t="str">
        <f ca="1">IF($B298&lt;&gt;"PRC_RESID","",IF(AB$7=2005+OFFSET(COM_2012!$B$60,$AW298,SUMIF($B$10:$B$16,"NCAP_TLIFE",$AX$10:$AX$16)),0,""))</f>
        <v/>
      </c>
      <c r="AC298" s="369" t="str">
        <f ca="1">IF($B298&lt;&gt;"PRC_RESID","",IF(AC$7=2005+OFFSET(COM_2012!$B$60,$AW298,SUMIF($B$10:$B$16,"NCAP_TLIFE",$AX$10:$AX$16)),0,""))</f>
        <v/>
      </c>
      <c r="AD298" s="369" t="str">
        <f ca="1">IF($B298&lt;&gt;"PRC_RESID","",IF(AD$7=2005+OFFSET(COM_2012!$B$60,$AW298,SUMIF($B$10:$B$16,"NCAP_TLIFE",$AX$10:$AX$16)),0,""))</f>
        <v/>
      </c>
      <c r="AE298" s="369" t="str">
        <f ca="1">IF($B298&lt;&gt;"PRC_RESID","",IF(AE$7=2005+OFFSET(COM_2012!$B$60,$AW298,SUMIF($B$10:$B$16,"NCAP_TLIFE",$AX$10:$AX$16)),0,""))</f>
        <v/>
      </c>
      <c r="AF298" s="369" t="str">
        <f ca="1">IF($B298&lt;&gt;"PRC_RESID","",IF(AF$7=2005+OFFSET(COM_2012!$B$60,$AW298,SUMIF($B$10:$B$16,"NCAP_TLIFE",$AX$10:$AX$16)),0,""))</f>
        <v/>
      </c>
      <c r="AG298" s="369" t="str">
        <f ca="1">IF($B298&lt;&gt;"PRC_RESID","",IF(AG$7=2005+OFFSET(COM_2012!$B$60,$AW298,SUMIF($B$10:$B$16,"NCAP_TLIFE",$AX$10:$AX$16)),0,""))</f>
        <v/>
      </c>
      <c r="AH298" s="369" t="str">
        <f ca="1">IF($B298&lt;&gt;"PRC_RESID","",IF(AH$7=2005+OFFSET(COM_2012!$B$60,$AW298,SUMIF($B$10:$B$16,"NCAP_TLIFE",$AX$10:$AX$16)),0,""))</f>
        <v/>
      </c>
      <c r="AI298" s="369" t="str">
        <f ca="1">IF($B298&lt;&gt;"PRC_RESID","",IF(AI$7=2005+OFFSET(COM_2012!$B$60,$AW298,SUMIF($B$10:$B$16,"NCAP_TLIFE",$AX$10:$AX$16)),0,""))</f>
        <v/>
      </c>
      <c r="AJ298" s="369" t="str">
        <f ca="1">IF($B298&lt;&gt;"PRC_RESID","",IF(AJ$7=2005+OFFSET(COM_2012!$B$60,$AW298,SUMIF($B$10:$B$16,"NCAP_TLIFE",$AX$10:$AX$16)),0,""))</f>
        <v/>
      </c>
      <c r="AK298" s="369" t="str">
        <f ca="1">IF($B298&lt;&gt;"PRC_RESID","",IF(AK$7=2005+OFFSET(COM_2012!$B$60,$AW298,SUMIF($B$10:$B$16,"NCAP_TLIFE",$AX$10:$AX$16)),0,""))</f>
        <v/>
      </c>
      <c r="AL298" s="369" t="str">
        <f ca="1">IF($B298&lt;&gt;"PRC_RESID","",IF(AL$7=2005+OFFSET(COM_2012!$B$60,$AW298,SUMIF($B$10:$B$16,"NCAP_TLIFE",$AX$10:$AX$16)),0,""))</f>
        <v/>
      </c>
      <c r="AM298" s="369" t="str">
        <f ca="1">IF($B298&lt;&gt;"PRC_RESID","",IF(AM$7=2005+OFFSET(COM_2012!$B$60,$AW298,SUMIF($B$10:$B$16,"NCAP_TLIFE",$AX$10:$AX$16)),0,""))</f>
        <v/>
      </c>
      <c r="AN298" s="369" t="str">
        <f ca="1">IF($B298&lt;&gt;"PRC_RESID","",IF(AN$7=2005+OFFSET(COM_2012!$B$60,$AW298,SUMIF($B$10:$B$16,"NCAP_TLIFE",$AX$10:$AX$16)),0,""))</f>
        <v/>
      </c>
      <c r="AO298" s="369" t="str">
        <f ca="1">IF($B298&lt;&gt;"PRC_RESID","",IF(AO$7=2005+OFFSET(COM_2012!$B$60,$AW298,SUMIF($B$10:$B$16,"NCAP_TLIFE",$AX$10:$AX$16)),0,""))</f>
        <v/>
      </c>
      <c r="AP298" s="369" t="str">
        <f ca="1">IF($B298&lt;&gt;"PRC_RESID","",IF(AP$7=2005+OFFSET(COM_2012!$B$60,$AW298,SUMIF($B$10:$B$16,"NCAP_TLIFE",$AX$10:$AX$16)),0,""))</f>
        <v/>
      </c>
      <c r="AQ298" s="369" t="str">
        <f ca="1">IF($B298&lt;&gt;"PRC_RESID","",IF(AQ$7=2005+OFFSET(COM_2012!$B$60,$AW298,SUMIF($B$10:$B$16,"NCAP_TLIFE",$AX$10:$AX$16)),0,""))</f>
        <v/>
      </c>
      <c r="AR298" s="369" t="str">
        <f ca="1">IF($B298&lt;&gt;"PRC_RESID","",IF(AR$7=2005+OFFSET(COM_2012!$B$60,$AW298,SUMIF($B$10:$B$16,"NCAP_TLIFE",$AX$10:$AX$16)),0,""))</f>
        <v/>
      </c>
      <c r="AS298" s="369" t="str">
        <f ca="1">IF($B298&lt;&gt;"PRC_RESID","",IF(AS$7=2005+OFFSET(COM_2012!$B$60,$AW298,SUMIF($B$10:$B$16,"NCAP_TLIFE",$AX$10:$AX$16)),0,""))</f>
        <v/>
      </c>
      <c r="AT298" s="369" t="str">
        <f ca="1">IF($B298&lt;&gt;"PRC_RESID","",IF(AT$7=2005+OFFSET(COM_2012!$B$60,$AW298,SUMIF($B$10:$B$16,"NCAP_TLIFE",$AX$10:$AX$16)),0,""))</f>
        <v/>
      </c>
      <c r="AU298" s="369" t="str">
        <f ca="1">IF($B298&lt;&gt;"PRC_RESID","",IF(AU$7=2005+OFFSET(COM_2012!$B$60,$AW298,SUMIF($B$10:$B$16,"NCAP_TLIFE",$AX$10:$AX$16)),0,""))</f>
        <v/>
      </c>
      <c r="AV298" s="304">
        <f>IF(AW297=COM_2012!$AI$121,AV297+1,AV297)</f>
        <v>5</v>
      </c>
      <c r="AW298" s="304">
        <f t="shared" si="29"/>
        <v>27</v>
      </c>
    </row>
    <row r="299" spans="1:49">
      <c r="A299" s="304" t="str">
        <f ca="1">IF(LEFT(OFFSET(COM_2012!$A$60,AW299,0),2)="\I","*","")</f>
        <v>*</v>
      </c>
      <c r="B299" s="369" t="str">
        <f t="shared" ca="1" si="27"/>
        <v/>
      </c>
      <c r="C299" s="369" t="str">
        <f ca="1">IF($A299="*","",OFFSET(COM_2012!$B$60,AW299,0))</f>
        <v/>
      </c>
      <c r="D299" s="369" t="str">
        <f t="shared" ca="1" si="28"/>
        <v/>
      </c>
      <c r="E299" s="369" t="str">
        <f t="shared" ca="1" si="28"/>
        <v/>
      </c>
      <c r="F299" s="369" t="str">
        <f t="shared" ca="1" si="28"/>
        <v/>
      </c>
      <c r="G299" s="369" t="str">
        <f t="shared" ca="1" si="28"/>
        <v/>
      </c>
      <c r="H299" s="369" t="str">
        <f t="shared" ca="1" si="28"/>
        <v/>
      </c>
      <c r="I299" s="370" t="str">
        <f t="shared" ca="1" si="28"/>
        <v/>
      </c>
      <c r="J299" s="391" t="str">
        <f ca="1">IF($A299="*","",OFFSET(COM_2012!$B$60,AW299,SUMIF($B$10:$B$16,B299,$AX$10:$AX$16)))</f>
        <v/>
      </c>
      <c r="K299" s="369" t="str">
        <f ca="1">IF($B299&lt;&gt;"PRC_RESID","",IF(K$7=2005+OFFSET(COM_2012!$B$60,$AW299,SUMIF($B$10:$B$16,"NCAP_TLIFE",$AX$10:$AX$16)),0,""))</f>
        <v/>
      </c>
      <c r="L299" s="369" t="str">
        <f ca="1">IF($B299&lt;&gt;"PRC_RESID","",IF(L$7=2005+OFFSET(COM_2012!$B$60,$AW299,SUMIF($B$10:$B$16,"NCAP_TLIFE",$AX$10:$AX$16)),0,""))</f>
        <v/>
      </c>
      <c r="M299" s="369" t="str">
        <f ca="1">IF($B299&lt;&gt;"PRC_RESID","",IF(M$7=2005+OFFSET(COM_2012!$B$60,$AW299,SUMIF($B$10:$B$16,"NCAP_TLIFE",$AX$10:$AX$16)),0,""))</f>
        <v/>
      </c>
      <c r="N299" s="369" t="str">
        <f ca="1">IF($B299&lt;&gt;"PRC_RESID","",IF(N$7=2005+OFFSET(COM_2012!$B$60,$AW299,SUMIF($B$10:$B$16,"NCAP_TLIFE",$AX$10:$AX$16)),0,""))</f>
        <v/>
      </c>
      <c r="O299" s="658" t="str">
        <f ca="1">IF($B299&lt;&gt;"PRC_RESID","",IF(O$7=2005+OFFSET(COM_2012!$B$60,$AW299,SUMIF($B$10:$B$16,"NCAP_TLIFE",$AX$10:$AX$16)),0,""))</f>
        <v/>
      </c>
      <c r="P299" s="369" t="str">
        <f ca="1">IF($B299&lt;&gt;"PRC_RESID","",IF(P$7=2005+OFFSET(COM_2012!$B$60,$AW299,SUMIF($B$10:$B$16,"NCAP_TLIFE",$AX$10:$AX$16)),0,""))</f>
        <v/>
      </c>
      <c r="Q299" s="369" t="str">
        <f ca="1">IF($B299&lt;&gt;"PRC_RESID","",IF(Q$7=2005+OFFSET(COM_2012!$B$60,$AW299,SUMIF($B$10:$B$16,"NCAP_TLIFE",$AX$10:$AX$16)),0,""))</f>
        <v/>
      </c>
      <c r="R299" s="369" t="str">
        <f ca="1">IF($B299&lt;&gt;"PRC_RESID","",IF(R$7=2005+OFFSET(COM_2012!$B$60,$AW299,SUMIF($B$10:$B$16,"NCAP_TLIFE",$AX$10:$AX$16)),0,""))</f>
        <v/>
      </c>
      <c r="S299" s="369" t="str">
        <f ca="1">IF($B299&lt;&gt;"PRC_RESID","",IF(S$7=2005+OFFSET(COM_2012!$B$60,$AW299,SUMIF($B$10:$B$16,"NCAP_TLIFE",$AX$10:$AX$16)),0,""))</f>
        <v/>
      </c>
      <c r="T299" s="369" t="str">
        <f ca="1">IF($B299&lt;&gt;"PRC_RESID","",IF(T$7=2005+OFFSET(COM_2012!$B$60,$AW299,SUMIF($B$10:$B$16,"NCAP_TLIFE",$AX$10:$AX$16)),0,""))</f>
        <v/>
      </c>
      <c r="U299" s="369" t="str">
        <f ca="1">IF($B299&lt;&gt;"PRC_RESID","",IF(U$7=2005+OFFSET(COM_2012!$B$60,$AW299,SUMIF($B$10:$B$16,"NCAP_TLIFE",$AX$10:$AX$16)),0,""))</f>
        <v/>
      </c>
      <c r="V299" s="369" t="str">
        <f ca="1">IF($B299&lt;&gt;"PRC_RESID","",IF(V$7=2005+OFFSET(COM_2012!$B$60,$AW299,SUMIF($B$10:$B$16,"NCAP_TLIFE",$AX$10:$AX$16)),0,""))</f>
        <v/>
      </c>
      <c r="W299" s="369" t="str">
        <f ca="1">IF($B299&lt;&gt;"PRC_RESID","",IF(W$7=2005+OFFSET(COM_2012!$B$60,$AW299,SUMIF($B$10:$B$16,"NCAP_TLIFE",$AX$10:$AX$16)),0,""))</f>
        <v/>
      </c>
      <c r="X299" s="369" t="str">
        <f ca="1">IF($B299&lt;&gt;"PRC_RESID","",IF(X$7=2005+OFFSET(COM_2012!$B$60,$AW299,SUMIF($B$10:$B$16,"NCAP_TLIFE",$AX$10:$AX$16)),0,""))</f>
        <v/>
      </c>
      <c r="Y299" s="369" t="str">
        <f ca="1">IF($B299&lt;&gt;"PRC_RESID","",IF(Y$7=2005+OFFSET(COM_2012!$B$60,$AW299,SUMIF($B$10:$B$16,"NCAP_TLIFE",$AX$10:$AX$16)),0,""))</f>
        <v/>
      </c>
      <c r="Z299" s="369" t="str">
        <f ca="1">IF($B299&lt;&gt;"PRC_RESID","",IF(Z$7=2005+OFFSET(COM_2012!$B$60,$AW299,SUMIF($B$10:$B$16,"NCAP_TLIFE",$AX$10:$AX$16)),0,""))</f>
        <v/>
      </c>
      <c r="AA299" s="369" t="str">
        <f ca="1">IF($B299&lt;&gt;"PRC_RESID","",IF(AA$7=2005+OFFSET(COM_2012!$B$60,$AW299,SUMIF($B$10:$B$16,"NCAP_TLIFE",$AX$10:$AX$16)),0,""))</f>
        <v/>
      </c>
      <c r="AB299" s="369" t="str">
        <f ca="1">IF($B299&lt;&gt;"PRC_RESID","",IF(AB$7=2005+OFFSET(COM_2012!$B$60,$AW299,SUMIF($B$10:$B$16,"NCAP_TLIFE",$AX$10:$AX$16)),0,""))</f>
        <v/>
      </c>
      <c r="AC299" s="369" t="str">
        <f ca="1">IF($B299&lt;&gt;"PRC_RESID","",IF(AC$7=2005+OFFSET(COM_2012!$B$60,$AW299,SUMIF($B$10:$B$16,"NCAP_TLIFE",$AX$10:$AX$16)),0,""))</f>
        <v/>
      </c>
      <c r="AD299" s="369" t="str">
        <f ca="1">IF($B299&lt;&gt;"PRC_RESID","",IF(AD$7=2005+OFFSET(COM_2012!$B$60,$AW299,SUMIF($B$10:$B$16,"NCAP_TLIFE",$AX$10:$AX$16)),0,""))</f>
        <v/>
      </c>
      <c r="AE299" s="369" t="str">
        <f ca="1">IF($B299&lt;&gt;"PRC_RESID","",IF(AE$7=2005+OFFSET(COM_2012!$B$60,$AW299,SUMIF($B$10:$B$16,"NCAP_TLIFE",$AX$10:$AX$16)),0,""))</f>
        <v/>
      </c>
      <c r="AF299" s="369" t="str">
        <f ca="1">IF($B299&lt;&gt;"PRC_RESID","",IF(AF$7=2005+OFFSET(COM_2012!$B$60,$AW299,SUMIF($B$10:$B$16,"NCAP_TLIFE",$AX$10:$AX$16)),0,""))</f>
        <v/>
      </c>
      <c r="AG299" s="369" t="str">
        <f ca="1">IF($B299&lt;&gt;"PRC_RESID","",IF(AG$7=2005+OFFSET(COM_2012!$B$60,$AW299,SUMIF($B$10:$B$16,"NCAP_TLIFE",$AX$10:$AX$16)),0,""))</f>
        <v/>
      </c>
      <c r="AH299" s="369" t="str">
        <f ca="1">IF($B299&lt;&gt;"PRC_RESID","",IF(AH$7=2005+OFFSET(COM_2012!$B$60,$AW299,SUMIF($B$10:$B$16,"NCAP_TLIFE",$AX$10:$AX$16)),0,""))</f>
        <v/>
      </c>
      <c r="AI299" s="369" t="str">
        <f ca="1">IF($B299&lt;&gt;"PRC_RESID","",IF(AI$7=2005+OFFSET(COM_2012!$B$60,$AW299,SUMIF($B$10:$B$16,"NCAP_TLIFE",$AX$10:$AX$16)),0,""))</f>
        <v/>
      </c>
      <c r="AJ299" s="369" t="str">
        <f ca="1">IF($B299&lt;&gt;"PRC_RESID","",IF(AJ$7=2005+OFFSET(COM_2012!$B$60,$AW299,SUMIF($B$10:$B$16,"NCAP_TLIFE",$AX$10:$AX$16)),0,""))</f>
        <v/>
      </c>
      <c r="AK299" s="369" t="str">
        <f ca="1">IF($B299&lt;&gt;"PRC_RESID","",IF(AK$7=2005+OFFSET(COM_2012!$B$60,$AW299,SUMIF($B$10:$B$16,"NCAP_TLIFE",$AX$10:$AX$16)),0,""))</f>
        <v/>
      </c>
      <c r="AL299" s="369" t="str">
        <f ca="1">IF($B299&lt;&gt;"PRC_RESID","",IF(AL$7=2005+OFFSET(COM_2012!$B$60,$AW299,SUMIF($B$10:$B$16,"NCAP_TLIFE",$AX$10:$AX$16)),0,""))</f>
        <v/>
      </c>
      <c r="AM299" s="369" t="str">
        <f ca="1">IF($B299&lt;&gt;"PRC_RESID","",IF(AM$7=2005+OFFSET(COM_2012!$B$60,$AW299,SUMIF($B$10:$B$16,"NCAP_TLIFE",$AX$10:$AX$16)),0,""))</f>
        <v/>
      </c>
      <c r="AN299" s="369" t="str">
        <f ca="1">IF($B299&lt;&gt;"PRC_RESID","",IF(AN$7=2005+OFFSET(COM_2012!$B$60,$AW299,SUMIF($B$10:$B$16,"NCAP_TLIFE",$AX$10:$AX$16)),0,""))</f>
        <v/>
      </c>
      <c r="AO299" s="369" t="str">
        <f ca="1">IF($B299&lt;&gt;"PRC_RESID","",IF(AO$7=2005+OFFSET(COM_2012!$B$60,$AW299,SUMIF($B$10:$B$16,"NCAP_TLIFE",$AX$10:$AX$16)),0,""))</f>
        <v/>
      </c>
      <c r="AP299" s="369" t="str">
        <f ca="1">IF($B299&lt;&gt;"PRC_RESID","",IF(AP$7=2005+OFFSET(COM_2012!$B$60,$AW299,SUMIF($B$10:$B$16,"NCAP_TLIFE",$AX$10:$AX$16)),0,""))</f>
        <v/>
      </c>
      <c r="AQ299" s="369" t="str">
        <f ca="1">IF($B299&lt;&gt;"PRC_RESID","",IF(AQ$7=2005+OFFSET(COM_2012!$B$60,$AW299,SUMIF($B$10:$B$16,"NCAP_TLIFE",$AX$10:$AX$16)),0,""))</f>
        <v/>
      </c>
      <c r="AR299" s="369" t="str">
        <f ca="1">IF($B299&lt;&gt;"PRC_RESID","",IF(AR$7=2005+OFFSET(COM_2012!$B$60,$AW299,SUMIF($B$10:$B$16,"NCAP_TLIFE",$AX$10:$AX$16)),0,""))</f>
        <v/>
      </c>
      <c r="AS299" s="369" t="str">
        <f ca="1">IF($B299&lt;&gt;"PRC_RESID","",IF(AS$7=2005+OFFSET(COM_2012!$B$60,$AW299,SUMIF($B$10:$B$16,"NCAP_TLIFE",$AX$10:$AX$16)),0,""))</f>
        <v/>
      </c>
      <c r="AT299" s="369" t="str">
        <f ca="1">IF($B299&lt;&gt;"PRC_RESID","",IF(AT$7=2005+OFFSET(COM_2012!$B$60,$AW299,SUMIF($B$10:$B$16,"NCAP_TLIFE",$AX$10:$AX$16)),0,""))</f>
        <v/>
      </c>
      <c r="AU299" s="369" t="str">
        <f ca="1">IF($B299&lt;&gt;"PRC_RESID","",IF(AU$7=2005+OFFSET(COM_2012!$B$60,$AW299,SUMIF($B$10:$B$16,"NCAP_TLIFE",$AX$10:$AX$16)),0,""))</f>
        <v/>
      </c>
      <c r="AV299" s="304">
        <f>IF(AW298=COM_2012!$AI$121,AV298+1,AV298)</f>
        <v>5</v>
      </c>
      <c r="AW299" s="304">
        <f t="shared" si="29"/>
        <v>28</v>
      </c>
    </row>
    <row r="300" spans="1:49">
      <c r="A300" s="304" t="str">
        <f ca="1">IF(LEFT(OFFSET(COM_2012!$A$60,AW300,0),2)="\I","*","")</f>
        <v/>
      </c>
      <c r="B300" s="369" t="str">
        <f t="shared" ca="1" si="27"/>
        <v>NCAP_FOM</v>
      </c>
      <c r="C300" s="369" t="str">
        <f ca="1">IF($A300="*","",OFFSET(COM_2012!$B$60,AW300,0))</f>
        <v>CERELC-E</v>
      </c>
      <c r="D300" s="369" t="str">
        <f t="shared" ca="1" si="28"/>
        <v>-</v>
      </c>
      <c r="E300" s="369" t="str">
        <f t="shared" ca="1" si="28"/>
        <v>-</v>
      </c>
      <c r="F300" s="369" t="str">
        <f t="shared" ca="1" si="28"/>
        <v>-</v>
      </c>
      <c r="G300" s="369" t="str">
        <f t="shared" ca="1" si="28"/>
        <v>-</v>
      </c>
      <c r="H300" s="369" t="str">
        <f t="shared" ca="1" si="28"/>
        <v>-</v>
      </c>
      <c r="I300" s="370">
        <f t="shared" ca="1" si="28"/>
        <v>0</v>
      </c>
      <c r="J300" s="391">
        <f ca="1">IF($A300="*","",OFFSET(COM_2012!$B$60,AW300,SUMIF($B$10:$B$16,B300,$AX$10:$AX$16)))</f>
        <v>173.42705050470357</v>
      </c>
      <c r="K300" s="369" t="str">
        <f ca="1">IF($B300&lt;&gt;"PRC_RESID","",IF(K$7=2005+OFFSET(COM_2012!$B$60,$AW300,SUMIF($B$10:$B$16,"NCAP_TLIFE",$AX$10:$AX$16)),0,""))</f>
        <v/>
      </c>
      <c r="L300" s="369" t="str">
        <f ca="1">IF($B300&lt;&gt;"PRC_RESID","",IF(L$7=2005+OFFSET(COM_2012!$B$60,$AW300,SUMIF($B$10:$B$16,"NCAP_TLIFE",$AX$10:$AX$16)),0,""))</f>
        <v/>
      </c>
      <c r="M300" s="369" t="str">
        <f ca="1">IF($B300&lt;&gt;"PRC_RESID","",IF(M$7=2005+OFFSET(COM_2012!$B$60,$AW300,SUMIF($B$10:$B$16,"NCAP_TLIFE",$AX$10:$AX$16)),0,""))</f>
        <v/>
      </c>
      <c r="N300" s="369" t="str">
        <f ca="1">IF($B300&lt;&gt;"PRC_RESID","",IF(N$7=2005+OFFSET(COM_2012!$B$60,$AW300,SUMIF($B$10:$B$16,"NCAP_TLIFE",$AX$10:$AX$16)),0,""))</f>
        <v/>
      </c>
      <c r="O300" s="658" t="str">
        <f ca="1">IF($B300&lt;&gt;"PRC_RESID","",IF(O$7=2005+OFFSET(COM_2012!$B$60,$AW300,SUMIF($B$10:$B$16,"NCAP_TLIFE",$AX$10:$AX$16)),0,""))</f>
        <v/>
      </c>
      <c r="P300" s="369" t="str">
        <f ca="1">IF($B300&lt;&gt;"PRC_RESID","",IF(P$7=2005+OFFSET(COM_2012!$B$60,$AW300,SUMIF($B$10:$B$16,"NCAP_TLIFE",$AX$10:$AX$16)),0,""))</f>
        <v/>
      </c>
      <c r="Q300" s="369" t="str">
        <f ca="1">IF($B300&lt;&gt;"PRC_RESID","",IF(Q$7=2005+OFFSET(COM_2012!$B$60,$AW300,SUMIF($B$10:$B$16,"NCAP_TLIFE",$AX$10:$AX$16)),0,""))</f>
        <v/>
      </c>
      <c r="R300" s="369" t="str">
        <f ca="1">IF($B300&lt;&gt;"PRC_RESID","",IF(R$7=2005+OFFSET(COM_2012!$B$60,$AW300,SUMIF($B$10:$B$16,"NCAP_TLIFE",$AX$10:$AX$16)),0,""))</f>
        <v/>
      </c>
      <c r="S300" s="369" t="str">
        <f ca="1">IF($B300&lt;&gt;"PRC_RESID","",IF(S$7=2005+OFFSET(COM_2012!$B$60,$AW300,SUMIF($B$10:$B$16,"NCAP_TLIFE",$AX$10:$AX$16)),0,""))</f>
        <v/>
      </c>
      <c r="T300" s="369" t="str">
        <f ca="1">IF($B300&lt;&gt;"PRC_RESID","",IF(T$7=2005+OFFSET(COM_2012!$B$60,$AW300,SUMIF($B$10:$B$16,"NCAP_TLIFE",$AX$10:$AX$16)),0,""))</f>
        <v/>
      </c>
      <c r="U300" s="369" t="str">
        <f ca="1">IF($B300&lt;&gt;"PRC_RESID","",IF(U$7=2005+OFFSET(COM_2012!$B$60,$AW300,SUMIF($B$10:$B$16,"NCAP_TLIFE",$AX$10:$AX$16)),0,""))</f>
        <v/>
      </c>
      <c r="V300" s="369" t="str">
        <f ca="1">IF($B300&lt;&gt;"PRC_RESID","",IF(V$7=2005+OFFSET(COM_2012!$B$60,$AW300,SUMIF($B$10:$B$16,"NCAP_TLIFE",$AX$10:$AX$16)),0,""))</f>
        <v/>
      </c>
      <c r="W300" s="369" t="str">
        <f ca="1">IF($B300&lt;&gt;"PRC_RESID","",IF(W$7=2005+OFFSET(COM_2012!$B$60,$AW300,SUMIF($B$10:$B$16,"NCAP_TLIFE",$AX$10:$AX$16)),0,""))</f>
        <v/>
      </c>
      <c r="X300" s="369" t="str">
        <f ca="1">IF($B300&lt;&gt;"PRC_RESID","",IF(X$7=2005+OFFSET(COM_2012!$B$60,$AW300,SUMIF($B$10:$B$16,"NCAP_TLIFE",$AX$10:$AX$16)),0,""))</f>
        <v/>
      </c>
      <c r="Y300" s="369" t="str">
        <f ca="1">IF($B300&lt;&gt;"PRC_RESID","",IF(Y$7=2005+OFFSET(COM_2012!$B$60,$AW300,SUMIF($B$10:$B$16,"NCAP_TLIFE",$AX$10:$AX$16)),0,""))</f>
        <v/>
      </c>
      <c r="Z300" s="369" t="str">
        <f ca="1">IF($B300&lt;&gt;"PRC_RESID","",IF(Z$7=2005+OFFSET(COM_2012!$B$60,$AW300,SUMIF($B$10:$B$16,"NCAP_TLIFE",$AX$10:$AX$16)),0,""))</f>
        <v/>
      </c>
      <c r="AA300" s="369" t="str">
        <f ca="1">IF($B300&lt;&gt;"PRC_RESID","",IF(AA$7=2005+OFFSET(COM_2012!$B$60,$AW300,SUMIF($B$10:$B$16,"NCAP_TLIFE",$AX$10:$AX$16)),0,""))</f>
        <v/>
      </c>
      <c r="AB300" s="369" t="str">
        <f ca="1">IF($B300&lt;&gt;"PRC_RESID","",IF(AB$7=2005+OFFSET(COM_2012!$B$60,$AW300,SUMIF($B$10:$B$16,"NCAP_TLIFE",$AX$10:$AX$16)),0,""))</f>
        <v/>
      </c>
      <c r="AC300" s="369" t="str">
        <f ca="1">IF($B300&lt;&gt;"PRC_RESID","",IF(AC$7=2005+OFFSET(COM_2012!$B$60,$AW300,SUMIF($B$10:$B$16,"NCAP_TLIFE",$AX$10:$AX$16)),0,""))</f>
        <v/>
      </c>
      <c r="AD300" s="369" t="str">
        <f ca="1">IF($B300&lt;&gt;"PRC_RESID","",IF(AD$7=2005+OFFSET(COM_2012!$B$60,$AW300,SUMIF($B$10:$B$16,"NCAP_TLIFE",$AX$10:$AX$16)),0,""))</f>
        <v/>
      </c>
      <c r="AE300" s="369" t="str">
        <f ca="1">IF($B300&lt;&gt;"PRC_RESID","",IF(AE$7=2005+OFFSET(COM_2012!$B$60,$AW300,SUMIF($B$10:$B$16,"NCAP_TLIFE",$AX$10:$AX$16)),0,""))</f>
        <v/>
      </c>
      <c r="AF300" s="369" t="str">
        <f ca="1">IF($B300&lt;&gt;"PRC_RESID","",IF(AF$7=2005+OFFSET(COM_2012!$B$60,$AW300,SUMIF($B$10:$B$16,"NCAP_TLIFE",$AX$10:$AX$16)),0,""))</f>
        <v/>
      </c>
      <c r="AG300" s="369" t="str">
        <f ca="1">IF($B300&lt;&gt;"PRC_RESID","",IF(AG$7=2005+OFFSET(COM_2012!$B$60,$AW300,SUMIF($B$10:$B$16,"NCAP_TLIFE",$AX$10:$AX$16)),0,""))</f>
        <v/>
      </c>
      <c r="AH300" s="369" t="str">
        <f ca="1">IF($B300&lt;&gt;"PRC_RESID","",IF(AH$7=2005+OFFSET(COM_2012!$B$60,$AW300,SUMIF($B$10:$B$16,"NCAP_TLIFE",$AX$10:$AX$16)),0,""))</f>
        <v/>
      </c>
      <c r="AI300" s="369" t="str">
        <f ca="1">IF($B300&lt;&gt;"PRC_RESID","",IF(AI$7=2005+OFFSET(COM_2012!$B$60,$AW300,SUMIF($B$10:$B$16,"NCAP_TLIFE",$AX$10:$AX$16)),0,""))</f>
        <v/>
      </c>
      <c r="AJ300" s="369" t="str">
        <f ca="1">IF($B300&lt;&gt;"PRC_RESID","",IF(AJ$7=2005+OFFSET(COM_2012!$B$60,$AW300,SUMIF($B$10:$B$16,"NCAP_TLIFE",$AX$10:$AX$16)),0,""))</f>
        <v/>
      </c>
      <c r="AK300" s="369" t="str">
        <f ca="1">IF($B300&lt;&gt;"PRC_RESID","",IF(AK$7=2005+OFFSET(COM_2012!$B$60,$AW300,SUMIF($B$10:$B$16,"NCAP_TLIFE",$AX$10:$AX$16)),0,""))</f>
        <v/>
      </c>
      <c r="AL300" s="369" t="str">
        <f ca="1">IF($B300&lt;&gt;"PRC_RESID","",IF(AL$7=2005+OFFSET(COM_2012!$B$60,$AW300,SUMIF($B$10:$B$16,"NCAP_TLIFE",$AX$10:$AX$16)),0,""))</f>
        <v/>
      </c>
      <c r="AM300" s="369" t="str">
        <f ca="1">IF($B300&lt;&gt;"PRC_RESID","",IF(AM$7=2005+OFFSET(COM_2012!$B$60,$AW300,SUMIF($B$10:$B$16,"NCAP_TLIFE",$AX$10:$AX$16)),0,""))</f>
        <v/>
      </c>
      <c r="AN300" s="369" t="str">
        <f ca="1">IF($B300&lt;&gt;"PRC_RESID","",IF(AN$7=2005+OFFSET(COM_2012!$B$60,$AW300,SUMIF($B$10:$B$16,"NCAP_TLIFE",$AX$10:$AX$16)),0,""))</f>
        <v/>
      </c>
      <c r="AO300" s="369" t="str">
        <f ca="1">IF($B300&lt;&gt;"PRC_RESID","",IF(AO$7=2005+OFFSET(COM_2012!$B$60,$AW300,SUMIF($B$10:$B$16,"NCAP_TLIFE",$AX$10:$AX$16)),0,""))</f>
        <v/>
      </c>
      <c r="AP300" s="369" t="str">
        <f ca="1">IF($B300&lt;&gt;"PRC_RESID","",IF(AP$7=2005+OFFSET(COM_2012!$B$60,$AW300,SUMIF($B$10:$B$16,"NCAP_TLIFE",$AX$10:$AX$16)),0,""))</f>
        <v/>
      </c>
      <c r="AQ300" s="369" t="str">
        <f ca="1">IF($B300&lt;&gt;"PRC_RESID","",IF(AQ$7=2005+OFFSET(COM_2012!$B$60,$AW300,SUMIF($B$10:$B$16,"NCAP_TLIFE",$AX$10:$AX$16)),0,""))</f>
        <v/>
      </c>
      <c r="AR300" s="369" t="str">
        <f ca="1">IF($B300&lt;&gt;"PRC_RESID","",IF(AR$7=2005+OFFSET(COM_2012!$B$60,$AW300,SUMIF($B$10:$B$16,"NCAP_TLIFE",$AX$10:$AX$16)),0,""))</f>
        <v/>
      </c>
      <c r="AS300" s="369" t="str">
        <f ca="1">IF($B300&lt;&gt;"PRC_RESID","",IF(AS$7=2005+OFFSET(COM_2012!$B$60,$AW300,SUMIF($B$10:$B$16,"NCAP_TLIFE",$AX$10:$AX$16)),0,""))</f>
        <v/>
      </c>
      <c r="AT300" s="369" t="str">
        <f ca="1">IF($B300&lt;&gt;"PRC_RESID","",IF(AT$7=2005+OFFSET(COM_2012!$B$60,$AW300,SUMIF($B$10:$B$16,"NCAP_TLIFE",$AX$10:$AX$16)),0,""))</f>
        <v/>
      </c>
      <c r="AU300" s="369" t="str">
        <f ca="1">IF($B300&lt;&gt;"PRC_RESID","",IF(AU$7=2005+OFFSET(COM_2012!$B$60,$AW300,SUMIF($B$10:$B$16,"NCAP_TLIFE",$AX$10:$AX$16)),0,""))</f>
        <v/>
      </c>
      <c r="AV300" s="304">
        <f>IF(AW299=COM_2012!$AI$121,AV299+1,AV299)</f>
        <v>5</v>
      </c>
      <c r="AW300" s="304">
        <f t="shared" si="29"/>
        <v>29</v>
      </c>
    </row>
    <row r="301" spans="1:49">
      <c r="A301" s="304" t="str">
        <f ca="1">IF(LEFT(OFFSET(COM_2012!$A$60,AW301,0),2)="\I","*","")</f>
        <v/>
      </c>
      <c r="B301" s="369" t="str">
        <f t="shared" ca="1" si="27"/>
        <v>NCAP_FOM</v>
      </c>
      <c r="C301" s="369" t="str">
        <f ca="1">IF($A301="*","",OFFSET(COM_2012!$B$60,AW301,0))</f>
        <v>CERELC-N</v>
      </c>
      <c r="D301" s="369" t="str">
        <f t="shared" ca="1" si="28"/>
        <v>-</v>
      </c>
      <c r="E301" s="369" t="str">
        <f t="shared" ca="1" si="28"/>
        <v>-</v>
      </c>
      <c r="F301" s="369" t="str">
        <f t="shared" ca="1" si="28"/>
        <v>-</v>
      </c>
      <c r="G301" s="369" t="str">
        <f t="shared" ca="1" si="28"/>
        <v>-</v>
      </c>
      <c r="H301" s="369" t="str">
        <f t="shared" ca="1" si="28"/>
        <v>-</v>
      </c>
      <c r="I301" s="370">
        <f t="shared" ca="1" si="28"/>
        <v>0</v>
      </c>
      <c r="J301" s="391">
        <f ca="1">IF($A301="*","",OFFSET(COM_2012!$B$60,AW301,SUMIF($B$10:$B$16,B301,$AX$10:$AX$16)))</f>
        <v>179.96770713155252</v>
      </c>
      <c r="K301" s="369" t="str">
        <f ca="1">IF($B301&lt;&gt;"PRC_RESID","",IF(K$7=2005+OFFSET(COM_2012!$B$60,$AW301,SUMIF($B$10:$B$16,"NCAP_TLIFE",$AX$10:$AX$16)),0,""))</f>
        <v/>
      </c>
      <c r="L301" s="369" t="str">
        <f ca="1">IF($B301&lt;&gt;"PRC_RESID","",IF(L$7=2005+OFFSET(COM_2012!$B$60,$AW301,SUMIF($B$10:$B$16,"NCAP_TLIFE",$AX$10:$AX$16)),0,""))</f>
        <v/>
      </c>
      <c r="M301" s="369" t="str">
        <f ca="1">IF($B301&lt;&gt;"PRC_RESID","",IF(M$7=2005+OFFSET(COM_2012!$B$60,$AW301,SUMIF($B$10:$B$16,"NCAP_TLIFE",$AX$10:$AX$16)),0,""))</f>
        <v/>
      </c>
      <c r="N301" s="369" t="str">
        <f ca="1">IF($B301&lt;&gt;"PRC_RESID","",IF(N$7=2005+OFFSET(COM_2012!$B$60,$AW301,SUMIF($B$10:$B$16,"NCAP_TLIFE",$AX$10:$AX$16)),0,""))</f>
        <v/>
      </c>
      <c r="O301" s="658" t="str">
        <f ca="1">IF($B301&lt;&gt;"PRC_RESID","",IF(O$7=2005+OFFSET(COM_2012!$B$60,$AW301,SUMIF($B$10:$B$16,"NCAP_TLIFE",$AX$10:$AX$16)),0,""))</f>
        <v/>
      </c>
      <c r="P301" s="369" t="str">
        <f ca="1">IF($B301&lt;&gt;"PRC_RESID","",IF(P$7=2005+OFFSET(COM_2012!$B$60,$AW301,SUMIF($B$10:$B$16,"NCAP_TLIFE",$AX$10:$AX$16)),0,""))</f>
        <v/>
      </c>
      <c r="Q301" s="369" t="str">
        <f ca="1">IF($B301&lt;&gt;"PRC_RESID","",IF(Q$7=2005+OFFSET(COM_2012!$B$60,$AW301,SUMIF($B$10:$B$16,"NCAP_TLIFE",$AX$10:$AX$16)),0,""))</f>
        <v/>
      </c>
      <c r="R301" s="369" t="str">
        <f ca="1">IF($B301&lt;&gt;"PRC_RESID","",IF(R$7=2005+OFFSET(COM_2012!$B$60,$AW301,SUMIF($B$10:$B$16,"NCAP_TLIFE",$AX$10:$AX$16)),0,""))</f>
        <v/>
      </c>
      <c r="S301" s="369" t="str">
        <f ca="1">IF($B301&lt;&gt;"PRC_RESID","",IF(S$7=2005+OFFSET(COM_2012!$B$60,$AW301,SUMIF($B$10:$B$16,"NCAP_TLIFE",$AX$10:$AX$16)),0,""))</f>
        <v/>
      </c>
      <c r="T301" s="369" t="str">
        <f ca="1">IF($B301&lt;&gt;"PRC_RESID","",IF(T$7=2005+OFFSET(COM_2012!$B$60,$AW301,SUMIF($B$10:$B$16,"NCAP_TLIFE",$AX$10:$AX$16)),0,""))</f>
        <v/>
      </c>
      <c r="U301" s="369" t="str">
        <f ca="1">IF($B301&lt;&gt;"PRC_RESID","",IF(U$7=2005+OFFSET(COM_2012!$B$60,$AW301,SUMIF($B$10:$B$16,"NCAP_TLIFE",$AX$10:$AX$16)),0,""))</f>
        <v/>
      </c>
      <c r="V301" s="369" t="str">
        <f ca="1">IF($B301&lt;&gt;"PRC_RESID","",IF(V$7=2005+OFFSET(COM_2012!$B$60,$AW301,SUMIF($B$10:$B$16,"NCAP_TLIFE",$AX$10:$AX$16)),0,""))</f>
        <v/>
      </c>
      <c r="W301" s="369" t="str">
        <f ca="1">IF($B301&lt;&gt;"PRC_RESID","",IF(W$7=2005+OFFSET(COM_2012!$B$60,$AW301,SUMIF($B$10:$B$16,"NCAP_TLIFE",$AX$10:$AX$16)),0,""))</f>
        <v/>
      </c>
      <c r="X301" s="369" t="str">
        <f ca="1">IF($B301&lt;&gt;"PRC_RESID","",IF(X$7=2005+OFFSET(COM_2012!$B$60,$AW301,SUMIF($B$10:$B$16,"NCAP_TLIFE",$AX$10:$AX$16)),0,""))</f>
        <v/>
      </c>
      <c r="Y301" s="369" t="str">
        <f ca="1">IF($B301&lt;&gt;"PRC_RESID","",IF(Y$7=2005+OFFSET(COM_2012!$B$60,$AW301,SUMIF($B$10:$B$16,"NCAP_TLIFE",$AX$10:$AX$16)),0,""))</f>
        <v/>
      </c>
      <c r="Z301" s="369" t="str">
        <f ca="1">IF($B301&lt;&gt;"PRC_RESID","",IF(Z$7=2005+OFFSET(COM_2012!$B$60,$AW301,SUMIF($B$10:$B$16,"NCAP_TLIFE",$AX$10:$AX$16)),0,""))</f>
        <v/>
      </c>
      <c r="AA301" s="369" t="str">
        <f ca="1">IF($B301&lt;&gt;"PRC_RESID","",IF(AA$7=2005+OFFSET(COM_2012!$B$60,$AW301,SUMIF($B$10:$B$16,"NCAP_TLIFE",$AX$10:$AX$16)),0,""))</f>
        <v/>
      </c>
      <c r="AB301" s="369" t="str">
        <f ca="1">IF($B301&lt;&gt;"PRC_RESID","",IF(AB$7=2005+OFFSET(COM_2012!$B$60,$AW301,SUMIF($B$10:$B$16,"NCAP_TLIFE",$AX$10:$AX$16)),0,""))</f>
        <v/>
      </c>
      <c r="AC301" s="369" t="str">
        <f ca="1">IF($B301&lt;&gt;"PRC_RESID","",IF(AC$7=2005+OFFSET(COM_2012!$B$60,$AW301,SUMIF($B$10:$B$16,"NCAP_TLIFE",$AX$10:$AX$16)),0,""))</f>
        <v/>
      </c>
      <c r="AD301" s="369" t="str">
        <f ca="1">IF($B301&lt;&gt;"PRC_RESID","",IF(AD$7=2005+OFFSET(COM_2012!$B$60,$AW301,SUMIF($B$10:$B$16,"NCAP_TLIFE",$AX$10:$AX$16)),0,""))</f>
        <v/>
      </c>
      <c r="AE301" s="369" t="str">
        <f ca="1">IF($B301&lt;&gt;"PRC_RESID","",IF(AE$7=2005+OFFSET(COM_2012!$B$60,$AW301,SUMIF($B$10:$B$16,"NCAP_TLIFE",$AX$10:$AX$16)),0,""))</f>
        <v/>
      </c>
      <c r="AF301" s="369" t="str">
        <f ca="1">IF($B301&lt;&gt;"PRC_RESID","",IF(AF$7=2005+OFFSET(COM_2012!$B$60,$AW301,SUMIF($B$10:$B$16,"NCAP_TLIFE",$AX$10:$AX$16)),0,""))</f>
        <v/>
      </c>
      <c r="AG301" s="369" t="str">
        <f ca="1">IF($B301&lt;&gt;"PRC_RESID","",IF(AG$7=2005+OFFSET(COM_2012!$B$60,$AW301,SUMIF($B$10:$B$16,"NCAP_TLIFE",$AX$10:$AX$16)),0,""))</f>
        <v/>
      </c>
      <c r="AH301" s="369" t="str">
        <f ca="1">IF($B301&lt;&gt;"PRC_RESID","",IF(AH$7=2005+OFFSET(COM_2012!$B$60,$AW301,SUMIF($B$10:$B$16,"NCAP_TLIFE",$AX$10:$AX$16)),0,""))</f>
        <v/>
      </c>
      <c r="AI301" s="369" t="str">
        <f ca="1">IF($B301&lt;&gt;"PRC_RESID","",IF(AI$7=2005+OFFSET(COM_2012!$B$60,$AW301,SUMIF($B$10:$B$16,"NCAP_TLIFE",$AX$10:$AX$16)),0,""))</f>
        <v/>
      </c>
      <c r="AJ301" s="369" t="str">
        <f ca="1">IF($B301&lt;&gt;"PRC_RESID","",IF(AJ$7=2005+OFFSET(COM_2012!$B$60,$AW301,SUMIF($B$10:$B$16,"NCAP_TLIFE",$AX$10:$AX$16)),0,""))</f>
        <v/>
      </c>
      <c r="AK301" s="369" t="str">
        <f ca="1">IF($B301&lt;&gt;"PRC_RESID","",IF(AK$7=2005+OFFSET(COM_2012!$B$60,$AW301,SUMIF($B$10:$B$16,"NCAP_TLIFE",$AX$10:$AX$16)),0,""))</f>
        <v/>
      </c>
      <c r="AL301" s="369" t="str">
        <f ca="1">IF($B301&lt;&gt;"PRC_RESID","",IF(AL$7=2005+OFFSET(COM_2012!$B$60,$AW301,SUMIF($B$10:$B$16,"NCAP_TLIFE",$AX$10:$AX$16)),0,""))</f>
        <v/>
      </c>
      <c r="AM301" s="369" t="str">
        <f ca="1">IF($B301&lt;&gt;"PRC_RESID","",IF(AM$7=2005+OFFSET(COM_2012!$B$60,$AW301,SUMIF($B$10:$B$16,"NCAP_TLIFE",$AX$10:$AX$16)),0,""))</f>
        <v/>
      </c>
      <c r="AN301" s="369" t="str">
        <f ca="1">IF($B301&lt;&gt;"PRC_RESID","",IF(AN$7=2005+OFFSET(COM_2012!$B$60,$AW301,SUMIF($B$10:$B$16,"NCAP_TLIFE",$AX$10:$AX$16)),0,""))</f>
        <v/>
      </c>
      <c r="AO301" s="369" t="str">
        <f ca="1">IF($B301&lt;&gt;"PRC_RESID","",IF(AO$7=2005+OFFSET(COM_2012!$B$60,$AW301,SUMIF($B$10:$B$16,"NCAP_TLIFE",$AX$10:$AX$16)),0,""))</f>
        <v/>
      </c>
      <c r="AP301" s="369" t="str">
        <f ca="1">IF($B301&lt;&gt;"PRC_RESID","",IF(AP$7=2005+OFFSET(COM_2012!$B$60,$AW301,SUMIF($B$10:$B$16,"NCAP_TLIFE",$AX$10:$AX$16)),0,""))</f>
        <v/>
      </c>
      <c r="AQ301" s="369" t="str">
        <f ca="1">IF($B301&lt;&gt;"PRC_RESID","",IF(AQ$7=2005+OFFSET(COM_2012!$B$60,$AW301,SUMIF($B$10:$B$16,"NCAP_TLIFE",$AX$10:$AX$16)),0,""))</f>
        <v/>
      </c>
      <c r="AR301" s="369" t="str">
        <f ca="1">IF($B301&lt;&gt;"PRC_RESID","",IF(AR$7=2005+OFFSET(COM_2012!$B$60,$AW301,SUMIF($B$10:$B$16,"NCAP_TLIFE",$AX$10:$AX$16)),0,""))</f>
        <v/>
      </c>
      <c r="AS301" s="369" t="str">
        <f ca="1">IF($B301&lt;&gt;"PRC_RESID","",IF(AS$7=2005+OFFSET(COM_2012!$B$60,$AW301,SUMIF($B$10:$B$16,"NCAP_TLIFE",$AX$10:$AX$16)),0,""))</f>
        <v/>
      </c>
      <c r="AT301" s="369" t="str">
        <f ca="1">IF($B301&lt;&gt;"PRC_RESID","",IF(AT$7=2005+OFFSET(COM_2012!$B$60,$AW301,SUMIF($B$10:$B$16,"NCAP_TLIFE",$AX$10:$AX$16)),0,""))</f>
        <v/>
      </c>
      <c r="AU301" s="369" t="str">
        <f ca="1">IF($B301&lt;&gt;"PRC_RESID","",IF(AU$7=2005+OFFSET(COM_2012!$B$60,$AW301,SUMIF($B$10:$B$16,"NCAP_TLIFE",$AX$10:$AX$16)),0,""))</f>
        <v/>
      </c>
      <c r="AV301" s="304">
        <f>IF(AW300=COM_2012!$AI$121,AV300+1,AV300)</f>
        <v>5</v>
      </c>
      <c r="AW301" s="304">
        <f t="shared" si="29"/>
        <v>30</v>
      </c>
    </row>
    <row r="302" spans="1:49">
      <c r="A302" s="304" t="str">
        <f ca="1">IF(LEFT(OFFSET(COM_2012!$A$60,AW302,0),2)="\I","*","")</f>
        <v>*</v>
      </c>
      <c r="B302" s="369" t="str">
        <f t="shared" ca="1" si="27"/>
        <v/>
      </c>
      <c r="C302" s="369" t="str">
        <f ca="1">IF($A302="*","",OFFSET(COM_2012!$B$60,AW302,0))</f>
        <v/>
      </c>
      <c r="D302" s="369" t="str">
        <f t="shared" ca="1" si="28"/>
        <v/>
      </c>
      <c r="E302" s="369" t="str">
        <f t="shared" ca="1" si="28"/>
        <v/>
      </c>
      <c r="F302" s="369" t="str">
        <f t="shared" ca="1" si="28"/>
        <v/>
      </c>
      <c r="G302" s="369" t="str">
        <f t="shared" ca="1" si="28"/>
        <v/>
      </c>
      <c r="H302" s="369" t="str">
        <f t="shared" ca="1" si="28"/>
        <v/>
      </c>
      <c r="I302" s="370" t="str">
        <f t="shared" ca="1" si="28"/>
        <v/>
      </c>
      <c r="J302" s="391" t="str">
        <f ca="1">IF($A302="*","",OFFSET(COM_2012!$B$60,AW302,SUMIF($B$10:$B$16,B302,$AX$10:$AX$16)))</f>
        <v/>
      </c>
      <c r="K302" s="369" t="str">
        <f ca="1">IF($B302&lt;&gt;"PRC_RESID","",IF(K$7=2005+OFFSET(COM_2012!$B$60,$AW302,SUMIF($B$10:$B$16,"NCAP_TLIFE",$AX$10:$AX$16)),0,""))</f>
        <v/>
      </c>
      <c r="L302" s="369" t="str">
        <f ca="1">IF($B302&lt;&gt;"PRC_RESID","",IF(L$7=2005+OFFSET(COM_2012!$B$60,$AW302,SUMIF($B$10:$B$16,"NCAP_TLIFE",$AX$10:$AX$16)),0,""))</f>
        <v/>
      </c>
      <c r="M302" s="369" t="str">
        <f ca="1">IF($B302&lt;&gt;"PRC_RESID","",IF(M$7=2005+OFFSET(COM_2012!$B$60,$AW302,SUMIF($B$10:$B$16,"NCAP_TLIFE",$AX$10:$AX$16)),0,""))</f>
        <v/>
      </c>
      <c r="N302" s="369" t="str">
        <f ca="1">IF($B302&lt;&gt;"PRC_RESID","",IF(N$7=2005+OFFSET(COM_2012!$B$60,$AW302,SUMIF($B$10:$B$16,"NCAP_TLIFE",$AX$10:$AX$16)),0,""))</f>
        <v/>
      </c>
      <c r="O302" s="658" t="str">
        <f ca="1">IF($B302&lt;&gt;"PRC_RESID","",IF(O$7=2005+OFFSET(COM_2012!$B$60,$AW302,SUMIF($B$10:$B$16,"NCAP_TLIFE",$AX$10:$AX$16)),0,""))</f>
        <v/>
      </c>
      <c r="P302" s="369" t="str">
        <f ca="1">IF($B302&lt;&gt;"PRC_RESID","",IF(P$7=2005+OFFSET(COM_2012!$B$60,$AW302,SUMIF($B$10:$B$16,"NCAP_TLIFE",$AX$10:$AX$16)),0,""))</f>
        <v/>
      </c>
      <c r="Q302" s="369" t="str">
        <f ca="1">IF($B302&lt;&gt;"PRC_RESID","",IF(Q$7=2005+OFFSET(COM_2012!$B$60,$AW302,SUMIF($B$10:$B$16,"NCAP_TLIFE",$AX$10:$AX$16)),0,""))</f>
        <v/>
      </c>
      <c r="R302" s="369" t="str">
        <f ca="1">IF($B302&lt;&gt;"PRC_RESID","",IF(R$7=2005+OFFSET(COM_2012!$B$60,$AW302,SUMIF($B$10:$B$16,"NCAP_TLIFE",$AX$10:$AX$16)),0,""))</f>
        <v/>
      </c>
      <c r="S302" s="369" t="str">
        <f ca="1">IF($B302&lt;&gt;"PRC_RESID","",IF(S$7=2005+OFFSET(COM_2012!$B$60,$AW302,SUMIF($B$10:$B$16,"NCAP_TLIFE",$AX$10:$AX$16)),0,""))</f>
        <v/>
      </c>
      <c r="T302" s="369" t="str">
        <f ca="1">IF($B302&lt;&gt;"PRC_RESID","",IF(T$7=2005+OFFSET(COM_2012!$B$60,$AW302,SUMIF($B$10:$B$16,"NCAP_TLIFE",$AX$10:$AX$16)),0,""))</f>
        <v/>
      </c>
      <c r="U302" s="369" t="str">
        <f ca="1">IF($B302&lt;&gt;"PRC_RESID","",IF(U$7=2005+OFFSET(COM_2012!$B$60,$AW302,SUMIF($B$10:$B$16,"NCAP_TLIFE",$AX$10:$AX$16)),0,""))</f>
        <v/>
      </c>
      <c r="V302" s="369" t="str">
        <f ca="1">IF($B302&lt;&gt;"PRC_RESID","",IF(V$7=2005+OFFSET(COM_2012!$B$60,$AW302,SUMIF($B$10:$B$16,"NCAP_TLIFE",$AX$10:$AX$16)),0,""))</f>
        <v/>
      </c>
      <c r="W302" s="369" t="str">
        <f ca="1">IF($B302&lt;&gt;"PRC_RESID","",IF(W$7=2005+OFFSET(COM_2012!$B$60,$AW302,SUMIF($B$10:$B$16,"NCAP_TLIFE",$AX$10:$AX$16)),0,""))</f>
        <v/>
      </c>
      <c r="X302" s="369" t="str">
        <f ca="1">IF($B302&lt;&gt;"PRC_RESID","",IF(X$7=2005+OFFSET(COM_2012!$B$60,$AW302,SUMIF($B$10:$B$16,"NCAP_TLIFE",$AX$10:$AX$16)),0,""))</f>
        <v/>
      </c>
      <c r="Y302" s="369" t="str">
        <f ca="1">IF($B302&lt;&gt;"PRC_RESID","",IF(Y$7=2005+OFFSET(COM_2012!$B$60,$AW302,SUMIF($B$10:$B$16,"NCAP_TLIFE",$AX$10:$AX$16)),0,""))</f>
        <v/>
      </c>
      <c r="Z302" s="369" t="str">
        <f ca="1">IF($B302&lt;&gt;"PRC_RESID","",IF(Z$7=2005+OFFSET(COM_2012!$B$60,$AW302,SUMIF($B$10:$B$16,"NCAP_TLIFE",$AX$10:$AX$16)),0,""))</f>
        <v/>
      </c>
      <c r="AA302" s="369" t="str">
        <f ca="1">IF($B302&lt;&gt;"PRC_RESID","",IF(AA$7=2005+OFFSET(COM_2012!$B$60,$AW302,SUMIF($B$10:$B$16,"NCAP_TLIFE",$AX$10:$AX$16)),0,""))</f>
        <v/>
      </c>
      <c r="AB302" s="369" t="str">
        <f ca="1">IF($B302&lt;&gt;"PRC_RESID","",IF(AB$7=2005+OFFSET(COM_2012!$B$60,$AW302,SUMIF($B$10:$B$16,"NCAP_TLIFE",$AX$10:$AX$16)),0,""))</f>
        <v/>
      </c>
      <c r="AC302" s="369" t="str">
        <f ca="1">IF($B302&lt;&gt;"PRC_RESID","",IF(AC$7=2005+OFFSET(COM_2012!$B$60,$AW302,SUMIF($B$10:$B$16,"NCAP_TLIFE",$AX$10:$AX$16)),0,""))</f>
        <v/>
      </c>
      <c r="AD302" s="369" t="str">
        <f ca="1">IF($B302&lt;&gt;"PRC_RESID","",IF(AD$7=2005+OFFSET(COM_2012!$B$60,$AW302,SUMIF($B$10:$B$16,"NCAP_TLIFE",$AX$10:$AX$16)),0,""))</f>
        <v/>
      </c>
      <c r="AE302" s="369" t="str">
        <f ca="1">IF($B302&lt;&gt;"PRC_RESID","",IF(AE$7=2005+OFFSET(COM_2012!$B$60,$AW302,SUMIF($B$10:$B$16,"NCAP_TLIFE",$AX$10:$AX$16)),0,""))</f>
        <v/>
      </c>
      <c r="AF302" s="369" t="str">
        <f ca="1">IF($B302&lt;&gt;"PRC_RESID","",IF(AF$7=2005+OFFSET(COM_2012!$B$60,$AW302,SUMIF($B$10:$B$16,"NCAP_TLIFE",$AX$10:$AX$16)),0,""))</f>
        <v/>
      </c>
      <c r="AG302" s="369" t="str">
        <f ca="1">IF($B302&lt;&gt;"PRC_RESID","",IF(AG$7=2005+OFFSET(COM_2012!$B$60,$AW302,SUMIF($B$10:$B$16,"NCAP_TLIFE",$AX$10:$AX$16)),0,""))</f>
        <v/>
      </c>
      <c r="AH302" s="369" t="str">
        <f ca="1">IF($B302&lt;&gt;"PRC_RESID","",IF(AH$7=2005+OFFSET(COM_2012!$B$60,$AW302,SUMIF($B$10:$B$16,"NCAP_TLIFE",$AX$10:$AX$16)),0,""))</f>
        <v/>
      </c>
      <c r="AI302" s="369" t="str">
        <f ca="1">IF($B302&lt;&gt;"PRC_RESID","",IF(AI$7=2005+OFFSET(COM_2012!$B$60,$AW302,SUMIF($B$10:$B$16,"NCAP_TLIFE",$AX$10:$AX$16)),0,""))</f>
        <v/>
      </c>
      <c r="AJ302" s="369" t="str">
        <f ca="1">IF($B302&lt;&gt;"PRC_RESID","",IF(AJ$7=2005+OFFSET(COM_2012!$B$60,$AW302,SUMIF($B$10:$B$16,"NCAP_TLIFE",$AX$10:$AX$16)),0,""))</f>
        <v/>
      </c>
      <c r="AK302" s="369" t="str">
        <f ca="1">IF($B302&lt;&gt;"PRC_RESID","",IF(AK$7=2005+OFFSET(COM_2012!$B$60,$AW302,SUMIF($B$10:$B$16,"NCAP_TLIFE",$AX$10:$AX$16)),0,""))</f>
        <v/>
      </c>
      <c r="AL302" s="369" t="str">
        <f ca="1">IF($B302&lt;&gt;"PRC_RESID","",IF(AL$7=2005+OFFSET(COM_2012!$B$60,$AW302,SUMIF($B$10:$B$16,"NCAP_TLIFE",$AX$10:$AX$16)),0,""))</f>
        <v/>
      </c>
      <c r="AM302" s="369" t="str">
        <f ca="1">IF($B302&lt;&gt;"PRC_RESID","",IF(AM$7=2005+OFFSET(COM_2012!$B$60,$AW302,SUMIF($B$10:$B$16,"NCAP_TLIFE",$AX$10:$AX$16)),0,""))</f>
        <v/>
      </c>
      <c r="AN302" s="369" t="str">
        <f ca="1">IF($B302&lt;&gt;"PRC_RESID","",IF(AN$7=2005+OFFSET(COM_2012!$B$60,$AW302,SUMIF($B$10:$B$16,"NCAP_TLIFE",$AX$10:$AX$16)),0,""))</f>
        <v/>
      </c>
      <c r="AO302" s="369" t="str">
        <f ca="1">IF($B302&lt;&gt;"PRC_RESID","",IF(AO$7=2005+OFFSET(COM_2012!$B$60,$AW302,SUMIF($B$10:$B$16,"NCAP_TLIFE",$AX$10:$AX$16)),0,""))</f>
        <v/>
      </c>
      <c r="AP302" s="369" t="str">
        <f ca="1">IF($B302&lt;&gt;"PRC_RESID","",IF(AP$7=2005+OFFSET(COM_2012!$B$60,$AW302,SUMIF($B$10:$B$16,"NCAP_TLIFE",$AX$10:$AX$16)),0,""))</f>
        <v/>
      </c>
      <c r="AQ302" s="369" t="str">
        <f ca="1">IF($B302&lt;&gt;"PRC_RESID","",IF(AQ$7=2005+OFFSET(COM_2012!$B$60,$AW302,SUMIF($B$10:$B$16,"NCAP_TLIFE",$AX$10:$AX$16)),0,""))</f>
        <v/>
      </c>
      <c r="AR302" s="369" t="str">
        <f ca="1">IF($B302&lt;&gt;"PRC_RESID","",IF(AR$7=2005+OFFSET(COM_2012!$B$60,$AW302,SUMIF($B$10:$B$16,"NCAP_TLIFE",$AX$10:$AX$16)),0,""))</f>
        <v/>
      </c>
      <c r="AS302" s="369" t="str">
        <f ca="1">IF($B302&lt;&gt;"PRC_RESID","",IF(AS$7=2005+OFFSET(COM_2012!$B$60,$AW302,SUMIF($B$10:$B$16,"NCAP_TLIFE",$AX$10:$AX$16)),0,""))</f>
        <v/>
      </c>
      <c r="AT302" s="369" t="str">
        <f ca="1">IF($B302&lt;&gt;"PRC_RESID","",IF(AT$7=2005+OFFSET(COM_2012!$B$60,$AW302,SUMIF($B$10:$B$16,"NCAP_TLIFE",$AX$10:$AX$16)),0,""))</f>
        <v/>
      </c>
      <c r="AU302" s="369" t="str">
        <f ca="1">IF($B302&lt;&gt;"PRC_RESID","",IF(AU$7=2005+OFFSET(COM_2012!$B$60,$AW302,SUMIF($B$10:$B$16,"NCAP_TLIFE",$AX$10:$AX$16)),0,""))</f>
        <v/>
      </c>
      <c r="AV302" s="304">
        <f>IF(AW301=COM_2012!$AI$121,AV301+1,AV301)</f>
        <v>5</v>
      </c>
      <c r="AW302" s="304">
        <f t="shared" si="29"/>
        <v>31</v>
      </c>
    </row>
    <row r="303" spans="1:49">
      <c r="A303" s="304" t="str">
        <f ca="1">IF(LEFT(OFFSET(COM_2012!$A$60,AW303,0),2)="\I","*","")</f>
        <v>*</v>
      </c>
      <c r="B303" s="369" t="str">
        <f t="shared" ca="1" si="27"/>
        <v/>
      </c>
      <c r="C303" s="369" t="str">
        <f ca="1">IF($A303="*","",OFFSET(COM_2012!$B$60,AW303,0))</f>
        <v/>
      </c>
      <c r="D303" s="369" t="str">
        <f t="shared" ref="D303:I318" ca="1" si="30">IF($A303="*","",VLOOKUP($B303,$B$10:$I$16,D$9,FALSE))</f>
        <v/>
      </c>
      <c r="E303" s="369" t="str">
        <f t="shared" ca="1" si="30"/>
        <v/>
      </c>
      <c r="F303" s="369" t="str">
        <f t="shared" ca="1" si="30"/>
        <v/>
      </c>
      <c r="G303" s="369" t="str">
        <f t="shared" ca="1" si="30"/>
        <v/>
      </c>
      <c r="H303" s="369" t="str">
        <f t="shared" ca="1" si="30"/>
        <v/>
      </c>
      <c r="I303" s="370" t="str">
        <f t="shared" ca="1" si="30"/>
        <v/>
      </c>
      <c r="J303" s="391" t="str">
        <f ca="1">IF($A303="*","",OFFSET(COM_2012!$B$60,AW303,SUMIF($B$10:$B$16,B303,$AX$10:$AX$16)))</f>
        <v/>
      </c>
      <c r="K303" s="369" t="str">
        <f ca="1">IF($B303&lt;&gt;"PRC_RESID","",IF(K$7=2005+OFFSET(COM_2012!$B$60,$AW303,SUMIF($B$10:$B$16,"NCAP_TLIFE",$AX$10:$AX$16)),0,""))</f>
        <v/>
      </c>
      <c r="L303" s="369" t="str">
        <f ca="1">IF($B303&lt;&gt;"PRC_RESID","",IF(L$7=2005+OFFSET(COM_2012!$B$60,$AW303,SUMIF($B$10:$B$16,"NCAP_TLIFE",$AX$10:$AX$16)),0,""))</f>
        <v/>
      </c>
      <c r="M303" s="369" t="str">
        <f ca="1">IF($B303&lt;&gt;"PRC_RESID","",IF(M$7=2005+OFFSET(COM_2012!$B$60,$AW303,SUMIF($B$10:$B$16,"NCAP_TLIFE",$AX$10:$AX$16)),0,""))</f>
        <v/>
      </c>
      <c r="N303" s="369" t="str">
        <f ca="1">IF($B303&lt;&gt;"PRC_RESID","",IF(N$7=2005+OFFSET(COM_2012!$B$60,$AW303,SUMIF($B$10:$B$16,"NCAP_TLIFE",$AX$10:$AX$16)),0,""))</f>
        <v/>
      </c>
      <c r="O303" s="658" t="str">
        <f ca="1">IF($B303&lt;&gt;"PRC_RESID","",IF(O$7=2005+OFFSET(COM_2012!$B$60,$AW303,SUMIF($B$10:$B$16,"NCAP_TLIFE",$AX$10:$AX$16)),0,""))</f>
        <v/>
      </c>
      <c r="P303" s="369" t="str">
        <f ca="1">IF($B303&lt;&gt;"PRC_RESID","",IF(P$7=2005+OFFSET(COM_2012!$B$60,$AW303,SUMIF($B$10:$B$16,"NCAP_TLIFE",$AX$10:$AX$16)),0,""))</f>
        <v/>
      </c>
      <c r="Q303" s="369" t="str">
        <f ca="1">IF($B303&lt;&gt;"PRC_RESID","",IF(Q$7=2005+OFFSET(COM_2012!$B$60,$AW303,SUMIF($B$10:$B$16,"NCAP_TLIFE",$AX$10:$AX$16)),0,""))</f>
        <v/>
      </c>
      <c r="R303" s="369" t="str">
        <f ca="1">IF($B303&lt;&gt;"PRC_RESID","",IF(R$7=2005+OFFSET(COM_2012!$B$60,$AW303,SUMIF($B$10:$B$16,"NCAP_TLIFE",$AX$10:$AX$16)),0,""))</f>
        <v/>
      </c>
      <c r="S303" s="369" t="str">
        <f ca="1">IF($B303&lt;&gt;"PRC_RESID","",IF(S$7=2005+OFFSET(COM_2012!$B$60,$AW303,SUMIF($B$10:$B$16,"NCAP_TLIFE",$AX$10:$AX$16)),0,""))</f>
        <v/>
      </c>
      <c r="T303" s="369" t="str">
        <f ca="1">IF($B303&lt;&gt;"PRC_RESID","",IF(T$7=2005+OFFSET(COM_2012!$B$60,$AW303,SUMIF($B$10:$B$16,"NCAP_TLIFE",$AX$10:$AX$16)),0,""))</f>
        <v/>
      </c>
      <c r="U303" s="369" t="str">
        <f ca="1">IF($B303&lt;&gt;"PRC_RESID","",IF(U$7=2005+OFFSET(COM_2012!$B$60,$AW303,SUMIF($B$10:$B$16,"NCAP_TLIFE",$AX$10:$AX$16)),0,""))</f>
        <v/>
      </c>
      <c r="V303" s="369" t="str">
        <f ca="1">IF($B303&lt;&gt;"PRC_RESID","",IF(V$7=2005+OFFSET(COM_2012!$B$60,$AW303,SUMIF($B$10:$B$16,"NCAP_TLIFE",$AX$10:$AX$16)),0,""))</f>
        <v/>
      </c>
      <c r="W303" s="369" t="str">
        <f ca="1">IF($B303&lt;&gt;"PRC_RESID","",IF(W$7=2005+OFFSET(COM_2012!$B$60,$AW303,SUMIF($B$10:$B$16,"NCAP_TLIFE",$AX$10:$AX$16)),0,""))</f>
        <v/>
      </c>
      <c r="X303" s="369" t="str">
        <f ca="1">IF($B303&lt;&gt;"PRC_RESID","",IF(X$7=2005+OFFSET(COM_2012!$B$60,$AW303,SUMIF($B$10:$B$16,"NCAP_TLIFE",$AX$10:$AX$16)),0,""))</f>
        <v/>
      </c>
      <c r="Y303" s="369" t="str">
        <f ca="1">IF($B303&lt;&gt;"PRC_RESID","",IF(Y$7=2005+OFFSET(COM_2012!$B$60,$AW303,SUMIF($B$10:$B$16,"NCAP_TLIFE",$AX$10:$AX$16)),0,""))</f>
        <v/>
      </c>
      <c r="Z303" s="369" t="str">
        <f ca="1">IF($B303&lt;&gt;"PRC_RESID","",IF(Z$7=2005+OFFSET(COM_2012!$B$60,$AW303,SUMIF($B$10:$B$16,"NCAP_TLIFE",$AX$10:$AX$16)),0,""))</f>
        <v/>
      </c>
      <c r="AA303" s="369" t="str">
        <f ca="1">IF($B303&lt;&gt;"PRC_RESID","",IF(AA$7=2005+OFFSET(COM_2012!$B$60,$AW303,SUMIF($B$10:$B$16,"NCAP_TLIFE",$AX$10:$AX$16)),0,""))</f>
        <v/>
      </c>
      <c r="AB303" s="369" t="str">
        <f ca="1">IF($B303&lt;&gt;"PRC_RESID","",IF(AB$7=2005+OFFSET(COM_2012!$B$60,$AW303,SUMIF($B$10:$B$16,"NCAP_TLIFE",$AX$10:$AX$16)),0,""))</f>
        <v/>
      </c>
      <c r="AC303" s="369" t="str">
        <f ca="1">IF($B303&lt;&gt;"PRC_RESID","",IF(AC$7=2005+OFFSET(COM_2012!$B$60,$AW303,SUMIF($B$10:$B$16,"NCAP_TLIFE",$AX$10:$AX$16)),0,""))</f>
        <v/>
      </c>
      <c r="AD303" s="369" t="str">
        <f ca="1">IF($B303&lt;&gt;"PRC_RESID","",IF(AD$7=2005+OFFSET(COM_2012!$B$60,$AW303,SUMIF($B$10:$B$16,"NCAP_TLIFE",$AX$10:$AX$16)),0,""))</f>
        <v/>
      </c>
      <c r="AE303" s="369" t="str">
        <f ca="1">IF($B303&lt;&gt;"PRC_RESID","",IF(AE$7=2005+OFFSET(COM_2012!$B$60,$AW303,SUMIF($B$10:$B$16,"NCAP_TLIFE",$AX$10:$AX$16)),0,""))</f>
        <v/>
      </c>
      <c r="AF303" s="369" t="str">
        <f ca="1">IF($B303&lt;&gt;"PRC_RESID","",IF(AF$7=2005+OFFSET(COM_2012!$B$60,$AW303,SUMIF($B$10:$B$16,"NCAP_TLIFE",$AX$10:$AX$16)),0,""))</f>
        <v/>
      </c>
      <c r="AG303" s="369" t="str">
        <f ca="1">IF($B303&lt;&gt;"PRC_RESID","",IF(AG$7=2005+OFFSET(COM_2012!$B$60,$AW303,SUMIF($B$10:$B$16,"NCAP_TLIFE",$AX$10:$AX$16)),0,""))</f>
        <v/>
      </c>
      <c r="AH303" s="369" t="str">
        <f ca="1">IF($B303&lt;&gt;"PRC_RESID","",IF(AH$7=2005+OFFSET(COM_2012!$B$60,$AW303,SUMIF($B$10:$B$16,"NCAP_TLIFE",$AX$10:$AX$16)),0,""))</f>
        <v/>
      </c>
      <c r="AI303" s="369" t="str">
        <f ca="1">IF($B303&lt;&gt;"PRC_RESID","",IF(AI$7=2005+OFFSET(COM_2012!$B$60,$AW303,SUMIF($B$10:$B$16,"NCAP_TLIFE",$AX$10:$AX$16)),0,""))</f>
        <v/>
      </c>
      <c r="AJ303" s="369" t="str">
        <f ca="1">IF($B303&lt;&gt;"PRC_RESID","",IF(AJ$7=2005+OFFSET(COM_2012!$B$60,$AW303,SUMIF($B$10:$B$16,"NCAP_TLIFE",$AX$10:$AX$16)),0,""))</f>
        <v/>
      </c>
      <c r="AK303" s="369" t="str">
        <f ca="1">IF($B303&lt;&gt;"PRC_RESID","",IF(AK$7=2005+OFFSET(COM_2012!$B$60,$AW303,SUMIF($B$10:$B$16,"NCAP_TLIFE",$AX$10:$AX$16)),0,""))</f>
        <v/>
      </c>
      <c r="AL303" s="369" t="str">
        <f ca="1">IF($B303&lt;&gt;"PRC_RESID","",IF(AL$7=2005+OFFSET(COM_2012!$B$60,$AW303,SUMIF($B$10:$B$16,"NCAP_TLIFE",$AX$10:$AX$16)),0,""))</f>
        <v/>
      </c>
      <c r="AM303" s="369" t="str">
        <f ca="1">IF($B303&lt;&gt;"PRC_RESID","",IF(AM$7=2005+OFFSET(COM_2012!$B$60,$AW303,SUMIF($B$10:$B$16,"NCAP_TLIFE",$AX$10:$AX$16)),0,""))</f>
        <v/>
      </c>
      <c r="AN303" s="369" t="str">
        <f ca="1">IF($B303&lt;&gt;"PRC_RESID","",IF(AN$7=2005+OFFSET(COM_2012!$B$60,$AW303,SUMIF($B$10:$B$16,"NCAP_TLIFE",$AX$10:$AX$16)),0,""))</f>
        <v/>
      </c>
      <c r="AO303" s="369" t="str">
        <f ca="1">IF($B303&lt;&gt;"PRC_RESID","",IF(AO$7=2005+OFFSET(COM_2012!$B$60,$AW303,SUMIF($B$10:$B$16,"NCAP_TLIFE",$AX$10:$AX$16)),0,""))</f>
        <v/>
      </c>
      <c r="AP303" s="369" t="str">
        <f ca="1">IF($B303&lt;&gt;"PRC_RESID","",IF(AP$7=2005+OFFSET(COM_2012!$B$60,$AW303,SUMIF($B$10:$B$16,"NCAP_TLIFE",$AX$10:$AX$16)),0,""))</f>
        <v/>
      </c>
      <c r="AQ303" s="369" t="str">
        <f ca="1">IF($B303&lt;&gt;"PRC_RESID","",IF(AQ$7=2005+OFFSET(COM_2012!$B$60,$AW303,SUMIF($B$10:$B$16,"NCAP_TLIFE",$AX$10:$AX$16)),0,""))</f>
        <v/>
      </c>
      <c r="AR303" s="369" t="str">
        <f ca="1">IF($B303&lt;&gt;"PRC_RESID","",IF(AR$7=2005+OFFSET(COM_2012!$B$60,$AW303,SUMIF($B$10:$B$16,"NCAP_TLIFE",$AX$10:$AX$16)),0,""))</f>
        <v/>
      </c>
      <c r="AS303" s="369" t="str">
        <f ca="1">IF($B303&lt;&gt;"PRC_RESID","",IF(AS$7=2005+OFFSET(COM_2012!$B$60,$AW303,SUMIF($B$10:$B$16,"NCAP_TLIFE",$AX$10:$AX$16)),0,""))</f>
        <v/>
      </c>
      <c r="AT303" s="369" t="str">
        <f ca="1">IF($B303&lt;&gt;"PRC_RESID","",IF(AT$7=2005+OFFSET(COM_2012!$B$60,$AW303,SUMIF($B$10:$B$16,"NCAP_TLIFE",$AX$10:$AX$16)),0,""))</f>
        <v/>
      </c>
      <c r="AU303" s="369" t="str">
        <f ca="1">IF($B303&lt;&gt;"PRC_RESID","",IF(AU$7=2005+OFFSET(COM_2012!$B$60,$AW303,SUMIF($B$10:$B$16,"NCAP_TLIFE",$AX$10:$AX$16)),0,""))</f>
        <v/>
      </c>
      <c r="AV303" s="304">
        <f>IF(AW302=COM_2012!$AI$121,AV302+1,AV302)</f>
        <v>5</v>
      </c>
      <c r="AW303" s="304">
        <f t="shared" si="29"/>
        <v>32</v>
      </c>
    </row>
    <row r="304" spans="1:49">
      <c r="A304" s="304" t="str">
        <f ca="1">IF(LEFT(OFFSET(COM_2012!$A$60,AW304,0),2)="\I","*","")</f>
        <v/>
      </c>
      <c r="B304" s="369" t="str">
        <f t="shared" ca="1" si="27"/>
        <v>NCAP_FOM</v>
      </c>
      <c r="C304" s="369" t="str">
        <f ca="1">IF($A304="*","",OFFSET(COM_2012!$B$60,AW304,0))</f>
        <v>CEWELC-E</v>
      </c>
      <c r="D304" s="369" t="str">
        <f t="shared" ca="1" si="30"/>
        <v>-</v>
      </c>
      <c r="E304" s="369" t="str">
        <f t="shared" ca="1" si="30"/>
        <v>-</v>
      </c>
      <c r="F304" s="369" t="str">
        <f t="shared" ca="1" si="30"/>
        <v>-</v>
      </c>
      <c r="G304" s="369" t="str">
        <f t="shared" ca="1" si="30"/>
        <v>-</v>
      </c>
      <c r="H304" s="369" t="str">
        <f t="shared" ca="1" si="30"/>
        <v>-</v>
      </c>
      <c r="I304" s="370">
        <f t="shared" ca="1" si="30"/>
        <v>0</v>
      </c>
      <c r="J304" s="391">
        <f ca="1">IF($A304="*","",OFFSET(COM_2012!$B$60,AW304,SUMIF($B$10:$B$16,B304,$AX$10:$AX$16)))</f>
        <v>3.1581453839889382</v>
      </c>
      <c r="K304" s="369" t="str">
        <f ca="1">IF($B304&lt;&gt;"PRC_RESID","",IF(K$7=2005+OFFSET(COM_2012!$B$60,$AW304,SUMIF($B$10:$B$16,"NCAP_TLIFE",$AX$10:$AX$16)),0,""))</f>
        <v/>
      </c>
      <c r="L304" s="369" t="str">
        <f ca="1">IF($B304&lt;&gt;"PRC_RESID","",IF(L$7=2005+OFFSET(COM_2012!$B$60,$AW304,SUMIF($B$10:$B$16,"NCAP_TLIFE",$AX$10:$AX$16)),0,""))</f>
        <v/>
      </c>
      <c r="M304" s="369" t="str">
        <f ca="1">IF($B304&lt;&gt;"PRC_RESID","",IF(M$7=2005+OFFSET(COM_2012!$B$60,$AW304,SUMIF($B$10:$B$16,"NCAP_TLIFE",$AX$10:$AX$16)),0,""))</f>
        <v/>
      </c>
      <c r="N304" s="369" t="str">
        <f ca="1">IF($B304&lt;&gt;"PRC_RESID","",IF(N$7=2005+OFFSET(COM_2012!$B$60,$AW304,SUMIF($B$10:$B$16,"NCAP_TLIFE",$AX$10:$AX$16)),0,""))</f>
        <v/>
      </c>
      <c r="O304" s="658" t="str">
        <f ca="1">IF($B304&lt;&gt;"PRC_RESID","",IF(O$7=2005+OFFSET(COM_2012!$B$60,$AW304,SUMIF($B$10:$B$16,"NCAP_TLIFE",$AX$10:$AX$16)),0,""))</f>
        <v/>
      </c>
      <c r="P304" s="369" t="str">
        <f ca="1">IF($B304&lt;&gt;"PRC_RESID","",IF(P$7=2005+OFFSET(COM_2012!$B$60,$AW304,SUMIF($B$10:$B$16,"NCAP_TLIFE",$AX$10:$AX$16)),0,""))</f>
        <v/>
      </c>
      <c r="Q304" s="369" t="str">
        <f ca="1">IF($B304&lt;&gt;"PRC_RESID","",IF(Q$7=2005+OFFSET(COM_2012!$B$60,$AW304,SUMIF($B$10:$B$16,"NCAP_TLIFE",$AX$10:$AX$16)),0,""))</f>
        <v/>
      </c>
      <c r="R304" s="369" t="str">
        <f ca="1">IF($B304&lt;&gt;"PRC_RESID","",IF(R$7=2005+OFFSET(COM_2012!$B$60,$AW304,SUMIF($B$10:$B$16,"NCAP_TLIFE",$AX$10:$AX$16)),0,""))</f>
        <v/>
      </c>
      <c r="S304" s="369" t="str">
        <f ca="1">IF($B304&lt;&gt;"PRC_RESID","",IF(S$7=2005+OFFSET(COM_2012!$B$60,$AW304,SUMIF($B$10:$B$16,"NCAP_TLIFE",$AX$10:$AX$16)),0,""))</f>
        <v/>
      </c>
      <c r="T304" s="369" t="str">
        <f ca="1">IF($B304&lt;&gt;"PRC_RESID","",IF(T$7=2005+OFFSET(COM_2012!$B$60,$AW304,SUMIF($B$10:$B$16,"NCAP_TLIFE",$AX$10:$AX$16)),0,""))</f>
        <v/>
      </c>
      <c r="U304" s="369" t="str">
        <f ca="1">IF($B304&lt;&gt;"PRC_RESID","",IF(U$7=2005+OFFSET(COM_2012!$B$60,$AW304,SUMIF($B$10:$B$16,"NCAP_TLIFE",$AX$10:$AX$16)),0,""))</f>
        <v/>
      </c>
      <c r="V304" s="369" t="str">
        <f ca="1">IF($B304&lt;&gt;"PRC_RESID","",IF(V$7=2005+OFFSET(COM_2012!$B$60,$AW304,SUMIF($B$10:$B$16,"NCAP_TLIFE",$AX$10:$AX$16)),0,""))</f>
        <v/>
      </c>
      <c r="W304" s="369" t="str">
        <f ca="1">IF($B304&lt;&gt;"PRC_RESID","",IF(W$7=2005+OFFSET(COM_2012!$B$60,$AW304,SUMIF($B$10:$B$16,"NCAP_TLIFE",$AX$10:$AX$16)),0,""))</f>
        <v/>
      </c>
      <c r="X304" s="369" t="str">
        <f ca="1">IF($B304&lt;&gt;"PRC_RESID","",IF(X$7=2005+OFFSET(COM_2012!$B$60,$AW304,SUMIF($B$10:$B$16,"NCAP_TLIFE",$AX$10:$AX$16)),0,""))</f>
        <v/>
      </c>
      <c r="Y304" s="369" t="str">
        <f ca="1">IF($B304&lt;&gt;"PRC_RESID","",IF(Y$7=2005+OFFSET(COM_2012!$B$60,$AW304,SUMIF($B$10:$B$16,"NCAP_TLIFE",$AX$10:$AX$16)),0,""))</f>
        <v/>
      </c>
      <c r="Z304" s="369" t="str">
        <f ca="1">IF($B304&lt;&gt;"PRC_RESID","",IF(Z$7=2005+OFFSET(COM_2012!$B$60,$AW304,SUMIF($B$10:$B$16,"NCAP_TLIFE",$AX$10:$AX$16)),0,""))</f>
        <v/>
      </c>
      <c r="AA304" s="369" t="str">
        <f ca="1">IF($B304&lt;&gt;"PRC_RESID","",IF(AA$7=2005+OFFSET(COM_2012!$B$60,$AW304,SUMIF($B$10:$B$16,"NCAP_TLIFE",$AX$10:$AX$16)),0,""))</f>
        <v/>
      </c>
      <c r="AB304" s="369" t="str">
        <f ca="1">IF($B304&lt;&gt;"PRC_RESID","",IF(AB$7=2005+OFFSET(COM_2012!$B$60,$AW304,SUMIF($B$10:$B$16,"NCAP_TLIFE",$AX$10:$AX$16)),0,""))</f>
        <v/>
      </c>
      <c r="AC304" s="369" t="str">
        <f ca="1">IF($B304&lt;&gt;"PRC_RESID","",IF(AC$7=2005+OFFSET(COM_2012!$B$60,$AW304,SUMIF($B$10:$B$16,"NCAP_TLIFE",$AX$10:$AX$16)),0,""))</f>
        <v/>
      </c>
      <c r="AD304" s="369" t="str">
        <f ca="1">IF($B304&lt;&gt;"PRC_RESID","",IF(AD$7=2005+OFFSET(COM_2012!$B$60,$AW304,SUMIF($B$10:$B$16,"NCAP_TLIFE",$AX$10:$AX$16)),0,""))</f>
        <v/>
      </c>
      <c r="AE304" s="369" t="str">
        <f ca="1">IF($B304&lt;&gt;"PRC_RESID","",IF(AE$7=2005+OFFSET(COM_2012!$B$60,$AW304,SUMIF($B$10:$B$16,"NCAP_TLIFE",$AX$10:$AX$16)),0,""))</f>
        <v/>
      </c>
      <c r="AF304" s="369" t="str">
        <f ca="1">IF($B304&lt;&gt;"PRC_RESID","",IF(AF$7=2005+OFFSET(COM_2012!$B$60,$AW304,SUMIF($B$10:$B$16,"NCAP_TLIFE",$AX$10:$AX$16)),0,""))</f>
        <v/>
      </c>
      <c r="AG304" s="369" t="str">
        <f ca="1">IF($B304&lt;&gt;"PRC_RESID","",IF(AG$7=2005+OFFSET(COM_2012!$B$60,$AW304,SUMIF($B$10:$B$16,"NCAP_TLIFE",$AX$10:$AX$16)),0,""))</f>
        <v/>
      </c>
      <c r="AH304" s="369" t="str">
        <f ca="1">IF($B304&lt;&gt;"PRC_RESID","",IF(AH$7=2005+OFFSET(COM_2012!$B$60,$AW304,SUMIF($B$10:$B$16,"NCAP_TLIFE",$AX$10:$AX$16)),0,""))</f>
        <v/>
      </c>
      <c r="AI304" s="369" t="str">
        <f ca="1">IF($B304&lt;&gt;"PRC_RESID","",IF(AI$7=2005+OFFSET(COM_2012!$B$60,$AW304,SUMIF($B$10:$B$16,"NCAP_TLIFE",$AX$10:$AX$16)),0,""))</f>
        <v/>
      </c>
      <c r="AJ304" s="369" t="str">
        <f ca="1">IF($B304&lt;&gt;"PRC_RESID","",IF(AJ$7=2005+OFFSET(COM_2012!$B$60,$AW304,SUMIF($B$10:$B$16,"NCAP_TLIFE",$AX$10:$AX$16)),0,""))</f>
        <v/>
      </c>
      <c r="AK304" s="369" t="str">
        <f ca="1">IF($B304&lt;&gt;"PRC_RESID","",IF(AK$7=2005+OFFSET(COM_2012!$B$60,$AW304,SUMIF($B$10:$B$16,"NCAP_TLIFE",$AX$10:$AX$16)),0,""))</f>
        <v/>
      </c>
      <c r="AL304" s="369" t="str">
        <f ca="1">IF($B304&lt;&gt;"PRC_RESID","",IF(AL$7=2005+OFFSET(COM_2012!$B$60,$AW304,SUMIF($B$10:$B$16,"NCAP_TLIFE",$AX$10:$AX$16)),0,""))</f>
        <v/>
      </c>
      <c r="AM304" s="369" t="str">
        <f ca="1">IF($B304&lt;&gt;"PRC_RESID","",IF(AM$7=2005+OFFSET(COM_2012!$B$60,$AW304,SUMIF($B$10:$B$16,"NCAP_TLIFE",$AX$10:$AX$16)),0,""))</f>
        <v/>
      </c>
      <c r="AN304" s="369" t="str">
        <f ca="1">IF($B304&lt;&gt;"PRC_RESID","",IF(AN$7=2005+OFFSET(COM_2012!$B$60,$AW304,SUMIF($B$10:$B$16,"NCAP_TLIFE",$AX$10:$AX$16)),0,""))</f>
        <v/>
      </c>
      <c r="AO304" s="369" t="str">
        <f ca="1">IF($B304&lt;&gt;"PRC_RESID","",IF(AO$7=2005+OFFSET(COM_2012!$B$60,$AW304,SUMIF($B$10:$B$16,"NCAP_TLIFE",$AX$10:$AX$16)),0,""))</f>
        <v/>
      </c>
      <c r="AP304" s="369" t="str">
        <f ca="1">IF($B304&lt;&gt;"PRC_RESID","",IF(AP$7=2005+OFFSET(COM_2012!$B$60,$AW304,SUMIF($B$10:$B$16,"NCAP_TLIFE",$AX$10:$AX$16)),0,""))</f>
        <v/>
      </c>
      <c r="AQ304" s="369" t="str">
        <f ca="1">IF($B304&lt;&gt;"PRC_RESID","",IF(AQ$7=2005+OFFSET(COM_2012!$B$60,$AW304,SUMIF($B$10:$B$16,"NCAP_TLIFE",$AX$10:$AX$16)),0,""))</f>
        <v/>
      </c>
      <c r="AR304" s="369" t="str">
        <f ca="1">IF($B304&lt;&gt;"PRC_RESID","",IF(AR$7=2005+OFFSET(COM_2012!$B$60,$AW304,SUMIF($B$10:$B$16,"NCAP_TLIFE",$AX$10:$AX$16)),0,""))</f>
        <v/>
      </c>
      <c r="AS304" s="369" t="str">
        <f ca="1">IF($B304&lt;&gt;"PRC_RESID","",IF(AS$7=2005+OFFSET(COM_2012!$B$60,$AW304,SUMIF($B$10:$B$16,"NCAP_TLIFE",$AX$10:$AX$16)),0,""))</f>
        <v/>
      </c>
      <c r="AT304" s="369" t="str">
        <f ca="1">IF($B304&lt;&gt;"PRC_RESID","",IF(AT$7=2005+OFFSET(COM_2012!$B$60,$AW304,SUMIF($B$10:$B$16,"NCAP_TLIFE",$AX$10:$AX$16)),0,""))</f>
        <v/>
      </c>
      <c r="AU304" s="369" t="str">
        <f ca="1">IF($B304&lt;&gt;"PRC_RESID","",IF(AU$7=2005+OFFSET(COM_2012!$B$60,$AW304,SUMIF($B$10:$B$16,"NCAP_TLIFE",$AX$10:$AX$16)),0,""))</f>
        <v/>
      </c>
      <c r="AV304" s="304">
        <f>IF(AW303=COM_2012!$AI$121,AV303+1,AV303)</f>
        <v>5</v>
      </c>
      <c r="AW304" s="304">
        <f t="shared" si="29"/>
        <v>33</v>
      </c>
    </row>
    <row r="305" spans="1:49">
      <c r="A305" s="304" t="str">
        <f ca="1">IF(LEFT(OFFSET(COM_2012!$A$60,AW305,0),2)="\I","*","")</f>
        <v/>
      </c>
      <c r="B305" s="369" t="str">
        <f t="shared" ca="1" si="27"/>
        <v>NCAP_FOM</v>
      </c>
      <c r="C305" s="369" t="str">
        <f ca="1">IF($A305="*","",OFFSET(COM_2012!$B$60,AW305,0))</f>
        <v>CEWCOA-E</v>
      </c>
      <c r="D305" s="369" t="str">
        <f t="shared" ca="1" si="30"/>
        <v>-</v>
      </c>
      <c r="E305" s="369" t="str">
        <f t="shared" ca="1" si="30"/>
        <v>-</v>
      </c>
      <c r="F305" s="369" t="str">
        <f t="shared" ca="1" si="30"/>
        <v>-</v>
      </c>
      <c r="G305" s="369" t="str">
        <f t="shared" ca="1" si="30"/>
        <v>-</v>
      </c>
      <c r="H305" s="369" t="str">
        <f t="shared" ca="1" si="30"/>
        <v>-</v>
      </c>
      <c r="I305" s="370">
        <f t="shared" ca="1" si="30"/>
        <v>0</v>
      </c>
      <c r="J305" s="391">
        <f ca="1">IF($A305="*","",OFFSET(COM_2012!$B$60,AW305,SUMIF($B$10:$B$16,B305,$AX$10:$AX$16)))</f>
        <v>21.194584531928836</v>
      </c>
      <c r="K305" s="369" t="str">
        <f ca="1">IF($B305&lt;&gt;"PRC_RESID","",IF(K$7=2005+OFFSET(COM_2012!$B$60,$AW305,SUMIF($B$10:$B$16,"NCAP_TLIFE",$AX$10:$AX$16)),0,""))</f>
        <v/>
      </c>
      <c r="L305" s="369" t="str">
        <f ca="1">IF($B305&lt;&gt;"PRC_RESID","",IF(L$7=2005+OFFSET(COM_2012!$B$60,$AW305,SUMIF($B$10:$B$16,"NCAP_TLIFE",$AX$10:$AX$16)),0,""))</f>
        <v/>
      </c>
      <c r="M305" s="369" t="str">
        <f ca="1">IF($B305&lt;&gt;"PRC_RESID","",IF(M$7=2005+OFFSET(COM_2012!$B$60,$AW305,SUMIF($B$10:$B$16,"NCAP_TLIFE",$AX$10:$AX$16)),0,""))</f>
        <v/>
      </c>
      <c r="N305" s="369" t="str">
        <f ca="1">IF($B305&lt;&gt;"PRC_RESID","",IF(N$7=2005+OFFSET(COM_2012!$B$60,$AW305,SUMIF($B$10:$B$16,"NCAP_TLIFE",$AX$10:$AX$16)),0,""))</f>
        <v/>
      </c>
      <c r="O305" s="658" t="str">
        <f ca="1">IF($B305&lt;&gt;"PRC_RESID","",IF(O$7=2005+OFFSET(COM_2012!$B$60,$AW305,SUMIF($B$10:$B$16,"NCAP_TLIFE",$AX$10:$AX$16)),0,""))</f>
        <v/>
      </c>
      <c r="P305" s="369" t="str">
        <f ca="1">IF($B305&lt;&gt;"PRC_RESID","",IF(P$7=2005+OFFSET(COM_2012!$B$60,$AW305,SUMIF($B$10:$B$16,"NCAP_TLIFE",$AX$10:$AX$16)),0,""))</f>
        <v/>
      </c>
      <c r="Q305" s="369" t="str">
        <f ca="1">IF($B305&lt;&gt;"PRC_RESID","",IF(Q$7=2005+OFFSET(COM_2012!$B$60,$AW305,SUMIF($B$10:$B$16,"NCAP_TLIFE",$AX$10:$AX$16)),0,""))</f>
        <v/>
      </c>
      <c r="R305" s="369" t="str">
        <f ca="1">IF($B305&lt;&gt;"PRC_RESID","",IF(R$7=2005+OFFSET(COM_2012!$B$60,$AW305,SUMIF($B$10:$B$16,"NCAP_TLIFE",$AX$10:$AX$16)),0,""))</f>
        <v/>
      </c>
      <c r="S305" s="369" t="str">
        <f ca="1">IF($B305&lt;&gt;"PRC_RESID","",IF(S$7=2005+OFFSET(COM_2012!$B$60,$AW305,SUMIF($B$10:$B$16,"NCAP_TLIFE",$AX$10:$AX$16)),0,""))</f>
        <v/>
      </c>
      <c r="T305" s="369" t="str">
        <f ca="1">IF($B305&lt;&gt;"PRC_RESID","",IF(T$7=2005+OFFSET(COM_2012!$B$60,$AW305,SUMIF($B$10:$B$16,"NCAP_TLIFE",$AX$10:$AX$16)),0,""))</f>
        <v/>
      </c>
      <c r="U305" s="369" t="str">
        <f ca="1">IF($B305&lt;&gt;"PRC_RESID","",IF(U$7=2005+OFFSET(COM_2012!$B$60,$AW305,SUMIF($B$10:$B$16,"NCAP_TLIFE",$AX$10:$AX$16)),0,""))</f>
        <v/>
      </c>
      <c r="V305" s="369" t="str">
        <f ca="1">IF($B305&lt;&gt;"PRC_RESID","",IF(V$7=2005+OFFSET(COM_2012!$B$60,$AW305,SUMIF($B$10:$B$16,"NCAP_TLIFE",$AX$10:$AX$16)),0,""))</f>
        <v/>
      </c>
      <c r="W305" s="369" t="str">
        <f ca="1">IF($B305&lt;&gt;"PRC_RESID","",IF(W$7=2005+OFFSET(COM_2012!$B$60,$AW305,SUMIF($B$10:$B$16,"NCAP_TLIFE",$AX$10:$AX$16)),0,""))</f>
        <v/>
      </c>
      <c r="X305" s="369" t="str">
        <f ca="1">IF($B305&lt;&gt;"PRC_RESID","",IF(X$7=2005+OFFSET(COM_2012!$B$60,$AW305,SUMIF($B$10:$B$16,"NCAP_TLIFE",$AX$10:$AX$16)),0,""))</f>
        <v/>
      </c>
      <c r="Y305" s="369" t="str">
        <f ca="1">IF($B305&lt;&gt;"PRC_RESID","",IF(Y$7=2005+OFFSET(COM_2012!$B$60,$AW305,SUMIF($B$10:$B$16,"NCAP_TLIFE",$AX$10:$AX$16)),0,""))</f>
        <v/>
      </c>
      <c r="Z305" s="369" t="str">
        <f ca="1">IF($B305&lt;&gt;"PRC_RESID","",IF(Z$7=2005+OFFSET(COM_2012!$B$60,$AW305,SUMIF($B$10:$B$16,"NCAP_TLIFE",$AX$10:$AX$16)),0,""))</f>
        <v/>
      </c>
      <c r="AA305" s="369" t="str">
        <f ca="1">IF($B305&lt;&gt;"PRC_RESID","",IF(AA$7=2005+OFFSET(COM_2012!$B$60,$AW305,SUMIF($B$10:$B$16,"NCAP_TLIFE",$AX$10:$AX$16)),0,""))</f>
        <v/>
      </c>
      <c r="AB305" s="369" t="str">
        <f ca="1">IF($B305&lt;&gt;"PRC_RESID","",IF(AB$7=2005+OFFSET(COM_2012!$B$60,$AW305,SUMIF($B$10:$B$16,"NCAP_TLIFE",$AX$10:$AX$16)),0,""))</f>
        <v/>
      </c>
      <c r="AC305" s="369" t="str">
        <f ca="1">IF($B305&lt;&gt;"PRC_RESID","",IF(AC$7=2005+OFFSET(COM_2012!$B$60,$AW305,SUMIF($B$10:$B$16,"NCAP_TLIFE",$AX$10:$AX$16)),0,""))</f>
        <v/>
      </c>
      <c r="AD305" s="369" t="str">
        <f ca="1">IF($B305&lt;&gt;"PRC_RESID","",IF(AD$7=2005+OFFSET(COM_2012!$B$60,$AW305,SUMIF($B$10:$B$16,"NCAP_TLIFE",$AX$10:$AX$16)),0,""))</f>
        <v/>
      </c>
      <c r="AE305" s="369" t="str">
        <f ca="1">IF($B305&lt;&gt;"PRC_RESID","",IF(AE$7=2005+OFFSET(COM_2012!$B$60,$AW305,SUMIF($B$10:$B$16,"NCAP_TLIFE",$AX$10:$AX$16)),0,""))</f>
        <v/>
      </c>
      <c r="AF305" s="369" t="str">
        <f ca="1">IF($B305&lt;&gt;"PRC_RESID","",IF(AF$7=2005+OFFSET(COM_2012!$B$60,$AW305,SUMIF($B$10:$B$16,"NCAP_TLIFE",$AX$10:$AX$16)),0,""))</f>
        <v/>
      </c>
      <c r="AG305" s="369" t="str">
        <f ca="1">IF($B305&lt;&gt;"PRC_RESID","",IF(AG$7=2005+OFFSET(COM_2012!$B$60,$AW305,SUMIF($B$10:$B$16,"NCAP_TLIFE",$AX$10:$AX$16)),0,""))</f>
        <v/>
      </c>
      <c r="AH305" s="369" t="str">
        <f ca="1">IF($B305&lt;&gt;"PRC_RESID","",IF(AH$7=2005+OFFSET(COM_2012!$B$60,$AW305,SUMIF($B$10:$B$16,"NCAP_TLIFE",$AX$10:$AX$16)),0,""))</f>
        <v/>
      </c>
      <c r="AI305" s="369" t="str">
        <f ca="1">IF($B305&lt;&gt;"PRC_RESID","",IF(AI$7=2005+OFFSET(COM_2012!$B$60,$AW305,SUMIF($B$10:$B$16,"NCAP_TLIFE",$AX$10:$AX$16)),0,""))</f>
        <v/>
      </c>
      <c r="AJ305" s="369" t="str">
        <f ca="1">IF($B305&lt;&gt;"PRC_RESID","",IF(AJ$7=2005+OFFSET(COM_2012!$B$60,$AW305,SUMIF($B$10:$B$16,"NCAP_TLIFE",$AX$10:$AX$16)),0,""))</f>
        <v/>
      </c>
      <c r="AK305" s="369" t="str">
        <f ca="1">IF($B305&lt;&gt;"PRC_RESID","",IF(AK$7=2005+OFFSET(COM_2012!$B$60,$AW305,SUMIF($B$10:$B$16,"NCAP_TLIFE",$AX$10:$AX$16)),0,""))</f>
        <v/>
      </c>
      <c r="AL305" s="369" t="str">
        <f ca="1">IF($B305&lt;&gt;"PRC_RESID","",IF(AL$7=2005+OFFSET(COM_2012!$B$60,$AW305,SUMIF($B$10:$B$16,"NCAP_TLIFE",$AX$10:$AX$16)),0,""))</f>
        <v/>
      </c>
      <c r="AM305" s="369" t="str">
        <f ca="1">IF($B305&lt;&gt;"PRC_RESID","",IF(AM$7=2005+OFFSET(COM_2012!$B$60,$AW305,SUMIF($B$10:$B$16,"NCAP_TLIFE",$AX$10:$AX$16)),0,""))</f>
        <v/>
      </c>
      <c r="AN305" s="369" t="str">
        <f ca="1">IF($B305&lt;&gt;"PRC_RESID","",IF(AN$7=2005+OFFSET(COM_2012!$B$60,$AW305,SUMIF($B$10:$B$16,"NCAP_TLIFE",$AX$10:$AX$16)),0,""))</f>
        <v/>
      </c>
      <c r="AO305" s="369" t="str">
        <f ca="1">IF($B305&lt;&gt;"PRC_RESID","",IF(AO$7=2005+OFFSET(COM_2012!$B$60,$AW305,SUMIF($B$10:$B$16,"NCAP_TLIFE",$AX$10:$AX$16)),0,""))</f>
        <v/>
      </c>
      <c r="AP305" s="369" t="str">
        <f ca="1">IF($B305&lt;&gt;"PRC_RESID","",IF(AP$7=2005+OFFSET(COM_2012!$B$60,$AW305,SUMIF($B$10:$B$16,"NCAP_TLIFE",$AX$10:$AX$16)),0,""))</f>
        <v/>
      </c>
      <c r="AQ305" s="369" t="str">
        <f ca="1">IF($B305&lt;&gt;"PRC_RESID","",IF(AQ$7=2005+OFFSET(COM_2012!$B$60,$AW305,SUMIF($B$10:$B$16,"NCAP_TLIFE",$AX$10:$AX$16)),0,""))</f>
        <v/>
      </c>
      <c r="AR305" s="369" t="str">
        <f ca="1">IF($B305&lt;&gt;"PRC_RESID","",IF(AR$7=2005+OFFSET(COM_2012!$B$60,$AW305,SUMIF($B$10:$B$16,"NCAP_TLIFE",$AX$10:$AX$16)),0,""))</f>
        <v/>
      </c>
      <c r="AS305" s="369" t="str">
        <f ca="1">IF($B305&lt;&gt;"PRC_RESID","",IF(AS$7=2005+OFFSET(COM_2012!$B$60,$AW305,SUMIF($B$10:$B$16,"NCAP_TLIFE",$AX$10:$AX$16)),0,""))</f>
        <v/>
      </c>
      <c r="AT305" s="369" t="str">
        <f ca="1">IF($B305&lt;&gt;"PRC_RESID","",IF(AT$7=2005+OFFSET(COM_2012!$B$60,$AW305,SUMIF($B$10:$B$16,"NCAP_TLIFE",$AX$10:$AX$16)),0,""))</f>
        <v/>
      </c>
      <c r="AU305" s="369" t="str">
        <f ca="1">IF($B305&lt;&gt;"PRC_RESID","",IF(AU$7=2005+OFFSET(COM_2012!$B$60,$AW305,SUMIF($B$10:$B$16,"NCAP_TLIFE",$AX$10:$AX$16)),0,""))</f>
        <v/>
      </c>
      <c r="AV305" s="304">
        <f>IF(AW304=COM_2012!$AI$121,AV304+1,AV304)</f>
        <v>5</v>
      </c>
      <c r="AW305" s="304">
        <f t="shared" si="29"/>
        <v>34</v>
      </c>
    </row>
    <row r="306" spans="1:49">
      <c r="A306" s="304" t="str">
        <f ca="1">IF(LEFT(OFFSET(COM_2012!$A$60,AW306,0),2)="\I","*","")</f>
        <v/>
      </c>
      <c r="B306" s="369" t="str">
        <f t="shared" ca="1" si="27"/>
        <v>NCAP_FOM</v>
      </c>
      <c r="C306" s="369" t="str">
        <f ca="1">IF($A306="*","",OFFSET(COM_2012!$B$60,AW306,0))</f>
        <v>CEWOLP-E</v>
      </c>
      <c r="D306" s="369" t="str">
        <f t="shared" ca="1" si="30"/>
        <v>-</v>
      </c>
      <c r="E306" s="369" t="str">
        <f t="shared" ca="1" si="30"/>
        <v>-</v>
      </c>
      <c r="F306" s="369" t="str">
        <f t="shared" ca="1" si="30"/>
        <v>-</v>
      </c>
      <c r="G306" s="369" t="str">
        <f t="shared" ca="1" si="30"/>
        <v>-</v>
      </c>
      <c r="H306" s="369" t="str">
        <f t="shared" ca="1" si="30"/>
        <v>-</v>
      </c>
      <c r="I306" s="370">
        <f t="shared" ca="1" si="30"/>
        <v>0</v>
      </c>
      <c r="J306" s="391">
        <f ca="1">IF($A306="*","",OFFSET(COM_2012!$B$60,AW306,SUMIF($B$10:$B$16,B306,$AX$10:$AX$16)))</f>
        <v>2.4826371391503539</v>
      </c>
      <c r="K306" s="369" t="str">
        <f ca="1">IF($B306&lt;&gt;"PRC_RESID","",IF(K$7=2005+OFFSET(COM_2012!$B$60,$AW306,SUMIF($B$10:$B$16,"NCAP_TLIFE",$AX$10:$AX$16)),0,""))</f>
        <v/>
      </c>
      <c r="L306" s="369" t="str">
        <f ca="1">IF($B306&lt;&gt;"PRC_RESID","",IF(L$7=2005+OFFSET(COM_2012!$B$60,$AW306,SUMIF($B$10:$B$16,"NCAP_TLIFE",$AX$10:$AX$16)),0,""))</f>
        <v/>
      </c>
      <c r="M306" s="369" t="str">
        <f ca="1">IF($B306&lt;&gt;"PRC_RESID","",IF(M$7=2005+OFFSET(COM_2012!$B$60,$AW306,SUMIF($B$10:$B$16,"NCAP_TLIFE",$AX$10:$AX$16)),0,""))</f>
        <v/>
      </c>
      <c r="N306" s="369" t="str">
        <f ca="1">IF($B306&lt;&gt;"PRC_RESID","",IF(N$7=2005+OFFSET(COM_2012!$B$60,$AW306,SUMIF($B$10:$B$16,"NCAP_TLIFE",$AX$10:$AX$16)),0,""))</f>
        <v/>
      </c>
      <c r="O306" s="658" t="str">
        <f ca="1">IF($B306&lt;&gt;"PRC_RESID","",IF(O$7=2005+OFFSET(COM_2012!$B$60,$AW306,SUMIF($B$10:$B$16,"NCAP_TLIFE",$AX$10:$AX$16)),0,""))</f>
        <v/>
      </c>
      <c r="P306" s="369" t="str">
        <f ca="1">IF($B306&lt;&gt;"PRC_RESID","",IF(P$7=2005+OFFSET(COM_2012!$B$60,$AW306,SUMIF($B$10:$B$16,"NCAP_TLIFE",$AX$10:$AX$16)),0,""))</f>
        <v/>
      </c>
      <c r="Q306" s="369" t="str">
        <f ca="1">IF($B306&lt;&gt;"PRC_RESID","",IF(Q$7=2005+OFFSET(COM_2012!$B$60,$AW306,SUMIF($B$10:$B$16,"NCAP_TLIFE",$AX$10:$AX$16)),0,""))</f>
        <v/>
      </c>
      <c r="R306" s="369" t="str">
        <f ca="1">IF($B306&lt;&gt;"PRC_RESID","",IF(R$7=2005+OFFSET(COM_2012!$B$60,$AW306,SUMIF($B$10:$B$16,"NCAP_TLIFE",$AX$10:$AX$16)),0,""))</f>
        <v/>
      </c>
      <c r="S306" s="369" t="str">
        <f ca="1">IF($B306&lt;&gt;"PRC_RESID","",IF(S$7=2005+OFFSET(COM_2012!$B$60,$AW306,SUMIF($B$10:$B$16,"NCAP_TLIFE",$AX$10:$AX$16)),0,""))</f>
        <v/>
      </c>
      <c r="T306" s="369" t="str">
        <f ca="1">IF($B306&lt;&gt;"PRC_RESID","",IF(T$7=2005+OFFSET(COM_2012!$B$60,$AW306,SUMIF($B$10:$B$16,"NCAP_TLIFE",$AX$10:$AX$16)),0,""))</f>
        <v/>
      </c>
      <c r="U306" s="369" t="str">
        <f ca="1">IF($B306&lt;&gt;"PRC_RESID","",IF(U$7=2005+OFFSET(COM_2012!$B$60,$AW306,SUMIF($B$10:$B$16,"NCAP_TLIFE",$AX$10:$AX$16)),0,""))</f>
        <v/>
      </c>
      <c r="V306" s="369" t="str">
        <f ca="1">IF($B306&lt;&gt;"PRC_RESID","",IF(V$7=2005+OFFSET(COM_2012!$B$60,$AW306,SUMIF($B$10:$B$16,"NCAP_TLIFE",$AX$10:$AX$16)),0,""))</f>
        <v/>
      </c>
      <c r="W306" s="369" t="str">
        <f ca="1">IF($B306&lt;&gt;"PRC_RESID","",IF(W$7=2005+OFFSET(COM_2012!$B$60,$AW306,SUMIF($B$10:$B$16,"NCAP_TLIFE",$AX$10:$AX$16)),0,""))</f>
        <v/>
      </c>
      <c r="X306" s="369" t="str">
        <f ca="1">IF($B306&lt;&gt;"PRC_RESID","",IF(X$7=2005+OFFSET(COM_2012!$B$60,$AW306,SUMIF($B$10:$B$16,"NCAP_TLIFE",$AX$10:$AX$16)),0,""))</f>
        <v/>
      </c>
      <c r="Y306" s="369" t="str">
        <f ca="1">IF($B306&lt;&gt;"PRC_RESID","",IF(Y$7=2005+OFFSET(COM_2012!$B$60,$AW306,SUMIF($B$10:$B$16,"NCAP_TLIFE",$AX$10:$AX$16)),0,""))</f>
        <v/>
      </c>
      <c r="Z306" s="369" t="str">
        <f ca="1">IF($B306&lt;&gt;"PRC_RESID","",IF(Z$7=2005+OFFSET(COM_2012!$B$60,$AW306,SUMIF($B$10:$B$16,"NCAP_TLIFE",$AX$10:$AX$16)),0,""))</f>
        <v/>
      </c>
      <c r="AA306" s="369" t="str">
        <f ca="1">IF($B306&lt;&gt;"PRC_RESID","",IF(AA$7=2005+OFFSET(COM_2012!$B$60,$AW306,SUMIF($B$10:$B$16,"NCAP_TLIFE",$AX$10:$AX$16)),0,""))</f>
        <v/>
      </c>
      <c r="AB306" s="369" t="str">
        <f ca="1">IF($B306&lt;&gt;"PRC_RESID","",IF(AB$7=2005+OFFSET(COM_2012!$B$60,$AW306,SUMIF($B$10:$B$16,"NCAP_TLIFE",$AX$10:$AX$16)),0,""))</f>
        <v/>
      </c>
      <c r="AC306" s="369" t="str">
        <f ca="1">IF($B306&lt;&gt;"PRC_RESID","",IF(AC$7=2005+OFFSET(COM_2012!$B$60,$AW306,SUMIF($B$10:$B$16,"NCAP_TLIFE",$AX$10:$AX$16)),0,""))</f>
        <v/>
      </c>
      <c r="AD306" s="369" t="str">
        <f ca="1">IF($B306&lt;&gt;"PRC_RESID","",IF(AD$7=2005+OFFSET(COM_2012!$B$60,$AW306,SUMIF($B$10:$B$16,"NCAP_TLIFE",$AX$10:$AX$16)),0,""))</f>
        <v/>
      </c>
      <c r="AE306" s="369" t="str">
        <f ca="1">IF($B306&lt;&gt;"PRC_RESID","",IF(AE$7=2005+OFFSET(COM_2012!$B$60,$AW306,SUMIF($B$10:$B$16,"NCAP_TLIFE",$AX$10:$AX$16)),0,""))</f>
        <v/>
      </c>
      <c r="AF306" s="369" t="str">
        <f ca="1">IF($B306&lt;&gt;"PRC_RESID","",IF(AF$7=2005+OFFSET(COM_2012!$B$60,$AW306,SUMIF($B$10:$B$16,"NCAP_TLIFE",$AX$10:$AX$16)),0,""))</f>
        <v/>
      </c>
      <c r="AG306" s="369" t="str">
        <f ca="1">IF($B306&lt;&gt;"PRC_RESID","",IF(AG$7=2005+OFFSET(COM_2012!$B$60,$AW306,SUMIF($B$10:$B$16,"NCAP_TLIFE",$AX$10:$AX$16)),0,""))</f>
        <v/>
      </c>
      <c r="AH306" s="369" t="str">
        <f ca="1">IF($B306&lt;&gt;"PRC_RESID","",IF(AH$7=2005+OFFSET(COM_2012!$B$60,$AW306,SUMIF($B$10:$B$16,"NCAP_TLIFE",$AX$10:$AX$16)),0,""))</f>
        <v/>
      </c>
      <c r="AI306" s="369" t="str">
        <f ca="1">IF($B306&lt;&gt;"PRC_RESID","",IF(AI$7=2005+OFFSET(COM_2012!$B$60,$AW306,SUMIF($B$10:$B$16,"NCAP_TLIFE",$AX$10:$AX$16)),0,""))</f>
        <v/>
      </c>
      <c r="AJ306" s="369" t="str">
        <f ca="1">IF($B306&lt;&gt;"PRC_RESID","",IF(AJ$7=2005+OFFSET(COM_2012!$B$60,$AW306,SUMIF($B$10:$B$16,"NCAP_TLIFE",$AX$10:$AX$16)),0,""))</f>
        <v/>
      </c>
      <c r="AK306" s="369" t="str">
        <f ca="1">IF($B306&lt;&gt;"PRC_RESID","",IF(AK$7=2005+OFFSET(COM_2012!$B$60,$AW306,SUMIF($B$10:$B$16,"NCAP_TLIFE",$AX$10:$AX$16)),0,""))</f>
        <v/>
      </c>
      <c r="AL306" s="369" t="str">
        <f ca="1">IF($B306&lt;&gt;"PRC_RESID","",IF(AL$7=2005+OFFSET(COM_2012!$B$60,$AW306,SUMIF($B$10:$B$16,"NCAP_TLIFE",$AX$10:$AX$16)),0,""))</f>
        <v/>
      </c>
      <c r="AM306" s="369" t="str">
        <f ca="1">IF($B306&lt;&gt;"PRC_RESID","",IF(AM$7=2005+OFFSET(COM_2012!$B$60,$AW306,SUMIF($B$10:$B$16,"NCAP_TLIFE",$AX$10:$AX$16)),0,""))</f>
        <v/>
      </c>
      <c r="AN306" s="369" t="str">
        <f ca="1">IF($B306&lt;&gt;"PRC_RESID","",IF(AN$7=2005+OFFSET(COM_2012!$B$60,$AW306,SUMIF($B$10:$B$16,"NCAP_TLIFE",$AX$10:$AX$16)),0,""))</f>
        <v/>
      </c>
      <c r="AO306" s="369" t="str">
        <f ca="1">IF($B306&lt;&gt;"PRC_RESID","",IF(AO$7=2005+OFFSET(COM_2012!$B$60,$AW306,SUMIF($B$10:$B$16,"NCAP_TLIFE",$AX$10:$AX$16)),0,""))</f>
        <v/>
      </c>
      <c r="AP306" s="369" t="str">
        <f ca="1">IF($B306&lt;&gt;"PRC_RESID","",IF(AP$7=2005+OFFSET(COM_2012!$B$60,$AW306,SUMIF($B$10:$B$16,"NCAP_TLIFE",$AX$10:$AX$16)),0,""))</f>
        <v/>
      </c>
      <c r="AQ306" s="369" t="str">
        <f ca="1">IF($B306&lt;&gt;"PRC_RESID","",IF(AQ$7=2005+OFFSET(COM_2012!$B$60,$AW306,SUMIF($B$10:$B$16,"NCAP_TLIFE",$AX$10:$AX$16)),0,""))</f>
        <v/>
      </c>
      <c r="AR306" s="369" t="str">
        <f ca="1">IF($B306&lt;&gt;"PRC_RESID","",IF(AR$7=2005+OFFSET(COM_2012!$B$60,$AW306,SUMIF($B$10:$B$16,"NCAP_TLIFE",$AX$10:$AX$16)),0,""))</f>
        <v/>
      </c>
      <c r="AS306" s="369" t="str">
        <f ca="1">IF($B306&lt;&gt;"PRC_RESID","",IF(AS$7=2005+OFFSET(COM_2012!$B$60,$AW306,SUMIF($B$10:$B$16,"NCAP_TLIFE",$AX$10:$AX$16)),0,""))</f>
        <v/>
      </c>
      <c r="AT306" s="369" t="str">
        <f ca="1">IF($B306&lt;&gt;"PRC_RESID","",IF(AT$7=2005+OFFSET(COM_2012!$B$60,$AW306,SUMIF($B$10:$B$16,"NCAP_TLIFE",$AX$10:$AX$16)),0,""))</f>
        <v/>
      </c>
      <c r="AU306" s="369" t="str">
        <f ca="1">IF($B306&lt;&gt;"PRC_RESID","",IF(AU$7=2005+OFFSET(COM_2012!$B$60,$AW306,SUMIF($B$10:$B$16,"NCAP_TLIFE",$AX$10:$AX$16)),0,""))</f>
        <v/>
      </c>
      <c r="AV306" s="304">
        <f>IF(AW305=COM_2012!$AI$121,AV305+1,AV305)</f>
        <v>5</v>
      </c>
      <c r="AW306" s="304">
        <f t="shared" si="29"/>
        <v>35</v>
      </c>
    </row>
    <row r="307" spans="1:49">
      <c r="A307" s="304" t="str">
        <f ca="1">IF(LEFT(OFFSET(COM_2012!$A$60,AW307,0),2)="\I","*","")</f>
        <v/>
      </c>
      <c r="B307" s="369" t="str">
        <f t="shared" ca="1" si="27"/>
        <v>NCAP_FOM</v>
      </c>
      <c r="C307" s="369" t="str">
        <f ca="1">IF($A307="*","",OFFSET(COM_2012!$B$60,AW307,0))</f>
        <v>CEWGAS-E</v>
      </c>
      <c r="D307" s="369" t="str">
        <f t="shared" ca="1" si="30"/>
        <v>-</v>
      </c>
      <c r="E307" s="369" t="str">
        <f t="shared" ca="1" si="30"/>
        <v>-</v>
      </c>
      <c r="F307" s="369" t="str">
        <f t="shared" ca="1" si="30"/>
        <v>-</v>
      </c>
      <c r="G307" s="369" t="str">
        <f t="shared" ca="1" si="30"/>
        <v>-</v>
      </c>
      <c r="H307" s="369" t="str">
        <f t="shared" ca="1" si="30"/>
        <v>-</v>
      </c>
      <c r="I307" s="370">
        <f t="shared" ca="1" si="30"/>
        <v>0</v>
      </c>
      <c r="J307" s="391">
        <f ca="1">IF($A307="*","",OFFSET(COM_2012!$B$60,AW307,SUMIF($B$10:$B$16,B307,$AX$10:$AX$16)))</f>
        <v>2.4826371391503539</v>
      </c>
      <c r="K307" s="369" t="str">
        <f ca="1">IF($B307&lt;&gt;"PRC_RESID","",IF(K$7=2005+OFFSET(COM_2012!$B$60,$AW307,SUMIF($B$10:$B$16,"NCAP_TLIFE",$AX$10:$AX$16)),0,""))</f>
        <v/>
      </c>
      <c r="L307" s="369" t="str">
        <f ca="1">IF($B307&lt;&gt;"PRC_RESID","",IF(L$7=2005+OFFSET(COM_2012!$B$60,$AW307,SUMIF($B$10:$B$16,"NCAP_TLIFE",$AX$10:$AX$16)),0,""))</f>
        <v/>
      </c>
      <c r="M307" s="369" t="str">
        <f ca="1">IF($B307&lt;&gt;"PRC_RESID","",IF(M$7=2005+OFFSET(COM_2012!$B$60,$AW307,SUMIF($B$10:$B$16,"NCAP_TLIFE",$AX$10:$AX$16)),0,""))</f>
        <v/>
      </c>
      <c r="N307" s="369" t="str">
        <f ca="1">IF($B307&lt;&gt;"PRC_RESID","",IF(N$7=2005+OFFSET(COM_2012!$B$60,$AW307,SUMIF($B$10:$B$16,"NCAP_TLIFE",$AX$10:$AX$16)),0,""))</f>
        <v/>
      </c>
      <c r="O307" s="658" t="str">
        <f ca="1">IF($B307&lt;&gt;"PRC_RESID","",IF(O$7=2005+OFFSET(COM_2012!$B$60,$AW307,SUMIF($B$10:$B$16,"NCAP_TLIFE",$AX$10:$AX$16)),0,""))</f>
        <v/>
      </c>
      <c r="P307" s="369" t="str">
        <f ca="1">IF($B307&lt;&gt;"PRC_RESID","",IF(P$7=2005+OFFSET(COM_2012!$B$60,$AW307,SUMIF($B$10:$B$16,"NCAP_TLIFE",$AX$10:$AX$16)),0,""))</f>
        <v/>
      </c>
      <c r="Q307" s="369" t="str">
        <f ca="1">IF($B307&lt;&gt;"PRC_RESID","",IF(Q$7=2005+OFFSET(COM_2012!$B$60,$AW307,SUMIF($B$10:$B$16,"NCAP_TLIFE",$AX$10:$AX$16)),0,""))</f>
        <v/>
      </c>
      <c r="R307" s="369" t="str">
        <f ca="1">IF($B307&lt;&gt;"PRC_RESID","",IF(R$7=2005+OFFSET(COM_2012!$B$60,$AW307,SUMIF($B$10:$B$16,"NCAP_TLIFE",$AX$10:$AX$16)),0,""))</f>
        <v/>
      </c>
      <c r="S307" s="369" t="str">
        <f ca="1">IF($B307&lt;&gt;"PRC_RESID","",IF(S$7=2005+OFFSET(COM_2012!$B$60,$AW307,SUMIF($B$10:$B$16,"NCAP_TLIFE",$AX$10:$AX$16)),0,""))</f>
        <v/>
      </c>
      <c r="T307" s="369" t="str">
        <f ca="1">IF($B307&lt;&gt;"PRC_RESID","",IF(T$7=2005+OFFSET(COM_2012!$B$60,$AW307,SUMIF($B$10:$B$16,"NCAP_TLIFE",$AX$10:$AX$16)),0,""))</f>
        <v/>
      </c>
      <c r="U307" s="369" t="str">
        <f ca="1">IF($B307&lt;&gt;"PRC_RESID","",IF(U$7=2005+OFFSET(COM_2012!$B$60,$AW307,SUMIF($B$10:$B$16,"NCAP_TLIFE",$AX$10:$AX$16)),0,""))</f>
        <v/>
      </c>
      <c r="V307" s="369" t="str">
        <f ca="1">IF($B307&lt;&gt;"PRC_RESID","",IF(V$7=2005+OFFSET(COM_2012!$B$60,$AW307,SUMIF($B$10:$B$16,"NCAP_TLIFE",$AX$10:$AX$16)),0,""))</f>
        <v/>
      </c>
      <c r="W307" s="369" t="str">
        <f ca="1">IF($B307&lt;&gt;"PRC_RESID","",IF(W$7=2005+OFFSET(COM_2012!$B$60,$AW307,SUMIF($B$10:$B$16,"NCAP_TLIFE",$AX$10:$AX$16)),0,""))</f>
        <v/>
      </c>
      <c r="X307" s="369" t="str">
        <f ca="1">IF($B307&lt;&gt;"PRC_RESID","",IF(X$7=2005+OFFSET(COM_2012!$B$60,$AW307,SUMIF($B$10:$B$16,"NCAP_TLIFE",$AX$10:$AX$16)),0,""))</f>
        <v/>
      </c>
      <c r="Y307" s="369" t="str">
        <f ca="1">IF($B307&lt;&gt;"PRC_RESID","",IF(Y$7=2005+OFFSET(COM_2012!$B$60,$AW307,SUMIF($B$10:$B$16,"NCAP_TLIFE",$AX$10:$AX$16)),0,""))</f>
        <v/>
      </c>
      <c r="Z307" s="369" t="str">
        <f ca="1">IF($B307&lt;&gt;"PRC_RESID","",IF(Z$7=2005+OFFSET(COM_2012!$B$60,$AW307,SUMIF($B$10:$B$16,"NCAP_TLIFE",$AX$10:$AX$16)),0,""))</f>
        <v/>
      </c>
      <c r="AA307" s="369" t="str">
        <f ca="1">IF($B307&lt;&gt;"PRC_RESID","",IF(AA$7=2005+OFFSET(COM_2012!$B$60,$AW307,SUMIF($B$10:$B$16,"NCAP_TLIFE",$AX$10:$AX$16)),0,""))</f>
        <v/>
      </c>
      <c r="AB307" s="369" t="str">
        <f ca="1">IF($B307&lt;&gt;"PRC_RESID","",IF(AB$7=2005+OFFSET(COM_2012!$B$60,$AW307,SUMIF($B$10:$B$16,"NCAP_TLIFE",$AX$10:$AX$16)),0,""))</f>
        <v/>
      </c>
      <c r="AC307" s="369" t="str">
        <f ca="1">IF($B307&lt;&gt;"PRC_RESID","",IF(AC$7=2005+OFFSET(COM_2012!$B$60,$AW307,SUMIF($B$10:$B$16,"NCAP_TLIFE",$AX$10:$AX$16)),0,""))</f>
        <v/>
      </c>
      <c r="AD307" s="369" t="str">
        <f ca="1">IF($B307&lt;&gt;"PRC_RESID","",IF(AD$7=2005+OFFSET(COM_2012!$B$60,$AW307,SUMIF($B$10:$B$16,"NCAP_TLIFE",$AX$10:$AX$16)),0,""))</f>
        <v/>
      </c>
      <c r="AE307" s="369" t="str">
        <f ca="1">IF($B307&lt;&gt;"PRC_RESID","",IF(AE$7=2005+OFFSET(COM_2012!$B$60,$AW307,SUMIF($B$10:$B$16,"NCAP_TLIFE",$AX$10:$AX$16)),0,""))</f>
        <v/>
      </c>
      <c r="AF307" s="369" t="str">
        <f ca="1">IF($B307&lt;&gt;"PRC_RESID","",IF(AF$7=2005+OFFSET(COM_2012!$B$60,$AW307,SUMIF($B$10:$B$16,"NCAP_TLIFE",$AX$10:$AX$16)),0,""))</f>
        <v/>
      </c>
      <c r="AG307" s="369" t="str">
        <f ca="1">IF($B307&lt;&gt;"PRC_RESID","",IF(AG$7=2005+OFFSET(COM_2012!$B$60,$AW307,SUMIF($B$10:$B$16,"NCAP_TLIFE",$AX$10:$AX$16)),0,""))</f>
        <v/>
      </c>
      <c r="AH307" s="369" t="str">
        <f ca="1">IF($B307&lt;&gt;"PRC_RESID","",IF(AH$7=2005+OFFSET(COM_2012!$B$60,$AW307,SUMIF($B$10:$B$16,"NCAP_TLIFE",$AX$10:$AX$16)),0,""))</f>
        <v/>
      </c>
      <c r="AI307" s="369" t="str">
        <f ca="1">IF($B307&lt;&gt;"PRC_RESID","",IF(AI$7=2005+OFFSET(COM_2012!$B$60,$AW307,SUMIF($B$10:$B$16,"NCAP_TLIFE",$AX$10:$AX$16)),0,""))</f>
        <v/>
      </c>
      <c r="AJ307" s="369" t="str">
        <f ca="1">IF($B307&lt;&gt;"PRC_RESID","",IF(AJ$7=2005+OFFSET(COM_2012!$B$60,$AW307,SUMIF($B$10:$B$16,"NCAP_TLIFE",$AX$10:$AX$16)),0,""))</f>
        <v/>
      </c>
      <c r="AK307" s="369" t="str">
        <f ca="1">IF($B307&lt;&gt;"PRC_RESID","",IF(AK$7=2005+OFFSET(COM_2012!$B$60,$AW307,SUMIF($B$10:$B$16,"NCAP_TLIFE",$AX$10:$AX$16)),0,""))</f>
        <v/>
      </c>
      <c r="AL307" s="369" t="str">
        <f ca="1">IF($B307&lt;&gt;"PRC_RESID","",IF(AL$7=2005+OFFSET(COM_2012!$B$60,$AW307,SUMIF($B$10:$B$16,"NCAP_TLIFE",$AX$10:$AX$16)),0,""))</f>
        <v/>
      </c>
      <c r="AM307" s="369" t="str">
        <f ca="1">IF($B307&lt;&gt;"PRC_RESID","",IF(AM$7=2005+OFFSET(COM_2012!$B$60,$AW307,SUMIF($B$10:$B$16,"NCAP_TLIFE",$AX$10:$AX$16)),0,""))</f>
        <v/>
      </c>
      <c r="AN307" s="369" t="str">
        <f ca="1">IF($B307&lt;&gt;"PRC_RESID","",IF(AN$7=2005+OFFSET(COM_2012!$B$60,$AW307,SUMIF($B$10:$B$16,"NCAP_TLIFE",$AX$10:$AX$16)),0,""))</f>
        <v/>
      </c>
      <c r="AO307" s="369" t="str">
        <f ca="1">IF($B307&lt;&gt;"PRC_RESID","",IF(AO$7=2005+OFFSET(COM_2012!$B$60,$AW307,SUMIF($B$10:$B$16,"NCAP_TLIFE",$AX$10:$AX$16)),0,""))</f>
        <v/>
      </c>
      <c r="AP307" s="369" t="str">
        <f ca="1">IF($B307&lt;&gt;"PRC_RESID","",IF(AP$7=2005+OFFSET(COM_2012!$B$60,$AW307,SUMIF($B$10:$B$16,"NCAP_TLIFE",$AX$10:$AX$16)),0,""))</f>
        <v/>
      </c>
      <c r="AQ307" s="369" t="str">
        <f ca="1">IF($B307&lt;&gt;"PRC_RESID","",IF(AQ$7=2005+OFFSET(COM_2012!$B$60,$AW307,SUMIF($B$10:$B$16,"NCAP_TLIFE",$AX$10:$AX$16)),0,""))</f>
        <v/>
      </c>
      <c r="AR307" s="369" t="str">
        <f ca="1">IF($B307&lt;&gt;"PRC_RESID","",IF(AR$7=2005+OFFSET(COM_2012!$B$60,$AW307,SUMIF($B$10:$B$16,"NCAP_TLIFE",$AX$10:$AX$16)),0,""))</f>
        <v/>
      </c>
      <c r="AS307" s="369" t="str">
        <f ca="1">IF($B307&lt;&gt;"PRC_RESID","",IF(AS$7=2005+OFFSET(COM_2012!$B$60,$AW307,SUMIF($B$10:$B$16,"NCAP_TLIFE",$AX$10:$AX$16)),0,""))</f>
        <v/>
      </c>
      <c r="AT307" s="369" t="str">
        <f ca="1">IF($B307&lt;&gt;"PRC_RESID","",IF(AT$7=2005+OFFSET(COM_2012!$B$60,$AW307,SUMIF($B$10:$B$16,"NCAP_TLIFE",$AX$10:$AX$16)),0,""))</f>
        <v/>
      </c>
      <c r="AU307" s="369" t="str">
        <f ca="1">IF($B307&lt;&gt;"PRC_RESID","",IF(AU$7=2005+OFFSET(COM_2012!$B$60,$AW307,SUMIF($B$10:$B$16,"NCAP_TLIFE",$AX$10:$AX$16)),0,""))</f>
        <v/>
      </c>
      <c r="AV307" s="304">
        <f>IF(AW306=COM_2012!$AI$121,AV306+1,AV306)</f>
        <v>5</v>
      </c>
      <c r="AW307" s="304">
        <f t="shared" si="29"/>
        <v>36</v>
      </c>
    </row>
    <row r="308" spans="1:49">
      <c r="A308" s="304" t="str">
        <f ca="1">IF(LEFT(OFFSET(COM_2012!$A$60,AW308,0),2)="\I","*","")</f>
        <v/>
      </c>
      <c r="B308" s="369" t="str">
        <f t="shared" ca="1" si="27"/>
        <v>NCAP_FOM</v>
      </c>
      <c r="C308" s="369" t="str">
        <f ca="1">IF($A308="*","",OFFSET(COM_2012!$B$60,AW308,0))</f>
        <v>CEWOKE-E</v>
      </c>
      <c r="D308" s="369" t="str">
        <f t="shared" ca="1" si="30"/>
        <v>-</v>
      </c>
      <c r="E308" s="369" t="str">
        <f t="shared" ca="1" si="30"/>
        <v>-</v>
      </c>
      <c r="F308" s="369" t="str">
        <f t="shared" ca="1" si="30"/>
        <v>-</v>
      </c>
      <c r="G308" s="369" t="str">
        <f t="shared" ca="1" si="30"/>
        <v>-</v>
      </c>
      <c r="H308" s="369" t="str">
        <f t="shared" ca="1" si="30"/>
        <v>-</v>
      </c>
      <c r="I308" s="370">
        <f t="shared" ca="1" si="30"/>
        <v>0</v>
      </c>
      <c r="J308" s="391">
        <f ca="1">IF($A308="*","",OFFSET(COM_2012!$B$60,AW308,SUMIF($B$10:$B$16,B308,$AX$10:$AX$16)))</f>
        <v>2.4826371391503539</v>
      </c>
      <c r="K308" s="369" t="str">
        <f ca="1">IF($B308&lt;&gt;"PRC_RESID","",IF(K$7=2005+OFFSET(COM_2012!$B$60,$AW308,SUMIF($B$10:$B$16,"NCAP_TLIFE",$AX$10:$AX$16)),0,""))</f>
        <v/>
      </c>
      <c r="L308" s="369" t="str">
        <f ca="1">IF($B308&lt;&gt;"PRC_RESID","",IF(L$7=2005+OFFSET(COM_2012!$B$60,$AW308,SUMIF($B$10:$B$16,"NCAP_TLIFE",$AX$10:$AX$16)),0,""))</f>
        <v/>
      </c>
      <c r="M308" s="369" t="str">
        <f ca="1">IF($B308&lt;&gt;"PRC_RESID","",IF(M$7=2005+OFFSET(COM_2012!$B$60,$AW308,SUMIF($B$10:$B$16,"NCAP_TLIFE",$AX$10:$AX$16)),0,""))</f>
        <v/>
      </c>
      <c r="N308" s="369" t="str">
        <f ca="1">IF($B308&lt;&gt;"PRC_RESID","",IF(N$7=2005+OFFSET(COM_2012!$B$60,$AW308,SUMIF($B$10:$B$16,"NCAP_TLIFE",$AX$10:$AX$16)),0,""))</f>
        <v/>
      </c>
      <c r="O308" s="658" t="str">
        <f ca="1">IF($B308&lt;&gt;"PRC_RESID","",IF(O$7=2005+OFFSET(COM_2012!$B$60,$AW308,SUMIF($B$10:$B$16,"NCAP_TLIFE",$AX$10:$AX$16)),0,""))</f>
        <v/>
      </c>
      <c r="P308" s="369" t="str">
        <f ca="1">IF($B308&lt;&gt;"PRC_RESID","",IF(P$7=2005+OFFSET(COM_2012!$B$60,$AW308,SUMIF($B$10:$B$16,"NCAP_TLIFE",$AX$10:$AX$16)),0,""))</f>
        <v/>
      </c>
      <c r="Q308" s="369" t="str">
        <f ca="1">IF($B308&lt;&gt;"PRC_RESID","",IF(Q$7=2005+OFFSET(COM_2012!$B$60,$AW308,SUMIF($B$10:$B$16,"NCAP_TLIFE",$AX$10:$AX$16)),0,""))</f>
        <v/>
      </c>
      <c r="R308" s="369" t="str">
        <f ca="1">IF($B308&lt;&gt;"PRC_RESID","",IF(R$7=2005+OFFSET(COM_2012!$B$60,$AW308,SUMIF($B$10:$B$16,"NCAP_TLIFE",$AX$10:$AX$16)),0,""))</f>
        <v/>
      </c>
      <c r="S308" s="369" t="str">
        <f ca="1">IF($B308&lt;&gt;"PRC_RESID","",IF(S$7=2005+OFFSET(COM_2012!$B$60,$AW308,SUMIF($B$10:$B$16,"NCAP_TLIFE",$AX$10:$AX$16)),0,""))</f>
        <v/>
      </c>
      <c r="T308" s="369" t="str">
        <f ca="1">IF($B308&lt;&gt;"PRC_RESID","",IF(T$7=2005+OFFSET(COM_2012!$B$60,$AW308,SUMIF($B$10:$B$16,"NCAP_TLIFE",$AX$10:$AX$16)),0,""))</f>
        <v/>
      </c>
      <c r="U308" s="369" t="str">
        <f ca="1">IF($B308&lt;&gt;"PRC_RESID","",IF(U$7=2005+OFFSET(COM_2012!$B$60,$AW308,SUMIF($B$10:$B$16,"NCAP_TLIFE",$AX$10:$AX$16)),0,""))</f>
        <v/>
      </c>
      <c r="V308" s="369" t="str">
        <f ca="1">IF($B308&lt;&gt;"PRC_RESID","",IF(V$7=2005+OFFSET(COM_2012!$B$60,$AW308,SUMIF($B$10:$B$16,"NCAP_TLIFE",$AX$10:$AX$16)),0,""))</f>
        <v/>
      </c>
      <c r="W308" s="369" t="str">
        <f ca="1">IF($B308&lt;&gt;"PRC_RESID","",IF(W$7=2005+OFFSET(COM_2012!$B$60,$AW308,SUMIF($B$10:$B$16,"NCAP_TLIFE",$AX$10:$AX$16)),0,""))</f>
        <v/>
      </c>
      <c r="X308" s="369" t="str">
        <f ca="1">IF($B308&lt;&gt;"PRC_RESID","",IF(X$7=2005+OFFSET(COM_2012!$B$60,$AW308,SUMIF($B$10:$B$16,"NCAP_TLIFE",$AX$10:$AX$16)),0,""))</f>
        <v/>
      </c>
      <c r="Y308" s="369" t="str">
        <f ca="1">IF($B308&lt;&gt;"PRC_RESID","",IF(Y$7=2005+OFFSET(COM_2012!$B$60,$AW308,SUMIF($B$10:$B$16,"NCAP_TLIFE",$AX$10:$AX$16)),0,""))</f>
        <v/>
      </c>
      <c r="Z308" s="369" t="str">
        <f ca="1">IF($B308&lt;&gt;"PRC_RESID","",IF(Z$7=2005+OFFSET(COM_2012!$B$60,$AW308,SUMIF($B$10:$B$16,"NCAP_TLIFE",$AX$10:$AX$16)),0,""))</f>
        <v/>
      </c>
      <c r="AA308" s="369" t="str">
        <f ca="1">IF($B308&lt;&gt;"PRC_RESID","",IF(AA$7=2005+OFFSET(COM_2012!$B$60,$AW308,SUMIF($B$10:$B$16,"NCAP_TLIFE",$AX$10:$AX$16)),0,""))</f>
        <v/>
      </c>
      <c r="AB308" s="369" t="str">
        <f ca="1">IF($B308&lt;&gt;"PRC_RESID","",IF(AB$7=2005+OFFSET(COM_2012!$B$60,$AW308,SUMIF($B$10:$B$16,"NCAP_TLIFE",$AX$10:$AX$16)),0,""))</f>
        <v/>
      </c>
      <c r="AC308" s="369" t="str">
        <f ca="1">IF($B308&lt;&gt;"PRC_RESID","",IF(AC$7=2005+OFFSET(COM_2012!$B$60,$AW308,SUMIF($B$10:$B$16,"NCAP_TLIFE",$AX$10:$AX$16)),0,""))</f>
        <v/>
      </c>
      <c r="AD308" s="369" t="str">
        <f ca="1">IF($B308&lt;&gt;"PRC_RESID","",IF(AD$7=2005+OFFSET(COM_2012!$B$60,$AW308,SUMIF($B$10:$B$16,"NCAP_TLIFE",$AX$10:$AX$16)),0,""))</f>
        <v/>
      </c>
      <c r="AE308" s="369" t="str">
        <f ca="1">IF($B308&lt;&gt;"PRC_RESID","",IF(AE$7=2005+OFFSET(COM_2012!$B$60,$AW308,SUMIF($B$10:$B$16,"NCAP_TLIFE",$AX$10:$AX$16)),0,""))</f>
        <v/>
      </c>
      <c r="AF308" s="369" t="str">
        <f ca="1">IF($B308&lt;&gt;"PRC_RESID","",IF(AF$7=2005+OFFSET(COM_2012!$B$60,$AW308,SUMIF($B$10:$B$16,"NCAP_TLIFE",$AX$10:$AX$16)),0,""))</f>
        <v/>
      </c>
      <c r="AG308" s="369" t="str">
        <f ca="1">IF($B308&lt;&gt;"PRC_RESID","",IF(AG$7=2005+OFFSET(COM_2012!$B$60,$AW308,SUMIF($B$10:$B$16,"NCAP_TLIFE",$AX$10:$AX$16)),0,""))</f>
        <v/>
      </c>
      <c r="AH308" s="369" t="str">
        <f ca="1">IF($B308&lt;&gt;"PRC_RESID","",IF(AH$7=2005+OFFSET(COM_2012!$B$60,$AW308,SUMIF($B$10:$B$16,"NCAP_TLIFE",$AX$10:$AX$16)),0,""))</f>
        <v/>
      </c>
      <c r="AI308" s="369" t="str">
        <f ca="1">IF($B308&lt;&gt;"PRC_RESID","",IF(AI$7=2005+OFFSET(COM_2012!$B$60,$AW308,SUMIF($B$10:$B$16,"NCAP_TLIFE",$AX$10:$AX$16)),0,""))</f>
        <v/>
      </c>
      <c r="AJ308" s="369" t="str">
        <f ca="1">IF($B308&lt;&gt;"PRC_RESID","",IF(AJ$7=2005+OFFSET(COM_2012!$B$60,$AW308,SUMIF($B$10:$B$16,"NCAP_TLIFE",$AX$10:$AX$16)),0,""))</f>
        <v/>
      </c>
      <c r="AK308" s="369" t="str">
        <f ca="1">IF($B308&lt;&gt;"PRC_RESID","",IF(AK$7=2005+OFFSET(COM_2012!$B$60,$AW308,SUMIF($B$10:$B$16,"NCAP_TLIFE",$AX$10:$AX$16)),0,""))</f>
        <v/>
      </c>
      <c r="AL308" s="369" t="str">
        <f ca="1">IF($B308&lt;&gt;"PRC_RESID","",IF(AL$7=2005+OFFSET(COM_2012!$B$60,$AW308,SUMIF($B$10:$B$16,"NCAP_TLIFE",$AX$10:$AX$16)),0,""))</f>
        <v/>
      </c>
      <c r="AM308" s="369" t="str">
        <f ca="1">IF($B308&lt;&gt;"PRC_RESID","",IF(AM$7=2005+OFFSET(COM_2012!$B$60,$AW308,SUMIF($B$10:$B$16,"NCAP_TLIFE",$AX$10:$AX$16)),0,""))</f>
        <v/>
      </c>
      <c r="AN308" s="369" t="str">
        <f ca="1">IF($B308&lt;&gt;"PRC_RESID","",IF(AN$7=2005+OFFSET(COM_2012!$B$60,$AW308,SUMIF($B$10:$B$16,"NCAP_TLIFE",$AX$10:$AX$16)),0,""))</f>
        <v/>
      </c>
      <c r="AO308" s="369" t="str">
        <f ca="1">IF($B308&lt;&gt;"PRC_RESID","",IF(AO$7=2005+OFFSET(COM_2012!$B$60,$AW308,SUMIF($B$10:$B$16,"NCAP_TLIFE",$AX$10:$AX$16)),0,""))</f>
        <v/>
      </c>
      <c r="AP308" s="369" t="str">
        <f ca="1">IF($B308&lt;&gt;"PRC_RESID","",IF(AP$7=2005+OFFSET(COM_2012!$B$60,$AW308,SUMIF($B$10:$B$16,"NCAP_TLIFE",$AX$10:$AX$16)),0,""))</f>
        <v/>
      </c>
      <c r="AQ308" s="369" t="str">
        <f ca="1">IF($B308&lt;&gt;"PRC_RESID","",IF(AQ$7=2005+OFFSET(COM_2012!$B$60,$AW308,SUMIF($B$10:$B$16,"NCAP_TLIFE",$AX$10:$AX$16)),0,""))</f>
        <v/>
      </c>
      <c r="AR308" s="369" t="str">
        <f ca="1">IF($B308&lt;&gt;"PRC_RESID","",IF(AR$7=2005+OFFSET(COM_2012!$B$60,$AW308,SUMIF($B$10:$B$16,"NCAP_TLIFE",$AX$10:$AX$16)),0,""))</f>
        <v/>
      </c>
      <c r="AS308" s="369" t="str">
        <f ca="1">IF($B308&lt;&gt;"PRC_RESID","",IF(AS$7=2005+OFFSET(COM_2012!$B$60,$AW308,SUMIF($B$10:$B$16,"NCAP_TLIFE",$AX$10:$AX$16)),0,""))</f>
        <v/>
      </c>
      <c r="AT308" s="369" t="str">
        <f ca="1">IF($B308&lt;&gt;"PRC_RESID","",IF(AT$7=2005+OFFSET(COM_2012!$B$60,$AW308,SUMIF($B$10:$B$16,"NCAP_TLIFE",$AX$10:$AX$16)),0,""))</f>
        <v/>
      </c>
      <c r="AU308" s="369" t="str">
        <f ca="1">IF($B308&lt;&gt;"PRC_RESID","",IF(AU$7=2005+OFFSET(COM_2012!$B$60,$AW308,SUMIF($B$10:$B$16,"NCAP_TLIFE",$AX$10:$AX$16)),0,""))</f>
        <v/>
      </c>
      <c r="AV308" s="304">
        <f>IF(AW307=COM_2012!$AI$121,AV307+1,AV307)</f>
        <v>5</v>
      </c>
      <c r="AW308" s="304">
        <f t="shared" si="29"/>
        <v>37</v>
      </c>
    </row>
    <row r="309" spans="1:49">
      <c r="A309" s="304" t="str">
        <f ca="1">IF(LEFT(OFFSET(COM_2012!$A$60,AW309,0),2)="\I","*","")</f>
        <v/>
      </c>
      <c r="B309" s="369" t="str">
        <f t="shared" ca="1" si="27"/>
        <v>NCAP_FOM</v>
      </c>
      <c r="C309" s="369" t="str">
        <f ca="1">IF($A309="*","",OFFSET(COM_2012!$B$60,AW309,0))</f>
        <v>CEWELC-N</v>
      </c>
      <c r="D309" s="369" t="str">
        <f t="shared" ca="1" si="30"/>
        <v>-</v>
      </c>
      <c r="E309" s="369" t="str">
        <f t="shared" ca="1" si="30"/>
        <v>-</v>
      </c>
      <c r="F309" s="369" t="str">
        <f t="shared" ca="1" si="30"/>
        <v>-</v>
      </c>
      <c r="G309" s="369" t="str">
        <f t="shared" ca="1" si="30"/>
        <v>-</v>
      </c>
      <c r="H309" s="369" t="str">
        <f t="shared" ca="1" si="30"/>
        <v>-</v>
      </c>
      <c r="I309" s="370">
        <f t="shared" ca="1" si="30"/>
        <v>0</v>
      </c>
      <c r="J309" s="391">
        <f ca="1">IF($A309="*","",OFFSET(COM_2012!$B$60,AW309,SUMIF($B$10:$B$16,B309,$AX$10:$AX$16)))</f>
        <v>3.1581453839889382</v>
      </c>
      <c r="K309" s="369" t="str">
        <f ca="1">IF($B309&lt;&gt;"PRC_RESID","",IF(K$7=2005+OFFSET(COM_2012!$B$60,$AW309,SUMIF($B$10:$B$16,"NCAP_TLIFE",$AX$10:$AX$16)),0,""))</f>
        <v/>
      </c>
      <c r="L309" s="369" t="str">
        <f ca="1">IF($B309&lt;&gt;"PRC_RESID","",IF(L$7=2005+OFFSET(COM_2012!$B$60,$AW309,SUMIF($B$10:$B$16,"NCAP_TLIFE",$AX$10:$AX$16)),0,""))</f>
        <v/>
      </c>
      <c r="M309" s="369" t="str">
        <f ca="1">IF($B309&lt;&gt;"PRC_RESID","",IF(M$7=2005+OFFSET(COM_2012!$B$60,$AW309,SUMIF($B$10:$B$16,"NCAP_TLIFE",$AX$10:$AX$16)),0,""))</f>
        <v/>
      </c>
      <c r="N309" s="369" t="str">
        <f ca="1">IF($B309&lt;&gt;"PRC_RESID","",IF(N$7=2005+OFFSET(COM_2012!$B$60,$AW309,SUMIF($B$10:$B$16,"NCAP_TLIFE",$AX$10:$AX$16)),0,""))</f>
        <v/>
      </c>
      <c r="O309" s="658" t="str">
        <f ca="1">IF($B309&lt;&gt;"PRC_RESID","",IF(O$7=2005+OFFSET(COM_2012!$B$60,$AW309,SUMIF($B$10:$B$16,"NCAP_TLIFE",$AX$10:$AX$16)),0,""))</f>
        <v/>
      </c>
      <c r="P309" s="369" t="str">
        <f ca="1">IF($B309&lt;&gt;"PRC_RESID","",IF(P$7=2005+OFFSET(COM_2012!$B$60,$AW309,SUMIF($B$10:$B$16,"NCAP_TLIFE",$AX$10:$AX$16)),0,""))</f>
        <v/>
      </c>
      <c r="Q309" s="369" t="str">
        <f ca="1">IF($B309&lt;&gt;"PRC_RESID","",IF(Q$7=2005+OFFSET(COM_2012!$B$60,$AW309,SUMIF($B$10:$B$16,"NCAP_TLIFE",$AX$10:$AX$16)),0,""))</f>
        <v/>
      </c>
      <c r="R309" s="369" t="str">
        <f ca="1">IF($B309&lt;&gt;"PRC_RESID","",IF(R$7=2005+OFFSET(COM_2012!$B$60,$AW309,SUMIF($B$10:$B$16,"NCAP_TLIFE",$AX$10:$AX$16)),0,""))</f>
        <v/>
      </c>
      <c r="S309" s="369" t="str">
        <f ca="1">IF($B309&lt;&gt;"PRC_RESID","",IF(S$7=2005+OFFSET(COM_2012!$B$60,$AW309,SUMIF($B$10:$B$16,"NCAP_TLIFE",$AX$10:$AX$16)),0,""))</f>
        <v/>
      </c>
      <c r="T309" s="369" t="str">
        <f ca="1">IF($B309&lt;&gt;"PRC_RESID","",IF(T$7=2005+OFFSET(COM_2012!$B$60,$AW309,SUMIF($B$10:$B$16,"NCAP_TLIFE",$AX$10:$AX$16)),0,""))</f>
        <v/>
      </c>
      <c r="U309" s="369" t="str">
        <f ca="1">IF($B309&lt;&gt;"PRC_RESID","",IF(U$7=2005+OFFSET(COM_2012!$B$60,$AW309,SUMIF($B$10:$B$16,"NCAP_TLIFE",$AX$10:$AX$16)),0,""))</f>
        <v/>
      </c>
      <c r="V309" s="369" t="str">
        <f ca="1">IF($B309&lt;&gt;"PRC_RESID","",IF(V$7=2005+OFFSET(COM_2012!$B$60,$AW309,SUMIF($B$10:$B$16,"NCAP_TLIFE",$AX$10:$AX$16)),0,""))</f>
        <v/>
      </c>
      <c r="W309" s="369" t="str">
        <f ca="1">IF($B309&lt;&gt;"PRC_RESID","",IF(W$7=2005+OFFSET(COM_2012!$B$60,$AW309,SUMIF($B$10:$B$16,"NCAP_TLIFE",$AX$10:$AX$16)),0,""))</f>
        <v/>
      </c>
      <c r="X309" s="369" t="str">
        <f ca="1">IF($B309&lt;&gt;"PRC_RESID","",IF(X$7=2005+OFFSET(COM_2012!$B$60,$AW309,SUMIF($B$10:$B$16,"NCAP_TLIFE",$AX$10:$AX$16)),0,""))</f>
        <v/>
      </c>
      <c r="Y309" s="369" t="str">
        <f ca="1">IF($B309&lt;&gt;"PRC_RESID","",IF(Y$7=2005+OFFSET(COM_2012!$B$60,$AW309,SUMIF($B$10:$B$16,"NCAP_TLIFE",$AX$10:$AX$16)),0,""))</f>
        <v/>
      </c>
      <c r="Z309" s="369" t="str">
        <f ca="1">IF($B309&lt;&gt;"PRC_RESID","",IF(Z$7=2005+OFFSET(COM_2012!$B$60,$AW309,SUMIF($B$10:$B$16,"NCAP_TLIFE",$AX$10:$AX$16)),0,""))</f>
        <v/>
      </c>
      <c r="AA309" s="369" t="str">
        <f ca="1">IF($B309&lt;&gt;"PRC_RESID","",IF(AA$7=2005+OFFSET(COM_2012!$B$60,$AW309,SUMIF($B$10:$B$16,"NCAP_TLIFE",$AX$10:$AX$16)),0,""))</f>
        <v/>
      </c>
      <c r="AB309" s="369" t="str">
        <f ca="1">IF($B309&lt;&gt;"PRC_RESID","",IF(AB$7=2005+OFFSET(COM_2012!$B$60,$AW309,SUMIF($B$10:$B$16,"NCAP_TLIFE",$AX$10:$AX$16)),0,""))</f>
        <v/>
      </c>
      <c r="AC309" s="369" t="str">
        <f ca="1">IF($B309&lt;&gt;"PRC_RESID","",IF(AC$7=2005+OFFSET(COM_2012!$B$60,$AW309,SUMIF($B$10:$B$16,"NCAP_TLIFE",$AX$10:$AX$16)),0,""))</f>
        <v/>
      </c>
      <c r="AD309" s="369" t="str">
        <f ca="1">IF($B309&lt;&gt;"PRC_RESID","",IF(AD$7=2005+OFFSET(COM_2012!$B$60,$AW309,SUMIF($B$10:$B$16,"NCAP_TLIFE",$AX$10:$AX$16)),0,""))</f>
        <v/>
      </c>
      <c r="AE309" s="369" t="str">
        <f ca="1">IF($B309&lt;&gt;"PRC_RESID","",IF(AE$7=2005+OFFSET(COM_2012!$B$60,$AW309,SUMIF($B$10:$B$16,"NCAP_TLIFE",$AX$10:$AX$16)),0,""))</f>
        <v/>
      </c>
      <c r="AF309" s="369" t="str">
        <f ca="1">IF($B309&lt;&gt;"PRC_RESID","",IF(AF$7=2005+OFFSET(COM_2012!$B$60,$AW309,SUMIF($B$10:$B$16,"NCAP_TLIFE",$AX$10:$AX$16)),0,""))</f>
        <v/>
      </c>
      <c r="AG309" s="369" t="str">
        <f ca="1">IF($B309&lt;&gt;"PRC_RESID","",IF(AG$7=2005+OFFSET(COM_2012!$B$60,$AW309,SUMIF($B$10:$B$16,"NCAP_TLIFE",$AX$10:$AX$16)),0,""))</f>
        <v/>
      </c>
      <c r="AH309" s="369" t="str">
        <f ca="1">IF($B309&lt;&gt;"PRC_RESID","",IF(AH$7=2005+OFFSET(COM_2012!$B$60,$AW309,SUMIF($B$10:$B$16,"NCAP_TLIFE",$AX$10:$AX$16)),0,""))</f>
        <v/>
      </c>
      <c r="AI309" s="369" t="str">
        <f ca="1">IF($B309&lt;&gt;"PRC_RESID","",IF(AI$7=2005+OFFSET(COM_2012!$B$60,$AW309,SUMIF($B$10:$B$16,"NCAP_TLIFE",$AX$10:$AX$16)),0,""))</f>
        <v/>
      </c>
      <c r="AJ309" s="369" t="str">
        <f ca="1">IF($B309&lt;&gt;"PRC_RESID","",IF(AJ$7=2005+OFFSET(COM_2012!$B$60,$AW309,SUMIF($B$10:$B$16,"NCAP_TLIFE",$AX$10:$AX$16)),0,""))</f>
        <v/>
      </c>
      <c r="AK309" s="369" t="str">
        <f ca="1">IF($B309&lt;&gt;"PRC_RESID","",IF(AK$7=2005+OFFSET(COM_2012!$B$60,$AW309,SUMIF($B$10:$B$16,"NCAP_TLIFE",$AX$10:$AX$16)),0,""))</f>
        <v/>
      </c>
      <c r="AL309" s="369" t="str">
        <f ca="1">IF($B309&lt;&gt;"PRC_RESID","",IF(AL$7=2005+OFFSET(COM_2012!$B$60,$AW309,SUMIF($B$10:$B$16,"NCAP_TLIFE",$AX$10:$AX$16)),0,""))</f>
        <v/>
      </c>
      <c r="AM309" s="369" t="str">
        <f ca="1">IF($B309&lt;&gt;"PRC_RESID","",IF(AM$7=2005+OFFSET(COM_2012!$B$60,$AW309,SUMIF($B$10:$B$16,"NCAP_TLIFE",$AX$10:$AX$16)),0,""))</f>
        <v/>
      </c>
      <c r="AN309" s="369" t="str">
        <f ca="1">IF($B309&lt;&gt;"PRC_RESID","",IF(AN$7=2005+OFFSET(COM_2012!$B$60,$AW309,SUMIF($B$10:$B$16,"NCAP_TLIFE",$AX$10:$AX$16)),0,""))</f>
        <v/>
      </c>
      <c r="AO309" s="369" t="str">
        <f ca="1">IF($B309&lt;&gt;"PRC_RESID","",IF(AO$7=2005+OFFSET(COM_2012!$B$60,$AW309,SUMIF($B$10:$B$16,"NCAP_TLIFE",$AX$10:$AX$16)),0,""))</f>
        <v/>
      </c>
      <c r="AP309" s="369" t="str">
        <f ca="1">IF($B309&lt;&gt;"PRC_RESID","",IF(AP$7=2005+OFFSET(COM_2012!$B$60,$AW309,SUMIF($B$10:$B$16,"NCAP_TLIFE",$AX$10:$AX$16)),0,""))</f>
        <v/>
      </c>
      <c r="AQ309" s="369" t="str">
        <f ca="1">IF($B309&lt;&gt;"PRC_RESID","",IF(AQ$7=2005+OFFSET(COM_2012!$B$60,$AW309,SUMIF($B$10:$B$16,"NCAP_TLIFE",$AX$10:$AX$16)),0,""))</f>
        <v/>
      </c>
      <c r="AR309" s="369" t="str">
        <f ca="1">IF($B309&lt;&gt;"PRC_RESID","",IF(AR$7=2005+OFFSET(COM_2012!$B$60,$AW309,SUMIF($B$10:$B$16,"NCAP_TLIFE",$AX$10:$AX$16)),0,""))</f>
        <v/>
      </c>
      <c r="AS309" s="369" t="str">
        <f ca="1">IF($B309&lt;&gt;"PRC_RESID","",IF(AS$7=2005+OFFSET(COM_2012!$B$60,$AW309,SUMIF($B$10:$B$16,"NCAP_TLIFE",$AX$10:$AX$16)),0,""))</f>
        <v/>
      </c>
      <c r="AT309" s="369" t="str">
        <f ca="1">IF($B309&lt;&gt;"PRC_RESID","",IF(AT$7=2005+OFFSET(COM_2012!$B$60,$AW309,SUMIF($B$10:$B$16,"NCAP_TLIFE",$AX$10:$AX$16)),0,""))</f>
        <v/>
      </c>
      <c r="AU309" s="369" t="str">
        <f ca="1">IF($B309&lt;&gt;"PRC_RESID","",IF(AU$7=2005+OFFSET(COM_2012!$B$60,$AW309,SUMIF($B$10:$B$16,"NCAP_TLIFE",$AX$10:$AX$16)),0,""))</f>
        <v/>
      </c>
      <c r="AV309" s="304">
        <f>IF(AW308=COM_2012!$AI$121,AV308+1,AV308)</f>
        <v>5</v>
      </c>
      <c r="AW309" s="304">
        <f t="shared" si="29"/>
        <v>38</v>
      </c>
    </row>
    <row r="310" spans="1:49">
      <c r="A310" s="304" t="str">
        <f ca="1">IF(LEFT(OFFSET(COM_2012!$A$60,AW310,0),2)="\I","*","")</f>
        <v/>
      </c>
      <c r="B310" s="369" t="str">
        <f t="shared" ca="1" si="27"/>
        <v>NCAP_FOM</v>
      </c>
      <c r="C310" s="369" t="str">
        <f ca="1">IF($A310="*","",OFFSET(COM_2012!$B$60,AW310,0))</f>
        <v>CEWELCHP-N</v>
      </c>
      <c r="D310" s="369" t="str">
        <f t="shared" ca="1" si="30"/>
        <v>-</v>
      </c>
      <c r="E310" s="369" t="str">
        <f t="shared" ca="1" si="30"/>
        <v>-</v>
      </c>
      <c r="F310" s="369" t="str">
        <f t="shared" ca="1" si="30"/>
        <v>-</v>
      </c>
      <c r="G310" s="369" t="str">
        <f t="shared" ca="1" si="30"/>
        <v>-</v>
      </c>
      <c r="H310" s="369" t="str">
        <f t="shared" ca="1" si="30"/>
        <v>-</v>
      </c>
      <c r="I310" s="370">
        <f t="shared" ca="1" si="30"/>
        <v>0</v>
      </c>
      <c r="J310" s="391">
        <f ca="1">IF($A310="*","",OFFSET(COM_2012!$B$60,AW310,SUMIF($B$10:$B$16,B310,$AX$10:$AX$16)))</f>
        <v>9.474436151966815</v>
      </c>
      <c r="K310" s="369" t="str">
        <f ca="1">IF($B310&lt;&gt;"PRC_RESID","",IF(K$7=2005+OFFSET(COM_2012!$B$60,$AW310,SUMIF($B$10:$B$16,"NCAP_TLIFE",$AX$10:$AX$16)),0,""))</f>
        <v/>
      </c>
      <c r="L310" s="369" t="str">
        <f ca="1">IF($B310&lt;&gt;"PRC_RESID","",IF(L$7=2005+OFFSET(COM_2012!$B$60,$AW310,SUMIF($B$10:$B$16,"NCAP_TLIFE",$AX$10:$AX$16)),0,""))</f>
        <v/>
      </c>
      <c r="M310" s="369" t="str">
        <f ca="1">IF($B310&lt;&gt;"PRC_RESID","",IF(M$7=2005+OFFSET(COM_2012!$B$60,$AW310,SUMIF($B$10:$B$16,"NCAP_TLIFE",$AX$10:$AX$16)),0,""))</f>
        <v/>
      </c>
      <c r="N310" s="369" t="str">
        <f ca="1">IF($B310&lt;&gt;"PRC_RESID","",IF(N$7=2005+OFFSET(COM_2012!$B$60,$AW310,SUMIF($B$10:$B$16,"NCAP_TLIFE",$AX$10:$AX$16)),0,""))</f>
        <v/>
      </c>
      <c r="O310" s="658" t="str">
        <f ca="1">IF($B310&lt;&gt;"PRC_RESID","",IF(O$7=2005+OFFSET(COM_2012!$B$60,$AW310,SUMIF($B$10:$B$16,"NCAP_TLIFE",$AX$10:$AX$16)),0,""))</f>
        <v/>
      </c>
      <c r="P310" s="369" t="str">
        <f ca="1">IF($B310&lt;&gt;"PRC_RESID","",IF(P$7=2005+OFFSET(COM_2012!$B$60,$AW310,SUMIF($B$10:$B$16,"NCAP_TLIFE",$AX$10:$AX$16)),0,""))</f>
        <v/>
      </c>
      <c r="Q310" s="369" t="str">
        <f ca="1">IF($B310&lt;&gt;"PRC_RESID","",IF(Q$7=2005+OFFSET(COM_2012!$B$60,$AW310,SUMIF($B$10:$B$16,"NCAP_TLIFE",$AX$10:$AX$16)),0,""))</f>
        <v/>
      </c>
      <c r="R310" s="369" t="str">
        <f ca="1">IF($B310&lt;&gt;"PRC_RESID","",IF(R$7=2005+OFFSET(COM_2012!$B$60,$AW310,SUMIF($B$10:$B$16,"NCAP_TLIFE",$AX$10:$AX$16)),0,""))</f>
        <v/>
      </c>
      <c r="S310" s="369" t="str">
        <f ca="1">IF($B310&lt;&gt;"PRC_RESID","",IF(S$7=2005+OFFSET(COM_2012!$B$60,$AW310,SUMIF($B$10:$B$16,"NCAP_TLIFE",$AX$10:$AX$16)),0,""))</f>
        <v/>
      </c>
      <c r="T310" s="369" t="str">
        <f ca="1">IF($B310&lt;&gt;"PRC_RESID","",IF(T$7=2005+OFFSET(COM_2012!$B$60,$AW310,SUMIF($B$10:$B$16,"NCAP_TLIFE",$AX$10:$AX$16)),0,""))</f>
        <v/>
      </c>
      <c r="U310" s="369" t="str">
        <f ca="1">IF($B310&lt;&gt;"PRC_RESID","",IF(U$7=2005+OFFSET(COM_2012!$B$60,$AW310,SUMIF($B$10:$B$16,"NCAP_TLIFE",$AX$10:$AX$16)),0,""))</f>
        <v/>
      </c>
      <c r="V310" s="369" t="str">
        <f ca="1">IF($B310&lt;&gt;"PRC_RESID","",IF(V$7=2005+OFFSET(COM_2012!$B$60,$AW310,SUMIF($B$10:$B$16,"NCAP_TLIFE",$AX$10:$AX$16)),0,""))</f>
        <v/>
      </c>
      <c r="W310" s="369" t="str">
        <f ca="1">IF($B310&lt;&gt;"PRC_RESID","",IF(W$7=2005+OFFSET(COM_2012!$B$60,$AW310,SUMIF($B$10:$B$16,"NCAP_TLIFE",$AX$10:$AX$16)),0,""))</f>
        <v/>
      </c>
      <c r="X310" s="369" t="str">
        <f ca="1">IF($B310&lt;&gt;"PRC_RESID","",IF(X$7=2005+OFFSET(COM_2012!$B$60,$AW310,SUMIF($B$10:$B$16,"NCAP_TLIFE",$AX$10:$AX$16)),0,""))</f>
        <v/>
      </c>
      <c r="Y310" s="369" t="str">
        <f ca="1">IF($B310&lt;&gt;"PRC_RESID","",IF(Y$7=2005+OFFSET(COM_2012!$B$60,$AW310,SUMIF($B$10:$B$16,"NCAP_TLIFE",$AX$10:$AX$16)),0,""))</f>
        <v/>
      </c>
      <c r="Z310" s="369" t="str">
        <f ca="1">IF($B310&lt;&gt;"PRC_RESID","",IF(Z$7=2005+OFFSET(COM_2012!$B$60,$AW310,SUMIF($B$10:$B$16,"NCAP_TLIFE",$AX$10:$AX$16)),0,""))</f>
        <v/>
      </c>
      <c r="AA310" s="369" t="str">
        <f ca="1">IF($B310&lt;&gt;"PRC_RESID","",IF(AA$7=2005+OFFSET(COM_2012!$B$60,$AW310,SUMIF($B$10:$B$16,"NCAP_TLIFE",$AX$10:$AX$16)),0,""))</f>
        <v/>
      </c>
      <c r="AB310" s="369" t="str">
        <f ca="1">IF($B310&lt;&gt;"PRC_RESID","",IF(AB$7=2005+OFFSET(COM_2012!$B$60,$AW310,SUMIF($B$10:$B$16,"NCAP_TLIFE",$AX$10:$AX$16)),0,""))</f>
        <v/>
      </c>
      <c r="AC310" s="369" t="str">
        <f ca="1">IF($B310&lt;&gt;"PRC_RESID","",IF(AC$7=2005+OFFSET(COM_2012!$B$60,$AW310,SUMIF($B$10:$B$16,"NCAP_TLIFE",$AX$10:$AX$16)),0,""))</f>
        <v/>
      </c>
      <c r="AD310" s="369" t="str">
        <f ca="1">IF($B310&lt;&gt;"PRC_RESID","",IF(AD$7=2005+OFFSET(COM_2012!$B$60,$AW310,SUMIF($B$10:$B$16,"NCAP_TLIFE",$AX$10:$AX$16)),0,""))</f>
        <v/>
      </c>
      <c r="AE310" s="369" t="str">
        <f ca="1">IF($B310&lt;&gt;"PRC_RESID","",IF(AE$7=2005+OFFSET(COM_2012!$B$60,$AW310,SUMIF($B$10:$B$16,"NCAP_TLIFE",$AX$10:$AX$16)),0,""))</f>
        <v/>
      </c>
      <c r="AF310" s="369" t="str">
        <f ca="1">IF($B310&lt;&gt;"PRC_RESID","",IF(AF$7=2005+OFFSET(COM_2012!$B$60,$AW310,SUMIF($B$10:$B$16,"NCAP_TLIFE",$AX$10:$AX$16)),0,""))</f>
        <v/>
      </c>
      <c r="AG310" s="369" t="str">
        <f ca="1">IF($B310&lt;&gt;"PRC_RESID","",IF(AG$7=2005+OFFSET(COM_2012!$B$60,$AW310,SUMIF($B$10:$B$16,"NCAP_TLIFE",$AX$10:$AX$16)),0,""))</f>
        <v/>
      </c>
      <c r="AH310" s="369" t="str">
        <f ca="1">IF($B310&lt;&gt;"PRC_RESID","",IF(AH$7=2005+OFFSET(COM_2012!$B$60,$AW310,SUMIF($B$10:$B$16,"NCAP_TLIFE",$AX$10:$AX$16)),0,""))</f>
        <v/>
      </c>
      <c r="AI310" s="369" t="str">
        <f ca="1">IF($B310&lt;&gt;"PRC_RESID","",IF(AI$7=2005+OFFSET(COM_2012!$B$60,$AW310,SUMIF($B$10:$B$16,"NCAP_TLIFE",$AX$10:$AX$16)),0,""))</f>
        <v/>
      </c>
      <c r="AJ310" s="369" t="str">
        <f ca="1">IF($B310&lt;&gt;"PRC_RESID","",IF(AJ$7=2005+OFFSET(COM_2012!$B$60,$AW310,SUMIF($B$10:$B$16,"NCAP_TLIFE",$AX$10:$AX$16)),0,""))</f>
        <v/>
      </c>
      <c r="AK310" s="369" t="str">
        <f ca="1">IF($B310&lt;&gt;"PRC_RESID","",IF(AK$7=2005+OFFSET(COM_2012!$B$60,$AW310,SUMIF($B$10:$B$16,"NCAP_TLIFE",$AX$10:$AX$16)),0,""))</f>
        <v/>
      </c>
      <c r="AL310" s="369" t="str">
        <f ca="1">IF($B310&lt;&gt;"PRC_RESID","",IF(AL$7=2005+OFFSET(COM_2012!$B$60,$AW310,SUMIF($B$10:$B$16,"NCAP_TLIFE",$AX$10:$AX$16)),0,""))</f>
        <v/>
      </c>
      <c r="AM310" s="369" t="str">
        <f ca="1">IF($B310&lt;&gt;"PRC_RESID","",IF(AM$7=2005+OFFSET(COM_2012!$B$60,$AW310,SUMIF($B$10:$B$16,"NCAP_TLIFE",$AX$10:$AX$16)),0,""))</f>
        <v/>
      </c>
      <c r="AN310" s="369" t="str">
        <f ca="1">IF($B310&lt;&gt;"PRC_RESID","",IF(AN$7=2005+OFFSET(COM_2012!$B$60,$AW310,SUMIF($B$10:$B$16,"NCAP_TLIFE",$AX$10:$AX$16)),0,""))</f>
        <v/>
      </c>
      <c r="AO310" s="369" t="str">
        <f ca="1">IF($B310&lt;&gt;"PRC_RESID","",IF(AO$7=2005+OFFSET(COM_2012!$B$60,$AW310,SUMIF($B$10:$B$16,"NCAP_TLIFE",$AX$10:$AX$16)),0,""))</f>
        <v/>
      </c>
      <c r="AP310" s="369" t="str">
        <f ca="1">IF($B310&lt;&gt;"PRC_RESID","",IF(AP$7=2005+OFFSET(COM_2012!$B$60,$AW310,SUMIF($B$10:$B$16,"NCAP_TLIFE",$AX$10:$AX$16)),0,""))</f>
        <v/>
      </c>
      <c r="AQ310" s="369" t="str">
        <f ca="1">IF($B310&lt;&gt;"PRC_RESID","",IF(AQ$7=2005+OFFSET(COM_2012!$B$60,$AW310,SUMIF($B$10:$B$16,"NCAP_TLIFE",$AX$10:$AX$16)),0,""))</f>
        <v/>
      </c>
      <c r="AR310" s="369" t="str">
        <f ca="1">IF($B310&lt;&gt;"PRC_RESID","",IF(AR$7=2005+OFFSET(COM_2012!$B$60,$AW310,SUMIF($B$10:$B$16,"NCAP_TLIFE",$AX$10:$AX$16)),0,""))</f>
        <v/>
      </c>
      <c r="AS310" s="369" t="str">
        <f ca="1">IF($B310&lt;&gt;"PRC_RESID","",IF(AS$7=2005+OFFSET(COM_2012!$B$60,$AW310,SUMIF($B$10:$B$16,"NCAP_TLIFE",$AX$10:$AX$16)),0,""))</f>
        <v/>
      </c>
      <c r="AT310" s="369" t="str">
        <f ca="1">IF($B310&lt;&gt;"PRC_RESID","",IF(AT$7=2005+OFFSET(COM_2012!$B$60,$AW310,SUMIF($B$10:$B$16,"NCAP_TLIFE",$AX$10:$AX$16)),0,""))</f>
        <v/>
      </c>
      <c r="AU310" s="369" t="str">
        <f ca="1">IF($B310&lt;&gt;"PRC_RESID","",IF(AU$7=2005+OFFSET(COM_2012!$B$60,$AW310,SUMIF($B$10:$B$16,"NCAP_TLIFE",$AX$10:$AX$16)),0,""))</f>
        <v/>
      </c>
      <c r="AV310" s="304">
        <f>IF(AW309=COM_2012!$AI$121,AV309+1,AV309)</f>
        <v>5</v>
      </c>
      <c r="AW310" s="304">
        <f t="shared" si="29"/>
        <v>39</v>
      </c>
    </row>
    <row r="311" spans="1:49">
      <c r="A311" s="304" t="str">
        <f ca="1">IF(LEFT(OFFSET(COM_2012!$A$60,AW311,0),2)="\I","*","")</f>
        <v>*</v>
      </c>
      <c r="B311" s="369" t="str">
        <f t="shared" ca="1" si="27"/>
        <v/>
      </c>
      <c r="C311" s="369" t="str">
        <f ca="1">IF($A311="*","",OFFSET(COM_2012!$B$60,AW311,0))</f>
        <v/>
      </c>
      <c r="D311" s="369" t="str">
        <f t="shared" ca="1" si="30"/>
        <v/>
      </c>
      <c r="E311" s="369" t="str">
        <f t="shared" ca="1" si="30"/>
        <v/>
      </c>
      <c r="F311" s="369" t="str">
        <f t="shared" ca="1" si="30"/>
        <v/>
      </c>
      <c r="G311" s="369" t="str">
        <f t="shared" ca="1" si="30"/>
        <v/>
      </c>
      <c r="H311" s="369" t="str">
        <f t="shared" ca="1" si="30"/>
        <v/>
      </c>
      <c r="I311" s="370" t="str">
        <f t="shared" ca="1" si="30"/>
        <v/>
      </c>
      <c r="J311" s="391" t="str">
        <f ca="1">IF($A311="*","",OFFSET(COM_2012!$B$60,AW311,SUMIF($B$10:$B$16,B311,$AX$10:$AX$16)))</f>
        <v/>
      </c>
      <c r="K311" s="369" t="str">
        <f ca="1">IF($B311&lt;&gt;"PRC_RESID","",IF(K$7=2005+OFFSET(COM_2012!$B$60,$AW311,SUMIF($B$10:$B$16,"NCAP_TLIFE",$AX$10:$AX$16)),0,""))</f>
        <v/>
      </c>
      <c r="L311" s="369" t="str">
        <f ca="1">IF($B311&lt;&gt;"PRC_RESID","",IF(L$7=2005+OFFSET(COM_2012!$B$60,$AW311,SUMIF($B$10:$B$16,"NCAP_TLIFE",$AX$10:$AX$16)),0,""))</f>
        <v/>
      </c>
      <c r="M311" s="369" t="str">
        <f ca="1">IF($B311&lt;&gt;"PRC_RESID","",IF(M$7=2005+OFFSET(COM_2012!$B$60,$AW311,SUMIF($B$10:$B$16,"NCAP_TLIFE",$AX$10:$AX$16)),0,""))</f>
        <v/>
      </c>
      <c r="N311" s="369" t="str">
        <f ca="1">IF($B311&lt;&gt;"PRC_RESID","",IF(N$7=2005+OFFSET(COM_2012!$B$60,$AW311,SUMIF($B$10:$B$16,"NCAP_TLIFE",$AX$10:$AX$16)),0,""))</f>
        <v/>
      </c>
      <c r="O311" s="658" t="str">
        <f ca="1">IF($B311&lt;&gt;"PRC_RESID","",IF(O$7=2005+OFFSET(COM_2012!$B$60,$AW311,SUMIF($B$10:$B$16,"NCAP_TLIFE",$AX$10:$AX$16)),0,""))</f>
        <v/>
      </c>
      <c r="P311" s="369" t="str">
        <f ca="1">IF($B311&lt;&gt;"PRC_RESID","",IF(P$7=2005+OFFSET(COM_2012!$B$60,$AW311,SUMIF($B$10:$B$16,"NCAP_TLIFE",$AX$10:$AX$16)),0,""))</f>
        <v/>
      </c>
      <c r="Q311" s="369" t="str">
        <f ca="1">IF($B311&lt;&gt;"PRC_RESID","",IF(Q$7=2005+OFFSET(COM_2012!$B$60,$AW311,SUMIF($B$10:$B$16,"NCAP_TLIFE",$AX$10:$AX$16)),0,""))</f>
        <v/>
      </c>
      <c r="R311" s="369" t="str">
        <f ca="1">IF($B311&lt;&gt;"PRC_RESID","",IF(R$7=2005+OFFSET(COM_2012!$B$60,$AW311,SUMIF($B$10:$B$16,"NCAP_TLIFE",$AX$10:$AX$16)),0,""))</f>
        <v/>
      </c>
      <c r="S311" s="369" t="str">
        <f ca="1">IF($B311&lt;&gt;"PRC_RESID","",IF(S$7=2005+OFFSET(COM_2012!$B$60,$AW311,SUMIF($B$10:$B$16,"NCAP_TLIFE",$AX$10:$AX$16)),0,""))</f>
        <v/>
      </c>
      <c r="T311" s="369" t="str">
        <f ca="1">IF($B311&lt;&gt;"PRC_RESID","",IF(T$7=2005+OFFSET(COM_2012!$B$60,$AW311,SUMIF($B$10:$B$16,"NCAP_TLIFE",$AX$10:$AX$16)),0,""))</f>
        <v/>
      </c>
      <c r="U311" s="369" t="str">
        <f ca="1">IF($B311&lt;&gt;"PRC_RESID","",IF(U$7=2005+OFFSET(COM_2012!$B$60,$AW311,SUMIF($B$10:$B$16,"NCAP_TLIFE",$AX$10:$AX$16)),0,""))</f>
        <v/>
      </c>
      <c r="V311" s="369" t="str">
        <f ca="1">IF($B311&lt;&gt;"PRC_RESID","",IF(V$7=2005+OFFSET(COM_2012!$B$60,$AW311,SUMIF($B$10:$B$16,"NCAP_TLIFE",$AX$10:$AX$16)),0,""))</f>
        <v/>
      </c>
      <c r="W311" s="369" t="str">
        <f ca="1">IF($B311&lt;&gt;"PRC_RESID","",IF(W$7=2005+OFFSET(COM_2012!$B$60,$AW311,SUMIF($B$10:$B$16,"NCAP_TLIFE",$AX$10:$AX$16)),0,""))</f>
        <v/>
      </c>
      <c r="X311" s="369" t="str">
        <f ca="1">IF($B311&lt;&gt;"PRC_RESID","",IF(X$7=2005+OFFSET(COM_2012!$B$60,$AW311,SUMIF($B$10:$B$16,"NCAP_TLIFE",$AX$10:$AX$16)),0,""))</f>
        <v/>
      </c>
      <c r="Y311" s="369" t="str">
        <f ca="1">IF($B311&lt;&gt;"PRC_RESID","",IF(Y$7=2005+OFFSET(COM_2012!$B$60,$AW311,SUMIF($B$10:$B$16,"NCAP_TLIFE",$AX$10:$AX$16)),0,""))</f>
        <v/>
      </c>
      <c r="Z311" s="369" t="str">
        <f ca="1">IF($B311&lt;&gt;"PRC_RESID","",IF(Z$7=2005+OFFSET(COM_2012!$B$60,$AW311,SUMIF($B$10:$B$16,"NCAP_TLIFE",$AX$10:$AX$16)),0,""))</f>
        <v/>
      </c>
      <c r="AA311" s="369" t="str">
        <f ca="1">IF($B311&lt;&gt;"PRC_RESID","",IF(AA$7=2005+OFFSET(COM_2012!$B$60,$AW311,SUMIF($B$10:$B$16,"NCAP_TLIFE",$AX$10:$AX$16)),0,""))</f>
        <v/>
      </c>
      <c r="AB311" s="369" t="str">
        <f ca="1">IF($B311&lt;&gt;"PRC_RESID","",IF(AB$7=2005+OFFSET(COM_2012!$B$60,$AW311,SUMIF($B$10:$B$16,"NCAP_TLIFE",$AX$10:$AX$16)),0,""))</f>
        <v/>
      </c>
      <c r="AC311" s="369" t="str">
        <f ca="1">IF($B311&lt;&gt;"PRC_RESID","",IF(AC$7=2005+OFFSET(COM_2012!$B$60,$AW311,SUMIF($B$10:$B$16,"NCAP_TLIFE",$AX$10:$AX$16)),0,""))</f>
        <v/>
      </c>
      <c r="AD311" s="369" t="str">
        <f ca="1">IF($B311&lt;&gt;"PRC_RESID","",IF(AD$7=2005+OFFSET(COM_2012!$B$60,$AW311,SUMIF($B$10:$B$16,"NCAP_TLIFE",$AX$10:$AX$16)),0,""))</f>
        <v/>
      </c>
      <c r="AE311" s="369" t="str">
        <f ca="1">IF($B311&lt;&gt;"PRC_RESID","",IF(AE$7=2005+OFFSET(COM_2012!$B$60,$AW311,SUMIF($B$10:$B$16,"NCAP_TLIFE",$AX$10:$AX$16)),0,""))</f>
        <v/>
      </c>
      <c r="AF311" s="369" t="str">
        <f ca="1">IF($B311&lt;&gt;"PRC_RESID","",IF(AF$7=2005+OFFSET(COM_2012!$B$60,$AW311,SUMIF($B$10:$B$16,"NCAP_TLIFE",$AX$10:$AX$16)),0,""))</f>
        <v/>
      </c>
      <c r="AG311" s="369" t="str">
        <f ca="1">IF($B311&lt;&gt;"PRC_RESID","",IF(AG$7=2005+OFFSET(COM_2012!$B$60,$AW311,SUMIF($B$10:$B$16,"NCAP_TLIFE",$AX$10:$AX$16)),0,""))</f>
        <v/>
      </c>
      <c r="AH311" s="369" t="str">
        <f ca="1">IF($B311&lt;&gt;"PRC_RESID","",IF(AH$7=2005+OFFSET(COM_2012!$B$60,$AW311,SUMIF($B$10:$B$16,"NCAP_TLIFE",$AX$10:$AX$16)),0,""))</f>
        <v/>
      </c>
      <c r="AI311" s="369" t="str">
        <f ca="1">IF($B311&lt;&gt;"PRC_RESID","",IF(AI$7=2005+OFFSET(COM_2012!$B$60,$AW311,SUMIF($B$10:$B$16,"NCAP_TLIFE",$AX$10:$AX$16)),0,""))</f>
        <v/>
      </c>
      <c r="AJ311" s="369" t="str">
        <f ca="1">IF($B311&lt;&gt;"PRC_RESID","",IF(AJ$7=2005+OFFSET(COM_2012!$B$60,$AW311,SUMIF($B$10:$B$16,"NCAP_TLIFE",$AX$10:$AX$16)),0,""))</f>
        <v/>
      </c>
      <c r="AK311" s="369" t="str">
        <f ca="1">IF($B311&lt;&gt;"PRC_RESID","",IF(AK$7=2005+OFFSET(COM_2012!$B$60,$AW311,SUMIF($B$10:$B$16,"NCAP_TLIFE",$AX$10:$AX$16)),0,""))</f>
        <v/>
      </c>
      <c r="AL311" s="369" t="str">
        <f ca="1">IF($B311&lt;&gt;"PRC_RESID","",IF(AL$7=2005+OFFSET(COM_2012!$B$60,$AW311,SUMIF($B$10:$B$16,"NCAP_TLIFE",$AX$10:$AX$16)),0,""))</f>
        <v/>
      </c>
      <c r="AM311" s="369" t="str">
        <f ca="1">IF($B311&lt;&gt;"PRC_RESID","",IF(AM$7=2005+OFFSET(COM_2012!$B$60,$AW311,SUMIF($B$10:$B$16,"NCAP_TLIFE",$AX$10:$AX$16)),0,""))</f>
        <v/>
      </c>
      <c r="AN311" s="369" t="str">
        <f ca="1">IF($B311&lt;&gt;"PRC_RESID","",IF(AN$7=2005+OFFSET(COM_2012!$B$60,$AW311,SUMIF($B$10:$B$16,"NCAP_TLIFE",$AX$10:$AX$16)),0,""))</f>
        <v/>
      </c>
      <c r="AO311" s="369" t="str">
        <f ca="1">IF($B311&lt;&gt;"PRC_RESID","",IF(AO$7=2005+OFFSET(COM_2012!$B$60,$AW311,SUMIF($B$10:$B$16,"NCAP_TLIFE",$AX$10:$AX$16)),0,""))</f>
        <v/>
      </c>
      <c r="AP311" s="369" t="str">
        <f ca="1">IF($B311&lt;&gt;"PRC_RESID","",IF(AP$7=2005+OFFSET(COM_2012!$B$60,$AW311,SUMIF($B$10:$B$16,"NCAP_TLIFE",$AX$10:$AX$16)),0,""))</f>
        <v/>
      </c>
      <c r="AQ311" s="369" t="str">
        <f ca="1">IF($B311&lt;&gt;"PRC_RESID","",IF(AQ$7=2005+OFFSET(COM_2012!$B$60,$AW311,SUMIF($B$10:$B$16,"NCAP_TLIFE",$AX$10:$AX$16)),0,""))</f>
        <v/>
      </c>
      <c r="AR311" s="369" t="str">
        <f ca="1">IF($B311&lt;&gt;"PRC_RESID","",IF(AR$7=2005+OFFSET(COM_2012!$B$60,$AW311,SUMIF($B$10:$B$16,"NCAP_TLIFE",$AX$10:$AX$16)),0,""))</f>
        <v/>
      </c>
      <c r="AS311" s="369" t="str">
        <f ca="1">IF($B311&lt;&gt;"PRC_RESID","",IF(AS$7=2005+OFFSET(COM_2012!$B$60,$AW311,SUMIF($B$10:$B$16,"NCAP_TLIFE",$AX$10:$AX$16)),0,""))</f>
        <v/>
      </c>
      <c r="AT311" s="369" t="str">
        <f ca="1">IF($B311&lt;&gt;"PRC_RESID","",IF(AT$7=2005+OFFSET(COM_2012!$B$60,$AW311,SUMIF($B$10:$B$16,"NCAP_TLIFE",$AX$10:$AX$16)),0,""))</f>
        <v/>
      </c>
      <c r="AU311" s="369" t="str">
        <f ca="1">IF($B311&lt;&gt;"PRC_RESID","",IF(AU$7=2005+OFFSET(COM_2012!$B$60,$AW311,SUMIF($B$10:$B$16,"NCAP_TLIFE",$AX$10:$AX$16)),0,""))</f>
        <v/>
      </c>
      <c r="AV311" s="304">
        <f>IF(AW310=COM_2012!$AI$121,AV310+1,AV310)</f>
        <v>5</v>
      </c>
      <c r="AW311" s="304">
        <f t="shared" si="29"/>
        <v>40</v>
      </c>
    </row>
    <row r="312" spans="1:49">
      <c r="A312" s="304" t="str">
        <f ca="1">IF(LEFT(OFFSET(COM_2012!$A$60,AW312,0),2)="\I","*","")</f>
        <v>*</v>
      </c>
      <c r="B312" s="369" t="str">
        <f t="shared" ca="1" si="27"/>
        <v/>
      </c>
      <c r="C312" s="369" t="str">
        <f ca="1">IF($A312="*","",OFFSET(COM_2012!$B$60,AW312,0))</f>
        <v/>
      </c>
      <c r="D312" s="369" t="str">
        <f t="shared" ca="1" si="30"/>
        <v/>
      </c>
      <c r="E312" s="369" t="str">
        <f t="shared" ca="1" si="30"/>
        <v/>
      </c>
      <c r="F312" s="369" t="str">
        <f t="shared" ca="1" si="30"/>
        <v/>
      </c>
      <c r="G312" s="369" t="str">
        <f t="shared" ca="1" si="30"/>
        <v/>
      </c>
      <c r="H312" s="369" t="str">
        <f t="shared" ca="1" si="30"/>
        <v/>
      </c>
      <c r="I312" s="370" t="str">
        <f t="shared" ca="1" si="30"/>
        <v/>
      </c>
      <c r="J312" s="391" t="str">
        <f ca="1">IF($A312="*","",OFFSET(COM_2012!$B$60,AW312,SUMIF($B$10:$B$16,B312,$AX$10:$AX$16)))</f>
        <v/>
      </c>
      <c r="K312" s="369" t="str">
        <f ca="1">IF($B312&lt;&gt;"PRC_RESID","",IF(K$7=2005+OFFSET(COM_2012!$B$60,$AW312,SUMIF($B$10:$B$16,"NCAP_TLIFE",$AX$10:$AX$16)),0,""))</f>
        <v/>
      </c>
      <c r="L312" s="369" t="str">
        <f ca="1">IF($B312&lt;&gt;"PRC_RESID","",IF(L$7=2005+OFFSET(COM_2012!$B$60,$AW312,SUMIF($B$10:$B$16,"NCAP_TLIFE",$AX$10:$AX$16)),0,""))</f>
        <v/>
      </c>
      <c r="M312" s="369" t="str">
        <f ca="1">IF($B312&lt;&gt;"PRC_RESID","",IF(M$7=2005+OFFSET(COM_2012!$B$60,$AW312,SUMIF($B$10:$B$16,"NCAP_TLIFE",$AX$10:$AX$16)),0,""))</f>
        <v/>
      </c>
      <c r="N312" s="369" t="str">
        <f ca="1">IF($B312&lt;&gt;"PRC_RESID","",IF(N$7=2005+OFFSET(COM_2012!$B$60,$AW312,SUMIF($B$10:$B$16,"NCAP_TLIFE",$AX$10:$AX$16)),0,""))</f>
        <v/>
      </c>
      <c r="O312" s="658" t="str">
        <f ca="1">IF($B312&lt;&gt;"PRC_RESID","",IF(O$7=2005+OFFSET(COM_2012!$B$60,$AW312,SUMIF($B$10:$B$16,"NCAP_TLIFE",$AX$10:$AX$16)),0,""))</f>
        <v/>
      </c>
      <c r="P312" s="369" t="str">
        <f ca="1">IF($B312&lt;&gt;"PRC_RESID","",IF(P$7=2005+OFFSET(COM_2012!$B$60,$AW312,SUMIF($B$10:$B$16,"NCAP_TLIFE",$AX$10:$AX$16)),0,""))</f>
        <v/>
      </c>
      <c r="Q312" s="369" t="str">
        <f ca="1">IF($B312&lt;&gt;"PRC_RESID","",IF(Q$7=2005+OFFSET(COM_2012!$B$60,$AW312,SUMIF($B$10:$B$16,"NCAP_TLIFE",$AX$10:$AX$16)),0,""))</f>
        <v/>
      </c>
      <c r="R312" s="369" t="str">
        <f ca="1">IF($B312&lt;&gt;"PRC_RESID","",IF(R$7=2005+OFFSET(COM_2012!$B$60,$AW312,SUMIF($B$10:$B$16,"NCAP_TLIFE",$AX$10:$AX$16)),0,""))</f>
        <v/>
      </c>
      <c r="S312" s="369" t="str">
        <f ca="1">IF($B312&lt;&gt;"PRC_RESID","",IF(S$7=2005+OFFSET(COM_2012!$B$60,$AW312,SUMIF($B$10:$B$16,"NCAP_TLIFE",$AX$10:$AX$16)),0,""))</f>
        <v/>
      </c>
      <c r="T312" s="369" t="str">
        <f ca="1">IF($B312&lt;&gt;"PRC_RESID","",IF(T$7=2005+OFFSET(COM_2012!$B$60,$AW312,SUMIF($B$10:$B$16,"NCAP_TLIFE",$AX$10:$AX$16)),0,""))</f>
        <v/>
      </c>
      <c r="U312" s="369" t="str">
        <f ca="1">IF($B312&lt;&gt;"PRC_RESID","",IF(U$7=2005+OFFSET(COM_2012!$B$60,$AW312,SUMIF($B$10:$B$16,"NCAP_TLIFE",$AX$10:$AX$16)),0,""))</f>
        <v/>
      </c>
      <c r="V312" s="369" t="str">
        <f ca="1">IF($B312&lt;&gt;"PRC_RESID","",IF(V$7=2005+OFFSET(COM_2012!$B$60,$AW312,SUMIF($B$10:$B$16,"NCAP_TLIFE",$AX$10:$AX$16)),0,""))</f>
        <v/>
      </c>
      <c r="W312" s="369" t="str">
        <f ca="1">IF($B312&lt;&gt;"PRC_RESID","",IF(W$7=2005+OFFSET(COM_2012!$B$60,$AW312,SUMIF($B$10:$B$16,"NCAP_TLIFE",$AX$10:$AX$16)),0,""))</f>
        <v/>
      </c>
      <c r="X312" s="369" t="str">
        <f ca="1">IF($B312&lt;&gt;"PRC_RESID","",IF(X$7=2005+OFFSET(COM_2012!$B$60,$AW312,SUMIF($B$10:$B$16,"NCAP_TLIFE",$AX$10:$AX$16)),0,""))</f>
        <v/>
      </c>
      <c r="Y312" s="369" t="str">
        <f ca="1">IF($B312&lt;&gt;"PRC_RESID","",IF(Y$7=2005+OFFSET(COM_2012!$B$60,$AW312,SUMIF($B$10:$B$16,"NCAP_TLIFE",$AX$10:$AX$16)),0,""))</f>
        <v/>
      </c>
      <c r="Z312" s="369" t="str">
        <f ca="1">IF($B312&lt;&gt;"PRC_RESID","",IF(Z$7=2005+OFFSET(COM_2012!$B$60,$AW312,SUMIF($B$10:$B$16,"NCAP_TLIFE",$AX$10:$AX$16)),0,""))</f>
        <v/>
      </c>
      <c r="AA312" s="369" t="str">
        <f ca="1">IF($B312&lt;&gt;"PRC_RESID","",IF(AA$7=2005+OFFSET(COM_2012!$B$60,$AW312,SUMIF($B$10:$B$16,"NCAP_TLIFE",$AX$10:$AX$16)),0,""))</f>
        <v/>
      </c>
      <c r="AB312" s="369" t="str">
        <f ca="1">IF($B312&lt;&gt;"PRC_RESID","",IF(AB$7=2005+OFFSET(COM_2012!$B$60,$AW312,SUMIF($B$10:$B$16,"NCAP_TLIFE",$AX$10:$AX$16)),0,""))</f>
        <v/>
      </c>
      <c r="AC312" s="369" t="str">
        <f ca="1">IF($B312&lt;&gt;"PRC_RESID","",IF(AC$7=2005+OFFSET(COM_2012!$B$60,$AW312,SUMIF($B$10:$B$16,"NCAP_TLIFE",$AX$10:$AX$16)),0,""))</f>
        <v/>
      </c>
      <c r="AD312" s="369" t="str">
        <f ca="1">IF($B312&lt;&gt;"PRC_RESID","",IF(AD$7=2005+OFFSET(COM_2012!$B$60,$AW312,SUMIF($B$10:$B$16,"NCAP_TLIFE",$AX$10:$AX$16)),0,""))</f>
        <v/>
      </c>
      <c r="AE312" s="369" t="str">
        <f ca="1">IF($B312&lt;&gt;"PRC_RESID","",IF(AE$7=2005+OFFSET(COM_2012!$B$60,$AW312,SUMIF($B$10:$B$16,"NCAP_TLIFE",$AX$10:$AX$16)),0,""))</f>
        <v/>
      </c>
      <c r="AF312" s="369" t="str">
        <f ca="1">IF($B312&lt;&gt;"PRC_RESID","",IF(AF$7=2005+OFFSET(COM_2012!$B$60,$AW312,SUMIF($B$10:$B$16,"NCAP_TLIFE",$AX$10:$AX$16)),0,""))</f>
        <v/>
      </c>
      <c r="AG312" s="369" t="str">
        <f ca="1">IF($B312&lt;&gt;"PRC_RESID","",IF(AG$7=2005+OFFSET(COM_2012!$B$60,$AW312,SUMIF($B$10:$B$16,"NCAP_TLIFE",$AX$10:$AX$16)),0,""))</f>
        <v/>
      </c>
      <c r="AH312" s="369" t="str">
        <f ca="1">IF($B312&lt;&gt;"PRC_RESID","",IF(AH$7=2005+OFFSET(COM_2012!$B$60,$AW312,SUMIF($B$10:$B$16,"NCAP_TLIFE",$AX$10:$AX$16)),0,""))</f>
        <v/>
      </c>
      <c r="AI312" s="369" t="str">
        <f ca="1">IF($B312&lt;&gt;"PRC_RESID","",IF(AI$7=2005+OFFSET(COM_2012!$B$60,$AW312,SUMIF($B$10:$B$16,"NCAP_TLIFE",$AX$10:$AX$16)),0,""))</f>
        <v/>
      </c>
      <c r="AJ312" s="369" t="str">
        <f ca="1">IF($B312&lt;&gt;"PRC_RESID","",IF(AJ$7=2005+OFFSET(COM_2012!$B$60,$AW312,SUMIF($B$10:$B$16,"NCAP_TLIFE",$AX$10:$AX$16)),0,""))</f>
        <v/>
      </c>
      <c r="AK312" s="369" t="str">
        <f ca="1">IF($B312&lt;&gt;"PRC_RESID","",IF(AK$7=2005+OFFSET(COM_2012!$B$60,$AW312,SUMIF($B$10:$B$16,"NCAP_TLIFE",$AX$10:$AX$16)),0,""))</f>
        <v/>
      </c>
      <c r="AL312" s="369" t="str">
        <f ca="1">IF($B312&lt;&gt;"PRC_RESID","",IF(AL$7=2005+OFFSET(COM_2012!$B$60,$AW312,SUMIF($B$10:$B$16,"NCAP_TLIFE",$AX$10:$AX$16)),0,""))</f>
        <v/>
      </c>
      <c r="AM312" s="369" t="str">
        <f ca="1">IF($B312&lt;&gt;"PRC_RESID","",IF(AM$7=2005+OFFSET(COM_2012!$B$60,$AW312,SUMIF($B$10:$B$16,"NCAP_TLIFE",$AX$10:$AX$16)),0,""))</f>
        <v/>
      </c>
      <c r="AN312" s="369" t="str">
        <f ca="1">IF($B312&lt;&gt;"PRC_RESID","",IF(AN$7=2005+OFFSET(COM_2012!$B$60,$AW312,SUMIF($B$10:$B$16,"NCAP_TLIFE",$AX$10:$AX$16)),0,""))</f>
        <v/>
      </c>
      <c r="AO312" s="369" t="str">
        <f ca="1">IF($B312&lt;&gt;"PRC_RESID","",IF(AO$7=2005+OFFSET(COM_2012!$B$60,$AW312,SUMIF($B$10:$B$16,"NCAP_TLIFE",$AX$10:$AX$16)),0,""))</f>
        <v/>
      </c>
      <c r="AP312" s="369" t="str">
        <f ca="1">IF($B312&lt;&gt;"PRC_RESID","",IF(AP$7=2005+OFFSET(COM_2012!$B$60,$AW312,SUMIF($B$10:$B$16,"NCAP_TLIFE",$AX$10:$AX$16)),0,""))</f>
        <v/>
      </c>
      <c r="AQ312" s="369" t="str">
        <f ca="1">IF($B312&lt;&gt;"PRC_RESID","",IF(AQ$7=2005+OFFSET(COM_2012!$B$60,$AW312,SUMIF($B$10:$B$16,"NCAP_TLIFE",$AX$10:$AX$16)),0,""))</f>
        <v/>
      </c>
      <c r="AR312" s="369" t="str">
        <f ca="1">IF($B312&lt;&gt;"PRC_RESID","",IF(AR$7=2005+OFFSET(COM_2012!$B$60,$AW312,SUMIF($B$10:$B$16,"NCAP_TLIFE",$AX$10:$AX$16)),0,""))</f>
        <v/>
      </c>
      <c r="AS312" s="369" t="str">
        <f ca="1">IF($B312&lt;&gt;"PRC_RESID","",IF(AS$7=2005+OFFSET(COM_2012!$B$60,$AW312,SUMIF($B$10:$B$16,"NCAP_TLIFE",$AX$10:$AX$16)),0,""))</f>
        <v/>
      </c>
      <c r="AT312" s="369" t="str">
        <f ca="1">IF($B312&lt;&gt;"PRC_RESID","",IF(AT$7=2005+OFFSET(COM_2012!$B$60,$AW312,SUMIF($B$10:$B$16,"NCAP_TLIFE",$AX$10:$AX$16)),0,""))</f>
        <v/>
      </c>
      <c r="AU312" s="369" t="str">
        <f ca="1">IF($B312&lt;&gt;"PRC_RESID","",IF(AU$7=2005+OFFSET(COM_2012!$B$60,$AW312,SUMIF($B$10:$B$16,"NCAP_TLIFE",$AX$10:$AX$16)),0,""))</f>
        <v/>
      </c>
      <c r="AV312" s="304">
        <f>IF(AW311=COM_2012!$AI$121,AV311+1,AV311)</f>
        <v>5</v>
      </c>
      <c r="AW312" s="304">
        <f t="shared" si="29"/>
        <v>41</v>
      </c>
    </row>
    <row r="313" spans="1:49">
      <c r="A313" s="304" t="str">
        <f ca="1">IF(LEFT(OFFSET(COM_2012!$A$60,AW313,0),2)="\I","*","")</f>
        <v/>
      </c>
      <c r="B313" s="369" t="str">
        <f t="shared" ca="1" si="27"/>
        <v>NCAP_FOM</v>
      </c>
      <c r="C313" s="369" t="str">
        <f ca="1">IF($A313="*","",OFFSET(COM_2012!$B$60,AW313,0))</f>
        <v>CEGELCINC-E</v>
      </c>
      <c r="D313" s="369" t="str">
        <f t="shared" ca="1" si="30"/>
        <v>-</v>
      </c>
      <c r="E313" s="369" t="str">
        <f t="shared" ca="1" si="30"/>
        <v>-</v>
      </c>
      <c r="F313" s="369" t="str">
        <f t="shared" ca="1" si="30"/>
        <v>-</v>
      </c>
      <c r="G313" s="369" t="str">
        <f t="shared" ca="1" si="30"/>
        <v>-</v>
      </c>
      <c r="H313" s="369" t="str">
        <f t="shared" ca="1" si="30"/>
        <v>-</v>
      </c>
      <c r="I313" s="370">
        <f t="shared" ca="1" si="30"/>
        <v>0</v>
      </c>
      <c r="J313" s="391">
        <f ca="1">IF($A313="*","",OFFSET(COM_2012!$B$60,AW313,SUMIF($B$10:$B$16,B313,$AX$10:$AX$16)))</f>
        <v>2.6729589482474083E-2</v>
      </c>
      <c r="K313" s="369" t="str">
        <f ca="1">IF($B313&lt;&gt;"PRC_RESID","",IF(K$7=2005+OFFSET(COM_2012!$B$60,$AW313,SUMIF($B$10:$B$16,"NCAP_TLIFE",$AX$10:$AX$16)),0,""))</f>
        <v/>
      </c>
      <c r="L313" s="369" t="str">
        <f ca="1">IF($B313&lt;&gt;"PRC_RESID","",IF(L$7=2005+OFFSET(COM_2012!$B$60,$AW313,SUMIF($B$10:$B$16,"NCAP_TLIFE",$AX$10:$AX$16)),0,""))</f>
        <v/>
      </c>
      <c r="M313" s="369" t="str">
        <f ca="1">IF($B313&lt;&gt;"PRC_RESID","",IF(M$7=2005+OFFSET(COM_2012!$B$60,$AW313,SUMIF($B$10:$B$16,"NCAP_TLIFE",$AX$10:$AX$16)),0,""))</f>
        <v/>
      </c>
      <c r="N313" s="369" t="str">
        <f ca="1">IF($B313&lt;&gt;"PRC_RESID","",IF(N$7=2005+OFFSET(COM_2012!$B$60,$AW313,SUMIF($B$10:$B$16,"NCAP_TLIFE",$AX$10:$AX$16)),0,""))</f>
        <v/>
      </c>
      <c r="O313" s="658" t="str">
        <f ca="1">IF($B313&lt;&gt;"PRC_RESID","",IF(O$7=2005+OFFSET(COM_2012!$B$60,$AW313,SUMIF($B$10:$B$16,"NCAP_TLIFE",$AX$10:$AX$16)),0,""))</f>
        <v/>
      </c>
      <c r="P313" s="369" t="str">
        <f ca="1">IF($B313&lt;&gt;"PRC_RESID","",IF(P$7=2005+OFFSET(COM_2012!$B$60,$AW313,SUMIF($B$10:$B$16,"NCAP_TLIFE",$AX$10:$AX$16)),0,""))</f>
        <v/>
      </c>
      <c r="Q313" s="369" t="str">
        <f ca="1">IF($B313&lt;&gt;"PRC_RESID","",IF(Q$7=2005+OFFSET(COM_2012!$B$60,$AW313,SUMIF($B$10:$B$16,"NCAP_TLIFE",$AX$10:$AX$16)),0,""))</f>
        <v/>
      </c>
      <c r="R313" s="369" t="str">
        <f ca="1">IF($B313&lt;&gt;"PRC_RESID","",IF(R$7=2005+OFFSET(COM_2012!$B$60,$AW313,SUMIF($B$10:$B$16,"NCAP_TLIFE",$AX$10:$AX$16)),0,""))</f>
        <v/>
      </c>
      <c r="S313" s="369" t="str">
        <f ca="1">IF($B313&lt;&gt;"PRC_RESID","",IF(S$7=2005+OFFSET(COM_2012!$B$60,$AW313,SUMIF($B$10:$B$16,"NCAP_TLIFE",$AX$10:$AX$16)),0,""))</f>
        <v/>
      </c>
      <c r="T313" s="369" t="str">
        <f ca="1">IF($B313&lt;&gt;"PRC_RESID","",IF(T$7=2005+OFFSET(COM_2012!$B$60,$AW313,SUMIF($B$10:$B$16,"NCAP_TLIFE",$AX$10:$AX$16)),0,""))</f>
        <v/>
      </c>
      <c r="U313" s="369" t="str">
        <f ca="1">IF($B313&lt;&gt;"PRC_RESID","",IF(U$7=2005+OFFSET(COM_2012!$B$60,$AW313,SUMIF($B$10:$B$16,"NCAP_TLIFE",$AX$10:$AX$16)),0,""))</f>
        <v/>
      </c>
      <c r="V313" s="369" t="str">
        <f ca="1">IF($B313&lt;&gt;"PRC_RESID","",IF(V$7=2005+OFFSET(COM_2012!$B$60,$AW313,SUMIF($B$10:$B$16,"NCAP_TLIFE",$AX$10:$AX$16)),0,""))</f>
        <v/>
      </c>
      <c r="W313" s="369" t="str">
        <f ca="1">IF($B313&lt;&gt;"PRC_RESID","",IF(W$7=2005+OFFSET(COM_2012!$B$60,$AW313,SUMIF($B$10:$B$16,"NCAP_TLIFE",$AX$10:$AX$16)),0,""))</f>
        <v/>
      </c>
      <c r="X313" s="369" t="str">
        <f ca="1">IF($B313&lt;&gt;"PRC_RESID","",IF(X$7=2005+OFFSET(COM_2012!$B$60,$AW313,SUMIF($B$10:$B$16,"NCAP_TLIFE",$AX$10:$AX$16)),0,""))</f>
        <v/>
      </c>
      <c r="Y313" s="369" t="str">
        <f ca="1">IF($B313&lt;&gt;"PRC_RESID","",IF(Y$7=2005+OFFSET(COM_2012!$B$60,$AW313,SUMIF($B$10:$B$16,"NCAP_TLIFE",$AX$10:$AX$16)),0,""))</f>
        <v/>
      </c>
      <c r="Z313" s="369" t="str">
        <f ca="1">IF($B313&lt;&gt;"PRC_RESID","",IF(Z$7=2005+OFFSET(COM_2012!$B$60,$AW313,SUMIF($B$10:$B$16,"NCAP_TLIFE",$AX$10:$AX$16)),0,""))</f>
        <v/>
      </c>
      <c r="AA313" s="369" t="str">
        <f ca="1">IF($B313&lt;&gt;"PRC_RESID","",IF(AA$7=2005+OFFSET(COM_2012!$B$60,$AW313,SUMIF($B$10:$B$16,"NCAP_TLIFE",$AX$10:$AX$16)),0,""))</f>
        <v/>
      </c>
      <c r="AB313" s="369" t="str">
        <f ca="1">IF($B313&lt;&gt;"PRC_RESID","",IF(AB$7=2005+OFFSET(COM_2012!$B$60,$AW313,SUMIF($B$10:$B$16,"NCAP_TLIFE",$AX$10:$AX$16)),0,""))</f>
        <v/>
      </c>
      <c r="AC313" s="369" t="str">
        <f ca="1">IF($B313&lt;&gt;"PRC_RESID","",IF(AC$7=2005+OFFSET(COM_2012!$B$60,$AW313,SUMIF($B$10:$B$16,"NCAP_TLIFE",$AX$10:$AX$16)),0,""))</f>
        <v/>
      </c>
      <c r="AD313" s="369" t="str">
        <f ca="1">IF($B313&lt;&gt;"PRC_RESID","",IF(AD$7=2005+OFFSET(COM_2012!$B$60,$AW313,SUMIF($B$10:$B$16,"NCAP_TLIFE",$AX$10:$AX$16)),0,""))</f>
        <v/>
      </c>
      <c r="AE313" s="369" t="str">
        <f ca="1">IF($B313&lt;&gt;"PRC_RESID","",IF(AE$7=2005+OFFSET(COM_2012!$B$60,$AW313,SUMIF($B$10:$B$16,"NCAP_TLIFE",$AX$10:$AX$16)),0,""))</f>
        <v/>
      </c>
      <c r="AF313" s="369" t="str">
        <f ca="1">IF($B313&lt;&gt;"PRC_RESID","",IF(AF$7=2005+OFFSET(COM_2012!$B$60,$AW313,SUMIF($B$10:$B$16,"NCAP_TLIFE",$AX$10:$AX$16)),0,""))</f>
        <v/>
      </c>
      <c r="AG313" s="369" t="str">
        <f ca="1">IF($B313&lt;&gt;"PRC_RESID","",IF(AG$7=2005+OFFSET(COM_2012!$B$60,$AW313,SUMIF($B$10:$B$16,"NCAP_TLIFE",$AX$10:$AX$16)),0,""))</f>
        <v/>
      </c>
      <c r="AH313" s="369" t="str">
        <f ca="1">IF($B313&lt;&gt;"PRC_RESID","",IF(AH$7=2005+OFFSET(COM_2012!$B$60,$AW313,SUMIF($B$10:$B$16,"NCAP_TLIFE",$AX$10:$AX$16)),0,""))</f>
        <v/>
      </c>
      <c r="AI313" s="369" t="str">
        <f ca="1">IF($B313&lt;&gt;"PRC_RESID","",IF(AI$7=2005+OFFSET(COM_2012!$B$60,$AW313,SUMIF($B$10:$B$16,"NCAP_TLIFE",$AX$10:$AX$16)),0,""))</f>
        <v/>
      </c>
      <c r="AJ313" s="369" t="str">
        <f ca="1">IF($B313&lt;&gt;"PRC_RESID","",IF(AJ$7=2005+OFFSET(COM_2012!$B$60,$AW313,SUMIF($B$10:$B$16,"NCAP_TLIFE",$AX$10:$AX$16)),0,""))</f>
        <v/>
      </c>
      <c r="AK313" s="369" t="str">
        <f ca="1">IF($B313&lt;&gt;"PRC_RESID","",IF(AK$7=2005+OFFSET(COM_2012!$B$60,$AW313,SUMIF($B$10:$B$16,"NCAP_TLIFE",$AX$10:$AX$16)),0,""))</f>
        <v/>
      </c>
      <c r="AL313" s="369" t="str">
        <f ca="1">IF($B313&lt;&gt;"PRC_RESID","",IF(AL$7=2005+OFFSET(COM_2012!$B$60,$AW313,SUMIF($B$10:$B$16,"NCAP_TLIFE",$AX$10:$AX$16)),0,""))</f>
        <v/>
      </c>
      <c r="AM313" s="369" t="str">
        <f ca="1">IF($B313&lt;&gt;"PRC_RESID","",IF(AM$7=2005+OFFSET(COM_2012!$B$60,$AW313,SUMIF($B$10:$B$16,"NCAP_TLIFE",$AX$10:$AX$16)),0,""))</f>
        <v/>
      </c>
      <c r="AN313" s="369" t="str">
        <f ca="1">IF($B313&lt;&gt;"PRC_RESID","",IF(AN$7=2005+OFFSET(COM_2012!$B$60,$AW313,SUMIF($B$10:$B$16,"NCAP_TLIFE",$AX$10:$AX$16)),0,""))</f>
        <v/>
      </c>
      <c r="AO313" s="369" t="str">
        <f ca="1">IF($B313&lt;&gt;"PRC_RESID","",IF(AO$7=2005+OFFSET(COM_2012!$B$60,$AW313,SUMIF($B$10:$B$16,"NCAP_TLIFE",$AX$10:$AX$16)),0,""))</f>
        <v/>
      </c>
      <c r="AP313" s="369" t="str">
        <f ca="1">IF($B313&lt;&gt;"PRC_RESID","",IF(AP$7=2005+OFFSET(COM_2012!$B$60,$AW313,SUMIF($B$10:$B$16,"NCAP_TLIFE",$AX$10:$AX$16)),0,""))</f>
        <v/>
      </c>
      <c r="AQ313" s="369" t="str">
        <f ca="1">IF($B313&lt;&gt;"PRC_RESID","",IF(AQ$7=2005+OFFSET(COM_2012!$B$60,$AW313,SUMIF($B$10:$B$16,"NCAP_TLIFE",$AX$10:$AX$16)),0,""))</f>
        <v/>
      </c>
      <c r="AR313" s="369" t="str">
        <f ca="1">IF($B313&lt;&gt;"PRC_RESID","",IF(AR$7=2005+OFFSET(COM_2012!$B$60,$AW313,SUMIF($B$10:$B$16,"NCAP_TLIFE",$AX$10:$AX$16)),0,""))</f>
        <v/>
      </c>
      <c r="AS313" s="369" t="str">
        <f ca="1">IF($B313&lt;&gt;"PRC_RESID","",IF(AS$7=2005+OFFSET(COM_2012!$B$60,$AW313,SUMIF($B$10:$B$16,"NCAP_TLIFE",$AX$10:$AX$16)),0,""))</f>
        <v/>
      </c>
      <c r="AT313" s="369" t="str">
        <f ca="1">IF($B313&lt;&gt;"PRC_RESID","",IF(AT$7=2005+OFFSET(COM_2012!$B$60,$AW313,SUMIF($B$10:$B$16,"NCAP_TLIFE",$AX$10:$AX$16)),0,""))</f>
        <v/>
      </c>
      <c r="AU313" s="369" t="str">
        <f ca="1">IF($B313&lt;&gt;"PRC_RESID","",IF(AU$7=2005+OFFSET(COM_2012!$B$60,$AW313,SUMIF($B$10:$B$16,"NCAP_TLIFE",$AX$10:$AX$16)),0,""))</f>
        <v/>
      </c>
      <c r="AV313" s="304">
        <f>IF(AW312=COM_2012!$AI$121,AV312+1,AV312)</f>
        <v>5</v>
      </c>
      <c r="AW313" s="304">
        <f t="shared" si="29"/>
        <v>42</v>
      </c>
    </row>
    <row r="314" spans="1:49">
      <c r="A314" s="304" t="str">
        <f ca="1">IF(LEFT(OFFSET(COM_2012!$A$60,AW314,0),2)="\I","*","")</f>
        <v/>
      </c>
      <c r="B314" s="369" t="str">
        <f t="shared" ca="1" si="27"/>
        <v>NCAP_FOM</v>
      </c>
      <c r="C314" s="369" t="str">
        <f ca="1">IF($A314="*","",OFFSET(COM_2012!$B$60,AW314,0))</f>
        <v>CEGELCHAL-E</v>
      </c>
      <c r="D314" s="369" t="str">
        <f t="shared" ca="1" si="30"/>
        <v>-</v>
      </c>
      <c r="E314" s="369" t="str">
        <f t="shared" ca="1" si="30"/>
        <v>-</v>
      </c>
      <c r="F314" s="369" t="str">
        <f t="shared" ca="1" si="30"/>
        <v>-</v>
      </c>
      <c r="G314" s="369" t="str">
        <f t="shared" ca="1" si="30"/>
        <v>-</v>
      </c>
      <c r="H314" s="369" t="str">
        <f t="shared" ca="1" si="30"/>
        <v>-</v>
      </c>
      <c r="I314" s="370">
        <f t="shared" ca="1" si="30"/>
        <v>0</v>
      </c>
      <c r="J314" s="391">
        <f ca="1">IF($A314="*","",OFFSET(COM_2012!$B$60,AW314,SUMIF($B$10:$B$16,B314,$AX$10:$AX$16)))</f>
        <v>7.5829581287827852E-2</v>
      </c>
      <c r="K314" s="369" t="str">
        <f ca="1">IF($B314&lt;&gt;"PRC_RESID","",IF(K$7=2005+OFFSET(COM_2012!$B$60,$AW314,SUMIF($B$10:$B$16,"NCAP_TLIFE",$AX$10:$AX$16)),0,""))</f>
        <v/>
      </c>
      <c r="L314" s="369" t="str">
        <f ca="1">IF($B314&lt;&gt;"PRC_RESID","",IF(L$7=2005+OFFSET(COM_2012!$B$60,$AW314,SUMIF($B$10:$B$16,"NCAP_TLIFE",$AX$10:$AX$16)),0,""))</f>
        <v/>
      </c>
      <c r="M314" s="369" t="str">
        <f ca="1">IF($B314&lt;&gt;"PRC_RESID","",IF(M$7=2005+OFFSET(COM_2012!$B$60,$AW314,SUMIF($B$10:$B$16,"NCAP_TLIFE",$AX$10:$AX$16)),0,""))</f>
        <v/>
      </c>
      <c r="N314" s="369" t="str">
        <f ca="1">IF($B314&lt;&gt;"PRC_RESID","",IF(N$7=2005+OFFSET(COM_2012!$B$60,$AW314,SUMIF($B$10:$B$16,"NCAP_TLIFE",$AX$10:$AX$16)),0,""))</f>
        <v/>
      </c>
      <c r="O314" s="658" t="str">
        <f ca="1">IF($B314&lt;&gt;"PRC_RESID","",IF(O$7=2005+OFFSET(COM_2012!$B$60,$AW314,SUMIF($B$10:$B$16,"NCAP_TLIFE",$AX$10:$AX$16)),0,""))</f>
        <v/>
      </c>
      <c r="P314" s="369" t="str">
        <f ca="1">IF($B314&lt;&gt;"PRC_RESID","",IF(P$7=2005+OFFSET(COM_2012!$B$60,$AW314,SUMIF($B$10:$B$16,"NCAP_TLIFE",$AX$10:$AX$16)),0,""))</f>
        <v/>
      </c>
      <c r="Q314" s="369" t="str">
        <f ca="1">IF($B314&lt;&gt;"PRC_RESID","",IF(Q$7=2005+OFFSET(COM_2012!$B$60,$AW314,SUMIF($B$10:$B$16,"NCAP_TLIFE",$AX$10:$AX$16)),0,""))</f>
        <v/>
      </c>
      <c r="R314" s="369" t="str">
        <f ca="1">IF($B314&lt;&gt;"PRC_RESID","",IF(R$7=2005+OFFSET(COM_2012!$B$60,$AW314,SUMIF($B$10:$B$16,"NCAP_TLIFE",$AX$10:$AX$16)),0,""))</f>
        <v/>
      </c>
      <c r="S314" s="369" t="str">
        <f ca="1">IF($B314&lt;&gt;"PRC_RESID","",IF(S$7=2005+OFFSET(COM_2012!$B$60,$AW314,SUMIF($B$10:$B$16,"NCAP_TLIFE",$AX$10:$AX$16)),0,""))</f>
        <v/>
      </c>
      <c r="T314" s="369" t="str">
        <f ca="1">IF($B314&lt;&gt;"PRC_RESID","",IF(T$7=2005+OFFSET(COM_2012!$B$60,$AW314,SUMIF($B$10:$B$16,"NCAP_TLIFE",$AX$10:$AX$16)),0,""))</f>
        <v/>
      </c>
      <c r="U314" s="369" t="str">
        <f ca="1">IF($B314&lt;&gt;"PRC_RESID","",IF(U$7=2005+OFFSET(COM_2012!$B$60,$AW314,SUMIF($B$10:$B$16,"NCAP_TLIFE",$AX$10:$AX$16)),0,""))</f>
        <v/>
      </c>
      <c r="V314" s="369" t="str">
        <f ca="1">IF($B314&lt;&gt;"PRC_RESID","",IF(V$7=2005+OFFSET(COM_2012!$B$60,$AW314,SUMIF($B$10:$B$16,"NCAP_TLIFE",$AX$10:$AX$16)),0,""))</f>
        <v/>
      </c>
      <c r="W314" s="369" t="str">
        <f ca="1">IF($B314&lt;&gt;"PRC_RESID","",IF(W$7=2005+OFFSET(COM_2012!$B$60,$AW314,SUMIF($B$10:$B$16,"NCAP_TLIFE",$AX$10:$AX$16)),0,""))</f>
        <v/>
      </c>
      <c r="X314" s="369" t="str">
        <f ca="1">IF($B314&lt;&gt;"PRC_RESID","",IF(X$7=2005+OFFSET(COM_2012!$B$60,$AW314,SUMIF($B$10:$B$16,"NCAP_TLIFE",$AX$10:$AX$16)),0,""))</f>
        <v/>
      </c>
      <c r="Y314" s="369" t="str">
        <f ca="1">IF($B314&lt;&gt;"PRC_RESID","",IF(Y$7=2005+OFFSET(COM_2012!$B$60,$AW314,SUMIF($B$10:$B$16,"NCAP_TLIFE",$AX$10:$AX$16)),0,""))</f>
        <v/>
      </c>
      <c r="Z314" s="369" t="str">
        <f ca="1">IF($B314&lt;&gt;"PRC_RESID","",IF(Z$7=2005+OFFSET(COM_2012!$B$60,$AW314,SUMIF($B$10:$B$16,"NCAP_TLIFE",$AX$10:$AX$16)),0,""))</f>
        <v/>
      </c>
      <c r="AA314" s="369" t="str">
        <f ca="1">IF($B314&lt;&gt;"PRC_RESID","",IF(AA$7=2005+OFFSET(COM_2012!$B$60,$AW314,SUMIF($B$10:$B$16,"NCAP_TLIFE",$AX$10:$AX$16)),0,""))</f>
        <v/>
      </c>
      <c r="AB314" s="369" t="str">
        <f ca="1">IF($B314&lt;&gt;"PRC_RESID","",IF(AB$7=2005+OFFSET(COM_2012!$B$60,$AW314,SUMIF($B$10:$B$16,"NCAP_TLIFE",$AX$10:$AX$16)),0,""))</f>
        <v/>
      </c>
      <c r="AC314" s="369" t="str">
        <f ca="1">IF($B314&lt;&gt;"PRC_RESID","",IF(AC$7=2005+OFFSET(COM_2012!$B$60,$AW314,SUMIF($B$10:$B$16,"NCAP_TLIFE",$AX$10:$AX$16)),0,""))</f>
        <v/>
      </c>
      <c r="AD314" s="369" t="str">
        <f ca="1">IF($B314&lt;&gt;"PRC_RESID","",IF(AD$7=2005+OFFSET(COM_2012!$B$60,$AW314,SUMIF($B$10:$B$16,"NCAP_TLIFE",$AX$10:$AX$16)),0,""))</f>
        <v/>
      </c>
      <c r="AE314" s="369" t="str">
        <f ca="1">IF($B314&lt;&gt;"PRC_RESID","",IF(AE$7=2005+OFFSET(COM_2012!$B$60,$AW314,SUMIF($B$10:$B$16,"NCAP_TLIFE",$AX$10:$AX$16)),0,""))</f>
        <v/>
      </c>
      <c r="AF314" s="369" t="str">
        <f ca="1">IF($B314&lt;&gt;"PRC_RESID","",IF(AF$7=2005+OFFSET(COM_2012!$B$60,$AW314,SUMIF($B$10:$B$16,"NCAP_TLIFE",$AX$10:$AX$16)),0,""))</f>
        <v/>
      </c>
      <c r="AG314" s="369" t="str">
        <f ca="1">IF($B314&lt;&gt;"PRC_RESID","",IF(AG$7=2005+OFFSET(COM_2012!$B$60,$AW314,SUMIF($B$10:$B$16,"NCAP_TLIFE",$AX$10:$AX$16)),0,""))</f>
        <v/>
      </c>
      <c r="AH314" s="369" t="str">
        <f ca="1">IF($B314&lt;&gt;"PRC_RESID","",IF(AH$7=2005+OFFSET(COM_2012!$B$60,$AW314,SUMIF($B$10:$B$16,"NCAP_TLIFE",$AX$10:$AX$16)),0,""))</f>
        <v/>
      </c>
      <c r="AI314" s="369" t="str">
        <f ca="1">IF($B314&lt;&gt;"PRC_RESID","",IF(AI$7=2005+OFFSET(COM_2012!$B$60,$AW314,SUMIF($B$10:$B$16,"NCAP_TLIFE",$AX$10:$AX$16)),0,""))</f>
        <v/>
      </c>
      <c r="AJ314" s="369" t="str">
        <f ca="1">IF($B314&lt;&gt;"PRC_RESID","",IF(AJ$7=2005+OFFSET(COM_2012!$B$60,$AW314,SUMIF($B$10:$B$16,"NCAP_TLIFE",$AX$10:$AX$16)),0,""))</f>
        <v/>
      </c>
      <c r="AK314" s="369" t="str">
        <f ca="1">IF($B314&lt;&gt;"PRC_RESID","",IF(AK$7=2005+OFFSET(COM_2012!$B$60,$AW314,SUMIF($B$10:$B$16,"NCAP_TLIFE",$AX$10:$AX$16)),0,""))</f>
        <v/>
      </c>
      <c r="AL314" s="369" t="str">
        <f ca="1">IF($B314&lt;&gt;"PRC_RESID","",IF(AL$7=2005+OFFSET(COM_2012!$B$60,$AW314,SUMIF($B$10:$B$16,"NCAP_TLIFE",$AX$10:$AX$16)),0,""))</f>
        <v/>
      </c>
      <c r="AM314" s="369" t="str">
        <f ca="1">IF($B314&lt;&gt;"PRC_RESID","",IF(AM$7=2005+OFFSET(COM_2012!$B$60,$AW314,SUMIF($B$10:$B$16,"NCAP_TLIFE",$AX$10:$AX$16)),0,""))</f>
        <v/>
      </c>
      <c r="AN314" s="369" t="str">
        <f ca="1">IF($B314&lt;&gt;"PRC_RESID","",IF(AN$7=2005+OFFSET(COM_2012!$B$60,$AW314,SUMIF($B$10:$B$16,"NCAP_TLIFE",$AX$10:$AX$16)),0,""))</f>
        <v/>
      </c>
      <c r="AO314" s="369" t="str">
        <f ca="1">IF($B314&lt;&gt;"PRC_RESID","",IF(AO$7=2005+OFFSET(COM_2012!$B$60,$AW314,SUMIF($B$10:$B$16,"NCAP_TLIFE",$AX$10:$AX$16)),0,""))</f>
        <v/>
      </c>
      <c r="AP314" s="369" t="str">
        <f ca="1">IF($B314&lt;&gt;"PRC_RESID","",IF(AP$7=2005+OFFSET(COM_2012!$B$60,$AW314,SUMIF($B$10:$B$16,"NCAP_TLIFE",$AX$10:$AX$16)),0,""))</f>
        <v/>
      </c>
      <c r="AQ314" s="369" t="str">
        <f ca="1">IF($B314&lt;&gt;"PRC_RESID","",IF(AQ$7=2005+OFFSET(COM_2012!$B$60,$AW314,SUMIF($B$10:$B$16,"NCAP_TLIFE",$AX$10:$AX$16)),0,""))</f>
        <v/>
      </c>
      <c r="AR314" s="369" t="str">
        <f ca="1">IF($B314&lt;&gt;"PRC_RESID","",IF(AR$7=2005+OFFSET(COM_2012!$B$60,$AW314,SUMIF($B$10:$B$16,"NCAP_TLIFE",$AX$10:$AX$16)),0,""))</f>
        <v/>
      </c>
      <c r="AS314" s="369" t="str">
        <f ca="1">IF($B314&lt;&gt;"PRC_RESID","",IF(AS$7=2005+OFFSET(COM_2012!$B$60,$AW314,SUMIF($B$10:$B$16,"NCAP_TLIFE",$AX$10:$AX$16)),0,""))</f>
        <v/>
      </c>
      <c r="AT314" s="369" t="str">
        <f ca="1">IF($B314&lt;&gt;"PRC_RESID","",IF(AT$7=2005+OFFSET(COM_2012!$B$60,$AW314,SUMIF($B$10:$B$16,"NCAP_TLIFE",$AX$10:$AX$16)),0,""))</f>
        <v/>
      </c>
      <c r="AU314" s="369" t="str">
        <f ca="1">IF($B314&lt;&gt;"PRC_RESID","",IF(AU$7=2005+OFFSET(COM_2012!$B$60,$AW314,SUMIF($B$10:$B$16,"NCAP_TLIFE",$AX$10:$AX$16)),0,""))</f>
        <v/>
      </c>
      <c r="AV314" s="304">
        <f>IF(AW313=COM_2012!$AI$121,AV313+1,AV313)</f>
        <v>5</v>
      </c>
      <c r="AW314" s="304">
        <f t="shared" si="29"/>
        <v>43</v>
      </c>
    </row>
    <row r="315" spans="1:49">
      <c r="A315" s="304" t="str">
        <f ca="1">IF(LEFT(OFFSET(COM_2012!$A$60,AW315,0),2)="\I","*","")</f>
        <v/>
      </c>
      <c r="B315" s="369" t="str">
        <f t="shared" ca="1" si="27"/>
        <v>NCAP_FOM</v>
      </c>
      <c r="C315" s="369" t="str">
        <f ca="1">IF($A315="*","",OFFSET(COM_2012!$B$60,AW315,0))</f>
        <v>CEGELCHPM-E</v>
      </c>
      <c r="D315" s="369" t="str">
        <f t="shared" ca="1" si="30"/>
        <v>-</v>
      </c>
      <c r="E315" s="369" t="str">
        <f t="shared" ca="1" si="30"/>
        <v>-</v>
      </c>
      <c r="F315" s="369" t="str">
        <f t="shared" ca="1" si="30"/>
        <v>-</v>
      </c>
      <c r="G315" s="369" t="str">
        <f t="shared" ca="1" si="30"/>
        <v>-</v>
      </c>
      <c r="H315" s="369" t="str">
        <f t="shared" ca="1" si="30"/>
        <v>-</v>
      </c>
      <c r="I315" s="370">
        <f t="shared" ca="1" si="30"/>
        <v>0</v>
      </c>
      <c r="J315" s="391">
        <f ca="1">IF($A315="*","",OFFSET(COM_2012!$B$60,AW315,SUMIF($B$10:$B$16,B315,$AX$10:$AX$16)))</f>
        <v>7.5829581287827852E-2</v>
      </c>
      <c r="K315" s="369" t="str">
        <f ca="1">IF($B315&lt;&gt;"PRC_RESID","",IF(K$7=2005+OFFSET(COM_2012!$B$60,$AW315,SUMIF($B$10:$B$16,"NCAP_TLIFE",$AX$10:$AX$16)),0,""))</f>
        <v/>
      </c>
      <c r="L315" s="369" t="str">
        <f ca="1">IF($B315&lt;&gt;"PRC_RESID","",IF(L$7=2005+OFFSET(COM_2012!$B$60,$AW315,SUMIF($B$10:$B$16,"NCAP_TLIFE",$AX$10:$AX$16)),0,""))</f>
        <v/>
      </c>
      <c r="M315" s="369" t="str">
        <f ca="1">IF($B315&lt;&gt;"PRC_RESID","",IF(M$7=2005+OFFSET(COM_2012!$B$60,$AW315,SUMIF($B$10:$B$16,"NCAP_TLIFE",$AX$10:$AX$16)),0,""))</f>
        <v/>
      </c>
      <c r="N315" s="369" t="str">
        <f ca="1">IF($B315&lt;&gt;"PRC_RESID","",IF(N$7=2005+OFFSET(COM_2012!$B$60,$AW315,SUMIF($B$10:$B$16,"NCAP_TLIFE",$AX$10:$AX$16)),0,""))</f>
        <v/>
      </c>
      <c r="O315" s="658" t="str">
        <f ca="1">IF($B315&lt;&gt;"PRC_RESID","",IF(O$7=2005+OFFSET(COM_2012!$B$60,$AW315,SUMIF($B$10:$B$16,"NCAP_TLIFE",$AX$10:$AX$16)),0,""))</f>
        <v/>
      </c>
      <c r="P315" s="369" t="str">
        <f ca="1">IF($B315&lt;&gt;"PRC_RESID","",IF(P$7=2005+OFFSET(COM_2012!$B$60,$AW315,SUMIF($B$10:$B$16,"NCAP_TLIFE",$AX$10:$AX$16)),0,""))</f>
        <v/>
      </c>
      <c r="Q315" s="369" t="str">
        <f ca="1">IF($B315&lt;&gt;"PRC_RESID","",IF(Q$7=2005+OFFSET(COM_2012!$B$60,$AW315,SUMIF($B$10:$B$16,"NCAP_TLIFE",$AX$10:$AX$16)),0,""))</f>
        <v/>
      </c>
      <c r="R315" s="369" t="str">
        <f ca="1">IF($B315&lt;&gt;"PRC_RESID","",IF(R$7=2005+OFFSET(COM_2012!$B$60,$AW315,SUMIF($B$10:$B$16,"NCAP_TLIFE",$AX$10:$AX$16)),0,""))</f>
        <v/>
      </c>
      <c r="S315" s="369" t="str">
        <f ca="1">IF($B315&lt;&gt;"PRC_RESID","",IF(S$7=2005+OFFSET(COM_2012!$B$60,$AW315,SUMIF($B$10:$B$16,"NCAP_TLIFE",$AX$10:$AX$16)),0,""))</f>
        <v/>
      </c>
      <c r="T315" s="369" t="str">
        <f ca="1">IF($B315&lt;&gt;"PRC_RESID","",IF(T$7=2005+OFFSET(COM_2012!$B$60,$AW315,SUMIF($B$10:$B$16,"NCAP_TLIFE",$AX$10:$AX$16)),0,""))</f>
        <v/>
      </c>
      <c r="U315" s="369" t="str">
        <f ca="1">IF($B315&lt;&gt;"PRC_RESID","",IF(U$7=2005+OFFSET(COM_2012!$B$60,$AW315,SUMIF($B$10:$B$16,"NCAP_TLIFE",$AX$10:$AX$16)),0,""))</f>
        <v/>
      </c>
      <c r="V315" s="369" t="str">
        <f ca="1">IF($B315&lt;&gt;"PRC_RESID","",IF(V$7=2005+OFFSET(COM_2012!$B$60,$AW315,SUMIF($B$10:$B$16,"NCAP_TLIFE",$AX$10:$AX$16)),0,""))</f>
        <v/>
      </c>
      <c r="W315" s="369" t="str">
        <f ca="1">IF($B315&lt;&gt;"PRC_RESID","",IF(W$7=2005+OFFSET(COM_2012!$B$60,$AW315,SUMIF($B$10:$B$16,"NCAP_TLIFE",$AX$10:$AX$16)),0,""))</f>
        <v/>
      </c>
      <c r="X315" s="369" t="str">
        <f ca="1">IF($B315&lt;&gt;"PRC_RESID","",IF(X$7=2005+OFFSET(COM_2012!$B$60,$AW315,SUMIF($B$10:$B$16,"NCAP_TLIFE",$AX$10:$AX$16)),0,""))</f>
        <v/>
      </c>
      <c r="Y315" s="369" t="str">
        <f ca="1">IF($B315&lt;&gt;"PRC_RESID","",IF(Y$7=2005+OFFSET(COM_2012!$B$60,$AW315,SUMIF($B$10:$B$16,"NCAP_TLIFE",$AX$10:$AX$16)),0,""))</f>
        <v/>
      </c>
      <c r="Z315" s="369" t="str">
        <f ca="1">IF($B315&lt;&gt;"PRC_RESID","",IF(Z$7=2005+OFFSET(COM_2012!$B$60,$AW315,SUMIF($B$10:$B$16,"NCAP_TLIFE",$AX$10:$AX$16)),0,""))</f>
        <v/>
      </c>
      <c r="AA315" s="369" t="str">
        <f ca="1">IF($B315&lt;&gt;"PRC_RESID","",IF(AA$7=2005+OFFSET(COM_2012!$B$60,$AW315,SUMIF($B$10:$B$16,"NCAP_TLIFE",$AX$10:$AX$16)),0,""))</f>
        <v/>
      </c>
      <c r="AB315" s="369" t="str">
        <f ca="1">IF($B315&lt;&gt;"PRC_RESID","",IF(AB$7=2005+OFFSET(COM_2012!$B$60,$AW315,SUMIF($B$10:$B$16,"NCAP_TLIFE",$AX$10:$AX$16)),0,""))</f>
        <v/>
      </c>
      <c r="AC315" s="369" t="str">
        <f ca="1">IF($B315&lt;&gt;"PRC_RESID","",IF(AC$7=2005+OFFSET(COM_2012!$B$60,$AW315,SUMIF($B$10:$B$16,"NCAP_TLIFE",$AX$10:$AX$16)),0,""))</f>
        <v/>
      </c>
      <c r="AD315" s="369" t="str">
        <f ca="1">IF($B315&lt;&gt;"PRC_RESID","",IF(AD$7=2005+OFFSET(COM_2012!$B$60,$AW315,SUMIF($B$10:$B$16,"NCAP_TLIFE",$AX$10:$AX$16)),0,""))</f>
        <v/>
      </c>
      <c r="AE315" s="369" t="str">
        <f ca="1">IF($B315&lt;&gt;"PRC_RESID","",IF(AE$7=2005+OFFSET(COM_2012!$B$60,$AW315,SUMIF($B$10:$B$16,"NCAP_TLIFE",$AX$10:$AX$16)),0,""))</f>
        <v/>
      </c>
      <c r="AF315" s="369" t="str">
        <f ca="1">IF($B315&lt;&gt;"PRC_RESID","",IF(AF$7=2005+OFFSET(COM_2012!$B$60,$AW315,SUMIF($B$10:$B$16,"NCAP_TLIFE",$AX$10:$AX$16)),0,""))</f>
        <v/>
      </c>
      <c r="AG315" s="369" t="str">
        <f ca="1">IF($B315&lt;&gt;"PRC_RESID","",IF(AG$7=2005+OFFSET(COM_2012!$B$60,$AW315,SUMIF($B$10:$B$16,"NCAP_TLIFE",$AX$10:$AX$16)),0,""))</f>
        <v/>
      </c>
      <c r="AH315" s="369" t="str">
        <f ca="1">IF($B315&lt;&gt;"PRC_RESID","",IF(AH$7=2005+OFFSET(COM_2012!$B$60,$AW315,SUMIF($B$10:$B$16,"NCAP_TLIFE",$AX$10:$AX$16)),0,""))</f>
        <v/>
      </c>
      <c r="AI315" s="369" t="str">
        <f ca="1">IF($B315&lt;&gt;"PRC_RESID","",IF(AI$7=2005+OFFSET(COM_2012!$B$60,$AW315,SUMIF($B$10:$B$16,"NCAP_TLIFE",$AX$10:$AX$16)),0,""))</f>
        <v/>
      </c>
      <c r="AJ315" s="369" t="str">
        <f ca="1">IF($B315&lt;&gt;"PRC_RESID","",IF(AJ$7=2005+OFFSET(COM_2012!$B$60,$AW315,SUMIF($B$10:$B$16,"NCAP_TLIFE",$AX$10:$AX$16)),0,""))</f>
        <v/>
      </c>
      <c r="AK315" s="369" t="str">
        <f ca="1">IF($B315&lt;&gt;"PRC_RESID","",IF(AK$7=2005+OFFSET(COM_2012!$B$60,$AW315,SUMIF($B$10:$B$16,"NCAP_TLIFE",$AX$10:$AX$16)),0,""))</f>
        <v/>
      </c>
      <c r="AL315" s="369" t="str">
        <f ca="1">IF($B315&lt;&gt;"PRC_RESID","",IF(AL$7=2005+OFFSET(COM_2012!$B$60,$AW315,SUMIF($B$10:$B$16,"NCAP_TLIFE",$AX$10:$AX$16)),0,""))</f>
        <v/>
      </c>
      <c r="AM315" s="369" t="str">
        <f ca="1">IF($B315&lt;&gt;"PRC_RESID","",IF(AM$7=2005+OFFSET(COM_2012!$B$60,$AW315,SUMIF($B$10:$B$16,"NCAP_TLIFE",$AX$10:$AX$16)),0,""))</f>
        <v/>
      </c>
      <c r="AN315" s="369" t="str">
        <f ca="1">IF($B315&lt;&gt;"PRC_RESID","",IF(AN$7=2005+OFFSET(COM_2012!$B$60,$AW315,SUMIF($B$10:$B$16,"NCAP_TLIFE",$AX$10:$AX$16)),0,""))</f>
        <v/>
      </c>
      <c r="AO315" s="369" t="str">
        <f ca="1">IF($B315&lt;&gt;"PRC_RESID","",IF(AO$7=2005+OFFSET(COM_2012!$B$60,$AW315,SUMIF($B$10:$B$16,"NCAP_TLIFE",$AX$10:$AX$16)),0,""))</f>
        <v/>
      </c>
      <c r="AP315" s="369" t="str">
        <f ca="1">IF($B315&lt;&gt;"PRC_RESID","",IF(AP$7=2005+OFFSET(COM_2012!$B$60,$AW315,SUMIF($B$10:$B$16,"NCAP_TLIFE",$AX$10:$AX$16)),0,""))</f>
        <v/>
      </c>
      <c r="AQ315" s="369" t="str">
        <f ca="1">IF($B315&lt;&gt;"PRC_RESID","",IF(AQ$7=2005+OFFSET(COM_2012!$B$60,$AW315,SUMIF($B$10:$B$16,"NCAP_TLIFE",$AX$10:$AX$16)),0,""))</f>
        <v/>
      </c>
      <c r="AR315" s="369" t="str">
        <f ca="1">IF($B315&lt;&gt;"PRC_RESID","",IF(AR$7=2005+OFFSET(COM_2012!$B$60,$AW315,SUMIF($B$10:$B$16,"NCAP_TLIFE",$AX$10:$AX$16)),0,""))</f>
        <v/>
      </c>
      <c r="AS315" s="369" t="str">
        <f ca="1">IF($B315&lt;&gt;"PRC_RESID","",IF(AS$7=2005+OFFSET(COM_2012!$B$60,$AW315,SUMIF($B$10:$B$16,"NCAP_TLIFE",$AX$10:$AX$16)),0,""))</f>
        <v/>
      </c>
      <c r="AT315" s="369" t="str">
        <f ca="1">IF($B315&lt;&gt;"PRC_RESID","",IF(AT$7=2005+OFFSET(COM_2012!$B$60,$AW315,SUMIF($B$10:$B$16,"NCAP_TLIFE",$AX$10:$AX$16)),0,""))</f>
        <v/>
      </c>
      <c r="AU315" s="369" t="str">
        <f ca="1">IF($B315&lt;&gt;"PRC_RESID","",IF(AU$7=2005+OFFSET(COM_2012!$B$60,$AW315,SUMIF($B$10:$B$16,"NCAP_TLIFE",$AX$10:$AX$16)),0,""))</f>
        <v/>
      </c>
      <c r="AV315" s="304">
        <f>IF(AW314=COM_2012!$AI$121,AV314+1,AV314)</f>
        <v>5</v>
      </c>
      <c r="AW315" s="304">
        <f t="shared" si="29"/>
        <v>44</v>
      </c>
    </row>
    <row r="316" spans="1:49">
      <c r="A316" s="304" t="str">
        <f ca="1">IF(LEFT(OFFSET(COM_2012!$A$60,AW316,0),2)="\I","*","")</f>
        <v/>
      </c>
      <c r="B316" s="369" t="str">
        <f t="shared" ca="1" si="27"/>
        <v>NCAP_FOM</v>
      </c>
      <c r="C316" s="369" t="str">
        <f ca="1">IF($A316="*","",OFFSET(COM_2012!$B$60,AW316,0))</f>
        <v>CEGELCHPS-E</v>
      </c>
      <c r="D316" s="369" t="str">
        <f t="shared" ca="1" si="30"/>
        <v>-</v>
      </c>
      <c r="E316" s="369" t="str">
        <f t="shared" ca="1" si="30"/>
        <v>-</v>
      </c>
      <c r="F316" s="369" t="str">
        <f t="shared" ca="1" si="30"/>
        <v>-</v>
      </c>
      <c r="G316" s="369" t="str">
        <f t="shared" ca="1" si="30"/>
        <v>-</v>
      </c>
      <c r="H316" s="369" t="str">
        <f t="shared" ca="1" si="30"/>
        <v>-</v>
      </c>
      <c r="I316" s="370">
        <f t="shared" ca="1" si="30"/>
        <v>0</v>
      </c>
      <c r="J316" s="391">
        <f ca="1">IF($A316="*","",OFFSET(COM_2012!$B$60,AW316,SUMIF($B$10:$B$16,B316,$AX$10:$AX$16)))</f>
        <v>7.5829581287827852E-2</v>
      </c>
      <c r="K316" s="369" t="str">
        <f ca="1">IF($B316&lt;&gt;"PRC_RESID","",IF(K$7=2005+OFFSET(COM_2012!$B$60,$AW316,SUMIF($B$10:$B$16,"NCAP_TLIFE",$AX$10:$AX$16)),0,""))</f>
        <v/>
      </c>
      <c r="L316" s="369" t="str">
        <f ca="1">IF($B316&lt;&gt;"PRC_RESID","",IF(L$7=2005+OFFSET(COM_2012!$B$60,$AW316,SUMIF($B$10:$B$16,"NCAP_TLIFE",$AX$10:$AX$16)),0,""))</f>
        <v/>
      </c>
      <c r="M316" s="369" t="str">
        <f ca="1">IF($B316&lt;&gt;"PRC_RESID","",IF(M$7=2005+OFFSET(COM_2012!$B$60,$AW316,SUMIF($B$10:$B$16,"NCAP_TLIFE",$AX$10:$AX$16)),0,""))</f>
        <v/>
      </c>
      <c r="N316" s="369" t="str">
        <f ca="1">IF($B316&lt;&gt;"PRC_RESID","",IF(N$7=2005+OFFSET(COM_2012!$B$60,$AW316,SUMIF($B$10:$B$16,"NCAP_TLIFE",$AX$10:$AX$16)),0,""))</f>
        <v/>
      </c>
      <c r="O316" s="658" t="str">
        <f ca="1">IF($B316&lt;&gt;"PRC_RESID","",IF(O$7=2005+OFFSET(COM_2012!$B$60,$AW316,SUMIF($B$10:$B$16,"NCAP_TLIFE",$AX$10:$AX$16)),0,""))</f>
        <v/>
      </c>
      <c r="P316" s="369" t="str">
        <f ca="1">IF($B316&lt;&gt;"PRC_RESID","",IF(P$7=2005+OFFSET(COM_2012!$B$60,$AW316,SUMIF($B$10:$B$16,"NCAP_TLIFE",$AX$10:$AX$16)),0,""))</f>
        <v/>
      </c>
      <c r="Q316" s="369" t="str">
        <f ca="1">IF($B316&lt;&gt;"PRC_RESID","",IF(Q$7=2005+OFFSET(COM_2012!$B$60,$AW316,SUMIF($B$10:$B$16,"NCAP_TLIFE",$AX$10:$AX$16)),0,""))</f>
        <v/>
      </c>
      <c r="R316" s="369" t="str">
        <f ca="1">IF($B316&lt;&gt;"PRC_RESID","",IF(R$7=2005+OFFSET(COM_2012!$B$60,$AW316,SUMIF($B$10:$B$16,"NCAP_TLIFE",$AX$10:$AX$16)),0,""))</f>
        <v/>
      </c>
      <c r="S316" s="369" t="str">
        <f ca="1">IF($B316&lt;&gt;"PRC_RESID","",IF(S$7=2005+OFFSET(COM_2012!$B$60,$AW316,SUMIF($B$10:$B$16,"NCAP_TLIFE",$AX$10:$AX$16)),0,""))</f>
        <v/>
      </c>
      <c r="T316" s="369" t="str">
        <f ca="1">IF($B316&lt;&gt;"PRC_RESID","",IF(T$7=2005+OFFSET(COM_2012!$B$60,$AW316,SUMIF($B$10:$B$16,"NCAP_TLIFE",$AX$10:$AX$16)),0,""))</f>
        <v/>
      </c>
      <c r="U316" s="369" t="str">
        <f ca="1">IF($B316&lt;&gt;"PRC_RESID","",IF(U$7=2005+OFFSET(COM_2012!$B$60,$AW316,SUMIF($B$10:$B$16,"NCAP_TLIFE",$AX$10:$AX$16)),0,""))</f>
        <v/>
      </c>
      <c r="V316" s="369" t="str">
        <f ca="1">IF($B316&lt;&gt;"PRC_RESID","",IF(V$7=2005+OFFSET(COM_2012!$B$60,$AW316,SUMIF($B$10:$B$16,"NCAP_TLIFE",$AX$10:$AX$16)),0,""))</f>
        <v/>
      </c>
      <c r="W316" s="369" t="str">
        <f ca="1">IF($B316&lt;&gt;"PRC_RESID","",IF(W$7=2005+OFFSET(COM_2012!$B$60,$AW316,SUMIF($B$10:$B$16,"NCAP_TLIFE",$AX$10:$AX$16)),0,""))</f>
        <v/>
      </c>
      <c r="X316" s="369" t="str">
        <f ca="1">IF($B316&lt;&gt;"PRC_RESID","",IF(X$7=2005+OFFSET(COM_2012!$B$60,$AW316,SUMIF($B$10:$B$16,"NCAP_TLIFE",$AX$10:$AX$16)),0,""))</f>
        <v/>
      </c>
      <c r="Y316" s="369" t="str">
        <f ca="1">IF($B316&lt;&gt;"PRC_RESID","",IF(Y$7=2005+OFFSET(COM_2012!$B$60,$AW316,SUMIF($B$10:$B$16,"NCAP_TLIFE",$AX$10:$AX$16)),0,""))</f>
        <v/>
      </c>
      <c r="Z316" s="369" t="str">
        <f ca="1">IF($B316&lt;&gt;"PRC_RESID","",IF(Z$7=2005+OFFSET(COM_2012!$B$60,$AW316,SUMIF($B$10:$B$16,"NCAP_TLIFE",$AX$10:$AX$16)),0,""))</f>
        <v/>
      </c>
      <c r="AA316" s="369" t="str">
        <f ca="1">IF($B316&lt;&gt;"PRC_RESID","",IF(AA$7=2005+OFFSET(COM_2012!$B$60,$AW316,SUMIF($B$10:$B$16,"NCAP_TLIFE",$AX$10:$AX$16)),0,""))</f>
        <v/>
      </c>
      <c r="AB316" s="369" t="str">
        <f ca="1">IF($B316&lt;&gt;"PRC_RESID","",IF(AB$7=2005+OFFSET(COM_2012!$B$60,$AW316,SUMIF($B$10:$B$16,"NCAP_TLIFE",$AX$10:$AX$16)),0,""))</f>
        <v/>
      </c>
      <c r="AC316" s="369" t="str">
        <f ca="1">IF($B316&lt;&gt;"PRC_RESID","",IF(AC$7=2005+OFFSET(COM_2012!$B$60,$AW316,SUMIF($B$10:$B$16,"NCAP_TLIFE",$AX$10:$AX$16)),0,""))</f>
        <v/>
      </c>
      <c r="AD316" s="369" t="str">
        <f ca="1">IF($B316&lt;&gt;"PRC_RESID","",IF(AD$7=2005+OFFSET(COM_2012!$B$60,$AW316,SUMIF($B$10:$B$16,"NCAP_TLIFE",$AX$10:$AX$16)),0,""))</f>
        <v/>
      </c>
      <c r="AE316" s="369" t="str">
        <f ca="1">IF($B316&lt;&gt;"PRC_RESID","",IF(AE$7=2005+OFFSET(COM_2012!$B$60,$AW316,SUMIF($B$10:$B$16,"NCAP_TLIFE",$AX$10:$AX$16)),0,""))</f>
        <v/>
      </c>
      <c r="AF316" s="369" t="str">
        <f ca="1">IF($B316&lt;&gt;"PRC_RESID","",IF(AF$7=2005+OFFSET(COM_2012!$B$60,$AW316,SUMIF($B$10:$B$16,"NCAP_TLIFE",$AX$10:$AX$16)),0,""))</f>
        <v/>
      </c>
      <c r="AG316" s="369" t="str">
        <f ca="1">IF($B316&lt;&gt;"PRC_RESID","",IF(AG$7=2005+OFFSET(COM_2012!$B$60,$AW316,SUMIF($B$10:$B$16,"NCAP_TLIFE",$AX$10:$AX$16)),0,""))</f>
        <v/>
      </c>
      <c r="AH316" s="369" t="str">
        <f ca="1">IF($B316&lt;&gt;"PRC_RESID","",IF(AH$7=2005+OFFSET(COM_2012!$B$60,$AW316,SUMIF($B$10:$B$16,"NCAP_TLIFE",$AX$10:$AX$16)),0,""))</f>
        <v/>
      </c>
      <c r="AI316" s="369" t="str">
        <f ca="1">IF($B316&lt;&gt;"PRC_RESID","",IF(AI$7=2005+OFFSET(COM_2012!$B$60,$AW316,SUMIF($B$10:$B$16,"NCAP_TLIFE",$AX$10:$AX$16)),0,""))</f>
        <v/>
      </c>
      <c r="AJ316" s="369" t="str">
        <f ca="1">IF($B316&lt;&gt;"PRC_RESID","",IF(AJ$7=2005+OFFSET(COM_2012!$B$60,$AW316,SUMIF($B$10:$B$16,"NCAP_TLIFE",$AX$10:$AX$16)),0,""))</f>
        <v/>
      </c>
      <c r="AK316" s="369" t="str">
        <f ca="1">IF($B316&lt;&gt;"PRC_RESID","",IF(AK$7=2005+OFFSET(COM_2012!$B$60,$AW316,SUMIF($B$10:$B$16,"NCAP_TLIFE",$AX$10:$AX$16)),0,""))</f>
        <v/>
      </c>
      <c r="AL316" s="369" t="str">
        <f ca="1">IF($B316&lt;&gt;"PRC_RESID","",IF(AL$7=2005+OFFSET(COM_2012!$B$60,$AW316,SUMIF($B$10:$B$16,"NCAP_TLIFE",$AX$10:$AX$16)),0,""))</f>
        <v/>
      </c>
      <c r="AM316" s="369" t="str">
        <f ca="1">IF($B316&lt;&gt;"PRC_RESID","",IF(AM$7=2005+OFFSET(COM_2012!$B$60,$AW316,SUMIF($B$10:$B$16,"NCAP_TLIFE",$AX$10:$AX$16)),0,""))</f>
        <v/>
      </c>
      <c r="AN316" s="369" t="str">
        <f ca="1">IF($B316&lt;&gt;"PRC_RESID","",IF(AN$7=2005+OFFSET(COM_2012!$B$60,$AW316,SUMIF($B$10:$B$16,"NCAP_TLIFE",$AX$10:$AX$16)),0,""))</f>
        <v/>
      </c>
      <c r="AO316" s="369" t="str">
        <f ca="1">IF($B316&lt;&gt;"PRC_RESID","",IF(AO$7=2005+OFFSET(COM_2012!$B$60,$AW316,SUMIF($B$10:$B$16,"NCAP_TLIFE",$AX$10:$AX$16)),0,""))</f>
        <v/>
      </c>
      <c r="AP316" s="369" t="str">
        <f ca="1">IF($B316&lt;&gt;"PRC_RESID","",IF(AP$7=2005+OFFSET(COM_2012!$B$60,$AW316,SUMIF($B$10:$B$16,"NCAP_TLIFE",$AX$10:$AX$16)),0,""))</f>
        <v/>
      </c>
      <c r="AQ316" s="369" t="str">
        <f ca="1">IF($B316&lt;&gt;"PRC_RESID","",IF(AQ$7=2005+OFFSET(COM_2012!$B$60,$AW316,SUMIF($B$10:$B$16,"NCAP_TLIFE",$AX$10:$AX$16)),0,""))</f>
        <v/>
      </c>
      <c r="AR316" s="369" t="str">
        <f ca="1">IF($B316&lt;&gt;"PRC_RESID","",IF(AR$7=2005+OFFSET(COM_2012!$B$60,$AW316,SUMIF($B$10:$B$16,"NCAP_TLIFE",$AX$10:$AX$16)),0,""))</f>
        <v/>
      </c>
      <c r="AS316" s="369" t="str">
        <f ca="1">IF($B316&lt;&gt;"PRC_RESID","",IF(AS$7=2005+OFFSET(COM_2012!$B$60,$AW316,SUMIF($B$10:$B$16,"NCAP_TLIFE",$AX$10:$AX$16)),0,""))</f>
        <v/>
      </c>
      <c r="AT316" s="369" t="str">
        <f ca="1">IF($B316&lt;&gt;"PRC_RESID","",IF(AT$7=2005+OFFSET(COM_2012!$B$60,$AW316,SUMIF($B$10:$B$16,"NCAP_TLIFE",$AX$10:$AX$16)),0,""))</f>
        <v/>
      </c>
      <c r="AU316" s="369" t="str">
        <f ca="1">IF($B316&lt;&gt;"PRC_RESID","",IF(AU$7=2005+OFFSET(COM_2012!$B$60,$AW316,SUMIF($B$10:$B$16,"NCAP_TLIFE",$AX$10:$AX$16)),0,""))</f>
        <v/>
      </c>
      <c r="AV316" s="304">
        <f>IF(AW315=COM_2012!$AI$121,AV315+1,AV315)</f>
        <v>5</v>
      </c>
      <c r="AW316" s="304">
        <f t="shared" si="29"/>
        <v>45</v>
      </c>
    </row>
    <row r="317" spans="1:49">
      <c r="A317" s="304" t="str">
        <f ca="1">IF(LEFT(OFFSET(COM_2012!$A$60,AW317,0),2)="\I","*","")</f>
        <v/>
      </c>
      <c r="B317" s="369" t="str">
        <f t="shared" ca="1" si="27"/>
        <v>NCAP_FOM</v>
      </c>
      <c r="C317" s="369" t="str">
        <f ca="1">IF($A317="*","",OFFSET(COM_2012!$B$60,AW317,0))</f>
        <v>CEGELCMHL-E</v>
      </c>
      <c r="D317" s="369" t="str">
        <f t="shared" ca="1" si="30"/>
        <v>-</v>
      </c>
      <c r="E317" s="369" t="str">
        <f t="shared" ca="1" si="30"/>
        <v>-</v>
      </c>
      <c r="F317" s="369" t="str">
        <f t="shared" ca="1" si="30"/>
        <v>-</v>
      </c>
      <c r="G317" s="369" t="str">
        <f t="shared" ca="1" si="30"/>
        <v>-</v>
      </c>
      <c r="H317" s="369" t="str">
        <f t="shared" ca="1" si="30"/>
        <v>-</v>
      </c>
      <c r="I317" s="370">
        <f t="shared" ca="1" si="30"/>
        <v>0</v>
      </c>
      <c r="J317" s="391">
        <f ca="1">IF($A317="*","",OFFSET(COM_2012!$B$60,AW317,SUMIF($B$10:$B$16,B317,$AX$10:$AX$16)))</f>
        <v>3.0666374785518619E-2</v>
      </c>
      <c r="K317" s="369" t="str">
        <f ca="1">IF($B317&lt;&gt;"PRC_RESID","",IF(K$7=2005+OFFSET(COM_2012!$B$60,$AW317,SUMIF($B$10:$B$16,"NCAP_TLIFE",$AX$10:$AX$16)),0,""))</f>
        <v/>
      </c>
      <c r="L317" s="369" t="str">
        <f ca="1">IF($B317&lt;&gt;"PRC_RESID","",IF(L$7=2005+OFFSET(COM_2012!$B$60,$AW317,SUMIF($B$10:$B$16,"NCAP_TLIFE",$AX$10:$AX$16)),0,""))</f>
        <v/>
      </c>
      <c r="M317" s="369" t="str">
        <f ca="1">IF($B317&lt;&gt;"PRC_RESID","",IF(M$7=2005+OFFSET(COM_2012!$B$60,$AW317,SUMIF($B$10:$B$16,"NCAP_TLIFE",$AX$10:$AX$16)),0,""))</f>
        <v/>
      </c>
      <c r="N317" s="369" t="str">
        <f ca="1">IF($B317&lt;&gt;"PRC_RESID","",IF(N$7=2005+OFFSET(COM_2012!$B$60,$AW317,SUMIF($B$10:$B$16,"NCAP_TLIFE",$AX$10:$AX$16)),0,""))</f>
        <v/>
      </c>
      <c r="O317" s="658" t="str">
        <f ca="1">IF($B317&lt;&gt;"PRC_RESID","",IF(O$7=2005+OFFSET(COM_2012!$B$60,$AW317,SUMIF($B$10:$B$16,"NCAP_TLIFE",$AX$10:$AX$16)),0,""))</f>
        <v/>
      </c>
      <c r="P317" s="369" t="str">
        <f ca="1">IF($B317&lt;&gt;"PRC_RESID","",IF(P$7=2005+OFFSET(COM_2012!$B$60,$AW317,SUMIF($B$10:$B$16,"NCAP_TLIFE",$AX$10:$AX$16)),0,""))</f>
        <v/>
      </c>
      <c r="Q317" s="369" t="str">
        <f ca="1">IF($B317&lt;&gt;"PRC_RESID","",IF(Q$7=2005+OFFSET(COM_2012!$B$60,$AW317,SUMIF($B$10:$B$16,"NCAP_TLIFE",$AX$10:$AX$16)),0,""))</f>
        <v/>
      </c>
      <c r="R317" s="369" t="str">
        <f ca="1">IF($B317&lt;&gt;"PRC_RESID","",IF(R$7=2005+OFFSET(COM_2012!$B$60,$AW317,SUMIF($B$10:$B$16,"NCAP_TLIFE",$AX$10:$AX$16)),0,""))</f>
        <v/>
      </c>
      <c r="S317" s="369" t="str">
        <f ca="1">IF($B317&lt;&gt;"PRC_RESID","",IF(S$7=2005+OFFSET(COM_2012!$B$60,$AW317,SUMIF($B$10:$B$16,"NCAP_TLIFE",$AX$10:$AX$16)),0,""))</f>
        <v/>
      </c>
      <c r="T317" s="369" t="str">
        <f ca="1">IF($B317&lt;&gt;"PRC_RESID","",IF(T$7=2005+OFFSET(COM_2012!$B$60,$AW317,SUMIF($B$10:$B$16,"NCAP_TLIFE",$AX$10:$AX$16)),0,""))</f>
        <v/>
      </c>
      <c r="U317" s="369" t="str">
        <f ca="1">IF($B317&lt;&gt;"PRC_RESID","",IF(U$7=2005+OFFSET(COM_2012!$B$60,$AW317,SUMIF($B$10:$B$16,"NCAP_TLIFE",$AX$10:$AX$16)),0,""))</f>
        <v/>
      </c>
      <c r="V317" s="369" t="str">
        <f ca="1">IF($B317&lt;&gt;"PRC_RESID","",IF(V$7=2005+OFFSET(COM_2012!$B$60,$AW317,SUMIF($B$10:$B$16,"NCAP_TLIFE",$AX$10:$AX$16)),0,""))</f>
        <v/>
      </c>
      <c r="W317" s="369" t="str">
        <f ca="1">IF($B317&lt;&gt;"PRC_RESID","",IF(W$7=2005+OFFSET(COM_2012!$B$60,$AW317,SUMIF($B$10:$B$16,"NCAP_TLIFE",$AX$10:$AX$16)),0,""))</f>
        <v/>
      </c>
      <c r="X317" s="369" t="str">
        <f ca="1">IF($B317&lt;&gt;"PRC_RESID","",IF(X$7=2005+OFFSET(COM_2012!$B$60,$AW317,SUMIF($B$10:$B$16,"NCAP_TLIFE",$AX$10:$AX$16)),0,""))</f>
        <v/>
      </c>
      <c r="Y317" s="369" t="str">
        <f ca="1">IF($B317&lt;&gt;"PRC_RESID","",IF(Y$7=2005+OFFSET(COM_2012!$B$60,$AW317,SUMIF($B$10:$B$16,"NCAP_TLIFE",$AX$10:$AX$16)),0,""))</f>
        <v/>
      </c>
      <c r="Z317" s="369" t="str">
        <f ca="1">IF($B317&lt;&gt;"PRC_RESID","",IF(Z$7=2005+OFFSET(COM_2012!$B$60,$AW317,SUMIF($B$10:$B$16,"NCAP_TLIFE",$AX$10:$AX$16)),0,""))</f>
        <v/>
      </c>
      <c r="AA317" s="369" t="str">
        <f ca="1">IF($B317&lt;&gt;"PRC_RESID","",IF(AA$7=2005+OFFSET(COM_2012!$B$60,$AW317,SUMIF($B$10:$B$16,"NCAP_TLIFE",$AX$10:$AX$16)),0,""))</f>
        <v/>
      </c>
      <c r="AB317" s="369" t="str">
        <f ca="1">IF($B317&lt;&gt;"PRC_RESID","",IF(AB$7=2005+OFFSET(COM_2012!$B$60,$AW317,SUMIF($B$10:$B$16,"NCAP_TLIFE",$AX$10:$AX$16)),0,""))</f>
        <v/>
      </c>
      <c r="AC317" s="369" t="str">
        <f ca="1">IF($B317&lt;&gt;"PRC_RESID","",IF(AC$7=2005+OFFSET(COM_2012!$B$60,$AW317,SUMIF($B$10:$B$16,"NCAP_TLIFE",$AX$10:$AX$16)),0,""))</f>
        <v/>
      </c>
      <c r="AD317" s="369" t="str">
        <f ca="1">IF($B317&lt;&gt;"PRC_RESID","",IF(AD$7=2005+OFFSET(COM_2012!$B$60,$AW317,SUMIF($B$10:$B$16,"NCAP_TLIFE",$AX$10:$AX$16)),0,""))</f>
        <v/>
      </c>
      <c r="AE317" s="369" t="str">
        <f ca="1">IF($B317&lt;&gt;"PRC_RESID","",IF(AE$7=2005+OFFSET(COM_2012!$B$60,$AW317,SUMIF($B$10:$B$16,"NCAP_TLIFE",$AX$10:$AX$16)),0,""))</f>
        <v/>
      </c>
      <c r="AF317" s="369" t="str">
        <f ca="1">IF($B317&lt;&gt;"PRC_RESID","",IF(AF$7=2005+OFFSET(COM_2012!$B$60,$AW317,SUMIF($B$10:$B$16,"NCAP_TLIFE",$AX$10:$AX$16)),0,""))</f>
        <v/>
      </c>
      <c r="AG317" s="369" t="str">
        <f ca="1">IF($B317&lt;&gt;"PRC_RESID","",IF(AG$7=2005+OFFSET(COM_2012!$B$60,$AW317,SUMIF($B$10:$B$16,"NCAP_TLIFE",$AX$10:$AX$16)),0,""))</f>
        <v/>
      </c>
      <c r="AH317" s="369" t="str">
        <f ca="1">IF($B317&lt;&gt;"PRC_RESID","",IF(AH$7=2005+OFFSET(COM_2012!$B$60,$AW317,SUMIF($B$10:$B$16,"NCAP_TLIFE",$AX$10:$AX$16)),0,""))</f>
        <v/>
      </c>
      <c r="AI317" s="369" t="str">
        <f ca="1">IF($B317&lt;&gt;"PRC_RESID","",IF(AI$7=2005+OFFSET(COM_2012!$B$60,$AW317,SUMIF($B$10:$B$16,"NCAP_TLIFE",$AX$10:$AX$16)),0,""))</f>
        <v/>
      </c>
      <c r="AJ317" s="369" t="str">
        <f ca="1">IF($B317&lt;&gt;"PRC_RESID","",IF(AJ$7=2005+OFFSET(COM_2012!$B$60,$AW317,SUMIF($B$10:$B$16,"NCAP_TLIFE",$AX$10:$AX$16)),0,""))</f>
        <v/>
      </c>
      <c r="AK317" s="369" t="str">
        <f ca="1">IF($B317&lt;&gt;"PRC_RESID","",IF(AK$7=2005+OFFSET(COM_2012!$B$60,$AW317,SUMIF($B$10:$B$16,"NCAP_TLIFE",$AX$10:$AX$16)),0,""))</f>
        <v/>
      </c>
      <c r="AL317" s="369" t="str">
        <f ca="1">IF($B317&lt;&gt;"PRC_RESID","",IF(AL$7=2005+OFFSET(COM_2012!$B$60,$AW317,SUMIF($B$10:$B$16,"NCAP_TLIFE",$AX$10:$AX$16)),0,""))</f>
        <v/>
      </c>
      <c r="AM317" s="369" t="str">
        <f ca="1">IF($B317&lt;&gt;"PRC_RESID","",IF(AM$7=2005+OFFSET(COM_2012!$B$60,$AW317,SUMIF($B$10:$B$16,"NCAP_TLIFE",$AX$10:$AX$16)),0,""))</f>
        <v/>
      </c>
      <c r="AN317" s="369" t="str">
        <f ca="1">IF($B317&lt;&gt;"PRC_RESID","",IF(AN$7=2005+OFFSET(COM_2012!$B$60,$AW317,SUMIF($B$10:$B$16,"NCAP_TLIFE",$AX$10:$AX$16)),0,""))</f>
        <v/>
      </c>
      <c r="AO317" s="369" t="str">
        <f ca="1">IF($B317&lt;&gt;"PRC_RESID","",IF(AO$7=2005+OFFSET(COM_2012!$B$60,$AW317,SUMIF($B$10:$B$16,"NCAP_TLIFE",$AX$10:$AX$16)),0,""))</f>
        <v/>
      </c>
      <c r="AP317" s="369" t="str">
        <f ca="1">IF($B317&lt;&gt;"PRC_RESID","",IF(AP$7=2005+OFFSET(COM_2012!$B$60,$AW317,SUMIF($B$10:$B$16,"NCAP_TLIFE",$AX$10:$AX$16)),0,""))</f>
        <v/>
      </c>
      <c r="AQ317" s="369" t="str">
        <f ca="1">IF($B317&lt;&gt;"PRC_RESID","",IF(AQ$7=2005+OFFSET(COM_2012!$B$60,$AW317,SUMIF($B$10:$B$16,"NCAP_TLIFE",$AX$10:$AX$16)),0,""))</f>
        <v/>
      </c>
      <c r="AR317" s="369" t="str">
        <f ca="1">IF($B317&lt;&gt;"PRC_RESID","",IF(AR$7=2005+OFFSET(COM_2012!$B$60,$AW317,SUMIF($B$10:$B$16,"NCAP_TLIFE",$AX$10:$AX$16)),0,""))</f>
        <v/>
      </c>
      <c r="AS317" s="369" t="str">
        <f ca="1">IF($B317&lt;&gt;"PRC_RESID","",IF(AS$7=2005+OFFSET(COM_2012!$B$60,$AW317,SUMIF($B$10:$B$16,"NCAP_TLIFE",$AX$10:$AX$16)),0,""))</f>
        <v/>
      </c>
      <c r="AT317" s="369" t="str">
        <f ca="1">IF($B317&lt;&gt;"PRC_RESID","",IF(AT$7=2005+OFFSET(COM_2012!$B$60,$AW317,SUMIF($B$10:$B$16,"NCAP_TLIFE",$AX$10:$AX$16)),0,""))</f>
        <v/>
      </c>
      <c r="AU317" s="369" t="str">
        <f ca="1">IF($B317&lt;&gt;"PRC_RESID","",IF(AU$7=2005+OFFSET(COM_2012!$B$60,$AW317,SUMIF($B$10:$B$16,"NCAP_TLIFE",$AX$10:$AX$16)),0,""))</f>
        <v/>
      </c>
      <c r="AV317" s="304">
        <f>IF(AW316=COM_2012!$AI$121,AV316+1,AV316)</f>
        <v>5</v>
      </c>
      <c r="AW317" s="304">
        <f t="shared" si="29"/>
        <v>46</v>
      </c>
    </row>
    <row r="318" spans="1:49">
      <c r="A318" s="304" t="str">
        <f ca="1">IF(LEFT(OFFSET(COM_2012!$A$60,AW318,0),2)="\I","*","")</f>
        <v/>
      </c>
      <c r="B318" s="369" t="str">
        <f t="shared" ca="1" si="27"/>
        <v>NCAP_FOM</v>
      </c>
      <c r="C318" s="369" t="str">
        <f ca="1">IF($A318="*","",OFFSET(COM_2012!$B$60,AW318,0))</f>
        <v>CEGELCLED-N</v>
      </c>
      <c r="D318" s="369" t="str">
        <f t="shared" ca="1" si="30"/>
        <v>-</v>
      </c>
      <c r="E318" s="369" t="str">
        <f t="shared" ca="1" si="30"/>
        <v>-</v>
      </c>
      <c r="F318" s="369" t="str">
        <f t="shared" ca="1" si="30"/>
        <v>-</v>
      </c>
      <c r="G318" s="369" t="str">
        <f t="shared" ca="1" si="30"/>
        <v>-</v>
      </c>
      <c r="H318" s="369" t="str">
        <f t="shared" ca="1" si="30"/>
        <v>-</v>
      </c>
      <c r="I318" s="370">
        <f t="shared" ca="1" si="30"/>
        <v>0</v>
      </c>
      <c r="J318" s="391">
        <f ca="1">IF($A318="*","",OFFSET(COM_2012!$B$60,AW318,SUMIF($B$10:$B$16,B318,$AX$10:$AX$16)))</f>
        <v>0.49258814903416526</v>
      </c>
      <c r="K318" s="369" t="str">
        <f ca="1">IF($B318&lt;&gt;"PRC_RESID","",IF(K$7=2005+OFFSET(COM_2012!$B$60,$AW318,SUMIF($B$10:$B$16,"NCAP_TLIFE",$AX$10:$AX$16)),0,""))</f>
        <v/>
      </c>
      <c r="L318" s="369" t="str">
        <f ca="1">IF($B318&lt;&gt;"PRC_RESID","",IF(L$7=2005+OFFSET(COM_2012!$B$60,$AW318,SUMIF($B$10:$B$16,"NCAP_TLIFE",$AX$10:$AX$16)),0,""))</f>
        <v/>
      </c>
      <c r="M318" s="369" t="str">
        <f ca="1">IF($B318&lt;&gt;"PRC_RESID","",IF(M$7=2005+OFFSET(COM_2012!$B$60,$AW318,SUMIF($B$10:$B$16,"NCAP_TLIFE",$AX$10:$AX$16)),0,""))</f>
        <v/>
      </c>
      <c r="N318" s="369" t="str">
        <f ca="1">IF($B318&lt;&gt;"PRC_RESID","",IF(N$7=2005+OFFSET(COM_2012!$B$60,$AW318,SUMIF($B$10:$B$16,"NCAP_TLIFE",$AX$10:$AX$16)),0,""))</f>
        <v/>
      </c>
      <c r="O318" s="658" t="str">
        <f ca="1">IF($B318&lt;&gt;"PRC_RESID","",IF(O$7=2005+OFFSET(COM_2012!$B$60,$AW318,SUMIF($B$10:$B$16,"NCAP_TLIFE",$AX$10:$AX$16)),0,""))</f>
        <v/>
      </c>
      <c r="P318" s="369" t="str">
        <f ca="1">IF($B318&lt;&gt;"PRC_RESID","",IF(P$7=2005+OFFSET(COM_2012!$B$60,$AW318,SUMIF($B$10:$B$16,"NCAP_TLIFE",$AX$10:$AX$16)),0,""))</f>
        <v/>
      </c>
      <c r="Q318" s="369" t="str">
        <f ca="1">IF($B318&lt;&gt;"PRC_RESID","",IF(Q$7=2005+OFFSET(COM_2012!$B$60,$AW318,SUMIF($B$10:$B$16,"NCAP_TLIFE",$AX$10:$AX$16)),0,""))</f>
        <v/>
      </c>
      <c r="R318" s="369" t="str">
        <f ca="1">IF($B318&lt;&gt;"PRC_RESID","",IF(R$7=2005+OFFSET(COM_2012!$B$60,$AW318,SUMIF($B$10:$B$16,"NCAP_TLIFE",$AX$10:$AX$16)),0,""))</f>
        <v/>
      </c>
      <c r="S318" s="369" t="str">
        <f ca="1">IF($B318&lt;&gt;"PRC_RESID","",IF(S$7=2005+OFFSET(COM_2012!$B$60,$AW318,SUMIF($B$10:$B$16,"NCAP_TLIFE",$AX$10:$AX$16)),0,""))</f>
        <v/>
      </c>
      <c r="T318" s="369" t="str">
        <f ca="1">IF($B318&lt;&gt;"PRC_RESID","",IF(T$7=2005+OFFSET(COM_2012!$B$60,$AW318,SUMIF($B$10:$B$16,"NCAP_TLIFE",$AX$10:$AX$16)),0,""))</f>
        <v/>
      </c>
      <c r="U318" s="369" t="str">
        <f ca="1">IF($B318&lt;&gt;"PRC_RESID","",IF(U$7=2005+OFFSET(COM_2012!$B$60,$AW318,SUMIF($B$10:$B$16,"NCAP_TLIFE",$AX$10:$AX$16)),0,""))</f>
        <v/>
      </c>
      <c r="V318" s="369" t="str">
        <f ca="1">IF($B318&lt;&gt;"PRC_RESID","",IF(V$7=2005+OFFSET(COM_2012!$B$60,$AW318,SUMIF($B$10:$B$16,"NCAP_TLIFE",$AX$10:$AX$16)),0,""))</f>
        <v/>
      </c>
      <c r="W318" s="369" t="str">
        <f ca="1">IF($B318&lt;&gt;"PRC_RESID","",IF(W$7=2005+OFFSET(COM_2012!$B$60,$AW318,SUMIF($B$10:$B$16,"NCAP_TLIFE",$AX$10:$AX$16)),0,""))</f>
        <v/>
      </c>
      <c r="X318" s="369" t="str">
        <f ca="1">IF($B318&lt;&gt;"PRC_RESID","",IF(X$7=2005+OFFSET(COM_2012!$B$60,$AW318,SUMIF($B$10:$B$16,"NCAP_TLIFE",$AX$10:$AX$16)),0,""))</f>
        <v/>
      </c>
      <c r="Y318" s="369" t="str">
        <f ca="1">IF($B318&lt;&gt;"PRC_RESID","",IF(Y$7=2005+OFFSET(COM_2012!$B$60,$AW318,SUMIF($B$10:$B$16,"NCAP_TLIFE",$AX$10:$AX$16)),0,""))</f>
        <v/>
      </c>
      <c r="Z318" s="369" t="str">
        <f ca="1">IF($B318&lt;&gt;"PRC_RESID","",IF(Z$7=2005+OFFSET(COM_2012!$B$60,$AW318,SUMIF($B$10:$B$16,"NCAP_TLIFE",$AX$10:$AX$16)),0,""))</f>
        <v/>
      </c>
      <c r="AA318" s="369" t="str">
        <f ca="1">IF($B318&lt;&gt;"PRC_RESID","",IF(AA$7=2005+OFFSET(COM_2012!$B$60,$AW318,SUMIF($B$10:$B$16,"NCAP_TLIFE",$AX$10:$AX$16)),0,""))</f>
        <v/>
      </c>
      <c r="AB318" s="369" t="str">
        <f ca="1">IF($B318&lt;&gt;"PRC_RESID","",IF(AB$7=2005+OFFSET(COM_2012!$B$60,$AW318,SUMIF($B$10:$B$16,"NCAP_TLIFE",$AX$10:$AX$16)),0,""))</f>
        <v/>
      </c>
      <c r="AC318" s="369" t="str">
        <f ca="1">IF($B318&lt;&gt;"PRC_RESID","",IF(AC$7=2005+OFFSET(COM_2012!$B$60,$AW318,SUMIF($B$10:$B$16,"NCAP_TLIFE",$AX$10:$AX$16)),0,""))</f>
        <v/>
      </c>
      <c r="AD318" s="369" t="str">
        <f ca="1">IF($B318&lt;&gt;"PRC_RESID","",IF(AD$7=2005+OFFSET(COM_2012!$B$60,$AW318,SUMIF($B$10:$B$16,"NCAP_TLIFE",$AX$10:$AX$16)),0,""))</f>
        <v/>
      </c>
      <c r="AE318" s="369" t="str">
        <f ca="1">IF($B318&lt;&gt;"PRC_RESID","",IF(AE$7=2005+OFFSET(COM_2012!$B$60,$AW318,SUMIF($B$10:$B$16,"NCAP_TLIFE",$AX$10:$AX$16)),0,""))</f>
        <v/>
      </c>
      <c r="AF318" s="369" t="str">
        <f ca="1">IF($B318&lt;&gt;"PRC_RESID","",IF(AF$7=2005+OFFSET(COM_2012!$B$60,$AW318,SUMIF($B$10:$B$16,"NCAP_TLIFE",$AX$10:$AX$16)),0,""))</f>
        <v/>
      </c>
      <c r="AG318" s="369" t="str">
        <f ca="1">IF($B318&lt;&gt;"PRC_RESID","",IF(AG$7=2005+OFFSET(COM_2012!$B$60,$AW318,SUMIF($B$10:$B$16,"NCAP_TLIFE",$AX$10:$AX$16)),0,""))</f>
        <v/>
      </c>
      <c r="AH318" s="369" t="str">
        <f ca="1">IF($B318&lt;&gt;"PRC_RESID","",IF(AH$7=2005+OFFSET(COM_2012!$B$60,$AW318,SUMIF($B$10:$B$16,"NCAP_TLIFE",$AX$10:$AX$16)),0,""))</f>
        <v/>
      </c>
      <c r="AI318" s="369" t="str">
        <f ca="1">IF($B318&lt;&gt;"PRC_RESID","",IF(AI$7=2005+OFFSET(COM_2012!$B$60,$AW318,SUMIF($B$10:$B$16,"NCAP_TLIFE",$AX$10:$AX$16)),0,""))</f>
        <v/>
      </c>
      <c r="AJ318" s="369" t="str">
        <f ca="1">IF($B318&lt;&gt;"PRC_RESID","",IF(AJ$7=2005+OFFSET(COM_2012!$B$60,$AW318,SUMIF($B$10:$B$16,"NCAP_TLIFE",$AX$10:$AX$16)),0,""))</f>
        <v/>
      </c>
      <c r="AK318" s="369" t="str">
        <f ca="1">IF($B318&lt;&gt;"PRC_RESID","",IF(AK$7=2005+OFFSET(COM_2012!$B$60,$AW318,SUMIF($B$10:$B$16,"NCAP_TLIFE",$AX$10:$AX$16)),0,""))</f>
        <v/>
      </c>
      <c r="AL318" s="369" t="str">
        <f ca="1">IF($B318&lt;&gt;"PRC_RESID","",IF(AL$7=2005+OFFSET(COM_2012!$B$60,$AW318,SUMIF($B$10:$B$16,"NCAP_TLIFE",$AX$10:$AX$16)),0,""))</f>
        <v/>
      </c>
      <c r="AM318" s="369" t="str">
        <f ca="1">IF($B318&lt;&gt;"PRC_RESID","",IF(AM$7=2005+OFFSET(COM_2012!$B$60,$AW318,SUMIF($B$10:$B$16,"NCAP_TLIFE",$AX$10:$AX$16)),0,""))</f>
        <v/>
      </c>
      <c r="AN318" s="369" t="str">
        <f ca="1">IF($B318&lt;&gt;"PRC_RESID","",IF(AN$7=2005+OFFSET(COM_2012!$B$60,$AW318,SUMIF($B$10:$B$16,"NCAP_TLIFE",$AX$10:$AX$16)),0,""))</f>
        <v/>
      </c>
      <c r="AO318" s="369" t="str">
        <f ca="1">IF($B318&lt;&gt;"PRC_RESID","",IF(AO$7=2005+OFFSET(COM_2012!$B$60,$AW318,SUMIF($B$10:$B$16,"NCAP_TLIFE",$AX$10:$AX$16)),0,""))</f>
        <v/>
      </c>
      <c r="AP318" s="369" t="str">
        <f ca="1">IF($B318&lt;&gt;"PRC_RESID","",IF(AP$7=2005+OFFSET(COM_2012!$B$60,$AW318,SUMIF($B$10:$B$16,"NCAP_TLIFE",$AX$10:$AX$16)),0,""))</f>
        <v/>
      </c>
      <c r="AQ318" s="369" t="str">
        <f ca="1">IF($B318&lt;&gt;"PRC_RESID","",IF(AQ$7=2005+OFFSET(COM_2012!$B$60,$AW318,SUMIF($B$10:$B$16,"NCAP_TLIFE",$AX$10:$AX$16)),0,""))</f>
        <v/>
      </c>
      <c r="AR318" s="369" t="str">
        <f ca="1">IF($B318&lt;&gt;"PRC_RESID","",IF(AR$7=2005+OFFSET(COM_2012!$B$60,$AW318,SUMIF($B$10:$B$16,"NCAP_TLIFE",$AX$10:$AX$16)),0,""))</f>
        <v/>
      </c>
      <c r="AS318" s="369" t="str">
        <f ca="1">IF($B318&lt;&gt;"PRC_RESID","",IF(AS$7=2005+OFFSET(COM_2012!$B$60,$AW318,SUMIF($B$10:$B$16,"NCAP_TLIFE",$AX$10:$AX$16)),0,""))</f>
        <v/>
      </c>
      <c r="AT318" s="369" t="str">
        <f ca="1">IF($B318&lt;&gt;"PRC_RESID","",IF(AT$7=2005+OFFSET(COM_2012!$B$60,$AW318,SUMIF($B$10:$B$16,"NCAP_TLIFE",$AX$10:$AX$16)),0,""))</f>
        <v/>
      </c>
      <c r="AU318" s="369" t="str">
        <f ca="1">IF($B318&lt;&gt;"PRC_RESID","",IF(AU$7=2005+OFFSET(COM_2012!$B$60,$AW318,SUMIF($B$10:$B$16,"NCAP_TLIFE",$AX$10:$AX$16)),0,""))</f>
        <v/>
      </c>
      <c r="AV318" s="304">
        <f>IF(AW317=COM_2012!$AI$121,AV317+1,AV317)</f>
        <v>5</v>
      </c>
      <c r="AW318" s="304">
        <f t="shared" si="29"/>
        <v>47</v>
      </c>
    </row>
    <row r="319" spans="1:49">
      <c r="A319" s="304" t="str">
        <f ca="1">IF(LEFT(OFFSET(COM_2012!$A$60,AW319,0),2)="\I","*","")</f>
        <v>*</v>
      </c>
      <c r="B319" s="369" t="str">
        <f t="shared" ca="1" si="27"/>
        <v/>
      </c>
      <c r="C319" s="369" t="str">
        <f ca="1">IF($A319="*","",OFFSET(COM_2012!$B$60,AW319,0))</f>
        <v/>
      </c>
      <c r="D319" s="369" t="str">
        <f t="shared" ref="D319:I334" ca="1" si="31">IF($A319="*","",VLOOKUP($B319,$B$10:$I$16,D$9,FALSE))</f>
        <v/>
      </c>
      <c r="E319" s="369" t="str">
        <f t="shared" ca="1" si="31"/>
        <v/>
      </c>
      <c r="F319" s="369" t="str">
        <f t="shared" ca="1" si="31"/>
        <v/>
      </c>
      <c r="G319" s="369" t="str">
        <f t="shared" ca="1" si="31"/>
        <v/>
      </c>
      <c r="H319" s="369" t="str">
        <f t="shared" ca="1" si="31"/>
        <v/>
      </c>
      <c r="I319" s="370" t="str">
        <f t="shared" ca="1" si="31"/>
        <v/>
      </c>
      <c r="J319" s="391" t="str">
        <f ca="1">IF($A319="*","",OFFSET(COM_2012!$B$60,AW319,SUMIF($B$10:$B$16,B319,$AX$10:$AX$16)))</f>
        <v/>
      </c>
      <c r="K319" s="369" t="str">
        <f ca="1">IF($B319&lt;&gt;"PRC_RESID","",IF(K$7=2005+OFFSET(COM_2012!$B$60,$AW319,SUMIF($B$10:$B$16,"NCAP_TLIFE",$AX$10:$AX$16)),0,""))</f>
        <v/>
      </c>
      <c r="L319" s="369" t="str">
        <f ca="1">IF($B319&lt;&gt;"PRC_RESID","",IF(L$7=2005+OFFSET(COM_2012!$B$60,$AW319,SUMIF($B$10:$B$16,"NCAP_TLIFE",$AX$10:$AX$16)),0,""))</f>
        <v/>
      </c>
      <c r="M319" s="369" t="str">
        <f ca="1">IF($B319&lt;&gt;"PRC_RESID","",IF(M$7=2005+OFFSET(COM_2012!$B$60,$AW319,SUMIF($B$10:$B$16,"NCAP_TLIFE",$AX$10:$AX$16)),0,""))</f>
        <v/>
      </c>
      <c r="N319" s="369" t="str">
        <f ca="1">IF($B319&lt;&gt;"PRC_RESID","",IF(N$7=2005+OFFSET(COM_2012!$B$60,$AW319,SUMIF($B$10:$B$16,"NCAP_TLIFE",$AX$10:$AX$16)),0,""))</f>
        <v/>
      </c>
      <c r="O319" s="658" t="str">
        <f ca="1">IF($B319&lt;&gt;"PRC_RESID","",IF(O$7=2005+OFFSET(COM_2012!$B$60,$AW319,SUMIF($B$10:$B$16,"NCAP_TLIFE",$AX$10:$AX$16)),0,""))</f>
        <v/>
      </c>
      <c r="P319" s="369" t="str">
        <f ca="1">IF($B319&lt;&gt;"PRC_RESID","",IF(P$7=2005+OFFSET(COM_2012!$B$60,$AW319,SUMIF($B$10:$B$16,"NCAP_TLIFE",$AX$10:$AX$16)),0,""))</f>
        <v/>
      </c>
      <c r="Q319" s="369" t="str">
        <f ca="1">IF($B319&lt;&gt;"PRC_RESID","",IF(Q$7=2005+OFFSET(COM_2012!$B$60,$AW319,SUMIF($B$10:$B$16,"NCAP_TLIFE",$AX$10:$AX$16)),0,""))</f>
        <v/>
      </c>
      <c r="R319" s="369" t="str">
        <f ca="1">IF($B319&lt;&gt;"PRC_RESID","",IF(R$7=2005+OFFSET(COM_2012!$B$60,$AW319,SUMIF($B$10:$B$16,"NCAP_TLIFE",$AX$10:$AX$16)),0,""))</f>
        <v/>
      </c>
      <c r="S319" s="369" t="str">
        <f ca="1">IF($B319&lt;&gt;"PRC_RESID","",IF(S$7=2005+OFFSET(COM_2012!$B$60,$AW319,SUMIF($B$10:$B$16,"NCAP_TLIFE",$AX$10:$AX$16)),0,""))</f>
        <v/>
      </c>
      <c r="T319" s="369" t="str">
        <f ca="1">IF($B319&lt;&gt;"PRC_RESID","",IF(T$7=2005+OFFSET(COM_2012!$B$60,$AW319,SUMIF($B$10:$B$16,"NCAP_TLIFE",$AX$10:$AX$16)),0,""))</f>
        <v/>
      </c>
      <c r="U319" s="369" t="str">
        <f ca="1">IF($B319&lt;&gt;"PRC_RESID","",IF(U$7=2005+OFFSET(COM_2012!$B$60,$AW319,SUMIF($B$10:$B$16,"NCAP_TLIFE",$AX$10:$AX$16)),0,""))</f>
        <v/>
      </c>
      <c r="V319" s="369" t="str">
        <f ca="1">IF($B319&lt;&gt;"PRC_RESID","",IF(V$7=2005+OFFSET(COM_2012!$B$60,$AW319,SUMIF($B$10:$B$16,"NCAP_TLIFE",$AX$10:$AX$16)),0,""))</f>
        <v/>
      </c>
      <c r="W319" s="369" t="str">
        <f ca="1">IF($B319&lt;&gt;"PRC_RESID","",IF(W$7=2005+OFFSET(COM_2012!$B$60,$AW319,SUMIF($B$10:$B$16,"NCAP_TLIFE",$AX$10:$AX$16)),0,""))</f>
        <v/>
      </c>
      <c r="X319" s="369" t="str">
        <f ca="1">IF($B319&lt;&gt;"PRC_RESID","",IF(X$7=2005+OFFSET(COM_2012!$B$60,$AW319,SUMIF($B$10:$B$16,"NCAP_TLIFE",$AX$10:$AX$16)),0,""))</f>
        <v/>
      </c>
      <c r="Y319" s="369" t="str">
        <f ca="1">IF($B319&lt;&gt;"PRC_RESID","",IF(Y$7=2005+OFFSET(COM_2012!$B$60,$AW319,SUMIF($B$10:$B$16,"NCAP_TLIFE",$AX$10:$AX$16)),0,""))</f>
        <v/>
      </c>
      <c r="Z319" s="369" t="str">
        <f ca="1">IF($B319&lt;&gt;"PRC_RESID","",IF(Z$7=2005+OFFSET(COM_2012!$B$60,$AW319,SUMIF($B$10:$B$16,"NCAP_TLIFE",$AX$10:$AX$16)),0,""))</f>
        <v/>
      </c>
      <c r="AA319" s="369" t="str">
        <f ca="1">IF($B319&lt;&gt;"PRC_RESID","",IF(AA$7=2005+OFFSET(COM_2012!$B$60,$AW319,SUMIF($B$10:$B$16,"NCAP_TLIFE",$AX$10:$AX$16)),0,""))</f>
        <v/>
      </c>
      <c r="AB319" s="369" t="str">
        <f ca="1">IF($B319&lt;&gt;"PRC_RESID","",IF(AB$7=2005+OFFSET(COM_2012!$B$60,$AW319,SUMIF($B$10:$B$16,"NCAP_TLIFE",$AX$10:$AX$16)),0,""))</f>
        <v/>
      </c>
      <c r="AC319" s="369" t="str">
        <f ca="1">IF($B319&lt;&gt;"PRC_RESID","",IF(AC$7=2005+OFFSET(COM_2012!$B$60,$AW319,SUMIF($B$10:$B$16,"NCAP_TLIFE",$AX$10:$AX$16)),0,""))</f>
        <v/>
      </c>
      <c r="AD319" s="369" t="str">
        <f ca="1">IF($B319&lt;&gt;"PRC_RESID","",IF(AD$7=2005+OFFSET(COM_2012!$B$60,$AW319,SUMIF($B$10:$B$16,"NCAP_TLIFE",$AX$10:$AX$16)),0,""))</f>
        <v/>
      </c>
      <c r="AE319" s="369" t="str">
        <f ca="1">IF($B319&lt;&gt;"PRC_RESID","",IF(AE$7=2005+OFFSET(COM_2012!$B$60,$AW319,SUMIF($B$10:$B$16,"NCAP_TLIFE",$AX$10:$AX$16)),0,""))</f>
        <v/>
      </c>
      <c r="AF319" s="369" t="str">
        <f ca="1">IF($B319&lt;&gt;"PRC_RESID","",IF(AF$7=2005+OFFSET(COM_2012!$B$60,$AW319,SUMIF($B$10:$B$16,"NCAP_TLIFE",$AX$10:$AX$16)),0,""))</f>
        <v/>
      </c>
      <c r="AG319" s="369" t="str">
        <f ca="1">IF($B319&lt;&gt;"PRC_RESID","",IF(AG$7=2005+OFFSET(COM_2012!$B$60,$AW319,SUMIF($B$10:$B$16,"NCAP_TLIFE",$AX$10:$AX$16)),0,""))</f>
        <v/>
      </c>
      <c r="AH319" s="369" t="str">
        <f ca="1">IF($B319&lt;&gt;"PRC_RESID","",IF(AH$7=2005+OFFSET(COM_2012!$B$60,$AW319,SUMIF($B$10:$B$16,"NCAP_TLIFE",$AX$10:$AX$16)),0,""))</f>
        <v/>
      </c>
      <c r="AI319" s="369" t="str">
        <f ca="1">IF($B319&lt;&gt;"PRC_RESID","",IF(AI$7=2005+OFFSET(COM_2012!$B$60,$AW319,SUMIF($B$10:$B$16,"NCAP_TLIFE",$AX$10:$AX$16)),0,""))</f>
        <v/>
      </c>
      <c r="AJ319" s="369" t="str">
        <f ca="1">IF($B319&lt;&gt;"PRC_RESID","",IF(AJ$7=2005+OFFSET(COM_2012!$B$60,$AW319,SUMIF($B$10:$B$16,"NCAP_TLIFE",$AX$10:$AX$16)),0,""))</f>
        <v/>
      </c>
      <c r="AK319" s="369" t="str">
        <f ca="1">IF($B319&lt;&gt;"PRC_RESID","",IF(AK$7=2005+OFFSET(COM_2012!$B$60,$AW319,SUMIF($B$10:$B$16,"NCAP_TLIFE",$AX$10:$AX$16)),0,""))</f>
        <v/>
      </c>
      <c r="AL319" s="369" t="str">
        <f ca="1">IF($B319&lt;&gt;"PRC_RESID","",IF(AL$7=2005+OFFSET(COM_2012!$B$60,$AW319,SUMIF($B$10:$B$16,"NCAP_TLIFE",$AX$10:$AX$16)),0,""))</f>
        <v/>
      </c>
      <c r="AM319" s="369" t="str">
        <f ca="1">IF($B319&lt;&gt;"PRC_RESID","",IF(AM$7=2005+OFFSET(COM_2012!$B$60,$AW319,SUMIF($B$10:$B$16,"NCAP_TLIFE",$AX$10:$AX$16)),0,""))</f>
        <v/>
      </c>
      <c r="AN319" s="369" t="str">
        <f ca="1">IF($B319&lt;&gt;"PRC_RESID","",IF(AN$7=2005+OFFSET(COM_2012!$B$60,$AW319,SUMIF($B$10:$B$16,"NCAP_TLIFE",$AX$10:$AX$16)),0,""))</f>
        <v/>
      </c>
      <c r="AO319" s="369" t="str">
        <f ca="1">IF($B319&lt;&gt;"PRC_RESID","",IF(AO$7=2005+OFFSET(COM_2012!$B$60,$AW319,SUMIF($B$10:$B$16,"NCAP_TLIFE",$AX$10:$AX$16)),0,""))</f>
        <v/>
      </c>
      <c r="AP319" s="369" t="str">
        <f ca="1">IF($B319&lt;&gt;"PRC_RESID","",IF(AP$7=2005+OFFSET(COM_2012!$B$60,$AW319,SUMIF($B$10:$B$16,"NCAP_TLIFE",$AX$10:$AX$16)),0,""))</f>
        <v/>
      </c>
      <c r="AQ319" s="369" t="str">
        <f ca="1">IF($B319&lt;&gt;"PRC_RESID","",IF(AQ$7=2005+OFFSET(COM_2012!$B$60,$AW319,SUMIF($B$10:$B$16,"NCAP_TLIFE",$AX$10:$AX$16)),0,""))</f>
        <v/>
      </c>
      <c r="AR319" s="369" t="str">
        <f ca="1">IF($B319&lt;&gt;"PRC_RESID","",IF(AR$7=2005+OFFSET(COM_2012!$B$60,$AW319,SUMIF($B$10:$B$16,"NCAP_TLIFE",$AX$10:$AX$16)),0,""))</f>
        <v/>
      </c>
      <c r="AS319" s="369" t="str">
        <f ca="1">IF($B319&lt;&gt;"PRC_RESID","",IF(AS$7=2005+OFFSET(COM_2012!$B$60,$AW319,SUMIF($B$10:$B$16,"NCAP_TLIFE",$AX$10:$AX$16)),0,""))</f>
        <v/>
      </c>
      <c r="AT319" s="369" t="str">
        <f ca="1">IF($B319&lt;&gt;"PRC_RESID","",IF(AT$7=2005+OFFSET(COM_2012!$B$60,$AW319,SUMIF($B$10:$B$16,"NCAP_TLIFE",$AX$10:$AX$16)),0,""))</f>
        <v/>
      </c>
      <c r="AU319" s="369" t="str">
        <f ca="1">IF($B319&lt;&gt;"PRC_RESID","",IF(AU$7=2005+OFFSET(COM_2012!$B$60,$AW319,SUMIF($B$10:$B$16,"NCAP_TLIFE",$AX$10:$AX$16)),0,""))</f>
        <v/>
      </c>
      <c r="AV319" s="304">
        <f>IF(AW318=COM_2012!$AI$121,AV318+1,AV318)</f>
        <v>5</v>
      </c>
      <c r="AW319" s="304">
        <f t="shared" si="29"/>
        <v>48</v>
      </c>
    </row>
    <row r="320" spans="1:49">
      <c r="A320" s="304" t="str">
        <f ca="1">IF(LEFT(OFFSET(COM_2012!$A$60,AW320,0),2)="\I","*","")</f>
        <v>*</v>
      </c>
      <c r="B320" s="369" t="str">
        <f t="shared" ca="1" si="27"/>
        <v/>
      </c>
      <c r="C320" s="369" t="str">
        <f ca="1">IF($A320="*","",OFFSET(COM_2012!$B$60,AW320,0))</f>
        <v/>
      </c>
      <c r="D320" s="369" t="str">
        <f t="shared" ca="1" si="31"/>
        <v/>
      </c>
      <c r="E320" s="369" t="str">
        <f t="shared" ca="1" si="31"/>
        <v/>
      </c>
      <c r="F320" s="369" t="str">
        <f t="shared" ca="1" si="31"/>
        <v/>
      </c>
      <c r="G320" s="369" t="str">
        <f t="shared" ca="1" si="31"/>
        <v/>
      </c>
      <c r="H320" s="369" t="str">
        <f t="shared" ca="1" si="31"/>
        <v/>
      </c>
      <c r="I320" s="370" t="str">
        <f t="shared" ca="1" si="31"/>
        <v/>
      </c>
      <c r="J320" s="391" t="str">
        <f ca="1">IF($A320="*","",OFFSET(COM_2012!$B$60,AW320,SUMIF($B$10:$B$16,B320,$AX$10:$AX$16)))</f>
        <v/>
      </c>
      <c r="K320" s="369" t="str">
        <f ca="1">IF($B320&lt;&gt;"PRC_RESID","",IF(K$7=2005+OFFSET(COM_2012!$B$60,$AW320,SUMIF($B$10:$B$16,"NCAP_TLIFE",$AX$10:$AX$16)),0,""))</f>
        <v/>
      </c>
      <c r="L320" s="369" t="str">
        <f ca="1">IF($B320&lt;&gt;"PRC_RESID","",IF(L$7=2005+OFFSET(COM_2012!$B$60,$AW320,SUMIF($B$10:$B$16,"NCAP_TLIFE",$AX$10:$AX$16)),0,""))</f>
        <v/>
      </c>
      <c r="M320" s="369" t="str">
        <f ca="1">IF($B320&lt;&gt;"PRC_RESID","",IF(M$7=2005+OFFSET(COM_2012!$B$60,$AW320,SUMIF($B$10:$B$16,"NCAP_TLIFE",$AX$10:$AX$16)),0,""))</f>
        <v/>
      </c>
      <c r="N320" s="369" t="str">
        <f ca="1">IF($B320&lt;&gt;"PRC_RESID","",IF(N$7=2005+OFFSET(COM_2012!$B$60,$AW320,SUMIF($B$10:$B$16,"NCAP_TLIFE",$AX$10:$AX$16)),0,""))</f>
        <v/>
      </c>
      <c r="O320" s="658" t="str">
        <f ca="1">IF($B320&lt;&gt;"PRC_RESID","",IF(O$7=2005+OFFSET(COM_2012!$B$60,$AW320,SUMIF($B$10:$B$16,"NCAP_TLIFE",$AX$10:$AX$16)),0,""))</f>
        <v/>
      </c>
      <c r="P320" s="369" t="str">
        <f ca="1">IF($B320&lt;&gt;"PRC_RESID","",IF(P$7=2005+OFFSET(COM_2012!$B$60,$AW320,SUMIF($B$10:$B$16,"NCAP_TLIFE",$AX$10:$AX$16)),0,""))</f>
        <v/>
      </c>
      <c r="Q320" s="369" t="str">
        <f ca="1">IF($B320&lt;&gt;"PRC_RESID","",IF(Q$7=2005+OFFSET(COM_2012!$B$60,$AW320,SUMIF($B$10:$B$16,"NCAP_TLIFE",$AX$10:$AX$16)),0,""))</f>
        <v/>
      </c>
      <c r="R320" s="369" t="str">
        <f ca="1">IF($B320&lt;&gt;"PRC_RESID","",IF(R$7=2005+OFFSET(COM_2012!$B$60,$AW320,SUMIF($B$10:$B$16,"NCAP_TLIFE",$AX$10:$AX$16)),0,""))</f>
        <v/>
      </c>
      <c r="S320" s="369" t="str">
        <f ca="1">IF($B320&lt;&gt;"PRC_RESID","",IF(S$7=2005+OFFSET(COM_2012!$B$60,$AW320,SUMIF($B$10:$B$16,"NCAP_TLIFE",$AX$10:$AX$16)),0,""))</f>
        <v/>
      </c>
      <c r="T320" s="369" t="str">
        <f ca="1">IF($B320&lt;&gt;"PRC_RESID","",IF(T$7=2005+OFFSET(COM_2012!$B$60,$AW320,SUMIF($B$10:$B$16,"NCAP_TLIFE",$AX$10:$AX$16)),0,""))</f>
        <v/>
      </c>
      <c r="U320" s="369" t="str">
        <f ca="1">IF($B320&lt;&gt;"PRC_RESID","",IF(U$7=2005+OFFSET(COM_2012!$B$60,$AW320,SUMIF($B$10:$B$16,"NCAP_TLIFE",$AX$10:$AX$16)),0,""))</f>
        <v/>
      </c>
      <c r="V320" s="369" t="str">
        <f ca="1">IF($B320&lt;&gt;"PRC_RESID","",IF(V$7=2005+OFFSET(COM_2012!$B$60,$AW320,SUMIF($B$10:$B$16,"NCAP_TLIFE",$AX$10:$AX$16)),0,""))</f>
        <v/>
      </c>
      <c r="W320" s="369" t="str">
        <f ca="1">IF($B320&lt;&gt;"PRC_RESID","",IF(W$7=2005+OFFSET(COM_2012!$B$60,$AW320,SUMIF($B$10:$B$16,"NCAP_TLIFE",$AX$10:$AX$16)),0,""))</f>
        <v/>
      </c>
      <c r="X320" s="369" t="str">
        <f ca="1">IF($B320&lt;&gt;"PRC_RESID","",IF(X$7=2005+OFFSET(COM_2012!$B$60,$AW320,SUMIF($B$10:$B$16,"NCAP_TLIFE",$AX$10:$AX$16)),0,""))</f>
        <v/>
      </c>
      <c r="Y320" s="369" t="str">
        <f ca="1">IF($B320&lt;&gt;"PRC_RESID","",IF(Y$7=2005+OFFSET(COM_2012!$B$60,$AW320,SUMIF($B$10:$B$16,"NCAP_TLIFE",$AX$10:$AX$16)),0,""))</f>
        <v/>
      </c>
      <c r="Z320" s="369" t="str">
        <f ca="1">IF($B320&lt;&gt;"PRC_RESID","",IF(Z$7=2005+OFFSET(COM_2012!$B$60,$AW320,SUMIF($B$10:$B$16,"NCAP_TLIFE",$AX$10:$AX$16)),0,""))</f>
        <v/>
      </c>
      <c r="AA320" s="369" t="str">
        <f ca="1">IF($B320&lt;&gt;"PRC_RESID","",IF(AA$7=2005+OFFSET(COM_2012!$B$60,$AW320,SUMIF($B$10:$B$16,"NCAP_TLIFE",$AX$10:$AX$16)),0,""))</f>
        <v/>
      </c>
      <c r="AB320" s="369" t="str">
        <f ca="1">IF($B320&lt;&gt;"PRC_RESID","",IF(AB$7=2005+OFFSET(COM_2012!$B$60,$AW320,SUMIF($B$10:$B$16,"NCAP_TLIFE",$AX$10:$AX$16)),0,""))</f>
        <v/>
      </c>
      <c r="AC320" s="369" t="str">
        <f ca="1">IF($B320&lt;&gt;"PRC_RESID","",IF(AC$7=2005+OFFSET(COM_2012!$B$60,$AW320,SUMIF($B$10:$B$16,"NCAP_TLIFE",$AX$10:$AX$16)),0,""))</f>
        <v/>
      </c>
      <c r="AD320" s="369" t="str">
        <f ca="1">IF($B320&lt;&gt;"PRC_RESID","",IF(AD$7=2005+OFFSET(COM_2012!$B$60,$AW320,SUMIF($B$10:$B$16,"NCAP_TLIFE",$AX$10:$AX$16)),0,""))</f>
        <v/>
      </c>
      <c r="AE320" s="369" t="str">
        <f ca="1">IF($B320&lt;&gt;"PRC_RESID","",IF(AE$7=2005+OFFSET(COM_2012!$B$60,$AW320,SUMIF($B$10:$B$16,"NCAP_TLIFE",$AX$10:$AX$16)),0,""))</f>
        <v/>
      </c>
      <c r="AF320" s="369" t="str">
        <f ca="1">IF($B320&lt;&gt;"PRC_RESID","",IF(AF$7=2005+OFFSET(COM_2012!$B$60,$AW320,SUMIF($B$10:$B$16,"NCAP_TLIFE",$AX$10:$AX$16)),0,""))</f>
        <v/>
      </c>
      <c r="AG320" s="369" t="str">
        <f ca="1">IF($B320&lt;&gt;"PRC_RESID","",IF(AG$7=2005+OFFSET(COM_2012!$B$60,$AW320,SUMIF($B$10:$B$16,"NCAP_TLIFE",$AX$10:$AX$16)),0,""))</f>
        <v/>
      </c>
      <c r="AH320" s="369" t="str">
        <f ca="1">IF($B320&lt;&gt;"PRC_RESID","",IF(AH$7=2005+OFFSET(COM_2012!$B$60,$AW320,SUMIF($B$10:$B$16,"NCAP_TLIFE",$AX$10:$AX$16)),0,""))</f>
        <v/>
      </c>
      <c r="AI320" s="369" t="str">
        <f ca="1">IF($B320&lt;&gt;"PRC_RESID","",IF(AI$7=2005+OFFSET(COM_2012!$B$60,$AW320,SUMIF($B$10:$B$16,"NCAP_TLIFE",$AX$10:$AX$16)),0,""))</f>
        <v/>
      </c>
      <c r="AJ320" s="369" t="str">
        <f ca="1">IF($B320&lt;&gt;"PRC_RESID","",IF(AJ$7=2005+OFFSET(COM_2012!$B$60,$AW320,SUMIF($B$10:$B$16,"NCAP_TLIFE",$AX$10:$AX$16)),0,""))</f>
        <v/>
      </c>
      <c r="AK320" s="369" t="str">
        <f ca="1">IF($B320&lt;&gt;"PRC_RESID","",IF(AK$7=2005+OFFSET(COM_2012!$B$60,$AW320,SUMIF($B$10:$B$16,"NCAP_TLIFE",$AX$10:$AX$16)),0,""))</f>
        <v/>
      </c>
      <c r="AL320" s="369" t="str">
        <f ca="1">IF($B320&lt;&gt;"PRC_RESID","",IF(AL$7=2005+OFFSET(COM_2012!$B$60,$AW320,SUMIF($B$10:$B$16,"NCAP_TLIFE",$AX$10:$AX$16)),0,""))</f>
        <v/>
      </c>
      <c r="AM320" s="369" t="str">
        <f ca="1">IF($B320&lt;&gt;"PRC_RESID","",IF(AM$7=2005+OFFSET(COM_2012!$B$60,$AW320,SUMIF($B$10:$B$16,"NCAP_TLIFE",$AX$10:$AX$16)),0,""))</f>
        <v/>
      </c>
      <c r="AN320" s="369" t="str">
        <f ca="1">IF($B320&lt;&gt;"PRC_RESID","",IF(AN$7=2005+OFFSET(COM_2012!$B$60,$AW320,SUMIF($B$10:$B$16,"NCAP_TLIFE",$AX$10:$AX$16)),0,""))</f>
        <v/>
      </c>
      <c r="AO320" s="369" t="str">
        <f ca="1">IF($B320&lt;&gt;"PRC_RESID","",IF(AO$7=2005+OFFSET(COM_2012!$B$60,$AW320,SUMIF($B$10:$B$16,"NCAP_TLIFE",$AX$10:$AX$16)),0,""))</f>
        <v/>
      </c>
      <c r="AP320" s="369" t="str">
        <f ca="1">IF($B320&lt;&gt;"PRC_RESID","",IF(AP$7=2005+OFFSET(COM_2012!$B$60,$AW320,SUMIF($B$10:$B$16,"NCAP_TLIFE",$AX$10:$AX$16)),0,""))</f>
        <v/>
      </c>
      <c r="AQ320" s="369" t="str">
        <f ca="1">IF($B320&lt;&gt;"PRC_RESID","",IF(AQ$7=2005+OFFSET(COM_2012!$B$60,$AW320,SUMIF($B$10:$B$16,"NCAP_TLIFE",$AX$10:$AX$16)),0,""))</f>
        <v/>
      </c>
      <c r="AR320" s="369" t="str">
        <f ca="1">IF($B320&lt;&gt;"PRC_RESID","",IF(AR$7=2005+OFFSET(COM_2012!$B$60,$AW320,SUMIF($B$10:$B$16,"NCAP_TLIFE",$AX$10:$AX$16)),0,""))</f>
        <v/>
      </c>
      <c r="AS320" s="369" t="str">
        <f ca="1">IF($B320&lt;&gt;"PRC_RESID","",IF(AS$7=2005+OFFSET(COM_2012!$B$60,$AW320,SUMIF($B$10:$B$16,"NCAP_TLIFE",$AX$10:$AX$16)),0,""))</f>
        <v/>
      </c>
      <c r="AT320" s="369" t="str">
        <f ca="1">IF($B320&lt;&gt;"PRC_RESID","",IF(AT$7=2005+OFFSET(COM_2012!$B$60,$AW320,SUMIF($B$10:$B$16,"NCAP_TLIFE",$AX$10:$AX$16)),0,""))</f>
        <v/>
      </c>
      <c r="AU320" s="369" t="str">
        <f ca="1">IF($B320&lt;&gt;"PRC_RESID","",IF(AU$7=2005+OFFSET(COM_2012!$B$60,$AW320,SUMIF($B$10:$B$16,"NCAP_TLIFE",$AX$10:$AX$16)),0,""))</f>
        <v/>
      </c>
      <c r="AV320" s="304">
        <f>IF(AW319=COM_2012!$AI$121,AV319+1,AV319)</f>
        <v>5</v>
      </c>
      <c r="AW320" s="304">
        <f t="shared" si="29"/>
        <v>49</v>
      </c>
    </row>
    <row r="321" spans="1:49">
      <c r="A321" s="304" t="str">
        <f ca="1">IF(LEFT(OFFSET(COM_2012!$A$60,AW321,0),2)="\I","*","")</f>
        <v/>
      </c>
      <c r="B321" s="369" t="str">
        <f t="shared" ca="1" si="27"/>
        <v>NCAP_FOM</v>
      </c>
      <c r="C321" s="369" t="str">
        <f ca="1">IF($A321="*","",OFFSET(COM_2012!$B$60,AW321,0))</f>
        <v>CETELC-E</v>
      </c>
      <c r="D321" s="369" t="str">
        <f t="shared" ca="1" si="31"/>
        <v>-</v>
      </c>
      <c r="E321" s="369" t="str">
        <f t="shared" ca="1" si="31"/>
        <v>-</v>
      </c>
      <c r="F321" s="369" t="str">
        <f t="shared" ca="1" si="31"/>
        <v>-</v>
      </c>
      <c r="G321" s="369" t="str">
        <f t="shared" ca="1" si="31"/>
        <v>-</v>
      </c>
      <c r="H321" s="369" t="str">
        <f t="shared" ca="1" si="31"/>
        <v>-</v>
      </c>
      <c r="I321" s="370">
        <f t="shared" ca="1" si="31"/>
        <v>0</v>
      </c>
      <c r="J321" s="391">
        <f ca="1">IF($A321="*","",OFFSET(COM_2012!$B$60,AW321,SUMIF($B$10:$B$16,B321,$AX$10:$AX$16)))</f>
        <v>10</v>
      </c>
      <c r="K321" s="369" t="str">
        <f ca="1">IF($B321&lt;&gt;"PRC_RESID","",IF(K$7=2005+OFFSET(COM_2012!$B$60,$AW321,SUMIF($B$10:$B$16,"NCAP_TLIFE",$AX$10:$AX$16)),0,""))</f>
        <v/>
      </c>
      <c r="L321" s="369" t="str">
        <f ca="1">IF($B321&lt;&gt;"PRC_RESID","",IF(L$7=2005+OFFSET(COM_2012!$B$60,$AW321,SUMIF($B$10:$B$16,"NCAP_TLIFE",$AX$10:$AX$16)),0,""))</f>
        <v/>
      </c>
      <c r="M321" s="369" t="str">
        <f ca="1">IF($B321&lt;&gt;"PRC_RESID","",IF(M$7=2005+OFFSET(COM_2012!$B$60,$AW321,SUMIF($B$10:$B$16,"NCAP_TLIFE",$AX$10:$AX$16)),0,""))</f>
        <v/>
      </c>
      <c r="N321" s="369" t="str">
        <f ca="1">IF($B321&lt;&gt;"PRC_RESID","",IF(N$7=2005+OFFSET(COM_2012!$B$60,$AW321,SUMIF($B$10:$B$16,"NCAP_TLIFE",$AX$10:$AX$16)),0,""))</f>
        <v/>
      </c>
      <c r="O321" s="658" t="str">
        <f ca="1">IF($B321&lt;&gt;"PRC_RESID","",IF(O$7=2005+OFFSET(COM_2012!$B$60,$AW321,SUMIF($B$10:$B$16,"NCAP_TLIFE",$AX$10:$AX$16)),0,""))</f>
        <v/>
      </c>
      <c r="P321" s="369" t="str">
        <f ca="1">IF($B321&lt;&gt;"PRC_RESID","",IF(P$7=2005+OFFSET(COM_2012!$B$60,$AW321,SUMIF($B$10:$B$16,"NCAP_TLIFE",$AX$10:$AX$16)),0,""))</f>
        <v/>
      </c>
      <c r="Q321" s="369" t="str">
        <f ca="1">IF($B321&lt;&gt;"PRC_RESID","",IF(Q$7=2005+OFFSET(COM_2012!$B$60,$AW321,SUMIF($B$10:$B$16,"NCAP_TLIFE",$AX$10:$AX$16)),0,""))</f>
        <v/>
      </c>
      <c r="R321" s="369" t="str">
        <f ca="1">IF($B321&lt;&gt;"PRC_RESID","",IF(R$7=2005+OFFSET(COM_2012!$B$60,$AW321,SUMIF($B$10:$B$16,"NCAP_TLIFE",$AX$10:$AX$16)),0,""))</f>
        <v/>
      </c>
      <c r="S321" s="369" t="str">
        <f ca="1">IF($B321&lt;&gt;"PRC_RESID","",IF(S$7=2005+OFFSET(COM_2012!$B$60,$AW321,SUMIF($B$10:$B$16,"NCAP_TLIFE",$AX$10:$AX$16)),0,""))</f>
        <v/>
      </c>
      <c r="T321" s="369" t="str">
        <f ca="1">IF($B321&lt;&gt;"PRC_RESID","",IF(T$7=2005+OFFSET(COM_2012!$B$60,$AW321,SUMIF($B$10:$B$16,"NCAP_TLIFE",$AX$10:$AX$16)),0,""))</f>
        <v/>
      </c>
      <c r="U321" s="369" t="str">
        <f ca="1">IF($B321&lt;&gt;"PRC_RESID","",IF(U$7=2005+OFFSET(COM_2012!$B$60,$AW321,SUMIF($B$10:$B$16,"NCAP_TLIFE",$AX$10:$AX$16)),0,""))</f>
        <v/>
      </c>
      <c r="V321" s="369" t="str">
        <f ca="1">IF($B321&lt;&gt;"PRC_RESID","",IF(V$7=2005+OFFSET(COM_2012!$B$60,$AW321,SUMIF($B$10:$B$16,"NCAP_TLIFE",$AX$10:$AX$16)),0,""))</f>
        <v/>
      </c>
      <c r="W321" s="369" t="str">
        <f ca="1">IF($B321&lt;&gt;"PRC_RESID","",IF(W$7=2005+OFFSET(COM_2012!$B$60,$AW321,SUMIF($B$10:$B$16,"NCAP_TLIFE",$AX$10:$AX$16)),0,""))</f>
        <v/>
      </c>
      <c r="X321" s="369" t="str">
        <f ca="1">IF($B321&lt;&gt;"PRC_RESID","",IF(X$7=2005+OFFSET(COM_2012!$B$60,$AW321,SUMIF($B$10:$B$16,"NCAP_TLIFE",$AX$10:$AX$16)),0,""))</f>
        <v/>
      </c>
      <c r="Y321" s="369" t="str">
        <f ca="1">IF($B321&lt;&gt;"PRC_RESID","",IF(Y$7=2005+OFFSET(COM_2012!$B$60,$AW321,SUMIF($B$10:$B$16,"NCAP_TLIFE",$AX$10:$AX$16)),0,""))</f>
        <v/>
      </c>
      <c r="Z321" s="369" t="str">
        <f ca="1">IF($B321&lt;&gt;"PRC_RESID","",IF(Z$7=2005+OFFSET(COM_2012!$B$60,$AW321,SUMIF($B$10:$B$16,"NCAP_TLIFE",$AX$10:$AX$16)),0,""))</f>
        <v/>
      </c>
      <c r="AA321" s="369" t="str">
        <f ca="1">IF($B321&lt;&gt;"PRC_RESID","",IF(AA$7=2005+OFFSET(COM_2012!$B$60,$AW321,SUMIF($B$10:$B$16,"NCAP_TLIFE",$AX$10:$AX$16)),0,""))</f>
        <v/>
      </c>
      <c r="AB321" s="369" t="str">
        <f ca="1">IF($B321&lt;&gt;"PRC_RESID","",IF(AB$7=2005+OFFSET(COM_2012!$B$60,$AW321,SUMIF($B$10:$B$16,"NCAP_TLIFE",$AX$10:$AX$16)),0,""))</f>
        <v/>
      </c>
      <c r="AC321" s="369" t="str">
        <f ca="1">IF($B321&lt;&gt;"PRC_RESID","",IF(AC$7=2005+OFFSET(COM_2012!$B$60,$AW321,SUMIF($B$10:$B$16,"NCAP_TLIFE",$AX$10:$AX$16)),0,""))</f>
        <v/>
      </c>
      <c r="AD321" s="369" t="str">
        <f ca="1">IF($B321&lt;&gt;"PRC_RESID","",IF(AD$7=2005+OFFSET(COM_2012!$B$60,$AW321,SUMIF($B$10:$B$16,"NCAP_TLIFE",$AX$10:$AX$16)),0,""))</f>
        <v/>
      </c>
      <c r="AE321" s="369" t="str">
        <f ca="1">IF($B321&lt;&gt;"PRC_RESID","",IF(AE$7=2005+OFFSET(COM_2012!$B$60,$AW321,SUMIF($B$10:$B$16,"NCAP_TLIFE",$AX$10:$AX$16)),0,""))</f>
        <v/>
      </c>
      <c r="AF321" s="369" t="str">
        <f ca="1">IF($B321&lt;&gt;"PRC_RESID","",IF(AF$7=2005+OFFSET(COM_2012!$B$60,$AW321,SUMIF($B$10:$B$16,"NCAP_TLIFE",$AX$10:$AX$16)),0,""))</f>
        <v/>
      </c>
      <c r="AG321" s="369" t="str">
        <f ca="1">IF($B321&lt;&gt;"PRC_RESID","",IF(AG$7=2005+OFFSET(COM_2012!$B$60,$AW321,SUMIF($B$10:$B$16,"NCAP_TLIFE",$AX$10:$AX$16)),0,""))</f>
        <v/>
      </c>
      <c r="AH321" s="369" t="str">
        <f ca="1">IF($B321&lt;&gt;"PRC_RESID","",IF(AH$7=2005+OFFSET(COM_2012!$B$60,$AW321,SUMIF($B$10:$B$16,"NCAP_TLIFE",$AX$10:$AX$16)),0,""))</f>
        <v/>
      </c>
      <c r="AI321" s="369" t="str">
        <f ca="1">IF($B321&lt;&gt;"PRC_RESID","",IF(AI$7=2005+OFFSET(COM_2012!$B$60,$AW321,SUMIF($B$10:$B$16,"NCAP_TLIFE",$AX$10:$AX$16)),0,""))</f>
        <v/>
      </c>
      <c r="AJ321" s="369" t="str">
        <f ca="1">IF($B321&lt;&gt;"PRC_RESID","",IF(AJ$7=2005+OFFSET(COM_2012!$B$60,$AW321,SUMIF($B$10:$B$16,"NCAP_TLIFE",$AX$10:$AX$16)),0,""))</f>
        <v/>
      </c>
      <c r="AK321" s="369" t="str">
        <f ca="1">IF($B321&lt;&gt;"PRC_RESID","",IF(AK$7=2005+OFFSET(COM_2012!$B$60,$AW321,SUMIF($B$10:$B$16,"NCAP_TLIFE",$AX$10:$AX$16)),0,""))</f>
        <v/>
      </c>
      <c r="AL321" s="369" t="str">
        <f ca="1">IF($B321&lt;&gt;"PRC_RESID","",IF(AL$7=2005+OFFSET(COM_2012!$B$60,$AW321,SUMIF($B$10:$B$16,"NCAP_TLIFE",$AX$10:$AX$16)),0,""))</f>
        <v/>
      </c>
      <c r="AM321" s="369" t="str">
        <f ca="1">IF($B321&lt;&gt;"PRC_RESID","",IF(AM$7=2005+OFFSET(COM_2012!$B$60,$AW321,SUMIF($B$10:$B$16,"NCAP_TLIFE",$AX$10:$AX$16)),0,""))</f>
        <v/>
      </c>
      <c r="AN321" s="369" t="str">
        <f ca="1">IF($B321&lt;&gt;"PRC_RESID","",IF(AN$7=2005+OFFSET(COM_2012!$B$60,$AW321,SUMIF($B$10:$B$16,"NCAP_TLIFE",$AX$10:$AX$16)),0,""))</f>
        <v/>
      </c>
      <c r="AO321" s="369" t="str">
        <f ca="1">IF($B321&lt;&gt;"PRC_RESID","",IF(AO$7=2005+OFFSET(COM_2012!$B$60,$AW321,SUMIF($B$10:$B$16,"NCAP_TLIFE",$AX$10:$AX$16)),0,""))</f>
        <v/>
      </c>
      <c r="AP321" s="369" t="str">
        <f ca="1">IF($B321&lt;&gt;"PRC_RESID","",IF(AP$7=2005+OFFSET(COM_2012!$B$60,$AW321,SUMIF($B$10:$B$16,"NCAP_TLIFE",$AX$10:$AX$16)),0,""))</f>
        <v/>
      </c>
      <c r="AQ321" s="369" t="str">
        <f ca="1">IF($B321&lt;&gt;"PRC_RESID","",IF(AQ$7=2005+OFFSET(COM_2012!$B$60,$AW321,SUMIF($B$10:$B$16,"NCAP_TLIFE",$AX$10:$AX$16)),0,""))</f>
        <v/>
      </c>
      <c r="AR321" s="369" t="str">
        <f ca="1">IF($B321&lt;&gt;"PRC_RESID","",IF(AR$7=2005+OFFSET(COM_2012!$B$60,$AW321,SUMIF($B$10:$B$16,"NCAP_TLIFE",$AX$10:$AX$16)),0,""))</f>
        <v/>
      </c>
      <c r="AS321" s="369" t="str">
        <f ca="1">IF($B321&lt;&gt;"PRC_RESID","",IF(AS$7=2005+OFFSET(COM_2012!$B$60,$AW321,SUMIF($B$10:$B$16,"NCAP_TLIFE",$AX$10:$AX$16)),0,""))</f>
        <v/>
      </c>
      <c r="AT321" s="369" t="str">
        <f ca="1">IF($B321&lt;&gt;"PRC_RESID","",IF(AT$7=2005+OFFSET(COM_2012!$B$60,$AW321,SUMIF($B$10:$B$16,"NCAP_TLIFE",$AX$10:$AX$16)),0,""))</f>
        <v/>
      </c>
      <c r="AU321" s="369" t="str">
        <f ca="1">IF($B321&lt;&gt;"PRC_RESID","",IF(AU$7=2005+OFFSET(COM_2012!$B$60,$AW321,SUMIF($B$10:$B$16,"NCAP_TLIFE",$AX$10:$AX$16)),0,""))</f>
        <v/>
      </c>
      <c r="AV321" s="304">
        <f>IF(AW320=COM_2012!$AI$121,AV320+1,AV320)</f>
        <v>5</v>
      </c>
      <c r="AW321" s="304">
        <f t="shared" si="29"/>
        <v>50</v>
      </c>
    </row>
    <row r="322" spans="1:49">
      <c r="A322" s="304" t="str">
        <f ca="1">IF(LEFT(OFFSET(COM_2012!$A$60,AW322,0),2)="\I","*","")</f>
        <v>*</v>
      </c>
      <c r="B322" s="369" t="str">
        <f t="shared" ca="1" si="27"/>
        <v/>
      </c>
      <c r="C322" s="369" t="str">
        <f ca="1">IF($A322="*","",OFFSET(COM_2012!$B$60,AW322,0))</f>
        <v/>
      </c>
      <c r="D322" s="369" t="str">
        <f t="shared" ca="1" si="31"/>
        <v/>
      </c>
      <c r="E322" s="369" t="str">
        <f t="shared" ca="1" si="31"/>
        <v/>
      </c>
      <c r="F322" s="369" t="str">
        <f t="shared" ca="1" si="31"/>
        <v/>
      </c>
      <c r="G322" s="369" t="str">
        <f t="shared" ca="1" si="31"/>
        <v/>
      </c>
      <c r="H322" s="369" t="str">
        <f t="shared" ca="1" si="31"/>
        <v/>
      </c>
      <c r="I322" s="370" t="str">
        <f t="shared" ca="1" si="31"/>
        <v/>
      </c>
      <c r="J322" s="391" t="str">
        <f ca="1">IF($A322="*","",OFFSET(COM_2012!$B$60,AW322,SUMIF($B$10:$B$16,B322,$AX$10:$AX$16)))</f>
        <v/>
      </c>
      <c r="K322" s="369" t="str">
        <f ca="1">IF($B322&lt;&gt;"PRC_RESID","",IF(K$7=2005+OFFSET(COM_2012!$B$60,$AW322,SUMIF($B$10:$B$16,"NCAP_TLIFE",$AX$10:$AX$16)),0,""))</f>
        <v/>
      </c>
      <c r="L322" s="369" t="str">
        <f ca="1">IF($B322&lt;&gt;"PRC_RESID","",IF(L$7=2005+OFFSET(COM_2012!$B$60,$AW322,SUMIF($B$10:$B$16,"NCAP_TLIFE",$AX$10:$AX$16)),0,""))</f>
        <v/>
      </c>
      <c r="M322" s="369" t="str">
        <f ca="1">IF($B322&lt;&gt;"PRC_RESID","",IF(M$7=2005+OFFSET(COM_2012!$B$60,$AW322,SUMIF($B$10:$B$16,"NCAP_TLIFE",$AX$10:$AX$16)),0,""))</f>
        <v/>
      </c>
      <c r="N322" s="369" t="str">
        <f ca="1">IF($B322&lt;&gt;"PRC_RESID","",IF(N$7=2005+OFFSET(COM_2012!$B$60,$AW322,SUMIF($B$10:$B$16,"NCAP_TLIFE",$AX$10:$AX$16)),0,""))</f>
        <v/>
      </c>
      <c r="O322" s="658" t="str">
        <f ca="1">IF($B322&lt;&gt;"PRC_RESID","",IF(O$7=2005+OFFSET(COM_2012!$B$60,$AW322,SUMIF($B$10:$B$16,"NCAP_TLIFE",$AX$10:$AX$16)),0,""))</f>
        <v/>
      </c>
      <c r="P322" s="369" t="str">
        <f ca="1">IF($B322&lt;&gt;"PRC_RESID","",IF(P$7=2005+OFFSET(COM_2012!$B$60,$AW322,SUMIF($B$10:$B$16,"NCAP_TLIFE",$AX$10:$AX$16)),0,""))</f>
        <v/>
      </c>
      <c r="Q322" s="369" t="str">
        <f ca="1">IF($B322&lt;&gt;"PRC_RESID","",IF(Q$7=2005+OFFSET(COM_2012!$B$60,$AW322,SUMIF($B$10:$B$16,"NCAP_TLIFE",$AX$10:$AX$16)),0,""))</f>
        <v/>
      </c>
      <c r="R322" s="369" t="str">
        <f ca="1">IF($B322&lt;&gt;"PRC_RESID","",IF(R$7=2005+OFFSET(COM_2012!$B$60,$AW322,SUMIF($B$10:$B$16,"NCAP_TLIFE",$AX$10:$AX$16)),0,""))</f>
        <v/>
      </c>
      <c r="S322" s="369" t="str">
        <f ca="1">IF($B322&lt;&gt;"PRC_RESID","",IF(S$7=2005+OFFSET(COM_2012!$B$60,$AW322,SUMIF($B$10:$B$16,"NCAP_TLIFE",$AX$10:$AX$16)),0,""))</f>
        <v/>
      </c>
      <c r="T322" s="369" t="str">
        <f ca="1">IF($B322&lt;&gt;"PRC_RESID","",IF(T$7=2005+OFFSET(COM_2012!$B$60,$AW322,SUMIF($B$10:$B$16,"NCAP_TLIFE",$AX$10:$AX$16)),0,""))</f>
        <v/>
      </c>
      <c r="U322" s="369" t="str">
        <f ca="1">IF($B322&lt;&gt;"PRC_RESID","",IF(U$7=2005+OFFSET(COM_2012!$B$60,$AW322,SUMIF($B$10:$B$16,"NCAP_TLIFE",$AX$10:$AX$16)),0,""))</f>
        <v/>
      </c>
      <c r="V322" s="369" t="str">
        <f ca="1">IF($B322&lt;&gt;"PRC_RESID","",IF(V$7=2005+OFFSET(COM_2012!$B$60,$AW322,SUMIF($B$10:$B$16,"NCAP_TLIFE",$AX$10:$AX$16)),0,""))</f>
        <v/>
      </c>
      <c r="W322" s="369" t="str">
        <f ca="1">IF($B322&lt;&gt;"PRC_RESID","",IF(W$7=2005+OFFSET(COM_2012!$B$60,$AW322,SUMIF($B$10:$B$16,"NCAP_TLIFE",$AX$10:$AX$16)),0,""))</f>
        <v/>
      </c>
      <c r="X322" s="369" t="str">
        <f ca="1">IF($B322&lt;&gt;"PRC_RESID","",IF(X$7=2005+OFFSET(COM_2012!$B$60,$AW322,SUMIF($B$10:$B$16,"NCAP_TLIFE",$AX$10:$AX$16)),0,""))</f>
        <v/>
      </c>
      <c r="Y322" s="369" t="str">
        <f ca="1">IF($B322&lt;&gt;"PRC_RESID","",IF(Y$7=2005+OFFSET(COM_2012!$B$60,$AW322,SUMIF($B$10:$B$16,"NCAP_TLIFE",$AX$10:$AX$16)),0,""))</f>
        <v/>
      </c>
      <c r="Z322" s="369" t="str">
        <f ca="1">IF($B322&lt;&gt;"PRC_RESID","",IF(Z$7=2005+OFFSET(COM_2012!$B$60,$AW322,SUMIF($B$10:$B$16,"NCAP_TLIFE",$AX$10:$AX$16)),0,""))</f>
        <v/>
      </c>
      <c r="AA322" s="369" t="str">
        <f ca="1">IF($B322&lt;&gt;"PRC_RESID","",IF(AA$7=2005+OFFSET(COM_2012!$B$60,$AW322,SUMIF($B$10:$B$16,"NCAP_TLIFE",$AX$10:$AX$16)),0,""))</f>
        <v/>
      </c>
      <c r="AB322" s="369" t="str">
        <f ca="1">IF($B322&lt;&gt;"PRC_RESID","",IF(AB$7=2005+OFFSET(COM_2012!$B$60,$AW322,SUMIF($B$10:$B$16,"NCAP_TLIFE",$AX$10:$AX$16)),0,""))</f>
        <v/>
      </c>
      <c r="AC322" s="369" t="str">
        <f ca="1">IF($B322&lt;&gt;"PRC_RESID","",IF(AC$7=2005+OFFSET(COM_2012!$B$60,$AW322,SUMIF($B$10:$B$16,"NCAP_TLIFE",$AX$10:$AX$16)),0,""))</f>
        <v/>
      </c>
      <c r="AD322" s="369" t="str">
        <f ca="1">IF($B322&lt;&gt;"PRC_RESID","",IF(AD$7=2005+OFFSET(COM_2012!$B$60,$AW322,SUMIF($B$10:$B$16,"NCAP_TLIFE",$AX$10:$AX$16)),0,""))</f>
        <v/>
      </c>
      <c r="AE322" s="369" t="str">
        <f ca="1">IF($B322&lt;&gt;"PRC_RESID","",IF(AE$7=2005+OFFSET(COM_2012!$B$60,$AW322,SUMIF($B$10:$B$16,"NCAP_TLIFE",$AX$10:$AX$16)),0,""))</f>
        <v/>
      </c>
      <c r="AF322" s="369" t="str">
        <f ca="1">IF($B322&lt;&gt;"PRC_RESID","",IF(AF$7=2005+OFFSET(COM_2012!$B$60,$AW322,SUMIF($B$10:$B$16,"NCAP_TLIFE",$AX$10:$AX$16)),0,""))</f>
        <v/>
      </c>
      <c r="AG322" s="369" t="str">
        <f ca="1">IF($B322&lt;&gt;"PRC_RESID","",IF(AG$7=2005+OFFSET(COM_2012!$B$60,$AW322,SUMIF($B$10:$B$16,"NCAP_TLIFE",$AX$10:$AX$16)),0,""))</f>
        <v/>
      </c>
      <c r="AH322" s="369" t="str">
        <f ca="1">IF($B322&lt;&gt;"PRC_RESID","",IF(AH$7=2005+OFFSET(COM_2012!$B$60,$AW322,SUMIF($B$10:$B$16,"NCAP_TLIFE",$AX$10:$AX$16)),0,""))</f>
        <v/>
      </c>
      <c r="AI322" s="369" t="str">
        <f ca="1">IF($B322&lt;&gt;"PRC_RESID","",IF(AI$7=2005+OFFSET(COM_2012!$B$60,$AW322,SUMIF($B$10:$B$16,"NCAP_TLIFE",$AX$10:$AX$16)),0,""))</f>
        <v/>
      </c>
      <c r="AJ322" s="369" t="str">
        <f ca="1">IF($B322&lt;&gt;"PRC_RESID","",IF(AJ$7=2005+OFFSET(COM_2012!$B$60,$AW322,SUMIF($B$10:$B$16,"NCAP_TLIFE",$AX$10:$AX$16)),0,""))</f>
        <v/>
      </c>
      <c r="AK322" s="369" t="str">
        <f ca="1">IF($B322&lt;&gt;"PRC_RESID","",IF(AK$7=2005+OFFSET(COM_2012!$B$60,$AW322,SUMIF($B$10:$B$16,"NCAP_TLIFE",$AX$10:$AX$16)),0,""))</f>
        <v/>
      </c>
      <c r="AL322" s="369" t="str">
        <f ca="1">IF($B322&lt;&gt;"PRC_RESID","",IF(AL$7=2005+OFFSET(COM_2012!$B$60,$AW322,SUMIF($B$10:$B$16,"NCAP_TLIFE",$AX$10:$AX$16)),0,""))</f>
        <v/>
      </c>
      <c r="AM322" s="369" t="str">
        <f ca="1">IF($B322&lt;&gt;"PRC_RESID","",IF(AM$7=2005+OFFSET(COM_2012!$B$60,$AW322,SUMIF($B$10:$B$16,"NCAP_TLIFE",$AX$10:$AX$16)),0,""))</f>
        <v/>
      </c>
      <c r="AN322" s="369" t="str">
        <f ca="1">IF($B322&lt;&gt;"PRC_RESID","",IF(AN$7=2005+OFFSET(COM_2012!$B$60,$AW322,SUMIF($B$10:$B$16,"NCAP_TLIFE",$AX$10:$AX$16)),0,""))</f>
        <v/>
      </c>
      <c r="AO322" s="369" t="str">
        <f ca="1">IF($B322&lt;&gt;"PRC_RESID","",IF(AO$7=2005+OFFSET(COM_2012!$B$60,$AW322,SUMIF($B$10:$B$16,"NCAP_TLIFE",$AX$10:$AX$16)),0,""))</f>
        <v/>
      </c>
      <c r="AP322" s="369" t="str">
        <f ca="1">IF($B322&lt;&gt;"PRC_RESID","",IF(AP$7=2005+OFFSET(COM_2012!$B$60,$AW322,SUMIF($B$10:$B$16,"NCAP_TLIFE",$AX$10:$AX$16)),0,""))</f>
        <v/>
      </c>
      <c r="AQ322" s="369" t="str">
        <f ca="1">IF($B322&lt;&gt;"PRC_RESID","",IF(AQ$7=2005+OFFSET(COM_2012!$B$60,$AW322,SUMIF($B$10:$B$16,"NCAP_TLIFE",$AX$10:$AX$16)),0,""))</f>
        <v/>
      </c>
      <c r="AR322" s="369" t="str">
        <f ca="1">IF($B322&lt;&gt;"PRC_RESID","",IF(AR$7=2005+OFFSET(COM_2012!$B$60,$AW322,SUMIF($B$10:$B$16,"NCAP_TLIFE",$AX$10:$AX$16)),0,""))</f>
        <v/>
      </c>
      <c r="AS322" s="369" t="str">
        <f ca="1">IF($B322&lt;&gt;"PRC_RESID","",IF(AS$7=2005+OFFSET(COM_2012!$B$60,$AW322,SUMIF($B$10:$B$16,"NCAP_TLIFE",$AX$10:$AX$16)),0,""))</f>
        <v/>
      </c>
      <c r="AT322" s="369" t="str">
        <f ca="1">IF($B322&lt;&gt;"PRC_RESID","",IF(AT$7=2005+OFFSET(COM_2012!$B$60,$AW322,SUMIF($B$10:$B$16,"NCAP_TLIFE",$AX$10:$AX$16)),0,""))</f>
        <v/>
      </c>
      <c r="AU322" s="369" t="str">
        <f ca="1">IF($B322&lt;&gt;"PRC_RESID","",IF(AU$7=2005+OFFSET(COM_2012!$B$60,$AW322,SUMIF($B$10:$B$16,"NCAP_TLIFE",$AX$10:$AX$16)),0,""))</f>
        <v/>
      </c>
      <c r="AV322" s="304">
        <f>IF(AW321=COM_2012!$AI$121,AV321+1,AV321)</f>
        <v>5</v>
      </c>
      <c r="AW322" s="304">
        <f t="shared" ref="AW322:AW332" si="32">IF(AV322=AV321,AW321+1,1)</f>
        <v>51</v>
      </c>
    </row>
    <row r="323" spans="1:49">
      <c r="A323" s="304" t="str">
        <f ca="1">IF(LEFT(OFFSET(COM_2012!$A$60,AW323,0),2)="\I","*","")</f>
        <v>*</v>
      </c>
      <c r="B323" s="369" t="str">
        <f t="shared" ca="1" si="27"/>
        <v/>
      </c>
      <c r="C323" s="369" t="str">
        <f ca="1">IF($A323="*","",OFFSET(COM_2012!$B$60,AW323,0))</f>
        <v/>
      </c>
      <c r="D323" s="369" t="str">
        <f t="shared" ca="1" si="31"/>
        <v/>
      </c>
      <c r="E323" s="369" t="str">
        <f t="shared" ca="1" si="31"/>
        <v/>
      </c>
      <c r="F323" s="369" t="str">
        <f t="shared" ca="1" si="31"/>
        <v/>
      </c>
      <c r="G323" s="369" t="str">
        <f t="shared" ca="1" si="31"/>
        <v/>
      </c>
      <c r="H323" s="369" t="str">
        <f t="shared" ca="1" si="31"/>
        <v/>
      </c>
      <c r="I323" s="370" t="str">
        <f t="shared" ca="1" si="31"/>
        <v/>
      </c>
      <c r="J323" s="391" t="str">
        <f ca="1">IF($A323="*","",OFFSET(COM_2012!$B$60,AW323,SUMIF($B$10:$B$16,B323,$AX$10:$AX$16)))</f>
        <v/>
      </c>
      <c r="K323" s="369" t="str">
        <f ca="1">IF($B323&lt;&gt;"PRC_RESID","",IF(K$7=2005+OFFSET(COM_2012!$B$60,$AW323,SUMIF($B$10:$B$16,"NCAP_TLIFE",$AX$10:$AX$16)),0,""))</f>
        <v/>
      </c>
      <c r="L323" s="369" t="str">
        <f ca="1">IF($B323&lt;&gt;"PRC_RESID","",IF(L$7=2005+OFFSET(COM_2012!$B$60,$AW323,SUMIF($B$10:$B$16,"NCAP_TLIFE",$AX$10:$AX$16)),0,""))</f>
        <v/>
      </c>
      <c r="M323" s="369" t="str">
        <f ca="1">IF($B323&lt;&gt;"PRC_RESID","",IF(M$7=2005+OFFSET(COM_2012!$B$60,$AW323,SUMIF($B$10:$B$16,"NCAP_TLIFE",$AX$10:$AX$16)),0,""))</f>
        <v/>
      </c>
      <c r="N323" s="369" t="str">
        <f ca="1">IF($B323&lt;&gt;"PRC_RESID","",IF(N$7=2005+OFFSET(COM_2012!$B$60,$AW323,SUMIF($B$10:$B$16,"NCAP_TLIFE",$AX$10:$AX$16)),0,""))</f>
        <v/>
      </c>
      <c r="O323" s="658" t="str">
        <f ca="1">IF($B323&lt;&gt;"PRC_RESID","",IF(O$7=2005+OFFSET(COM_2012!$B$60,$AW323,SUMIF($B$10:$B$16,"NCAP_TLIFE",$AX$10:$AX$16)),0,""))</f>
        <v/>
      </c>
      <c r="P323" s="369" t="str">
        <f ca="1">IF($B323&lt;&gt;"PRC_RESID","",IF(P$7=2005+OFFSET(COM_2012!$B$60,$AW323,SUMIF($B$10:$B$16,"NCAP_TLIFE",$AX$10:$AX$16)),0,""))</f>
        <v/>
      </c>
      <c r="Q323" s="369" t="str">
        <f ca="1">IF($B323&lt;&gt;"PRC_RESID","",IF(Q$7=2005+OFFSET(COM_2012!$B$60,$AW323,SUMIF($B$10:$B$16,"NCAP_TLIFE",$AX$10:$AX$16)),0,""))</f>
        <v/>
      </c>
      <c r="R323" s="369" t="str">
        <f ca="1">IF($B323&lt;&gt;"PRC_RESID","",IF(R$7=2005+OFFSET(COM_2012!$B$60,$AW323,SUMIF($B$10:$B$16,"NCAP_TLIFE",$AX$10:$AX$16)),0,""))</f>
        <v/>
      </c>
      <c r="S323" s="369" t="str">
        <f ca="1">IF($B323&lt;&gt;"PRC_RESID","",IF(S$7=2005+OFFSET(COM_2012!$B$60,$AW323,SUMIF($B$10:$B$16,"NCAP_TLIFE",$AX$10:$AX$16)),0,""))</f>
        <v/>
      </c>
      <c r="T323" s="369" t="str">
        <f ca="1">IF($B323&lt;&gt;"PRC_RESID","",IF(T$7=2005+OFFSET(COM_2012!$B$60,$AW323,SUMIF($B$10:$B$16,"NCAP_TLIFE",$AX$10:$AX$16)),0,""))</f>
        <v/>
      </c>
      <c r="U323" s="369" t="str">
        <f ca="1">IF($B323&lt;&gt;"PRC_RESID","",IF(U$7=2005+OFFSET(COM_2012!$B$60,$AW323,SUMIF($B$10:$B$16,"NCAP_TLIFE",$AX$10:$AX$16)),0,""))</f>
        <v/>
      </c>
      <c r="V323" s="369" t="str">
        <f ca="1">IF($B323&lt;&gt;"PRC_RESID","",IF(V$7=2005+OFFSET(COM_2012!$B$60,$AW323,SUMIF($B$10:$B$16,"NCAP_TLIFE",$AX$10:$AX$16)),0,""))</f>
        <v/>
      </c>
      <c r="W323" s="369" t="str">
        <f ca="1">IF($B323&lt;&gt;"PRC_RESID","",IF(W$7=2005+OFFSET(COM_2012!$B$60,$AW323,SUMIF($B$10:$B$16,"NCAP_TLIFE",$AX$10:$AX$16)),0,""))</f>
        <v/>
      </c>
      <c r="X323" s="369" t="str">
        <f ca="1">IF($B323&lt;&gt;"PRC_RESID","",IF(X$7=2005+OFFSET(COM_2012!$B$60,$AW323,SUMIF($B$10:$B$16,"NCAP_TLIFE",$AX$10:$AX$16)),0,""))</f>
        <v/>
      </c>
      <c r="Y323" s="369" t="str">
        <f ca="1">IF($B323&lt;&gt;"PRC_RESID","",IF(Y$7=2005+OFFSET(COM_2012!$B$60,$AW323,SUMIF($B$10:$B$16,"NCAP_TLIFE",$AX$10:$AX$16)),0,""))</f>
        <v/>
      </c>
      <c r="Z323" s="369" t="str">
        <f ca="1">IF($B323&lt;&gt;"PRC_RESID","",IF(Z$7=2005+OFFSET(COM_2012!$B$60,$AW323,SUMIF($B$10:$B$16,"NCAP_TLIFE",$AX$10:$AX$16)),0,""))</f>
        <v/>
      </c>
      <c r="AA323" s="369" t="str">
        <f ca="1">IF($B323&lt;&gt;"PRC_RESID","",IF(AA$7=2005+OFFSET(COM_2012!$B$60,$AW323,SUMIF($B$10:$B$16,"NCAP_TLIFE",$AX$10:$AX$16)),0,""))</f>
        <v/>
      </c>
      <c r="AB323" s="369" t="str">
        <f ca="1">IF($B323&lt;&gt;"PRC_RESID","",IF(AB$7=2005+OFFSET(COM_2012!$B$60,$AW323,SUMIF($B$10:$B$16,"NCAP_TLIFE",$AX$10:$AX$16)),0,""))</f>
        <v/>
      </c>
      <c r="AC323" s="369" t="str">
        <f ca="1">IF($B323&lt;&gt;"PRC_RESID","",IF(AC$7=2005+OFFSET(COM_2012!$B$60,$AW323,SUMIF($B$10:$B$16,"NCAP_TLIFE",$AX$10:$AX$16)),0,""))</f>
        <v/>
      </c>
      <c r="AD323" s="369" t="str">
        <f ca="1">IF($B323&lt;&gt;"PRC_RESID","",IF(AD$7=2005+OFFSET(COM_2012!$B$60,$AW323,SUMIF($B$10:$B$16,"NCAP_TLIFE",$AX$10:$AX$16)),0,""))</f>
        <v/>
      </c>
      <c r="AE323" s="369" t="str">
        <f ca="1">IF($B323&lt;&gt;"PRC_RESID","",IF(AE$7=2005+OFFSET(COM_2012!$B$60,$AW323,SUMIF($B$10:$B$16,"NCAP_TLIFE",$AX$10:$AX$16)),0,""))</f>
        <v/>
      </c>
      <c r="AF323" s="369" t="str">
        <f ca="1">IF($B323&lt;&gt;"PRC_RESID","",IF(AF$7=2005+OFFSET(COM_2012!$B$60,$AW323,SUMIF($B$10:$B$16,"NCAP_TLIFE",$AX$10:$AX$16)),0,""))</f>
        <v/>
      </c>
      <c r="AG323" s="369" t="str">
        <f ca="1">IF($B323&lt;&gt;"PRC_RESID","",IF(AG$7=2005+OFFSET(COM_2012!$B$60,$AW323,SUMIF($B$10:$B$16,"NCAP_TLIFE",$AX$10:$AX$16)),0,""))</f>
        <v/>
      </c>
      <c r="AH323" s="369" t="str">
        <f ca="1">IF($B323&lt;&gt;"PRC_RESID","",IF(AH$7=2005+OFFSET(COM_2012!$B$60,$AW323,SUMIF($B$10:$B$16,"NCAP_TLIFE",$AX$10:$AX$16)),0,""))</f>
        <v/>
      </c>
      <c r="AI323" s="369" t="str">
        <f ca="1">IF($B323&lt;&gt;"PRC_RESID","",IF(AI$7=2005+OFFSET(COM_2012!$B$60,$AW323,SUMIF($B$10:$B$16,"NCAP_TLIFE",$AX$10:$AX$16)),0,""))</f>
        <v/>
      </c>
      <c r="AJ323" s="369" t="str">
        <f ca="1">IF($B323&lt;&gt;"PRC_RESID","",IF(AJ$7=2005+OFFSET(COM_2012!$B$60,$AW323,SUMIF($B$10:$B$16,"NCAP_TLIFE",$AX$10:$AX$16)),0,""))</f>
        <v/>
      </c>
      <c r="AK323" s="369" t="str">
        <f ca="1">IF($B323&lt;&gt;"PRC_RESID","",IF(AK$7=2005+OFFSET(COM_2012!$B$60,$AW323,SUMIF($B$10:$B$16,"NCAP_TLIFE",$AX$10:$AX$16)),0,""))</f>
        <v/>
      </c>
      <c r="AL323" s="369" t="str">
        <f ca="1">IF($B323&lt;&gt;"PRC_RESID","",IF(AL$7=2005+OFFSET(COM_2012!$B$60,$AW323,SUMIF($B$10:$B$16,"NCAP_TLIFE",$AX$10:$AX$16)),0,""))</f>
        <v/>
      </c>
      <c r="AM323" s="369" t="str">
        <f ca="1">IF($B323&lt;&gt;"PRC_RESID","",IF(AM$7=2005+OFFSET(COM_2012!$B$60,$AW323,SUMIF($B$10:$B$16,"NCAP_TLIFE",$AX$10:$AX$16)),0,""))</f>
        <v/>
      </c>
      <c r="AN323" s="369" t="str">
        <f ca="1">IF($B323&lt;&gt;"PRC_RESID","",IF(AN$7=2005+OFFSET(COM_2012!$B$60,$AW323,SUMIF($B$10:$B$16,"NCAP_TLIFE",$AX$10:$AX$16)),0,""))</f>
        <v/>
      </c>
      <c r="AO323" s="369" t="str">
        <f ca="1">IF($B323&lt;&gt;"PRC_RESID","",IF(AO$7=2005+OFFSET(COM_2012!$B$60,$AW323,SUMIF($B$10:$B$16,"NCAP_TLIFE",$AX$10:$AX$16)),0,""))</f>
        <v/>
      </c>
      <c r="AP323" s="369" t="str">
        <f ca="1">IF($B323&lt;&gt;"PRC_RESID","",IF(AP$7=2005+OFFSET(COM_2012!$B$60,$AW323,SUMIF($B$10:$B$16,"NCAP_TLIFE",$AX$10:$AX$16)),0,""))</f>
        <v/>
      </c>
      <c r="AQ323" s="369" t="str">
        <f ca="1">IF($B323&lt;&gt;"PRC_RESID","",IF(AQ$7=2005+OFFSET(COM_2012!$B$60,$AW323,SUMIF($B$10:$B$16,"NCAP_TLIFE",$AX$10:$AX$16)),0,""))</f>
        <v/>
      </c>
      <c r="AR323" s="369" t="str">
        <f ca="1">IF($B323&lt;&gt;"PRC_RESID","",IF(AR$7=2005+OFFSET(COM_2012!$B$60,$AW323,SUMIF($B$10:$B$16,"NCAP_TLIFE",$AX$10:$AX$16)),0,""))</f>
        <v/>
      </c>
      <c r="AS323" s="369" t="str">
        <f ca="1">IF($B323&lt;&gt;"PRC_RESID","",IF(AS$7=2005+OFFSET(COM_2012!$B$60,$AW323,SUMIF($B$10:$B$16,"NCAP_TLIFE",$AX$10:$AX$16)),0,""))</f>
        <v/>
      </c>
      <c r="AT323" s="369" t="str">
        <f ca="1">IF($B323&lt;&gt;"PRC_RESID","",IF(AT$7=2005+OFFSET(COM_2012!$B$60,$AW323,SUMIF($B$10:$B$16,"NCAP_TLIFE",$AX$10:$AX$16)),0,""))</f>
        <v/>
      </c>
      <c r="AU323" s="369" t="str">
        <f ca="1">IF($B323&lt;&gt;"PRC_RESID","",IF(AU$7=2005+OFFSET(COM_2012!$B$60,$AW323,SUMIF($B$10:$B$16,"NCAP_TLIFE",$AX$10:$AX$16)),0,""))</f>
        <v/>
      </c>
      <c r="AV323" s="304">
        <f>IF(AW322=COM_2012!$AI$121,AV322+1,AV322)</f>
        <v>5</v>
      </c>
      <c r="AW323" s="304">
        <f t="shared" si="32"/>
        <v>52</v>
      </c>
    </row>
    <row r="324" spans="1:49">
      <c r="A324" s="304" t="str">
        <f ca="1">IF(LEFT(OFFSET(COM_2012!$A$60,AW324,0),2)="\I","*","")</f>
        <v/>
      </c>
      <c r="B324" s="369" t="str">
        <f t="shared" ca="1" si="27"/>
        <v>NCAP_FOM</v>
      </c>
      <c r="C324" s="369" t="str">
        <f ca="1">IF($A324="*","",OFFSET(COM_2012!$B$60,AW324,0))</f>
        <v>CEOCOA-E</v>
      </c>
      <c r="D324" s="369" t="str">
        <f t="shared" ca="1" si="31"/>
        <v>-</v>
      </c>
      <c r="E324" s="369" t="str">
        <f t="shared" ca="1" si="31"/>
        <v>-</v>
      </c>
      <c r="F324" s="369" t="str">
        <f t="shared" ca="1" si="31"/>
        <v>-</v>
      </c>
      <c r="G324" s="369" t="str">
        <f t="shared" ca="1" si="31"/>
        <v>-</v>
      </c>
      <c r="H324" s="369" t="str">
        <f t="shared" ca="1" si="31"/>
        <v>-</v>
      </c>
      <c r="I324" s="370">
        <f t="shared" ca="1" si="31"/>
        <v>0</v>
      </c>
      <c r="J324" s="391">
        <f ca="1">IF($A324="*","",OFFSET(COM_2012!$B$60,AW324,SUMIF($B$10:$B$16,B324,$AX$10:$AX$16)))</f>
        <v>41.088682603593845</v>
      </c>
      <c r="K324" s="369" t="str">
        <f ca="1">IF($B324&lt;&gt;"PRC_RESID","",IF(K$7=2005+OFFSET(COM_2012!$B$60,$AW324,SUMIF($B$10:$B$16,"NCAP_TLIFE",$AX$10:$AX$16)),0,""))</f>
        <v/>
      </c>
      <c r="L324" s="369" t="str">
        <f ca="1">IF($B324&lt;&gt;"PRC_RESID","",IF(L$7=2005+OFFSET(COM_2012!$B$60,$AW324,SUMIF($B$10:$B$16,"NCAP_TLIFE",$AX$10:$AX$16)),0,""))</f>
        <v/>
      </c>
      <c r="M324" s="369" t="str">
        <f ca="1">IF($B324&lt;&gt;"PRC_RESID","",IF(M$7=2005+OFFSET(COM_2012!$B$60,$AW324,SUMIF($B$10:$B$16,"NCAP_TLIFE",$AX$10:$AX$16)),0,""))</f>
        <v/>
      </c>
      <c r="N324" s="369" t="str">
        <f ca="1">IF($B324&lt;&gt;"PRC_RESID","",IF(N$7=2005+OFFSET(COM_2012!$B$60,$AW324,SUMIF($B$10:$B$16,"NCAP_TLIFE",$AX$10:$AX$16)),0,""))</f>
        <v/>
      </c>
      <c r="O324" s="658" t="str">
        <f ca="1">IF($B324&lt;&gt;"PRC_RESID","",IF(O$7=2005+OFFSET(COM_2012!$B$60,$AW324,SUMIF($B$10:$B$16,"NCAP_TLIFE",$AX$10:$AX$16)),0,""))</f>
        <v/>
      </c>
      <c r="P324" s="369" t="str">
        <f ca="1">IF($B324&lt;&gt;"PRC_RESID","",IF(P$7=2005+OFFSET(COM_2012!$B$60,$AW324,SUMIF($B$10:$B$16,"NCAP_TLIFE",$AX$10:$AX$16)),0,""))</f>
        <v/>
      </c>
      <c r="Q324" s="369" t="str">
        <f ca="1">IF($B324&lt;&gt;"PRC_RESID","",IF(Q$7=2005+OFFSET(COM_2012!$B$60,$AW324,SUMIF($B$10:$B$16,"NCAP_TLIFE",$AX$10:$AX$16)),0,""))</f>
        <v/>
      </c>
      <c r="R324" s="369" t="str">
        <f ca="1">IF($B324&lt;&gt;"PRC_RESID","",IF(R$7=2005+OFFSET(COM_2012!$B$60,$AW324,SUMIF($B$10:$B$16,"NCAP_TLIFE",$AX$10:$AX$16)),0,""))</f>
        <v/>
      </c>
      <c r="S324" s="369" t="str">
        <f ca="1">IF($B324&lt;&gt;"PRC_RESID","",IF(S$7=2005+OFFSET(COM_2012!$B$60,$AW324,SUMIF($B$10:$B$16,"NCAP_TLIFE",$AX$10:$AX$16)),0,""))</f>
        <v/>
      </c>
      <c r="T324" s="369" t="str">
        <f ca="1">IF($B324&lt;&gt;"PRC_RESID","",IF(T$7=2005+OFFSET(COM_2012!$B$60,$AW324,SUMIF($B$10:$B$16,"NCAP_TLIFE",$AX$10:$AX$16)),0,""))</f>
        <v/>
      </c>
      <c r="U324" s="369" t="str">
        <f ca="1">IF($B324&lt;&gt;"PRC_RESID","",IF(U$7=2005+OFFSET(COM_2012!$B$60,$AW324,SUMIF($B$10:$B$16,"NCAP_TLIFE",$AX$10:$AX$16)),0,""))</f>
        <v/>
      </c>
      <c r="V324" s="369" t="str">
        <f ca="1">IF($B324&lt;&gt;"PRC_RESID","",IF(V$7=2005+OFFSET(COM_2012!$B$60,$AW324,SUMIF($B$10:$B$16,"NCAP_TLIFE",$AX$10:$AX$16)),0,""))</f>
        <v/>
      </c>
      <c r="W324" s="369" t="str">
        <f ca="1">IF($B324&lt;&gt;"PRC_RESID","",IF(W$7=2005+OFFSET(COM_2012!$B$60,$AW324,SUMIF($B$10:$B$16,"NCAP_TLIFE",$AX$10:$AX$16)),0,""))</f>
        <v/>
      </c>
      <c r="X324" s="369" t="str">
        <f ca="1">IF($B324&lt;&gt;"PRC_RESID","",IF(X$7=2005+OFFSET(COM_2012!$B$60,$AW324,SUMIF($B$10:$B$16,"NCAP_TLIFE",$AX$10:$AX$16)),0,""))</f>
        <v/>
      </c>
      <c r="Y324" s="369" t="str">
        <f ca="1">IF($B324&lt;&gt;"PRC_RESID","",IF(Y$7=2005+OFFSET(COM_2012!$B$60,$AW324,SUMIF($B$10:$B$16,"NCAP_TLIFE",$AX$10:$AX$16)),0,""))</f>
        <v/>
      </c>
      <c r="Z324" s="369" t="str">
        <f ca="1">IF($B324&lt;&gt;"PRC_RESID","",IF(Z$7=2005+OFFSET(COM_2012!$B$60,$AW324,SUMIF($B$10:$B$16,"NCAP_TLIFE",$AX$10:$AX$16)),0,""))</f>
        <v/>
      </c>
      <c r="AA324" s="369" t="str">
        <f ca="1">IF($B324&lt;&gt;"PRC_RESID","",IF(AA$7=2005+OFFSET(COM_2012!$B$60,$AW324,SUMIF($B$10:$B$16,"NCAP_TLIFE",$AX$10:$AX$16)),0,""))</f>
        <v/>
      </c>
      <c r="AB324" s="369" t="str">
        <f ca="1">IF($B324&lt;&gt;"PRC_RESID","",IF(AB$7=2005+OFFSET(COM_2012!$B$60,$AW324,SUMIF($B$10:$B$16,"NCAP_TLIFE",$AX$10:$AX$16)),0,""))</f>
        <v/>
      </c>
      <c r="AC324" s="369" t="str">
        <f ca="1">IF($B324&lt;&gt;"PRC_RESID","",IF(AC$7=2005+OFFSET(COM_2012!$B$60,$AW324,SUMIF($B$10:$B$16,"NCAP_TLIFE",$AX$10:$AX$16)),0,""))</f>
        <v/>
      </c>
      <c r="AD324" s="369" t="str">
        <f ca="1">IF($B324&lt;&gt;"PRC_RESID","",IF(AD$7=2005+OFFSET(COM_2012!$B$60,$AW324,SUMIF($B$10:$B$16,"NCAP_TLIFE",$AX$10:$AX$16)),0,""))</f>
        <v/>
      </c>
      <c r="AE324" s="369" t="str">
        <f ca="1">IF($B324&lt;&gt;"PRC_RESID","",IF(AE$7=2005+OFFSET(COM_2012!$B$60,$AW324,SUMIF($B$10:$B$16,"NCAP_TLIFE",$AX$10:$AX$16)),0,""))</f>
        <v/>
      </c>
      <c r="AF324" s="369" t="str">
        <f ca="1">IF($B324&lt;&gt;"PRC_RESID","",IF(AF$7=2005+OFFSET(COM_2012!$B$60,$AW324,SUMIF($B$10:$B$16,"NCAP_TLIFE",$AX$10:$AX$16)),0,""))</f>
        <v/>
      </c>
      <c r="AG324" s="369" t="str">
        <f ca="1">IF($B324&lt;&gt;"PRC_RESID","",IF(AG$7=2005+OFFSET(COM_2012!$B$60,$AW324,SUMIF($B$10:$B$16,"NCAP_TLIFE",$AX$10:$AX$16)),0,""))</f>
        <v/>
      </c>
      <c r="AH324" s="369" t="str">
        <f ca="1">IF($B324&lt;&gt;"PRC_RESID","",IF(AH$7=2005+OFFSET(COM_2012!$B$60,$AW324,SUMIF($B$10:$B$16,"NCAP_TLIFE",$AX$10:$AX$16)),0,""))</f>
        <v/>
      </c>
      <c r="AI324" s="369" t="str">
        <f ca="1">IF($B324&lt;&gt;"PRC_RESID","",IF(AI$7=2005+OFFSET(COM_2012!$B$60,$AW324,SUMIF($B$10:$B$16,"NCAP_TLIFE",$AX$10:$AX$16)),0,""))</f>
        <v/>
      </c>
      <c r="AJ324" s="369" t="str">
        <f ca="1">IF($B324&lt;&gt;"PRC_RESID","",IF(AJ$7=2005+OFFSET(COM_2012!$B$60,$AW324,SUMIF($B$10:$B$16,"NCAP_TLIFE",$AX$10:$AX$16)),0,""))</f>
        <v/>
      </c>
      <c r="AK324" s="369" t="str">
        <f ca="1">IF($B324&lt;&gt;"PRC_RESID","",IF(AK$7=2005+OFFSET(COM_2012!$B$60,$AW324,SUMIF($B$10:$B$16,"NCAP_TLIFE",$AX$10:$AX$16)),0,""))</f>
        <v/>
      </c>
      <c r="AL324" s="369" t="str">
        <f ca="1">IF($B324&lt;&gt;"PRC_RESID","",IF(AL$7=2005+OFFSET(COM_2012!$B$60,$AW324,SUMIF($B$10:$B$16,"NCAP_TLIFE",$AX$10:$AX$16)),0,""))</f>
        <v/>
      </c>
      <c r="AM324" s="369" t="str">
        <f ca="1">IF($B324&lt;&gt;"PRC_RESID","",IF(AM$7=2005+OFFSET(COM_2012!$B$60,$AW324,SUMIF($B$10:$B$16,"NCAP_TLIFE",$AX$10:$AX$16)),0,""))</f>
        <v/>
      </c>
      <c r="AN324" s="369" t="str">
        <f ca="1">IF($B324&lt;&gt;"PRC_RESID","",IF(AN$7=2005+OFFSET(COM_2012!$B$60,$AW324,SUMIF($B$10:$B$16,"NCAP_TLIFE",$AX$10:$AX$16)),0,""))</f>
        <v/>
      </c>
      <c r="AO324" s="369" t="str">
        <f ca="1">IF($B324&lt;&gt;"PRC_RESID","",IF(AO$7=2005+OFFSET(COM_2012!$B$60,$AW324,SUMIF($B$10:$B$16,"NCAP_TLIFE",$AX$10:$AX$16)),0,""))</f>
        <v/>
      </c>
      <c r="AP324" s="369" t="str">
        <f ca="1">IF($B324&lt;&gt;"PRC_RESID","",IF(AP$7=2005+OFFSET(COM_2012!$B$60,$AW324,SUMIF($B$10:$B$16,"NCAP_TLIFE",$AX$10:$AX$16)),0,""))</f>
        <v/>
      </c>
      <c r="AQ324" s="369" t="str">
        <f ca="1">IF($B324&lt;&gt;"PRC_RESID","",IF(AQ$7=2005+OFFSET(COM_2012!$B$60,$AW324,SUMIF($B$10:$B$16,"NCAP_TLIFE",$AX$10:$AX$16)),0,""))</f>
        <v/>
      </c>
      <c r="AR324" s="369" t="str">
        <f ca="1">IF($B324&lt;&gt;"PRC_RESID","",IF(AR$7=2005+OFFSET(COM_2012!$B$60,$AW324,SUMIF($B$10:$B$16,"NCAP_TLIFE",$AX$10:$AX$16)),0,""))</f>
        <v/>
      </c>
      <c r="AS324" s="369" t="str">
        <f ca="1">IF($B324&lt;&gt;"PRC_RESID","",IF(AS$7=2005+OFFSET(COM_2012!$B$60,$AW324,SUMIF($B$10:$B$16,"NCAP_TLIFE",$AX$10:$AX$16)),0,""))</f>
        <v/>
      </c>
      <c r="AT324" s="369" t="str">
        <f ca="1">IF($B324&lt;&gt;"PRC_RESID","",IF(AT$7=2005+OFFSET(COM_2012!$B$60,$AW324,SUMIF($B$10:$B$16,"NCAP_TLIFE",$AX$10:$AX$16)),0,""))</f>
        <v/>
      </c>
      <c r="AU324" s="369" t="str">
        <f ca="1">IF($B324&lt;&gt;"PRC_RESID","",IF(AU$7=2005+OFFSET(COM_2012!$B$60,$AW324,SUMIF($B$10:$B$16,"NCAP_TLIFE",$AX$10:$AX$16)),0,""))</f>
        <v/>
      </c>
      <c r="AV324" s="304">
        <f>IF(AW323=COM_2012!$AI$121,AV323+1,AV323)</f>
        <v>5</v>
      </c>
      <c r="AW324" s="304">
        <f t="shared" si="32"/>
        <v>53</v>
      </c>
    </row>
    <row r="325" spans="1:49">
      <c r="A325" s="304" t="str">
        <f ca="1">IF(LEFT(OFFSET(COM_2012!$A$60,AW325,0),2)="\I","*","")</f>
        <v/>
      </c>
      <c r="B325" s="369" t="str">
        <f t="shared" ca="1" si="27"/>
        <v>NCAP_FOM</v>
      </c>
      <c r="C325" s="369" t="str">
        <f ca="1">IF($A325="*","",OFFSET(COM_2012!$B$60,AW325,0))</f>
        <v>CEOODS-E</v>
      </c>
      <c r="D325" s="369" t="str">
        <f t="shared" ca="1" si="31"/>
        <v>-</v>
      </c>
      <c r="E325" s="369" t="str">
        <f t="shared" ca="1" si="31"/>
        <v>-</v>
      </c>
      <c r="F325" s="369" t="str">
        <f t="shared" ca="1" si="31"/>
        <v>-</v>
      </c>
      <c r="G325" s="369" t="str">
        <f t="shared" ca="1" si="31"/>
        <v>-</v>
      </c>
      <c r="H325" s="369" t="str">
        <f t="shared" ca="1" si="31"/>
        <v>-</v>
      </c>
      <c r="I325" s="370">
        <f t="shared" ca="1" si="31"/>
        <v>0</v>
      </c>
      <c r="J325" s="391">
        <f ca="1">IF($A325="*","",OFFSET(COM_2012!$B$60,AW325,SUMIF($B$10:$B$16,B325,$AX$10:$AX$16)))</f>
        <v>41.088682603593845</v>
      </c>
      <c r="K325" s="369" t="str">
        <f ca="1">IF($B325&lt;&gt;"PRC_RESID","",IF(K$7=2005+OFFSET(COM_2012!$B$60,$AW325,SUMIF($B$10:$B$16,"NCAP_TLIFE",$AX$10:$AX$16)),0,""))</f>
        <v/>
      </c>
      <c r="L325" s="369" t="str">
        <f ca="1">IF($B325&lt;&gt;"PRC_RESID","",IF(L$7=2005+OFFSET(COM_2012!$B$60,$AW325,SUMIF($B$10:$B$16,"NCAP_TLIFE",$AX$10:$AX$16)),0,""))</f>
        <v/>
      </c>
      <c r="M325" s="369" t="str">
        <f ca="1">IF($B325&lt;&gt;"PRC_RESID","",IF(M$7=2005+OFFSET(COM_2012!$B$60,$AW325,SUMIF($B$10:$B$16,"NCAP_TLIFE",$AX$10:$AX$16)),0,""))</f>
        <v/>
      </c>
      <c r="N325" s="369" t="str">
        <f ca="1">IF($B325&lt;&gt;"PRC_RESID","",IF(N$7=2005+OFFSET(COM_2012!$B$60,$AW325,SUMIF($B$10:$B$16,"NCAP_TLIFE",$AX$10:$AX$16)),0,""))</f>
        <v/>
      </c>
      <c r="O325" s="658" t="str">
        <f ca="1">IF($B325&lt;&gt;"PRC_RESID","",IF(O$7=2005+OFFSET(COM_2012!$B$60,$AW325,SUMIF($B$10:$B$16,"NCAP_TLIFE",$AX$10:$AX$16)),0,""))</f>
        <v/>
      </c>
      <c r="P325" s="369" t="str">
        <f ca="1">IF($B325&lt;&gt;"PRC_RESID","",IF(P$7=2005+OFFSET(COM_2012!$B$60,$AW325,SUMIF($B$10:$B$16,"NCAP_TLIFE",$AX$10:$AX$16)),0,""))</f>
        <v/>
      </c>
      <c r="Q325" s="369" t="str">
        <f ca="1">IF($B325&lt;&gt;"PRC_RESID","",IF(Q$7=2005+OFFSET(COM_2012!$B$60,$AW325,SUMIF($B$10:$B$16,"NCAP_TLIFE",$AX$10:$AX$16)),0,""))</f>
        <v/>
      </c>
      <c r="R325" s="369" t="str">
        <f ca="1">IF($B325&lt;&gt;"PRC_RESID","",IF(R$7=2005+OFFSET(COM_2012!$B$60,$AW325,SUMIF($B$10:$B$16,"NCAP_TLIFE",$AX$10:$AX$16)),0,""))</f>
        <v/>
      </c>
      <c r="S325" s="369" t="str">
        <f ca="1">IF($B325&lt;&gt;"PRC_RESID","",IF(S$7=2005+OFFSET(COM_2012!$B$60,$AW325,SUMIF($B$10:$B$16,"NCAP_TLIFE",$AX$10:$AX$16)),0,""))</f>
        <v/>
      </c>
      <c r="T325" s="369" t="str">
        <f ca="1">IF($B325&lt;&gt;"PRC_RESID","",IF(T$7=2005+OFFSET(COM_2012!$B$60,$AW325,SUMIF($B$10:$B$16,"NCAP_TLIFE",$AX$10:$AX$16)),0,""))</f>
        <v/>
      </c>
      <c r="U325" s="369" t="str">
        <f ca="1">IF($B325&lt;&gt;"PRC_RESID","",IF(U$7=2005+OFFSET(COM_2012!$B$60,$AW325,SUMIF($B$10:$B$16,"NCAP_TLIFE",$AX$10:$AX$16)),0,""))</f>
        <v/>
      </c>
      <c r="V325" s="369" t="str">
        <f ca="1">IF($B325&lt;&gt;"PRC_RESID","",IF(V$7=2005+OFFSET(COM_2012!$B$60,$AW325,SUMIF($B$10:$B$16,"NCAP_TLIFE",$AX$10:$AX$16)),0,""))</f>
        <v/>
      </c>
      <c r="W325" s="369" t="str">
        <f ca="1">IF($B325&lt;&gt;"PRC_RESID","",IF(W$7=2005+OFFSET(COM_2012!$B$60,$AW325,SUMIF($B$10:$B$16,"NCAP_TLIFE",$AX$10:$AX$16)),0,""))</f>
        <v/>
      </c>
      <c r="X325" s="369" t="str">
        <f ca="1">IF($B325&lt;&gt;"PRC_RESID","",IF(X$7=2005+OFFSET(COM_2012!$B$60,$AW325,SUMIF($B$10:$B$16,"NCAP_TLIFE",$AX$10:$AX$16)),0,""))</f>
        <v/>
      </c>
      <c r="Y325" s="369" t="str">
        <f ca="1">IF($B325&lt;&gt;"PRC_RESID","",IF(Y$7=2005+OFFSET(COM_2012!$B$60,$AW325,SUMIF($B$10:$B$16,"NCAP_TLIFE",$AX$10:$AX$16)),0,""))</f>
        <v/>
      </c>
      <c r="Z325" s="369" t="str">
        <f ca="1">IF($B325&lt;&gt;"PRC_RESID","",IF(Z$7=2005+OFFSET(COM_2012!$B$60,$AW325,SUMIF($B$10:$B$16,"NCAP_TLIFE",$AX$10:$AX$16)),0,""))</f>
        <v/>
      </c>
      <c r="AA325" s="369" t="str">
        <f ca="1">IF($B325&lt;&gt;"PRC_RESID","",IF(AA$7=2005+OFFSET(COM_2012!$B$60,$AW325,SUMIF($B$10:$B$16,"NCAP_TLIFE",$AX$10:$AX$16)),0,""))</f>
        <v/>
      </c>
      <c r="AB325" s="369" t="str">
        <f ca="1">IF($B325&lt;&gt;"PRC_RESID","",IF(AB$7=2005+OFFSET(COM_2012!$B$60,$AW325,SUMIF($B$10:$B$16,"NCAP_TLIFE",$AX$10:$AX$16)),0,""))</f>
        <v/>
      </c>
      <c r="AC325" s="369" t="str">
        <f ca="1">IF($B325&lt;&gt;"PRC_RESID","",IF(AC$7=2005+OFFSET(COM_2012!$B$60,$AW325,SUMIF($B$10:$B$16,"NCAP_TLIFE",$AX$10:$AX$16)),0,""))</f>
        <v/>
      </c>
      <c r="AD325" s="369" t="str">
        <f ca="1">IF($B325&lt;&gt;"PRC_RESID","",IF(AD$7=2005+OFFSET(COM_2012!$B$60,$AW325,SUMIF($B$10:$B$16,"NCAP_TLIFE",$AX$10:$AX$16)),0,""))</f>
        <v/>
      </c>
      <c r="AE325" s="369" t="str">
        <f ca="1">IF($B325&lt;&gt;"PRC_RESID","",IF(AE$7=2005+OFFSET(COM_2012!$B$60,$AW325,SUMIF($B$10:$B$16,"NCAP_TLIFE",$AX$10:$AX$16)),0,""))</f>
        <v/>
      </c>
      <c r="AF325" s="369" t="str">
        <f ca="1">IF($B325&lt;&gt;"PRC_RESID","",IF(AF$7=2005+OFFSET(COM_2012!$B$60,$AW325,SUMIF($B$10:$B$16,"NCAP_TLIFE",$AX$10:$AX$16)),0,""))</f>
        <v/>
      </c>
      <c r="AG325" s="369" t="str">
        <f ca="1">IF($B325&lt;&gt;"PRC_RESID","",IF(AG$7=2005+OFFSET(COM_2012!$B$60,$AW325,SUMIF($B$10:$B$16,"NCAP_TLIFE",$AX$10:$AX$16)),0,""))</f>
        <v/>
      </c>
      <c r="AH325" s="369" t="str">
        <f ca="1">IF($B325&lt;&gt;"PRC_RESID","",IF(AH$7=2005+OFFSET(COM_2012!$B$60,$AW325,SUMIF($B$10:$B$16,"NCAP_TLIFE",$AX$10:$AX$16)),0,""))</f>
        <v/>
      </c>
      <c r="AI325" s="369" t="str">
        <f ca="1">IF($B325&lt;&gt;"PRC_RESID","",IF(AI$7=2005+OFFSET(COM_2012!$B$60,$AW325,SUMIF($B$10:$B$16,"NCAP_TLIFE",$AX$10:$AX$16)),0,""))</f>
        <v/>
      </c>
      <c r="AJ325" s="369" t="str">
        <f ca="1">IF($B325&lt;&gt;"PRC_RESID","",IF(AJ$7=2005+OFFSET(COM_2012!$B$60,$AW325,SUMIF($B$10:$B$16,"NCAP_TLIFE",$AX$10:$AX$16)),0,""))</f>
        <v/>
      </c>
      <c r="AK325" s="369" t="str">
        <f ca="1">IF($B325&lt;&gt;"PRC_RESID","",IF(AK$7=2005+OFFSET(COM_2012!$B$60,$AW325,SUMIF($B$10:$B$16,"NCAP_TLIFE",$AX$10:$AX$16)),0,""))</f>
        <v/>
      </c>
      <c r="AL325" s="369" t="str">
        <f ca="1">IF($B325&lt;&gt;"PRC_RESID","",IF(AL$7=2005+OFFSET(COM_2012!$B$60,$AW325,SUMIF($B$10:$B$16,"NCAP_TLIFE",$AX$10:$AX$16)),0,""))</f>
        <v/>
      </c>
      <c r="AM325" s="369" t="str">
        <f ca="1">IF($B325&lt;&gt;"PRC_RESID","",IF(AM$7=2005+OFFSET(COM_2012!$B$60,$AW325,SUMIF($B$10:$B$16,"NCAP_TLIFE",$AX$10:$AX$16)),0,""))</f>
        <v/>
      </c>
      <c r="AN325" s="369" t="str">
        <f ca="1">IF($B325&lt;&gt;"PRC_RESID","",IF(AN$7=2005+OFFSET(COM_2012!$B$60,$AW325,SUMIF($B$10:$B$16,"NCAP_TLIFE",$AX$10:$AX$16)),0,""))</f>
        <v/>
      </c>
      <c r="AO325" s="369" t="str">
        <f ca="1">IF($B325&lt;&gt;"PRC_RESID","",IF(AO$7=2005+OFFSET(COM_2012!$B$60,$AW325,SUMIF($B$10:$B$16,"NCAP_TLIFE",$AX$10:$AX$16)),0,""))</f>
        <v/>
      </c>
      <c r="AP325" s="369" t="str">
        <f ca="1">IF($B325&lt;&gt;"PRC_RESID","",IF(AP$7=2005+OFFSET(COM_2012!$B$60,$AW325,SUMIF($B$10:$B$16,"NCAP_TLIFE",$AX$10:$AX$16)),0,""))</f>
        <v/>
      </c>
      <c r="AQ325" s="369" t="str">
        <f ca="1">IF($B325&lt;&gt;"PRC_RESID","",IF(AQ$7=2005+OFFSET(COM_2012!$B$60,$AW325,SUMIF($B$10:$B$16,"NCAP_TLIFE",$AX$10:$AX$16)),0,""))</f>
        <v/>
      </c>
      <c r="AR325" s="369" t="str">
        <f ca="1">IF($B325&lt;&gt;"PRC_RESID","",IF(AR$7=2005+OFFSET(COM_2012!$B$60,$AW325,SUMIF($B$10:$B$16,"NCAP_TLIFE",$AX$10:$AX$16)),0,""))</f>
        <v/>
      </c>
      <c r="AS325" s="369" t="str">
        <f ca="1">IF($B325&lt;&gt;"PRC_RESID","",IF(AS$7=2005+OFFSET(COM_2012!$B$60,$AW325,SUMIF($B$10:$B$16,"NCAP_TLIFE",$AX$10:$AX$16)),0,""))</f>
        <v/>
      </c>
      <c r="AT325" s="369" t="str">
        <f ca="1">IF($B325&lt;&gt;"PRC_RESID","",IF(AT$7=2005+OFFSET(COM_2012!$B$60,$AW325,SUMIF($B$10:$B$16,"NCAP_TLIFE",$AX$10:$AX$16)),0,""))</f>
        <v/>
      </c>
      <c r="AU325" s="369" t="str">
        <f ca="1">IF($B325&lt;&gt;"PRC_RESID","",IF(AU$7=2005+OFFSET(COM_2012!$B$60,$AW325,SUMIF($B$10:$B$16,"NCAP_TLIFE",$AX$10:$AX$16)),0,""))</f>
        <v/>
      </c>
      <c r="AV325" s="304">
        <f>IF(AW324=COM_2012!$AI$121,AV324+1,AV324)</f>
        <v>5</v>
      </c>
      <c r="AW325" s="304">
        <f t="shared" si="32"/>
        <v>54</v>
      </c>
    </row>
    <row r="326" spans="1:49">
      <c r="A326" s="304" t="str">
        <f ca="1">IF(LEFT(OFFSET(COM_2012!$A$60,AW326,0),2)="\I","*","")</f>
        <v/>
      </c>
      <c r="B326" s="369" t="str">
        <f t="shared" ca="1" si="27"/>
        <v>NCAP_FOM</v>
      </c>
      <c r="C326" s="369" t="str">
        <f ca="1">IF($A326="*","",OFFSET(COM_2012!$B$60,AW326,0))</f>
        <v>CEOELC-E</v>
      </c>
      <c r="D326" s="369" t="str">
        <f t="shared" ca="1" si="31"/>
        <v>-</v>
      </c>
      <c r="E326" s="369" t="str">
        <f t="shared" ca="1" si="31"/>
        <v>-</v>
      </c>
      <c r="F326" s="369" t="str">
        <f t="shared" ca="1" si="31"/>
        <v>-</v>
      </c>
      <c r="G326" s="369" t="str">
        <f t="shared" ca="1" si="31"/>
        <v>-</v>
      </c>
      <c r="H326" s="369" t="str">
        <f t="shared" ca="1" si="31"/>
        <v>-</v>
      </c>
      <c r="I326" s="370">
        <f t="shared" ca="1" si="31"/>
        <v>0</v>
      </c>
      <c r="J326" s="391">
        <f ca="1">IF($A326="*","",OFFSET(COM_2012!$B$60,AW326,SUMIF($B$10:$B$16,B326,$AX$10:$AX$16)))</f>
        <v>41.088682603593845</v>
      </c>
      <c r="K326" s="369" t="str">
        <f ca="1">IF($B326&lt;&gt;"PRC_RESID","",IF(K$7=2005+OFFSET(COM_2012!$B$60,$AW326,SUMIF($B$10:$B$16,"NCAP_TLIFE",$AX$10:$AX$16)),0,""))</f>
        <v/>
      </c>
      <c r="L326" s="369" t="str">
        <f ca="1">IF($B326&lt;&gt;"PRC_RESID","",IF(L$7=2005+OFFSET(COM_2012!$B$60,$AW326,SUMIF($B$10:$B$16,"NCAP_TLIFE",$AX$10:$AX$16)),0,""))</f>
        <v/>
      </c>
      <c r="M326" s="369" t="str">
        <f ca="1">IF($B326&lt;&gt;"PRC_RESID","",IF(M$7=2005+OFFSET(COM_2012!$B$60,$AW326,SUMIF($B$10:$B$16,"NCAP_TLIFE",$AX$10:$AX$16)),0,""))</f>
        <v/>
      </c>
      <c r="N326" s="369" t="str">
        <f ca="1">IF($B326&lt;&gt;"PRC_RESID","",IF(N$7=2005+OFFSET(COM_2012!$B$60,$AW326,SUMIF($B$10:$B$16,"NCAP_TLIFE",$AX$10:$AX$16)),0,""))</f>
        <v/>
      </c>
      <c r="O326" s="658" t="str">
        <f ca="1">IF($B326&lt;&gt;"PRC_RESID","",IF(O$7=2005+OFFSET(COM_2012!$B$60,$AW326,SUMIF($B$10:$B$16,"NCAP_TLIFE",$AX$10:$AX$16)),0,""))</f>
        <v/>
      </c>
      <c r="P326" s="369" t="str">
        <f ca="1">IF($B326&lt;&gt;"PRC_RESID","",IF(P$7=2005+OFFSET(COM_2012!$B$60,$AW326,SUMIF($B$10:$B$16,"NCAP_TLIFE",$AX$10:$AX$16)),0,""))</f>
        <v/>
      </c>
      <c r="Q326" s="369" t="str">
        <f ca="1">IF($B326&lt;&gt;"PRC_RESID","",IF(Q$7=2005+OFFSET(COM_2012!$B$60,$AW326,SUMIF($B$10:$B$16,"NCAP_TLIFE",$AX$10:$AX$16)),0,""))</f>
        <v/>
      </c>
      <c r="R326" s="369" t="str">
        <f ca="1">IF($B326&lt;&gt;"PRC_RESID","",IF(R$7=2005+OFFSET(COM_2012!$B$60,$AW326,SUMIF($B$10:$B$16,"NCAP_TLIFE",$AX$10:$AX$16)),0,""))</f>
        <v/>
      </c>
      <c r="S326" s="369" t="str">
        <f ca="1">IF($B326&lt;&gt;"PRC_RESID","",IF(S$7=2005+OFFSET(COM_2012!$B$60,$AW326,SUMIF($B$10:$B$16,"NCAP_TLIFE",$AX$10:$AX$16)),0,""))</f>
        <v/>
      </c>
      <c r="T326" s="369" t="str">
        <f ca="1">IF($B326&lt;&gt;"PRC_RESID","",IF(T$7=2005+OFFSET(COM_2012!$B$60,$AW326,SUMIF($B$10:$B$16,"NCAP_TLIFE",$AX$10:$AX$16)),0,""))</f>
        <v/>
      </c>
      <c r="U326" s="369" t="str">
        <f ca="1">IF($B326&lt;&gt;"PRC_RESID","",IF(U$7=2005+OFFSET(COM_2012!$B$60,$AW326,SUMIF($B$10:$B$16,"NCAP_TLIFE",$AX$10:$AX$16)),0,""))</f>
        <v/>
      </c>
      <c r="V326" s="369" t="str">
        <f ca="1">IF($B326&lt;&gt;"PRC_RESID","",IF(V$7=2005+OFFSET(COM_2012!$B$60,$AW326,SUMIF($B$10:$B$16,"NCAP_TLIFE",$AX$10:$AX$16)),0,""))</f>
        <v/>
      </c>
      <c r="W326" s="369" t="str">
        <f ca="1">IF($B326&lt;&gt;"PRC_RESID","",IF(W$7=2005+OFFSET(COM_2012!$B$60,$AW326,SUMIF($B$10:$B$16,"NCAP_TLIFE",$AX$10:$AX$16)),0,""))</f>
        <v/>
      </c>
      <c r="X326" s="369" t="str">
        <f ca="1">IF($B326&lt;&gt;"PRC_RESID","",IF(X$7=2005+OFFSET(COM_2012!$B$60,$AW326,SUMIF($B$10:$B$16,"NCAP_TLIFE",$AX$10:$AX$16)),0,""))</f>
        <v/>
      </c>
      <c r="Y326" s="369" t="str">
        <f ca="1">IF($B326&lt;&gt;"PRC_RESID","",IF(Y$7=2005+OFFSET(COM_2012!$B$60,$AW326,SUMIF($B$10:$B$16,"NCAP_TLIFE",$AX$10:$AX$16)),0,""))</f>
        <v/>
      </c>
      <c r="Z326" s="369" t="str">
        <f ca="1">IF($B326&lt;&gt;"PRC_RESID","",IF(Z$7=2005+OFFSET(COM_2012!$B$60,$AW326,SUMIF($B$10:$B$16,"NCAP_TLIFE",$AX$10:$AX$16)),0,""))</f>
        <v/>
      </c>
      <c r="AA326" s="369" t="str">
        <f ca="1">IF($B326&lt;&gt;"PRC_RESID","",IF(AA$7=2005+OFFSET(COM_2012!$B$60,$AW326,SUMIF($B$10:$B$16,"NCAP_TLIFE",$AX$10:$AX$16)),0,""))</f>
        <v/>
      </c>
      <c r="AB326" s="369" t="str">
        <f ca="1">IF($B326&lt;&gt;"PRC_RESID","",IF(AB$7=2005+OFFSET(COM_2012!$B$60,$AW326,SUMIF($B$10:$B$16,"NCAP_TLIFE",$AX$10:$AX$16)),0,""))</f>
        <v/>
      </c>
      <c r="AC326" s="369" t="str">
        <f ca="1">IF($B326&lt;&gt;"PRC_RESID","",IF(AC$7=2005+OFFSET(COM_2012!$B$60,$AW326,SUMIF($B$10:$B$16,"NCAP_TLIFE",$AX$10:$AX$16)),0,""))</f>
        <v/>
      </c>
      <c r="AD326" s="369" t="str">
        <f ca="1">IF($B326&lt;&gt;"PRC_RESID","",IF(AD$7=2005+OFFSET(COM_2012!$B$60,$AW326,SUMIF($B$10:$B$16,"NCAP_TLIFE",$AX$10:$AX$16)),0,""))</f>
        <v/>
      </c>
      <c r="AE326" s="369" t="str">
        <f ca="1">IF($B326&lt;&gt;"PRC_RESID","",IF(AE$7=2005+OFFSET(COM_2012!$B$60,$AW326,SUMIF($B$10:$B$16,"NCAP_TLIFE",$AX$10:$AX$16)),0,""))</f>
        <v/>
      </c>
      <c r="AF326" s="369" t="str">
        <f ca="1">IF($B326&lt;&gt;"PRC_RESID","",IF(AF$7=2005+OFFSET(COM_2012!$B$60,$AW326,SUMIF($B$10:$B$16,"NCAP_TLIFE",$AX$10:$AX$16)),0,""))</f>
        <v/>
      </c>
      <c r="AG326" s="369" t="str">
        <f ca="1">IF($B326&lt;&gt;"PRC_RESID","",IF(AG$7=2005+OFFSET(COM_2012!$B$60,$AW326,SUMIF($B$10:$B$16,"NCAP_TLIFE",$AX$10:$AX$16)),0,""))</f>
        <v/>
      </c>
      <c r="AH326" s="369" t="str">
        <f ca="1">IF($B326&lt;&gt;"PRC_RESID","",IF(AH$7=2005+OFFSET(COM_2012!$B$60,$AW326,SUMIF($B$10:$B$16,"NCAP_TLIFE",$AX$10:$AX$16)),0,""))</f>
        <v/>
      </c>
      <c r="AI326" s="369" t="str">
        <f ca="1">IF($B326&lt;&gt;"PRC_RESID","",IF(AI$7=2005+OFFSET(COM_2012!$B$60,$AW326,SUMIF($B$10:$B$16,"NCAP_TLIFE",$AX$10:$AX$16)),0,""))</f>
        <v/>
      </c>
      <c r="AJ326" s="369" t="str">
        <f ca="1">IF($B326&lt;&gt;"PRC_RESID","",IF(AJ$7=2005+OFFSET(COM_2012!$B$60,$AW326,SUMIF($B$10:$B$16,"NCAP_TLIFE",$AX$10:$AX$16)),0,""))</f>
        <v/>
      </c>
      <c r="AK326" s="369" t="str">
        <f ca="1">IF($B326&lt;&gt;"PRC_RESID","",IF(AK$7=2005+OFFSET(COM_2012!$B$60,$AW326,SUMIF($B$10:$B$16,"NCAP_TLIFE",$AX$10:$AX$16)),0,""))</f>
        <v/>
      </c>
      <c r="AL326" s="369" t="str">
        <f ca="1">IF($B326&lt;&gt;"PRC_RESID","",IF(AL$7=2005+OFFSET(COM_2012!$B$60,$AW326,SUMIF($B$10:$B$16,"NCAP_TLIFE",$AX$10:$AX$16)),0,""))</f>
        <v/>
      </c>
      <c r="AM326" s="369" t="str">
        <f ca="1">IF($B326&lt;&gt;"PRC_RESID","",IF(AM$7=2005+OFFSET(COM_2012!$B$60,$AW326,SUMIF($B$10:$B$16,"NCAP_TLIFE",$AX$10:$AX$16)),0,""))</f>
        <v/>
      </c>
      <c r="AN326" s="369" t="str">
        <f ca="1">IF($B326&lt;&gt;"PRC_RESID","",IF(AN$7=2005+OFFSET(COM_2012!$B$60,$AW326,SUMIF($B$10:$B$16,"NCAP_TLIFE",$AX$10:$AX$16)),0,""))</f>
        <v/>
      </c>
      <c r="AO326" s="369" t="str">
        <f ca="1">IF($B326&lt;&gt;"PRC_RESID","",IF(AO$7=2005+OFFSET(COM_2012!$B$60,$AW326,SUMIF($B$10:$B$16,"NCAP_TLIFE",$AX$10:$AX$16)),0,""))</f>
        <v/>
      </c>
      <c r="AP326" s="369" t="str">
        <f ca="1">IF($B326&lt;&gt;"PRC_RESID","",IF(AP$7=2005+OFFSET(COM_2012!$B$60,$AW326,SUMIF($B$10:$B$16,"NCAP_TLIFE",$AX$10:$AX$16)),0,""))</f>
        <v/>
      </c>
      <c r="AQ326" s="369" t="str">
        <f ca="1">IF($B326&lt;&gt;"PRC_RESID","",IF(AQ$7=2005+OFFSET(COM_2012!$B$60,$AW326,SUMIF($B$10:$B$16,"NCAP_TLIFE",$AX$10:$AX$16)),0,""))</f>
        <v/>
      </c>
      <c r="AR326" s="369" t="str">
        <f ca="1">IF($B326&lt;&gt;"PRC_RESID","",IF(AR$7=2005+OFFSET(COM_2012!$B$60,$AW326,SUMIF($B$10:$B$16,"NCAP_TLIFE",$AX$10:$AX$16)),0,""))</f>
        <v/>
      </c>
      <c r="AS326" s="369" t="str">
        <f ca="1">IF($B326&lt;&gt;"PRC_RESID","",IF(AS$7=2005+OFFSET(COM_2012!$B$60,$AW326,SUMIF($B$10:$B$16,"NCAP_TLIFE",$AX$10:$AX$16)),0,""))</f>
        <v/>
      </c>
      <c r="AT326" s="369" t="str">
        <f ca="1">IF($B326&lt;&gt;"PRC_RESID","",IF(AT$7=2005+OFFSET(COM_2012!$B$60,$AW326,SUMIF($B$10:$B$16,"NCAP_TLIFE",$AX$10:$AX$16)),0,""))</f>
        <v/>
      </c>
      <c r="AU326" s="369" t="str">
        <f ca="1">IF($B326&lt;&gt;"PRC_RESID","",IF(AU$7=2005+OFFSET(COM_2012!$B$60,$AW326,SUMIF($B$10:$B$16,"NCAP_TLIFE",$AX$10:$AX$16)),0,""))</f>
        <v/>
      </c>
      <c r="AV326" s="304">
        <f>IF(AW325=COM_2012!$AI$121,AV325+1,AV325)</f>
        <v>5</v>
      </c>
      <c r="AW326" s="304">
        <f t="shared" si="32"/>
        <v>55</v>
      </c>
    </row>
    <row r="327" spans="1:49">
      <c r="A327" s="304" t="str">
        <f ca="1">IF(LEFT(OFFSET(COM_2012!$A$60,AW327,0),2)="\I","*","")</f>
        <v/>
      </c>
      <c r="B327" s="369" t="str">
        <f t="shared" ca="1" si="27"/>
        <v>NCAP_FOM</v>
      </c>
      <c r="C327" s="369" t="str">
        <f ca="1">IF($A327="*","",OFFSET(COM_2012!$B$60,AW327,0))</f>
        <v>CEOGAS-E</v>
      </c>
      <c r="D327" s="369" t="str">
        <f t="shared" ca="1" si="31"/>
        <v>-</v>
      </c>
      <c r="E327" s="369" t="str">
        <f t="shared" ca="1" si="31"/>
        <v>-</v>
      </c>
      <c r="F327" s="369" t="str">
        <f t="shared" ca="1" si="31"/>
        <v>-</v>
      </c>
      <c r="G327" s="369" t="str">
        <f t="shared" ca="1" si="31"/>
        <v>-</v>
      </c>
      <c r="H327" s="369" t="str">
        <f t="shared" ca="1" si="31"/>
        <v>-</v>
      </c>
      <c r="I327" s="370">
        <f t="shared" ca="1" si="31"/>
        <v>0</v>
      </c>
      <c r="J327" s="391">
        <f ca="1">IF($A327="*","",OFFSET(COM_2012!$B$60,AW327,SUMIF($B$10:$B$16,B327,$AX$10:$AX$16)))</f>
        <v>41.088682603593845</v>
      </c>
      <c r="K327" s="369" t="str">
        <f ca="1">IF($B327&lt;&gt;"PRC_RESID","",IF(K$7=2005+OFFSET(COM_2012!$B$60,$AW327,SUMIF($B$10:$B$16,"NCAP_TLIFE",$AX$10:$AX$16)),0,""))</f>
        <v/>
      </c>
      <c r="L327" s="369" t="str">
        <f ca="1">IF($B327&lt;&gt;"PRC_RESID","",IF(L$7=2005+OFFSET(COM_2012!$B$60,$AW327,SUMIF($B$10:$B$16,"NCAP_TLIFE",$AX$10:$AX$16)),0,""))</f>
        <v/>
      </c>
      <c r="M327" s="369" t="str">
        <f ca="1">IF($B327&lt;&gt;"PRC_RESID","",IF(M$7=2005+OFFSET(COM_2012!$B$60,$AW327,SUMIF($B$10:$B$16,"NCAP_TLIFE",$AX$10:$AX$16)),0,""))</f>
        <v/>
      </c>
      <c r="N327" s="369" t="str">
        <f ca="1">IF($B327&lt;&gt;"PRC_RESID","",IF(N$7=2005+OFFSET(COM_2012!$B$60,$AW327,SUMIF($B$10:$B$16,"NCAP_TLIFE",$AX$10:$AX$16)),0,""))</f>
        <v/>
      </c>
      <c r="O327" s="658" t="str">
        <f ca="1">IF($B327&lt;&gt;"PRC_RESID","",IF(O$7=2005+OFFSET(COM_2012!$B$60,$AW327,SUMIF($B$10:$B$16,"NCAP_TLIFE",$AX$10:$AX$16)),0,""))</f>
        <v/>
      </c>
      <c r="P327" s="369" t="str">
        <f ca="1">IF($B327&lt;&gt;"PRC_RESID","",IF(P$7=2005+OFFSET(COM_2012!$B$60,$AW327,SUMIF($B$10:$B$16,"NCAP_TLIFE",$AX$10:$AX$16)),0,""))</f>
        <v/>
      </c>
      <c r="Q327" s="369" t="str">
        <f ca="1">IF($B327&lt;&gt;"PRC_RESID","",IF(Q$7=2005+OFFSET(COM_2012!$B$60,$AW327,SUMIF($B$10:$B$16,"NCAP_TLIFE",$AX$10:$AX$16)),0,""))</f>
        <v/>
      </c>
      <c r="R327" s="369" t="str">
        <f ca="1">IF($B327&lt;&gt;"PRC_RESID","",IF(R$7=2005+OFFSET(COM_2012!$B$60,$AW327,SUMIF($B$10:$B$16,"NCAP_TLIFE",$AX$10:$AX$16)),0,""))</f>
        <v/>
      </c>
      <c r="S327" s="369" t="str">
        <f ca="1">IF($B327&lt;&gt;"PRC_RESID","",IF(S$7=2005+OFFSET(COM_2012!$B$60,$AW327,SUMIF($B$10:$B$16,"NCAP_TLIFE",$AX$10:$AX$16)),0,""))</f>
        <v/>
      </c>
      <c r="T327" s="369" t="str">
        <f ca="1">IF($B327&lt;&gt;"PRC_RESID","",IF(T$7=2005+OFFSET(COM_2012!$B$60,$AW327,SUMIF($B$10:$B$16,"NCAP_TLIFE",$AX$10:$AX$16)),0,""))</f>
        <v/>
      </c>
      <c r="U327" s="369" t="str">
        <f ca="1">IF($B327&lt;&gt;"PRC_RESID","",IF(U$7=2005+OFFSET(COM_2012!$B$60,$AW327,SUMIF($B$10:$B$16,"NCAP_TLIFE",$AX$10:$AX$16)),0,""))</f>
        <v/>
      </c>
      <c r="V327" s="369" t="str">
        <f ca="1">IF($B327&lt;&gt;"PRC_RESID","",IF(V$7=2005+OFFSET(COM_2012!$B$60,$AW327,SUMIF($B$10:$B$16,"NCAP_TLIFE",$AX$10:$AX$16)),0,""))</f>
        <v/>
      </c>
      <c r="W327" s="369" t="str">
        <f ca="1">IF($B327&lt;&gt;"PRC_RESID","",IF(W$7=2005+OFFSET(COM_2012!$B$60,$AW327,SUMIF($B$10:$B$16,"NCAP_TLIFE",$AX$10:$AX$16)),0,""))</f>
        <v/>
      </c>
      <c r="X327" s="369" t="str">
        <f ca="1">IF($B327&lt;&gt;"PRC_RESID","",IF(X$7=2005+OFFSET(COM_2012!$B$60,$AW327,SUMIF($B$10:$B$16,"NCAP_TLIFE",$AX$10:$AX$16)),0,""))</f>
        <v/>
      </c>
      <c r="Y327" s="369" t="str">
        <f ca="1">IF($B327&lt;&gt;"PRC_RESID","",IF(Y$7=2005+OFFSET(COM_2012!$B$60,$AW327,SUMIF($B$10:$B$16,"NCAP_TLIFE",$AX$10:$AX$16)),0,""))</f>
        <v/>
      </c>
      <c r="Z327" s="369" t="str">
        <f ca="1">IF($B327&lt;&gt;"PRC_RESID","",IF(Z$7=2005+OFFSET(COM_2012!$B$60,$AW327,SUMIF($B$10:$B$16,"NCAP_TLIFE",$AX$10:$AX$16)),0,""))</f>
        <v/>
      </c>
      <c r="AA327" s="369" t="str">
        <f ca="1">IF($B327&lt;&gt;"PRC_RESID","",IF(AA$7=2005+OFFSET(COM_2012!$B$60,$AW327,SUMIF($B$10:$B$16,"NCAP_TLIFE",$AX$10:$AX$16)),0,""))</f>
        <v/>
      </c>
      <c r="AB327" s="369" t="str">
        <f ca="1">IF($B327&lt;&gt;"PRC_RESID","",IF(AB$7=2005+OFFSET(COM_2012!$B$60,$AW327,SUMIF($B$10:$B$16,"NCAP_TLIFE",$AX$10:$AX$16)),0,""))</f>
        <v/>
      </c>
      <c r="AC327" s="369" t="str">
        <f ca="1">IF($B327&lt;&gt;"PRC_RESID","",IF(AC$7=2005+OFFSET(COM_2012!$B$60,$AW327,SUMIF($B$10:$B$16,"NCAP_TLIFE",$AX$10:$AX$16)),0,""))</f>
        <v/>
      </c>
      <c r="AD327" s="369" t="str">
        <f ca="1">IF($B327&lt;&gt;"PRC_RESID","",IF(AD$7=2005+OFFSET(COM_2012!$B$60,$AW327,SUMIF($B$10:$B$16,"NCAP_TLIFE",$AX$10:$AX$16)),0,""))</f>
        <v/>
      </c>
      <c r="AE327" s="369" t="str">
        <f ca="1">IF($B327&lt;&gt;"PRC_RESID","",IF(AE$7=2005+OFFSET(COM_2012!$B$60,$AW327,SUMIF($B$10:$B$16,"NCAP_TLIFE",$AX$10:$AX$16)),0,""))</f>
        <v/>
      </c>
      <c r="AF327" s="369" t="str">
        <f ca="1">IF($B327&lt;&gt;"PRC_RESID","",IF(AF$7=2005+OFFSET(COM_2012!$B$60,$AW327,SUMIF($B$10:$B$16,"NCAP_TLIFE",$AX$10:$AX$16)),0,""))</f>
        <v/>
      </c>
      <c r="AG327" s="369" t="str">
        <f ca="1">IF($B327&lt;&gt;"PRC_RESID","",IF(AG$7=2005+OFFSET(COM_2012!$B$60,$AW327,SUMIF($B$10:$B$16,"NCAP_TLIFE",$AX$10:$AX$16)),0,""))</f>
        <v/>
      </c>
      <c r="AH327" s="369" t="str">
        <f ca="1">IF($B327&lt;&gt;"PRC_RESID","",IF(AH$7=2005+OFFSET(COM_2012!$B$60,$AW327,SUMIF($B$10:$B$16,"NCAP_TLIFE",$AX$10:$AX$16)),0,""))</f>
        <v/>
      </c>
      <c r="AI327" s="369" t="str">
        <f ca="1">IF($B327&lt;&gt;"PRC_RESID","",IF(AI$7=2005+OFFSET(COM_2012!$B$60,$AW327,SUMIF($B$10:$B$16,"NCAP_TLIFE",$AX$10:$AX$16)),0,""))</f>
        <v/>
      </c>
      <c r="AJ327" s="369" t="str">
        <f ca="1">IF($B327&lt;&gt;"PRC_RESID","",IF(AJ$7=2005+OFFSET(COM_2012!$B$60,$AW327,SUMIF($B$10:$B$16,"NCAP_TLIFE",$AX$10:$AX$16)),0,""))</f>
        <v/>
      </c>
      <c r="AK327" s="369" t="str">
        <f ca="1">IF($B327&lt;&gt;"PRC_RESID","",IF(AK$7=2005+OFFSET(COM_2012!$B$60,$AW327,SUMIF($B$10:$B$16,"NCAP_TLIFE",$AX$10:$AX$16)),0,""))</f>
        <v/>
      </c>
      <c r="AL327" s="369" t="str">
        <f ca="1">IF($B327&lt;&gt;"PRC_RESID","",IF(AL$7=2005+OFFSET(COM_2012!$B$60,$AW327,SUMIF($B$10:$B$16,"NCAP_TLIFE",$AX$10:$AX$16)),0,""))</f>
        <v/>
      </c>
      <c r="AM327" s="369" t="str">
        <f ca="1">IF($B327&lt;&gt;"PRC_RESID","",IF(AM$7=2005+OFFSET(COM_2012!$B$60,$AW327,SUMIF($B$10:$B$16,"NCAP_TLIFE",$AX$10:$AX$16)),0,""))</f>
        <v/>
      </c>
      <c r="AN327" s="369" t="str">
        <f ca="1">IF($B327&lt;&gt;"PRC_RESID","",IF(AN$7=2005+OFFSET(COM_2012!$B$60,$AW327,SUMIF($B$10:$B$16,"NCAP_TLIFE",$AX$10:$AX$16)),0,""))</f>
        <v/>
      </c>
      <c r="AO327" s="369" t="str">
        <f ca="1">IF($B327&lt;&gt;"PRC_RESID","",IF(AO$7=2005+OFFSET(COM_2012!$B$60,$AW327,SUMIF($B$10:$B$16,"NCAP_TLIFE",$AX$10:$AX$16)),0,""))</f>
        <v/>
      </c>
      <c r="AP327" s="369" t="str">
        <f ca="1">IF($B327&lt;&gt;"PRC_RESID","",IF(AP$7=2005+OFFSET(COM_2012!$B$60,$AW327,SUMIF($B$10:$B$16,"NCAP_TLIFE",$AX$10:$AX$16)),0,""))</f>
        <v/>
      </c>
      <c r="AQ327" s="369" t="str">
        <f ca="1">IF($B327&lt;&gt;"PRC_RESID","",IF(AQ$7=2005+OFFSET(COM_2012!$B$60,$AW327,SUMIF($B$10:$B$16,"NCAP_TLIFE",$AX$10:$AX$16)),0,""))</f>
        <v/>
      </c>
      <c r="AR327" s="369" t="str">
        <f ca="1">IF($B327&lt;&gt;"PRC_RESID","",IF(AR$7=2005+OFFSET(COM_2012!$B$60,$AW327,SUMIF($B$10:$B$16,"NCAP_TLIFE",$AX$10:$AX$16)),0,""))</f>
        <v/>
      </c>
      <c r="AS327" s="369" t="str">
        <f ca="1">IF($B327&lt;&gt;"PRC_RESID","",IF(AS$7=2005+OFFSET(COM_2012!$B$60,$AW327,SUMIF($B$10:$B$16,"NCAP_TLIFE",$AX$10:$AX$16)),0,""))</f>
        <v/>
      </c>
      <c r="AT327" s="369" t="str">
        <f ca="1">IF($B327&lt;&gt;"PRC_RESID","",IF(AT$7=2005+OFFSET(COM_2012!$B$60,$AW327,SUMIF($B$10:$B$16,"NCAP_TLIFE",$AX$10:$AX$16)),0,""))</f>
        <v/>
      </c>
      <c r="AU327" s="369" t="str">
        <f ca="1">IF($B327&lt;&gt;"PRC_RESID","",IF(AU$7=2005+OFFSET(COM_2012!$B$60,$AW327,SUMIF($B$10:$B$16,"NCAP_TLIFE",$AX$10:$AX$16)),0,""))</f>
        <v/>
      </c>
      <c r="AV327" s="304">
        <f>IF(AW326=COM_2012!$AI$121,AV326+1,AV326)</f>
        <v>5</v>
      </c>
      <c r="AW327" s="304">
        <f t="shared" si="32"/>
        <v>56</v>
      </c>
    </row>
    <row r="328" spans="1:49">
      <c r="A328" s="304" t="str">
        <f ca="1">IF(LEFT(OFFSET(COM_2012!$A$60,AW328,0),2)="\I","*","")</f>
        <v/>
      </c>
      <c r="B328" s="369" t="str">
        <f t="shared" ca="1" si="27"/>
        <v>NCAP_FOM</v>
      </c>
      <c r="C328" s="369" t="str">
        <f ca="1">IF($A328="*","",OFFSET(COM_2012!$B$60,AW328,0))</f>
        <v>CEOOGS-E</v>
      </c>
      <c r="D328" s="369" t="str">
        <f t="shared" ca="1" si="31"/>
        <v>-</v>
      </c>
      <c r="E328" s="369" t="str">
        <f t="shared" ca="1" si="31"/>
        <v>-</v>
      </c>
      <c r="F328" s="369" t="str">
        <f t="shared" ca="1" si="31"/>
        <v>-</v>
      </c>
      <c r="G328" s="369" t="str">
        <f t="shared" ca="1" si="31"/>
        <v>-</v>
      </c>
      <c r="H328" s="369" t="str">
        <f t="shared" ca="1" si="31"/>
        <v>-</v>
      </c>
      <c r="I328" s="370">
        <f t="shared" ca="1" si="31"/>
        <v>0</v>
      </c>
      <c r="J328" s="391">
        <f ca="1">IF($A328="*","",OFFSET(COM_2012!$B$60,AW328,SUMIF($B$10:$B$16,B328,$AX$10:$AX$16)))</f>
        <v>41.088682603593845</v>
      </c>
      <c r="K328" s="369" t="str">
        <f ca="1">IF($B328&lt;&gt;"PRC_RESID","",IF(K$7=2005+OFFSET(COM_2012!$B$60,$AW328,SUMIF($B$10:$B$16,"NCAP_TLIFE",$AX$10:$AX$16)),0,""))</f>
        <v/>
      </c>
      <c r="L328" s="369" t="str">
        <f ca="1">IF($B328&lt;&gt;"PRC_RESID","",IF(L$7=2005+OFFSET(COM_2012!$B$60,$AW328,SUMIF($B$10:$B$16,"NCAP_TLIFE",$AX$10:$AX$16)),0,""))</f>
        <v/>
      </c>
      <c r="M328" s="369" t="str">
        <f ca="1">IF($B328&lt;&gt;"PRC_RESID","",IF(M$7=2005+OFFSET(COM_2012!$B$60,$AW328,SUMIF($B$10:$B$16,"NCAP_TLIFE",$AX$10:$AX$16)),0,""))</f>
        <v/>
      </c>
      <c r="N328" s="369" t="str">
        <f ca="1">IF($B328&lt;&gt;"PRC_RESID","",IF(N$7=2005+OFFSET(COM_2012!$B$60,$AW328,SUMIF($B$10:$B$16,"NCAP_TLIFE",$AX$10:$AX$16)),0,""))</f>
        <v/>
      </c>
      <c r="O328" s="658" t="str">
        <f ca="1">IF($B328&lt;&gt;"PRC_RESID","",IF(O$7=2005+OFFSET(COM_2012!$B$60,$AW328,SUMIF($B$10:$B$16,"NCAP_TLIFE",$AX$10:$AX$16)),0,""))</f>
        <v/>
      </c>
      <c r="P328" s="369" t="str">
        <f ca="1">IF($B328&lt;&gt;"PRC_RESID","",IF(P$7=2005+OFFSET(COM_2012!$B$60,$AW328,SUMIF($B$10:$B$16,"NCAP_TLIFE",$AX$10:$AX$16)),0,""))</f>
        <v/>
      </c>
      <c r="Q328" s="369" t="str">
        <f ca="1">IF($B328&lt;&gt;"PRC_RESID","",IF(Q$7=2005+OFFSET(COM_2012!$B$60,$AW328,SUMIF($B$10:$B$16,"NCAP_TLIFE",$AX$10:$AX$16)),0,""))</f>
        <v/>
      </c>
      <c r="R328" s="369" t="str">
        <f ca="1">IF($B328&lt;&gt;"PRC_RESID","",IF(R$7=2005+OFFSET(COM_2012!$B$60,$AW328,SUMIF($B$10:$B$16,"NCAP_TLIFE",$AX$10:$AX$16)),0,""))</f>
        <v/>
      </c>
      <c r="S328" s="369" t="str">
        <f ca="1">IF($B328&lt;&gt;"PRC_RESID","",IF(S$7=2005+OFFSET(COM_2012!$B$60,$AW328,SUMIF($B$10:$B$16,"NCAP_TLIFE",$AX$10:$AX$16)),0,""))</f>
        <v/>
      </c>
      <c r="T328" s="369" t="str">
        <f ca="1">IF($B328&lt;&gt;"PRC_RESID","",IF(T$7=2005+OFFSET(COM_2012!$B$60,$AW328,SUMIF($B$10:$B$16,"NCAP_TLIFE",$AX$10:$AX$16)),0,""))</f>
        <v/>
      </c>
      <c r="U328" s="369" t="str">
        <f ca="1">IF($B328&lt;&gt;"PRC_RESID","",IF(U$7=2005+OFFSET(COM_2012!$B$60,$AW328,SUMIF($B$10:$B$16,"NCAP_TLIFE",$AX$10:$AX$16)),0,""))</f>
        <v/>
      </c>
      <c r="V328" s="369" t="str">
        <f ca="1">IF($B328&lt;&gt;"PRC_RESID","",IF(V$7=2005+OFFSET(COM_2012!$B$60,$AW328,SUMIF($B$10:$B$16,"NCAP_TLIFE",$AX$10:$AX$16)),0,""))</f>
        <v/>
      </c>
      <c r="W328" s="369" t="str">
        <f ca="1">IF($B328&lt;&gt;"PRC_RESID","",IF(W$7=2005+OFFSET(COM_2012!$B$60,$AW328,SUMIF($B$10:$B$16,"NCAP_TLIFE",$AX$10:$AX$16)),0,""))</f>
        <v/>
      </c>
      <c r="X328" s="369" t="str">
        <f ca="1">IF($B328&lt;&gt;"PRC_RESID","",IF(X$7=2005+OFFSET(COM_2012!$B$60,$AW328,SUMIF($B$10:$B$16,"NCAP_TLIFE",$AX$10:$AX$16)),0,""))</f>
        <v/>
      </c>
      <c r="Y328" s="369" t="str">
        <f ca="1">IF($B328&lt;&gt;"PRC_RESID","",IF(Y$7=2005+OFFSET(COM_2012!$B$60,$AW328,SUMIF($B$10:$B$16,"NCAP_TLIFE",$AX$10:$AX$16)),0,""))</f>
        <v/>
      </c>
      <c r="Z328" s="369" t="str">
        <f ca="1">IF($B328&lt;&gt;"PRC_RESID","",IF(Z$7=2005+OFFSET(COM_2012!$B$60,$AW328,SUMIF($B$10:$B$16,"NCAP_TLIFE",$AX$10:$AX$16)),0,""))</f>
        <v/>
      </c>
      <c r="AA328" s="369" t="str">
        <f ca="1">IF($B328&lt;&gt;"PRC_RESID","",IF(AA$7=2005+OFFSET(COM_2012!$B$60,$AW328,SUMIF($B$10:$B$16,"NCAP_TLIFE",$AX$10:$AX$16)),0,""))</f>
        <v/>
      </c>
      <c r="AB328" s="369" t="str">
        <f ca="1">IF($B328&lt;&gt;"PRC_RESID","",IF(AB$7=2005+OFFSET(COM_2012!$B$60,$AW328,SUMIF($B$10:$B$16,"NCAP_TLIFE",$AX$10:$AX$16)),0,""))</f>
        <v/>
      </c>
      <c r="AC328" s="369" t="str">
        <f ca="1">IF($B328&lt;&gt;"PRC_RESID","",IF(AC$7=2005+OFFSET(COM_2012!$B$60,$AW328,SUMIF($B$10:$B$16,"NCAP_TLIFE",$AX$10:$AX$16)),0,""))</f>
        <v/>
      </c>
      <c r="AD328" s="369" t="str">
        <f ca="1">IF($B328&lt;&gt;"PRC_RESID","",IF(AD$7=2005+OFFSET(COM_2012!$B$60,$AW328,SUMIF($B$10:$B$16,"NCAP_TLIFE",$AX$10:$AX$16)),0,""))</f>
        <v/>
      </c>
      <c r="AE328" s="369" t="str">
        <f ca="1">IF($B328&lt;&gt;"PRC_RESID","",IF(AE$7=2005+OFFSET(COM_2012!$B$60,$AW328,SUMIF($B$10:$B$16,"NCAP_TLIFE",$AX$10:$AX$16)),0,""))</f>
        <v/>
      </c>
      <c r="AF328" s="369" t="str">
        <f ca="1">IF($B328&lt;&gt;"PRC_RESID","",IF(AF$7=2005+OFFSET(COM_2012!$B$60,$AW328,SUMIF($B$10:$B$16,"NCAP_TLIFE",$AX$10:$AX$16)),0,""))</f>
        <v/>
      </c>
      <c r="AG328" s="369" t="str">
        <f ca="1">IF($B328&lt;&gt;"PRC_RESID","",IF(AG$7=2005+OFFSET(COM_2012!$B$60,$AW328,SUMIF($B$10:$B$16,"NCAP_TLIFE",$AX$10:$AX$16)),0,""))</f>
        <v/>
      </c>
      <c r="AH328" s="369" t="str">
        <f ca="1">IF($B328&lt;&gt;"PRC_RESID","",IF(AH$7=2005+OFFSET(COM_2012!$B$60,$AW328,SUMIF($B$10:$B$16,"NCAP_TLIFE",$AX$10:$AX$16)),0,""))</f>
        <v/>
      </c>
      <c r="AI328" s="369" t="str">
        <f ca="1">IF($B328&lt;&gt;"PRC_RESID","",IF(AI$7=2005+OFFSET(COM_2012!$B$60,$AW328,SUMIF($B$10:$B$16,"NCAP_TLIFE",$AX$10:$AX$16)),0,""))</f>
        <v/>
      </c>
      <c r="AJ328" s="369" t="str">
        <f ca="1">IF($B328&lt;&gt;"PRC_RESID","",IF(AJ$7=2005+OFFSET(COM_2012!$B$60,$AW328,SUMIF($B$10:$B$16,"NCAP_TLIFE",$AX$10:$AX$16)),0,""))</f>
        <v/>
      </c>
      <c r="AK328" s="369" t="str">
        <f ca="1">IF($B328&lt;&gt;"PRC_RESID","",IF(AK$7=2005+OFFSET(COM_2012!$B$60,$AW328,SUMIF($B$10:$B$16,"NCAP_TLIFE",$AX$10:$AX$16)),0,""))</f>
        <v/>
      </c>
      <c r="AL328" s="369" t="str">
        <f ca="1">IF($B328&lt;&gt;"PRC_RESID","",IF(AL$7=2005+OFFSET(COM_2012!$B$60,$AW328,SUMIF($B$10:$B$16,"NCAP_TLIFE",$AX$10:$AX$16)),0,""))</f>
        <v/>
      </c>
      <c r="AM328" s="369" t="str">
        <f ca="1">IF($B328&lt;&gt;"PRC_RESID","",IF(AM$7=2005+OFFSET(COM_2012!$B$60,$AW328,SUMIF($B$10:$B$16,"NCAP_TLIFE",$AX$10:$AX$16)),0,""))</f>
        <v/>
      </c>
      <c r="AN328" s="369" t="str">
        <f ca="1">IF($B328&lt;&gt;"PRC_RESID","",IF(AN$7=2005+OFFSET(COM_2012!$B$60,$AW328,SUMIF($B$10:$B$16,"NCAP_TLIFE",$AX$10:$AX$16)),0,""))</f>
        <v/>
      </c>
      <c r="AO328" s="369" t="str">
        <f ca="1">IF($B328&lt;&gt;"PRC_RESID","",IF(AO$7=2005+OFFSET(COM_2012!$B$60,$AW328,SUMIF($B$10:$B$16,"NCAP_TLIFE",$AX$10:$AX$16)),0,""))</f>
        <v/>
      </c>
      <c r="AP328" s="369" t="str">
        <f ca="1">IF($B328&lt;&gt;"PRC_RESID","",IF(AP$7=2005+OFFSET(COM_2012!$B$60,$AW328,SUMIF($B$10:$B$16,"NCAP_TLIFE",$AX$10:$AX$16)),0,""))</f>
        <v/>
      </c>
      <c r="AQ328" s="369" t="str">
        <f ca="1">IF($B328&lt;&gt;"PRC_RESID","",IF(AQ$7=2005+OFFSET(COM_2012!$B$60,$AW328,SUMIF($B$10:$B$16,"NCAP_TLIFE",$AX$10:$AX$16)),0,""))</f>
        <v/>
      </c>
      <c r="AR328" s="369" t="str">
        <f ca="1">IF($B328&lt;&gt;"PRC_RESID","",IF(AR$7=2005+OFFSET(COM_2012!$B$60,$AW328,SUMIF($B$10:$B$16,"NCAP_TLIFE",$AX$10:$AX$16)),0,""))</f>
        <v/>
      </c>
      <c r="AS328" s="369" t="str">
        <f ca="1">IF($B328&lt;&gt;"PRC_RESID","",IF(AS$7=2005+OFFSET(COM_2012!$B$60,$AW328,SUMIF($B$10:$B$16,"NCAP_TLIFE",$AX$10:$AX$16)),0,""))</f>
        <v/>
      </c>
      <c r="AT328" s="369" t="str">
        <f ca="1">IF($B328&lt;&gt;"PRC_RESID","",IF(AT$7=2005+OFFSET(COM_2012!$B$60,$AW328,SUMIF($B$10:$B$16,"NCAP_TLIFE",$AX$10:$AX$16)),0,""))</f>
        <v/>
      </c>
      <c r="AU328" s="369" t="str">
        <f ca="1">IF($B328&lt;&gt;"PRC_RESID","",IF(AU$7=2005+OFFSET(COM_2012!$B$60,$AW328,SUMIF($B$10:$B$16,"NCAP_TLIFE",$AX$10:$AX$16)),0,""))</f>
        <v/>
      </c>
      <c r="AV328" s="304">
        <f>IF(AW327=COM_2012!$AI$121,AV327+1,AV327)</f>
        <v>5</v>
      </c>
      <c r="AW328" s="304">
        <f t="shared" si="32"/>
        <v>57</v>
      </c>
    </row>
    <row r="329" spans="1:49">
      <c r="A329" s="304" t="str">
        <f ca="1">IF(LEFT(OFFSET(COM_2012!$A$60,AW329,0),2)="\I","*","")</f>
        <v/>
      </c>
      <c r="B329" s="369" t="str">
        <f t="shared" ca="1" si="27"/>
        <v>NCAP_FOM</v>
      </c>
      <c r="C329" s="369" t="str">
        <f ca="1">IF($A329="*","",OFFSET(COM_2012!$B$60,AW329,0))</f>
        <v>CEOOHF-E</v>
      </c>
      <c r="D329" s="369" t="str">
        <f t="shared" ca="1" si="31"/>
        <v>-</v>
      </c>
      <c r="E329" s="369" t="str">
        <f t="shared" ca="1" si="31"/>
        <v>-</v>
      </c>
      <c r="F329" s="369" t="str">
        <f t="shared" ca="1" si="31"/>
        <v>-</v>
      </c>
      <c r="G329" s="369" t="str">
        <f t="shared" ca="1" si="31"/>
        <v>-</v>
      </c>
      <c r="H329" s="369" t="str">
        <f t="shared" ca="1" si="31"/>
        <v>-</v>
      </c>
      <c r="I329" s="370">
        <f t="shared" ca="1" si="31"/>
        <v>0</v>
      </c>
      <c r="J329" s="391">
        <f ca="1">IF($A329="*","",OFFSET(COM_2012!$B$60,AW329,SUMIF($B$10:$B$16,B329,$AX$10:$AX$16)))</f>
        <v>41.088682603593845</v>
      </c>
      <c r="K329" s="369" t="str">
        <f ca="1">IF($B329&lt;&gt;"PRC_RESID","",IF(K$7=2005+OFFSET(COM_2012!$B$60,$AW329,SUMIF($B$10:$B$16,"NCAP_TLIFE",$AX$10:$AX$16)),0,""))</f>
        <v/>
      </c>
      <c r="L329" s="369" t="str">
        <f ca="1">IF($B329&lt;&gt;"PRC_RESID","",IF(L$7=2005+OFFSET(COM_2012!$B$60,$AW329,SUMIF($B$10:$B$16,"NCAP_TLIFE",$AX$10:$AX$16)),0,""))</f>
        <v/>
      </c>
      <c r="M329" s="369" t="str">
        <f ca="1">IF($B329&lt;&gt;"PRC_RESID","",IF(M$7=2005+OFFSET(COM_2012!$B$60,$AW329,SUMIF($B$10:$B$16,"NCAP_TLIFE",$AX$10:$AX$16)),0,""))</f>
        <v/>
      </c>
      <c r="N329" s="369" t="str">
        <f ca="1">IF($B329&lt;&gt;"PRC_RESID","",IF(N$7=2005+OFFSET(COM_2012!$B$60,$AW329,SUMIF($B$10:$B$16,"NCAP_TLIFE",$AX$10:$AX$16)),0,""))</f>
        <v/>
      </c>
      <c r="O329" s="658" t="str">
        <f ca="1">IF($B329&lt;&gt;"PRC_RESID","",IF(O$7=2005+OFFSET(COM_2012!$B$60,$AW329,SUMIF($B$10:$B$16,"NCAP_TLIFE",$AX$10:$AX$16)),0,""))</f>
        <v/>
      </c>
      <c r="P329" s="369" t="str">
        <f ca="1">IF($B329&lt;&gt;"PRC_RESID","",IF(P$7=2005+OFFSET(COM_2012!$B$60,$AW329,SUMIF($B$10:$B$16,"NCAP_TLIFE",$AX$10:$AX$16)),0,""))</f>
        <v/>
      </c>
      <c r="Q329" s="369" t="str">
        <f ca="1">IF($B329&lt;&gt;"PRC_RESID","",IF(Q$7=2005+OFFSET(COM_2012!$B$60,$AW329,SUMIF($B$10:$B$16,"NCAP_TLIFE",$AX$10:$AX$16)),0,""))</f>
        <v/>
      </c>
      <c r="R329" s="369" t="str">
        <f ca="1">IF($B329&lt;&gt;"PRC_RESID","",IF(R$7=2005+OFFSET(COM_2012!$B$60,$AW329,SUMIF($B$10:$B$16,"NCAP_TLIFE",$AX$10:$AX$16)),0,""))</f>
        <v/>
      </c>
      <c r="S329" s="369" t="str">
        <f ca="1">IF($B329&lt;&gt;"PRC_RESID","",IF(S$7=2005+OFFSET(COM_2012!$B$60,$AW329,SUMIF($B$10:$B$16,"NCAP_TLIFE",$AX$10:$AX$16)),0,""))</f>
        <v/>
      </c>
      <c r="T329" s="369" t="str">
        <f ca="1">IF($B329&lt;&gt;"PRC_RESID","",IF(T$7=2005+OFFSET(COM_2012!$B$60,$AW329,SUMIF($B$10:$B$16,"NCAP_TLIFE",$AX$10:$AX$16)),0,""))</f>
        <v/>
      </c>
      <c r="U329" s="369" t="str">
        <f ca="1">IF($B329&lt;&gt;"PRC_RESID","",IF(U$7=2005+OFFSET(COM_2012!$B$60,$AW329,SUMIF($B$10:$B$16,"NCAP_TLIFE",$AX$10:$AX$16)),0,""))</f>
        <v/>
      </c>
      <c r="V329" s="369" t="str">
        <f ca="1">IF($B329&lt;&gt;"PRC_RESID","",IF(V$7=2005+OFFSET(COM_2012!$B$60,$AW329,SUMIF($B$10:$B$16,"NCAP_TLIFE",$AX$10:$AX$16)),0,""))</f>
        <v/>
      </c>
      <c r="W329" s="369" t="str">
        <f ca="1">IF($B329&lt;&gt;"PRC_RESID","",IF(W$7=2005+OFFSET(COM_2012!$B$60,$AW329,SUMIF($B$10:$B$16,"NCAP_TLIFE",$AX$10:$AX$16)),0,""))</f>
        <v/>
      </c>
      <c r="X329" s="369" t="str">
        <f ca="1">IF($B329&lt;&gt;"PRC_RESID","",IF(X$7=2005+OFFSET(COM_2012!$B$60,$AW329,SUMIF($B$10:$B$16,"NCAP_TLIFE",$AX$10:$AX$16)),0,""))</f>
        <v/>
      </c>
      <c r="Y329" s="369" t="str">
        <f ca="1">IF($B329&lt;&gt;"PRC_RESID","",IF(Y$7=2005+OFFSET(COM_2012!$B$60,$AW329,SUMIF($B$10:$B$16,"NCAP_TLIFE",$AX$10:$AX$16)),0,""))</f>
        <v/>
      </c>
      <c r="Z329" s="369" t="str">
        <f ca="1">IF($B329&lt;&gt;"PRC_RESID","",IF(Z$7=2005+OFFSET(COM_2012!$B$60,$AW329,SUMIF($B$10:$B$16,"NCAP_TLIFE",$AX$10:$AX$16)),0,""))</f>
        <v/>
      </c>
      <c r="AA329" s="369" t="str">
        <f ca="1">IF($B329&lt;&gt;"PRC_RESID","",IF(AA$7=2005+OFFSET(COM_2012!$B$60,$AW329,SUMIF($B$10:$B$16,"NCAP_TLIFE",$AX$10:$AX$16)),0,""))</f>
        <v/>
      </c>
      <c r="AB329" s="369" t="str">
        <f ca="1">IF($B329&lt;&gt;"PRC_RESID","",IF(AB$7=2005+OFFSET(COM_2012!$B$60,$AW329,SUMIF($B$10:$B$16,"NCAP_TLIFE",$AX$10:$AX$16)),0,""))</f>
        <v/>
      </c>
      <c r="AC329" s="369" t="str">
        <f ca="1">IF($B329&lt;&gt;"PRC_RESID","",IF(AC$7=2005+OFFSET(COM_2012!$B$60,$AW329,SUMIF($B$10:$B$16,"NCAP_TLIFE",$AX$10:$AX$16)),0,""))</f>
        <v/>
      </c>
      <c r="AD329" s="369" t="str">
        <f ca="1">IF($B329&lt;&gt;"PRC_RESID","",IF(AD$7=2005+OFFSET(COM_2012!$B$60,$AW329,SUMIF($B$10:$B$16,"NCAP_TLIFE",$AX$10:$AX$16)),0,""))</f>
        <v/>
      </c>
      <c r="AE329" s="369" t="str">
        <f ca="1">IF($B329&lt;&gt;"PRC_RESID","",IF(AE$7=2005+OFFSET(COM_2012!$B$60,$AW329,SUMIF($B$10:$B$16,"NCAP_TLIFE",$AX$10:$AX$16)),0,""))</f>
        <v/>
      </c>
      <c r="AF329" s="369" t="str">
        <f ca="1">IF($B329&lt;&gt;"PRC_RESID","",IF(AF$7=2005+OFFSET(COM_2012!$B$60,$AW329,SUMIF($B$10:$B$16,"NCAP_TLIFE",$AX$10:$AX$16)),0,""))</f>
        <v/>
      </c>
      <c r="AG329" s="369" t="str">
        <f ca="1">IF($B329&lt;&gt;"PRC_RESID","",IF(AG$7=2005+OFFSET(COM_2012!$B$60,$AW329,SUMIF($B$10:$B$16,"NCAP_TLIFE",$AX$10:$AX$16)),0,""))</f>
        <v/>
      </c>
      <c r="AH329" s="369" t="str">
        <f ca="1">IF($B329&lt;&gt;"PRC_RESID","",IF(AH$7=2005+OFFSET(COM_2012!$B$60,$AW329,SUMIF($B$10:$B$16,"NCAP_TLIFE",$AX$10:$AX$16)),0,""))</f>
        <v/>
      </c>
      <c r="AI329" s="369" t="str">
        <f ca="1">IF($B329&lt;&gt;"PRC_RESID","",IF(AI$7=2005+OFFSET(COM_2012!$B$60,$AW329,SUMIF($B$10:$B$16,"NCAP_TLIFE",$AX$10:$AX$16)),0,""))</f>
        <v/>
      </c>
      <c r="AJ329" s="369" t="str">
        <f ca="1">IF($B329&lt;&gt;"PRC_RESID","",IF(AJ$7=2005+OFFSET(COM_2012!$B$60,$AW329,SUMIF($B$10:$B$16,"NCAP_TLIFE",$AX$10:$AX$16)),0,""))</f>
        <v/>
      </c>
      <c r="AK329" s="369" t="str">
        <f ca="1">IF($B329&lt;&gt;"PRC_RESID","",IF(AK$7=2005+OFFSET(COM_2012!$B$60,$AW329,SUMIF($B$10:$B$16,"NCAP_TLIFE",$AX$10:$AX$16)),0,""))</f>
        <v/>
      </c>
      <c r="AL329" s="369" t="str">
        <f ca="1">IF($B329&lt;&gt;"PRC_RESID","",IF(AL$7=2005+OFFSET(COM_2012!$B$60,$AW329,SUMIF($B$10:$B$16,"NCAP_TLIFE",$AX$10:$AX$16)),0,""))</f>
        <v/>
      </c>
      <c r="AM329" s="369" t="str">
        <f ca="1">IF($B329&lt;&gt;"PRC_RESID","",IF(AM$7=2005+OFFSET(COM_2012!$B$60,$AW329,SUMIF($B$10:$B$16,"NCAP_TLIFE",$AX$10:$AX$16)),0,""))</f>
        <v/>
      </c>
      <c r="AN329" s="369" t="str">
        <f ca="1">IF($B329&lt;&gt;"PRC_RESID","",IF(AN$7=2005+OFFSET(COM_2012!$B$60,$AW329,SUMIF($B$10:$B$16,"NCAP_TLIFE",$AX$10:$AX$16)),0,""))</f>
        <v/>
      </c>
      <c r="AO329" s="369" t="str">
        <f ca="1">IF($B329&lt;&gt;"PRC_RESID","",IF(AO$7=2005+OFFSET(COM_2012!$B$60,$AW329,SUMIF($B$10:$B$16,"NCAP_TLIFE",$AX$10:$AX$16)),0,""))</f>
        <v/>
      </c>
      <c r="AP329" s="369" t="str">
        <f ca="1">IF($B329&lt;&gt;"PRC_RESID","",IF(AP$7=2005+OFFSET(COM_2012!$B$60,$AW329,SUMIF($B$10:$B$16,"NCAP_TLIFE",$AX$10:$AX$16)),0,""))</f>
        <v/>
      </c>
      <c r="AQ329" s="369" t="str">
        <f ca="1">IF($B329&lt;&gt;"PRC_RESID","",IF(AQ$7=2005+OFFSET(COM_2012!$B$60,$AW329,SUMIF($B$10:$B$16,"NCAP_TLIFE",$AX$10:$AX$16)),0,""))</f>
        <v/>
      </c>
      <c r="AR329" s="369" t="str">
        <f ca="1">IF($B329&lt;&gt;"PRC_RESID","",IF(AR$7=2005+OFFSET(COM_2012!$B$60,$AW329,SUMIF($B$10:$B$16,"NCAP_TLIFE",$AX$10:$AX$16)),0,""))</f>
        <v/>
      </c>
      <c r="AS329" s="369" t="str">
        <f ca="1">IF($B329&lt;&gt;"PRC_RESID","",IF(AS$7=2005+OFFSET(COM_2012!$B$60,$AW329,SUMIF($B$10:$B$16,"NCAP_TLIFE",$AX$10:$AX$16)),0,""))</f>
        <v/>
      </c>
      <c r="AT329" s="369" t="str">
        <f ca="1">IF($B329&lt;&gt;"PRC_RESID","",IF(AT$7=2005+OFFSET(COM_2012!$B$60,$AW329,SUMIF($B$10:$B$16,"NCAP_TLIFE",$AX$10:$AX$16)),0,""))</f>
        <v/>
      </c>
      <c r="AU329" s="369" t="str">
        <f ca="1">IF($B329&lt;&gt;"PRC_RESID","",IF(AU$7=2005+OFFSET(COM_2012!$B$60,$AW329,SUMIF($B$10:$B$16,"NCAP_TLIFE",$AX$10:$AX$16)),0,""))</f>
        <v/>
      </c>
      <c r="AV329" s="304">
        <f>IF(AW328=COM_2012!$AI$121,AV328+1,AV328)</f>
        <v>5</v>
      </c>
      <c r="AW329" s="304">
        <f t="shared" si="32"/>
        <v>58</v>
      </c>
    </row>
    <row r="330" spans="1:49">
      <c r="A330" s="304" t="str">
        <f ca="1">IF(LEFT(OFFSET(COM_2012!$A$60,AW330,0),2)="\I","*","")</f>
        <v/>
      </c>
      <c r="B330" s="369" t="str">
        <f t="shared" ca="1" si="27"/>
        <v>NCAP_FOM</v>
      </c>
      <c r="C330" s="369" t="str">
        <f ca="1">IF($A330="*","",OFFSET(COM_2012!$B$60,AW330,0))</f>
        <v>CEOOKE-E</v>
      </c>
      <c r="D330" s="369" t="str">
        <f t="shared" ca="1" si="31"/>
        <v>-</v>
      </c>
      <c r="E330" s="369" t="str">
        <f t="shared" ca="1" si="31"/>
        <v>-</v>
      </c>
      <c r="F330" s="369" t="str">
        <f t="shared" ca="1" si="31"/>
        <v>-</v>
      </c>
      <c r="G330" s="369" t="str">
        <f t="shared" ca="1" si="31"/>
        <v>-</v>
      </c>
      <c r="H330" s="369" t="str">
        <f t="shared" ca="1" si="31"/>
        <v>-</v>
      </c>
      <c r="I330" s="370">
        <f t="shared" ca="1" si="31"/>
        <v>0</v>
      </c>
      <c r="J330" s="391">
        <f ca="1">IF($A330="*","",OFFSET(COM_2012!$B$60,AW330,SUMIF($B$10:$B$16,B330,$AX$10:$AX$16)))</f>
        <v>41.088682603593845</v>
      </c>
      <c r="K330" s="369" t="str">
        <f ca="1">IF($B330&lt;&gt;"PRC_RESID","",IF(K$7=2005+OFFSET(COM_2012!$B$60,$AW330,SUMIF($B$10:$B$16,"NCAP_TLIFE",$AX$10:$AX$16)),0,""))</f>
        <v/>
      </c>
      <c r="L330" s="369" t="str">
        <f ca="1">IF($B330&lt;&gt;"PRC_RESID","",IF(L$7=2005+OFFSET(COM_2012!$B$60,$AW330,SUMIF($B$10:$B$16,"NCAP_TLIFE",$AX$10:$AX$16)),0,""))</f>
        <v/>
      </c>
      <c r="M330" s="369" t="str">
        <f ca="1">IF($B330&lt;&gt;"PRC_RESID","",IF(M$7=2005+OFFSET(COM_2012!$B$60,$AW330,SUMIF($B$10:$B$16,"NCAP_TLIFE",$AX$10:$AX$16)),0,""))</f>
        <v/>
      </c>
      <c r="N330" s="369" t="str">
        <f ca="1">IF($B330&lt;&gt;"PRC_RESID","",IF(N$7=2005+OFFSET(COM_2012!$B$60,$AW330,SUMIF($B$10:$B$16,"NCAP_TLIFE",$AX$10:$AX$16)),0,""))</f>
        <v/>
      </c>
      <c r="O330" s="658" t="str">
        <f ca="1">IF($B330&lt;&gt;"PRC_RESID","",IF(O$7=2005+OFFSET(COM_2012!$B$60,$AW330,SUMIF($B$10:$B$16,"NCAP_TLIFE",$AX$10:$AX$16)),0,""))</f>
        <v/>
      </c>
      <c r="P330" s="369" t="str">
        <f ca="1">IF($B330&lt;&gt;"PRC_RESID","",IF(P$7=2005+OFFSET(COM_2012!$B$60,$AW330,SUMIF($B$10:$B$16,"NCAP_TLIFE",$AX$10:$AX$16)),0,""))</f>
        <v/>
      </c>
      <c r="Q330" s="369" t="str">
        <f ca="1">IF($B330&lt;&gt;"PRC_RESID","",IF(Q$7=2005+OFFSET(COM_2012!$B$60,$AW330,SUMIF($B$10:$B$16,"NCAP_TLIFE",$AX$10:$AX$16)),0,""))</f>
        <v/>
      </c>
      <c r="R330" s="369" t="str">
        <f ca="1">IF($B330&lt;&gt;"PRC_RESID","",IF(R$7=2005+OFFSET(COM_2012!$B$60,$AW330,SUMIF($B$10:$B$16,"NCAP_TLIFE",$AX$10:$AX$16)),0,""))</f>
        <v/>
      </c>
      <c r="S330" s="369" t="str">
        <f ca="1">IF($B330&lt;&gt;"PRC_RESID","",IF(S$7=2005+OFFSET(COM_2012!$B$60,$AW330,SUMIF($B$10:$B$16,"NCAP_TLIFE",$AX$10:$AX$16)),0,""))</f>
        <v/>
      </c>
      <c r="T330" s="369" t="str">
        <f ca="1">IF($B330&lt;&gt;"PRC_RESID","",IF(T$7=2005+OFFSET(COM_2012!$B$60,$AW330,SUMIF($B$10:$B$16,"NCAP_TLIFE",$AX$10:$AX$16)),0,""))</f>
        <v/>
      </c>
      <c r="U330" s="369" t="str">
        <f ca="1">IF($B330&lt;&gt;"PRC_RESID","",IF(U$7=2005+OFFSET(COM_2012!$B$60,$AW330,SUMIF($B$10:$B$16,"NCAP_TLIFE",$AX$10:$AX$16)),0,""))</f>
        <v/>
      </c>
      <c r="V330" s="369" t="str">
        <f ca="1">IF($B330&lt;&gt;"PRC_RESID","",IF(V$7=2005+OFFSET(COM_2012!$B$60,$AW330,SUMIF($B$10:$B$16,"NCAP_TLIFE",$AX$10:$AX$16)),0,""))</f>
        <v/>
      </c>
      <c r="W330" s="369" t="str">
        <f ca="1">IF($B330&lt;&gt;"PRC_RESID","",IF(W$7=2005+OFFSET(COM_2012!$B$60,$AW330,SUMIF($B$10:$B$16,"NCAP_TLIFE",$AX$10:$AX$16)),0,""))</f>
        <v/>
      </c>
      <c r="X330" s="369" t="str">
        <f ca="1">IF($B330&lt;&gt;"PRC_RESID","",IF(X$7=2005+OFFSET(COM_2012!$B$60,$AW330,SUMIF($B$10:$B$16,"NCAP_TLIFE",$AX$10:$AX$16)),0,""))</f>
        <v/>
      </c>
      <c r="Y330" s="369" t="str">
        <f ca="1">IF($B330&lt;&gt;"PRC_RESID","",IF(Y$7=2005+OFFSET(COM_2012!$B$60,$AW330,SUMIF($B$10:$B$16,"NCAP_TLIFE",$AX$10:$AX$16)),0,""))</f>
        <v/>
      </c>
      <c r="Z330" s="369" t="str">
        <f ca="1">IF($B330&lt;&gt;"PRC_RESID","",IF(Z$7=2005+OFFSET(COM_2012!$B$60,$AW330,SUMIF($B$10:$B$16,"NCAP_TLIFE",$AX$10:$AX$16)),0,""))</f>
        <v/>
      </c>
      <c r="AA330" s="369" t="str">
        <f ca="1">IF($B330&lt;&gt;"PRC_RESID","",IF(AA$7=2005+OFFSET(COM_2012!$B$60,$AW330,SUMIF($B$10:$B$16,"NCAP_TLIFE",$AX$10:$AX$16)),0,""))</f>
        <v/>
      </c>
      <c r="AB330" s="369" t="str">
        <f ca="1">IF($B330&lt;&gt;"PRC_RESID","",IF(AB$7=2005+OFFSET(COM_2012!$B$60,$AW330,SUMIF($B$10:$B$16,"NCAP_TLIFE",$AX$10:$AX$16)),0,""))</f>
        <v/>
      </c>
      <c r="AC330" s="369" t="str">
        <f ca="1">IF($B330&lt;&gt;"PRC_RESID","",IF(AC$7=2005+OFFSET(COM_2012!$B$60,$AW330,SUMIF($B$10:$B$16,"NCAP_TLIFE",$AX$10:$AX$16)),0,""))</f>
        <v/>
      </c>
      <c r="AD330" s="369" t="str">
        <f ca="1">IF($B330&lt;&gt;"PRC_RESID","",IF(AD$7=2005+OFFSET(COM_2012!$B$60,$AW330,SUMIF($B$10:$B$16,"NCAP_TLIFE",$AX$10:$AX$16)),0,""))</f>
        <v/>
      </c>
      <c r="AE330" s="369" t="str">
        <f ca="1">IF($B330&lt;&gt;"PRC_RESID","",IF(AE$7=2005+OFFSET(COM_2012!$B$60,$AW330,SUMIF($B$10:$B$16,"NCAP_TLIFE",$AX$10:$AX$16)),0,""))</f>
        <v/>
      </c>
      <c r="AF330" s="369" t="str">
        <f ca="1">IF($B330&lt;&gt;"PRC_RESID","",IF(AF$7=2005+OFFSET(COM_2012!$B$60,$AW330,SUMIF($B$10:$B$16,"NCAP_TLIFE",$AX$10:$AX$16)),0,""))</f>
        <v/>
      </c>
      <c r="AG330" s="369" t="str">
        <f ca="1">IF($B330&lt;&gt;"PRC_RESID","",IF(AG$7=2005+OFFSET(COM_2012!$B$60,$AW330,SUMIF($B$10:$B$16,"NCAP_TLIFE",$AX$10:$AX$16)),0,""))</f>
        <v/>
      </c>
      <c r="AH330" s="369" t="str">
        <f ca="1">IF($B330&lt;&gt;"PRC_RESID","",IF(AH$7=2005+OFFSET(COM_2012!$B$60,$AW330,SUMIF($B$10:$B$16,"NCAP_TLIFE",$AX$10:$AX$16)),0,""))</f>
        <v/>
      </c>
      <c r="AI330" s="369" t="str">
        <f ca="1">IF($B330&lt;&gt;"PRC_RESID","",IF(AI$7=2005+OFFSET(COM_2012!$B$60,$AW330,SUMIF($B$10:$B$16,"NCAP_TLIFE",$AX$10:$AX$16)),0,""))</f>
        <v/>
      </c>
      <c r="AJ330" s="369" t="str">
        <f ca="1">IF($B330&lt;&gt;"PRC_RESID","",IF(AJ$7=2005+OFFSET(COM_2012!$B$60,$AW330,SUMIF($B$10:$B$16,"NCAP_TLIFE",$AX$10:$AX$16)),0,""))</f>
        <v/>
      </c>
      <c r="AK330" s="369" t="str">
        <f ca="1">IF($B330&lt;&gt;"PRC_RESID","",IF(AK$7=2005+OFFSET(COM_2012!$B$60,$AW330,SUMIF($B$10:$B$16,"NCAP_TLIFE",$AX$10:$AX$16)),0,""))</f>
        <v/>
      </c>
      <c r="AL330" s="369" t="str">
        <f ca="1">IF($B330&lt;&gt;"PRC_RESID","",IF(AL$7=2005+OFFSET(COM_2012!$B$60,$AW330,SUMIF($B$10:$B$16,"NCAP_TLIFE",$AX$10:$AX$16)),0,""))</f>
        <v/>
      </c>
      <c r="AM330" s="369" t="str">
        <f ca="1">IF($B330&lt;&gt;"PRC_RESID","",IF(AM$7=2005+OFFSET(COM_2012!$B$60,$AW330,SUMIF($B$10:$B$16,"NCAP_TLIFE",$AX$10:$AX$16)),0,""))</f>
        <v/>
      </c>
      <c r="AN330" s="369" t="str">
        <f ca="1">IF($B330&lt;&gt;"PRC_RESID","",IF(AN$7=2005+OFFSET(COM_2012!$B$60,$AW330,SUMIF($B$10:$B$16,"NCAP_TLIFE",$AX$10:$AX$16)),0,""))</f>
        <v/>
      </c>
      <c r="AO330" s="369" t="str">
        <f ca="1">IF($B330&lt;&gt;"PRC_RESID","",IF(AO$7=2005+OFFSET(COM_2012!$B$60,$AW330,SUMIF($B$10:$B$16,"NCAP_TLIFE",$AX$10:$AX$16)),0,""))</f>
        <v/>
      </c>
      <c r="AP330" s="369" t="str">
        <f ca="1">IF($B330&lt;&gt;"PRC_RESID","",IF(AP$7=2005+OFFSET(COM_2012!$B$60,$AW330,SUMIF($B$10:$B$16,"NCAP_TLIFE",$AX$10:$AX$16)),0,""))</f>
        <v/>
      </c>
      <c r="AQ330" s="369" t="str">
        <f ca="1">IF($B330&lt;&gt;"PRC_RESID","",IF(AQ$7=2005+OFFSET(COM_2012!$B$60,$AW330,SUMIF($B$10:$B$16,"NCAP_TLIFE",$AX$10:$AX$16)),0,""))</f>
        <v/>
      </c>
      <c r="AR330" s="369" t="str">
        <f ca="1">IF($B330&lt;&gt;"PRC_RESID","",IF(AR$7=2005+OFFSET(COM_2012!$B$60,$AW330,SUMIF($B$10:$B$16,"NCAP_TLIFE",$AX$10:$AX$16)),0,""))</f>
        <v/>
      </c>
      <c r="AS330" s="369" t="str">
        <f ca="1">IF($B330&lt;&gt;"PRC_RESID","",IF(AS$7=2005+OFFSET(COM_2012!$B$60,$AW330,SUMIF($B$10:$B$16,"NCAP_TLIFE",$AX$10:$AX$16)),0,""))</f>
        <v/>
      </c>
      <c r="AT330" s="369" t="str">
        <f ca="1">IF($B330&lt;&gt;"PRC_RESID","",IF(AT$7=2005+OFFSET(COM_2012!$B$60,$AW330,SUMIF($B$10:$B$16,"NCAP_TLIFE",$AX$10:$AX$16)),0,""))</f>
        <v/>
      </c>
      <c r="AU330" s="369" t="str">
        <f ca="1">IF($B330&lt;&gt;"PRC_RESID","",IF(AU$7=2005+OFFSET(COM_2012!$B$60,$AW330,SUMIF($B$10:$B$16,"NCAP_TLIFE",$AX$10:$AX$16)),0,""))</f>
        <v/>
      </c>
      <c r="AV330" s="304">
        <f>IF(AW329=COM_2012!$AI$121,AV329+1,AV329)</f>
        <v>5</v>
      </c>
      <c r="AW330" s="304">
        <f t="shared" si="32"/>
        <v>59</v>
      </c>
    </row>
    <row r="331" spans="1:49">
      <c r="A331" s="304" t="str">
        <f ca="1">IF(LEFT(OFFSET(COM_2012!$A$60,AW331,0),2)="\I","*","")</f>
        <v>*</v>
      </c>
      <c r="B331" s="369" t="str">
        <f t="shared" ca="1" si="27"/>
        <v/>
      </c>
      <c r="C331" s="369" t="str">
        <f ca="1">IF($A331="*","",OFFSET(COM_2012!$B$60,AW331,0))</f>
        <v/>
      </c>
      <c r="D331" s="369" t="str">
        <f t="shared" ca="1" si="31"/>
        <v/>
      </c>
      <c r="E331" s="369" t="str">
        <f t="shared" ca="1" si="31"/>
        <v/>
      </c>
      <c r="F331" s="369" t="str">
        <f t="shared" ca="1" si="31"/>
        <v/>
      </c>
      <c r="G331" s="369" t="str">
        <f t="shared" ca="1" si="31"/>
        <v/>
      </c>
      <c r="H331" s="369" t="str">
        <f t="shared" ca="1" si="31"/>
        <v/>
      </c>
      <c r="I331" s="370" t="str">
        <f t="shared" ca="1" si="31"/>
        <v/>
      </c>
      <c r="J331" s="391" t="str">
        <f ca="1">IF($A331="*","",OFFSET(COM_2012!$B$60,AW331,SUMIF($B$10:$B$16,B331,$AX$10:$AX$16)))</f>
        <v/>
      </c>
      <c r="K331" s="369" t="str">
        <f ca="1">IF($B331&lt;&gt;"PRC_RESID","",IF(K$7=2005+OFFSET(COM_2012!$B$60,$AW331,SUMIF($B$10:$B$16,"NCAP_TLIFE",$AX$10:$AX$16)),0,""))</f>
        <v/>
      </c>
      <c r="L331" s="369" t="str">
        <f ca="1">IF($B331&lt;&gt;"PRC_RESID","",IF(L$7=2005+OFFSET(COM_2012!$B$60,$AW331,SUMIF($B$10:$B$16,"NCAP_TLIFE",$AX$10:$AX$16)),0,""))</f>
        <v/>
      </c>
      <c r="M331" s="369" t="str">
        <f ca="1">IF($B331&lt;&gt;"PRC_RESID","",IF(M$7=2005+OFFSET(COM_2012!$B$60,$AW331,SUMIF($B$10:$B$16,"NCAP_TLIFE",$AX$10:$AX$16)),0,""))</f>
        <v/>
      </c>
      <c r="N331" s="369" t="str">
        <f ca="1">IF($B331&lt;&gt;"PRC_RESID","",IF(N$7=2005+OFFSET(COM_2012!$B$60,$AW331,SUMIF($B$10:$B$16,"NCAP_TLIFE",$AX$10:$AX$16)),0,""))</f>
        <v/>
      </c>
      <c r="O331" s="658" t="str">
        <f ca="1">IF($B331&lt;&gt;"PRC_RESID","",IF(O$7=2005+OFFSET(COM_2012!$B$60,$AW331,SUMIF($B$10:$B$16,"NCAP_TLIFE",$AX$10:$AX$16)),0,""))</f>
        <v/>
      </c>
      <c r="P331" s="369" t="str">
        <f ca="1">IF($B331&lt;&gt;"PRC_RESID","",IF(P$7=2005+OFFSET(COM_2012!$B$60,$AW331,SUMIF($B$10:$B$16,"NCAP_TLIFE",$AX$10:$AX$16)),0,""))</f>
        <v/>
      </c>
      <c r="Q331" s="369" t="str">
        <f ca="1">IF($B331&lt;&gt;"PRC_RESID","",IF(Q$7=2005+OFFSET(COM_2012!$B$60,$AW331,SUMIF($B$10:$B$16,"NCAP_TLIFE",$AX$10:$AX$16)),0,""))</f>
        <v/>
      </c>
      <c r="R331" s="369" t="str">
        <f ca="1">IF($B331&lt;&gt;"PRC_RESID","",IF(R$7=2005+OFFSET(COM_2012!$B$60,$AW331,SUMIF($B$10:$B$16,"NCAP_TLIFE",$AX$10:$AX$16)),0,""))</f>
        <v/>
      </c>
      <c r="S331" s="369" t="str">
        <f ca="1">IF($B331&lt;&gt;"PRC_RESID","",IF(S$7=2005+OFFSET(COM_2012!$B$60,$AW331,SUMIF($B$10:$B$16,"NCAP_TLIFE",$AX$10:$AX$16)),0,""))</f>
        <v/>
      </c>
      <c r="T331" s="369" t="str">
        <f ca="1">IF($B331&lt;&gt;"PRC_RESID","",IF(T$7=2005+OFFSET(COM_2012!$B$60,$AW331,SUMIF($B$10:$B$16,"NCAP_TLIFE",$AX$10:$AX$16)),0,""))</f>
        <v/>
      </c>
      <c r="U331" s="369" t="str">
        <f ca="1">IF($B331&lt;&gt;"PRC_RESID","",IF(U$7=2005+OFFSET(COM_2012!$B$60,$AW331,SUMIF($B$10:$B$16,"NCAP_TLIFE",$AX$10:$AX$16)),0,""))</f>
        <v/>
      </c>
      <c r="V331" s="369" t="str">
        <f ca="1">IF($B331&lt;&gt;"PRC_RESID","",IF(V$7=2005+OFFSET(COM_2012!$B$60,$AW331,SUMIF($B$10:$B$16,"NCAP_TLIFE",$AX$10:$AX$16)),0,""))</f>
        <v/>
      </c>
      <c r="W331" s="369" t="str">
        <f ca="1">IF($B331&lt;&gt;"PRC_RESID","",IF(W$7=2005+OFFSET(COM_2012!$B$60,$AW331,SUMIF($B$10:$B$16,"NCAP_TLIFE",$AX$10:$AX$16)),0,""))</f>
        <v/>
      </c>
      <c r="X331" s="369" t="str">
        <f ca="1">IF($B331&lt;&gt;"PRC_RESID","",IF(X$7=2005+OFFSET(COM_2012!$B$60,$AW331,SUMIF($B$10:$B$16,"NCAP_TLIFE",$AX$10:$AX$16)),0,""))</f>
        <v/>
      </c>
      <c r="Y331" s="369" t="str">
        <f ca="1">IF($B331&lt;&gt;"PRC_RESID","",IF(Y$7=2005+OFFSET(COM_2012!$B$60,$AW331,SUMIF($B$10:$B$16,"NCAP_TLIFE",$AX$10:$AX$16)),0,""))</f>
        <v/>
      </c>
      <c r="Z331" s="369" t="str">
        <f ca="1">IF($B331&lt;&gt;"PRC_RESID","",IF(Z$7=2005+OFFSET(COM_2012!$B$60,$AW331,SUMIF($B$10:$B$16,"NCAP_TLIFE",$AX$10:$AX$16)),0,""))</f>
        <v/>
      </c>
      <c r="AA331" s="369" t="str">
        <f ca="1">IF($B331&lt;&gt;"PRC_RESID","",IF(AA$7=2005+OFFSET(COM_2012!$B$60,$AW331,SUMIF($B$10:$B$16,"NCAP_TLIFE",$AX$10:$AX$16)),0,""))</f>
        <v/>
      </c>
      <c r="AB331" s="369" t="str">
        <f ca="1">IF($B331&lt;&gt;"PRC_RESID","",IF(AB$7=2005+OFFSET(COM_2012!$B$60,$AW331,SUMIF($B$10:$B$16,"NCAP_TLIFE",$AX$10:$AX$16)),0,""))</f>
        <v/>
      </c>
      <c r="AC331" s="369" t="str">
        <f ca="1">IF($B331&lt;&gt;"PRC_RESID","",IF(AC$7=2005+OFFSET(COM_2012!$B$60,$AW331,SUMIF($B$10:$B$16,"NCAP_TLIFE",$AX$10:$AX$16)),0,""))</f>
        <v/>
      </c>
      <c r="AD331" s="369" t="str">
        <f ca="1">IF($B331&lt;&gt;"PRC_RESID","",IF(AD$7=2005+OFFSET(COM_2012!$B$60,$AW331,SUMIF($B$10:$B$16,"NCAP_TLIFE",$AX$10:$AX$16)),0,""))</f>
        <v/>
      </c>
      <c r="AE331" s="369" t="str">
        <f ca="1">IF($B331&lt;&gt;"PRC_RESID","",IF(AE$7=2005+OFFSET(COM_2012!$B$60,$AW331,SUMIF($B$10:$B$16,"NCAP_TLIFE",$AX$10:$AX$16)),0,""))</f>
        <v/>
      </c>
      <c r="AF331" s="369" t="str">
        <f ca="1">IF($B331&lt;&gt;"PRC_RESID","",IF(AF$7=2005+OFFSET(COM_2012!$B$60,$AW331,SUMIF($B$10:$B$16,"NCAP_TLIFE",$AX$10:$AX$16)),0,""))</f>
        <v/>
      </c>
      <c r="AG331" s="369" t="str">
        <f ca="1">IF($B331&lt;&gt;"PRC_RESID","",IF(AG$7=2005+OFFSET(COM_2012!$B$60,$AW331,SUMIF($B$10:$B$16,"NCAP_TLIFE",$AX$10:$AX$16)),0,""))</f>
        <v/>
      </c>
      <c r="AH331" s="369" t="str">
        <f ca="1">IF($B331&lt;&gt;"PRC_RESID","",IF(AH$7=2005+OFFSET(COM_2012!$B$60,$AW331,SUMIF($B$10:$B$16,"NCAP_TLIFE",$AX$10:$AX$16)),0,""))</f>
        <v/>
      </c>
      <c r="AI331" s="369" t="str">
        <f ca="1">IF($B331&lt;&gt;"PRC_RESID","",IF(AI$7=2005+OFFSET(COM_2012!$B$60,$AW331,SUMIF($B$10:$B$16,"NCAP_TLIFE",$AX$10:$AX$16)),0,""))</f>
        <v/>
      </c>
      <c r="AJ331" s="369" t="str">
        <f ca="1">IF($B331&lt;&gt;"PRC_RESID","",IF(AJ$7=2005+OFFSET(COM_2012!$B$60,$AW331,SUMIF($B$10:$B$16,"NCAP_TLIFE",$AX$10:$AX$16)),0,""))</f>
        <v/>
      </c>
      <c r="AK331" s="369" t="str">
        <f ca="1">IF($B331&lt;&gt;"PRC_RESID","",IF(AK$7=2005+OFFSET(COM_2012!$B$60,$AW331,SUMIF($B$10:$B$16,"NCAP_TLIFE",$AX$10:$AX$16)),0,""))</f>
        <v/>
      </c>
      <c r="AL331" s="369" t="str">
        <f ca="1">IF($B331&lt;&gt;"PRC_RESID","",IF(AL$7=2005+OFFSET(COM_2012!$B$60,$AW331,SUMIF($B$10:$B$16,"NCAP_TLIFE",$AX$10:$AX$16)),0,""))</f>
        <v/>
      </c>
      <c r="AM331" s="369" t="str">
        <f ca="1">IF($B331&lt;&gt;"PRC_RESID","",IF(AM$7=2005+OFFSET(COM_2012!$B$60,$AW331,SUMIF($B$10:$B$16,"NCAP_TLIFE",$AX$10:$AX$16)),0,""))</f>
        <v/>
      </c>
      <c r="AN331" s="369" t="str">
        <f ca="1">IF($B331&lt;&gt;"PRC_RESID","",IF(AN$7=2005+OFFSET(COM_2012!$B$60,$AW331,SUMIF($B$10:$B$16,"NCAP_TLIFE",$AX$10:$AX$16)),0,""))</f>
        <v/>
      </c>
      <c r="AO331" s="369" t="str">
        <f ca="1">IF($B331&lt;&gt;"PRC_RESID","",IF(AO$7=2005+OFFSET(COM_2012!$B$60,$AW331,SUMIF($B$10:$B$16,"NCAP_TLIFE",$AX$10:$AX$16)),0,""))</f>
        <v/>
      </c>
      <c r="AP331" s="369" t="str">
        <f ca="1">IF($B331&lt;&gt;"PRC_RESID","",IF(AP$7=2005+OFFSET(COM_2012!$B$60,$AW331,SUMIF($B$10:$B$16,"NCAP_TLIFE",$AX$10:$AX$16)),0,""))</f>
        <v/>
      </c>
      <c r="AQ331" s="369" t="str">
        <f ca="1">IF($B331&lt;&gt;"PRC_RESID","",IF(AQ$7=2005+OFFSET(COM_2012!$B$60,$AW331,SUMIF($B$10:$B$16,"NCAP_TLIFE",$AX$10:$AX$16)),0,""))</f>
        <v/>
      </c>
      <c r="AR331" s="369" t="str">
        <f ca="1">IF($B331&lt;&gt;"PRC_RESID","",IF(AR$7=2005+OFFSET(COM_2012!$B$60,$AW331,SUMIF($B$10:$B$16,"NCAP_TLIFE",$AX$10:$AX$16)),0,""))</f>
        <v/>
      </c>
      <c r="AS331" s="369" t="str">
        <f ca="1">IF($B331&lt;&gt;"PRC_RESID","",IF(AS$7=2005+OFFSET(COM_2012!$B$60,$AW331,SUMIF($B$10:$B$16,"NCAP_TLIFE",$AX$10:$AX$16)),0,""))</f>
        <v/>
      </c>
      <c r="AT331" s="369" t="str">
        <f ca="1">IF($B331&lt;&gt;"PRC_RESID","",IF(AT$7=2005+OFFSET(COM_2012!$B$60,$AW331,SUMIF($B$10:$B$16,"NCAP_TLIFE",$AX$10:$AX$16)),0,""))</f>
        <v/>
      </c>
      <c r="AU331" s="369" t="str">
        <f ca="1">IF($B331&lt;&gt;"PRC_RESID","",IF(AU$7=2005+OFFSET(COM_2012!$B$60,$AW331,SUMIF($B$10:$B$16,"NCAP_TLIFE",$AX$10:$AX$16)),0,""))</f>
        <v/>
      </c>
      <c r="AV331" s="304">
        <f>IF(AW330=COM_2012!$AI$121,AV330+1,AV330)</f>
        <v>5</v>
      </c>
      <c r="AW331" s="304">
        <f t="shared" si="32"/>
        <v>60</v>
      </c>
    </row>
    <row r="332" spans="1:49">
      <c r="A332" s="304" t="str">
        <f ca="1">IF(LEFT(OFFSET(COM_2012!$A$60,AW332,0),2)="\I","*","")</f>
        <v>*</v>
      </c>
      <c r="B332" s="369" t="str">
        <f t="shared" ca="1" si="27"/>
        <v/>
      </c>
      <c r="C332" s="369" t="str">
        <f ca="1">IF($A332="*","",OFFSET(COM_2012!$B$60,AW332,0))</f>
        <v/>
      </c>
      <c r="D332" s="369" t="str">
        <f t="shared" ca="1" si="31"/>
        <v/>
      </c>
      <c r="E332" s="369" t="str">
        <f t="shared" ca="1" si="31"/>
        <v/>
      </c>
      <c r="F332" s="369" t="str">
        <f t="shared" ca="1" si="31"/>
        <v/>
      </c>
      <c r="G332" s="369" t="str">
        <f t="shared" ca="1" si="31"/>
        <v/>
      </c>
      <c r="H332" s="369" t="str">
        <f t="shared" ca="1" si="31"/>
        <v/>
      </c>
      <c r="I332" s="370" t="str">
        <f t="shared" ca="1" si="31"/>
        <v/>
      </c>
      <c r="J332" s="391" t="str">
        <f ca="1">IF($A332="*","",OFFSET(COM_2012!$B$60,AW332,SUMIF($B$10:$B$16,B332,$AX$10:$AX$16)))</f>
        <v/>
      </c>
      <c r="K332" s="369" t="str">
        <f ca="1">IF($B332&lt;&gt;"PRC_RESID","",IF(K$7=2005+OFFSET(COM_2012!$B$60,$AW332,SUMIF($B$10:$B$16,"NCAP_TLIFE",$AX$10:$AX$16)),0,""))</f>
        <v/>
      </c>
      <c r="L332" s="369" t="str">
        <f ca="1">IF($B332&lt;&gt;"PRC_RESID","",IF(L$7=2005+OFFSET(COM_2012!$B$60,$AW332,SUMIF($B$10:$B$16,"NCAP_TLIFE",$AX$10:$AX$16)),0,""))</f>
        <v/>
      </c>
      <c r="M332" s="369" t="str">
        <f ca="1">IF($B332&lt;&gt;"PRC_RESID","",IF(M$7=2005+OFFSET(COM_2012!$B$60,$AW332,SUMIF($B$10:$B$16,"NCAP_TLIFE",$AX$10:$AX$16)),0,""))</f>
        <v/>
      </c>
      <c r="N332" s="369" t="str">
        <f ca="1">IF($B332&lt;&gt;"PRC_RESID","",IF(N$7=2005+OFFSET(COM_2012!$B$60,$AW332,SUMIF($B$10:$B$16,"NCAP_TLIFE",$AX$10:$AX$16)),0,""))</f>
        <v/>
      </c>
      <c r="O332" s="658" t="str">
        <f ca="1">IF($B332&lt;&gt;"PRC_RESID","",IF(O$7=2005+OFFSET(COM_2012!$B$60,$AW332,SUMIF($B$10:$B$16,"NCAP_TLIFE",$AX$10:$AX$16)),0,""))</f>
        <v/>
      </c>
      <c r="P332" s="369" t="str">
        <f ca="1">IF($B332&lt;&gt;"PRC_RESID","",IF(P$7=2005+OFFSET(COM_2012!$B$60,$AW332,SUMIF($B$10:$B$16,"NCAP_TLIFE",$AX$10:$AX$16)),0,""))</f>
        <v/>
      </c>
      <c r="Q332" s="369" t="str">
        <f ca="1">IF($B332&lt;&gt;"PRC_RESID","",IF(Q$7=2005+OFFSET(COM_2012!$B$60,$AW332,SUMIF($B$10:$B$16,"NCAP_TLIFE",$AX$10:$AX$16)),0,""))</f>
        <v/>
      </c>
      <c r="R332" s="369" t="str">
        <f ca="1">IF($B332&lt;&gt;"PRC_RESID","",IF(R$7=2005+OFFSET(COM_2012!$B$60,$AW332,SUMIF($B$10:$B$16,"NCAP_TLIFE",$AX$10:$AX$16)),0,""))</f>
        <v/>
      </c>
      <c r="S332" s="369" t="str">
        <f ca="1">IF($B332&lt;&gt;"PRC_RESID","",IF(S$7=2005+OFFSET(COM_2012!$B$60,$AW332,SUMIF($B$10:$B$16,"NCAP_TLIFE",$AX$10:$AX$16)),0,""))</f>
        <v/>
      </c>
      <c r="T332" s="369" t="str">
        <f ca="1">IF($B332&lt;&gt;"PRC_RESID","",IF(T$7=2005+OFFSET(COM_2012!$B$60,$AW332,SUMIF($B$10:$B$16,"NCAP_TLIFE",$AX$10:$AX$16)),0,""))</f>
        <v/>
      </c>
      <c r="U332" s="369" t="str">
        <f ca="1">IF($B332&lt;&gt;"PRC_RESID","",IF(U$7=2005+OFFSET(COM_2012!$B$60,$AW332,SUMIF($B$10:$B$16,"NCAP_TLIFE",$AX$10:$AX$16)),0,""))</f>
        <v/>
      </c>
      <c r="V332" s="369" t="str">
        <f ca="1">IF($B332&lt;&gt;"PRC_RESID","",IF(V$7=2005+OFFSET(COM_2012!$B$60,$AW332,SUMIF($B$10:$B$16,"NCAP_TLIFE",$AX$10:$AX$16)),0,""))</f>
        <v/>
      </c>
      <c r="W332" s="369" t="str">
        <f ca="1">IF($B332&lt;&gt;"PRC_RESID","",IF(W$7=2005+OFFSET(COM_2012!$B$60,$AW332,SUMIF($B$10:$B$16,"NCAP_TLIFE",$AX$10:$AX$16)),0,""))</f>
        <v/>
      </c>
      <c r="X332" s="369" t="str">
        <f ca="1">IF($B332&lt;&gt;"PRC_RESID","",IF(X$7=2005+OFFSET(COM_2012!$B$60,$AW332,SUMIF($B$10:$B$16,"NCAP_TLIFE",$AX$10:$AX$16)),0,""))</f>
        <v/>
      </c>
      <c r="Y332" s="369" t="str">
        <f ca="1">IF($B332&lt;&gt;"PRC_RESID","",IF(Y$7=2005+OFFSET(COM_2012!$B$60,$AW332,SUMIF($B$10:$B$16,"NCAP_TLIFE",$AX$10:$AX$16)),0,""))</f>
        <v/>
      </c>
      <c r="Z332" s="369" t="str">
        <f ca="1">IF($B332&lt;&gt;"PRC_RESID","",IF(Z$7=2005+OFFSET(COM_2012!$B$60,$AW332,SUMIF($B$10:$B$16,"NCAP_TLIFE",$AX$10:$AX$16)),0,""))</f>
        <v/>
      </c>
      <c r="AA332" s="369" t="str">
        <f ca="1">IF($B332&lt;&gt;"PRC_RESID","",IF(AA$7=2005+OFFSET(COM_2012!$B$60,$AW332,SUMIF($B$10:$B$16,"NCAP_TLIFE",$AX$10:$AX$16)),0,""))</f>
        <v/>
      </c>
      <c r="AB332" s="369" t="str">
        <f ca="1">IF($B332&lt;&gt;"PRC_RESID","",IF(AB$7=2005+OFFSET(COM_2012!$B$60,$AW332,SUMIF($B$10:$B$16,"NCAP_TLIFE",$AX$10:$AX$16)),0,""))</f>
        <v/>
      </c>
      <c r="AC332" s="369" t="str">
        <f ca="1">IF($B332&lt;&gt;"PRC_RESID","",IF(AC$7=2005+OFFSET(COM_2012!$B$60,$AW332,SUMIF($B$10:$B$16,"NCAP_TLIFE",$AX$10:$AX$16)),0,""))</f>
        <v/>
      </c>
      <c r="AD332" s="369" t="str">
        <f ca="1">IF($B332&lt;&gt;"PRC_RESID","",IF(AD$7=2005+OFFSET(COM_2012!$B$60,$AW332,SUMIF($B$10:$B$16,"NCAP_TLIFE",$AX$10:$AX$16)),0,""))</f>
        <v/>
      </c>
      <c r="AE332" s="369" t="str">
        <f ca="1">IF($B332&lt;&gt;"PRC_RESID","",IF(AE$7=2005+OFFSET(COM_2012!$B$60,$AW332,SUMIF($B$10:$B$16,"NCAP_TLIFE",$AX$10:$AX$16)),0,""))</f>
        <v/>
      </c>
      <c r="AF332" s="369" t="str">
        <f ca="1">IF($B332&lt;&gt;"PRC_RESID","",IF(AF$7=2005+OFFSET(COM_2012!$B$60,$AW332,SUMIF($B$10:$B$16,"NCAP_TLIFE",$AX$10:$AX$16)),0,""))</f>
        <v/>
      </c>
      <c r="AG332" s="369" t="str">
        <f ca="1">IF($B332&lt;&gt;"PRC_RESID","",IF(AG$7=2005+OFFSET(COM_2012!$B$60,$AW332,SUMIF($B$10:$B$16,"NCAP_TLIFE",$AX$10:$AX$16)),0,""))</f>
        <v/>
      </c>
      <c r="AH332" s="369" t="str">
        <f ca="1">IF($B332&lt;&gt;"PRC_RESID","",IF(AH$7=2005+OFFSET(COM_2012!$B$60,$AW332,SUMIF($B$10:$B$16,"NCAP_TLIFE",$AX$10:$AX$16)),0,""))</f>
        <v/>
      </c>
      <c r="AI332" s="369" t="str">
        <f ca="1">IF($B332&lt;&gt;"PRC_RESID","",IF(AI$7=2005+OFFSET(COM_2012!$B$60,$AW332,SUMIF($B$10:$B$16,"NCAP_TLIFE",$AX$10:$AX$16)),0,""))</f>
        <v/>
      </c>
      <c r="AJ332" s="369" t="str">
        <f ca="1">IF($B332&lt;&gt;"PRC_RESID","",IF(AJ$7=2005+OFFSET(COM_2012!$B$60,$AW332,SUMIF($B$10:$B$16,"NCAP_TLIFE",$AX$10:$AX$16)),0,""))</f>
        <v/>
      </c>
      <c r="AK332" s="369" t="str">
        <f ca="1">IF($B332&lt;&gt;"PRC_RESID","",IF(AK$7=2005+OFFSET(COM_2012!$B$60,$AW332,SUMIF($B$10:$B$16,"NCAP_TLIFE",$AX$10:$AX$16)),0,""))</f>
        <v/>
      </c>
      <c r="AL332" s="369" t="str">
        <f ca="1">IF($B332&lt;&gt;"PRC_RESID","",IF(AL$7=2005+OFFSET(COM_2012!$B$60,$AW332,SUMIF($B$10:$B$16,"NCAP_TLIFE",$AX$10:$AX$16)),0,""))</f>
        <v/>
      </c>
      <c r="AM332" s="369" t="str">
        <f ca="1">IF($B332&lt;&gt;"PRC_RESID","",IF(AM$7=2005+OFFSET(COM_2012!$B$60,$AW332,SUMIF($B$10:$B$16,"NCAP_TLIFE",$AX$10:$AX$16)),0,""))</f>
        <v/>
      </c>
      <c r="AN332" s="369" t="str">
        <f ca="1">IF($B332&lt;&gt;"PRC_RESID","",IF(AN$7=2005+OFFSET(COM_2012!$B$60,$AW332,SUMIF($B$10:$B$16,"NCAP_TLIFE",$AX$10:$AX$16)),0,""))</f>
        <v/>
      </c>
      <c r="AO332" s="369" t="str">
        <f ca="1">IF($B332&lt;&gt;"PRC_RESID","",IF(AO$7=2005+OFFSET(COM_2012!$B$60,$AW332,SUMIF($B$10:$B$16,"NCAP_TLIFE",$AX$10:$AX$16)),0,""))</f>
        <v/>
      </c>
      <c r="AP332" s="369" t="str">
        <f ca="1">IF($B332&lt;&gt;"PRC_RESID","",IF(AP$7=2005+OFFSET(COM_2012!$B$60,$AW332,SUMIF($B$10:$B$16,"NCAP_TLIFE",$AX$10:$AX$16)),0,""))</f>
        <v/>
      </c>
      <c r="AQ332" s="369" t="str">
        <f ca="1">IF($B332&lt;&gt;"PRC_RESID","",IF(AQ$7=2005+OFFSET(COM_2012!$B$60,$AW332,SUMIF($B$10:$B$16,"NCAP_TLIFE",$AX$10:$AX$16)),0,""))</f>
        <v/>
      </c>
      <c r="AR332" s="369" t="str">
        <f ca="1">IF($B332&lt;&gt;"PRC_RESID","",IF(AR$7=2005+OFFSET(COM_2012!$B$60,$AW332,SUMIF($B$10:$B$16,"NCAP_TLIFE",$AX$10:$AX$16)),0,""))</f>
        <v/>
      </c>
      <c r="AS332" s="369" t="str">
        <f ca="1">IF($B332&lt;&gt;"PRC_RESID","",IF(AS$7=2005+OFFSET(COM_2012!$B$60,$AW332,SUMIF($B$10:$B$16,"NCAP_TLIFE",$AX$10:$AX$16)),0,""))</f>
        <v/>
      </c>
      <c r="AT332" s="369" t="str">
        <f ca="1">IF($B332&lt;&gt;"PRC_RESID","",IF(AT$7=2005+OFFSET(COM_2012!$B$60,$AW332,SUMIF($B$10:$B$16,"NCAP_TLIFE",$AX$10:$AX$16)),0,""))</f>
        <v/>
      </c>
      <c r="AU332" s="369" t="str">
        <f ca="1">IF($B332&lt;&gt;"PRC_RESID","",IF(AU$7=2005+OFFSET(COM_2012!$B$60,$AW332,SUMIF($B$10:$B$16,"NCAP_TLIFE",$AX$10:$AX$16)),0,""))</f>
        <v/>
      </c>
      <c r="AV332" s="304">
        <f>IF(AW331=COM_2012!$AI$121,AV331+1,AV331)</f>
        <v>5</v>
      </c>
      <c r="AW332" s="304">
        <f t="shared" si="32"/>
        <v>61</v>
      </c>
    </row>
    <row r="333" spans="1:49">
      <c r="A333" s="304" t="str">
        <f ca="1">IF(LEFT(OFFSET(COM_2012!$A$60,AW333,0),2)="\I","*","")</f>
        <v/>
      </c>
      <c r="B333" s="369" t="str">
        <f t="shared" ca="1" si="27"/>
        <v>PRC_RESID</v>
      </c>
      <c r="C333" s="369" t="str">
        <f ca="1">IF($A333="*","",OFFSET(COM_2012!$B$60,AW333,0))</f>
        <v>CECELCCHIL-E</v>
      </c>
      <c r="D333" s="369" t="str">
        <f t="shared" ca="1" si="31"/>
        <v>-</v>
      </c>
      <c r="E333" s="369" t="str">
        <f t="shared" ca="1" si="31"/>
        <v>-</v>
      </c>
      <c r="F333" s="369" t="str">
        <f t="shared" ca="1" si="31"/>
        <v>-</v>
      </c>
      <c r="G333" s="369" t="str">
        <f t="shared" ca="1" si="31"/>
        <v>-</v>
      </c>
      <c r="H333" s="369" t="str">
        <f t="shared" ca="1" si="31"/>
        <v>-</v>
      </c>
      <c r="I333" s="370">
        <f t="shared" ca="1" si="31"/>
        <v>0</v>
      </c>
      <c r="J333" s="391">
        <f ca="1">IF($A333="*","",OFFSET(COM_2012!$B$60,AW333,SUMIF($B$10:$B$16,B333,$AX$10:$AX$16)))</f>
        <v>6.7985615161498822</v>
      </c>
      <c r="K333" s="369" t="str">
        <f ca="1">IF($B333&lt;&gt;"PRC_RESID","",IF(K$7=2005+OFFSET(COM_2012!$B$60,$AW333,SUMIF($B$10:$B$16,"NCAP_TLIFE",$AX$10:$AX$16)),0,""))</f>
        <v/>
      </c>
      <c r="L333" s="369" t="str">
        <f ca="1">IF($B333&lt;&gt;"PRC_RESID","",IF(L$7=2005+OFFSET(COM_2012!$B$60,$AW333,SUMIF($B$10:$B$16,"NCAP_TLIFE",$AX$10:$AX$16)),0,""))</f>
        <v/>
      </c>
      <c r="M333" s="369" t="str">
        <f ca="1">IF($B333&lt;&gt;"PRC_RESID","",IF(M$7=2005+OFFSET(COM_2012!$B$60,$AW333,SUMIF($B$10:$B$16,"NCAP_TLIFE",$AX$10:$AX$16)),0,""))</f>
        <v/>
      </c>
      <c r="N333" s="369" t="str">
        <f ca="1">IF($B333&lt;&gt;"PRC_RESID","",IF(N$7=2005+OFFSET(COM_2012!$B$60,$AW333,SUMIF($B$10:$B$16,"NCAP_TLIFE",$AX$10:$AX$16)),0,""))</f>
        <v/>
      </c>
      <c r="O333" s="391">
        <f ca="1">IF($A333="*","",OFFSET(' COM_2017_old'!$B$60,AW333,SUMIF($B$10:$B$16,B333,$AX$10:$AX$16)))</f>
        <v>5.8551336032621926</v>
      </c>
      <c r="P333" s="369" t="str">
        <f ca="1">IF($B333&lt;&gt;"PRC_RESID","",IF(P$7=2005+OFFSET(COM_2012!$B$60,$AW333,SUMIF($B$10:$B$16,"NCAP_TLIFE",$AX$10:$AX$16)),0,""))</f>
        <v/>
      </c>
      <c r="Q333" s="369" t="str">
        <f ca="1">IF($B333&lt;&gt;"PRC_RESID","",IF(Q$7=2005+OFFSET(COM_2012!$B$60,$AW333,SUMIF($B$10:$B$16,"NCAP_TLIFE",$AX$10:$AX$16)),0,""))</f>
        <v/>
      </c>
      <c r="R333" s="369" t="str">
        <f ca="1">IF($B333&lt;&gt;"PRC_RESID","",IF(R$7=2016+OFFSET(' COM_2017_old'!$B$60,$AW333,SUMIF($B$10:$B$16,"NCAP_TLIFE",$AX$10:$AX$16)),0,""))</f>
        <v/>
      </c>
      <c r="S333" s="369" t="str">
        <f ca="1">IF($B333&lt;&gt;"PRC_RESID","",IF(S$7=2016+OFFSET(' COM_2017_old'!$B$60,$AW333,SUMIF($B$10:$B$16,"NCAP_TLIFE",$AX$10:$AX$16)),0,""))</f>
        <v/>
      </c>
      <c r="T333" s="369" t="str">
        <f ca="1">IF($B333&lt;&gt;"PRC_RESID","",IF(T$7=2016+OFFSET(' COM_2017_old'!$B$60,$AW333,SUMIF($B$10:$B$16,"NCAP_TLIFE",$AX$10:$AX$16)),0,""))</f>
        <v/>
      </c>
      <c r="U333" s="369" t="str">
        <f ca="1">IF($B333&lt;&gt;"PRC_RESID","",IF(U$7=2016+OFFSET(' COM_2017_old'!$B$60,$AW333,SUMIF($B$10:$B$16,"NCAP_TLIFE",$AX$10:$AX$16)),0,""))</f>
        <v/>
      </c>
      <c r="V333" s="369" t="str">
        <f ca="1">IF($B333&lt;&gt;"PRC_RESID","",IF(V$7=2016+OFFSET(' COM_2017_old'!$B$60,$AW333,SUMIF($B$10:$B$16,"NCAP_TLIFE",$AX$10:$AX$16)),0,""))</f>
        <v/>
      </c>
      <c r="W333" s="369" t="str">
        <f ca="1">IF($B333&lt;&gt;"PRC_RESID","",IF(W$7=2016+OFFSET(' COM_2017_old'!$B$60,$AW333,SUMIF($B$10:$B$16,"NCAP_TLIFE",$AX$10:$AX$16)),0,""))</f>
        <v/>
      </c>
      <c r="X333" s="369" t="str">
        <f ca="1">IF($B333&lt;&gt;"PRC_RESID","",IF(X$7=2016+OFFSET(' COM_2017_old'!$B$60,$AW333,SUMIF($B$10:$B$16,"NCAP_TLIFE",$AX$10:$AX$16)),0,""))</f>
        <v/>
      </c>
      <c r="Y333" s="369" t="str">
        <f ca="1">IF($B333&lt;&gt;"PRC_RESID","",IF(Y$7=2016+OFFSET(' COM_2017_old'!$B$60,$AW333,SUMIF($B$10:$B$16,"NCAP_TLIFE",$AX$10:$AX$16)),0,""))</f>
        <v/>
      </c>
      <c r="Z333" s="369" t="str">
        <f ca="1">IF($B333&lt;&gt;"PRC_RESID","",IF(Z$7=2016+OFFSET(' COM_2017_old'!$B$60,$AW333,SUMIF($B$10:$B$16,"NCAP_TLIFE",$AX$10:$AX$16)),0,""))</f>
        <v/>
      </c>
      <c r="AA333" s="369" t="str">
        <f ca="1">IF($B333&lt;&gt;"PRC_RESID","",IF(AA$7=2016+OFFSET(' COM_2017_old'!$B$60,$AW333,SUMIF($B$10:$B$16,"NCAP_TLIFE",$AX$10:$AX$16)),0,""))</f>
        <v/>
      </c>
      <c r="AB333" s="369" t="str">
        <f ca="1">IF($B333&lt;&gt;"PRC_RESID","",IF(AB$7=2016+OFFSET(' COM_2017_old'!$B$60,$AW333,SUMIF($B$10:$B$16,"NCAP_TLIFE",$AX$10:$AX$16)),0,""))</f>
        <v/>
      </c>
      <c r="AC333" s="369">
        <f ca="1">IF($B333&lt;&gt;"PRC_RESID","",IF(AC$7=2016+OFFSET(' COM_2017_old'!$B$60,$AW333,SUMIF($B$10:$B$16,"NCAP_TLIFE",$AX$10:$AX$16)),0,""))</f>
        <v>0</v>
      </c>
      <c r="AD333" s="369" t="str">
        <f ca="1">IF($B333&lt;&gt;"PRC_RESID","",IF(AD$7=2016+OFFSET(' COM_2017_old'!$B$60,$AW333,SUMIF($B$10:$B$16,"NCAP_TLIFE",$AX$10:$AX$16)),0,""))</f>
        <v/>
      </c>
      <c r="AE333" s="369" t="str">
        <f ca="1">IF($B333&lt;&gt;"PRC_RESID","",IF(AE$7=2005+OFFSET(COM_2012!$B$60,$AW333,SUMIF($B$10:$B$16,"NCAP_TLIFE",$AX$10:$AX$16)),0,""))</f>
        <v/>
      </c>
      <c r="AF333" s="369" t="str">
        <f ca="1">IF($B333&lt;&gt;"PRC_RESID","",IF(AF$7=2005+OFFSET(COM_2012!$B$60,$AW333,SUMIF($B$10:$B$16,"NCAP_TLIFE",$AX$10:$AX$16)),0,""))</f>
        <v/>
      </c>
      <c r="AG333" s="369" t="str">
        <f ca="1">IF($B333&lt;&gt;"PRC_RESID","",IF(AG$7=2005+OFFSET(COM_2012!$B$60,$AW333,SUMIF($B$10:$B$16,"NCAP_TLIFE",$AX$10:$AX$16)),0,""))</f>
        <v/>
      </c>
      <c r="AH333" s="369" t="str">
        <f ca="1">IF($B333&lt;&gt;"PRC_RESID","",IF(AH$7=2005+OFFSET(COM_2012!$B$60,$AW333,SUMIF($B$10:$B$16,"NCAP_TLIFE",$AX$10:$AX$16)),0,""))</f>
        <v/>
      </c>
      <c r="AI333" s="369" t="str">
        <f ca="1">IF($B333&lt;&gt;"PRC_RESID","",IF(AI$7=2005+OFFSET(COM_2012!$B$60,$AW333,SUMIF($B$10:$B$16,"NCAP_TLIFE",$AX$10:$AX$16)),0,""))</f>
        <v/>
      </c>
      <c r="AJ333" s="369" t="str">
        <f ca="1">IF($B333&lt;&gt;"PRC_RESID","",IF(AJ$7=2005+OFFSET(COM_2012!$B$60,$AW333,SUMIF($B$10:$B$16,"NCAP_TLIFE",$AX$10:$AX$16)),0,""))</f>
        <v/>
      </c>
      <c r="AK333" s="369" t="str">
        <f ca="1">IF($B333&lt;&gt;"PRC_RESID","",IF(AK$7=2005+OFFSET(COM_2012!$B$60,$AW333,SUMIF($B$10:$B$16,"NCAP_TLIFE",$AX$10:$AX$16)),0,""))</f>
        <v/>
      </c>
      <c r="AL333" s="369" t="str">
        <f ca="1">IF($B333&lt;&gt;"PRC_RESID","",IF(AL$7=2005+OFFSET(COM_2012!$B$60,$AW333,SUMIF($B$10:$B$16,"NCAP_TLIFE",$AX$10:$AX$16)),0,""))</f>
        <v/>
      </c>
      <c r="AM333" s="369" t="str">
        <f ca="1">IF($B333&lt;&gt;"PRC_RESID","",IF(AM$7=2005+OFFSET(COM_2012!$B$60,$AW333,SUMIF($B$10:$B$16,"NCAP_TLIFE",$AX$10:$AX$16)),0,""))</f>
        <v/>
      </c>
      <c r="AN333" s="369" t="str">
        <f ca="1">IF($B333&lt;&gt;"PRC_RESID","",IF(AN$7=2005+OFFSET(COM_2012!$B$60,$AW333,SUMIF($B$10:$B$16,"NCAP_TLIFE",$AX$10:$AX$16)),0,""))</f>
        <v/>
      </c>
      <c r="AO333" s="369" t="str">
        <f ca="1">IF($B333&lt;&gt;"PRC_RESID","",IF(AO$7=2005+OFFSET(COM_2012!$B$60,$AW333,SUMIF($B$10:$B$16,"NCAP_TLIFE",$AX$10:$AX$16)),0,""))</f>
        <v/>
      </c>
      <c r="AP333" s="369" t="str">
        <f ca="1">IF($B333&lt;&gt;"PRC_RESID","",IF(AP$7=2005+OFFSET(COM_2012!$B$60,$AW333,SUMIF($B$10:$B$16,"NCAP_TLIFE",$AX$10:$AX$16)),0,""))</f>
        <v/>
      </c>
      <c r="AQ333" s="369" t="str">
        <f ca="1">IF($B333&lt;&gt;"PRC_RESID","",IF(AQ$7=2005+OFFSET(COM_2012!$B$60,$AW333,SUMIF($B$10:$B$16,"NCAP_TLIFE",$AX$10:$AX$16)),0,""))</f>
        <v/>
      </c>
      <c r="AR333" s="369" t="str">
        <f ca="1">IF($B333&lt;&gt;"PRC_RESID","",IF(AR$7=2005+OFFSET(COM_2012!$B$60,$AW333,SUMIF($B$10:$B$16,"NCAP_TLIFE",$AX$10:$AX$16)),0,""))</f>
        <v/>
      </c>
      <c r="AS333" s="369" t="str">
        <f ca="1">IF($B333&lt;&gt;"PRC_RESID","",IF(AS$7=2005+OFFSET(COM_2012!$B$60,$AW333,SUMIF($B$10:$B$16,"NCAP_TLIFE",$AX$10:$AX$16)),0,""))</f>
        <v/>
      </c>
      <c r="AT333" s="369" t="str">
        <f ca="1">IF($B333&lt;&gt;"PRC_RESID","",IF(AT$7=2005+OFFSET(COM_2012!$B$60,$AW333,SUMIF($B$10:$B$16,"NCAP_TLIFE",$AX$10:$AX$16)),0,""))</f>
        <v/>
      </c>
      <c r="AU333" s="369" t="str">
        <f ca="1">IF($B333&lt;&gt;"PRC_RESID","",IF(AU$7=2005+OFFSET(COM_2012!$B$60,$AW333,SUMIF($B$10:$B$16,"NCAP_TLIFE",$AX$10:$AX$16)),0,""))</f>
        <v/>
      </c>
      <c r="AV333" s="304">
        <f>IF(AW332=COM_2012!$AI$121,AV332+1,AV332)</f>
        <v>6</v>
      </c>
      <c r="AW333" s="304">
        <f t="shared" ref="AW333:AW349" si="33">IF(AV333=AV332,AW332+1,1)</f>
        <v>1</v>
      </c>
    </row>
    <row r="334" spans="1:49">
      <c r="A334" s="304" t="str">
        <f ca="1">IF(LEFT(OFFSET(COM_2012!$A$60,AW334,0),2)="\I","*","")</f>
        <v/>
      </c>
      <c r="B334" s="369" t="str">
        <f t="shared" ca="1" si="27"/>
        <v>PRC_RESID</v>
      </c>
      <c r="C334" s="369" t="str">
        <f ca="1">IF($A334="*","",OFFSET(COM_2012!$B$60,AW334,0))</f>
        <v>CECELCCEN-E</v>
      </c>
      <c r="D334" s="369" t="str">
        <f t="shared" ca="1" si="31"/>
        <v>-</v>
      </c>
      <c r="E334" s="369" t="str">
        <f t="shared" ca="1" si="31"/>
        <v>-</v>
      </c>
      <c r="F334" s="369" t="str">
        <f t="shared" ca="1" si="31"/>
        <v>-</v>
      </c>
      <c r="G334" s="369" t="str">
        <f t="shared" ca="1" si="31"/>
        <v>-</v>
      </c>
      <c r="H334" s="369" t="str">
        <f t="shared" ca="1" si="31"/>
        <v>-</v>
      </c>
      <c r="I334" s="370">
        <f t="shared" ca="1" si="31"/>
        <v>0</v>
      </c>
      <c r="J334" s="391">
        <f ca="1">IF($A334="*","",OFFSET(COM_2012!$B$60,AW334,SUMIF($B$10:$B$16,B334,$AX$10:$AX$16)))</f>
        <v>114.9574947276253</v>
      </c>
      <c r="K334" s="369" t="str">
        <f ca="1">IF($B334&lt;&gt;"PRC_RESID","",IF(K$7=2005+OFFSET(COM_2012!$B$60,$AW334,SUMIF($B$10:$B$16,"NCAP_TLIFE",$AX$10:$AX$16)),0,""))</f>
        <v/>
      </c>
      <c r="L334" s="369" t="str">
        <f ca="1">IF($B334&lt;&gt;"PRC_RESID","",IF(L$7=2005+OFFSET(COM_2012!$B$60,$AW334,SUMIF($B$10:$B$16,"NCAP_TLIFE",$AX$10:$AX$16)),0,""))</f>
        <v/>
      </c>
      <c r="M334" s="369" t="str">
        <f ca="1">IF($B334&lt;&gt;"PRC_RESID","",IF(M$7=2005+OFFSET(COM_2012!$B$60,$AW334,SUMIF($B$10:$B$16,"NCAP_TLIFE",$AX$10:$AX$16)),0,""))</f>
        <v/>
      </c>
      <c r="N334" s="369" t="str">
        <f ca="1">IF($B334&lt;&gt;"PRC_RESID","",IF(N$7=2005+OFFSET(COM_2012!$B$60,$AW334,SUMIF($B$10:$B$16,"NCAP_TLIFE",$AX$10:$AX$16)),0,""))</f>
        <v/>
      </c>
      <c r="O334" s="391">
        <f ca="1">IF($A334="*","",OFFSET(' COM_2017_old'!$B$60,AW334,SUMIF($B$10:$B$16,B334,$AX$10:$AX$16)))</f>
        <v>99.004986382433444</v>
      </c>
      <c r="P334" s="369" t="str">
        <f ca="1">IF($B334&lt;&gt;"PRC_RESID","",IF(P$7=2005+OFFSET(COM_2012!$B$60,$AW334,SUMIF($B$10:$B$16,"NCAP_TLIFE",$AX$10:$AX$16)),0,""))</f>
        <v/>
      </c>
      <c r="Q334" s="369"/>
      <c r="R334" s="369" t="str">
        <f ca="1">IF($B334&lt;&gt;"PRC_RESID","",IF(R$7=2016+OFFSET(' COM_2017_old'!$B$60,$AW334,SUMIF($B$10:$B$16,"NCAP_TLIFE",$AX$10:$AX$16)),0,""))</f>
        <v/>
      </c>
      <c r="S334" s="369" t="str">
        <f ca="1">IF($B334&lt;&gt;"PRC_RESID","",IF(S$7=2016+OFFSET(' COM_2017_old'!$B$60,$AW334,SUMIF($B$10:$B$16,"NCAP_TLIFE",$AX$10:$AX$16)),0,""))</f>
        <v/>
      </c>
      <c r="T334" s="369" t="str">
        <f ca="1">IF($B334&lt;&gt;"PRC_RESID","",IF(T$7=2016+OFFSET(' COM_2017_old'!$B$60,$AW334,SUMIF($B$10:$B$16,"NCAP_TLIFE",$AX$10:$AX$16)),0,""))</f>
        <v/>
      </c>
      <c r="U334" s="369" t="str">
        <f ca="1">IF($B334&lt;&gt;"PRC_RESID","",IF(U$7=2016+OFFSET(' COM_2017_old'!$B$60,$AW334,SUMIF($B$10:$B$16,"NCAP_TLIFE",$AX$10:$AX$16)),0,""))</f>
        <v/>
      </c>
      <c r="V334" s="369" t="str">
        <f ca="1">IF($B334&lt;&gt;"PRC_RESID","",IF(V$7=2016+OFFSET(' COM_2017_old'!$B$60,$AW334,SUMIF($B$10:$B$16,"NCAP_TLIFE",$AX$10:$AX$16)),0,""))</f>
        <v/>
      </c>
      <c r="W334" s="369" t="str">
        <f ca="1">IF($B334&lt;&gt;"PRC_RESID","",IF(W$7=2016+OFFSET(' COM_2017_old'!$B$60,$AW334,SUMIF($B$10:$B$16,"NCAP_TLIFE",$AX$10:$AX$16)),0,""))</f>
        <v/>
      </c>
      <c r="X334" s="369" t="str">
        <f ca="1">IF($B334&lt;&gt;"PRC_RESID","",IF(X$7=2016+OFFSET(' COM_2017_old'!$B$60,$AW334,SUMIF($B$10:$B$16,"NCAP_TLIFE",$AX$10:$AX$16)),0,""))</f>
        <v/>
      </c>
      <c r="Y334" s="369" t="str">
        <f ca="1">IF($B334&lt;&gt;"PRC_RESID","",IF(Y$7=2016+OFFSET(' COM_2017_old'!$B$60,$AW334,SUMIF($B$10:$B$16,"NCAP_TLIFE",$AX$10:$AX$16)),0,""))</f>
        <v/>
      </c>
      <c r="Z334" s="369" t="str">
        <f ca="1">IF($B334&lt;&gt;"PRC_RESID","",IF(Z$7=2016+OFFSET(' COM_2017_old'!$B$60,$AW334,SUMIF($B$10:$B$16,"NCAP_TLIFE",$AX$10:$AX$16)),0,""))</f>
        <v/>
      </c>
      <c r="AA334" s="369" t="str">
        <f ca="1">IF($B334&lt;&gt;"PRC_RESID","",IF(AA$7=2016+OFFSET(' COM_2017_old'!$B$60,$AW334,SUMIF($B$10:$B$16,"NCAP_TLIFE",$AX$10:$AX$16)),0,""))</f>
        <v/>
      </c>
      <c r="AB334" s="369" t="str">
        <f ca="1">IF($B334&lt;&gt;"PRC_RESID","",IF(AB$7=2016+OFFSET(' COM_2017_old'!$B$60,$AW334,SUMIF($B$10:$B$16,"NCAP_TLIFE",$AX$10:$AX$16)),0,""))</f>
        <v/>
      </c>
      <c r="AC334" s="369">
        <f ca="1">IF($B334&lt;&gt;"PRC_RESID","",IF(AC$7=2016+OFFSET(' COM_2017_old'!$B$60,$AW334,SUMIF($B$10:$B$16,"NCAP_TLIFE",$AX$10:$AX$16)),0,""))</f>
        <v>0</v>
      </c>
      <c r="AD334" s="369" t="str">
        <f ca="1">IF($B334&lt;&gt;"PRC_RESID","",IF(AD$7=2016+OFFSET(' COM_2017_old'!$B$60,$AW334,SUMIF($B$10:$B$16,"NCAP_TLIFE",$AX$10:$AX$16)),0,""))</f>
        <v/>
      </c>
      <c r="AE334" s="369" t="str">
        <f ca="1">IF($B334&lt;&gt;"PRC_RESID","",IF(AE$7=2005+OFFSET(COM_2012!$B$60,$AW334,SUMIF($B$10:$B$16,"NCAP_TLIFE",$AX$10:$AX$16)),0,""))</f>
        <v/>
      </c>
      <c r="AF334" s="369" t="str">
        <f ca="1">IF($B334&lt;&gt;"PRC_RESID","",IF(AF$7=2005+OFFSET(COM_2012!$B$60,$AW334,SUMIF($B$10:$B$16,"NCAP_TLIFE",$AX$10:$AX$16)),0,""))</f>
        <v/>
      </c>
      <c r="AG334" s="369" t="str">
        <f ca="1">IF($B334&lt;&gt;"PRC_RESID","",IF(AG$7=2005+OFFSET(COM_2012!$B$60,$AW334,SUMIF($B$10:$B$16,"NCAP_TLIFE",$AX$10:$AX$16)),0,""))</f>
        <v/>
      </c>
      <c r="AH334" s="369" t="str">
        <f ca="1">IF($B334&lt;&gt;"PRC_RESID","",IF(AH$7=2005+OFFSET(COM_2012!$B$60,$AW334,SUMIF($B$10:$B$16,"NCAP_TLIFE",$AX$10:$AX$16)),0,""))</f>
        <v/>
      </c>
      <c r="AI334" s="369" t="str">
        <f ca="1">IF($B334&lt;&gt;"PRC_RESID","",IF(AI$7=2005+OFFSET(COM_2012!$B$60,$AW334,SUMIF($B$10:$B$16,"NCAP_TLIFE",$AX$10:$AX$16)),0,""))</f>
        <v/>
      </c>
      <c r="AJ334" s="369" t="str">
        <f ca="1">IF($B334&lt;&gt;"PRC_RESID","",IF(AJ$7=2005+OFFSET(COM_2012!$B$60,$AW334,SUMIF($B$10:$B$16,"NCAP_TLIFE",$AX$10:$AX$16)),0,""))</f>
        <v/>
      </c>
      <c r="AK334" s="369" t="str">
        <f ca="1">IF($B334&lt;&gt;"PRC_RESID","",IF(AK$7=2005+OFFSET(COM_2012!$B$60,$AW334,SUMIF($B$10:$B$16,"NCAP_TLIFE",$AX$10:$AX$16)),0,""))</f>
        <v/>
      </c>
      <c r="AL334" s="369" t="str">
        <f ca="1">IF($B334&lt;&gt;"PRC_RESID","",IF(AL$7=2005+OFFSET(COM_2012!$B$60,$AW334,SUMIF($B$10:$B$16,"NCAP_TLIFE",$AX$10:$AX$16)),0,""))</f>
        <v/>
      </c>
      <c r="AM334" s="369" t="str">
        <f ca="1">IF($B334&lt;&gt;"PRC_RESID","",IF(AM$7=2005+OFFSET(COM_2012!$B$60,$AW334,SUMIF($B$10:$B$16,"NCAP_TLIFE",$AX$10:$AX$16)),0,""))</f>
        <v/>
      </c>
      <c r="AN334" s="369" t="str">
        <f ca="1">IF($B334&lt;&gt;"PRC_RESID","",IF(AN$7=2005+OFFSET(COM_2012!$B$60,$AW334,SUMIF($B$10:$B$16,"NCAP_TLIFE",$AX$10:$AX$16)),0,""))</f>
        <v/>
      </c>
      <c r="AO334" s="369" t="str">
        <f ca="1">IF($B334&lt;&gt;"PRC_RESID","",IF(AO$7=2005+OFFSET(COM_2012!$B$60,$AW334,SUMIF($B$10:$B$16,"NCAP_TLIFE",$AX$10:$AX$16)),0,""))</f>
        <v/>
      </c>
      <c r="AP334" s="369" t="str">
        <f ca="1">IF($B334&lt;&gt;"PRC_RESID","",IF(AP$7=2005+OFFSET(COM_2012!$B$60,$AW334,SUMIF($B$10:$B$16,"NCAP_TLIFE",$AX$10:$AX$16)),0,""))</f>
        <v/>
      </c>
      <c r="AQ334" s="369" t="str">
        <f ca="1">IF($B334&lt;&gt;"PRC_RESID","",IF(AQ$7=2005+OFFSET(COM_2012!$B$60,$AW334,SUMIF($B$10:$B$16,"NCAP_TLIFE",$AX$10:$AX$16)),0,""))</f>
        <v/>
      </c>
      <c r="AR334" s="369" t="str">
        <f ca="1">IF($B334&lt;&gt;"PRC_RESID","",IF(AR$7=2005+OFFSET(COM_2012!$B$60,$AW334,SUMIF($B$10:$B$16,"NCAP_TLIFE",$AX$10:$AX$16)),0,""))</f>
        <v/>
      </c>
      <c r="AS334" s="369" t="str">
        <f ca="1">IF($B334&lt;&gt;"PRC_RESID","",IF(AS$7=2005+OFFSET(COM_2012!$B$60,$AW334,SUMIF($B$10:$B$16,"NCAP_TLIFE",$AX$10:$AX$16)),0,""))</f>
        <v/>
      </c>
      <c r="AT334" s="369" t="str">
        <f ca="1">IF($B334&lt;&gt;"PRC_RESID","",IF(AT$7=2005+OFFSET(COM_2012!$B$60,$AW334,SUMIF($B$10:$B$16,"NCAP_TLIFE",$AX$10:$AX$16)),0,""))</f>
        <v/>
      </c>
      <c r="AU334" s="369" t="str">
        <f ca="1">IF($B334&lt;&gt;"PRC_RESID","",IF(AU$7=2005+OFFSET(COM_2012!$B$60,$AW334,SUMIF($B$10:$B$16,"NCAP_TLIFE",$AX$10:$AX$16)),0,""))</f>
        <v/>
      </c>
      <c r="AV334" s="304">
        <f>IF(AW333=COM_2012!$AI$121,AV333+1,AV333)</f>
        <v>6</v>
      </c>
      <c r="AW334" s="304">
        <f t="shared" si="33"/>
        <v>2</v>
      </c>
    </row>
    <row r="335" spans="1:49">
      <c r="A335" s="304" t="str">
        <f ca="1">IF(LEFT(OFFSET(COM_2012!$A$60,AW335,0),2)="\I","*","")</f>
        <v/>
      </c>
      <c r="B335" s="369" t="str">
        <f t="shared" ca="1" si="27"/>
        <v>PRC_RESID</v>
      </c>
      <c r="C335" s="369" t="str">
        <f ca="1">IF($A335="*","",OFFSET(COM_2012!$B$60,AW335,0))</f>
        <v>CECELCHP-E</v>
      </c>
      <c r="D335" s="369" t="str">
        <f t="shared" ref="D335:I350" ca="1" si="34">IF($A335="*","",VLOOKUP($B335,$B$10:$I$16,D$9,FALSE))</f>
        <v>-</v>
      </c>
      <c r="E335" s="369" t="str">
        <f t="shared" ca="1" si="34"/>
        <v>-</v>
      </c>
      <c r="F335" s="369" t="str">
        <f t="shared" ca="1" si="34"/>
        <v>-</v>
      </c>
      <c r="G335" s="369" t="str">
        <f t="shared" ca="1" si="34"/>
        <v>-</v>
      </c>
      <c r="H335" s="369" t="str">
        <f t="shared" ca="1" si="34"/>
        <v>-</v>
      </c>
      <c r="I335" s="370">
        <f t="shared" ca="1" si="34"/>
        <v>0</v>
      </c>
      <c r="J335" s="391">
        <f ca="1">IF($A335="*","",OFFSET(COM_2012!$B$60,AW335,SUMIF($B$10:$B$16,B335,$AX$10:$AX$16)))</f>
        <v>30.902552346135828</v>
      </c>
      <c r="K335" s="369" t="str">
        <f ca="1">IF($B335&lt;&gt;"PRC_RESID","",IF(K$7=2005+OFFSET(COM_2012!$B$60,$AW335,SUMIF($B$10:$B$16,"NCAP_TLIFE",$AX$10:$AX$16)),0,""))</f>
        <v/>
      </c>
      <c r="L335" s="369" t="str">
        <f ca="1">IF($B335&lt;&gt;"PRC_RESID","",IF(L$7=2005+OFFSET(COM_2012!$B$60,$AW335,SUMIF($B$10:$B$16,"NCAP_TLIFE",$AX$10:$AX$16)),0,""))</f>
        <v/>
      </c>
      <c r="M335" s="369" t="str">
        <f ca="1">IF($B335&lt;&gt;"PRC_RESID","",IF(M$7=2005+OFFSET(COM_2012!$B$60,$AW335,SUMIF($B$10:$B$16,"NCAP_TLIFE",$AX$10:$AX$16)),0,""))</f>
        <v/>
      </c>
      <c r="N335" s="369" t="str">
        <f ca="1">IF($B335&lt;&gt;"PRC_RESID","",IF(N$7=2005+OFFSET(COM_2012!$B$60,$AW335,SUMIF($B$10:$B$16,"NCAP_TLIFE",$AX$10:$AX$16)),0,""))</f>
        <v/>
      </c>
      <c r="O335" s="391">
        <f ca="1">IF($A335="*","",OFFSET(' COM_2017_old'!$B$60,AW335,SUMIF($B$10:$B$16,B335,$AX$10:$AX$16)))</f>
        <v>26.614243651191785</v>
      </c>
      <c r="P335" s="369" t="str">
        <f ca="1">IF($B335&lt;&gt;"PRC_RESID","",IF(P$7=2005+OFFSET(COM_2012!$B$60,$AW335,SUMIF($B$10:$B$16,"NCAP_TLIFE",$AX$10:$AX$16)),0,""))</f>
        <v/>
      </c>
      <c r="Q335" s="369"/>
      <c r="R335" s="369" t="str">
        <f ca="1">IF($B335&lt;&gt;"PRC_RESID","",IF(R$7=2016+OFFSET(' COM_2017_old'!$B$60,$AW335,SUMIF($B$10:$B$16,"NCAP_TLIFE",$AX$10:$AX$16)),0,""))</f>
        <v/>
      </c>
      <c r="S335" s="369" t="str">
        <f ca="1">IF($B335&lt;&gt;"PRC_RESID","",IF(S$7=2016+OFFSET(' COM_2017_old'!$B$60,$AW335,SUMIF($B$10:$B$16,"NCAP_TLIFE",$AX$10:$AX$16)),0,""))</f>
        <v/>
      </c>
      <c r="T335" s="369" t="str">
        <f ca="1">IF($B335&lt;&gt;"PRC_RESID","",IF(T$7=2016+OFFSET(' COM_2017_old'!$B$60,$AW335,SUMIF($B$10:$B$16,"NCAP_TLIFE",$AX$10:$AX$16)),0,""))</f>
        <v/>
      </c>
      <c r="U335" s="369" t="str">
        <f ca="1">IF($B335&lt;&gt;"PRC_RESID","",IF(U$7=2016+OFFSET(' COM_2017_old'!$B$60,$AW335,SUMIF($B$10:$B$16,"NCAP_TLIFE",$AX$10:$AX$16)),0,""))</f>
        <v/>
      </c>
      <c r="V335" s="369" t="str">
        <f ca="1">IF($B335&lt;&gt;"PRC_RESID","",IF(V$7=2016+OFFSET(' COM_2017_old'!$B$60,$AW335,SUMIF($B$10:$B$16,"NCAP_TLIFE",$AX$10:$AX$16)),0,""))</f>
        <v/>
      </c>
      <c r="W335" s="369" t="str">
        <f ca="1">IF($B335&lt;&gt;"PRC_RESID","",IF(W$7=2016+OFFSET(' COM_2017_old'!$B$60,$AW335,SUMIF($B$10:$B$16,"NCAP_TLIFE",$AX$10:$AX$16)),0,""))</f>
        <v/>
      </c>
      <c r="X335" s="369" t="str">
        <f ca="1">IF($B335&lt;&gt;"PRC_RESID","",IF(X$7=2016+OFFSET(' COM_2017_old'!$B$60,$AW335,SUMIF($B$10:$B$16,"NCAP_TLIFE",$AX$10:$AX$16)),0,""))</f>
        <v/>
      </c>
      <c r="Y335" s="369" t="str">
        <f ca="1">IF($B335&lt;&gt;"PRC_RESID","",IF(Y$7=2016+OFFSET(' COM_2017_old'!$B$60,$AW335,SUMIF($B$10:$B$16,"NCAP_TLIFE",$AX$10:$AX$16)),0,""))</f>
        <v/>
      </c>
      <c r="Z335" s="369" t="str">
        <f ca="1">IF($B335&lt;&gt;"PRC_RESID","",IF(Z$7=2016+OFFSET(' COM_2017_old'!$B$60,$AW335,SUMIF($B$10:$B$16,"NCAP_TLIFE",$AX$10:$AX$16)),0,""))</f>
        <v/>
      </c>
      <c r="AA335" s="369" t="str">
        <f ca="1">IF($B335&lt;&gt;"PRC_RESID","",IF(AA$7=2016+OFFSET(' COM_2017_old'!$B$60,$AW335,SUMIF($B$10:$B$16,"NCAP_TLIFE",$AX$10:$AX$16)),0,""))</f>
        <v/>
      </c>
      <c r="AB335" s="369" t="str">
        <f ca="1">IF($B335&lt;&gt;"PRC_RESID","",IF(AB$7=2016+OFFSET(' COM_2017_old'!$B$60,$AW335,SUMIF($B$10:$B$16,"NCAP_TLIFE",$AX$10:$AX$16)),0,""))</f>
        <v/>
      </c>
      <c r="AC335" s="369">
        <f ca="1">IF($B335&lt;&gt;"PRC_RESID","",IF(AC$7=2016+OFFSET(' COM_2017_old'!$B$60,$AW335,SUMIF($B$10:$B$16,"NCAP_TLIFE",$AX$10:$AX$16)),0,""))</f>
        <v>0</v>
      </c>
      <c r="AD335" s="369" t="str">
        <f ca="1">IF($B335&lt;&gt;"PRC_RESID","",IF(AD$7=2016+OFFSET(' COM_2017_old'!$B$60,$AW335,SUMIF($B$10:$B$16,"NCAP_TLIFE",$AX$10:$AX$16)),0,""))</f>
        <v/>
      </c>
      <c r="AE335" s="369" t="str">
        <f ca="1">IF($B335&lt;&gt;"PRC_RESID","",IF(AE$7=2005+OFFSET(COM_2012!$B$60,$AW335,SUMIF($B$10:$B$16,"NCAP_TLIFE",$AX$10:$AX$16)),0,""))</f>
        <v/>
      </c>
      <c r="AF335" s="369" t="str">
        <f ca="1">IF($B335&lt;&gt;"PRC_RESID","",IF(AF$7=2005+OFFSET(COM_2012!$B$60,$AW335,SUMIF($B$10:$B$16,"NCAP_TLIFE",$AX$10:$AX$16)),0,""))</f>
        <v/>
      </c>
      <c r="AG335" s="369" t="str">
        <f ca="1">IF($B335&lt;&gt;"PRC_RESID","",IF(AG$7=2005+OFFSET(COM_2012!$B$60,$AW335,SUMIF($B$10:$B$16,"NCAP_TLIFE",$AX$10:$AX$16)),0,""))</f>
        <v/>
      </c>
      <c r="AH335" s="369" t="str">
        <f ca="1">IF($B335&lt;&gt;"PRC_RESID","",IF(AH$7=2005+OFFSET(COM_2012!$B$60,$AW335,SUMIF($B$10:$B$16,"NCAP_TLIFE",$AX$10:$AX$16)),0,""))</f>
        <v/>
      </c>
      <c r="AI335" s="369" t="str">
        <f ca="1">IF($B335&lt;&gt;"PRC_RESID","",IF(AI$7=2005+OFFSET(COM_2012!$B$60,$AW335,SUMIF($B$10:$B$16,"NCAP_TLIFE",$AX$10:$AX$16)),0,""))</f>
        <v/>
      </c>
      <c r="AJ335" s="369" t="str">
        <f ca="1">IF($B335&lt;&gt;"PRC_RESID","",IF(AJ$7=2005+OFFSET(COM_2012!$B$60,$AW335,SUMIF($B$10:$B$16,"NCAP_TLIFE",$AX$10:$AX$16)),0,""))</f>
        <v/>
      </c>
      <c r="AK335" s="369" t="str">
        <f ca="1">IF($B335&lt;&gt;"PRC_RESID","",IF(AK$7=2005+OFFSET(COM_2012!$B$60,$AW335,SUMIF($B$10:$B$16,"NCAP_TLIFE",$AX$10:$AX$16)),0,""))</f>
        <v/>
      </c>
      <c r="AL335" s="369" t="str">
        <f ca="1">IF($B335&lt;&gt;"PRC_RESID","",IF(AL$7=2005+OFFSET(COM_2012!$B$60,$AW335,SUMIF($B$10:$B$16,"NCAP_TLIFE",$AX$10:$AX$16)),0,""))</f>
        <v/>
      </c>
      <c r="AM335" s="369" t="str">
        <f ca="1">IF($B335&lt;&gt;"PRC_RESID","",IF(AM$7=2005+OFFSET(COM_2012!$B$60,$AW335,SUMIF($B$10:$B$16,"NCAP_TLIFE",$AX$10:$AX$16)),0,""))</f>
        <v/>
      </c>
      <c r="AN335" s="369" t="str">
        <f ca="1">IF($B335&lt;&gt;"PRC_RESID","",IF(AN$7=2005+OFFSET(COM_2012!$B$60,$AW335,SUMIF($B$10:$B$16,"NCAP_TLIFE",$AX$10:$AX$16)),0,""))</f>
        <v/>
      </c>
      <c r="AO335" s="369" t="str">
        <f ca="1">IF($B335&lt;&gt;"PRC_RESID","",IF(AO$7=2005+OFFSET(COM_2012!$B$60,$AW335,SUMIF($B$10:$B$16,"NCAP_TLIFE",$AX$10:$AX$16)),0,""))</f>
        <v/>
      </c>
      <c r="AP335" s="369" t="str">
        <f ca="1">IF($B335&lt;&gt;"PRC_RESID","",IF(AP$7=2005+OFFSET(COM_2012!$B$60,$AW335,SUMIF($B$10:$B$16,"NCAP_TLIFE",$AX$10:$AX$16)),0,""))</f>
        <v/>
      </c>
      <c r="AQ335" s="369" t="str">
        <f ca="1">IF($B335&lt;&gt;"PRC_RESID","",IF(AQ$7=2005+OFFSET(COM_2012!$B$60,$AW335,SUMIF($B$10:$B$16,"NCAP_TLIFE",$AX$10:$AX$16)),0,""))</f>
        <v/>
      </c>
      <c r="AR335" s="369" t="str">
        <f ca="1">IF($B335&lt;&gt;"PRC_RESID","",IF(AR$7=2005+OFFSET(COM_2012!$B$60,$AW335,SUMIF($B$10:$B$16,"NCAP_TLIFE",$AX$10:$AX$16)),0,""))</f>
        <v/>
      </c>
      <c r="AS335" s="369" t="str">
        <f ca="1">IF($B335&lt;&gt;"PRC_RESID","",IF(AS$7=2005+OFFSET(COM_2012!$B$60,$AW335,SUMIF($B$10:$B$16,"NCAP_TLIFE",$AX$10:$AX$16)),0,""))</f>
        <v/>
      </c>
      <c r="AT335" s="369" t="str">
        <f ca="1">IF($B335&lt;&gt;"PRC_RESID","",IF(AT$7=2005+OFFSET(COM_2012!$B$60,$AW335,SUMIF($B$10:$B$16,"NCAP_TLIFE",$AX$10:$AX$16)),0,""))</f>
        <v/>
      </c>
      <c r="AU335" s="369" t="str">
        <f ca="1">IF($B335&lt;&gt;"PRC_RESID","",IF(AU$7=2005+OFFSET(COM_2012!$B$60,$AW335,SUMIF($B$10:$B$16,"NCAP_TLIFE",$AX$10:$AX$16)),0,""))</f>
        <v/>
      </c>
      <c r="AV335" s="304">
        <f>IF(AW334=COM_2012!$AI$121,AV334+1,AV334)</f>
        <v>6</v>
      </c>
      <c r="AW335" s="304">
        <f t="shared" si="33"/>
        <v>3</v>
      </c>
    </row>
    <row r="336" spans="1:49">
      <c r="A336" s="304" t="str">
        <f ca="1">IF(LEFT(OFFSET(COM_2012!$A$60,AW336,0),2)="\I","*","")</f>
        <v/>
      </c>
      <c r="B336" s="369" t="str">
        <f t="shared" ca="1" si="27"/>
        <v>PRC_RESID</v>
      </c>
      <c r="C336" s="369" t="str">
        <f ca="1">IF($A336="*","",OFFSET(COM_2012!$B$60,AW336,0))</f>
        <v>CECELCROOM-E</v>
      </c>
      <c r="D336" s="369" t="str">
        <f t="shared" ca="1" si="34"/>
        <v>-</v>
      </c>
      <c r="E336" s="369" t="str">
        <f t="shared" ca="1" si="34"/>
        <v>-</v>
      </c>
      <c r="F336" s="369" t="str">
        <f t="shared" ca="1" si="34"/>
        <v>-</v>
      </c>
      <c r="G336" s="369" t="str">
        <f t="shared" ca="1" si="34"/>
        <v>-</v>
      </c>
      <c r="H336" s="369" t="str">
        <f t="shared" ca="1" si="34"/>
        <v>-</v>
      </c>
      <c r="I336" s="370">
        <f t="shared" ca="1" si="34"/>
        <v>0</v>
      </c>
      <c r="J336" s="391">
        <f ca="1">IF($A336="*","",OFFSET(COM_2012!$B$60,AW336,SUMIF($B$10:$B$16,B336,$AX$10:$AX$16)))</f>
        <v>22.249837689217795</v>
      </c>
      <c r="K336" s="369" t="str">
        <f ca="1">IF($B336&lt;&gt;"PRC_RESID","",IF(K$7=2005+OFFSET(COM_2012!$B$60,$AW336,SUMIF($B$10:$B$16,"NCAP_TLIFE",$AX$10:$AX$16)),0,""))</f>
        <v/>
      </c>
      <c r="L336" s="369" t="str">
        <f ca="1">IF($B336&lt;&gt;"PRC_RESID","",IF(L$7=2005+OFFSET(COM_2012!$B$60,$AW336,SUMIF($B$10:$B$16,"NCAP_TLIFE",$AX$10:$AX$16)),0,""))</f>
        <v/>
      </c>
      <c r="M336" s="369" t="str">
        <f ca="1">IF($B336&lt;&gt;"PRC_RESID","",IF(M$7=2005+OFFSET(COM_2012!$B$60,$AW336,SUMIF($B$10:$B$16,"NCAP_TLIFE",$AX$10:$AX$16)),0,""))</f>
        <v/>
      </c>
      <c r="N336" s="369" t="str">
        <f ca="1">IF($B336&lt;&gt;"PRC_RESID","",IF(N$7=2005+OFFSET(COM_2012!$B$60,$AW336,SUMIF($B$10:$B$16,"NCAP_TLIFE",$AX$10:$AX$16)),0,""))</f>
        <v/>
      </c>
      <c r="O336" s="391">
        <f ca="1">IF($A336="*","",OFFSET(' COM_2017_old'!$B$60,AW336,SUMIF($B$10:$B$16,B336,$AX$10:$AX$16)))</f>
        <v>19.162255428858078</v>
      </c>
      <c r="P336" s="369" t="str">
        <f ca="1">IF($B336&lt;&gt;"PRC_RESID","",IF(P$7=2005+OFFSET(COM_2012!$B$60,$AW336,SUMIF($B$10:$B$16,"NCAP_TLIFE",$AX$10:$AX$16)),0,""))</f>
        <v/>
      </c>
      <c r="Q336" s="369"/>
      <c r="R336" s="369" t="str">
        <f ca="1">IF($B336&lt;&gt;"PRC_RESID","",IF(R$7=2016+OFFSET(' COM_2017_old'!$B$60,$AW336,SUMIF($B$10:$B$16,"NCAP_TLIFE",$AX$10:$AX$16)),0,""))</f>
        <v/>
      </c>
      <c r="S336" s="369" t="str">
        <f ca="1">IF($B336&lt;&gt;"PRC_RESID","",IF(S$7=2016+OFFSET(' COM_2017_old'!$B$60,$AW336,SUMIF($B$10:$B$16,"NCAP_TLIFE",$AX$10:$AX$16)),0,""))</f>
        <v/>
      </c>
      <c r="T336" s="369" t="str">
        <f ca="1">IF($B336&lt;&gt;"PRC_RESID","",IF(T$7=2016+OFFSET(' COM_2017_old'!$B$60,$AW336,SUMIF($B$10:$B$16,"NCAP_TLIFE",$AX$10:$AX$16)),0,""))</f>
        <v/>
      </c>
      <c r="U336" s="369" t="str">
        <f ca="1">IF($B336&lt;&gt;"PRC_RESID","",IF(U$7=2016+OFFSET(' COM_2017_old'!$B$60,$AW336,SUMIF($B$10:$B$16,"NCAP_TLIFE",$AX$10:$AX$16)),0,""))</f>
        <v/>
      </c>
      <c r="V336" s="369" t="str">
        <f ca="1">IF($B336&lt;&gt;"PRC_RESID","",IF(V$7=2016+OFFSET(' COM_2017_old'!$B$60,$AW336,SUMIF($B$10:$B$16,"NCAP_TLIFE",$AX$10:$AX$16)),0,""))</f>
        <v/>
      </c>
      <c r="W336" s="369" t="str">
        <f ca="1">IF($B336&lt;&gt;"PRC_RESID","",IF(W$7=2016+OFFSET(' COM_2017_old'!$B$60,$AW336,SUMIF($B$10:$B$16,"NCAP_TLIFE",$AX$10:$AX$16)),0,""))</f>
        <v/>
      </c>
      <c r="X336" s="369" t="str">
        <f ca="1">IF($B336&lt;&gt;"PRC_RESID","",IF(X$7=2016+OFFSET(' COM_2017_old'!$B$60,$AW336,SUMIF($B$10:$B$16,"NCAP_TLIFE",$AX$10:$AX$16)),0,""))</f>
        <v/>
      </c>
      <c r="Y336" s="369" t="str">
        <f ca="1">IF($B336&lt;&gt;"PRC_RESID","",IF(Y$7=2016+OFFSET(' COM_2017_old'!$B$60,$AW336,SUMIF($B$10:$B$16,"NCAP_TLIFE",$AX$10:$AX$16)),0,""))</f>
        <v/>
      </c>
      <c r="Z336" s="369" t="str">
        <f ca="1">IF($B336&lt;&gt;"PRC_RESID","",IF(Z$7=2016+OFFSET(' COM_2017_old'!$B$60,$AW336,SUMIF($B$10:$B$16,"NCAP_TLIFE",$AX$10:$AX$16)),0,""))</f>
        <v/>
      </c>
      <c r="AA336" s="369" t="str">
        <f ca="1">IF($B336&lt;&gt;"PRC_RESID","",IF(AA$7=2016+OFFSET(' COM_2017_old'!$B$60,$AW336,SUMIF($B$10:$B$16,"NCAP_TLIFE",$AX$10:$AX$16)),0,""))</f>
        <v/>
      </c>
      <c r="AB336" s="369" t="str">
        <f ca="1">IF($B336&lt;&gt;"PRC_RESID","",IF(AB$7=2016+OFFSET(' COM_2017_old'!$B$60,$AW336,SUMIF($B$10:$B$16,"NCAP_TLIFE",$AX$10:$AX$16)),0,""))</f>
        <v/>
      </c>
      <c r="AC336" s="369">
        <f ca="1">IF($B336&lt;&gt;"PRC_RESID","",IF(AC$7=2016+OFFSET(' COM_2017_old'!$B$60,$AW336,SUMIF($B$10:$B$16,"NCAP_TLIFE",$AX$10:$AX$16)),0,""))</f>
        <v>0</v>
      </c>
      <c r="AD336" s="369" t="str">
        <f ca="1">IF($B336&lt;&gt;"PRC_RESID","",IF(AD$7=2016+OFFSET(' COM_2017_old'!$B$60,$AW336,SUMIF($B$10:$B$16,"NCAP_TLIFE",$AX$10:$AX$16)),0,""))</f>
        <v/>
      </c>
      <c r="AE336" s="369" t="str">
        <f ca="1">IF($B336&lt;&gt;"PRC_RESID","",IF(AE$7=2005+OFFSET(COM_2012!$B$60,$AW336,SUMIF($B$10:$B$16,"NCAP_TLIFE",$AX$10:$AX$16)),0,""))</f>
        <v/>
      </c>
      <c r="AF336" s="369" t="str">
        <f ca="1">IF($B336&lt;&gt;"PRC_RESID","",IF(AF$7=2005+OFFSET(COM_2012!$B$60,$AW336,SUMIF($B$10:$B$16,"NCAP_TLIFE",$AX$10:$AX$16)),0,""))</f>
        <v/>
      </c>
      <c r="AG336" s="369" t="str">
        <f ca="1">IF($B336&lt;&gt;"PRC_RESID","",IF(AG$7=2005+OFFSET(COM_2012!$B$60,$AW336,SUMIF($B$10:$B$16,"NCAP_TLIFE",$AX$10:$AX$16)),0,""))</f>
        <v/>
      </c>
      <c r="AH336" s="369" t="str">
        <f ca="1">IF($B336&lt;&gt;"PRC_RESID","",IF(AH$7=2005+OFFSET(COM_2012!$B$60,$AW336,SUMIF($B$10:$B$16,"NCAP_TLIFE",$AX$10:$AX$16)),0,""))</f>
        <v/>
      </c>
      <c r="AI336" s="369" t="str">
        <f ca="1">IF($B336&lt;&gt;"PRC_RESID","",IF(AI$7=2005+OFFSET(COM_2012!$B$60,$AW336,SUMIF($B$10:$B$16,"NCAP_TLIFE",$AX$10:$AX$16)),0,""))</f>
        <v/>
      </c>
      <c r="AJ336" s="369" t="str">
        <f ca="1">IF($B336&lt;&gt;"PRC_RESID","",IF(AJ$7=2005+OFFSET(COM_2012!$B$60,$AW336,SUMIF($B$10:$B$16,"NCAP_TLIFE",$AX$10:$AX$16)),0,""))</f>
        <v/>
      </c>
      <c r="AK336" s="369" t="str">
        <f ca="1">IF($B336&lt;&gt;"PRC_RESID","",IF(AK$7=2005+OFFSET(COM_2012!$B$60,$AW336,SUMIF($B$10:$B$16,"NCAP_TLIFE",$AX$10:$AX$16)),0,""))</f>
        <v/>
      </c>
      <c r="AL336" s="369" t="str">
        <f ca="1">IF($B336&lt;&gt;"PRC_RESID","",IF(AL$7=2005+OFFSET(COM_2012!$B$60,$AW336,SUMIF($B$10:$B$16,"NCAP_TLIFE",$AX$10:$AX$16)),0,""))</f>
        <v/>
      </c>
      <c r="AM336" s="369" t="str">
        <f ca="1">IF($B336&lt;&gt;"PRC_RESID","",IF(AM$7=2005+OFFSET(COM_2012!$B$60,$AW336,SUMIF($B$10:$B$16,"NCAP_TLIFE",$AX$10:$AX$16)),0,""))</f>
        <v/>
      </c>
      <c r="AN336" s="369" t="str">
        <f ca="1">IF($B336&lt;&gt;"PRC_RESID","",IF(AN$7=2005+OFFSET(COM_2012!$B$60,$AW336,SUMIF($B$10:$B$16,"NCAP_TLIFE",$AX$10:$AX$16)),0,""))</f>
        <v/>
      </c>
      <c r="AO336" s="369" t="str">
        <f ca="1">IF($B336&lt;&gt;"PRC_RESID","",IF(AO$7=2005+OFFSET(COM_2012!$B$60,$AW336,SUMIF($B$10:$B$16,"NCAP_TLIFE",$AX$10:$AX$16)),0,""))</f>
        <v/>
      </c>
      <c r="AP336" s="369" t="str">
        <f ca="1">IF($B336&lt;&gt;"PRC_RESID","",IF(AP$7=2005+OFFSET(COM_2012!$B$60,$AW336,SUMIF($B$10:$B$16,"NCAP_TLIFE",$AX$10:$AX$16)),0,""))</f>
        <v/>
      </c>
      <c r="AQ336" s="369" t="str">
        <f ca="1">IF($B336&lt;&gt;"PRC_RESID","",IF(AQ$7=2005+OFFSET(COM_2012!$B$60,$AW336,SUMIF($B$10:$B$16,"NCAP_TLIFE",$AX$10:$AX$16)),0,""))</f>
        <v/>
      </c>
      <c r="AR336" s="369" t="str">
        <f ca="1">IF($B336&lt;&gt;"PRC_RESID","",IF(AR$7=2005+OFFSET(COM_2012!$B$60,$AW336,SUMIF($B$10:$B$16,"NCAP_TLIFE",$AX$10:$AX$16)),0,""))</f>
        <v/>
      </c>
      <c r="AS336" s="369" t="str">
        <f ca="1">IF($B336&lt;&gt;"PRC_RESID","",IF(AS$7=2005+OFFSET(COM_2012!$B$60,$AW336,SUMIF($B$10:$B$16,"NCAP_TLIFE",$AX$10:$AX$16)),0,""))</f>
        <v/>
      </c>
      <c r="AT336" s="369" t="str">
        <f ca="1">IF($B336&lt;&gt;"PRC_RESID","",IF(AT$7=2005+OFFSET(COM_2012!$B$60,$AW336,SUMIF($B$10:$B$16,"NCAP_TLIFE",$AX$10:$AX$16)),0,""))</f>
        <v/>
      </c>
      <c r="AU336" s="369" t="str">
        <f ca="1">IF($B336&lt;&gt;"PRC_RESID","",IF(AU$7=2005+OFFSET(COM_2012!$B$60,$AW336,SUMIF($B$10:$B$16,"NCAP_TLIFE",$AX$10:$AX$16)),0,""))</f>
        <v/>
      </c>
      <c r="AV336" s="304">
        <f>IF(AW335=COM_2012!$AI$121,AV335+1,AV335)</f>
        <v>6</v>
      </c>
      <c r="AW336" s="304">
        <f t="shared" si="33"/>
        <v>4</v>
      </c>
    </row>
    <row r="337" spans="1:49">
      <c r="A337" s="304" t="str">
        <f ca="1">IF(LEFT(OFFSET(COM_2012!$A$60,AW337,0),2)="\I","*","")</f>
        <v/>
      </c>
      <c r="B337" s="369" t="str">
        <f t="shared" ca="1" si="27"/>
        <v>PRC_RESID</v>
      </c>
      <c r="C337" s="369" t="str">
        <f ca="1">IF($A337="*","",OFFSET(COM_2012!$B$60,AW337,0))</f>
        <v>CECELCCEN-N</v>
      </c>
      <c r="D337" s="369" t="str">
        <f t="shared" ca="1" si="34"/>
        <v>-</v>
      </c>
      <c r="E337" s="369" t="str">
        <f t="shared" ca="1" si="34"/>
        <v>-</v>
      </c>
      <c r="F337" s="369" t="str">
        <f t="shared" ca="1" si="34"/>
        <v>-</v>
      </c>
      <c r="G337" s="369" t="str">
        <f t="shared" ca="1" si="34"/>
        <v>-</v>
      </c>
      <c r="H337" s="369" t="str">
        <f t="shared" ca="1" si="34"/>
        <v>-</v>
      </c>
      <c r="I337" s="370">
        <f t="shared" ca="1" si="34"/>
        <v>0</v>
      </c>
      <c r="J337" s="391">
        <f ca="1">IF($A337="*","",OFFSET(COM_2012!$B$60,AW337,SUMIF($B$10:$B$16,B337,$AX$10:$AX$16)))</f>
        <v>0</v>
      </c>
      <c r="K337" s="369" t="str">
        <f ca="1">IF($B337&lt;&gt;"PRC_RESID","",IF(K$7=2005+OFFSET(COM_2012!$B$60,$AW337,SUMIF($B$10:$B$16,"NCAP_TLIFE",$AX$10:$AX$16)),0,""))</f>
        <v/>
      </c>
      <c r="L337" s="369" t="str">
        <f ca="1">IF($B337&lt;&gt;"PRC_RESID","",IF(L$7=2005+OFFSET(COM_2012!$B$60,$AW337,SUMIF($B$10:$B$16,"NCAP_TLIFE",$AX$10:$AX$16)),0,""))</f>
        <v/>
      </c>
      <c r="M337" s="369" t="str">
        <f ca="1">IF($B337&lt;&gt;"PRC_RESID","",IF(M$7=2005+OFFSET(COM_2012!$B$60,$AW337,SUMIF($B$10:$B$16,"NCAP_TLIFE",$AX$10:$AX$16)),0,""))</f>
        <v/>
      </c>
      <c r="N337" s="369" t="str">
        <f ca="1">IF($B337&lt;&gt;"PRC_RESID","",IF(N$7=2005+OFFSET(COM_2012!$B$60,$AW337,SUMIF($B$10:$B$16,"NCAP_TLIFE",$AX$10:$AX$16)),0,""))</f>
        <v/>
      </c>
      <c r="O337" s="391">
        <f ca="1">IF($A337="*","",OFFSET(' COM_2017_old'!$B$60,AW337,SUMIF($B$10:$B$16,B337,$AX$10:$AX$16)))</f>
        <v>0</v>
      </c>
      <c r="P337" s="369" t="str">
        <f ca="1">IF($B337&lt;&gt;"PRC_RESID","",IF(P$7=2005+OFFSET(COM_2012!$B$60,$AW337,SUMIF($B$10:$B$16,"NCAP_TLIFE",$AX$10:$AX$16)),0,""))</f>
        <v/>
      </c>
      <c r="Q337" s="369"/>
      <c r="R337" s="369" t="str">
        <f ca="1">IF($B337&lt;&gt;"PRC_RESID","",IF(R$7=2016+OFFSET(' COM_2017_old'!$B$60,$AW337,SUMIF($B$10:$B$16,"NCAP_TLIFE",$AX$10:$AX$16)),0,""))</f>
        <v/>
      </c>
      <c r="S337" s="369" t="str">
        <f ca="1">IF($B337&lt;&gt;"PRC_RESID","",IF(S$7=2016+OFFSET(' COM_2017_old'!$B$60,$AW337,SUMIF($B$10:$B$16,"NCAP_TLIFE",$AX$10:$AX$16)),0,""))</f>
        <v/>
      </c>
      <c r="T337" s="369" t="str">
        <f ca="1">IF($B337&lt;&gt;"PRC_RESID","",IF(T$7=2016+OFFSET(' COM_2017_old'!$B$60,$AW337,SUMIF($B$10:$B$16,"NCAP_TLIFE",$AX$10:$AX$16)),0,""))</f>
        <v/>
      </c>
      <c r="U337" s="369" t="str">
        <f ca="1">IF($B337&lt;&gt;"PRC_RESID","",IF(U$7=2016+OFFSET(' COM_2017_old'!$B$60,$AW337,SUMIF($B$10:$B$16,"NCAP_TLIFE",$AX$10:$AX$16)),0,""))</f>
        <v/>
      </c>
      <c r="V337" s="369" t="str">
        <f ca="1">IF($B337&lt;&gt;"PRC_RESID","",IF(V$7=2016+OFFSET(' COM_2017_old'!$B$60,$AW337,SUMIF($B$10:$B$16,"NCAP_TLIFE",$AX$10:$AX$16)),0,""))</f>
        <v/>
      </c>
      <c r="W337" s="369" t="str">
        <f ca="1">IF($B337&lt;&gt;"PRC_RESID","",IF(W$7=2016+OFFSET(' COM_2017_old'!$B$60,$AW337,SUMIF($B$10:$B$16,"NCAP_TLIFE",$AX$10:$AX$16)),0,""))</f>
        <v/>
      </c>
      <c r="X337" s="369" t="str">
        <f ca="1">IF($B337&lt;&gt;"PRC_RESID","",IF(X$7=2016+OFFSET(' COM_2017_old'!$B$60,$AW337,SUMIF($B$10:$B$16,"NCAP_TLIFE",$AX$10:$AX$16)),0,""))</f>
        <v/>
      </c>
      <c r="Y337" s="369" t="str">
        <f ca="1">IF($B337&lt;&gt;"PRC_RESID","",IF(Y$7=2016+OFFSET(' COM_2017_old'!$B$60,$AW337,SUMIF($B$10:$B$16,"NCAP_TLIFE",$AX$10:$AX$16)),0,""))</f>
        <v/>
      </c>
      <c r="Z337" s="369" t="str">
        <f ca="1">IF($B337&lt;&gt;"PRC_RESID","",IF(Z$7=2016+OFFSET(' COM_2017_old'!$B$60,$AW337,SUMIF($B$10:$B$16,"NCAP_TLIFE",$AX$10:$AX$16)),0,""))</f>
        <v/>
      </c>
      <c r="AA337" s="369" t="str">
        <f ca="1">IF($B337&lt;&gt;"PRC_RESID","",IF(AA$7=2016+OFFSET(' COM_2017_old'!$B$60,$AW337,SUMIF($B$10:$B$16,"NCAP_TLIFE",$AX$10:$AX$16)),0,""))</f>
        <v/>
      </c>
      <c r="AB337" s="369" t="str">
        <f ca="1">IF($B337&lt;&gt;"PRC_RESID","",IF(AB$7=2016+OFFSET(' COM_2017_old'!$B$60,$AW337,SUMIF($B$10:$B$16,"NCAP_TLIFE",$AX$10:$AX$16)),0,""))</f>
        <v/>
      </c>
      <c r="AC337" s="369">
        <f ca="1">IF($B337&lt;&gt;"PRC_RESID","",IF(AC$7=2016+OFFSET(' COM_2017_old'!$B$60,$AW337,SUMIF($B$10:$B$16,"NCAP_TLIFE",$AX$10:$AX$16)),0,""))</f>
        <v>0</v>
      </c>
      <c r="AD337" s="369" t="str">
        <f ca="1">IF($B337&lt;&gt;"PRC_RESID","",IF(AD$7=2016+OFFSET(' COM_2017_old'!$B$60,$AW337,SUMIF($B$10:$B$16,"NCAP_TLIFE",$AX$10:$AX$16)),0,""))</f>
        <v/>
      </c>
      <c r="AE337" s="369" t="str">
        <f ca="1">IF($B337&lt;&gt;"PRC_RESID","",IF(AE$7=2005+OFFSET(COM_2012!$B$60,$AW337,SUMIF($B$10:$B$16,"NCAP_TLIFE",$AX$10:$AX$16)),0,""))</f>
        <v/>
      </c>
      <c r="AF337" s="369" t="str">
        <f ca="1">IF($B337&lt;&gt;"PRC_RESID","",IF(AF$7=2005+OFFSET(COM_2012!$B$60,$AW337,SUMIF($B$10:$B$16,"NCAP_TLIFE",$AX$10:$AX$16)),0,""))</f>
        <v/>
      </c>
      <c r="AG337" s="369" t="str">
        <f ca="1">IF($B337&lt;&gt;"PRC_RESID","",IF(AG$7=2005+OFFSET(COM_2012!$B$60,$AW337,SUMIF($B$10:$B$16,"NCAP_TLIFE",$AX$10:$AX$16)),0,""))</f>
        <v/>
      </c>
      <c r="AH337" s="369" t="str">
        <f ca="1">IF($B337&lt;&gt;"PRC_RESID","",IF(AH$7=2005+OFFSET(COM_2012!$B$60,$AW337,SUMIF($B$10:$B$16,"NCAP_TLIFE",$AX$10:$AX$16)),0,""))</f>
        <v/>
      </c>
      <c r="AI337" s="369" t="str">
        <f ca="1">IF($B337&lt;&gt;"PRC_RESID","",IF(AI$7=2005+OFFSET(COM_2012!$B$60,$AW337,SUMIF($B$10:$B$16,"NCAP_TLIFE",$AX$10:$AX$16)),0,""))</f>
        <v/>
      </c>
      <c r="AJ337" s="369" t="str">
        <f ca="1">IF($B337&lt;&gt;"PRC_RESID","",IF(AJ$7=2005+OFFSET(COM_2012!$B$60,$AW337,SUMIF($B$10:$B$16,"NCAP_TLIFE",$AX$10:$AX$16)),0,""))</f>
        <v/>
      </c>
      <c r="AK337" s="369" t="str">
        <f ca="1">IF($B337&lt;&gt;"PRC_RESID","",IF(AK$7=2005+OFFSET(COM_2012!$B$60,$AW337,SUMIF($B$10:$B$16,"NCAP_TLIFE",$AX$10:$AX$16)),0,""))</f>
        <v/>
      </c>
      <c r="AL337" s="369" t="str">
        <f ca="1">IF($B337&lt;&gt;"PRC_RESID","",IF(AL$7=2005+OFFSET(COM_2012!$B$60,$AW337,SUMIF($B$10:$B$16,"NCAP_TLIFE",$AX$10:$AX$16)),0,""))</f>
        <v/>
      </c>
      <c r="AM337" s="369" t="str">
        <f ca="1">IF($B337&lt;&gt;"PRC_RESID","",IF(AM$7=2005+OFFSET(COM_2012!$B$60,$AW337,SUMIF($B$10:$B$16,"NCAP_TLIFE",$AX$10:$AX$16)),0,""))</f>
        <v/>
      </c>
      <c r="AN337" s="369" t="str">
        <f ca="1">IF($B337&lt;&gt;"PRC_RESID","",IF(AN$7=2005+OFFSET(COM_2012!$B$60,$AW337,SUMIF($B$10:$B$16,"NCAP_TLIFE",$AX$10:$AX$16)),0,""))</f>
        <v/>
      </c>
      <c r="AO337" s="369" t="str">
        <f ca="1">IF($B337&lt;&gt;"PRC_RESID","",IF(AO$7=2005+OFFSET(COM_2012!$B$60,$AW337,SUMIF($B$10:$B$16,"NCAP_TLIFE",$AX$10:$AX$16)),0,""))</f>
        <v/>
      </c>
      <c r="AP337" s="369" t="str">
        <f ca="1">IF($B337&lt;&gt;"PRC_RESID","",IF(AP$7=2005+OFFSET(COM_2012!$B$60,$AW337,SUMIF($B$10:$B$16,"NCAP_TLIFE",$AX$10:$AX$16)),0,""))</f>
        <v/>
      </c>
      <c r="AQ337" s="369" t="str">
        <f ca="1">IF($B337&lt;&gt;"PRC_RESID","",IF(AQ$7=2005+OFFSET(COM_2012!$B$60,$AW337,SUMIF($B$10:$B$16,"NCAP_TLIFE",$AX$10:$AX$16)),0,""))</f>
        <v/>
      </c>
      <c r="AR337" s="369" t="str">
        <f ca="1">IF($B337&lt;&gt;"PRC_RESID","",IF(AR$7=2005+OFFSET(COM_2012!$B$60,$AW337,SUMIF($B$10:$B$16,"NCAP_TLIFE",$AX$10:$AX$16)),0,""))</f>
        <v/>
      </c>
      <c r="AS337" s="369" t="str">
        <f ca="1">IF($B337&lt;&gt;"PRC_RESID","",IF(AS$7=2005+OFFSET(COM_2012!$B$60,$AW337,SUMIF($B$10:$B$16,"NCAP_TLIFE",$AX$10:$AX$16)),0,""))</f>
        <v/>
      </c>
      <c r="AT337" s="369" t="str">
        <f ca="1">IF($B337&lt;&gt;"PRC_RESID","",IF(AT$7=2005+OFFSET(COM_2012!$B$60,$AW337,SUMIF($B$10:$B$16,"NCAP_TLIFE",$AX$10:$AX$16)),0,""))</f>
        <v/>
      </c>
      <c r="AU337" s="369" t="str">
        <f ca="1">IF($B337&lt;&gt;"PRC_RESID","",IF(AU$7=2005+OFFSET(COM_2012!$B$60,$AW337,SUMIF($B$10:$B$16,"NCAP_TLIFE",$AX$10:$AX$16)),0,""))</f>
        <v/>
      </c>
      <c r="AV337" s="304">
        <f>IF(AW336=COM_2012!$AI$121,AV336+1,AV336)</f>
        <v>6</v>
      </c>
      <c r="AW337" s="304">
        <f t="shared" si="33"/>
        <v>5</v>
      </c>
    </row>
    <row r="338" spans="1:49">
      <c r="A338" s="304" t="str">
        <f ca="1">IF(LEFT(OFFSET(COM_2012!$A$60,AW338,0),2)="\I","*","")</f>
        <v/>
      </c>
      <c r="B338" s="369" t="str">
        <f t="shared" ca="1" si="27"/>
        <v>PRC_RESID</v>
      </c>
      <c r="C338" s="369" t="str">
        <f ca="1">IF($A338="*","",OFFSET(COM_2012!$B$60,AW338,0))</f>
        <v>CECELCHP-N</v>
      </c>
      <c r="D338" s="369" t="str">
        <f t="shared" ca="1" si="34"/>
        <v>-</v>
      </c>
      <c r="E338" s="369" t="str">
        <f t="shared" ca="1" si="34"/>
        <v>-</v>
      </c>
      <c r="F338" s="369" t="str">
        <f t="shared" ca="1" si="34"/>
        <v>-</v>
      </c>
      <c r="G338" s="369" t="str">
        <f t="shared" ca="1" si="34"/>
        <v>-</v>
      </c>
      <c r="H338" s="369" t="str">
        <f t="shared" ca="1" si="34"/>
        <v>-</v>
      </c>
      <c r="I338" s="370">
        <f t="shared" ca="1" si="34"/>
        <v>0</v>
      </c>
      <c r="J338" s="391">
        <f ca="1">IF($A338="*","",OFFSET(COM_2012!$B$60,AW338,SUMIF($B$10:$B$16,B338,$AX$10:$AX$16)))</f>
        <v>0</v>
      </c>
      <c r="K338" s="369" t="str">
        <f ca="1">IF($B338&lt;&gt;"PRC_RESID","",IF(K$7=2005+OFFSET(COM_2012!$B$60,$AW338,SUMIF($B$10:$B$16,"NCAP_TLIFE",$AX$10:$AX$16)),0,""))</f>
        <v/>
      </c>
      <c r="L338" s="369" t="str">
        <f ca="1">IF($B338&lt;&gt;"PRC_RESID","",IF(L$7=2005+OFFSET(COM_2012!$B$60,$AW338,SUMIF($B$10:$B$16,"NCAP_TLIFE",$AX$10:$AX$16)),0,""))</f>
        <v/>
      </c>
      <c r="M338" s="369" t="str">
        <f ca="1">IF($B338&lt;&gt;"PRC_RESID","",IF(M$7=2005+OFFSET(COM_2012!$B$60,$AW338,SUMIF($B$10:$B$16,"NCAP_TLIFE",$AX$10:$AX$16)),0,""))</f>
        <v/>
      </c>
      <c r="N338" s="369" t="str">
        <f ca="1">IF($B338&lt;&gt;"PRC_RESID","",IF(N$7=2005+OFFSET(COM_2012!$B$60,$AW338,SUMIF($B$10:$B$16,"NCAP_TLIFE",$AX$10:$AX$16)),0,""))</f>
        <v/>
      </c>
      <c r="O338" s="391">
        <f ca="1">IF($A338="*","",OFFSET(' COM_2017_old'!$B$60,AW338,SUMIF($B$10:$B$16,B338,$AX$10:$AX$16)))</f>
        <v>0</v>
      </c>
      <c r="P338" s="369" t="str">
        <f ca="1">IF($B338&lt;&gt;"PRC_RESID","",IF(P$7=2005+OFFSET(COM_2012!$B$60,$AW338,SUMIF($B$10:$B$16,"NCAP_TLIFE",$AX$10:$AX$16)),0,""))</f>
        <v/>
      </c>
      <c r="Q338" s="369"/>
      <c r="R338" s="369" t="str">
        <f ca="1">IF($B338&lt;&gt;"PRC_RESID","",IF(R$7=2016+OFFSET(' COM_2017_old'!$B$60,$AW338,SUMIF($B$10:$B$16,"NCAP_TLIFE",$AX$10:$AX$16)),0,""))</f>
        <v/>
      </c>
      <c r="S338" s="369" t="str">
        <f ca="1">IF($B338&lt;&gt;"PRC_RESID","",IF(S$7=2016+OFFSET(' COM_2017_old'!$B$60,$AW338,SUMIF($B$10:$B$16,"NCAP_TLIFE",$AX$10:$AX$16)),0,""))</f>
        <v/>
      </c>
      <c r="T338" s="369" t="str">
        <f ca="1">IF($B338&lt;&gt;"PRC_RESID","",IF(T$7=2016+OFFSET(' COM_2017_old'!$B$60,$AW338,SUMIF($B$10:$B$16,"NCAP_TLIFE",$AX$10:$AX$16)),0,""))</f>
        <v/>
      </c>
      <c r="U338" s="369" t="str">
        <f ca="1">IF($B338&lt;&gt;"PRC_RESID","",IF(U$7=2016+OFFSET(' COM_2017_old'!$B$60,$AW338,SUMIF($B$10:$B$16,"NCAP_TLIFE",$AX$10:$AX$16)),0,""))</f>
        <v/>
      </c>
      <c r="V338" s="369" t="str">
        <f ca="1">IF($B338&lt;&gt;"PRC_RESID","",IF(V$7=2016+OFFSET(' COM_2017_old'!$B$60,$AW338,SUMIF($B$10:$B$16,"NCAP_TLIFE",$AX$10:$AX$16)),0,""))</f>
        <v/>
      </c>
      <c r="W338" s="369" t="str">
        <f ca="1">IF($B338&lt;&gt;"PRC_RESID","",IF(W$7=2016+OFFSET(' COM_2017_old'!$B$60,$AW338,SUMIF($B$10:$B$16,"NCAP_TLIFE",$AX$10:$AX$16)),0,""))</f>
        <v/>
      </c>
      <c r="X338" s="369" t="str">
        <f ca="1">IF($B338&lt;&gt;"PRC_RESID","",IF(X$7=2016+OFFSET(' COM_2017_old'!$B$60,$AW338,SUMIF($B$10:$B$16,"NCAP_TLIFE",$AX$10:$AX$16)),0,""))</f>
        <v/>
      </c>
      <c r="Y338" s="369" t="str">
        <f ca="1">IF($B338&lt;&gt;"PRC_RESID","",IF(Y$7=2016+OFFSET(' COM_2017_old'!$B$60,$AW338,SUMIF($B$10:$B$16,"NCAP_TLIFE",$AX$10:$AX$16)),0,""))</f>
        <v/>
      </c>
      <c r="Z338" s="369" t="str">
        <f ca="1">IF($B338&lt;&gt;"PRC_RESID","",IF(Z$7=2016+OFFSET(' COM_2017_old'!$B$60,$AW338,SUMIF($B$10:$B$16,"NCAP_TLIFE",$AX$10:$AX$16)),0,""))</f>
        <v/>
      </c>
      <c r="AA338" s="369" t="str">
        <f ca="1">IF($B338&lt;&gt;"PRC_RESID","",IF(AA$7=2016+OFFSET(' COM_2017_old'!$B$60,$AW338,SUMIF($B$10:$B$16,"NCAP_TLIFE",$AX$10:$AX$16)),0,""))</f>
        <v/>
      </c>
      <c r="AB338" s="369" t="str">
        <f ca="1">IF($B338&lt;&gt;"PRC_RESID","",IF(AB$7=2016+OFFSET(' COM_2017_old'!$B$60,$AW338,SUMIF($B$10:$B$16,"NCAP_TLIFE",$AX$10:$AX$16)),0,""))</f>
        <v/>
      </c>
      <c r="AC338" s="369">
        <f ca="1">IF($B338&lt;&gt;"PRC_RESID","",IF(AC$7=2016+OFFSET(' COM_2017_old'!$B$60,$AW338,SUMIF($B$10:$B$16,"NCAP_TLIFE",$AX$10:$AX$16)),0,""))</f>
        <v>0</v>
      </c>
      <c r="AD338" s="369" t="str">
        <f ca="1">IF($B338&lt;&gt;"PRC_RESID","",IF(AD$7=2016+OFFSET(' COM_2017_old'!$B$60,$AW338,SUMIF($B$10:$B$16,"NCAP_TLIFE",$AX$10:$AX$16)),0,""))</f>
        <v/>
      </c>
      <c r="AE338" s="369" t="str">
        <f ca="1">IF($B338&lt;&gt;"PRC_RESID","",IF(AE$7=2005+OFFSET(COM_2012!$B$60,$AW338,SUMIF($B$10:$B$16,"NCAP_TLIFE",$AX$10:$AX$16)),0,""))</f>
        <v/>
      </c>
      <c r="AF338" s="369" t="str">
        <f ca="1">IF($B338&lt;&gt;"PRC_RESID","",IF(AF$7=2005+OFFSET(COM_2012!$B$60,$AW338,SUMIF($B$10:$B$16,"NCAP_TLIFE",$AX$10:$AX$16)),0,""))</f>
        <v/>
      </c>
      <c r="AG338" s="369" t="str">
        <f ca="1">IF($B338&lt;&gt;"PRC_RESID","",IF(AG$7=2005+OFFSET(COM_2012!$B$60,$AW338,SUMIF($B$10:$B$16,"NCAP_TLIFE",$AX$10:$AX$16)),0,""))</f>
        <v/>
      </c>
      <c r="AH338" s="369" t="str">
        <f ca="1">IF($B338&lt;&gt;"PRC_RESID","",IF(AH$7=2005+OFFSET(COM_2012!$B$60,$AW338,SUMIF($B$10:$B$16,"NCAP_TLIFE",$AX$10:$AX$16)),0,""))</f>
        <v/>
      </c>
      <c r="AI338" s="369" t="str">
        <f ca="1">IF($B338&lt;&gt;"PRC_RESID","",IF(AI$7=2005+OFFSET(COM_2012!$B$60,$AW338,SUMIF($B$10:$B$16,"NCAP_TLIFE",$AX$10:$AX$16)),0,""))</f>
        <v/>
      </c>
      <c r="AJ338" s="369" t="str">
        <f ca="1">IF($B338&lt;&gt;"PRC_RESID","",IF(AJ$7=2005+OFFSET(COM_2012!$B$60,$AW338,SUMIF($B$10:$B$16,"NCAP_TLIFE",$AX$10:$AX$16)),0,""))</f>
        <v/>
      </c>
      <c r="AK338" s="369" t="str">
        <f ca="1">IF($B338&lt;&gt;"PRC_RESID","",IF(AK$7=2005+OFFSET(COM_2012!$B$60,$AW338,SUMIF($B$10:$B$16,"NCAP_TLIFE",$AX$10:$AX$16)),0,""))</f>
        <v/>
      </c>
      <c r="AL338" s="369" t="str">
        <f ca="1">IF($B338&lt;&gt;"PRC_RESID","",IF(AL$7=2005+OFFSET(COM_2012!$B$60,$AW338,SUMIF($B$10:$B$16,"NCAP_TLIFE",$AX$10:$AX$16)),0,""))</f>
        <v/>
      </c>
      <c r="AM338" s="369" t="str">
        <f ca="1">IF($B338&lt;&gt;"PRC_RESID","",IF(AM$7=2005+OFFSET(COM_2012!$B$60,$AW338,SUMIF($B$10:$B$16,"NCAP_TLIFE",$AX$10:$AX$16)),0,""))</f>
        <v/>
      </c>
      <c r="AN338" s="369" t="str">
        <f ca="1">IF($B338&lt;&gt;"PRC_RESID","",IF(AN$7=2005+OFFSET(COM_2012!$B$60,$AW338,SUMIF($B$10:$B$16,"NCAP_TLIFE",$AX$10:$AX$16)),0,""))</f>
        <v/>
      </c>
      <c r="AO338" s="369" t="str">
        <f ca="1">IF($B338&lt;&gt;"PRC_RESID","",IF(AO$7=2005+OFFSET(COM_2012!$B$60,$AW338,SUMIF($B$10:$B$16,"NCAP_TLIFE",$AX$10:$AX$16)),0,""))</f>
        <v/>
      </c>
      <c r="AP338" s="369" t="str">
        <f ca="1">IF($B338&lt;&gt;"PRC_RESID","",IF(AP$7=2005+OFFSET(COM_2012!$B$60,$AW338,SUMIF($B$10:$B$16,"NCAP_TLIFE",$AX$10:$AX$16)),0,""))</f>
        <v/>
      </c>
      <c r="AQ338" s="369" t="str">
        <f ca="1">IF($B338&lt;&gt;"PRC_RESID","",IF(AQ$7=2005+OFFSET(COM_2012!$B$60,$AW338,SUMIF($B$10:$B$16,"NCAP_TLIFE",$AX$10:$AX$16)),0,""))</f>
        <v/>
      </c>
      <c r="AR338" s="369" t="str">
        <f ca="1">IF($B338&lt;&gt;"PRC_RESID","",IF(AR$7=2005+OFFSET(COM_2012!$B$60,$AW338,SUMIF($B$10:$B$16,"NCAP_TLIFE",$AX$10:$AX$16)),0,""))</f>
        <v/>
      </c>
      <c r="AS338" s="369" t="str">
        <f ca="1">IF($B338&lt;&gt;"PRC_RESID","",IF(AS$7=2005+OFFSET(COM_2012!$B$60,$AW338,SUMIF($B$10:$B$16,"NCAP_TLIFE",$AX$10:$AX$16)),0,""))</f>
        <v/>
      </c>
      <c r="AT338" s="369" t="str">
        <f ca="1">IF($B338&lt;&gt;"PRC_RESID","",IF(AT$7=2005+OFFSET(COM_2012!$B$60,$AW338,SUMIF($B$10:$B$16,"NCAP_TLIFE",$AX$10:$AX$16)),0,""))</f>
        <v/>
      </c>
      <c r="AU338" s="369" t="str">
        <f ca="1">IF($B338&lt;&gt;"PRC_RESID","",IF(AU$7=2005+OFFSET(COM_2012!$B$60,$AW338,SUMIF($B$10:$B$16,"NCAP_TLIFE",$AX$10:$AX$16)),0,""))</f>
        <v/>
      </c>
      <c r="AV338" s="304">
        <f>IF(AW337=COM_2012!$AI$121,AV337+1,AV337)</f>
        <v>6</v>
      </c>
      <c r="AW338" s="304">
        <f t="shared" si="33"/>
        <v>6</v>
      </c>
    </row>
    <row r="339" spans="1:49">
      <c r="A339" s="304" t="str">
        <f ca="1">IF(LEFT(OFFSET(COM_2012!$A$60,AW339,0),2)="\I","*","")</f>
        <v>*</v>
      </c>
      <c r="B339" s="369" t="str">
        <f t="shared" ca="1" si="27"/>
        <v/>
      </c>
      <c r="C339" s="369" t="str">
        <f ca="1">IF($A339="*","",OFFSET(COM_2012!$B$60,AW339,0))</f>
        <v/>
      </c>
      <c r="D339" s="369" t="str">
        <f t="shared" ca="1" si="34"/>
        <v/>
      </c>
      <c r="E339" s="369" t="str">
        <f t="shared" ca="1" si="34"/>
        <v/>
      </c>
      <c r="F339" s="369" t="str">
        <f t="shared" ca="1" si="34"/>
        <v/>
      </c>
      <c r="G339" s="369" t="str">
        <f t="shared" ca="1" si="34"/>
        <v/>
      </c>
      <c r="H339" s="369" t="str">
        <f t="shared" ca="1" si="34"/>
        <v/>
      </c>
      <c r="I339" s="370" t="str">
        <f t="shared" ca="1" si="34"/>
        <v/>
      </c>
      <c r="J339" s="391" t="str">
        <f ca="1">IF($A339="*","",OFFSET(COM_2012!$B$60,AW339,SUMIF($B$10:$B$16,B339,$AX$10:$AX$16)))</f>
        <v/>
      </c>
      <c r="K339" s="369" t="str">
        <f ca="1">IF($B339&lt;&gt;"PRC_RESID","",IF(K$7=2005+OFFSET(COM_2012!$B$60,$AW339,SUMIF($B$10:$B$16,"NCAP_TLIFE",$AX$10:$AX$16)),0,""))</f>
        <v/>
      </c>
      <c r="L339" s="369" t="str">
        <f ca="1">IF($B339&lt;&gt;"PRC_RESID","",IF(L$7=2005+OFFSET(COM_2012!$B$60,$AW339,SUMIF($B$10:$B$16,"NCAP_TLIFE",$AX$10:$AX$16)),0,""))</f>
        <v/>
      </c>
      <c r="M339" s="369" t="str">
        <f ca="1">IF($B339&lt;&gt;"PRC_RESID","",IF(M$7=2005+OFFSET(COM_2012!$B$60,$AW339,SUMIF($B$10:$B$16,"NCAP_TLIFE",$AX$10:$AX$16)),0,""))</f>
        <v/>
      </c>
      <c r="N339" s="369" t="str">
        <f ca="1">IF($B339&lt;&gt;"PRC_RESID","",IF(N$7=2005+OFFSET(COM_2012!$B$60,$AW339,SUMIF($B$10:$B$16,"NCAP_TLIFE",$AX$10:$AX$16)),0,""))</f>
        <v/>
      </c>
      <c r="O339" s="391" t="str">
        <f ca="1">IF($A339="*","",OFFSET(' COM_2017_old'!$B$60,AW339,SUMIF($B$10:$B$16,B339,$AX$10:$AX$16)))</f>
        <v/>
      </c>
      <c r="P339" s="369" t="str">
        <f ca="1">IF($B339&lt;&gt;"PRC_RESID","",IF(P$7=2005+OFFSET(COM_2012!$B$60,$AW339,SUMIF($B$10:$B$16,"NCAP_TLIFE",$AX$10:$AX$16)),0,""))</f>
        <v/>
      </c>
      <c r="Q339" s="369"/>
      <c r="R339" s="369" t="str">
        <f ca="1">IF($B339&lt;&gt;"PRC_RESID","",IF(R$7=2016+OFFSET(' COM_2017_old'!$B$60,$AW339,SUMIF($B$10:$B$16,"NCAP_TLIFE",$AX$10:$AX$16)),0,""))</f>
        <v/>
      </c>
      <c r="S339" s="369" t="str">
        <f ca="1">IF($B339&lt;&gt;"PRC_RESID","",IF(S$7=2016+OFFSET(' COM_2017_old'!$B$60,$AW339,SUMIF($B$10:$B$16,"NCAP_TLIFE",$AX$10:$AX$16)),0,""))</f>
        <v/>
      </c>
      <c r="T339" s="369" t="str">
        <f ca="1">IF($B339&lt;&gt;"PRC_RESID","",IF(T$7=2016+OFFSET(' COM_2017_old'!$B$60,$AW339,SUMIF($B$10:$B$16,"NCAP_TLIFE",$AX$10:$AX$16)),0,""))</f>
        <v/>
      </c>
      <c r="U339" s="369" t="str">
        <f ca="1">IF($B339&lt;&gt;"PRC_RESID","",IF(U$7=2016+OFFSET(' COM_2017_old'!$B$60,$AW339,SUMIF($B$10:$B$16,"NCAP_TLIFE",$AX$10:$AX$16)),0,""))</f>
        <v/>
      </c>
      <c r="V339" s="369" t="str">
        <f ca="1">IF($B339&lt;&gt;"PRC_RESID","",IF(V$7=2016+OFFSET(' COM_2017_old'!$B$60,$AW339,SUMIF($B$10:$B$16,"NCAP_TLIFE",$AX$10:$AX$16)),0,""))</f>
        <v/>
      </c>
      <c r="W339" s="369" t="str">
        <f ca="1">IF($B339&lt;&gt;"PRC_RESID","",IF(W$7=2016+OFFSET(' COM_2017_old'!$B$60,$AW339,SUMIF($B$10:$B$16,"NCAP_TLIFE",$AX$10:$AX$16)),0,""))</f>
        <v/>
      </c>
      <c r="X339" s="369" t="str">
        <f ca="1">IF($B339&lt;&gt;"PRC_RESID","",IF(X$7=2016+OFFSET(' COM_2017_old'!$B$60,$AW339,SUMIF($B$10:$B$16,"NCAP_TLIFE",$AX$10:$AX$16)),0,""))</f>
        <v/>
      </c>
      <c r="Y339" s="369" t="str">
        <f ca="1">IF($B339&lt;&gt;"PRC_RESID","",IF(Y$7=2016+OFFSET(' COM_2017_old'!$B$60,$AW339,SUMIF($B$10:$B$16,"NCAP_TLIFE",$AX$10:$AX$16)),0,""))</f>
        <v/>
      </c>
      <c r="Z339" s="369" t="str">
        <f ca="1">IF($B339&lt;&gt;"PRC_RESID","",IF(Z$7=2016+OFFSET(' COM_2017_old'!$B$60,$AW339,SUMIF($B$10:$B$16,"NCAP_TLIFE",$AX$10:$AX$16)),0,""))</f>
        <v/>
      </c>
      <c r="AA339" s="369" t="str">
        <f ca="1">IF($B339&lt;&gt;"PRC_RESID","",IF(AA$7=2016+OFFSET(' COM_2017_old'!$B$60,$AW339,SUMIF($B$10:$B$16,"NCAP_TLIFE",$AX$10:$AX$16)),0,""))</f>
        <v/>
      </c>
      <c r="AB339" s="369" t="str">
        <f ca="1">IF($B339&lt;&gt;"PRC_RESID","",IF(AB$7=2016+OFFSET(' COM_2017_old'!$B$60,$AW339,SUMIF($B$10:$B$16,"NCAP_TLIFE",$AX$10:$AX$16)),0,""))</f>
        <v/>
      </c>
      <c r="AC339" s="369" t="str">
        <f ca="1">IF($B339&lt;&gt;"PRC_RESID","",IF(AC$7=2016+OFFSET(' COM_2017_old'!$B$60,$AW339,SUMIF($B$10:$B$16,"NCAP_TLIFE",$AX$10:$AX$16)),0,""))</f>
        <v/>
      </c>
      <c r="AD339" s="369" t="str">
        <f ca="1">IF($B339&lt;&gt;"PRC_RESID","",IF(AD$7=2016+OFFSET(' COM_2017_old'!$B$60,$AW339,SUMIF($B$10:$B$16,"NCAP_TLIFE",$AX$10:$AX$16)),0,""))</f>
        <v/>
      </c>
      <c r="AE339" s="369" t="str">
        <f ca="1">IF($B339&lt;&gt;"PRC_RESID","",IF(AE$7=2005+OFFSET(COM_2012!$B$60,$AW339,SUMIF($B$10:$B$16,"NCAP_TLIFE",$AX$10:$AX$16)),0,""))</f>
        <v/>
      </c>
      <c r="AF339" s="369" t="str">
        <f ca="1">IF($B339&lt;&gt;"PRC_RESID","",IF(AF$7=2005+OFFSET(COM_2012!$B$60,$AW339,SUMIF($B$10:$B$16,"NCAP_TLIFE",$AX$10:$AX$16)),0,""))</f>
        <v/>
      </c>
      <c r="AG339" s="369" t="str">
        <f ca="1">IF($B339&lt;&gt;"PRC_RESID","",IF(AG$7=2005+OFFSET(COM_2012!$B$60,$AW339,SUMIF($B$10:$B$16,"NCAP_TLIFE",$AX$10:$AX$16)),0,""))</f>
        <v/>
      </c>
      <c r="AH339" s="369" t="str">
        <f ca="1">IF($B339&lt;&gt;"PRC_RESID","",IF(AH$7=2005+OFFSET(COM_2012!$B$60,$AW339,SUMIF($B$10:$B$16,"NCAP_TLIFE",$AX$10:$AX$16)),0,""))</f>
        <v/>
      </c>
      <c r="AI339" s="369" t="str">
        <f ca="1">IF($B339&lt;&gt;"PRC_RESID","",IF(AI$7=2005+OFFSET(COM_2012!$B$60,$AW339,SUMIF($B$10:$B$16,"NCAP_TLIFE",$AX$10:$AX$16)),0,""))</f>
        <v/>
      </c>
      <c r="AJ339" s="369" t="str">
        <f ca="1">IF($B339&lt;&gt;"PRC_RESID","",IF(AJ$7=2005+OFFSET(COM_2012!$B$60,$AW339,SUMIF($B$10:$B$16,"NCAP_TLIFE",$AX$10:$AX$16)),0,""))</f>
        <v/>
      </c>
      <c r="AK339" s="369" t="str">
        <f ca="1">IF($B339&lt;&gt;"PRC_RESID","",IF(AK$7=2005+OFFSET(COM_2012!$B$60,$AW339,SUMIF($B$10:$B$16,"NCAP_TLIFE",$AX$10:$AX$16)),0,""))</f>
        <v/>
      </c>
      <c r="AL339" s="369" t="str">
        <f ca="1">IF($B339&lt;&gt;"PRC_RESID","",IF(AL$7=2005+OFFSET(COM_2012!$B$60,$AW339,SUMIF($B$10:$B$16,"NCAP_TLIFE",$AX$10:$AX$16)),0,""))</f>
        <v/>
      </c>
      <c r="AM339" s="369" t="str">
        <f ca="1">IF($B339&lt;&gt;"PRC_RESID","",IF(AM$7=2005+OFFSET(COM_2012!$B$60,$AW339,SUMIF($B$10:$B$16,"NCAP_TLIFE",$AX$10:$AX$16)),0,""))</f>
        <v/>
      </c>
      <c r="AN339" s="369" t="str">
        <f ca="1">IF($B339&lt;&gt;"PRC_RESID","",IF(AN$7=2005+OFFSET(COM_2012!$B$60,$AW339,SUMIF($B$10:$B$16,"NCAP_TLIFE",$AX$10:$AX$16)),0,""))</f>
        <v/>
      </c>
      <c r="AO339" s="369" t="str">
        <f ca="1">IF($B339&lt;&gt;"PRC_RESID","",IF(AO$7=2005+OFFSET(COM_2012!$B$60,$AW339,SUMIF($B$10:$B$16,"NCAP_TLIFE",$AX$10:$AX$16)),0,""))</f>
        <v/>
      </c>
      <c r="AP339" s="369" t="str">
        <f ca="1">IF($B339&lt;&gt;"PRC_RESID","",IF(AP$7=2005+OFFSET(COM_2012!$B$60,$AW339,SUMIF($B$10:$B$16,"NCAP_TLIFE",$AX$10:$AX$16)),0,""))</f>
        <v/>
      </c>
      <c r="AQ339" s="369" t="str">
        <f ca="1">IF($B339&lt;&gt;"PRC_RESID","",IF(AQ$7=2005+OFFSET(COM_2012!$B$60,$AW339,SUMIF($B$10:$B$16,"NCAP_TLIFE",$AX$10:$AX$16)),0,""))</f>
        <v/>
      </c>
      <c r="AR339" s="369" t="str">
        <f ca="1">IF($B339&lt;&gt;"PRC_RESID","",IF(AR$7=2005+OFFSET(COM_2012!$B$60,$AW339,SUMIF($B$10:$B$16,"NCAP_TLIFE",$AX$10:$AX$16)),0,""))</f>
        <v/>
      </c>
      <c r="AS339" s="369" t="str">
        <f ca="1">IF($B339&lt;&gt;"PRC_RESID","",IF(AS$7=2005+OFFSET(COM_2012!$B$60,$AW339,SUMIF($B$10:$B$16,"NCAP_TLIFE",$AX$10:$AX$16)),0,""))</f>
        <v/>
      </c>
      <c r="AT339" s="369" t="str">
        <f ca="1">IF($B339&lt;&gt;"PRC_RESID","",IF(AT$7=2005+OFFSET(COM_2012!$B$60,$AW339,SUMIF($B$10:$B$16,"NCAP_TLIFE",$AX$10:$AX$16)),0,""))</f>
        <v/>
      </c>
      <c r="AU339" s="369" t="str">
        <f ca="1">IF($B339&lt;&gt;"PRC_RESID","",IF(AU$7=2005+OFFSET(COM_2012!$B$60,$AW339,SUMIF($B$10:$B$16,"NCAP_TLIFE",$AX$10:$AX$16)),0,""))</f>
        <v/>
      </c>
      <c r="AV339" s="304">
        <f>IF(AW338=COM_2012!$AI$121,AV338+1,AV338)</f>
        <v>6</v>
      </c>
      <c r="AW339" s="304">
        <f t="shared" si="33"/>
        <v>7</v>
      </c>
    </row>
    <row r="340" spans="1:49">
      <c r="A340" s="304" t="str">
        <f ca="1">IF(LEFT(OFFSET(COM_2012!$A$60,AW340,0),2)="\I","*","")</f>
        <v>*</v>
      </c>
      <c r="B340" s="369" t="str">
        <f t="shared" ca="1" si="27"/>
        <v/>
      </c>
      <c r="C340" s="369" t="str">
        <f ca="1">IF($A340="*","",OFFSET(COM_2012!$B$60,AW340,0))</f>
        <v/>
      </c>
      <c r="D340" s="369" t="str">
        <f t="shared" ca="1" si="34"/>
        <v/>
      </c>
      <c r="E340" s="369" t="str">
        <f t="shared" ca="1" si="34"/>
        <v/>
      </c>
      <c r="F340" s="369" t="str">
        <f t="shared" ca="1" si="34"/>
        <v/>
      </c>
      <c r="G340" s="369" t="str">
        <f t="shared" ca="1" si="34"/>
        <v/>
      </c>
      <c r="H340" s="369" t="str">
        <f t="shared" ca="1" si="34"/>
        <v/>
      </c>
      <c r="I340" s="370" t="str">
        <f t="shared" ca="1" si="34"/>
        <v/>
      </c>
      <c r="J340" s="391" t="str">
        <f ca="1">IF($A340="*","",OFFSET(COM_2012!$B$60,AW340,SUMIF($B$10:$B$16,B340,$AX$10:$AX$16)))</f>
        <v/>
      </c>
      <c r="K340" s="369" t="str">
        <f ca="1">IF($B340&lt;&gt;"PRC_RESID","",IF(K$7=2005+OFFSET(COM_2012!$B$60,$AW340,SUMIF($B$10:$B$16,"NCAP_TLIFE",$AX$10:$AX$16)),0,""))</f>
        <v/>
      </c>
      <c r="L340" s="369" t="str">
        <f ca="1">IF($B340&lt;&gt;"PRC_RESID","",IF(L$7=2005+OFFSET(COM_2012!$B$60,$AW340,SUMIF($B$10:$B$16,"NCAP_TLIFE",$AX$10:$AX$16)),0,""))</f>
        <v/>
      </c>
      <c r="M340" s="369" t="str">
        <f ca="1">IF($B340&lt;&gt;"PRC_RESID","",IF(M$7=2005+OFFSET(COM_2012!$B$60,$AW340,SUMIF($B$10:$B$16,"NCAP_TLIFE",$AX$10:$AX$16)),0,""))</f>
        <v/>
      </c>
      <c r="N340" s="369" t="str">
        <f ca="1">IF($B340&lt;&gt;"PRC_RESID","",IF(N$7=2005+OFFSET(COM_2012!$B$60,$AW340,SUMIF($B$10:$B$16,"NCAP_TLIFE",$AX$10:$AX$16)),0,""))</f>
        <v/>
      </c>
      <c r="O340" s="391" t="str">
        <f ca="1">IF($A340="*","",OFFSET(' COM_2017_old'!$B$60,AW340,SUMIF($B$10:$B$16,B340,$AX$10:$AX$16)))</f>
        <v/>
      </c>
      <c r="P340" s="369" t="str">
        <f ca="1">IF($B340&lt;&gt;"PRC_RESID","",IF(P$7=2005+OFFSET(COM_2012!$B$60,$AW340,SUMIF($B$10:$B$16,"NCAP_TLIFE",$AX$10:$AX$16)),0,""))</f>
        <v/>
      </c>
      <c r="Q340" s="369"/>
      <c r="R340" s="369" t="str">
        <f ca="1">IF($B340&lt;&gt;"PRC_RESID","",IF(R$7=2016+OFFSET(' COM_2017_old'!$B$60,$AW340,SUMIF($B$10:$B$16,"NCAP_TLIFE",$AX$10:$AX$16)),0,""))</f>
        <v/>
      </c>
      <c r="S340" s="369" t="str">
        <f ca="1">IF($B340&lt;&gt;"PRC_RESID","",IF(S$7=2016+OFFSET(' COM_2017_old'!$B$60,$AW340,SUMIF($B$10:$B$16,"NCAP_TLIFE",$AX$10:$AX$16)),0,""))</f>
        <v/>
      </c>
      <c r="T340" s="369" t="str">
        <f ca="1">IF($B340&lt;&gt;"PRC_RESID","",IF(T$7=2016+OFFSET(' COM_2017_old'!$B$60,$AW340,SUMIF($B$10:$B$16,"NCAP_TLIFE",$AX$10:$AX$16)),0,""))</f>
        <v/>
      </c>
      <c r="U340" s="369" t="str">
        <f ca="1">IF($B340&lt;&gt;"PRC_RESID","",IF(U$7=2016+OFFSET(' COM_2017_old'!$B$60,$AW340,SUMIF($B$10:$B$16,"NCAP_TLIFE",$AX$10:$AX$16)),0,""))</f>
        <v/>
      </c>
      <c r="V340" s="369" t="str">
        <f ca="1">IF($B340&lt;&gt;"PRC_RESID","",IF(V$7=2016+OFFSET(' COM_2017_old'!$B$60,$AW340,SUMIF($B$10:$B$16,"NCAP_TLIFE",$AX$10:$AX$16)),0,""))</f>
        <v/>
      </c>
      <c r="W340" s="369" t="str">
        <f ca="1">IF($B340&lt;&gt;"PRC_RESID","",IF(W$7=2016+OFFSET(' COM_2017_old'!$B$60,$AW340,SUMIF($B$10:$B$16,"NCAP_TLIFE",$AX$10:$AX$16)),0,""))</f>
        <v/>
      </c>
      <c r="X340" s="369" t="str">
        <f ca="1">IF($B340&lt;&gt;"PRC_RESID","",IF(X$7=2016+OFFSET(' COM_2017_old'!$B$60,$AW340,SUMIF($B$10:$B$16,"NCAP_TLIFE",$AX$10:$AX$16)),0,""))</f>
        <v/>
      </c>
      <c r="Y340" s="369" t="str">
        <f ca="1">IF($B340&lt;&gt;"PRC_RESID","",IF(Y$7=2016+OFFSET(' COM_2017_old'!$B$60,$AW340,SUMIF($B$10:$B$16,"NCAP_TLIFE",$AX$10:$AX$16)),0,""))</f>
        <v/>
      </c>
      <c r="Z340" s="369" t="str">
        <f ca="1">IF($B340&lt;&gt;"PRC_RESID","",IF(Z$7=2016+OFFSET(' COM_2017_old'!$B$60,$AW340,SUMIF($B$10:$B$16,"NCAP_TLIFE",$AX$10:$AX$16)),0,""))</f>
        <v/>
      </c>
      <c r="AA340" s="369" t="str">
        <f ca="1">IF($B340&lt;&gt;"PRC_RESID","",IF(AA$7=2016+OFFSET(' COM_2017_old'!$B$60,$AW340,SUMIF($B$10:$B$16,"NCAP_TLIFE",$AX$10:$AX$16)),0,""))</f>
        <v/>
      </c>
      <c r="AB340" s="369" t="str">
        <f ca="1">IF($B340&lt;&gt;"PRC_RESID","",IF(AB$7=2016+OFFSET(' COM_2017_old'!$B$60,$AW340,SUMIF($B$10:$B$16,"NCAP_TLIFE",$AX$10:$AX$16)),0,""))</f>
        <v/>
      </c>
      <c r="AC340" s="369" t="str">
        <f ca="1">IF($B340&lt;&gt;"PRC_RESID","",IF(AC$7=2016+OFFSET(' COM_2017_old'!$B$60,$AW340,SUMIF($B$10:$B$16,"NCAP_TLIFE",$AX$10:$AX$16)),0,""))</f>
        <v/>
      </c>
      <c r="AD340" s="369" t="str">
        <f ca="1">IF($B340&lt;&gt;"PRC_RESID","",IF(AD$7=2016+OFFSET(' COM_2017_old'!$B$60,$AW340,SUMIF($B$10:$B$16,"NCAP_TLIFE",$AX$10:$AX$16)),0,""))</f>
        <v/>
      </c>
      <c r="AE340" s="369" t="str">
        <f ca="1">IF($B340&lt;&gt;"PRC_RESID","",IF(AE$7=2005+OFFSET(COM_2012!$B$60,$AW340,SUMIF($B$10:$B$16,"NCAP_TLIFE",$AX$10:$AX$16)),0,""))</f>
        <v/>
      </c>
      <c r="AF340" s="369" t="str">
        <f ca="1">IF($B340&lt;&gt;"PRC_RESID","",IF(AF$7=2005+OFFSET(COM_2012!$B$60,$AW340,SUMIF($B$10:$B$16,"NCAP_TLIFE",$AX$10:$AX$16)),0,""))</f>
        <v/>
      </c>
      <c r="AG340" s="369" t="str">
        <f ca="1">IF($B340&lt;&gt;"PRC_RESID","",IF(AG$7=2005+OFFSET(COM_2012!$B$60,$AW340,SUMIF($B$10:$B$16,"NCAP_TLIFE",$AX$10:$AX$16)),0,""))</f>
        <v/>
      </c>
      <c r="AH340" s="369" t="str">
        <f ca="1">IF($B340&lt;&gt;"PRC_RESID","",IF(AH$7=2005+OFFSET(COM_2012!$B$60,$AW340,SUMIF($B$10:$B$16,"NCAP_TLIFE",$AX$10:$AX$16)),0,""))</f>
        <v/>
      </c>
      <c r="AI340" s="369" t="str">
        <f ca="1">IF($B340&lt;&gt;"PRC_RESID","",IF(AI$7=2005+OFFSET(COM_2012!$B$60,$AW340,SUMIF($B$10:$B$16,"NCAP_TLIFE",$AX$10:$AX$16)),0,""))</f>
        <v/>
      </c>
      <c r="AJ340" s="369" t="str">
        <f ca="1">IF($B340&lt;&gt;"PRC_RESID","",IF(AJ$7=2005+OFFSET(COM_2012!$B$60,$AW340,SUMIF($B$10:$B$16,"NCAP_TLIFE",$AX$10:$AX$16)),0,""))</f>
        <v/>
      </c>
      <c r="AK340" s="369" t="str">
        <f ca="1">IF($B340&lt;&gt;"PRC_RESID","",IF(AK$7=2005+OFFSET(COM_2012!$B$60,$AW340,SUMIF($B$10:$B$16,"NCAP_TLIFE",$AX$10:$AX$16)),0,""))</f>
        <v/>
      </c>
      <c r="AL340" s="369" t="str">
        <f ca="1">IF($B340&lt;&gt;"PRC_RESID","",IF(AL$7=2005+OFFSET(COM_2012!$B$60,$AW340,SUMIF($B$10:$B$16,"NCAP_TLIFE",$AX$10:$AX$16)),0,""))</f>
        <v/>
      </c>
      <c r="AM340" s="369" t="str">
        <f ca="1">IF($B340&lt;&gt;"PRC_RESID","",IF(AM$7=2005+OFFSET(COM_2012!$B$60,$AW340,SUMIF($B$10:$B$16,"NCAP_TLIFE",$AX$10:$AX$16)),0,""))</f>
        <v/>
      </c>
      <c r="AN340" s="369" t="str">
        <f ca="1">IF($B340&lt;&gt;"PRC_RESID","",IF(AN$7=2005+OFFSET(COM_2012!$B$60,$AW340,SUMIF($B$10:$B$16,"NCAP_TLIFE",$AX$10:$AX$16)),0,""))</f>
        <v/>
      </c>
      <c r="AO340" s="369" t="str">
        <f ca="1">IF($B340&lt;&gt;"PRC_RESID","",IF(AO$7=2005+OFFSET(COM_2012!$B$60,$AW340,SUMIF($B$10:$B$16,"NCAP_TLIFE",$AX$10:$AX$16)),0,""))</f>
        <v/>
      </c>
      <c r="AP340" s="369" t="str">
        <f ca="1">IF($B340&lt;&gt;"PRC_RESID","",IF(AP$7=2005+OFFSET(COM_2012!$B$60,$AW340,SUMIF($B$10:$B$16,"NCAP_TLIFE",$AX$10:$AX$16)),0,""))</f>
        <v/>
      </c>
      <c r="AQ340" s="369" t="str">
        <f ca="1">IF($B340&lt;&gt;"PRC_RESID","",IF(AQ$7=2005+OFFSET(COM_2012!$B$60,$AW340,SUMIF($B$10:$B$16,"NCAP_TLIFE",$AX$10:$AX$16)),0,""))</f>
        <v/>
      </c>
      <c r="AR340" s="369" t="str">
        <f ca="1">IF($B340&lt;&gt;"PRC_RESID","",IF(AR$7=2005+OFFSET(COM_2012!$B$60,$AW340,SUMIF($B$10:$B$16,"NCAP_TLIFE",$AX$10:$AX$16)),0,""))</f>
        <v/>
      </c>
      <c r="AS340" s="369" t="str">
        <f ca="1">IF($B340&lt;&gt;"PRC_RESID","",IF(AS$7=2005+OFFSET(COM_2012!$B$60,$AW340,SUMIF($B$10:$B$16,"NCAP_TLIFE",$AX$10:$AX$16)),0,""))</f>
        <v/>
      </c>
      <c r="AT340" s="369" t="str">
        <f ca="1">IF($B340&lt;&gt;"PRC_RESID","",IF(AT$7=2005+OFFSET(COM_2012!$B$60,$AW340,SUMIF($B$10:$B$16,"NCAP_TLIFE",$AX$10:$AX$16)),0,""))</f>
        <v/>
      </c>
      <c r="AU340" s="369" t="str">
        <f ca="1">IF($B340&lt;&gt;"PRC_RESID","",IF(AU$7=2005+OFFSET(COM_2012!$B$60,$AW340,SUMIF($B$10:$B$16,"NCAP_TLIFE",$AX$10:$AX$16)),0,""))</f>
        <v/>
      </c>
      <c r="AV340" s="304">
        <f>IF(AW339=COM_2012!$AI$121,AV339+1,AV339)</f>
        <v>6</v>
      </c>
      <c r="AW340" s="304">
        <f t="shared" si="33"/>
        <v>8</v>
      </c>
    </row>
    <row r="341" spans="1:49">
      <c r="A341" s="304" t="str">
        <f ca="1">IF(LEFT(OFFSET(COM_2012!$A$60,AW341,0),2)="\I","*","")</f>
        <v/>
      </c>
      <c r="B341" s="369" t="str">
        <f t="shared" ca="1" si="27"/>
        <v>PRC_RESID</v>
      </c>
      <c r="C341" s="369" t="str">
        <f ca="1">IF($A341="*","",OFFSET(COM_2012!$B$60,AW341,0))</f>
        <v>CEHCOA-E</v>
      </c>
      <c r="D341" s="369" t="str">
        <f t="shared" ca="1" si="34"/>
        <v>-</v>
      </c>
      <c r="E341" s="369" t="str">
        <f t="shared" ca="1" si="34"/>
        <v>-</v>
      </c>
      <c r="F341" s="369" t="str">
        <f t="shared" ca="1" si="34"/>
        <v>-</v>
      </c>
      <c r="G341" s="369" t="str">
        <f t="shared" ca="1" si="34"/>
        <v>-</v>
      </c>
      <c r="H341" s="369" t="str">
        <f t="shared" ca="1" si="34"/>
        <v>-</v>
      </c>
      <c r="I341" s="370">
        <f t="shared" ca="1" si="34"/>
        <v>0</v>
      </c>
      <c r="J341" s="391">
        <f ca="1">IF($A341="*","",OFFSET(COM_2012!$B$60,AW341,SUMIF($B$10:$B$16,B341,$AX$10:$AX$16)))</f>
        <v>10.153429916182546</v>
      </c>
      <c r="K341" s="369" t="str">
        <f ca="1">IF($B341&lt;&gt;"PRC_RESID","",IF(K$7=2005+OFFSET(COM_2012!$B$60,$AW341,SUMIF($B$10:$B$16,"NCAP_TLIFE",$AX$10:$AX$16)),0,""))</f>
        <v/>
      </c>
      <c r="L341" s="369" t="str">
        <f ca="1">IF($B341&lt;&gt;"PRC_RESID","",IF(L$7=2005+OFFSET(COM_2012!$B$60,$AW341,SUMIF($B$10:$B$16,"NCAP_TLIFE",$AX$10:$AX$16)),0,""))</f>
        <v/>
      </c>
      <c r="M341" s="369" t="str">
        <f ca="1">IF($B341&lt;&gt;"PRC_RESID","",IF(M$7=2005+OFFSET(COM_2012!$B$60,$AW341,SUMIF($B$10:$B$16,"NCAP_TLIFE",$AX$10:$AX$16)),0,""))</f>
        <v/>
      </c>
      <c r="N341" s="369" t="str">
        <f ca="1">IF($B341&lt;&gt;"PRC_RESID","",IF(N$7=2005+OFFSET(COM_2012!$B$60,$AW341,SUMIF($B$10:$B$16,"NCAP_TLIFE",$AX$10:$AX$16)),0,""))</f>
        <v/>
      </c>
      <c r="O341" s="391">
        <f ca="1">IF($A341="*","",OFFSET(' COM_2017_old'!$B$60,AW341,SUMIF($B$10:$B$16,B341,$AX$10:$AX$16)))</f>
        <v>18.011482514107822</v>
      </c>
      <c r="P341" s="369" t="str">
        <f ca="1">IF($B341&lt;&gt;"PRC_RESID","",IF(P$7=2005+OFFSET(COM_2012!$B$60,$AW341,SUMIF($B$10:$B$16,"NCAP_TLIFE",$AX$10:$AX$16)),0,""))</f>
        <v/>
      </c>
      <c r="Q341" s="369"/>
      <c r="R341" s="369" t="str">
        <f ca="1">IF($B341&lt;&gt;"PRC_RESID","",IF(R$7=2016+OFFSET(' COM_2017_old'!$B$60,$AW341,SUMIF($B$10:$B$16,"NCAP_TLIFE",$AX$10:$AX$16)),0,""))</f>
        <v/>
      </c>
      <c r="S341" s="369" t="str">
        <f ca="1">IF($B341&lt;&gt;"PRC_RESID","",IF(S$7=2016+OFFSET(' COM_2017_old'!$B$60,$AW341,SUMIF($B$10:$B$16,"NCAP_TLIFE",$AX$10:$AX$16)),0,""))</f>
        <v/>
      </c>
      <c r="T341" s="369" t="str">
        <f ca="1">IF($B341&lt;&gt;"PRC_RESID","",IF(T$7=2016+OFFSET(' COM_2017_old'!$B$60,$AW341,SUMIF($B$10:$B$16,"NCAP_TLIFE",$AX$10:$AX$16)),0,""))</f>
        <v/>
      </c>
      <c r="U341" s="369" t="str">
        <f ca="1">IF($B341&lt;&gt;"PRC_RESID","",IF(U$7=2016+OFFSET(' COM_2017_old'!$B$60,$AW341,SUMIF($B$10:$B$16,"NCAP_TLIFE",$AX$10:$AX$16)),0,""))</f>
        <v/>
      </c>
      <c r="V341" s="369" t="str">
        <f ca="1">IF($B341&lt;&gt;"PRC_RESID","",IF(V$7=2016+OFFSET(' COM_2017_old'!$B$60,$AW341,SUMIF($B$10:$B$16,"NCAP_TLIFE",$AX$10:$AX$16)),0,""))</f>
        <v/>
      </c>
      <c r="W341" s="369" t="str">
        <f ca="1">IF($B341&lt;&gt;"PRC_RESID","",IF(W$7=2016+OFFSET(' COM_2017_old'!$B$60,$AW341,SUMIF($B$10:$B$16,"NCAP_TLIFE",$AX$10:$AX$16)),0,""))</f>
        <v/>
      </c>
      <c r="X341" s="369" t="str">
        <f ca="1">IF($B341&lt;&gt;"PRC_RESID","",IF(X$7=2016+OFFSET(' COM_2017_old'!$B$60,$AW341,SUMIF($B$10:$B$16,"NCAP_TLIFE",$AX$10:$AX$16)),0,""))</f>
        <v/>
      </c>
      <c r="Y341" s="369" t="str">
        <f ca="1">IF($B341&lt;&gt;"PRC_RESID","",IF(Y$7=2016+OFFSET(' COM_2017_old'!$B$60,$AW341,SUMIF($B$10:$B$16,"NCAP_TLIFE",$AX$10:$AX$16)),0,""))</f>
        <v/>
      </c>
      <c r="Z341" s="369" t="str">
        <f ca="1">IF($B341&lt;&gt;"PRC_RESID","",IF(Z$7=2016+OFFSET(' COM_2017_old'!$B$60,$AW341,SUMIF($B$10:$B$16,"NCAP_TLIFE",$AX$10:$AX$16)),0,""))</f>
        <v/>
      </c>
      <c r="AA341" s="369" t="str">
        <f ca="1">IF($B341&lt;&gt;"PRC_RESID","",IF(AA$7=2016+OFFSET(' COM_2017_old'!$B$60,$AW341,SUMIF($B$10:$B$16,"NCAP_TLIFE",$AX$10:$AX$16)),0,""))</f>
        <v/>
      </c>
      <c r="AB341" s="369" t="str">
        <f ca="1">IF($B341&lt;&gt;"PRC_RESID","",IF(AB$7=2016+OFFSET(' COM_2017_old'!$B$60,$AW341,SUMIF($B$10:$B$16,"NCAP_TLIFE",$AX$10:$AX$16)),0,""))</f>
        <v/>
      </c>
      <c r="AC341" s="369">
        <f ca="1">IF($B341&lt;&gt;"PRC_RESID","",IF(AC$7=2016+OFFSET(' COM_2017_old'!$B$60,$AW341,SUMIF($B$10:$B$16,"NCAP_TLIFE",$AX$10:$AX$16)),0,""))</f>
        <v>0</v>
      </c>
      <c r="AD341" s="369" t="str">
        <f ca="1">IF($B341&lt;&gt;"PRC_RESID","",IF(AD$7=2016+OFFSET(' COM_2017_old'!$B$60,$AW341,SUMIF($B$10:$B$16,"NCAP_TLIFE",$AX$10:$AX$16)),0,""))</f>
        <v/>
      </c>
      <c r="AE341" s="369" t="str">
        <f ca="1">IF($B341&lt;&gt;"PRC_RESID","",IF(AE$7=2005+OFFSET(COM_2012!$B$60,$AW341,SUMIF($B$10:$B$16,"NCAP_TLIFE",$AX$10:$AX$16)),0,""))</f>
        <v/>
      </c>
      <c r="AF341" s="369" t="str">
        <f ca="1">IF($B341&lt;&gt;"PRC_RESID","",IF(AF$7=2005+OFFSET(COM_2012!$B$60,$AW341,SUMIF($B$10:$B$16,"NCAP_TLIFE",$AX$10:$AX$16)),0,""))</f>
        <v/>
      </c>
      <c r="AG341" s="369" t="str">
        <f ca="1">IF($B341&lt;&gt;"PRC_RESID","",IF(AG$7=2005+OFFSET(COM_2012!$B$60,$AW341,SUMIF($B$10:$B$16,"NCAP_TLIFE",$AX$10:$AX$16)),0,""))</f>
        <v/>
      </c>
      <c r="AH341" s="369" t="str">
        <f ca="1">IF($B341&lt;&gt;"PRC_RESID","",IF(AH$7=2005+OFFSET(COM_2012!$B$60,$AW341,SUMIF($B$10:$B$16,"NCAP_TLIFE",$AX$10:$AX$16)),0,""))</f>
        <v/>
      </c>
      <c r="AI341" s="369" t="str">
        <f ca="1">IF($B341&lt;&gt;"PRC_RESID","",IF(AI$7=2005+OFFSET(COM_2012!$B$60,$AW341,SUMIF($B$10:$B$16,"NCAP_TLIFE",$AX$10:$AX$16)),0,""))</f>
        <v/>
      </c>
      <c r="AJ341" s="369" t="str">
        <f ca="1">IF($B341&lt;&gt;"PRC_RESID","",IF(AJ$7=2005+OFFSET(COM_2012!$B$60,$AW341,SUMIF($B$10:$B$16,"NCAP_TLIFE",$AX$10:$AX$16)),0,""))</f>
        <v/>
      </c>
      <c r="AK341" s="369" t="str">
        <f ca="1">IF($B341&lt;&gt;"PRC_RESID","",IF(AK$7=2005+OFFSET(COM_2012!$B$60,$AW341,SUMIF($B$10:$B$16,"NCAP_TLIFE",$AX$10:$AX$16)),0,""))</f>
        <v/>
      </c>
      <c r="AL341" s="369" t="str">
        <f ca="1">IF($B341&lt;&gt;"PRC_RESID","",IF(AL$7=2005+OFFSET(COM_2012!$B$60,$AW341,SUMIF($B$10:$B$16,"NCAP_TLIFE",$AX$10:$AX$16)),0,""))</f>
        <v/>
      </c>
      <c r="AM341" s="369" t="str">
        <f ca="1">IF($B341&lt;&gt;"PRC_RESID","",IF(AM$7=2005+OFFSET(COM_2012!$B$60,$AW341,SUMIF($B$10:$B$16,"NCAP_TLIFE",$AX$10:$AX$16)),0,""))</f>
        <v/>
      </c>
      <c r="AN341" s="369" t="str">
        <f ca="1">IF($B341&lt;&gt;"PRC_RESID","",IF(AN$7=2005+OFFSET(COM_2012!$B$60,$AW341,SUMIF($B$10:$B$16,"NCAP_TLIFE",$AX$10:$AX$16)),0,""))</f>
        <v/>
      </c>
      <c r="AO341" s="369" t="str">
        <f ca="1">IF($B341&lt;&gt;"PRC_RESID","",IF(AO$7=2005+OFFSET(COM_2012!$B$60,$AW341,SUMIF($B$10:$B$16,"NCAP_TLIFE",$AX$10:$AX$16)),0,""))</f>
        <v/>
      </c>
      <c r="AP341" s="369" t="str">
        <f ca="1">IF($B341&lt;&gt;"PRC_RESID","",IF(AP$7=2005+OFFSET(COM_2012!$B$60,$AW341,SUMIF($B$10:$B$16,"NCAP_TLIFE",$AX$10:$AX$16)),0,""))</f>
        <v/>
      </c>
      <c r="AQ341" s="369" t="str">
        <f ca="1">IF($B341&lt;&gt;"PRC_RESID","",IF(AQ$7=2005+OFFSET(COM_2012!$B$60,$AW341,SUMIF($B$10:$B$16,"NCAP_TLIFE",$AX$10:$AX$16)),0,""))</f>
        <v/>
      </c>
      <c r="AR341" s="369" t="str">
        <f ca="1">IF($B341&lt;&gt;"PRC_RESID","",IF(AR$7=2005+OFFSET(COM_2012!$B$60,$AW341,SUMIF($B$10:$B$16,"NCAP_TLIFE",$AX$10:$AX$16)),0,""))</f>
        <v/>
      </c>
      <c r="AS341" s="369" t="str">
        <f ca="1">IF($B341&lt;&gt;"PRC_RESID","",IF(AS$7=2005+OFFSET(COM_2012!$B$60,$AW341,SUMIF($B$10:$B$16,"NCAP_TLIFE",$AX$10:$AX$16)),0,""))</f>
        <v/>
      </c>
      <c r="AT341" s="369" t="str">
        <f ca="1">IF($B341&lt;&gt;"PRC_RESID","",IF(AT$7=2005+OFFSET(COM_2012!$B$60,$AW341,SUMIF($B$10:$B$16,"NCAP_TLIFE",$AX$10:$AX$16)),0,""))</f>
        <v/>
      </c>
      <c r="AU341" s="369" t="str">
        <f ca="1">IF($B341&lt;&gt;"PRC_RESID","",IF(AU$7=2005+OFFSET(COM_2012!$B$60,$AW341,SUMIF($B$10:$B$16,"NCAP_TLIFE",$AX$10:$AX$16)),0,""))</f>
        <v/>
      </c>
      <c r="AV341" s="304">
        <f>IF(AW340=COM_2012!$AI$121,AV340+1,AV340)</f>
        <v>6</v>
      </c>
      <c r="AW341" s="304">
        <f t="shared" si="33"/>
        <v>9</v>
      </c>
    </row>
    <row r="342" spans="1:49">
      <c r="A342" s="304" t="str">
        <f ca="1">IF(LEFT(OFFSET(COM_2012!$A$60,AW342,0),2)="\I","*","")</f>
        <v/>
      </c>
      <c r="B342" s="369" t="str">
        <f t="shared" ca="1" si="27"/>
        <v>PRC_RESID</v>
      </c>
      <c r="C342" s="369" t="str">
        <f ca="1">IF($A342="*","",OFFSET(COM_2012!$B$60,AW342,0))</f>
        <v>CEHELC-E</v>
      </c>
      <c r="D342" s="369" t="str">
        <f t="shared" ca="1" si="34"/>
        <v>-</v>
      </c>
      <c r="E342" s="369" t="str">
        <f t="shared" ca="1" si="34"/>
        <v>-</v>
      </c>
      <c r="F342" s="369" t="str">
        <f t="shared" ca="1" si="34"/>
        <v>-</v>
      </c>
      <c r="G342" s="369" t="str">
        <f t="shared" ca="1" si="34"/>
        <v>-</v>
      </c>
      <c r="H342" s="369" t="str">
        <f t="shared" ca="1" si="34"/>
        <v>-</v>
      </c>
      <c r="I342" s="370">
        <f t="shared" ca="1" si="34"/>
        <v>0</v>
      </c>
      <c r="J342" s="391">
        <f ca="1">IF($A342="*","",OFFSET(COM_2012!$B$60,AW342,SUMIF($B$10:$B$16,B342,$AX$10:$AX$16)))</f>
        <v>6.1119353083207386</v>
      </c>
      <c r="K342" s="369" t="str">
        <f ca="1">IF($B342&lt;&gt;"PRC_RESID","",IF(K$7=2005+OFFSET(COM_2012!$B$60,$AW342,SUMIF($B$10:$B$16,"NCAP_TLIFE",$AX$10:$AX$16)),0,""))</f>
        <v/>
      </c>
      <c r="L342" s="369" t="str">
        <f ca="1">IF($B342&lt;&gt;"PRC_RESID","",IF(L$7=2005+OFFSET(COM_2012!$B$60,$AW342,SUMIF($B$10:$B$16,"NCAP_TLIFE",$AX$10:$AX$16)),0,""))</f>
        <v/>
      </c>
      <c r="M342" s="369" t="str">
        <f ca="1">IF($B342&lt;&gt;"PRC_RESID","",IF(M$7=2005+OFFSET(COM_2012!$B$60,$AW342,SUMIF($B$10:$B$16,"NCAP_TLIFE",$AX$10:$AX$16)),0,""))</f>
        <v/>
      </c>
      <c r="N342" s="369" t="str">
        <f ca="1">IF($B342&lt;&gt;"PRC_RESID","",IF(N$7=2005+OFFSET(COM_2012!$B$60,$AW342,SUMIF($B$10:$B$16,"NCAP_TLIFE",$AX$10:$AX$16)),0,""))</f>
        <v/>
      </c>
      <c r="O342" s="391">
        <f ca="1">IF($A342="*","",OFFSET(' COM_2017_old'!$B$60,AW342,SUMIF($B$10:$B$16,B342,$AX$10:$AX$16)))</f>
        <v>5.2637896589894559</v>
      </c>
      <c r="P342" s="369" t="str">
        <f ca="1">IF($B342&lt;&gt;"PRC_RESID","",IF(P$7=2005+OFFSET(COM_2012!$B$60,$AW342,SUMIF($B$10:$B$16,"NCAP_TLIFE",$AX$10:$AX$16)),0,""))</f>
        <v/>
      </c>
      <c r="Q342" s="369"/>
      <c r="R342" s="369" t="str">
        <f ca="1">IF($B342&lt;&gt;"PRC_RESID","",IF(R$7=2016+OFFSET(' COM_2017_old'!$B$60,$AW342,SUMIF($B$10:$B$16,"NCAP_TLIFE",$AX$10:$AX$16)),0,""))</f>
        <v/>
      </c>
      <c r="S342" s="369" t="str">
        <f ca="1">IF($B342&lt;&gt;"PRC_RESID","",IF(S$7=2016+OFFSET(' COM_2017_old'!$B$60,$AW342,SUMIF($B$10:$B$16,"NCAP_TLIFE",$AX$10:$AX$16)),0,""))</f>
        <v/>
      </c>
      <c r="T342" s="369" t="str">
        <f ca="1">IF($B342&lt;&gt;"PRC_RESID","",IF(T$7=2016+OFFSET(' COM_2017_old'!$B$60,$AW342,SUMIF($B$10:$B$16,"NCAP_TLIFE",$AX$10:$AX$16)),0,""))</f>
        <v/>
      </c>
      <c r="U342" s="369" t="str">
        <f ca="1">IF($B342&lt;&gt;"PRC_RESID","",IF(U$7=2016+OFFSET(' COM_2017_old'!$B$60,$AW342,SUMIF($B$10:$B$16,"NCAP_TLIFE",$AX$10:$AX$16)),0,""))</f>
        <v/>
      </c>
      <c r="V342" s="369" t="str">
        <f ca="1">IF($B342&lt;&gt;"PRC_RESID","",IF(V$7=2016+OFFSET(' COM_2017_old'!$B$60,$AW342,SUMIF($B$10:$B$16,"NCAP_TLIFE",$AX$10:$AX$16)),0,""))</f>
        <v/>
      </c>
      <c r="W342" s="369" t="str">
        <f ca="1">IF($B342&lt;&gt;"PRC_RESID","",IF(W$7=2016+OFFSET(' COM_2017_old'!$B$60,$AW342,SUMIF($B$10:$B$16,"NCAP_TLIFE",$AX$10:$AX$16)),0,""))</f>
        <v/>
      </c>
      <c r="X342" s="369" t="str">
        <f ca="1">IF($B342&lt;&gt;"PRC_RESID","",IF(X$7=2016+OFFSET(' COM_2017_old'!$B$60,$AW342,SUMIF($B$10:$B$16,"NCAP_TLIFE",$AX$10:$AX$16)),0,""))</f>
        <v/>
      </c>
      <c r="Y342" s="369" t="str">
        <f ca="1">IF($B342&lt;&gt;"PRC_RESID","",IF(Y$7=2016+OFFSET(' COM_2017_old'!$B$60,$AW342,SUMIF($B$10:$B$16,"NCAP_TLIFE",$AX$10:$AX$16)),0,""))</f>
        <v/>
      </c>
      <c r="Z342" s="369" t="str">
        <f ca="1">IF($B342&lt;&gt;"PRC_RESID","",IF(Z$7=2016+OFFSET(' COM_2017_old'!$B$60,$AW342,SUMIF($B$10:$B$16,"NCAP_TLIFE",$AX$10:$AX$16)),0,""))</f>
        <v/>
      </c>
      <c r="AA342" s="369" t="str">
        <f ca="1">IF($B342&lt;&gt;"PRC_RESID","",IF(AA$7=2016+OFFSET(' COM_2017_old'!$B$60,$AW342,SUMIF($B$10:$B$16,"NCAP_TLIFE",$AX$10:$AX$16)),0,""))</f>
        <v/>
      </c>
      <c r="AB342" s="369" t="str">
        <f ca="1">IF($B342&lt;&gt;"PRC_RESID","",IF(AB$7=2016+OFFSET(' COM_2017_old'!$B$60,$AW342,SUMIF($B$10:$B$16,"NCAP_TLIFE",$AX$10:$AX$16)),0,""))</f>
        <v/>
      </c>
      <c r="AC342" s="369">
        <f ca="1">IF($B342&lt;&gt;"PRC_RESID","",IF(AC$7=2016+OFFSET(' COM_2017_old'!$B$60,$AW342,SUMIF($B$10:$B$16,"NCAP_TLIFE",$AX$10:$AX$16)),0,""))</f>
        <v>0</v>
      </c>
      <c r="AD342" s="369" t="str">
        <f ca="1">IF($B342&lt;&gt;"PRC_RESID","",IF(AD$7=2016+OFFSET(' COM_2017_old'!$B$60,$AW342,SUMIF($B$10:$B$16,"NCAP_TLIFE",$AX$10:$AX$16)),0,""))</f>
        <v/>
      </c>
      <c r="AE342" s="369" t="str">
        <f ca="1">IF($B342&lt;&gt;"PRC_RESID","",IF(AE$7=2005+OFFSET(COM_2012!$B$60,$AW342,SUMIF($B$10:$B$16,"NCAP_TLIFE",$AX$10:$AX$16)),0,""))</f>
        <v/>
      </c>
      <c r="AF342" s="369" t="str">
        <f ca="1">IF($B342&lt;&gt;"PRC_RESID","",IF(AF$7=2005+OFFSET(COM_2012!$B$60,$AW342,SUMIF($B$10:$B$16,"NCAP_TLIFE",$AX$10:$AX$16)),0,""))</f>
        <v/>
      </c>
      <c r="AG342" s="369" t="str">
        <f ca="1">IF($B342&lt;&gt;"PRC_RESID","",IF(AG$7=2005+OFFSET(COM_2012!$B$60,$AW342,SUMIF($B$10:$B$16,"NCAP_TLIFE",$AX$10:$AX$16)),0,""))</f>
        <v/>
      </c>
      <c r="AH342" s="369" t="str">
        <f ca="1">IF($B342&lt;&gt;"PRC_RESID","",IF(AH$7=2005+OFFSET(COM_2012!$B$60,$AW342,SUMIF($B$10:$B$16,"NCAP_TLIFE",$AX$10:$AX$16)),0,""))</f>
        <v/>
      </c>
      <c r="AI342" s="369" t="str">
        <f ca="1">IF($B342&lt;&gt;"PRC_RESID","",IF(AI$7=2005+OFFSET(COM_2012!$B$60,$AW342,SUMIF($B$10:$B$16,"NCAP_TLIFE",$AX$10:$AX$16)),0,""))</f>
        <v/>
      </c>
      <c r="AJ342" s="369" t="str">
        <f ca="1">IF($B342&lt;&gt;"PRC_RESID","",IF(AJ$7=2005+OFFSET(COM_2012!$B$60,$AW342,SUMIF($B$10:$B$16,"NCAP_TLIFE",$AX$10:$AX$16)),0,""))</f>
        <v/>
      </c>
      <c r="AK342" s="369" t="str">
        <f ca="1">IF($B342&lt;&gt;"PRC_RESID","",IF(AK$7=2005+OFFSET(COM_2012!$B$60,$AW342,SUMIF($B$10:$B$16,"NCAP_TLIFE",$AX$10:$AX$16)),0,""))</f>
        <v/>
      </c>
      <c r="AL342" s="369" t="str">
        <f ca="1">IF($B342&lt;&gt;"PRC_RESID","",IF(AL$7=2005+OFFSET(COM_2012!$B$60,$AW342,SUMIF($B$10:$B$16,"NCAP_TLIFE",$AX$10:$AX$16)),0,""))</f>
        <v/>
      </c>
      <c r="AM342" s="369" t="str">
        <f ca="1">IF($B342&lt;&gt;"PRC_RESID","",IF(AM$7=2005+OFFSET(COM_2012!$B$60,$AW342,SUMIF($B$10:$B$16,"NCAP_TLIFE",$AX$10:$AX$16)),0,""))</f>
        <v/>
      </c>
      <c r="AN342" s="369" t="str">
        <f ca="1">IF($B342&lt;&gt;"PRC_RESID","",IF(AN$7=2005+OFFSET(COM_2012!$B$60,$AW342,SUMIF($B$10:$B$16,"NCAP_TLIFE",$AX$10:$AX$16)),0,""))</f>
        <v/>
      </c>
      <c r="AO342" s="369" t="str">
        <f ca="1">IF($B342&lt;&gt;"PRC_RESID","",IF(AO$7=2005+OFFSET(COM_2012!$B$60,$AW342,SUMIF($B$10:$B$16,"NCAP_TLIFE",$AX$10:$AX$16)),0,""))</f>
        <v/>
      </c>
      <c r="AP342" s="369" t="str">
        <f ca="1">IF($B342&lt;&gt;"PRC_RESID","",IF(AP$7=2005+OFFSET(COM_2012!$B$60,$AW342,SUMIF($B$10:$B$16,"NCAP_TLIFE",$AX$10:$AX$16)),0,""))</f>
        <v/>
      </c>
      <c r="AQ342" s="369" t="str">
        <f ca="1">IF($B342&lt;&gt;"PRC_RESID","",IF(AQ$7=2005+OFFSET(COM_2012!$B$60,$AW342,SUMIF($B$10:$B$16,"NCAP_TLIFE",$AX$10:$AX$16)),0,""))</f>
        <v/>
      </c>
      <c r="AR342" s="369" t="str">
        <f ca="1">IF($B342&lt;&gt;"PRC_RESID","",IF(AR$7=2005+OFFSET(COM_2012!$B$60,$AW342,SUMIF($B$10:$B$16,"NCAP_TLIFE",$AX$10:$AX$16)),0,""))</f>
        <v/>
      </c>
      <c r="AS342" s="369" t="str">
        <f ca="1">IF($B342&lt;&gt;"PRC_RESID","",IF(AS$7=2005+OFFSET(COM_2012!$B$60,$AW342,SUMIF($B$10:$B$16,"NCAP_TLIFE",$AX$10:$AX$16)),0,""))</f>
        <v/>
      </c>
      <c r="AT342" s="369" t="str">
        <f ca="1">IF($B342&lt;&gt;"PRC_RESID","",IF(AT$7=2005+OFFSET(COM_2012!$B$60,$AW342,SUMIF($B$10:$B$16,"NCAP_TLIFE",$AX$10:$AX$16)),0,""))</f>
        <v/>
      </c>
      <c r="AU342" s="369" t="str">
        <f ca="1">IF($B342&lt;&gt;"PRC_RESID","",IF(AU$7=2005+OFFSET(COM_2012!$B$60,$AW342,SUMIF($B$10:$B$16,"NCAP_TLIFE",$AX$10:$AX$16)),0,""))</f>
        <v/>
      </c>
      <c r="AV342" s="304">
        <f>IF(AW341=COM_2012!$AI$121,AV341+1,AV341)</f>
        <v>6</v>
      </c>
      <c r="AW342" s="304">
        <f t="shared" si="33"/>
        <v>10</v>
      </c>
    </row>
    <row r="343" spans="1:49">
      <c r="A343" s="304" t="str">
        <f ca="1">IF(LEFT(OFFSET(COM_2012!$A$60,AW343,0),2)="\I","*","")</f>
        <v/>
      </c>
      <c r="B343" s="369" t="str">
        <f t="shared" ca="1" si="27"/>
        <v>PRC_RESID</v>
      </c>
      <c r="C343" s="369" t="str">
        <f ca="1">IF($A343="*","",OFFSET(COM_2012!$B$60,AW343,0))</f>
        <v>CEHGAS-E</v>
      </c>
      <c r="D343" s="369" t="str">
        <f t="shared" ca="1" si="34"/>
        <v>-</v>
      </c>
      <c r="E343" s="369" t="str">
        <f t="shared" ca="1" si="34"/>
        <v>-</v>
      </c>
      <c r="F343" s="369" t="str">
        <f t="shared" ca="1" si="34"/>
        <v>-</v>
      </c>
      <c r="G343" s="369" t="str">
        <f t="shared" ca="1" si="34"/>
        <v>-</v>
      </c>
      <c r="H343" s="369" t="str">
        <f t="shared" ca="1" si="34"/>
        <v>-</v>
      </c>
      <c r="I343" s="370">
        <f t="shared" ca="1" si="34"/>
        <v>0</v>
      </c>
      <c r="J343" s="391">
        <f ca="1">IF($A343="*","",OFFSET(COM_2012!$B$60,AW343,SUMIF($B$10:$B$16,B343,$AX$10:$AX$16)))</f>
        <v>1.4450051262626721E-2</v>
      </c>
      <c r="K343" s="369" t="str">
        <f ca="1">IF($B343&lt;&gt;"PRC_RESID","",IF(K$7=2005+OFFSET(COM_2012!$B$60,$AW343,SUMIF($B$10:$B$16,"NCAP_TLIFE",$AX$10:$AX$16)),0,""))</f>
        <v/>
      </c>
      <c r="L343" s="369" t="str">
        <f ca="1">IF($B343&lt;&gt;"PRC_RESID","",IF(L$7=2005+OFFSET(COM_2012!$B$60,$AW343,SUMIF($B$10:$B$16,"NCAP_TLIFE",$AX$10:$AX$16)),0,""))</f>
        <v/>
      </c>
      <c r="M343" s="369" t="str">
        <f ca="1">IF($B343&lt;&gt;"PRC_RESID","",IF(M$7=2005+OFFSET(COM_2012!$B$60,$AW343,SUMIF($B$10:$B$16,"NCAP_TLIFE",$AX$10:$AX$16)),0,""))</f>
        <v/>
      </c>
      <c r="N343" s="369" t="str">
        <f ca="1">IF($B343&lt;&gt;"PRC_RESID","",IF(N$7=2005+OFFSET(COM_2012!$B$60,$AW343,SUMIF($B$10:$B$16,"NCAP_TLIFE",$AX$10:$AX$16)),0,""))</f>
        <v/>
      </c>
      <c r="O343" s="391">
        <f ca="1">IF($A343="*","",OFFSET(' COM_2017_old'!$B$60,AW343,SUMIF($B$10:$B$16,B343,$AX$10:$AX$16)))</f>
        <v>0.50864180444446039</v>
      </c>
      <c r="P343" s="369" t="str">
        <f ca="1">IF($B343&lt;&gt;"PRC_RESID","",IF(P$7=2005+OFFSET(COM_2012!$B$60,$AW343,SUMIF($B$10:$B$16,"NCAP_TLIFE",$AX$10:$AX$16)),0,""))</f>
        <v/>
      </c>
      <c r="Q343" s="369"/>
      <c r="R343" s="369" t="str">
        <f ca="1">IF($B343&lt;&gt;"PRC_RESID","",IF(R$7=2016+OFFSET(' COM_2017_old'!$B$60,$AW343,SUMIF($B$10:$B$16,"NCAP_TLIFE",$AX$10:$AX$16)),0,""))</f>
        <v/>
      </c>
      <c r="S343" s="369" t="str">
        <f ca="1">IF($B343&lt;&gt;"PRC_RESID","",IF(S$7=2016+OFFSET(' COM_2017_old'!$B$60,$AW343,SUMIF($B$10:$B$16,"NCAP_TLIFE",$AX$10:$AX$16)),0,""))</f>
        <v/>
      </c>
      <c r="T343" s="369" t="str">
        <f ca="1">IF($B343&lt;&gt;"PRC_RESID","",IF(T$7=2016+OFFSET(' COM_2017_old'!$B$60,$AW343,SUMIF($B$10:$B$16,"NCAP_TLIFE",$AX$10:$AX$16)),0,""))</f>
        <v/>
      </c>
      <c r="U343" s="369" t="str">
        <f ca="1">IF($B343&lt;&gt;"PRC_RESID","",IF(U$7=2016+OFFSET(' COM_2017_old'!$B$60,$AW343,SUMIF($B$10:$B$16,"NCAP_TLIFE",$AX$10:$AX$16)),0,""))</f>
        <v/>
      </c>
      <c r="V343" s="369" t="str">
        <f ca="1">IF($B343&lt;&gt;"PRC_RESID","",IF(V$7=2016+OFFSET(' COM_2017_old'!$B$60,$AW343,SUMIF($B$10:$B$16,"NCAP_TLIFE",$AX$10:$AX$16)),0,""))</f>
        <v/>
      </c>
      <c r="W343" s="369" t="str">
        <f ca="1">IF($B343&lt;&gt;"PRC_RESID","",IF(W$7=2016+OFFSET(' COM_2017_old'!$B$60,$AW343,SUMIF($B$10:$B$16,"NCAP_TLIFE",$AX$10:$AX$16)),0,""))</f>
        <v/>
      </c>
      <c r="X343" s="369" t="str">
        <f ca="1">IF($B343&lt;&gt;"PRC_RESID","",IF(X$7=2016+OFFSET(' COM_2017_old'!$B$60,$AW343,SUMIF($B$10:$B$16,"NCAP_TLIFE",$AX$10:$AX$16)),0,""))</f>
        <v/>
      </c>
      <c r="Y343" s="369" t="str">
        <f ca="1">IF($B343&lt;&gt;"PRC_RESID","",IF(Y$7=2016+OFFSET(' COM_2017_old'!$B$60,$AW343,SUMIF($B$10:$B$16,"NCAP_TLIFE",$AX$10:$AX$16)),0,""))</f>
        <v/>
      </c>
      <c r="Z343" s="369" t="str">
        <f ca="1">IF($B343&lt;&gt;"PRC_RESID","",IF(Z$7=2016+OFFSET(' COM_2017_old'!$B$60,$AW343,SUMIF($B$10:$B$16,"NCAP_TLIFE",$AX$10:$AX$16)),0,""))</f>
        <v/>
      </c>
      <c r="AA343" s="369" t="str">
        <f ca="1">IF($B343&lt;&gt;"PRC_RESID","",IF(AA$7=2016+OFFSET(' COM_2017_old'!$B$60,$AW343,SUMIF($B$10:$B$16,"NCAP_TLIFE",$AX$10:$AX$16)),0,""))</f>
        <v/>
      </c>
      <c r="AB343" s="369" t="str">
        <f ca="1">IF($B343&lt;&gt;"PRC_RESID","",IF(AB$7=2016+OFFSET(' COM_2017_old'!$B$60,$AW343,SUMIF($B$10:$B$16,"NCAP_TLIFE",$AX$10:$AX$16)),0,""))</f>
        <v/>
      </c>
      <c r="AC343" s="369">
        <f ca="1">IF($B343&lt;&gt;"PRC_RESID","",IF(AC$7=2016+OFFSET(' COM_2017_old'!$B$60,$AW343,SUMIF($B$10:$B$16,"NCAP_TLIFE",$AX$10:$AX$16)),0,""))</f>
        <v>0</v>
      </c>
      <c r="AD343" s="369" t="str">
        <f ca="1">IF($B343&lt;&gt;"PRC_RESID","",IF(AD$7=2016+OFFSET(' COM_2017_old'!$B$60,$AW343,SUMIF($B$10:$B$16,"NCAP_TLIFE",$AX$10:$AX$16)),0,""))</f>
        <v/>
      </c>
      <c r="AE343" s="369" t="str">
        <f ca="1">IF($B343&lt;&gt;"PRC_RESID","",IF(AE$7=2005+OFFSET(COM_2012!$B$60,$AW343,SUMIF($B$10:$B$16,"NCAP_TLIFE",$AX$10:$AX$16)),0,""))</f>
        <v/>
      </c>
      <c r="AF343" s="369" t="str">
        <f ca="1">IF($B343&lt;&gt;"PRC_RESID","",IF(AF$7=2005+OFFSET(COM_2012!$B$60,$AW343,SUMIF($B$10:$B$16,"NCAP_TLIFE",$AX$10:$AX$16)),0,""))</f>
        <v/>
      </c>
      <c r="AG343" s="369" t="str">
        <f ca="1">IF($B343&lt;&gt;"PRC_RESID","",IF(AG$7=2005+OFFSET(COM_2012!$B$60,$AW343,SUMIF($B$10:$B$16,"NCAP_TLIFE",$AX$10:$AX$16)),0,""))</f>
        <v/>
      </c>
      <c r="AH343" s="369" t="str">
        <f ca="1">IF($B343&lt;&gt;"PRC_RESID","",IF(AH$7=2005+OFFSET(COM_2012!$B$60,$AW343,SUMIF($B$10:$B$16,"NCAP_TLIFE",$AX$10:$AX$16)),0,""))</f>
        <v/>
      </c>
      <c r="AI343" s="369" t="str">
        <f ca="1">IF($B343&lt;&gt;"PRC_RESID","",IF(AI$7=2005+OFFSET(COM_2012!$B$60,$AW343,SUMIF($B$10:$B$16,"NCAP_TLIFE",$AX$10:$AX$16)),0,""))</f>
        <v/>
      </c>
      <c r="AJ343" s="369" t="str">
        <f ca="1">IF($B343&lt;&gt;"PRC_RESID","",IF(AJ$7=2005+OFFSET(COM_2012!$B$60,$AW343,SUMIF($B$10:$B$16,"NCAP_TLIFE",$AX$10:$AX$16)),0,""))</f>
        <v/>
      </c>
      <c r="AK343" s="369" t="str">
        <f ca="1">IF($B343&lt;&gt;"PRC_RESID","",IF(AK$7=2005+OFFSET(COM_2012!$B$60,$AW343,SUMIF($B$10:$B$16,"NCAP_TLIFE",$AX$10:$AX$16)),0,""))</f>
        <v/>
      </c>
      <c r="AL343" s="369" t="str">
        <f ca="1">IF($B343&lt;&gt;"PRC_RESID","",IF(AL$7=2005+OFFSET(COM_2012!$B$60,$AW343,SUMIF($B$10:$B$16,"NCAP_TLIFE",$AX$10:$AX$16)),0,""))</f>
        <v/>
      </c>
      <c r="AM343" s="369" t="str">
        <f ca="1">IF($B343&lt;&gt;"PRC_RESID","",IF(AM$7=2005+OFFSET(COM_2012!$B$60,$AW343,SUMIF($B$10:$B$16,"NCAP_TLIFE",$AX$10:$AX$16)),0,""))</f>
        <v/>
      </c>
      <c r="AN343" s="369" t="str">
        <f ca="1">IF($B343&lt;&gt;"PRC_RESID","",IF(AN$7=2005+OFFSET(COM_2012!$B$60,$AW343,SUMIF($B$10:$B$16,"NCAP_TLIFE",$AX$10:$AX$16)),0,""))</f>
        <v/>
      </c>
      <c r="AO343" s="369" t="str">
        <f ca="1">IF($B343&lt;&gt;"PRC_RESID","",IF(AO$7=2005+OFFSET(COM_2012!$B$60,$AW343,SUMIF($B$10:$B$16,"NCAP_TLIFE",$AX$10:$AX$16)),0,""))</f>
        <v/>
      </c>
      <c r="AP343" s="369" t="str">
        <f ca="1">IF($B343&lt;&gt;"PRC_RESID","",IF(AP$7=2005+OFFSET(COM_2012!$B$60,$AW343,SUMIF($B$10:$B$16,"NCAP_TLIFE",$AX$10:$AX$16)),0,""))</f>
        <v/>
      </c>
      <c r="AQ343" s="369" t="str">
        <f ca="1">IF($B343&lt;&gt;"PRC_RESID","",IF(AQ$7=2005+OFFSET(COM_2012!$B$60,$AW343,SUMIF($B$10:$B$16,"NCAP_TLIFE",$AX$10:$AX$16)),0,""))</f>
        <v/>
      </c>
      <c r="AR343" s="369" t="str">
        <f ca="1">IF($B343&lt;&gt;"PRC_RESID","",IF(AR$7=2005+OFFSET(COM_2012!$B$60,$AW343,SUMIF($B$10:$B$16,"NCAP_TLIFE",$AX$10:$AX$16)),0,""))</f>
        <v/>
      </c>
      <c r="AS343" s="369" t="str">
        <f ca="1">IF($B343&lt;&gt;"PRC_RESID","",IF(AS$7=2005+OFFSET(COM_2012!$B$60,$AW343,SUMIF($B$10:$B$16,"NCAP_TLIFE",$AX$10:$AX$16)),0,""))</f>
        <v/>
      </c>
      <c r="AT343" s="369" t="str">
        <f ca="1">IF($B343&lt;&gt;"PRC_RESID","",IF(AT$7=2005+OFFSET(COM_2012!$B$60,$AW343,SUMIF($B$10:$B$16,"NCAP_TLIFE",$AX$10:$AX$16)),0,""))</f>
        <v/>
      </c>
      <c r="AU343" s="369" t="str">
        <f ca="1">IF($B343&lt;&gt;"PRC_RESID","",IF(AU$7=2005+OFFSET(COM_2012!$B$60,$AW343,SUMIF($B$10:$B$16,"NCAP_TLIFE",$AX$10:$AX$16)),0,""))</f>
        <v/>
      </c>
      <c r="AV343" s="304">
        <f>IF(AW342=COM_2012!$AI$121,AV342+1,AV342)</f>
        <v>6</v>
      </c>
      <c r="AW343" s="304">
        <f t="shared" si="33"/>
        <v>11</v>
      </c>
    </row>
    <row r="344" spans="1:49">
      <c r="A344" s="304" t="str">
        <f ca="1">IF(LEFT(OFFSET(COM_2012!$A$60,AW344,0),2)="\I","*","")</f>
        <v/>
      </c>
      <c r="B344" s="369" t="str">
        <f t="shared" ca="1" si="27"/>
        <v>PRC_RESID</v>
      </c>
      <c r="C344" s="369" t="str">
        <f ca="1">IF($A344="*","",OFFSET(COM_2012!$B$60,AW344,0))</f>
        <v>CEHELC-N</v>
      </c>
      <c r="D344" s="369" t="str">
        <f t="shared" ca="1" si="34"/>
        <v>-</v>
      </c>
      <c r="E344" s="369" t="str">
        <f t="shared" ca="1" si="34"/>
        <v>-</v>
      </c>
      <c r="F344" s="369" t="str">
        <f t="shared" ca="1" si="34"/>
        <v>-</v>
      </c>
      <c r="G344" s="369" t="str">
        <f t="shared" ca="1" si="34"/>
        <v>-</v>
      </c>
      <c r="H344" s="369" t="str">
        <f t="shared" ca="1" si="34"/>
        <v>-</v>
      </c>
      <c r="I344" s="370">
        <f t="shared" ca="1" si="34"/>
        <v>0</v>
      </c>
      <c r="J344" s="391">
        <f ca="1">IF($A344="*","",OFFSET(COM_2012!$B$60,AW344,SUMIF($B$10:$B$16,B344,$AX$10:$AX$16)))</f>
        <v>0</v>
      </c>
      <c r="K344" s="369" t="str">
        <f ca="1">IF($B344&lt;&gt;"PRC_RESID","",IF(K$7=2005+OFFSET(COM_2012!$B$60,$AW344,SUMIF($B$10:$B$16,"NCAP_TLIFE",$AX$10:$AX$16)),0,""))</f>
        <v/>
      </c>
      <c r="L344" s="369" t="str">
        <f ca="1">IF($B344&lt;&gt;"PRC_RESID","",IF(L$7=2005+OFFSET(COM_2012!$B$60,$AW344,SUMIF($B$10:$B$16,"NCAP_TLIFE",$AX$10:$AX$16)),0,""))</f>
        <v/>
      </c>
      <c r="M344" s="369" t="str">
        <f ca="1">IF($B344&lt;&gt;"PRC_RESID","",IF(M$7=2005+OFFSET(COM_2012!$B$60,$AW344,SUMIF($B$10:$B$16,"NCAP_TLIFE",$AX$10:$AX$16)),0,""))</f>
        <v/>
      </c>
      <c r="N344" s="369" t="str">
        <f ca="1">IF($B344&lt;&gt;"PRC_RESID","",IF(N$7=2005+OFFSET(COM_2012!$B$60,$AW344,SUMIF($B$10:$B$16,"NCAP_TLIFE",$AX$10:$AX$16)),0,""))</f>
        <v/>
      </c>
      <c r="O344" s="391">
        <f ca="1">IF($A344="*","",OFFSET(' COM_2017_old'!$B$60,AW344,SUMIF($B$10:$B$16,B344,$AX$10:$AX$16)))</f>
        <v>0</v>
      </c>
      <c r="P344" s="369" t="str">
        <f ca="1">IF($B344&lt;&gt;"PRC_RESID","",IF(P$7=2005+OFFSET(COM_2012!$B$60,$AW344,SUMIF($B$10:$B$16,"NCAP_TLIFE",$AX$10:$AX$16)),0,""))</f>
        <v/>
      </c>
      <c r="Q344" s="369"/>
      <c r="R344" s="369" t="str">
        <f ca="1">IF($B344&lt;&gt;"PRC_RESID","",IF(R$7=2016+OFFSET(' COM_2017_old'!$B$60,$AW344,SUMIF($B$10:$B$16,"NCAP_TLIFE",$AX$10:$AX$16)),0,""))</f>
        <v/>
      </c>
      <c r="S344" s="369" t="str">
        <f ca="1">IF($B344&lt;&gt;"PRC_RESID","",IF(S$7=2016+OFFSET(' COM_2017_old'!$B$60,$AW344,SUMIF($B$10:$B$16,"NCAP_TLIFE",$AX$10:$AX$16)),0,""))</f>
        <v/>
      </c>
      <c r="T344" s="369" t="str">
        <f ca="1">IF($B344&lt;&gt;"PRC_RESID","",IF(T$7=2016+OFFSET(' COM_2017_old'!$B$60,$AW344,SUMIF($B$10:$B$16,"NCAP_TLIFE",$AX$10:$AX$16)),0,""))</f>
        <v/>
      </c>
      <c r="U344" s="369" t="str">
        <f ca="1">IF($B344&lt;&gt;"PRC_RESID","",IF(U$7=2016+OFFSET(' COM_2017_old'!$B$60,$AW344,SUMIF($B$10:$B$16,"NCAP_TLIFE",$AX$10:$AX$16)),0,""))</f>
        <v/>
      </c>
      <c r="V344" s="369" t="str">
        <f ca="1">IF($B344&lt;&gt;"PRC_RESID","",IF(V$7=2016+OFFSET(' COM_2017_old'!$B$60,$AW344,SUMIF($B$10:$B$16,"NCAP_TLIFE",$AX$10:$AX$16)),0,""))</f>
        <v/>
      </c>
      <c r="W344" s="369" t="str">
        <f ca="1">IF($B344&lt;&gt;"PRC_RESID","",IF(W$7=2016+OFFSET(' COM_2017_old'!$B$60,$AW344,SUMIF($B$10:$B$16,"NCAP_TLIFE",$AX$10:$AX$16)),0,""))</f>
        <v/>
      </c>
      <c r="X344" s="369" t="str">
        <f ca="1">IF($B344&lt;&gt;"PRC_RESID","",IF(X$7=2016+OFFSET(' COM_2017_old'!$B$60,$AW344,SUMIF($B$10:$B$16,"NCAP_TLIFE",$AX$10:$AX$16)),0,""))</f>
        <v/>
      </c>
      <c r="Y344" s="369" t="str">
        <f ca="1">IF($B344&lt;&gt;"PRC_RESID","",IF(Y$7=2016+OFFSET(' COM_2017_old'!$B$60,$AW344,SUMIF($B$10:$B$16,"NCAP_TLIFE",$AX$10:$AX$16)),0,""))</f>
        <v/>
      </c>
      <c r="Z344" s="369" t="str">
        <f ca="1">IF($B344&lt;&gt;"PRC_RESID","",IF(Z$7=2016+OFFSET(' COM_2017_old'!$B$60,$AW344,SUMIF($B$10:$B$16,"NCAP_TLIFE",$AX$10:$AX$16)),0,""))</f>
        <v/>
      </c>
      <c r="AA344" s="369" t="str">
        <f ca="1">IF($B344&lt;&gt;"PRC_RESID","",IF(AA$7=2016+OFFSET(' COM_2017_old'!$B$60,$AW344,SUMIF($B$10:$B$16,"NCAP_TLIFE",$AX$10:$AX$16)),0,""))</f>
        <v/>
      </c>
      <c r="AB344" s="369" t="str">
        <f ca="1">IF($B344&lt;&gt;"PRC_RESID","",IF(AB$7=2016+OFFSET(' COM_2017_old'!$B$60,$AW344,SUMIF($B$10:$B$16,"NCAP_TLIFE",$AX$10:$AX$16)),0,""))</f>
        <v/>
      </c>
      <c r="AC344" s="369">
        <f ca="1">IF($B344&lt;&gt;"PRC_RESID","",IF(AC$7=2016+OFFSET(' COM_2017_old'!$B$60,$AW344,SUMIF($B$10:$B$16,"NCAP_TLIFE",$AX$10:$AX$16)),0,""))</f>
        <v>0</v>
      </c>
      <c r="AD344" s="369" t="str">
        <f ca="1">IF($B344&lt;&gt;"PRC_RESID","",IF(AD$7=2016+OFFSET(' COM_2017_old'!$B$60,$AW344,SUMIF($B$10:$B$16,"NCAP_TLIFE",$AX$10:$AX$16)),0,""))</f>
        <v/>
      </c>
      <c r="AE344" s="369" t="str">
        <f ca="1">IF($B344&lt;&gt;"PRC_RESID","",IF(AE$7=2005+OFFSET(COM_2012!$B$60,$AW344,SUMIF($B$10:$B$16,"NCAP_TLIFE",$AX$10:$AX$16)),0,""))</f>
        <v/>
      </c>
      <c r="AF344" s="369" t="str">
        <f ca="1">IF($B344&lt;&gt;"PRC_RESID","",IF(AF$7=2005+OFFSET(COM_2012!$B$60,$AW344,SUMIF($B$10:$B$16,"NCAP_TLIFE",$AX$10:$AX$16)),0,""))</f>
        <v/>
      </c>
      <c r="AG344" s="369" t="str">
        <f ca="1">IF($B344&lt;&gt;"PRC_RESID","",IF(AG$7=2005+OFFSET(COM_2012!$B$60,$AW344,SUMIF($B$10:$B$16,"NCAP_TLIFE",$AX$10:$AX$16)),0,""))</f>
        <v/>
      </c>
      <c r="AH344" s="369" t="str">
        <f ca="1">IF($B344&lt;&gt;"PRC_RESID","",IF(AH$7=2005+OFFSET(COM_2012!$B$60,$AW344,SUMIF($B$10:$B$16,"NCAP_TLIFE",$AX$10:$AX$16)),0,""))</f>
        <v/>
      </c>
      <c r="AI344" s="369" t="str">
        <f ca="1">IF($B344&lt;&gt;"PRC_RESID","",IF(AI$7=2005+OFFSET(COM_2012!$B$60,$AW344,SUMIF($B$10:$B$16,"NCAP_TLIFE",$AX$10:$AX$16)),0,""))</f>
        <v/>
      </c>
      <c r="AJ344" s="369" t="str">
        <f ca="1">IF($B344&lt;&gt;"PRC_RESID","",IF(AJ$7=2005+OFFSET(COM_2012!$B$60,$AW344,SUMIF($B$10:$B$16,"NCAP_TLIFE",$AX$10:$AX$16)),0,""))</f>
        <v/>
      </c>
      <c r="AK344" s="369" t="str">
        <f ca="1">IF($B344&lt;&gt;"PRC_RESID","",IF(AK$7=2005+OFFSET(COM_2012!$B$60,$AW344,SUMIF($B$10:$B$16,"NCAP_TLIFE",$AX$10:$AX$16)),0,""))</f>
        <v/>
      </c>
      <c r="AL344" s="369" t="str">
        <f ca="1">IF($B344&lt;&gt;"PRC_RESID","",IF(AL$7=2005+OFFSET(COM_2012!$B$60,$AW344,SUMIF($B$10:$B$16,"NCAP_TLIFE",$AX$10:$AX$16)),0,""))</f>
        <v/>
      </c>
      <c r="AM344" s="369" t="str">
        <f ca="1">IF($B344&lt;&gt;"PRC_RESID","",IF(AM$7=2005+OFFSET(COM_2012!$B$60,$AW344,SUMIF($B$10:$B$16,"NCAP_TLIFE",$AX$10:$AX$16)),0,""))</f>
        <v/>
      </c>
      <c r="AN344" s="369" t="str">
        <f ca="1">IF($B344&lt;&gt;"PRC_RESID","",IF(AN$7=2005+OFFSET(COM_2012!$B$60,$AW344,SUMIF($B$10:$B$16,"NCAP_TLIFE",$AX$10:$AX$16)),0,""))</f>
        <v/>
      </c>
      <c r="AO344" s="369" t="str">
        <f ca="1">IF($B344&lt;&gt;"PRC_RESID","",IF(AO$7=2005+OFFSET(COM_2012!$B$60,$AW344,SUMIF($B$10:$B$16,"NCAP_TLIFE",$AX$10:$AX$16)),0,""))</f>
        <v/>
      </c>
      <c r="AP344" s="369" t="str">
        <f ca="1">IF($B344&lt;&gt;"PRC_RESID","",IF(AP$7=2005+OFFSET(COM_2012!$B$60,$AW344,SUMIF($B$10:$B$16,"NCAP_TLIFE",$AX$10:$AX$16)),0,""))</f>
        <v/>
      </c>
      <c r="AQ344" s="369" t="str">
        <f ca="1">IF($B344&lt;&gt;"PRC_RESID","",IF(AQ$7=2005+OFFSET(COM_2012!$B$60,$AW344,SUMIF($B$10:$B$16,"NCAP_TLIFE",$AX$10:$AX$16)),0,""))</f>
        <v/>
      </c>
      <c r="AR344" s="369" t="str">
        <f ca="1">IF($B344&lt;&gt;"PRC_RESID","",IF(AR$7=2005+OFFSET(COM_2012!$B$60,$AW344,SUMIF($B$10:$B$16,"NCAP_TLIFE",$AX$10:$AX$16)),0,""))</f>
        <v/>
      </c>
      <c r="AS344" s="369" t="str">
        <f ca="1">IF($B344&lt;&gt;"PRC_RESID","",IF(AS$7=2005+OFFSET(COM_2012!$B$60,$AW344,SUMIF($B$10:$B$16,"NCAP_TLIFE",$AX$10:$AX$16)),0,""))</f>
        <v/>
      </c>
      <c r="AT344" s="369" t="str">
        <f ca="1">IF($B344&lt;&gt;"PRC_RESID","",IF(AT$7=2005+OFFSET(COM_2012!$B$60,$AW344,SUMIF($B$10:$B$16,"NCAP_TLIFE",$AX$10:$AX$16)),0,""))</f>
        <v/>
      </c>
      <c r="AU344" s="369" t="str">
        <f ca="1">IF($B344&lt;&gt;"PRC_RESID","",IF(AU$7=2005+OFFSET(COM_2012!$B$60,$AW344,SUMIF($B$10:$B$16,"NCAP_TLIFE",$AX$10:$AX$16)),0,""))</f>
        <v/>
      </c>
      <c r="AV344" s="304">
        <f>IF(AW343=COM_2012!$AI$121,AV343+1,AV343)</f>
        <v>6</v>
      </c>
      <c r="AW344" s="304">
        <f t="shared" si="33"/>
        <v>12</v>
      </c>
    </row>
    <row r="345" spans="1:49">
      <c r="A345" s="304" t="str">
        <f ca="1">IF(LEFT(OFFSET(COM_2012!$A$60,AW345,0),2)="\I","*","")</f>
        <v/>
      </c>
      <c r="B345" s="369" t="str">
        <f t="shared" ca="1" si="27"/>
        <v>PRC_RESID</v>
      </c>
      <c r="C345" s="369" t="str">
        <f ca="1">IF($A345="*","",OFFSET(COM_2012!$B$60,AW345,0))</f>
        <v>CEHGAS-N</v>
      </c>
      <c r="D345" s="369" t="str">
        <f t="shared" ca="1" si="34"/>
        <v>-</v>
      </c>
      <c r="E345" s="369" t="str">
        <f t="shared" ca="1" si="34"/>
        <v>-</v>
      </c>
      <c r="F345" s="369" t="str">
        <f t="shared" ca="1" si="34"/>
        <v>-</v>
      </c>
      <c r="G345" s="369" t="str">
        <f t="shared" ca="1" si="34"/>
        <v>-</v>
      </c>
      <c r="H345" s="369" t="str">
        <f t="shared" ca="1" si="34"/>
        <v>-</v>
      </c>
      <c r="I345" s="370">
        <f t="shared" ca="1" si="34"/>
        <v>0</v>
      </c>
      <c r="J345" s="391">
        <f ca="1">IF($A345="*","",OFFSET(COM_2012!$B$60,AW345,SUMIF($B$10:$B$16,B345,$AX$10:$AX$16)))</f>
        <v>0</v>
      </c>
      <c r="K345" s="369" t="str">
        <f ca="1">IF($B345&lt;&gt;"PRC_RESID","",IF(K$7=2005+OFFSET(COM_2012!$B$60,$AW345,SUMIF($B$10:$B$16,"NCAP_TLIFE",$AX$10:$AX$16)),0,""))</f>
        <v/>
      </c>
      <c r="L345" s="369" t="str">
        <f ca="1">IF($B345&lt;&gt;"PRC_RESID","",IF(L$7=2005+OFFSET(COM_2012!$B$60,$AW345,SUMIF($B$10:$B$16,"NCAP_TLIFE",$AX$10:$AX$16)),0,""))</f>
        <v/>
      </c>
      <c r="M345" s="369" t="str">
        <f ca="1">IF($B345&lt;&gt;"PRC_RESID","",IF(M$7=2005+OFFSET(COM_2012!$B$60,$AW345,SUMIF($B$10:$B$16,"NCAP_TLIFE",$AX$10:$AX$16)),0,""))</f>
        <v/>
      </c>
      <c r="N345" s="369" t="str">
        <f ca="1">IF($B345&lt;&gt;"PRC_RESID","",IF(N$7=2005+OFFSET(COM_2012!$B$60,$AW345,SUMIF($B$10:$B$16,"NCAP_TLIFE",$AX$10:$AX$16)),0,""))</f>
        <v/>
      </c>
      <c r="O345" s="391">
        <f ca="1">IF($A345="*","",OFFSET(' COM_2017_old'!$B$60,AW345,SUMIF($B$10:$B$16,B345,$AX$10:$AX$16)))</f>
        <v>0</v>
      </c>
      <c r="P345" s="369" t="str">
        <f ca="1">IF($B345&lt;&gt;"PRC_RESID","",IF(P$7=2005+OFFSET(COM_2012!$B$60,$AW345,SUMIF($B$10:$B$16,"NCAP_TLIFE",$AX$10:$AX$16)),0,""))</f>
        <v/>
      </c>
      <c r="Q345" s="369"/>
      <c r="R345" s="369" t="str">
        <f ca="1">IF($B345&lt;&gt;"PRC_RESID","",IF(R$7=2016+OFFSET(' COM_2017_old'!$B$60,$AW345,SUMIF($B$10:$B$16,"NCAP_TLIFE",$AX$10:$AX$16)),0,""))</f>
        <v/>
      </c>
      <c r="S345" s="369" t="str">
        <f ca="1">IF($B345&lt;&gt;"PRC_RESID","",IF(S$7=2016+OFFSET(' COM_2017_old'!$B$60,$AW345,SUMIF($B$10:$B$16,"NCAP_TLIFE",$AX$10:$AX$16)),0,""))</f>
        <v/>
      </c>
      <c r="T345" s="369" t="str">
        <f ca="1">IF($B345&lt;&gt;"PRC_RESID","",IF(T$7=2016+OFFSET(' COM_2017_old'!$B$60,$AW345,SUMIF($B$10:$B$16,"NCAP_TLIFE",$AX$10:$AX$16)),0,""))</f>
        <v/>
      </c>
      <c r="U345" s="369" t="str">
        <f ca="1">IF($B345&lt;&gt;"PRC_RESID","",IF(U$7=2016+OFFSET(' COM_2017_old'!$B$60,$AW345,SUMIF($B$10:$B$16,"NCAP_TLIFE",$AX$10:$AX$16)),0,""))</f>
        <v/>
      </c>
      <c r="V345" s="369" t="str">
        <f ca="1">IF($B345&lt;&gt;"PRC_RESID","",IF(V$7=2016+OFFSET(' COM_2017_old'!$B$60,$AW345,SUMIF($B$10:$B$16,"NCAP_TLIFE",$AX$10:$AX$16)),0,""))</f>
        <v/>
      </c>
      <c r="W345" s="369" t="str">
        <f ca="1">IF($B345&lt;&gt;"PRC_RESID","",IF(W$7=2016+OFFSET(' COM_2017_old'!$B$60,$AW345,SUMIF($B$10:$B$16,"NCAP_TLIFE",$AX$10:$AX$16)),0,""))</f>
        <v/>
      </c>
      <c r="X345" s="369" t="str">
        <f ca="1">IF($B345&lt;&gt;"PRC_RESID","",IF(X$7=2016+OFFSET(' COM_2017_old'!$B$60,$AW345,SUMIF($B$10:$B$16,"NCAP_TLIFE",$AX$10:$AX$16)),0,""))</f>
        <v/>
      </c>
      <c r="Y345" s="369" t="str">
        <f ca="1">IF($B345&lt;&gt;"PRC_RESID","",IF(Y$7=2016+OFFSET(' COM_2017_old'!$B$60,$AW345,SUMIF($B$10:$B$16,"NCAP_TLIFE",$AX$10:$AX$16)),0,""))</f>
        <v/>
      </c>
      <c r="Z345" s="369" t="str">
        <f ca="1">IF($B345&lt;&gt;"PRC_RESID","",IF(Z$7=2016+OFFSET(' COM_2017_old'!$B$60,$AW345,SUMIF($B$10:$B$16,"NCAP_TLIFE",$AX$10:$AX$16)),0,""))</f>
        <v/>
      </c>
      <c r="AA345" s="369" t="str">
        <f ca="1">IF($B345&lt;&gt;"PRC_RESID","",IF(AA$7=2016+OFFSET(' COM_2017_old'!$B$60,$AW345,SUMIF($B$10:$B$16,"NCAP_TLIFE",$AX$10:$AX$16)),0,""))</f>
        <v/>
      </c>
      <c r="AB345" s="369" t="str">
        <f ca="1">IF($B345&lt;&gt;"PRC_RESID","",IF(AB$7=2016+OFFSET(' COM_2017_old'!$B$60,$AW345,SUMIF($B$10:$B$16,"NCAP_TLIFE",$AX$10:$AX$16)),0,""))</f>
        <v/>
      </c>
      <c r="AC345" s="369">
        <f ca="1">IF($B345&lt;&gt;"PRC_RESID","",IF(AC$7=2016+OFFSET(' COM_2017_old'!$B$60,$AW345,SUMIF($B$10:$B$16,"NCAP_TLIFE",$AX$10:$AX$16)),0,""))</f>
        <v>0</v>
      </c>
      <c r="AD345" s="369" t="str">
        <f ca="1">IF($B345&lt;&gt;"PRC_RESID","",IF(AD$7=2016+OFFSET(' COM_2017_old'!$B$60,$AW345,SUMIF($B$10:$B$16,"NCAP_TLIFE",$AX$10:$AX$16)),0,""))</f>
        <v/>
      </c>
      <c r="AE345" s="369" t="str">
        <f ca="1">IF($B345&lt;&gt;"PRC_RESID","",IF(AE$7=2005+OFFSET(COM_2012!$B$60,$AW345,SUMIF($B$10:$B$16,"NCAP_TLIFE",$AX$10:$AX$16)),0,""))</f>
        <v/>
      </c>
      <c r="AF345" s="369" t="str">
        <f ca="1">IF($B345&lt;&gt;"PRC_RESID","",IF(AF$7=2005+OFFSET(COM_2012!$B$60,$AW345,SUMIF($B$10:$B$16,"NCAP_TLIFE",$AX$10:$AX$16)),0,""))</f>
        <v/>
      </c>
      <c r="AG345" s="369" t="str">
        <f ca="1">IF($B345&lt;&gt;"PRC_RESID","",IF(AG$7=2005+OFFSET(COM_2012!$B$60,$AW345,SUMIF($B$10:$B$16,"NCAP_TLIFE",$AX$10:$AX$16)),0,""))</f>
        <v/>
      </c>
      <c r="AH345" s="369" t="str">
        <f ca="1">IF($B345&lt;&gt;"PRC_RESID","",IF(AH$7=2005+OFFSET(COM_2012!$B$60,$AW345,SUMIF($B$10:$B$16,"NCAP_TLIFE",$AX$10:$AX$16)),0,""))</f>
        <v/>
      </c>
      <c r="AI345" s="369" t="str">
        <f ca="1">IF($B345&lt;&gt;"PRC_RESID","",IF(AI$7=2005+OFFSET(COM_2012!$B$60,$AW345,SUMIF($B$10:$B$16,"NCAP_TLIFE",$AX$10:$AX$16)),0,""))</f>
        <v/>
      </c>
      <c r="AJ345" s="369" t="str">
        <f ca="1">IF($B345&lt;&gt;"PRC_RESID","",IF(AJ$7=2005+OFFSET(COM_2012!$B$60,$AW345,SUMIF($B$10:$B$16,"NCAP_TLIFE",$AX$10:$AX$16)),0,""))</f>
        <v/>
      </c>
      <c r="AK345" s="369" t="str">
        <f ca="1">IF($B345&lt;&gt;"PRC_RESID","",IF(AK$7=2005+OFFSET(COM_2012!$B$60,$AW345,SUMIF($B$10:$B$16,"NCAP_TLIFE",$AX$10:$AX$16)),0,""))</f>
        <v/>
      </c>
      <c r="AL345" s="369" t="str">
        <f ca="1">IF($B345&lt;&gt;"PRC_RESID","",IF(AL$7=2005+OFFSET(COM_2012!$B$60,$AW345,SUMIF($B$10:$B$16,"NCAP_TLIFE",$AX$10:$AX$16)),0,""))</f>
        <v/>
      </c>
      <c r="AM345" s="369" t="str">
        <f ca="1">IF($B345&lt;&gt;"PRC_RESID","",IF(AM$7=2005+OFFSET(COM_2012!$B$60,$AW345,SUMIF($B$10:$B$16,"NCAP_TLIFE",$AX$10:$AX$16)),0,""))</f>
        <v/>
      </c>
      <c r="AN345" s="369" t="str">
        <f ca="1">IF($B345&lt;&gt;"PRC_RESID","",IF(AN$7=2005+OFFSET(COM_2012!$B$60,$AW345,SUMIF($B$10:$B$16,"NCAP_TLIFE",$AX$10:$AX$16)),0,""))</f>
        <v/>
      </c>
      <c r="AO345" s="369" t="str">
        <f ca="1">IF($B345&lt;&gt;"PRC_RESID","",IF(AO$7=2005+OFFSET(COM_2012!$B$60,$AW345,SUMIF($B$10:$B$16,"NCAP_TLIFE",$AX$10:$AX$16)),0,""))</f>
        <v/>
      </c>
      <c r="AP345" s="369" t="str">
        <f ca="1">IF($B345&lt;&gt;"PRC_RESID","",IF(AP$7=2005+OFFSET(COM_2012!$B$60,$AW345,SUMIF($B$10:$B$16,"NCAP_TLIFE",$AX$10:$AX$16)),0,""))</f>
        <v/>
      </c>
      <c r="AQ345" s="369" t="str">
        <f ca="1">IF($B345&lt;&gt;"PRC_RESID","",IF(AQ$7=2005+OFFSET(COM_2012!$B$60,$AW345,SUMIF($B$10:$B$16,"NCAP_TLIFE",$AX$10:$AX$16)),0,""))</f>
        <v/>
      </c>
      <c r="AR345" s="369" t="str">
        <f ca="1">IF($B345&lt;&gt;"PRC_RESID","",IF(AR$7=2005+OFFSET(COM_2012!$B$60,$AW345,SUMIF($B$10:$B$16,"NCAP_TLIFE",$AX$10:$AX$16)),0,""))</f>
        <v/>
      </c>
      <c r="AS345" s="369" t="str">
        <f ca="1">IF($B345&lt;&gt;"PRC_RESID","",IF(AS$7=2005+OFFSET(COM_2012!$B$60,$AW345,SUMIF($B$10:$B$16,"NCAP_TLIFE",$AX$10:$AX$16)),0,""))</f>
        <v/>
      </c>
      <c r="AT345" s="369" t="str">
        <f ca="1">IF($B345&lt;&gt;"PRC_RESID","",IF(AT$7=2005+OFFSET(COM_2012!$B$60,$AW345,SUMIF($B$10:$B$16,"NCAP_TLIFE",$AX$10:$AX$16)),0,""))</f>
        <v/>
      </c>
      <c r="AU345" s="369" t="str">
        <f ca="1">IF($B345&lt;&gt;"PRC_RESID","",IF(AU$7=2005+OFFSET(COM_2012!$B$60,$AW345,SUMIF($B$10:$B$16,"NCAP_TLIFE",$AX$10:$AX$16)),0,""))</f>
        <v/>
      </c>
      <c r="AV345" s="304">
        <f>IF(AW344=COM_2012!$AI$121,AV344+1,AV344)</f>
        <v>6</v>
      </c>
      <c r="AW345" s="304">
        <f t="shared" si="33"/>
        <v>13</v>
      </c>
    </row>
    <row r="346" spans="1:49">
      <c r="A346" s="304" t="str">
        <f ca="1">IF(LEFT(OFFSET(COM_2012!$A$60,AW346,0),2)="\I","*","")</f>
        <v>*</v>
      </c>
      <c r="B346" s="369" t="str">
        <f t="shared" ca="1" si="27"/>
        <v/>
      </c>
      <c r="C346" s="369" t="str">
        <f ca="1">IF($A346="*","",OFFSET(COM_2012!$B$60,AW346,0))</f>
        <v/>
      </c>
      <c r="D346" s="369" t="str">
        <f t="shared" ca="1" si="34"/>
        <v/>
      </c>
      <c r="E346" s="369" t="str">
        <f t="shared" ca="1" si="34"/>
        <v/>
      </c>
      <c r="F346" s="369" t="str">
        <f t="shared" ca="1" si="34"/>
        <v/>
      </c>
      <c r="G346" s="369" t="str">
        <f t="shared" ca="1" si="34"/>
        <v/>
      </c>
      <c r="H346" s="369" t="str">
        <f t="shared" ca="1" si="34"/>
        <v/>
      </c>
      <c r="I346" s="370" t="str">
        <f t="shared" ca="1" si="34"/>
        <v/>
      </c>
      <c r="J346" s="391" t="str">
        <f ca="1">IF($A346="*","",OFFSET(COM_2012!$B$60,AW346,SUMIF($B$10:$B$16,B346,$AX$10:$AX$16)))</f>
        <v/>
      </c>
      <c r="K346" s="369" t="str">
        <f ca="1">IF($B346&lt;&gt;"PRC_RESID","",IF(K$7=2005+OFFSET(COM_2012!$B$60,$AW346,SUMIF($B$10:$B$16,"NCAP_TLIFE",$AX$10:$AX$16)),0,""))</f>
        <v/>
      </c>
      <c r="L346" s="369" t="str">
        <f ca="1">IF($B346&lt;&gt;"PRC_RESID","",IF(L$7=2005+OFFSET(COM_2012!$B$60,$AW346,SUMIF($B$10:$B$16,"NCAP_TLIFE",$AX$10:$AX$16)),0,""))</f>
        <v/>
      </c>
      <c r="M346" s="369" t="str">
        <f ca="1">IF($B346&lt;&gt;"PRC_RESID","",IF(M$7=2005+OFFSET(COM_2012!$B$60,$AW346,SUMIF($B$10:$B$16,"NCAP_TLIFE",$AX$10:$AX$16)),0,""))</f>
        <v/>
      </c>
      <c r="N346" s="369" t="str">
        <f ca="1">IF($B346&lt;&gt;"PRC_RESID","",IF(N$7=2005+OFFSET(COM_2012!$B$60,$AW346,SUMIF($B$10:$B$16,"NCAP_TLIFE",$AX$10:$AX$16)),0,""))</f>
        <v/>
      </c>
      <c r="O346" s="391" t="str">
        <f ca="1">IF($A346="*","",OFFSET(' COM_2017_old'!$B$60,AW346,SUMIF($B$10:$B$16,B346,$AX$10:$AX$16)))</f>
        <v/>
      </c>
      <c r="P346" s="369" t="str">
        <f ca="1">IF($B346&lt;&gt;"PRC_RESID","",IF(P$7=2005+OFFSET(COM_2012!$B$60,$AW346,SUMIF($B$10:$B$16,"NCAP_TLIFE",$AX$10:$AX$16)),0,""))</f>
        <v/>
      </c>
      <c r="Q346" s="369"/>
      <c r="R346" s="369" t="str">
        <f ca="1">IF($B346&lt;&gt;"PRC_RESID","",IF(R$7=2016+OFFSET(' COM_2017_old'!$B$60,$AW346,SUMIF($B$10:$B$16,"NCAP_TLIFE",$AX$10:$AX$16)),0,""))</f>
        <v/>
      </c>
      <c r="S346" s="369" t="str">
        <f ca="1">IF($B346&lt;&gt;"PRC_RESID","",IF(S$7=2016+OFFSET(' COM_2017_old'!$B$60,$AW346,SUMIF($B$10:$B$16,"NCAP_TLIFE",$AX$10:$AX$16)),0,""))</f>
        <v/>
      </c>
      <c r="T346" s="369" t="str">
        <f ca="1">IF($B346&lt;&gt;"PRC_RESID","",IF(T$7=2016+OFFSET(' COM_2017_old'!$B$60,$AW346,SUMIF($B$10:$B$16,"NCAP_TLIFE",$AX$10:$AX$16)),0,""))</f>
        <v/>
      </c>
      <c r="U346" s="369" t="str">
        <f ca="1">IF($B346&lt;&gt;"PRC_RESID","",IF(U$7=2016+OFFSET(' COM_2017_old'!$B$60,$AW346,SUMIF($B$10:$B$16,"NCAP_TLIFE",$AX$10:$AX$16)),0,""))</f>
        <v/>
      </c>
      <c r="V346" s="369" t="str">
        <f ca="1">IF($B346&lt;&gt;"PRC_RESID","",IF(V$7=2016+OFFSET(' COM_2017_old'!$B$60,$AW346,SUMIF($B$10:$B$16,"NCAP_TLIFE",$AX$10:$AX$16)),0,""))</f>
        <v/>
      </c>
      <c r="W346" s="369" t="str">
        <f ca="1">IF($B346&lt;&gt;"PRC_RESID","",IF(W$7=2016+OFFSET(' COM_2017_old'!$B$60,$AW346,SUMIF($B$10:$B$16,"NCAP_TLIFE",$AX$10:$AX$16)),0,""))</f>
        <v/>
      </c>
      <c r="X346" s="369" t="str">
        <f ca="1">IF($B346&lt;&gt;"PRC_RESID","",IF(X$7=2016+OFFSET(' COM_2017_old'!$B$60,$AW346,SUMIF($B$10:$B$16,"NCAP_TLIFE",$AX$10:$AX$16)),0,""))</f>
        <v/>
      </c>
      <c r="Y346" s="369" t="str">
        <f ca="1">IF($B346&lt;&gt;"PRC_RESID","",IF(Y$7=2016+OFFSET(' COM_2017_old'!$B$60,$AW346,SUMIF($B$10:$B$16,"NCAP_TLIFE",$AX$10:$AX$16)),0,""))</f>
        <v/>
      </c>
      <c r="Z346" s="369" t="str">
        <f ca="1">IF($B346&lt;&gt;"PRC_RESID","",IF(Z$7=2016+OFFSET(' COM_2017_old'!$B$60,$AW346,SUMIF($B$10:$B$16,"NCAP_TLIFE",$AX$10:$AX$16)),0,""))</f>
        <v/>
      </c>
      <c r="AA346" s="369" t="str">
        <f ca="1">IF($B346&lt;&gt;"PRC_RESID","",IF(AA$7=2016+OFFSET(' COM_2017_old'!$B$60,$AW346,SUMIF($B$10:$B$16,"NCAP_TLIFE",$AX$10:$AX$16)),0,""))</f>
        <v/>
      </c>
      <c r="AB346" s="369" t="str">
        <f ca="1">IF($B346&lt;&gt;"PRC_RESID","",IF(AB$7=2016+OFFSET(' COM_2017_old'!$B$60,$AW346,SUMIF($B$10:$B$16,"NCAP_TLIFE",$AX$10:$AX$16)),0,""))</f>
        <v/>
      </c>
      <c r="AC346" s="369" t="str">
        <f ca="1">IF($B346&lt;&gt;"PRC_RESID","",IF(AC$7=2016+OFFSET(' COM_2017_old'!$B$60,$AW346,SUMIF($B$10:$B$16,"NCAP_TLIFE",$AX$10:$AX$16)),0,""))</f>
        <v/>
      </c>
      <c r="AD346" s="369" t="str">
        <f ca="1">IF($B346&lt;&gt;"PRC_RESID","",IF(AD$7=2016+OFFSET(' COM_2017_old'!$B$60,$AW346,SUMIF($B$10:$B$16,"NCAP_TLIFE",$AX$10:$AX$16)),0,""))</f>
        <v/>
      </c>
      <c r="AE346" s="369" t="str">
        <f ca="1">IF($B346&lt;&gt;"PRC_RESID","",IF(AE$7=2005+OFFSET(COM_2012!$B$60,$AW346,SUMIF($B$10:$B$16,"NCAP_TLIFE",$AX$10:$AX$16)),0,""))</f>
        <v/>
      </c>
      <c r="AF346" s="369" t="str">
        <f ca="1">IF($B346&lt;&gt;"PRC_RESID","",IF(AF$7=2005+OFFSET(COM_2012!$B$60,$AW346,SUMIF($B$10:$B$16,"NCAP_TLIFE",$AX$10:$AX$16)),0,""))</f>
        <v/>
      </c>
      <c r="AG346" s="369" t="str">
        <f ca="1">IF($B346&lt;&gt;"PRC_RESID","",IF(AG$7=2005+OFFSET(COM_2012!$B$60,$AW346,SUMIF($B$10:$B$16,"NCAP_TLIFE",$AX$10:$AX$16)),0,""))</f>
        <v/>
      </c>
      <c r="AH346" s="369" t="str">
        <f ca="1">IF($B346&lt;&gt;"PRC_RESID","",IF(AH$7=2005+OFFSET(COM_2012!$B$60,$AW346,SUMIF($B$10:$B$16,"NCAP_TLIFE",$AX$10:$AX$16)),0,""))</f>
        <v/>
      </c>
      <c r="AI346" s="369" t="str">
        <f ca="1">IF($B346&lt;&gt;"PRC_RESID","",IF(AI$7=2005+OFFSET(COM_2012!$B$60,$AW346,SUMIF($B$10:$B$16,"NCAP_TLIFE",$AX$10:$AX$16)),0,""))</f>
        <v/>
      </c>
      <c r="AJ346" s="369" t="str">
        <f ca="1">IF($B346&lt;&gt;"PRC_RESID","",IF(AJ$7=2005+OFFSET(COM_2012!$B$60,$AW346,SUMIF($B$10:$B$16,"NCAP_TLIFE",$AX$10:$AX$16)),0,""))</f>
        <v/>
      </c>
      <c r="AK346" s="369" t="str">
        <f ca="1">IF($B346&lt;&gt;"PRC_RESID","",IF(AK$7=2005+OFFSET(COM_2012!$B$60,$AW346,SUMIF($B$10:$B$16,"NCAP_TLIFE",$AX$10:$AX$16)),0,""))</f>
        <v/>
      </c>
      <c r="AL346" s="369" t="str">
        <f ca="1">IF($B346&lt;&gt;"PRC_RESID","",IF(AL$7=2005+OFFSET(COM_2012!$B$60,$AW346,SUMIF($B$10:$B$16,"NCAP_TLIFE",$AX$10:$AX$16)),0,""))</f>
        <v/>
      </c>
      <c r="AM346" s="369" t="str">
        <f ca="1">IF($B346&lt;&gt;"PRC_RESID","",IF(AM$7=2005+OFFSET(COM_2012!$B$60,$AW346,SUMIF($B$10:$B$16,"NCAP_TLIFE",$AX$10:$AX$16)),0,""))</f>
        <v/>
      </c>
      <c r="AN346" s="369" t="str">
        <f ca="1">IF($B346&lt;&gt;"PRC_RESID","",IF(AN$7=2005+OFFSET(COM_2012!$B$60,$AW346,SUMIF($B$10:$B$16,"NCAP_TLIFE",$AX$10:$AX$16)),0,""))</f>
        <v/>
      </c>
      <c r="AO346" s="369" t="str">
        <f ca="1">IF($B346&lt;&gt;"PRC_RESID","",IF(AO$7=2005+OFFSET(COM_2012!$B$60,$AW346,SUMIF($B$10:$B$16,"NCAP_TLIFE",$AX$10:$AX$16)),0,""))</f>
        <v/>
      </c>
      <c r="AP346" s="369" t="str">
        <f ca="1">IF($B346&lt;&gt;"PRC_RESID","",IF(AP$7=2005+OFFSET(COM_2012!$B$60,$AW346,SUMIF($B$10:$B$16,"NCAP_TLIFE",$AX$10:$AX$16)),0,""))</f>
        <v/>
      </c>
      <c r="AQ346" s="369" t="str">
        <f ca="1">IF($B346&lt;&gt;"PRC_RESID","",IF(AQ$7=2005+OFFSET(COM_2012!$B$60,$AW346,SUMIF($B$10:$B$16,"NCAP_TLIFE",$AX$10:$AX$16)),0,""))</f>
        <v/>
      </c>
      <c r="AR346" s="369" t="str">
        <f ca="1">IF($B346&lt;&gt;"PRC_RESID","",IF(AR$7=2005+OFFSET(COM_2012!$B$60,$AW346,SUMIF($B$10:$B$16,"NCAP_TLIFE",$AX$10:$AX$16)),0,""))</f>
        <v/>
      </c>
      <c r="AS346" s="369" t="str">
        <f ca="1">IF($B346&lt;&gt;"PRC_RESID","",IF(AS$7=2005+OFFSET(COM_2012!$B$60,$AW346,SUMIF($B$10:$B$16,"NCAP_TLIFE",$AX$10:$AX$16)),0,""))</f>
        <v/>
      </c>
      <c r="AT346" s="369" t="str">
        <f ca="1">IF($B346&lt;&gt;"PRC_RESID","",IF(AT$7=2005+OFFSET(COM_2012!$B$60,$AW346,SUMIF($B$10:$B$16,"NCAP_TLIFE",$AX$10:$AX$16)),0,""))</f>
        <v/>
      </c>
      <c r="AU346" s="369" t="str">
        <f ca="1">IF($B346&lt;&gt;"PRC_RESID","",IF(AU$7=2005+OFFSET(COM_2012!$B$60,$AW346,SUMIF($B$10:$B$16,"NCAP_TLIFE",$AX$10:$AX$16)),0,""))</f>
        <v/>
      </c>
      <c r="AV346" s="304">
        <f>IF(AW345=COM_2012!$AI$121,AV345+1,AV345)</f>
        <v>6</v>
      </c>
      <c r="AW346" s="304">
        <f t="shared" si="33"/>
        <v>14</v>
      </c>
    </row>
    <row r="347" spans="1:49">
      <c r="A347" s="304" t="str">
        <f ca="1">IF(LEFT(OFFSET(COM_2012!$A$60,AW347,0),2)="\I","*","")</f>
        <v>*</v>
      </c>
      <c r="B347" s="369" t="str">
        <f t="shared" ca="1" si="27"/>
        <v/>
      </c>
      <c r="C347" s="369" t="str">
        <f ca="1">IF($A347="*","",OFFSET(COM_2012!$B$60,AW347,0))</f>
        <v/>
      </c>
      <c r="D347" s="369" t="str">
        <f t="shared" ca="1" si="34"/>
        <v/>
      </c>
      <c r="E347" s="369" t="str">
        <f t="shared" ca="1" si="34"/>
        <v/>
      </c>
      <c r="F347" s="369" t="str">
        <f t="shared" ca="1" si="34"/>
        <v/>
      </c>
      <c r="G347" s="369" t="str">
        <f t="shared" ca="1" si="34"/>
        <v/>
      </c>
      <c r="H347" s="369" t="str">
        <f t="shared" ca="1" si="34"/>
        <v/>
      </c>
      <c r="I347" s="370" t="str">
        <f t="shared" ca="1" si="34"/>
        <v/>
      </c>
      <c r="J347" s="391" t="str">
        <f ca="1">IF($A347="*","",OFFSET(COM_2012!$B$60,AW347,SUMIF($B$10:$B$16,B347,$AX$10:$AX$16)))</f>
        <v/>
      </c>
      <c r="K347" s="369" t="str">
        <f ca="1">IF($B347&lt;&gt;"PRC_RESID","",IF(K$7=2005+OFFSET(COM_2012!$B$60,$AW347,SUMIF($B$10:$B$16,"NCAP_TLIFE",$AX$10:$AX$16)),0,""))</f>
        <v/>
      </c>
      <c r="L347" s="369" t="str">
        <f ca="1">IF($B347&lt;&gt;"PRC_RESID","",IF(L$7=2005+OFFSET(COM_2012!$B$60,$AW347,SUMIF($B$10:$B$16,"NCAP_TLIFE",$AX$10:$AX$16)),0,""))</f>
        <v/>
      </c>
      <c r="M347" s="369" t="str">
        <f ca="1">IF($B347&lt;&gt;"PRC_RESID","",IF(M$7=2005+OFFSET(COM_2012!$B$60,$AW347,SUMIF($B$10:$B$16,"NCAP_TLIFE",$AX$10:$AX$16)),0,""))</f>
        <v/>
      </c>
      <c r="N347" s="369" t="str">
        <f ca="1">IF($B347&lt;&gt;"PRC_RESID","",IF(N$7=2005+OFFSET(COM_2012!$B$60,$AW347,SUMIF($B$10:$B$16,"NCAP_TLIFE",$AX$10:$AX$16)),0,""))</f>
        <v/>
      </c>
      <c r="O347" s="391" t="str">
        <f ca="1">IF($A347="*","",OFFSET(' COM_2017_old'!$B$60,AW347,SUMIF($B$10:$B$16,B347,$AX$10:$AX$16)))</f>
        <v/>
      </c>
      <c r="P347" s="369" t="str">
        <f ca="1">IF($B347&lt;&gt;"PRC_RESID","",IF(P$7=2005+OFFSET(COM_2012!$B$60,$AW347,SUMIF($B$10:$B$16,"NCAP_TLIFE",$AX$10:$AX$16)),0,""))</f>
        <v/>
      </c>
      <c r="Q347" s="369"/>
      <c r="R347" s="369" t="str">
        <f ca="1">IF($B347&lt;&gt;"PRC_RESID","",IF(R$7=2016+OFFSET(' COM_2017_old'!$B$60,$AW347,SUMIF($B$10:$B$16,"NCAP_TLIFE",$AX$10:$AX$16)),0,""))</f>
        <v/>
      </c>
      <c r="S347" s="369" t="str">
        <f ca="1">IF($B347&lt;&gt;"PRC_RESID","",IF(S$7=2016+OFFSET(' COM_2017_old'!$B$60,$AW347,SUMIF($B$10:$B$16,"NCAP_TLIFE",$AX$10:$AX$16)),0,""))</f>
        <v/>
      </c>
      <c r="T347" s="369" t="str">
        <f ca="1">IF($B347&lt;&gt;"PRC_RESID","",IF(T$7=2016+OFFSET(' COM_2017_old'!$B$60,$AW347,SUMIF($B$10:$B$16,"NCAP_TLIFE",$AX$10:$AX$16)),0,""))</f>
        <v/>
      </c>
      <c r="U347" s="369" t="str">
        <f ca="1">IF($B347&lt;&gt;"PRC_RESID","",IF(U$7=2016+OFFSET(' COM_2017_old'!$B$60,$AW347,SUMIF($B$10:$B$16,"NCAP_TLIFE",$AX$10:$AX$16)),0,""))</f>
        <v/>
      </c>
      <c r="V347" s="369" t="str">
        <f ca="1">IF($B347&lt;&gt;"PRC_RESID","",IF(V$7=2016+OFFSET(' COM_2017_old'!$B$60,$AW347,SUMIF($B$10:$B$16,"NCAP_TLIFE",$AX$10:$AX$16)),0,""))</f>
        <v/>
      </c>
      <c r="W347" s="369" t="str">
        <f ca="1">IF($B347&lt;&gt;"PRC_RESID","",IF(W$7=2016+OFFSET(' COM_2017_old'!$B$60,$AW347,SUMIF($B$10:$B$16,"NCAP_TLIFE",$AX$10:$AX$16)),0,""))</f>
        <v/>
      </c>
      <c r="X347" s="369" t="str">
        <f ca="1">IF($B347&lt;&gt;"PRC_RESID","",IF(X$7=2016+OFFSET(' COM_2017_old'!$B$60,$AW347,SUMIF($B$10:$B$16,"NCAP_TLIFE",$AX$10:$AX$16)),0,""))</f>
        <v/>
      </c>
      <c r="Y347" s="369" t="str">
        <f ca="1">IF($B347&lt;&gt;"PRC_RESID","",IF(Y$7=2016+OFFSET(' COM_2017_old'!$B$60,$AW347,SUMIF($B$10:$B$16,"NCAP_TLIFE",$AX$10:$AX$16)),0,""))</f>
        <v/>
      </c>
      <c r="Z347" s="369" t="str">
        <f ca="1">IF($B347&lt;&gt;"PRC_RESID","",IF(Z$7=2016+OFFSET(' COM_2017_old'!$B$60,$AW347,SUMIF($B$10:$B$16,"NCAP_TLIFE",$AX$10:$AX$16)),0,""))</f>
        <v/>
      </c>
      <c r="AA347" s="369" t="str">
        <f ca="1">IF($B347&lt;&gt;"PRC_RESID","",IF(AA$7=2016+OFFSET(' COM_2017_old'!$B$60,$AW347,SUMIF($B$10:$B$16,"NCAP_TLIFE",$AX$10:$AX$16)),0,""))</f>
        <v/>
      </c>
      <c r="AB347" s="369" t="str">
        <f ca="1">IF($B347&lt;&gt;"PRC_RESID","",IF(AB$7=2016+OFFSET(' COM_2017_old'!$B$60,$AW347,SUMIF($B$10:$B$16,"NCAP_TLIFE",$AX$10:$AX$16)),0,""))</f>
        <v/>
      </c>
      <c r="AC347" s="369" t="str">
        <f ca="1">IF($B347&lt;&gt;"PRC_RESID","",IF(AC$7=2016+OFFSET(' COM_2017_old'!$B$60,$AW347,SUMIF($B$10:$B$16,"NCAP_TLIFE",$AX$10:$AX$16)),0,""))</f>
        <v/>
      </c>
      <c r="AD347" s="369" t="str">
        <f ca="1">IF($B347&lt;&gt;"PRC_RESID","",IF(AD$7=2016+OFFSET(' COM_2017_old'!$B$60,$AW347,SUMIF($B$10:$B$16,"NCAP_TLIFE",$AX$10:$AX$16)),0,""))</f>
        <v/>
      </c>
      <c r="AE347" s="369" t="str">
        <f ca="1">IF($B347&lt;&gt;"PRC_RESID","",IF(AE$7=2005+OFFSET(COM_2012!$B$60,$AW347,SUMIF($B$10:$B$16,"NCAP_TLIFE",$AX$10:$AX$16)),0,""))</f>
        <v/>
      </c>
      <c r="AF347" s="369" t="str">
        <f ca="1">IF($B347&lt;&gt;"PRC_RESID","",IF(AF$7=2005+OFFSET(COM_2012!$B$60,$AW347,SUMIF($B$10:$B$16,"NCAP_TLIFE",$AX$10:$AX$16)),0,""))</f>
        <v/>
      </c>
      <c r="AG347" s="369" t="str">
        <f ca="1">IF($B347&lt;&gt;"PRC_RESID","",IF(AG$7=2005+OFFSET(COM_2012!$B$60,$AW347,SUMIF($B$10:$B$16,"NCAP_TLIFE",$AX$10:$AX$16)),0,""))</f>
        <v/>
      </c>
      <c r="AH347" s="369" t="str">
        <f ca="1">IF($B347&lt;&gt;"PRC_RESID","",IF(AH$7=2005+OFFSET(COM_2012!$B$60,$AW347,SUMIF($B$10:$B$16,"NCAP_TLIFE",$AX$10:$AX$16)),0,""))</f>
        <v/>
      </c>
      <c r="AI347" s="369" t="str">
        <f ca="1">IF($B347&lt;&gt;"PRC_RESID","",IF(AI$7=2005+OFFSET(COM_2012!$B$60,$AW347,SUMIF($B$10:$B$16,"NCAP_TLIFE",$AX$10:$AX$16)),0,""))</f>
        <v/>
      </c>
      <c r="AJ347" s="369" t="str">
        <f ca="1">IF($B347&lt;&gt;"PRC_RESID","",IF(AJ$7=2005+OFFSET(COM_2012!$B$60,$AW347,SUMIF($B$10:$B$16,"NCAP_TLIFE",$AX$10:$AX$16)),0,""))</f>
        <v/>
      </c>
      <c r="AK347" s="369" t="str">
        <f ca="1">IF($B347&lt;&gt;"PRC_RESID","",IF(AK$7=2005+OFFSET(COM_2012!$B$60,$AW347,SUMIF($B$10:$B$16,"NCAP_TLIFE",$AX$10:$AX$16)),0,""))</f>
        <v/>
      </c>
      <c r="AL347" s="369" t="str">
        <f ca="1">IF($B347&lt;&gt;"PRC_RESID","",IF(AL$7=2005+OFFSET(COM_2012!$B$60,$AW347,SUMIF($B$10:$B$16,"NCAP_TLIFE",$AX$10:$AX$16)),0,""))</f>
        <v/>
      </c>
      <c r="AM347" s="369" t="str">
        <f ca="1">IF($B347&lt;&gt;"PRC_RESID","",IF(AM$7=2005+OFFSET(COM_2012!$B$60,$AW347,SUMIF($B$10:$B$16,"NCAP_TLIFE",$AX$10:$AX$16)),0,""))</f>
        <v/>
      </c>
      <c r="AN347" s="369" t="str">
        <f ca="1">IF($B347&lt;&gt;"PRC_RESID","",IF(AN$7=2005+OFFSET(COM_2012!$B$60,$AW347,SUMIF($B$10:$B$16,"NCAP_TLIFE",$AX$10:$AX$16)),0,""))</f>
        <v/>
      </c>
      <c r="AO347" s="369" t="str">
        <f ca="1">IF($B347&lt;&gt;"PRC_RESID","",IF(AO$7=2005+OFFSET(COM_2012!$B$60,$AW347,SUMIF($B$10:$B$16,"NCAP_TLIFE",$AX$10:$AX$16)),0,""))</f>
        <v/>
      </c>
      <c r="AP347" s="369" t="str">
        <f ca="1">IF($B347&lt;&gt;"PRC_RESID","",IF(AP$7=2005+OFFSET(COM_2012!$B$60,$AW347,SUMIF($B$10:$B$16,"NCAP_TLIFE",$AX$10:$AX$16)),0,""))</f>
        <v/>
      </c>
      <c r="AQ347" s="369" t="str">
        <f ca="1">IF($B347&lt;&gt;"PRC_RESID","",IF(AQ$7=2005+OFFSET(COM_2012!$B$60,$AW347,SUMIF($B$10:$B$16,"NCAP_TLIFE",$AX$10:$AX$16)),0,""))</f>
        <v/>
      </c>
      <c r="AR347" s="369" t="str">
        <f ca="1">IF($B347&lt;&gt;"PRC_RESID","",IF(AR$7=2005+OFFSET(COM_2012!$B$60,$AW347,SUMIF($B$10:$B$16,"NCAP_TLIFE",$AX$10:$AX$16)),0,""))</f>
        <v/>
      </c>
      <c r="AS347" s="369" t="str">
        <f ca="1">IF($B347&lt;&gt;"PRC_RESID","",IF(AS$7=2005+OFFSET(COM_2012!$B$60,$AW347,SUMIF($B$10:$B$16,"NCAP_TLIFE",$AX$10:$AX$16)),0,""))</f>
        <v/>
      </c>
      <c r="AT347" s="369" t="str">
        <f ca="1">IF($B347&lt;&gt;"PRC_RESID","",IF(AT$7=2005+OFFSET(COM_2012!$B$60,$AW347,SUMIF($B$10:$B$16,"NCAP_TLIFE",$AX$10:$AX$16)),0,""))</f>
        <v/>
      </c>
      <c r="AU347" s="369" t="str">
        <f ca="1">IF($B347&lt;&gt;"PRC_RESID","",IF(AU$7=2005+OFFSET(COM_2012!$B$60,$AW347,SUMIF($B$10:$B$16,"NCAP_TLIFE",$AX$10:$AX$16)),0,""))</f>
        <v/>
      </c>
      <c r="AV347" s="304">
        <f>IF(AW346=COM_2012!$AI$121,AV346+1,AV346)</f>
        <v>6</v>
      </c>
      <c r="AW347" s="304">
        <f t="shared" si="33"/>
        <v>15</v>
      </c>
    </row>
    <row r="348" spans="1:49">
      <c r="A348" s="304" t="str">
        <f ca="1">IF(LEFT(OFFSET(COM_2012!$A$60,AW348,0),2)="\I","*","")</f>
        <v/>
      </c>
      <c r="B348" s="369" t="str">
        <f t="shared" ref="B348:B393" ca="1" si="35">IF(A348="*","",VLOOKUP("*"&amp;AV348,$A$9:$B$16,2,FALSE))</f>
        <v>PRC_RESID</v>
      </c>
      <c r="C348" s="369" t="str">
        <f ca="1">IF($A348="*","",OFFSET(COM_2012!$B$60,AW348,0))</f>
        <v>CEKOLP-E</v>
      </c>
      <c r="D348" s="369" t="str">
        <f t="shared" ca="1" si="34"/>
        <v>-</v>
      </c>
      <c r="E348" s="369" t="str">
        <f t="shared" ca="1" si="34"/>
        <v>-</v>
      </c>
      <c r="F348" s="369" t="str">
        <f t="shared" ca="1" si="34"/>
        <v>-</v>
      </c>
      <c r="G348" s="369" t="str">
        <f t="shared" ca="1" si="34"/>
        <v>-</v>
      </c>
      <c r="H348" s="369" t="str">
        <f t="shared" ca="1" si="34"/>
        <v>-</v>
      </c>
      <c r="I348" s="370">
        <f t="shared" ca="1" si="34"/>
        <v>0</v>
      </c>
      <c r="J348" s="391">
        <f ca="1">IF($A348="*","",OFFSET(COM_2012!$B$60,AW348,SUMIF($B$10:$B$16,B348,$AX$10:$AX$16)))</f>
        <v>0.53413275520603254</v>
      </c>
      <c r="K348" s="369" t="str">
        <f ca="1">IF($B348&lt;&gt;"PRC_RESID","",IF(K$7=2005+OFFSET(COM_2012!$B$60,$AW348,SUMIF($B$10:$B$16,"NCAP_TLIFE",$AX$10:$AX$16)),0,""))</f>
        <v/>
      </c>
      <c r="L348" s="369" t="str">
        <f ca="1">IF($B348&lt;&gt;"PRC_RESID","",IF(L$7=2005+OFFSET(COM_2012!$B$60,$AW348,SUMIF($B$10:$B$16,"NCAP_TLIFE",$AX$10:$AX$16)),0,""))</f>
        <v/>
      </c>
      <c r="M348" s="369" t="str">
        <f ca="1">IF($B348&lt;&gt;"PRC_RESID","",IF(M$7=2005+OFFSET(COM_2012!$B$60,$AW348,SUMIF($B$10:$B$16,"NCAP_TLIFE",$AX$10:$AX$16)),0,""))</f>
        <v/>
      </c>
      <c r="N348" s="369" t="str">
        <f ca="1">IF($B348&lt;&gt;"PRC_RESID","",IF(N$7=2005+OFFSET(COM_2012!$B$60,$AW348,SUMIF($B$10:$B$16,"NCAP_TLIFE",$AX$10:$AX$16)),0,""))</f>
        <v/>
      </c>
      <c r="O348" s="391">
        <f ca="1">IF($A348="*","",OFFSET(' COM_2017_old'!$B$60,AW348,SUMIF($B$10:$B$16,B348,$AX$10:$AX$16)))</f>
        <v>5.8246824648457519E-2</v>
      </c>
      <c r="P348" s="369" t="str">
        <f ca="1">IF($B348&lt;&gt;"PRC_RESID","",IF(P$7=2005+OFFSET(COM_2012!$B$60,$AW348,SUMIF($B$10:$B$16,"NCAP_TLIFE",$AX$10:$AX$16)),0,""))</f>
        <v/>
      </c>
      <c r="Q348" s="369"/>
      <c r="R348" s="369" t="str">
        <f ca="1">IF($B348&lt;&gt;"PRC_RESID","",IF(R$7=2016+OFFSET(' COM_2017_old'!$B$60,$AW348,SUMIF($B$10:$B$16,"NCAP_TLIFE",$AX$10:$AX$16)),0,""))</f>
        <v/>
      </c>
      <c r="S348" s="369" t="str">
        <f ca="1">IF($B348&lt;&gt;"PRC_RESID","",IF(S$7=2016+OFFSET(' COM_2017_old'!$B$60,$AW348,SUMIF($B$10:$B$16,"NCAP_TLIFE",$AX$10:$AX$16)),0,""))</f>
        <v/>
      </c>
      <c r="T348" s="369" t="str">
        <f ca="1">IF($B348&lt;&gt;"PRC_RESID","",IF(T$7=2016+OFFSET(' COM_2017_old'!$B$60,$AW348,SUMIF($B$10:$B$16,"NCAP_TLIFE",$AX$10:$AX$16)),0,""))</f>
        <v/>
      </c>
      <c r="U348" s="369" t="str">
        <f ca="1">IF($B348&lt;&gt;"PRC_RESID","",IF(U$7=2016+OFFSET(' COM_2017_old'!$B$60,$AW348,SUMIF($B$10:$B$16,"NCAP_TLIFE",$AX$10:$AX$16)),0,""))</f>
        <v/>
      </c>
      <c r="V348" s="369" t="str">
        <f ca="1">IF($B348&lt;&gt;"PRC_RESID","",IF(V$7=2016+OFFSET(' COM_2017_old'!$B$60,$AW348,SUMIF($B$10:$B$16,"NCAP_TLIFE",$AX$10:$AX$16)),0,""))</f>
        <v/>
      </c>
      <c r="W348" s="369" t="str">
        <f ca="1">IF($B348&lt;&gt;"PRC_RESID","",IF(W$7=2016+OFFSET(' COM_2017_old'!$B$60,$AW348,SUMIF($B$10:$B$16,"NCAP_TLIFE",$AX$10:$AX$16)),0,""))</f>
        <v/>
      </c>
      <c r="X348" s="369" t="str">
        <f ca="1">IF($B348&lt;&gt;"PRC_RESID","",IF(X$7=2016+OFFSET(' COM_2017_old'!$B$60,$AW348,SUMIF($B$10:$B$16,"NCAP_TLIFE",$AX$10:$AX$16)),0,""))</f>
        <v/>
      </c>
      <c r="Y348" s="369" t="str">
        <f ca="1">IF($B348&lt;&gt;"PRC_RESID","",IF(Y$7=2016+OFFSET(' COM_2017_old'!$B$60,$AW348,SUMIF($B$10:$B$16,"NCAP_TLIFE",$AX$10:$AX$16)),0,""))</f>
        <v/>
      </c>
      <c r="Z348" s="369" t="str">
        <f ca="1">IF($B348&lt;&gt;"PRC_RESID","",IF(Z$7=2016+OFFSET(' COM_2017_old'!$B$60,$AW348,SUMIF($B$10:$B$16,"NCAP_TLIFE",$AX$10:$AX$16)),0,""))</f>
        <v/>
      </c>
      <c r="AA348" s="369" t="str">
        <f ca="1">IF($B348&lt;&gt;"PRC_RESID","",IF(AA$7=2016+OFFSET(' COM_2017_old'!$B$60,$AW348,SUMIF($B$10:$B$16,"NCAP_TLIFE",$AX$10:$AX$16)),0,""))</f>
        <v/>
      </c>
      <c r="AB348" s="369" t="str">
        <f ca="1">IF($B348&lt;&gt;"PRC_RESID","",IF(AB$7=2016+OFFSET(' COM_2017_old'!$B$60,$AW348,SUMIF($B$10:$B$16,"NCAP_TLIFE",$AX$10:$AX$16)),0,""))</f>
        <v/>
      </c>
      <c r="AC348" s="369">
        <f ca="1">IF($B348&lt;&gt;"PRC_RESID","",IF(AC$7=2016+OFFSET(' COM_2017_old'!$B$60,$AW348,SUMIF($B$10:$B$16,"NCAP_TLIFE",$AX$10:$AX$16)),0,""))</f>
        <v>0</v>
      </c>
      <c r="AD348" s="369" t="str">
        <f ca="1">IF($B348&lt;&gt;"PRC_RESID","",IF(AD$7=2016+OFFSET(' COM_2017_old'!$B$60,$AW348,SUMIF($B$10:$B$16,"NCAP_TLIFE",$AX$10:$AX$16)),0,""))</f>
        <v/>
      </c>
      <c r="AE348" s="369" t="str">
        <f ca="1">IF($B348&lt;&gt;"PRC_RESID","",IF(AE$7=2005+OFFSET(COM_2012!$B$60,$AW348,SUMIF($B$10:$B$16,"NCAP_TLIFE",$AX$10:$AX$16)),0,""))</f>
        <v/>
      </c>
      <c r="AF348" s="369" t="str">
        <f ca="1">IF($B348&lt;&gt;"PRC_RESID","",IF(AF$7=2005+OFFSET(COM_2012!$B$60,$AW348,SUMIF($B$10:$B$16,"NCAP_TLIFE",$AX$10:$AX$16)),0,""))</f>
        <v/>
      </c>
      <c r="AG348" s="369" t="str">
        <f ca="1">IF($B348&lt;&gt;"PRC_RESID","",IF(AG$7=2005+OFFSET(COM_2012!$B$60,$AW348,SUMIF($B$10:$B$16,"NCAP_TLIFE",$AX$10:$AX$16)),0,""))</f>
        <v/>
      </c>
      <c r="AH348" s="369" t="str">
        <f ca="1">IF($B348&lt;&gt;"PRC_RESID","",IF(AH$7=2005+OFFSET(COM_2012!$B$60,$AW348,SUMIF($B$10:$B$16,"NCAP_TLIFE",$AX$10:$AX$16)),0,""))</f>
        <v/>
      </c>
      <c r="AI348" s="369" t="str">
        <f ca="1">IF($B348&lt;&gt;"PRC_RESID","",IF(AI$7=2005+OFFSET(COM_2012!$B$60,$AW348,SUMIF($B$10:$B$16,"NCAP_TLIFE",$AX$10:$AX$16)),0,""))</f>
        <v/>
      </c>
      <c r="AJ348" s="369" t="str">
        <f ca="1">IF($B348&lt;&gt;"PRC_RESID","",IF(AJ$7=2005+OFFSET(COM_2012!$B$60,$AW348,SUMIF($B$10:$B$16,"NCAP_TLIFE",$AX$10:$AX$16)),0,""))</f>
        <v/>
      </c>
      <c r="AK348" s="369" t="str">
        <f ca="1">IF($B348&lt;&gt;"PRC_RESID","",IF(AK$7=2005+OFFSET(COM_2012!$B$60,$AW348,SUMIF($B$10:$B$16,"NCAP_TLIFE",$AX$10:$AX$16)),0,""))</f>
        <v/>
      </c>
      <c r="AL348" s="369" t="str">
        <f ca="1">IF($B348&lt;&gt;"PRC_RESID","",IF(AL$7=2005+OFFSET(COM_2012!$B$60,$AW348,SUMIF($B$10:$B$16,"NCAP_TLIFE",$AX$10:$AX$16)),0,""))</f>
        <v/>
      </c>
      <c r="AM348" s="369" t="str">
        <f ca="1">IF($B348&lt;&gt;"PRC_RESID","",IF(AM$7=2005+OFFSET(COM_2012!$B$60,$AW348,SUMIF($B$10:$B$16,"NCAP_TLIFE",$AX$10:$AX$16)),0,""))</f>
        <v/>
      </c>
      <c r="AN348" s="369" t="str">
        <f ca="1">IF($B348&lt;&gt;"PRC_RESID","",IF(AN$7=2005+OFFSET(COM_2012!$B$60,$AW348,SUMIF($B$10:$B$16,"NCAP_TLIFE",$AX$10:$AX$16)),0,""))</f>
        <v/>
      </c>
      <c r="AO348" s="369" t="str">
        <f ca="1">IF($B348&lt;&gt;"PRC_RESID","",IF(AO$7=2005+OFFSET(COM_2012!$B$60,$AW348,SUMIF($B$10:$B$16,"NCAP_TLIFE",$AX$10:$AX$16)),0,""))</f>
        <v/>
      </c>
      <c r="AP348" s="369" t="str">
        <f ca="1">IF($B348&lt;&gt;"PRC_RESID","",IF(AP$7=2005+OFFSET(COM_2012!$B$60,$AW348,SUMIF($B$10:$B$16,"NCAP_TLIFE",$AX$10:$AX$16)),0,""))</f>
        <v/>
      </c>
      <c r="AQ348" s="369" t="str">
        <f ca="1">IF($B348&lt;&gt;"PRC_RESID","",IF(AQ$7=2005+OFFSET(COM_2012!$B$60,$AW348,SUMIF($B$10:$B$16,"NCAP_TLIFE",$AX$10:$AX$16)),0,""))</f>
        <v/>
      </c>
      <c r="AR348" s="369" t="str">
        <f ca="1">IF($B348&lt;&gt;"PRC_RESID","",IF(AR$7=2005+OFFSET(COM_2012!$B$60,$AW348,SUMIF($B$10:$B$16,"NCAP_TLIFE",$AX$10:$AX$16)),0,""))</f>
        <v/>
      </c>
      <c r="AS348" s="369" t="str">
        <f ca="1">IF($B348&lt;&gt;"PRC_RESID","",IF(AS$7=2005+OFFSET(COM_2012!$B$60,$AW348,SUMIF($B$10:$B$16,"NCAP_TLIFE",$AX$10:$AX$16)),0,""))</f>
        <v/>
      </c>
      <c r="AT348" s="369" t="str">
        <f ca="1">IF($B348&lt;&gt;"PRC_RESID","",IF(AT$7=2005+OFFSET(COM_2012!$B$60,$AW348,SUMIF($B$10:$B$16,"NCAP_TLIFE",$AX$10:$AX$16)),0,""))</f>
        <v/>
      </c>
      <c r="AU348" s="369" t="str">
        <f ca="1">IF($B348&lt;&gt;"PRC_RESID","",IF(AU$7=2005+OFFSET(COM_2012!$B$60,$AW348,SUMIF($B$10:$B$16,"NCAP_TLIFE",$AX$10:$AX$16)),0,""))</f>
        <v/>
      </c>
      <c r="AV348" s="304">
        <f>IF(AW347=COM_2012!$AI$121,AV347+1,AV347)</f>
        <v>6</v>
      </c>
      <c r="AW348" s="304">
        <f t="shared" si="33"/>
        <v>16</v>
      </c>
    </row>
    <row r="349" spans="1:49">
      <c r="A349" s="304" t="str">
        <f ca="1">IF(LEFT(OFFSET(COM_2012!$A$60,AW349,0),2)="\I","*","")</f>
        <v/>
      </c>
      <c r="B349" s="369" t="str">
        <f t="shared" ca="1" si="35"/>
        <v>PRC_RESID</v>
      </c>
      <c r="C349" s="369" t="str">
        <f ca="1">IF($A349="*","",OFFSET(COM_2012!$B$60,AW349,0))</f>
        <v>CEKELC-E</v>
      </c>
      <c r="D349" s="369" t="str">
        <f t="shared" ca="1" si="34"/>
        <v>-</v>
      </c>
      <c r="E349" s="369" t="str">
        <f t="shared" ca="1" si="34"/>
        <v>-</v>
      </c>
      <c r="F349" s="369" t="str">
        <f t="shared" ca="1" si="34"/>
        <v>-</v>
      </c>
      <c r="G349" s="369" t="str">
        <f t="shared" ca="1" si="34"/>
        <v>-</v>
      </c>
      <c r="H349" s="369" t="str">
        <f t="shared" ca="1" si="34"/>
        <v>-</v>
      </c>
      <c r="I349" s="370">
        <f t="shared" ca="1" si="34"/>
        <v>0</v>
      </c>
      <c r="J349" s="391">
        <f ca="1">IF($A349="*","",OFFSET(COM_2012!$B$60,AW349,SUMIF($B$10:$B$16,B349,$AX$10:$AX$16)))</f>
        <v>13.858729176471222</v>
      </c>
      <c r="K349" s="369" t="str">
        <f ca="1">IF($B349&lt;&gt;"PRC_RESID","",IF(K$7=2005+OFFSET(COM_2012!$B$60,$AW349,SUMIF($B$10:$B$16,"NCAP_TLIFE",$AX$10:$AX$16)),0,""))</f>
        <v/>
      </c>
      <c r="L349" s="369" t="str">
        <f ca="1">IF($B349&lt;&gt;"PRC_RESID","",IF(L$7=2005+OFFSET(COM_2012!$B$60,$AW349,SUMIF($B$10:$B$16,"NCAP_TLIFE",$AX$10:$AX$16)),0,""))</f>
        <v/>
      </c>
      <c r="M349" s="369" t="str">
        <f ca="1">IF($B349&lt;&gt;"PRC_RESID","",IF(M$7=2005+OFFSET(COM_2012!$B$60,$AW349,SUMIF($B$10:$B$16,"NCAP_TLIFE",$AX$10:$AX$16)),0,""))</f>
        <v/>
      </c>
      <c r="N349" s="369" t="str">
        <f ca="1">IF($B349&lt;&gt;"PRC_RESID","",IF(N$7=2005+OFFSET(COM_2012!$B$60,$AW349,SUMIF($B$10:$B$16,"NCAP_TLIFE",$AX$10:$AX$16)),0,""))</f>
        <v/>
      </c>
      <c r="O349" s="391">
        <f ca="1">IF($A349="*","",OFFSET(' COM_2017_old'!$B$60,AW349,SUMIF($B$10:$B$16,B349,$AX$10:$AX$16)))</f>
        <v>11.935570591941952</v>
      </c>
      <c r="P349" s="369" t="str">
        <f ca="1">IF($B349&lt;&gt;"PRC_RESID","",IF(P$7=2005+OFFSET(COM_2012!$B$60,$AW349,SUMIF($B$10:$B$16,"NCAP_TLIFE",$AX$10:$AX$16)),0,""))</f>
        <v/>
      </c>
      <c r="Q349" s="369"/>
      <c r="R349" s="369" t="str">
        <f ca="1">IF($B349&lt;&gt;"PRC_RESID","",IF(R$7=2016+OFFSET(' COM_2017_old'!$B$60,$AW349,SUMIF($B$10:$B$16,"NCAP_TLIFE",$AX$10:$AX$16)),0,""))</f>
        <v/>
      </c>
      <c r="S349" s="369" t="str">
        <f ca="1">IF($B349&lt;&gt;"PRC_RESID","",IF(S$7=2016+OFFSET(' COM_2017_old'!$B$60,$AW349,SUMIF($B$10:$B$16,"NCAP_TLIFE",$AX$10:$AX$16)),0,""))</f>
        <v/>
      </c>
      <c r="T349" s="369" t="str">
        <f ca="1">IF($B349&lt;&gt;"PRC_RESID","",IF(T$7=2016+OFFSET(' COM_2017_old'!$B$60,$AW349,SUMIF($B$10:$B$16,"NCAP_TLIFE",$AX$10:$AX$16)),0,""))</f>
        <v/>
      </c>
      <c r="U349" s="369" t="str">
        <f ca="1">IF($B349&lt;&gt;"PRC_RESID","",IF(U$7=2016+OFFSET(' COM_2017_old'!$B$60,$AW349,SUMIF($B$10:$B$16,"NCAP_TLIFE",$AX$10:$AX$16)),0,""))</f>
        <v/>
      </c>
      <c r="V349" s="369" t="str">
        <f ca="1">IF($B349&lt;&gt;"PRC_RESID","",IF(V$7=2016+OFFSET(' COM_2017_old'!$B$60,$AW349,SUMIF($B$10:$B$16,"NCAP_TLIFE",$AX$10:$AX$16)),0,""))</f>
        <v/>
      </c>
      <c r="W349" s="369" t="str">
        <f ca="1">IF($B349&lt;&gt;"PRC_RESID","",IF(W$7=2016+OFFSET(' COM_2017_old'!$B$60,$AW349,SUMIF($B$10:$B$16,"NCAP_TLIFE",$AX$10:$AX$16)),0,""))</f>
        <v/>
      </c>
      <c r="X349" s="369" t="str">
        <f ca="1">IF($B349&lt;&gt;"PRC_RESID","",IF(X$7=2016+OFFSET(' COM_2017_old'!$B$60,$AW349,SUMIF($B$10:$B$16,"NCAP_TLIFE",$AX$10:$AX$16)),0,""))</f>
        <v/>
      </c>
      <c r="Y349" s="369" t="str">
        <f ca="1">IF($B349&lt;&gt;"PRC_RESID","",IF(Y$7=2016+OFFSET(' COM_2017_old'!$B$60,$AW349,SUMIF($B$10:$B$16,"NCAP_TLIFE",$AX$10:$AX$16)),0,""))</f>
        <v/>
      </c>
      <c r="Z349" s="369" t="str">
        <f ca="1">IF($B349&lt;&gt;"PRC_RESID","",IF(Z$7=2016+OFFSET(' COM_2017_old'!$B$60,$AW349,SUMIF($B$10:$B$16,"NCAP_TLIFE",$AX$10:$AX$16)),0,""))</f>
        <v/>
      </c>
      <c r="AA349" s="369" t="str">
        <f ca="1">IF($B349&lt;&gt;"PRC_RESID","",IF(AA$7=2016+OFFSET(' COM_2017_old'!$B$60,$AW349,SUMIF($B$10:$B$16,"NCAP_TLIFE",$AX$10:$AX$16)),0,""))</f>
        <v/>
      </c>
      <c r="AB349" s="369" t="str">
        <f ca="1">IF($B349&lt;&gt;"PRC_RESID","",IF(AB$7=2016+OFFSET(' COM_2017_old'!$B$60,$AW349,SUMIF($B$10:$B$16,"NCAP_TLIFE",$AX$10:$AX$16)),0,""))</f>
        <v/>
      </c>
      <c r="AC349" s="369">
        <f ca="1">IF($B349&lt;&gt;"PRC_RESID","",IF(AC$7=2016+OFFSET(' COM_2017_old'!$B$60,$AW349,SUMIF($B$10:$B$16,"NCAP_TLIFE",$AX$10:$AX$16)),0,""))</f>
        <v>0</v>
      </c>
      <c r="AD349" s="369" t="str">
        <f ca="1">IF($B349&lt;&gt;"PRC_RESID","",IF(AD$7=2016+OFFSET(' COM_2017_old'!$B$60,$AW349,SUMIF($B$10:$B$16,"NCAP_TLIFE",$AX$10:$AX$16)),0,""))</f>
        <v/>
      </c>
      <c r="AE349" s="369" t="str">
        <f ca="1">IF($B349&lt;&gt;"PRC_RESID","",IF(AE$7=2005+OFFSET(COM_2012!$B$60,$AW349,SUMIF($B$10:$B$16,"NCAP_TLIFE",$AX$10:$AX$16)),0,""))</f>
        <v/>
      </c>
      <c r="AF349" s="369" t="str">
        <f ca="1">IF($B349&lt;&gt;"PRC_RESID","",IF(AF$7=2005+OFFSET(COM_2012!$B$60,$AW349,SUMIF($B$10:$B$16,"NCAP_TLIFE",$AX$10:$AX$16)),0,""))</f>
        <v/>
      </c>
      <c r="AG349" s="369" t="str">
        <f ca="1">IF($B349&lt;&gt;"PRC_RESID","",IF(AG$7=2005+OFFSET(COM_2012!$B$60,$AW349,SUMIF($B$10:$B$16,"NCAP_TLIFE",$AX$10:$AX$16)),0,""))</f>
        <v/>
      </c>
      <c r="AH349" s="369" t="str">
        <f ca="1">IF($B349&lt;&gt;"PRC_RESID","",IF(AH$7=2005+OFFSET(COM_2012!$B$60,$AW349,SUMIF($B$10:$B$16,"NCAP_TLIFE",$AX$10:$AX$16)),0,""))</f>
        <v/>
      </c>
      <c r="AI349" s="369" t="str">
        <f ca="1">IF($B349&lt;&gt;"PRC_RESID","",IF(AI$7=2005+OFFSET(COM_2012!$B$60,$AW349,SUMIF($B$10:$B$16,"NCAP_TLIFE",$AX$10:$AX$16)),0,""))</f>
        <v/>
      </c>
      <c r="AJ349" s="369" t="str">
        <f ca="1">IF($B349&lt;&gt;"PRC_RESID","",IF(AJ$7=2005+OFFSET(COM_2012!$B$60,$AW349,SUMIF($B$10:$B$16,"NCAP_TLIFE",$AX$10:$AX$16)),0,""))</f>
        <v/>
      </c>
      <c r="AK349" s="369" t="str">
        <f ca="1">IF($B349&lt;&gt;"PRC_RESID","",IF(AK$7=2005+OFFSET(COM_2012!$B$60,$AW349,SUMIF($B$10:$B$16,"NCAP_TLIFE",$AX$10:$AX$16)),0,""))</f>
        <v/>
      </c>
      <c r="AL349" s="369" t="str">
        <f ca="1">IF($B349&lt;&gt;"PRC_RESID","",IF(AL$7=2005+OFFSET(COM_2012!$B$60,$AW349,SUMIF($B$10:$B$16,"NCAP_TLIFE",$AX$10:$AX$16)),0,""))</f>
        <v/>
      </c>
      <c r="AM349" s="369" t="str">
        <f ca="1">IF($B349&lt;&gt;"PRC_RESID","",IF(AM$7=2005+OFFSET(COM_2012!$B$60,$AW349,SUMIF($B$10:$B$16,"NCAP_TLIFE",$AX$10:$AX$16)),0,""))</f>
        <v/>
      </c>
      <c r="AN349" s="369" t="str">
        <f ca="1">IF($B349&lt;&gt;"PRC_RESID","",IF(AN$7=2005+OFFSET(COM_2012!$B$60,$AW349,SUMIF($B$10:$B$16,"NCAP_TLIFE",$AX$10:$AX$16)),0,""))</f>
        <v/>
      </c>
      <c r="AO349" s="369" t="str">
        <f ca="1">IF($B349&lt;&gt;"PRC_RESID","",IF(AO$7=2005+OFFSET(COM_2012!$B$60,$AW349,SUMIF($B$10:$B$16,"NCAP_TLIFE",$AX$10:$AX$16)),0,""))</f>
        <v/>
      </c>
      <c r="AP349" s="369" t="str">
        <f ca="1">IF($B349&lt;&gt;"PRC_RESID","",IF(AP$7=2005+OFFSET(COM_2012!$B$60,$AW349,SUMIF($B$10:$B$16,"NCAP_TLIFE",$AX$10:$AX$16)),0,""))</f>
        <v/>
      </c>
      <c r="AQ349" s="369" t="str">
        <f ca="1">IF($B349&lt;&gt;"PRC_RESID","",IF(AQ$7=2005+OFFSET(COM_2012!$B$60,$AW349,SUMIF($B$10:$B$16,"NCAP_TLIFE",$AX$10:$AX$16)),0,""))</f>
        <v/>
      </c>
      <c r="AR349" s="369" t="str">
        <f ca="1">IF($B349&lt;&gt;"PRC_RESID","",IF(AR$7=2005+OFFSET(COM_2012!$B$60,$AW349,SUMIF($B$10:$B$16,"NCAP_TLIFE",$AX$10:$AX$16)),0,""))</f>
        <v/>
      </c>
      <c r="AS349" s="369" t="str">
        <f ca="1">IF($B349&lt;&gt;"PRC_RESID","",IF(AS$7=2005+OFFSET(COM_2012!$B$60,$AW349,SUMIF($B$10:$B$16,"NCAP_TLIFE",$AX$10:$AX$16)),0,""))</f>
        <v/>
      </c>
      <c r="AT349" s="369" t="str">
        <f ca="1">IF($B349&lt;&gt;"PRC_RESID","",IF(AT$7=2005+OFFSET(COM_2012!$B$60,$AW349,SUMIF($B$10:$B$16,"NCAP_TLIFE",$AX$10:$AX$16)),0,""))</f>
        <v/>
      </c>
      <c r="AU349" s="369" t="str">
        <f ca="1">IF($B349&lt;&gt;"PRC_RESID","",IF(AU$7=2005+OFFSET(COM_2012!$B$60,$AW349,SUMIF($B$10:$B$16,"NCAP_TLIFE",$AX$10:$AX$16)),0,""))</f>
        <v/>
      </c>
      <c r="AV349" s="304">
        <f>IF(AW348=COM_2012!$AI$121,AV348+1,AV348)</f>
        <v>6</v>
      </c>
      <c r="AW349" s="304">
        <f t="shared" si="33"/>
        <v>17</v>
      </c>
    </row>
    <row r="350" spans="1:49">
      <c r="A350" s="304" t="str">
        <f ca="1">IF(LEFT(OFFSET(COM_2012!$A$60,AW350,0),2)="\I","*","")</f>
        <v/>
      </c>
      <c r="B350" s="369" t="str">
        <f t="shared" ca="1" si="35"/>
        <v>PRC_RESID</v>
      </c>
      <c r="C350" s="369" t="str">
        <f ca="1">IF($A350="*","",OFFSET(COM_2012!$B$60,AW350,0))</f>
        <v>CEKCOA-E</v>
      </c>
      <c r="D350" s="369" t="str">
        <f t="shared" ca="1" si="34"/>
        <v>-</v>
      </c>
      <c r="E350" s="369" t="str">
        <f t="shared" ca="1" si="34"/>
        <v>-</v>
      </c>
      <c r="F350" s="369" t="str">
        <f t="shared" ca="1" si="34"/>
        <v>-</v>
      </c>
      <c r="G350" s="369" t="str">
        <f t="shared" ca="1" si="34"/>
        <v>-</v>
      </c>
      <c r="H350" s="369" t="str">
        <f t="shared" ca="1" si="34"/>
        <v>-</v>
      </c>
      <c r="I350" s="370">
        <f t="shared" ca="1" si="34"/>
        <v>0</v>
      </c>
      <c r="J350" s="391">
        <f ca="1">IF($A350="*","",OFFSET(COM_2012!$B$60,AW350,SUMIF($B$10:$B$16,B350,$AX$10:$AX$16)))</f>
        <v>1.1708976067344634E-2</v>
      </c>
      <c r="K350" s="369" t="str">
        <f ca="1">IF($B350&lt;&gt;"PRC_RESID","",IF(K$7=2005+OFFSET(COM_2012!$B$60,$AW350,SUMIF($B$10:$B$16,"NCAP_TLIFE",$AX$10:$AX$16)),0,""))</f>
        <v/>
      </c>
      <c r="L350" s="369" t="str">
        <f ca="1">IF($B350&lt;&gt;"PRC_RESID","",IF(L$7=2005+OFFSET(COM_2012!$B$60,$AW350,SUMIF($B$10:$B$16,"NCAP_TLIFE",$AX$10:$AX$16)),0,""))</f>
        <v/>
      </c>
      <c r="M350" s="369" t="str">
        <f ca="1">IF($B350&lt;&gt;"PRC_RESID","",IF(M$7=2005+OFFSET(COM_2012!$B$60,$AW350,SUMIF($B$10:$B$16,"NCAP_TLIFE",$AX$10:$AX$16)),0,""))</f>
        <v/>
      </c>
      <c r="N350" s="369" t="str">
        <f ca="1">IF($B350&lt;&gt;"PRC_RESID","",IF(N$7=2005+OFFSET(COM_2012!$B$60,$AW350,SUMIF($B$10:$B$16,"NCAP_TLIFE",$AX$10:$AX$16)),0,""))</f>
        <v/>
      </c>
      <c r="O350" s="391">
        <f ca="1">IF($A350="*","",OFFSET(' COM_2017_old'!$B$60,AW350,SUMIF($B$10:$B$16,B350,$AX$10:$AX$16)))</f>
        <v>2.0770913812972559E-2</v>
      </c>
      <c r="P350" s="369" t="str">
        <f ca="1">IF($B350&lt;&gt;"PRC_RESID","",IF(P$7=2005+OFFSET(COM_2012!$B$60,$AW350,SUMIF($B$10:$B$16,"NCAP_TLIFE",$AX$10:$AX$16)),0,""))</f>
        <v/>
      </c>
      <c r="Q350" s="369"/>
      <c r="R350" s="369" t="str">
        <f ca="1">IF($B350&lt;&gt;"PRC_RESID","",IF(R$7=2016+OFFSET(' COM_2017_old'!$B$60,$AW350,SUMIF($B$10:$B$16,"NCAP_TLIFE",$AX$10:$AX$16)),0,""))</f>
        <v/>
      </c>
      <c r="S350" s="369" t="str">
        <f ca="1">IF($B350&lt;&gt;"PRC_RESID","",IF(S$7=2016+OFFSET(' COM_2017_old'!$B$60,$AW350,SUMIF($B$10:$B$16,"NCAP_TLIFE",$AX$10:$AX$16)),0,""))</f>
        <v/>
      </c>
      <c r="T350" s="369" t="str">
        <f ca="1">IF($B350&lt;&gt;"PRC_RESID","",IF(T$7=2016+OFFSET(' COM_2017_old'!$B$60,$AW350,SUMIF($B$10:$B$16,"NCAP_TLIFE",$AX$10:$AX$16)),0,""))</f>
        <v/>
      </c>
      <c r="U350" s="369" t="str">
        <f ca="1">IF($B350&lt;&gt;"PRC_RESID","",IF(U$7=2016+OFFSET(' COM_2017_old'!$B$60,$AW350,SUMIF($B$10:$B$16,"NCAP_TLIFE",$AX$10:$AX$16)),0,""))</f>
        <v/>
      </c>
      <c r="V350" s="369" t="str">
        <f ca="1">IF($B350&lt;&gt;"PRC_RESID","",IF(V$7=2016+OFFSET(' COM_2017_old'!$B$60,$AW350,SUMIF($B$10:$B$16,"NCAP_TLIFE",$AX$10:$AX$16)),0,""))</f>
        <v/>
      </c>
      <c r="W350" s="369" t="str">
        <f ca="1">IF($B350&lt;&gt;"PRC_RESID","",IF(W$7=2016+OFFSET(' COM_2017_old'!$B$60,$AW350,SUMIF($B$10:$B$16,"NCAP_TLIFE",$AX$10:$AX$16)),0,""))</f>
        <v/>
      </c>
      <c r="X350" s="369" t="str">
        <f ca="1">IF($B350&lt;&gt;"PRC_RESID","",IF(X$7=2016+OFFSET(' COM_2017_old'!$B$60,$AW350,SUMIF($B$10:$B$16,"NCAP_TLIFE",$AX$10:$AX$16)),0,""))</f>
        <v/>
      </c>
      <c r="Y350" s="369" t="str">
        <f ca="1">IF($B350&lt;&gt;"PRC_RESID","",IF(Y$7=2016+OFFSET(' COM_2017_old'!$B$60,$AW350,SUMIF($B$10:$B$16,"NCAP_TLIFE",$AX$10:$AX$16)),0,""))</f>
        <v/>
      </c>
      <c r="Z350" s="369" t="str">
        <f ca="1">IF($B350&lt;&gt;"PRC_RESID","",IF(Z$7=2016+OFFSET(' COM_2017_old'!$B$60,$AW350,SUMIF($B$10:$B$16,"NCAP_TLIFE",$AX$10:$AX$16)),0,""))</f>
        <v/>
      </c>
      <c r="AA350" s="369" t="str">
        <f ca="1">IF($B350&lt;&gt;"PRC_RESID","",IF(AA$7=2016+OFFSET(' COM_2017_old'!$B$60,$AW350,SUMIF($B$10:$B$16,"NCAP_TLIFE",$AX$10:$AX$16)),0,""))</f>
        <v/>
      </c>
      <c r="AB350" s="369" t="str">
        <f ca="1">IF($B350&lt;&gt;"PRC_RESID","",IF(AB$7=2016+OFFSET(' COM_2017_old'!$B$60,$AW350,SUMIF($B$10:$B$16,"NCAP_TLIFE",$AX$10:$AX$16)),0,""))</f>
        <v/>
      </c>
      <c r="AC350" s="369">
        <f ca="1">IF($B350&lt;&gt;"PRC_RESID","",IF(AC$7=2016+OFFSET(' COM_2017_old'!$B$60,$AW350,SUMIF($B$10:$B$16,"NCAP_TLIFE",$AX$10:$AX$16)),0,""))</f>
        <v>0</v>
      </c>
      <c r="AD350" s="369" t="str">
        <f ca="1">IF($B350&lt;&gt;"PRC_RESID","",IF(AD$7=2016+OFFSET(' COM_2017_old'!$B$60,$AW350,SUMIF($B$10:$B$16,"NCAP_TLIFE",$AX$10:$AX$16)),0,""))</f>
        <v/>
      </c>
      <c r="AE350" s="369" t="str">
        <f ca="1">IF($B350&lt;&gt;"PRC_RESID","",IF(AE$7=2005+OFFSET(COM_2012!$B$60,$AW350,SUMIF($B$10:$B$16,"NCAP_TLIFE",$AX$10:$AX$16)),0,""))</f>
        <v/>
      </c>
      <c r="AF350" s="369" t="str">
        <f ca="1">IF($B350&lt;&gt;"PRC_RESID","",IF(AF$7=2005+OFFSET(COM_2012!$B$60,$AW350,SUMIF($B$10:$B$16,"NCAP_TLIFE",$AX$10:$AX$16)),0,""))</f>
        <v/>
      </c>
      <c r="AG350" s="369" t="str">
        <f ca="1">IF($B350&lt;&gt;"PRC_RESID","",IF(AG$7=2005+OFFSET(COM_2012!$B$60,$AW350,SUMIF($B$10:$B$16,"NCAP_TLIFE",$AX$10:$AX$16)),0,""))</f>
        <v/>
      </c>
      <c r="AH350" s="369" t="str">
        <f ca="1">IF($B350&lt;&gt;"PRC_RESID","",IF(AH$7=2005+OFFSET(COM_2012!$B$60,$AW350,SUMIF($B$10:$B$16,"NCAP_TLIFE",$AX$10:$AX$16)),0,""))</f>
        <v/>
      </c>
      <c r="AI350" s="369" t="str">
        <f ca="1">IF($B350&lt;&gt;"PRC_RESID","",IF(AI$7=2005+OFFSET(COM_2012!$B$60,$AW350,SUMIF($B$10:$B$16,"NCAP_TLIFE",$AX$10:$AX$16)),0,""))</f>
        <v/>
      </c>
      <c r="AJ350" s="369" t="str">
        <f ca="1">IF($B350&lt;&gt;"PRC_RESID","",IF(AJ$7=2005+OFFSET(COM_2012!$B$60,$AW350,SUMIF($B$10:$B$16,"NCAP_TLIFE",$AX$10:$AX$16)),0,""))</f>
        <v/>
      </c>
      <c r="AK350" s="369" t="str">
        <f ca="1">IF($B350&lt;&gt;"PRC_RESID","",IF(AK$7=2005+OFFSET(COM_2012!$B$60,$AW350,SUMIF($B$10:$B$16,"NCAP_TLIFE",$AX$10:$AX$16)),0,""))</f>
        <v/>
      </c>
      <c r="AL350" s="369" t="str">
        <f ca="1">IF($B350&lt;&gt;"PRC_RESID","",IF(AL$7=2005+OFFSET(COM_2012!$B$60,$AW350,SUMIF($B$10:$B$16,"NCAP_TLIFE",$AX$10:$AX$16)),0,""))</f>
        <v/>
      </c>
      <c r="AM350" s="369" t="str">
        <f ca="1">IF($B350&lt;&gt;"PRC_RESID","",IF(AM$7=2005+OFFSET(COM_2012!$B$60,$AW350,SUMIF($B$10:$B$16,"NCAP_TLIFE",$AX$10:$AX$16)),0,""))</f>
        <v/>
      </c>
      <c r="AN350" s="369" t="str">
        <f ca="1">IF($B350&lt;&gt;"PRC_RESID","",IF(AN$7=2005+OFFSET(COM_2012!$B$60,$AW350,SUMIF($B$10:$B$16,"NCAP_TLIFE",$AX$10:$AX$16)),0,""))</f>
        <v/>
      </c>
      <c r="AO350" s="369" t="str">
        <f ca="1">IF($B350&lt;&gt;"PRC_RESID","",IF(AO$7=2005+OFFSET(COM_2012!$B$60,$AW350,SUMIF($B$10:$B$16,"NCAP_TLIFE",$AX$10:$AX$16)),0,""))</f>
        <v/>
      </c>
      <c r="AP350" s="369" t="str">
        <f ca="1">IF($B350&lt;&gt;"PRC_RESID","",IF(AP$7=2005+OFFSET(COM_2012!$B$60,$AW350,SUMIF($B$10:$B$16,"NCAP_TLIFE",$AX$10:$AX$16)),0,""))</f>
        <v/>
      </c>
      <c r="AQ350" s="369" t="str">
        <f ca="1">IF($B350&lt;&gt;"PRC_RESID","",IF(AQ$7=2005+OFFSET(COM_2012!$B$60,$AW350,SUMIF($B$10:$B$16,"NCAP_TLIFE",$AX$10:$AX$16)),0,""))</f>
        <v/>
      </c>
      <c r="AR350" s="369" t="str">
        <f ca="1">IF($B350&lt;&gt;"PRC_RESID","",IF(AR$7=2005+OFFSET(COM_2012!$B$60,$AW350,SUMIF($B$10:$B$16,"NCAP_TLIFE",$AX$10:$AX$16)),0,""))</f>
        <v/>
      </c>
      <c r="AS350" s="369" t="str">
        <f ca="1">IF($B350&lt;&gt;"PRC_RESID","",IF(AS$7=2005+OFFSET(COM_2012!$B$60,$AW350,SUMIF($B$10:$B$16,"NCAP_TLIFE",$AX$10:$AX$16)),0,""))</f>
        <v/>
      </c>
      <c r="AT350" s="369" t="str">
        <f ca="1">IF($B350&lt;&gt;"PRC_RESID","",IF(AT$7=2005+OFFSET(COM_2012!$B$60,$AW350,SUMIF($B$10:$B$16,"NCAP_TLIFE",$AX$10:$AX$16)),0,""))</f>
        <v/>
      </c>
      <c r="AU350" s="369" t="str">
        <f ca="1">IF($B350&lt;&gt;"PRC_RESID","",IF(AU$7=2005+OFFSET(COM_2012!$B$60,$AW350,SUMIF($B$10:$B$16,"NCAP_TLIFE",$AX$10:$AX$16)),0,""))</f>
        <v/>
      </c>
      <c r="AV350" s="304">
        <f>IF(AW349=COM_2012!$AI$121,AV349+1,AV349)</f>
        <v>6</v>
      </c>
      <c r="AW350" s="304">
        <f t="shared" ref="AW350:AW371" si="36">IF(AV350=AV349,AW349+1,1)</f>
        <v>18</v>
      </c>
    </row>
    <row r="351" spans="1:49">
      <c r="A351" s="304" t="str">
        <f ca="1">IF(LEFT(OFFSET(COM_2012!$A$60,AW351,0),2)="\I","*","")</f>
        <v>*</v>
      </c>
      <c r="B351" s="369" t="str">
        <f t="shared" ca="1" si="35"/>
        <v/>
      </c>
      <c r="C351" s="369" t="str">
        <f ca="1">IF($A351="*","",OFFSET(COM_2012!$B$60,AW351,0))</f>
        <v/>
      </c>
      <c r="D351" s="369" t="str">
        <f t="shared" ref="D351:I366" ca="1" si="37">IF($A351="*","",VLOOKUP($B351,$B$10:$I$16,D$9,FALSE))</f>
        <v/>
      </c>
      <c r="E351" s="369" t="str">
        <f t="shared" ca="1" si="37"/>
        <v/>
      </c>
      <c r="F351" s="369" t="str">
        <f t="shared" ca="1" si="37"/>
        <v/>
      </c>
      <c r="G351" s="369" t="str">
        <f t="shared" ca="1" si="37"/>
        <v/>
      </c>
      <c r="H351" s="369" t="str">
        <f t="shared" ca="1" si="37"/>
        <v/>
      </c>
      <c r="I351" s="370" t="str">
        <f t="shared" ca="1" si="37"/>
        <v/>
      </c>
      <c r="J351" s="391" t="str">
        <f ca="1">IF($A351="*","",OFFSET(COM_2012!$B$60,AW351,SUMIF($B$10:$B$16,B351,$AX$10:$AX$16)))</f>
        <v/>
      </c>
      <c r="K351" s="369" t="str">
        <f ca="1">IF($B351&lt;&gt;"PRC_RESID","",IF(K$7=2005+OFFSET(COM_2012!$B$60,$AW351,SUMIF($B$10:$B$16,"NCAP_TLIFE",$AX$10:$AX$16)),0,""))</f>
        <v/>
      </c>
      <c r="L351" s="369" t="str">
        <f ca="1">IF($B351&lt;&gt;"PRC_RESID","",IF(L$7=2005+OFFSET(COM_2012!$B$60,$AW351,SUMIF($B$10:$B$16,"NCAP_TLIFE",$AX$10:$AX$16)),0,""))</f>
        <v/>
      </c>
      <c r="M351" s="369" t="str">
        <f ca="1">IF($B351&lt;&gt;"PRC_RESID","",IF(M$7=2005+OFFSET(COM_2012!$B$60,$AW351,SUMIF($B$10:$B$16,"NCAP_TLIFE",$AX$10:$AX$16)),0,""))</f>
        <v/>
      </c>
      <c r="N351" s="369" t="str">
        <f ca="1">IF($B351&lt;&gt;"PRC_RESID","",IF(N$7=2005+OFFSET(COM_2012!$B$60,$AW351,SUMIF($B$10:$B$16,"NCAP_TLIFE",$AX$10:$AX$16)),0,""))</f>
        <v/>
      </c>
      <c r="O351" s="391" t="str">
        <f ca="1">IF($A351="*","",OFFSET(' COM_2017_old'!$B$60,AW351,SUMIF($B$10:$B$16,B351,$AX$10:$AX$16)))</f>
        <v/>
      </c>
      <c r="P351" s="369" t="str">
        <f ca="1">IF($B351&lt;&gt;"PRC_RESID","",IF(P$7=2005+OFFSET(COM_2012!$B$60,$AW351,SUMIF($B$10:$B$16,"NCAP_TLIFE",$AX$10:$AX$16)),0,""))</f>
        <v/>
      </c>
      <c r="Q351" s="369"/>
      <c r="R351" s="369" t="str">
        <f ca="1">IF($B351&lt;&gt;"PRC_RESID","",IF(R$7=2016+OFFSET(' COM_2017_old'!$B$60,$AW351,SUMIF($B$10:$B$16,"NCAP_TLIFE",$AX$10:$AX$16)),0,""))</f>
        <v/>
      </c>
      <c r="S351" s="369" t="str">
        <f ca="1">IF($B351&lt;&gt;"PRC_RESID","",IF(S$7=2016+OFFSET(' COM_2017_old'!$B$60,$AW351,SUMIF($B$10:$B$16,"NCAP_TLIFE",$AX$10:$AX$16)),0,""))</f>
        <v/>
      </c>
      <c r="T351" s="369" t="str">
        <f ca="1">IF($B351&lt;&gt;"PRC_RESID","",IF(T$7=2016+OFFSET(' COM_2017_old'!$B$60,$AW351,SUMIF($B$10:$B$16,"NCAP_TLIFE",$AX$10:$AX$16)),0,""))</f>
        <v/>
      </c>
      <c r="U351" s="369" t="str">
        <f ca="1">IF($B351&lt;&gt;"PRC_RESID","",IF(U$7=2016+OFFSET(' COM_2017_old'!$B$60,$AW351,SUMIF($B$10:$B$16,"NCAP_TLIFE",$AX$10:$AX$16)),0,""))</f>
        <v/>
      </c>
      <c r="V351" s="369" t="str">
        <f ca="1">IF($B351&lt;&gt;"PRC_RESID","",IF(V$7=2016+OFFSET(' COM_2017_old'!$B$60,$AW351,SUMIF($B$10:$B$16,"NCAP_TLIFE",$AX$10:$AX$16)),0,""))</f>
        <v/>
      </c>
      <c r="W351" s="369" t="str">
        <f ca="1">IF($B351&lt;&gt;"PRC_RESID","",IF(W$7=2016+OFFSET(' COM_2017_old'!$B$60,$AW351,SUMIF($B$10:$B$16,"NCAP_TLIFE",$AX$10:$AX$16)),0,""))</f>
        <v/>
      </c>
      <c r="X351" s="369" t="str">
        <f ca="1">IF($B351&lt;&gt;"PRC_RESID","",IF(X$7=2016+OFFSET(' COM_2017_old'!$B$60,$AW351,SUMIF($B$10:$B$16,"NCAP_TLIFE",$AX$10:$AX$16)),0,""))</f>
        <v/>
      </c>
      <c r="Y351" s="369" t="str">
        <f ca="1">IF($B351&lt;&gt;"PRC_RESID","",IF(Y$7=2016+OFFSET(' COM_2017_old'!$B$60,$AW351,SUMIF($B$10:$B$16,"NCAP_TLIFE",$AX$10:$AX$16)),0,""))</f>
        <v/>
      </c>
      <c r="Z351" s="369" t="str">
        <f ca="1">IF($B351&lt;&gt;"PRC_RESID","",IF(Z$7=2016+OFFSET(' COM_2017_old'!$B$60,$AW351,SUMIF($B$10:$B$16,"NCAP_TLIFE",$AX$10:$AX$16)),0,""))</f>
        <v/>
      </c>
      <c r="AA351" s="369" t="str">
        <f ca="1">IF($B351&lt;&gt;"PRC_RESID","",IF(AA$7=2016+OFFSET(' COM_2017_old'!$B$60,$AW351,SUMIF($B$10:$B$16,"NCAP_TLIFE",$AX$10:$AX$16)),0,""))</f>
        <v/>
      </c>
      <c r="AB351" s="369" t="str">
        <f ca="1">IF($B351&lt;&gt;"PRC_RESID","",IF(AB$7=2016+OFFSET(' COM_2017_old'!$B$60,$AW351,SUMIF($B$10:$B$16,"NCAP_TLIFE",$AX$10:$AX$16)),0,""))</f>
        <v/>
      </c>
      <c r="AC351" s="369" t="str">
        <f ca="1">IF($B351&lt;&gt;"PRC_RESID","",IF(AC$7=2016+OFFSET(' COM_2017_old'!$B$60,$AW351,SUMIF($B$10:$B$16,"NCAP_TLIFE",$AX$10:$AX$16)),0,""))</f>
        <v/>
      </c>
      <c r="AD351" s="369" t="str">
        <f ca="1">IF($B351&lt;&gt;"PRC_RESID","",IF(AD$7=2016+OFFSET(' COM_2017_old'!$B$60,$AW351,SUMIF($B$10:$B$16,"NCAP_TLIFE",$AX$10:$AX$16)),0,""))</f>
        <v/>
      </c>
      <c r="AE351" s="369" t="str">
        <f ca="1">IF($B351&lt;&gt;"PRC_RESID","",IF(AE$7=2005+OFFSET(COM_2012!$B$60,$AW351,SUMIF($B$10:$B$16,"NCAP_TLIFE",$AX$10:$AX$16)),0,""))</f>
        <v/>
      </c>
      <c r="AF351" s="369" t="str">
        <f ca="1">IF($B351&lt;&gt;"PRC_RESID","",IF(AF$7=2005+OFFSET(COM_2012!$B$60,$AW351,SUMIF($B$10:$B$16,"NCAP_TLIFE",$AX$10:$AX$16)),0,""))</f>
        <v/>
      </c>
      <c r="AG351" s="369" t="str">
        <f ca="1">IF($B351&lt;&gt;"PRC_RESID","",IF(AG$7=2005+OFFSET(COM_2012!$B$60,$AW351,SUMIF($B$10:$B$16,"NCAP_TLIFE",$AX$10:$AX$16)),0,""))</f>
        <v/>
      </c>
      <c r="AH351" s="369" t="str">
        <f ca="1">IF($B351&lt;&gt;"PRC_RESID","",IF(AH$7=2005+OFFSET(COM_2012!$B$60,$AW351,SUMIF($B$10:$B$16,"NCAP_TLIFE",$AX$10:$AX$16)),0,""))</f>
        <v/>
      </c>
      <c r="AI351" s="369" t="str">
        <f ca="1">IF($B351&lt;&gt;"PRC_RESID","",IF(AI$7=2005+OFFSET(COM_2012!$B$60,$AW351,SUMIF($B$10:$B$16,"NCAP_TLIFE",$AX$10:$AX$16)),0,""))</f>
        <v/>
      </c>
      <c r="AJ351" s="369" t="str">
        <f ca="1">IF($B351&lt;&gt;"PRC_RESID","",IF(AJ$7=2005+OFFSET(COM_2012!$B$60,$AW351,SUMIF($B$10:$B$16,"NCAP_TLIFE",$AX$10:$AX$16)),0,""))</f>
        <v/>
      </c>
      <c r="AK351" s="369" t="str">
        <f ca="1">IF($B351&lt;&gt;"PRC_RESID","",IF(AK$7=2005+OFFSET(COM_2012!$B$60,$AW351,SUMIF($B$10:$B$16,"NCAP_TLIFE",$AX$10:$AX$16)),0,""))</f>
        <v/>
      </c>
      <c r="AL351" s="369" t="str">
        <f ca="1">IF($B351&lt;&gt;"PRC_RESID","",IF(AL$7=2005+OFFSET(COM_2012!$B$60,$AW351,SUMIF($B$10:$B$16,"NCAP_TLIFE",$AX$10:$AX$16)),0,""))</f>
        <v/>
      </c>
      <c r="AM351" s="369" t="str">
        <f ca="1">IF($B351&lt;&gt;"PRC_RESID","",IF(AM$7=2005+OFFSET(COM_2012!$B$60,$AW351,SUMIF($B$10:$B$16,"NCAP_TLIFE",$AX$10:$AX$16)),0,""))</f>
        <v/>
      </c>
      <c r="AN351" s="369" t="str">
        <f ca="1">IF($B351&lt;&gt;"PRC_RESID","",IF(AN$7=2005+OFFSET(COM_2012!$B$60,$AW351,SUMIF($B$10:$B$16,"NCAP_TLIFE",$AX$10:$AX$16)),0,""))</f>
        <v/>
      </c>
      <c r="AO351" s="369" t="str">
        <f ca="1">IF($B351&lt;&gt;"PRC_RESID","",IF(AO$7=2005+OFFSET(COM_2012!$B$60,$AW351,SUMIF($B$10:$B$16,"NCAP_TLIFE",$AX$10:$AX$16)),0,""))</f>
        <v/>
      </c>
      <c r="AP351" s="369" t="str">
        <f ca="1">IF($B351&lt;&gt;"PRC_RESID","",IF(AP$7=2005+OFFSET(COM_2012!$B$60,$AW351,SUMIF($B$10:$B$16,"NCAP_TLIFE",$AX$10:$AX$16)),0,""))</f>
        <v/>
      </c>
      <c r="AQ351" s="369" t="str">
        <f ca="1">IF($B351&lt;&gt;"PRC_RESID","",IF(AQ$7=2005+OFFSET(COM_2012!$B$60,$AW351,SUMIF($B$10:$B$16,"NCAP_TLIFE",$AX$10:$AX$16)),0,""))</f>
        <v/>
      </c>
      <c r="AR351" s="369" t="str">
        <f ca="1">IF($B351&lt;&gt;"PRC_RESID","",IF(AR$7=2005+OFFSET(COM_2012!$B$60,$AW351,SUMIF($B$10:$B$16,"NCAP_TLIFE",$AX$10:$AX$16)),0,""))</f>
        <v/>
      </c>
      <c r="AS351" s="369" t="str">
        <f ca="1">IF($B351&lt;&gt;"PRC_RESID","",IF(AS$7=2005+OFFSET(COM_2012!$B$60,$AW351,SUMIF($B$10:$B$16,"NCAP_TLIFE",$AX$10:$AX$16)),0,""))</f>
        <v/>
      </c>
      <c r="AT351" s="369" t="str">
        <f ca="1">IF($B351&lt;&gt;"PRC_RESID","",IF(AT$7=2005+OFFSET(COM_2012!$B$60,$AW351,SUMIF($B$10:$B$16,"NCAP_TLIFE",$AX$10:$AX$16)),0,""))</f>
        <v/>
      </c>
      <c r="AU351" s="369" t="str">
        <f ca="1">IF($B351&lt;&gt;"PRC_RESID","",IF(AU$7=2005+OFFSET(COM_2012!$B$60,$AW351,SUMIF($B$10:$B$16,"NCAP_TLIFE",$AX$10:$AX$16)),0,""))</f>
        <v/>
      </c>
      <c r="AV351" s="304">
        <f>IF(AW350=COM_2012!$AI$121,AV350+1,AV350)</f>
        <v>6</v>
      </c>
      <c r="AW351" s="304">
        <f t="shared" si="36"/>
        <v>19</v>
      </c>
    </row>
    <row r="352" spans="1:49">
      <c r="A352" s="304" t="str">
        <f ca="1">IF(LEFT(OFFSET(COM_2012!$A$60,AW352,0),2)="\I","*","")</f>
        <v>*</v>
      </c>
      <c r="B352" s="369" t="str">
        <f t="shared" ca="1" si="35"/>
        <v/>
      </c>
      <c r="C352" s="369" t="str">
        <f ca="1">IF($A352="*","",OFFSET(COM_2012!$B$60,AW352,0))</f>
        <v/>
      </c>
      <c r="D352" s="369" t="str">
        <f t="shared" ca="1" si="37"/>
        <v/>
      </c>
      <c r="E352" s="369" t="str">
        <f t="shared" ca="1" si="37"/>
        <v/>
      </c>
      <c r="F352" s="369" t="str">
        <f t="shared" ca="1" si="37"/>
        <v/>
      </c>
      <c r="G352" s="369" t="str">
        <f t="shared" ca="1" si="37"/>
        <v/>
      </c>
      <c r="H352" s="369" t="str">
        <f t="shared" ca="1" si="37"/>
        <v/>
      </c>
      <c r="I352" s="370" t="str">
        <f t="shared" ca="1" si="37"/>
        <v/>
      </c>
      <c r="J352" s="391" t="str">
        <f ca="1">IF($A352="*","",OFFSET(COM_2012!$B$60,AW352,SUMIF($B$10:$B$16,B352,$AX$10:$AX$16)))</f>
        <v/>
      </c>
      <c r="K352" s="659"/>
      <c r="L352" s="369" t="str">
        <f ca="1">IF($B352&lt;&gt;"PRC_RESID","",IF(L$7=2005+OFFSET(COM_2012!$B$60,$AW352,SUMIF($B$10:$B$16,"NCAP_TLIFE",$AX$10:$AX$16)),0,""))</f>
        <v/>
      </c>
      <c r="M352" s="369" t="str">
        <f ca="1">IF($B352&lt;&gt;"PRC_RESID","",IF(M$7=2005+OFFSET(COM_2012!$B$60,$AW352,SUMIF($B$10:$B$16,"NCAP_TLIFE",$AX$10:$AX$16)),0,""))</f>
        <v/>
      </c>
      <c r="N352" s="369" t="str">
        <f ca="1">IF($B352&lt;&gt;"PRC_RESID","",IF(N$7=2005+OFFSET(COM_2012!$B$60,$AW352,SUMIF($B$10:$B$16,"NCAP_TLIFE",$AX$10:$AX$16)),0,""))</f>
        <v/>
      </c>
      <c r="O352" s="391" t="str">
        <f ca="1">IF($A352="*","",OFFSET(' COM_2017_old'!$B$60,AW352,SUMIF($B$10:$B$16,B352,$AX$10:$AX$16)))</f>
        <v/>
      </c>
      <c r="P352" s="369" t="str">
        <f ca="1">IF($B352&lt;&gt;"PRC_RESID","",IF(P$7=2005+OFFSET(COM_2012!$B$60,$AW352,SUMIF($B$10:$B$16,"NCAP_TLIFE",$AX$10:$AX$16)),0,""))</f>
        <v/>
      </c>
      <c r="Q352" s="369"/>
      <c r="R352" s="369" t="str">
        <f ca="1">IF($B352&lt;&gt;"PRC_RESID","",IF(R$7=2016+OFFSET(' COM_2017_old'!$B$60,$AW352,SUMIF($B$10:$B$16,"NCAP_TLIFE",$AX$10:$AX$16)),0,""))</f>
        <v/>
      </c>
      <c r="S352" s="369" t="str">
        <f ca="1">IF($B352&lt;&gt;"PRC_RESID","",IF(S$7=2016+OFFSET(' COM_2017_old'!$B$60,$AW352,SUMIF($B$10:$B$16,"NCAP_TLIFE",$AX$10:$AX$16)),0,""))</f>
        <v/>
      </c>
      <c r="T352" s="369" t="str">
        <f ca="1">IF($B352&lt;&gt;"PRC_RESID","",IF(T$7=2016+OFFSET(' COM_2017_old'!$B$60,$AW352,SUMIF($B$10:$B$16,"NCAP_TLIFE",$AX$10:$AX$16)),0,""))</f>
        <v/>
      </c>
      <c r="U352" s="369" t="str">
        <f ca="1">IF($B352&lt;&gt;"PRC_RESID","",IF(U$7=2016+OFFSET(' COM_2017_old'!$B$60,$AW352,SUMIF($B$10:$B$16,"NCAP_TLIFE",$AX$10:$AX$16)),0,""))</f>
        <v/>
      </c>
      <c r="V352" s="369" t="str">
        <f ca="1">IF($B352&lt;&gt;"PRC_RESID","",IF(V$7=2016+OFFSET(' COM_2017_old'!$B$60,$AW352,SUMIF($B$10:$B$16,"NCAP_TLIFE",$AX$10:$AX$16)),0,""))</f>
        <v/>
      </c>
      <c r="W352" s="369" t="str">
        <f ca="1">IF($B352&lt;&gt;"PRC_RESID","",IF(W$7=2016+OFFSET(' COM_2017_old'!$B$60,$AW352,SUMIF($B$10:$B$16,"NCAP_TLIFE",$AX$10:$AX$16)),0,""))</f>
        <v/>
      </c>
      <c r="X352" s="369" t="str">
        <f ca="1">IF($B352&lt;&gt;"PRC_RESID","",IF(X$7=2016+OFFSET(' COM_2017_old'!$B$60,$AW352,SUMIF($B$10:$B$16,"NCAP_TLIFE",$AX$10:$AX$16)),0,""))</f>
        <v/>
      </c>
      <c r="Y352" s="369" t="str">
        <f ca="1">IF($B352&lt;&gt;"PRC_RESID","",IF(Y$7=2016+OFFSET(' COM_2017_old'!$B$60,$AW352,SUMIF($B$10:$B$16,"NCAP_TLIFE",$AX$10:$AX$16)),0,""))</f>
        <v/>
      </c>
      <c r="Z352" s="369" t="str">
        <f ca="1">IF($B352&lt;&gt;"PRC_RESID","",IF(Z$7=2016+OFFSET(' COM_2017_old'!$B$60,$AW352,SUMIF($B$10:$B$16,"NCAP_TLIFE",$AX$10:$AX$16)),0,""))</f>
        <v/>
      </c>
      <c r="AA352" s="369" t="str">
        <f ca="1">IF($B352&lt;&gt;"PRC_RESID","",IF(AA$7=2016+OFFSET(' COM_2017_old'!$B$60,$AW352,SUMIF($B$10:$B$16,"NCAP_TLIFE",$AX$10:$AX$16)),0,""))</f>
        <v/>
      </c>
      <c r="AB352" s="369" t="str">
        <f ca="1">IF($B352&lt;&gt;"PRC_RESID","",IF(AB$7=2016+OFFSET(' COM_2017_old'!$B$60,$AW352,SUMIF($B$10:$B$16,"NCAP_TLIFE",$AX$10:$AX$16)),0,""))</f>
        <v/>
      </c>
      <c r="AC352" s="369" t="str">
        <f ca="1">IF($B352&lt;&gt;"PRC_RESID","",IF(AC$7=2016+OFFSET(' COM_2017_old'!$B$60,$AW352,SUMIF($B$10:$B$16,"NCAP_TLIFE",$AX$10:$AX$16)),0,""))</f>
        <v/>
      </c>
      <c r="AD352" s="369" t="str">
        <f ca="1">IF($B352&lt;&gt;"PRC_RESID","",IF(AD$7=2016+OFFSET(' COM_2017_old'!$B$60,$AW352,SUMIF($B$10:$B$16,"NCAP_TLIFE",$AX$10:$AX$16)),0,""))</f>
        <v/>
      </c>
      <c r="AE352" s="369" t="str">
        <f ca="1">IF($B352&lt;&gt;"PRC_RESID","",IF(AE$7=2005+OFFSET(COM_2012!$B$60,$AW352,SUMIF($B$10:$B$16,"NCAP_TLIFE",$AX$10:$AX$16)),0,""))</f>
        <v/>
      </c>
      <c r="AF352" s="369" t="str">
        <f ca="1">IF($B352&lt;&gt;"PRC_RESID","",IF(AF$7=2005+OFFSET(COM_2012!$B$60,$AW352,SUMIF($B$10:$B$16,"NCAP_TLIFE",$AX$10:$AX$16)),0,""))</f>
        <v/>
      </c>
      <c r="AG352" s="369" t="str">
        <f ca="1">IF($B352&lt;&gt;"PRC_RESID","",IF(AG$7=2005+OFFSET(COM_2012!$B$60,$AW352,SUMIF($B$10:$B$16,"NCAP_TLIFE",$AX$10:$AX$16)),0,""))</f>
        <v/>
      </c>
      <c r="AH352" s="369" t="str">
        <f ca="1">IF($B352&lt;&gt;"PRC_RESID","",IF(AH$7=2005+OFFSET(COM_2012!$B$60,$AW352,SUMIF($B$10:$B$16,"NCAP_TLIFE",$AX$10:$AX$16)),0,""))</f>
        <v/>
      </c>
      <c r="AI352" s="369" t="str">
        <f ca="1">IF($B352&lt;&gt;"PRC_RESID","",IF(AI$7=2005+OFFSET(COM_2012!$B$60,$AW352,SUMIF($B$10:$B$16,"NCAP_TLIFE",$AX$10:$AX$16)),0,""))</f>
        <v/>
      </c>
      <c r="AJ352" s="369" t="str">
        <f ca="1">IF($B352&lt;&gt;"PRC_RESID","",IF(AJ$7=2005+OFFSET(COM_2012!$B$60,$AW352,SUMIF($B$10:$B$16,"NCAP_TLIFE",$AX$10:$AX$16)),0,""))</f>
        <v/>
      </c>
      <c r="AK352" s="369" t="str">
        <f ca="1">IF($B352&lt;&gt;"PRC_RESID","",IF(AK$7=2005+OFFSET(COM_2012!$B$60,$AW352,SUMIF($B$10:$B$16,"NCAP_TLIFE",$AX$10:$AX$16)),0,""))</f>
        <v/>
      </c>
      <c r="AL352" s="369" t="str">
        <f ca="1">IF($B352&lt;&gt;"PRC_RESID","",IF(AL$7=2005+OFFSET(COM_2012!$B$60,$AW352,SUMIF($B$10:$B$16,"NCAP_TLIFE",$AX$10:$AX$16)),0,""))</f>
        <v/>
      </c>
      <c r="AM352" s="369" t="str">
        <f ca="1">IF($B352&lt;&gt;"PRC_RESID","",IF(AM$7=2005+OFFSET(COM_2012!$B$60,$AW352,SUMIF($B$10:$B$16,"NCAP_TLIFE",$AX$10:$AX$16)),0,""))</f>
        <v/>
      </c>
      <c r="AN352" s="369" t="str">
        <f ca="1">IF($B352&lt;&gt;"PRC_RESID","",IF(AN$7=2005+OFFSET(COM_2012!$B$60,$AW352,SUMIF($B$10:$B$16,"NCAP_TLIFE",$AX$10:$AX$16)),0,""))</f>
        <v/>
      </c>
      <c r="AO352" s="369" t="str">
        <f ca="1">IF($B352&lt;&gt;"PRC_RESID","",IF(AO$7=2005+OFFSET(COM_2012!$B$60,$AW352,SUMIF($B$10:$B$16,"NCAP_TLIFE",$AX$10:$AX$16)),0,""))</f>
        <v/>
      </c>
      <c r="AP352" s="369" t="str">
        <f ca="1">IF($B352&lt;&gt;"PRC_RESID","",IF(AP$7=2005+OFFSET(COM_2012!$B$60,$AW352,SUMIF($B$10:$B$16,"NCAP_TLIFE",$AX$10:$AX$16)),0,""))</f>
        <v/>
      </c>
      <c r="AQ352" s="369" t="str">
        <f ca="1">IF($B352&lt;&gt;"PRC_RESID","",IF(AQ$7=2005+OFFSET(COM_2012!$B$60,$AW352,SUMIF($B$10:$B$16,"NCAP_TLIFE",$AX$10:$AX$16)),0,""))</f>
        <v/>
      </c>
      <c r="AR352" s="369" t="str">
        <f ca="1">IF($B352&lt;&gt;"PRC_RESID","",IF(AR$7=2005+OFFSET(COM_2012!$B$60,$AW352,SUMIF($B$10:$B$16,"NCAP_TLIFE",$AX$10:$AX$16)),0,""))</f>
        <v/>
      </c>
      <c r="AS352" s="369" t="str">
        <f ca="1">IF($B352&lt;&gt;"PRC_RESID","",IF(AS$7=2005+OFFSET(COM_2012!$B$60,$AW352,SUMIF($B$10:$B$16,"NCAP_TLIFE",$AX$10:$AX$16)),0,""))</f>
        <v/>
      </c>
      <c r="AT352" s="369" t="str">
        <f ca="1">IF($B352&lt;&gt;"PRC_RESID","",IF(AT$7=2005+OFFSET(COM_2012!$B$60,$AW352,SUMIF($B$10:$B$16,"NCAP_TLIFE",$AX$10:$AX$16)),0,""))</f>
        <v/>
      </c>
      <c r="AU352" s="369" t="str">
        <f ca="1">IF($B352&lt;&gt;"PRC_RESID","",IF(AU$7=2005+OFFSET(COM_2012!$B$60,$AW352,SUMIF($B$10:$B$16,"NCAP_TLIFE",$AX$10:$AX$16)),0,""))</f>
        <v/>
      </c>
      <c r="AV352" s="304">
        <f>IF(AW351=COM_2012!$AI$121,AV351+1,AV351)</f>
        <v>6</v>
      </c>
      <c r="AW352" s="304">
        <f t="shared" si="36"/>
        <v>20</v>
      </c>
    </row>
    <row r="353" spans="1:49">
      <c r="A353" s="304" t="str">
        <f ca="1">IF(LEFT(OFFSET(COM_2012!$A$60,AW353,0),2)="\I","*","")</f>
        <v/>
      </c>
      <c r="B353" s="369" t="str">
        <f t="shared" ca="1" si="35"/>
        <v>PRC_RESID</v>
      </c>
      <c r="C353" s="369" t="str">
        <f ca="1">IF($A353="*","",OFFSET(COM_2012!$B$60,AW353,0))</f>
        <v>CELELCCFL-E</v>
      </c>
      <c r="D353" s="369" t="str">
        <f t="shared" ca="1" si="37"/>
        <v>-</v>
      </c>
      <c r="E353" s="369" t="str">
        <f t="shared" ca="1" si="37"/>
        <v>-</v>
      </c>
      <c r="F353" s="369" t="str">
        <f t="shared" ca="1" si="37"/>
        <v>-</v>
      </c>
      <c r="G353" s="369" t="str">
        <f t="shared" ca="1" si="37"/>
        <v>-</v>
      </c>
      <c r="H353" s="369" t="str">
        <f t="shared" ca="1" si="37"/>
        <v>-</v>
      </c>
      <c r="I353" s="370">
        <f t="shared" ca="1" si="37"/>
        <v>0</v>
      </c>
      <c r="J353" s="391">
        <f ca="1">IF($A353="*","",OFFSET(COM_2012!$B$60,AW353,SUMIF($B$10:$B$16,B353,$AX$10:$AX$16)))</f>
        <v>11.613977248513031</v>
      </c>
      <c r="K353" s="369" t="str">
        <f ca="1">IF($B360&lt;&gt;"PRC_RESID","",IF(K$7=2005+OFFSET(COM_2012!$B$60,$AW360,SUMIF($B$10:$B$16,"NCAP_TLIFE",$AX$10:$AX$16)),0,""))</f>
        <v/>
      </c>
      <c r="L353" s="369" t="str">
        <f ca="1">IF($B360&lt;&gt;"PRC_RESID","",IF(L$7=2005+OFFSET(COM_2012!$B$60,$AW360,SUMIF($B$10:$B$16,"NCAP_TLIFE",$AX$10:$AX$16)),0,""))</f>
        <v/>
      </c>
      <c r="M353" s="369"/>
      <c r="N353" s="369" t="str">
        <f ca="1">IF($B360&lt;&gt;"PRC_RESID","",IF(N$7=2005+OFFSET(COM_2012!$B$60,$AW360,SUMIF($B$10:$B$16,"NCAP_TLIFE",$AX$10:$AX$16)),0,""))</f>
        <v/>
      </c>
      <c r="O353" s="391">
        <f ca="1">IF($A353="*","",OFFSET(' COM_2017_old'!$B$60,AW353,SUMIF($B$10:$B$16,B353,$AX$10:$AX$16)))</f>
        <v>10.002320092824773</v>
      </c>
      <c r="P353" s="369" t="str">
        <f ca="1">IF($B353&lt;&gt;"PRC_RESID","",IF(P$7=2005+OFFSET(COM_2012!$B$60,$AW353,SUMIF($B$10:$B$16,"NCAP_TLIFE",$AX$10:$AX$16)),0,""))</f>
        <v/>
      </c>
      <c r="Q353" s="369"/>
      <c r="R353" s="369" t="str">
        <f ca="1">IF($B353&lt;&gt;"PRC_RESID","",IF(R$7=2016+OFFSET(' COM_2017_old'!$B$60,$AW353,SUMIF($B$10:$B$16,"NCAP_TLIFE",$AX$10:$AX$16)),0,""))</f>
        <v/>
      </c>
      <c r="S353" s="369">
        <f ca="1">IF($B353&lt;&gt;"PRC_RESID","",IF(S$7=2016+OFFSET(' COM_2017_old'!$B$60,$AW353,SUMIF($B$10:$B$16,"NCAP_TLIFE",$AX$10:$AX$16)),0,""))</f>
        <v>0</v>
      </c>
      <c r="T353" s="369" t="str">
        <f ca="1">IF($B353&lt;&gt;"PRC_RESID","",IF(T$7=2016+OFFSET(' COM_2017_old'!$B$60,$AW353,SUMIF($B$10:$B$16,"NCAP_TLIFE",$AX$10:$AX$16)),0,""))</f>
        <v/>
      </c>
      <c r="U353" s="369" t="str">
        <f ca="1">IF($B353&lt;&gt;"PRC_RESID","",IF(U$7=2016+OFFSET(' COM_2017_old'!$B$60,$AW353,SUMIF($B$10:$B$16,"NCAP_TLIFE",$AX$10:$AX$16)),0,""))</f>
        <v/>
      </c>
      <c r="V353" s="369" t="str">
        <f ca="1">IF($B353&lt;&gt;"PRC_RESID","",IF(V$7=2016+OFFSET(' COM_2017_old'!$B$60,$AW353,SUMIF($B$10:$B$16,"NCAP_TLIFE",$AX$10:$AX$16)),0,""))</f>
        <v/>
      </c>
      <c r="W353" s="369" t="str">
        <f ca="1">IF($B353&lt;&gt;"PRC_RESID","",IF(W$7=2016+OFFSET(' COM_2017_old'!$B$60,$AW353,SUMIF($B$10:$B$16,"NCAP_TLIFE",$AX$10:$AX$16)),0,""))</f>
        <v/>
      </c>
      <c r="X353" s="369" t="str">
        <f ca="1">IF($B353&lt;&gt;"PRC_RESID","",IF(X$7=2016+OFFSET(' COM_2017_old'!$B$60,$AW353,SUMIF($B$10:$B$16,"NCAP_TLIFE",$AX$10:$AX$16)),0,""))</f>
        <v/>
      </c>
      <c r="Y353" s="369" t="str">
        <f ca="1">IF($B353&lt;&gt;"PRC_RESID","",IF(Y$7=2016+OFFSET(' COM_2017_old'!$B$60,$AW353,SUMIF($B$10:$B$16,"NCAP_TLIFE",$AX$10:$AX$16)),0,""))</f>
        <v/>
      </c>
      <c r="Z353" s="369" t="str">
        <f ca="1">IF($B353&lt;&gt;"PRC_RESID","",IF(Z$7=2016+OFFSET(' COM_2017_old'!$B$60,$AW353,SUMIF($B$10:$B$16,"NCAP_TLIFE",$AX$10:$AX$16)),0,""))</f>
        <v/>
      </c>
      <c r="AA353" s="369" t="str">
        <f ca="1">IF($B353&lt;&gt;"PRC_RESID","",IF(AA$7=2016+OFFSET(' COM_2017_old'!$B$60,$AW353,SUMIF($B$10:$B$16,"NCAP_TLIFE",$AX$10:$AX$16)),0,""))</f>
        <v/>
      </c>
      <c r="AB353" s="369" t="str">
        <f ca="1">IF($B353&lt;&gt;"PRC_RESID","",IF(AB$7=2016+OFFSET(' COM_2017_old'!$B$60,$AW353,SUMIF($B$10:$B$16,"NCAP_TLIFE",$AX$10:$AX$16)),0,""))</f>
        <v/>
      </c>
      <c r="AC353" s="369" t="str">
        <f ca="1">IF($B353&lt;&gt;"PRC_RESID","",IF(AC$7=2016+OFFSET(' COM_2017_old'!$B$60,$AW353,SUMIF($B$10:$B$16,"NCAP_TLIFE",$AX$10:$AX$16)),0,""))</f>
        <v/>
      </c>
      <c r="AD353" s="369" t="str">
        <f ca="1">IF($B353&lt;&gt;"PRC_RESID","",IF(AD$7=2016+OFFSET(' COM_2017_old'!$B$60,$AW353,SUMIF($B$10:$B$16,"NCAP_TLIFE",$AX$10:$AX$16)),0,""))</f>
        <v/>
      </c>
      <c r="AE353" s="369" t="str">
        <f ca="1">IF($B353&lt;&gt;"PRC_RESID","",IF(AE$7=2005+OFFSET(COM_2012!$B$60,$AW353,SUMIF($B$10:$B$16,"NCAP_TLIFE",$AX$10:$AX$16)),0,""))</f>
        <v/>
      </c>
      <c r="AF353" s="369" t="str">
        <f ca="1">IF($B353&lt;&gt;"PRC_RESID","",IF(AF$7=2005+OFFSET(COM_2012!$B$60,$AW353,SUMIF($B$10:$B$16,"NCAP_TLIFE",$AX$10:$AX$16)),0,""))</f>
        <v/>
      </c>
      <c r="AG353" s="369" t="str">
        <f ca="1">IF($B353&lt;&gt;"PRC_RESID","",IF(AG$7=2005+OFFSET(COM_2012!$B$60,$AW353,SUMIF($B$10:$B$16,"NCAP_TLIFE",$AX$10:$AX$16)),0,""))</f>
        <v/>
      </c>
      <c r="AH353" s="369" t="str">
        <f ca="1">IF($B353&lt;&gt;"PRC_RESID","",IF(AH$7=2005+OFFSET(COM_2012!$B$60,$AW353,SUMIF($B$10:$B$16,"NCAP_TLIFE",$AX$10:$AX$16)),0,""))</f>
        <v/>
      </c>
      <c r="AI353" s="369" t="str">
        <f ca="1">IF($B353&lt;&gt;"PRC_RESID","",IF(AI$7=2005+OFFSET(COM_2012!$B$60,$AW353,SUMIF($B$10:$B$16,"NCAP_TLIFE",$AX$10:$AX$16)),0,""))</f>
        <v/>
      </c>
      <c r="AJ353" s="369" t="str">
        <f ca="1">IF($B353&lt;&gt;"PRC_RESID","",IF(AJ$7=2005+OFFSET(COM_2012!$B$60,$AW353,SUMIF($B$10:$B$16,"NCAP_TLIFE",$AX$10:$AX$16)),0,""))</f>
        <v/>
      </c>
      <c r="AK353" s="369" t="str">
        <f ca="1">IF($B353&lt;&gt;"PRC_RESID","",IF(AK$7=2005+OFFSET(COM_2012!$B$60,$AW353,SUMIF($B$10:$B$16,"NCAP_TLIFE",$AX$10:$AX$16)),0,""))</f>
        <v/>
      </c>
      <c r="AL353" s="369" t="str">
        <f ca="1">IF($B353&lt;&gt;"PRC_RESID","",IF(AL$7=2005+OFFSET(COM_2012!$B$60,$AW353,SUMIF($B$10:$B$16,"NCAP_TLIFE",$AX$10:$AX$16)),0,""))</f>
        <v/>
      </c>
      <c r="AM353" s="369" t="str">
        <f ca="1">IF($B353&lt;&gt;"PRC_RESID","",IF(AM$7=2005+OFFSET(COM_2012!$B$60,$AW353,SUMIF($B$10:$B$16,"NCAP_TLIFE",$AX$10:$AX$16)),0,""))</f>
        <v/>
      </c>
      <c r="AN353" s="369" t="str">
        <f ca="1">IF($B353&lt;&gt;"PRC_RESID","",IF(AN$7=2005+OFFSET(COM_2012!$B$60,$AW353,SUMIF($B$10:$B$16,"NCAP_TLIFE",$AX$10:$AX$16)),0,""))</f>
        <v/>
      </c>
      <c r="AO353" s="369" t="str">
        <f ca="1">IF($B353&lt;&gt;"PRC_RESID","",IF(AO$7=2005+OFFSET(COM_2012!$B$60,$AW353,SUMIF($B$10:$B$16,"NCAP_TLIFE",$AX$10:$AX$16)),0,""))</f>
        <v/>
      </c>
      <c r="AP353" s="369" t="str">
        <f ca="1">IF($B353&lt;&gt;"PRC_RESID","",IF(AP$7=2005+OFFSET(COM_2012!$B$60,$AW353,SUMIF($B$10:$B$16,"NCAP_TLIFE",$AX$10:$AX$16)),0,""))</f>
        <v/>
      </c>
      <c r="AQ353" s="369" t="str">
        <f ca="1">IF($B353&lt;&gt;"PRC_RESID","",IF(AQ$7=2005+OFFSET(COM_2012!$B$60,$AW353,SUMIF($B$10:$B$16,"NCAP_TLIFE",$AX$10:$AX$16)),0,""))</f>
        <v/>
      </c>
      <c r="AR353" s="369" t="str">
        <f ca="1">IF($B353&lt;&gt;"PRC_RESID","",IF(AR$7=2005+OFFSET(COM_2012!$B$60,$AW353,SUMIF($B$10:$B$16,"NCAP_TLIFE",$AX$10:$AX$16)),0,""))</f>
        <v/>
      </c>
      <c r="AS353" s="369" t="str">
        <f ca="1">IF($B353&lt;&gt;"PRC_RESID","",IF(AS$7=2005+OFFSET(COM_2012!$B$60,$AW353,SUMIF($B$10:$B$16,"NCAP_TLIFE",$AX$10:$AX$16)),0,""))</f>
        <v/>
      </c>
      <c r="AT353" s="369" t="str">
        <f ca="1">IF($B353&lt;&gt;"PRC_RESID","",IF(AT$7=2005+OFFSET(COM_2012!$B$60,$AW353,SUMIF($B$10:$B$16,"NCAP_TLIFE",$AX$10:$AX$16)),0,""))</f>
        <v/>
      </c>
      <c r="AU353" s="369" t="str">
        <f ca="1">IF($B353&lt;&gt;"PRC_RESID","",IF(AU$7=2005+OFFSET(COM_2012!$B$60,$AW353,SUMIF($B$10:$B$16,"NCAP_TLIFE",$AX$10:$AX$16)),0,""))</f>
        <v/>
      </c>
      <c r="AV353" s="304">
        <f>IF(AW352=COM_2012!$AI$121,AV352+1,AV352)</f>
        <v>6</v>
      </c>
      <c r="AW353" s="304">
        <f t="shared" si="36"/>
        <v>21</v>
      </c>
    </row>
    <row r="354" spans="1:49">
      <c r="A354" s="304" t="str">
        <f ca="1">IF(LEFT(OFFSET(COM_2012!$A$60,AW354,0),2)="\I","*","")</f>
        <v/>
      </c>
      <c r="B354" s="369" t="str">
        <f t="shared" ca="1" si="35"/>
        <v>PRC_RESID</v>
      </c>
      <c r="C354" s="369" t="str">
        <f ca="1">IF($A354="*","",OFFSET(COM_2012!$B$60,AW354,0))</f>
        <v>CELELCFLU-E</v>
      </c>
      <c r="D354" s="369" t="str">
        <f t="shared" ca="1" si="37"/>
        <v>-</v>
      </c>
      <c r="E354" s="369" t="str">
        <f t="shared" ca="1" si="37"/>
        <v>-</v>
      </c>
      <c r="F354" s="369" t="str">
        <f t="shared" ca="1" si="37"/>
        <v>-</v>
      </c>
      <c r="G354" s="369" t="str">
        <f t="shared" ca="1" si="37"/>
        <v>-</v>
      </c>
      <c r="H354" s="369" t="str">
        <f t="shared" ca="1" si="37"/>
        <v>-</v>
      </c>
      <c r="I354" s="370">
        <f t="shared" ca="1" si="37"/>
        <v>0</v>
      </c>
      <c r="J354" s="391">
        <f ca="1">IF($A354="*","",OFFSET(COM_2012!$B$60,AW354,SUMIF($B$10:$B$16,B354,$AX$10:$AX$16)))</f>
        <v>152.43345138673354</v>
      </c>
      <c r="K354" s="369" t="str">
        <f ca="1">IF($B361&lt;&gt;"PRC_RESID","",IF(K$7=2005+OFFSET(COM_2012!$B$60,$AW361,SUMIF($B$10:$B$16,"NCAP_TLIFE",$AX$10:$AX$16)),0,""))</f>
        <v/>
      </c>
      <c r="L354" s="369" t="str">
        <f ca="1">IF($B361&lt;&gt;"PRC_RESID","",IF(L$7=2005+OFFSET(COM_2012!$B$60,$AW361,SUMIF($B$10:$B$16,"NCAP_TLIFE",$AX$10:$AX$16)),0,""))</f>
        <v/>
      </c>
      <c r="M354" s="369"/>
      <c r="N354" s="369" t="str">
        <f ca="1">IF($B361&lt;&gt;"PRC_RESID","",IF(N$7=2005+OFFSET(COM_2012!$B$60,$AW361,SUMIF($B$10:$B$16,"NCAP_TLIFE",$AX$10:$AX$16)),0,""))</f>
        <v/>
      </c>
      <c r="O354" s="391">
        <f ca="1">IF($A354="*","",OFFSET(' COM_2017_old'!$B$60,AW354,SUMIF($B$10:$B$16,B354,$AX$10:$AX$16)))</f>
        <v>131.28045121832517</v>
      </c>
      <c r="P354" s="369" t="str">
        <f ca="1">IF($B354&lt;&gt;"PRC_RESID","",IF(P$7=2005+OFFSET(COM_2012!$B$60,$AW354,SUMIF($B$10:$B$16,"NCAP_TLIFE",$AX$10:$AX$16)),0,""))</f>
        <v/>
      </c>
      <c r="Q354" s="369"/>
      <c r="R354" s="369" t="str">
        <f ca="1">IF($B354&lt;&gt;"PRC_RESID","",IF(R$7=2016+OFFSET(' COM_2017_old'!$B$60,$AW354,SUMIF($B$10:$B$16,"NCAP_TLIFE",$AX$10:$AX$16)),0,""))</f>
        <v/>
      </c>
      <c r="S354" s="369">
        <f ca="1">IF($B354&lt;&gt;"PRC_RESID","",IF(S$7=2016+OFFSET(' COM_2017_old'!$B$60,$AW354,SUMIF($B$10:$B$16,"NCAP_TLIFE",$AX$10:$AX$16)),0,""))</f>
        <v>0</v>
      </c>
      <c r="T354" s="369" t="str">
        <f ca="1">IF($B354&lt;&gt;"PRC_RESID","",IF(T$7=2016+OFFSET(' COM_2017_old'!$B$60,$AW354,SUMIF($B$10:$B$16,"NCAP_TLIFE",$AX$10:$AX$16)),0,""))</f>
        <v/>
      </c>
      <c r="U354" s="369" t="str">
        <f ca="1">IF($B354&lt;&gt;"PRC_RESID","",IF(U$7=2016+OFFSET(' COM_2017_old'!$B$60,$AW354,SUMIF($B$10:$B$16,"NCAP_TLIFE",$AX$10:$AX$16)),0,""))</f>
        <v/>
      </c>
      <c r="V354" s="369" t="str">
        <f ca="1">IF($B354&lt;&gt;"PRC_RESID","",IF(V$7=2016+OFFSET(' COM_2017_old'!$B$60,$AW354,SUMIF($B$10:$B$16,"NCAP_TLIFE",$AX$10:$AX$16)),0,""))</f>
        <v/>
      </c>
      <c r="W354" s="369" t="str">
        <f ca="1">IF($B354&lt;&gt;"PRC_RESID","",IF(W$7=2016+OFFSET(' COM_2017_old'!$B$60,$AW354,SUMIF($B$10:$B$16,"NCAP_TLIFE",$AX$10:$AX$16)),0,""))</f>
        <v/>
      </c>
      <c r="X354" s="369" t="str">
        <f ca="1">IF($B354&lt;&gt;"PRC_RESID","",IF(X$7=2016+OFFSET(' COM_2017_old'!$B$60,$AW354,SUMIF($B$10:$B$16,"NCAP_TLIFE",$AX$10:$AX$16)),0,""))</f>
        <v/>
      </c>
      <c r="Y354" s="369" t="str">
        <f ca="1">IF($B354&lt;&gt;"PRC_RESID","",IF(Y$7=2016+OFFSET(' COM_2017_old'!$B$60,$AW354,SUMIF($B$10:$B$16,"NCAP_TLIFE",$AX$10:$AX$16)),0,""))</f>
        <v/>
      </c>
      <c r="Z354" s="369" t="str">
        <f ca="1">IF($B354&lt;&gt;"PRC_RESID","",IF(Z$7=2016+OFFSET(' COM_2017_old'!$B$60,$AW354,SUMIF($B$10:$B$16,"NCAP_TLIFE",$AX$10:$AX$16)),0,""))</f>
        <v/>
      </c>
      <c r="AA354" s="369" t="str">
        <f ca="1">IF($B354&lt;&gt;"PRC_RESID","",IF(AA$7=2016+OFFSET(' COM_2017_old'!$B$60,$AW354,SUMIF($B$10:$B$16,"NCAP_TLIFE",$AX$10:$AX$16)),0,""))</f>
        <v/>
      </c>
      <c r="AB354" s="369" t="str">
        <f ca="1">IF($B354&lt;&gt;"PRC_RESID","",IF(AB$7=2016+OFFSET(' COM_2017_old'!$B$60,$AW354,SUMIF($B$10:$B$16,"NCAP_TLIFE",$AX$10:$AX$16)),0,""))</f>
        <v/>
      </c>
      <c r="AC354" s="369" t="str">
        <f ca="1">IF($B354&lt;&gt;"PRC_RESID","",IF(AC$7=2016+OFFSET(' COM_2017_old'!$B$60,$AW354,SUMIF($B$10:$B$16,"NCAP_TLIFE",$AX$10:$AX$16)),0,""))</f>
        <v/>
      </c>
      <c r="AD354" s="369" t="str">
        <f ca="1">IF($B354&lt;&gt;"PRC_RESID","",IF(AD$7=2016+OFFSET(' COM_2017_old'!$B$60,$AW354,SUMIF($B$10:$B$16,"NCAP_TLIFE",$AX$10:$AX$16)),0,""))</f>
        <v/>
      </c>
      <c r="AE354" s="369" t="str">
        <f ca="1">IF($B354&lt;&gt;"PRC_RESID","",IF(AE$7=2005+OFFSET(COM_2012!$B$60,$AW354,SUMIF($B$10:$B$16,"NCAP_TLIFE",$AX$10:$AX$16)),0,""))</f>
        <v/>
      </c>
      <c r="AF354" s="369" t="str">
        <f ca="1">IF($B354&lt;&gt;"PRC_RESID","",IF(AF$7=2005+OFFSET(COM_2012!$B$60,$AW354,SUMIF($B$10:$B$16,"NCAP_TLIFE",$AX$10:$AX$16)),0,""))</f>
        <v/>
      </c>
      <c r="AG354" s="369" t="str">
        <f ca="1">IF($B354&lt;&gt;"PRC_RESID","",IF(AG$7=2005+OFFSET(COM_2012!$B$60,$AW354,SUMIF($B$10:$B$16,"NCAP_TLIFE",$AX$10:$AX$16)),0,""))</f>
        <v/>
      </c>
      <c r="AH354" s="369" t="str">
        <f ca="1">IF($B354&lt;&gt;"PRC_RESID","",IF(AH$7=2005+OFFSET(COM_2012!$B$60,$AW354,SUMIF($B$10:$B$16,"NCAP_TLIFE",$AX$10:$AX$16)),0,""))</f>
        <v/>
      </c>
      <c r="AI354" s="369" t="str">
        <f ca="1">IF($B354&lt;&gt;"PRC_RESID","",IF(AI$7=2005+OFFSET(COM_2012!$B$60,$AW354,SUMIF($B$10:$B$16,"NCAP_TLIFE",$AX$10:$AX$16)),0,""))</f>
        <v/>
      </c>
      <c r="AJ354" s="369" t="str">
        <f ca="1">IF($B354&lt;&gt;"PRC_RESID","",IF(AJ$7=2005+OFFSET(COM_2012!$B$60,$AW354,SUMIF($B$10:$B$16,"NCAP_TLIFE",$AX$10:$AX$16)),0,""))</f>
        <v/>
      </c>
      <c r="AK354" s="369" t="str">
        <f ca="1">IF($B354&lt;&gt;"PRC_RESID","",IF(AK$7=2005+OFFSET(COM_2012!$B$60,$AW354,SUMIF($B$10:$B$16,"NCAP_TLIFE",$AX$10:$AX$16)),0,""))</f>
        <v/>
      </c>
      <c r="AL354" s="369" t="str">
        <f ca="1">IF($B354&lt;&gt;"PRC_RESID","",IF(AL$7=2005+OFFSET(COM_2012!$B$60,$AW354,SUMIF($B$10:$B$16,"NCAP_TLIFE",$AX$10:$AX$16)),0,""))</f>
        <v/>
      </c>
      <c r="AM354" s="369" t="str">
        <f ca="1">IF($B354&lt;&gt;"PRC_RESID","",IF(AM$7=2005+OFFSET(COM_2012!$B$60,$AW354,SUMIF($B$10:$B$16,"NCAP_TLIFE",$AX$10:$AX$16)),0,""))</f>
        <v/>
      </c>
      <c r="AN354" s="369" t="str">
        <f ca="1">IF($B354&lt;&gt;"PRC_RESID","",IF(AN$7=2005+OFFSET(COM_2012!$B$60,$AW354,SUMIF($B$10:$B$16,"NCAP_TLIFE",$AX$10:$AX$16)),0,""))</f>
        <v/>
      </c>
      <c r="AO354" s="369" t="str">
        <f ca="1">IF($B354&lt;&gt;"PRC_RESID","",IF(AO$7=2005+OFFSET(COM_2012!$B$60,$AW354,SUMIF($B$10:$B$16,"NCAP_TLIFE",$AX$10:$AX$16)),0,""))</f>
        <v/>
      </c>
      <c r="AP354" s="369" t="str">
        <f ca="1">IF($B354&lt;&gt;"PRC_RESID","",IF(AP$7=2005+OFFSET(COM_2012!$B$60,$AW354,SUMIF($B$10:$B$16,"NCAP_TLIFE",$AX$10:$AX$16)),0,""))</f>
        <v/>
      </c>
      <c r="AQ354" s="369" t="str">
        <f ca="1">IF($B354&lt;&gt;"PRC_RESID","",IF(AQ$7=2005+OFFSET(COM_2012!$B$60,$AW354,SUMIF($B$10:$B$16,"NCAP_TLIFE",$AX$10:$AX$16)),0,""))</f>
        <v/>
      </c>
      <c r="AR354" s="369" t="str">
        <f ca="1">IF($B354&lt;&gt;"PRC_RESID","",IF(AR$7=2005+OFFSET(COM_2012!$B$60,$AW354,SUMIF($B$10:$B$16,"NCAP_TLIFE",$AX$10:$AX$16)),0,""))</f>
        <v/>
      </c>
      <c r="AS354" s="369" t="str">
        <f ca="1">IF($B354&lt;&gt;"PRC_RESID","",IF(AS$7=2005+OFFSET(COM_2012!$B$60,$AW354,SUMIF($B$10:$B$16,"NCAP_TLIFE",$AX$10:$AX$16)),0,""))</f>
        <v/>
      </c>
      <c r="AT354" s="369" t="str">
        <f ca="1">IF($B354&lt;&gt;"PRC_RESID","",IF(AT$7=2005+OFFSET(COM_2012!$B$60,$AW354,SUMIF($B$10:$B$16,"NCAP_TLIFE",$AX$10:$AX$16)),0,""))</f>
        <v/>
      </c>
      <c r="AU354" s="369" t="str">
        <f ca="1">IF($B354&lt;&gt;"PRC_RESID","",IF(AU$7=2005+OFFSET(COM_2012!$B$60,$AW354,SUMIF($B$10:$B$16,"NCAP_TLIFE",$AX$10:$AX$16)),0,""))</f>
        <v/>
      </c>
      <c r="AV354" s="304">
        <f>IF(AW353=COM_2012!$AI$121,AV353+1,AV353)</f>
        <v>6</v>
      </c>
      <c r="AW354" s="304">
        <f t="shared" si="36"/>
        <v>22</v>
      </c>
    </row>
    <row r="355" spans="1:49">
      <c r="A355" s="304" t="str">
        <f ca="1">IF(LEFT(OFFSET(COM_2012!$A$60,AW355,0),2)="\I","*","")</f>
        <v/>
      </c>
      <c r="B355" s="369" t="str">
        <f t="shared" ca="1" si="35"/>
        <v>PRC_RESID</v>
      </c>
      <c r="C355" s="369" t="str">
        <f ca="1">IF($A355="*","",OFFSET(COM_2012!$B$60,AW355,0))</f>
        <v>CELELCHAL-E</v>
      </c>
      <c r="D355" s="369" t="str">
        <f t="shared" ca="1" si="37"/>
        <v>-</v>
      </c>
      <c r="E355" s="369" t="str">
        <f t="shared" ca="1" si="37"/>
        <v>-</v>
      </c>
      <c r="F355" s="369" t="str">
        <f t="shared" ca="1" si="37"/>
        <v>-</v>
      </c>
      <c r="G355" s="369" t="str">
        <f t="shared" ca="1" si="37"/>
        <v>-</v>
      </c>
      <c r="H355" s="369" t="str">
        <f t="shared" ca="1" si="37"/>
        <v>-</v>
      </c>
      <c r="I355" s="370">
        <f t="shared" ca="1" si="37"/>
        <v>0</v>
      </c>
      <c r="J355" s="391">
        <f ca="1">IF($A355="*","",OFFSET(COM_2012!$B$60,AW355,SUMIF($B$10:$B$16,B355,$AX$10:$AX$16)))</f>
        <v>1.9356628747521718</v>
      </c>
      <c r="K355" s="369" t="str">
        <f ca="1">IF($B362&lt;&gt;"PRC_RESID","",IF(K$7=2005+OFFSET(COM_2012!$B$60,$AW362,SUMIF($B$10:$B$16,"NCAP_TLIFE",$AX$10:$AX$16)),0,""))</f>
        <v/>
      </c>
      <c r="L355" s="369" t="str">
        <f ca="1">IF($B362&lt;&gt;"PRC_RESID","",IF(L$7=2005+OFFSET(COM_2012!$B$60,$AW362,SUMIF($B$10:$B$16,"NCAP_TLIFE",$AX$10:$AX$16)),0,""))</f>
        <v/>
      </c>
      <c r="M355" s="369"/>
      <c r="N355" s="369" t="str">
        <f ca="1">IF($B362&lt;&gt;"PRC_RESID","",IF(N$7=2005+OFFSET(COM_2012!$B$60,$AW362,SUMIF($B$10:$B$16,"NCAP_TLIFE",$AX$10:$AX$16)),0,""))</f>
        <v/>
      </c>
      <c r="O355" s="391">
        <f ca="1">IF($A355="*","",OFFSET(' COM_2017_old'!$B$60,AW355,SUMIF($B$10:$B$16,B355,$AX$10:$AX$16)))</f>
        <v>1.667053348804129</v>
      </c>
      <c r="P355" s="369" t="str">
        <f ca="1">IF($B355&lt;&gt;"PRC_RESID","",IF(P$7=2005+OFFSET(COM_2012!$B$60,$AW355,SUMIF($B$10:$B$16,"NCAP_TLIFE",$AX$10:$AX$16)),0,""))</f>
        <v/>
      </c>
      <c r="Q355" s="369"/>
      <c r="R355" s="369" t="str">
        <f ca="1">IF($B355&lt;&gt;"PRC_RESID","",IF(R$7=2016+OFFSET(' COM_2017_old'!$B$60,$AW355,SUMIF($B$10:$B$16,"NCAP_TLIFE",$AX$10:$AX$16)),0,""))</f>
        <v/>
      </c>
      <c r="S355" s="369">
        <f ca="1">IF($B355&lt;&gt;"PRC_RESID","",IF(S$7=2016+OFFSET(' COM_2017_old'!$B$60,$AW355,SUMIF($B$10:$B$16,"NCAP_TLIFE",$AX$10:$AX$16)),0,""))</f>
        <v>0</v>
      </c>
      <c r="T355" s="369" t="str">
        <f ca="1">IF($B355&lt;&gt;"PRC_RESID","",IF(T$7=2016+OFFSET(' COM_2017_old'!$B$60,$AW355,SUMIF($B$10:$B$16,"NCAP_TLIFE",$AX$10:$AX$16)),0,""))</f>
        <v/>
      </c>
      <c r="U355" s="369" t="str">
        <f ca="1">IF($B355&lt;&gt;"PRC_RESID","",IF(U$7=2016+OFFSET(' COM_2017_old'!$B$60,$AW355,SUMIF($B$10:$B$16,"NCAP_TLIFE",$AX$10:$AX$16)),0,""))</f>
        <v/>
      </c>
      <c r="V355" s="369" t="str">
        <f ca="1">IF($B355&lt;&gt;"PRC_RESID","",IF(V$7=2016+OFFSET(' COM_2017_old'!$B$60,$AW355,SUMIF($B$10:$B$16,"NCAP_TLIFE",$AX$10:$AX$16)),0,""))</f>
        <v/>
      </c>
      <c r="W355" s="369" t="str">
        <f ca="1">IF($B355&lt;&gt;"PRC_RESID","",IF(W$7=2016+OFFSET(' COM_2017_old'!$B$60,$AW355,SUMIF($B$10:$B$16,"NCAP_TLIFE",$AX$10:$AX$16)),0,""))</f>
        <v/>
      </c>
      <c r="X355" s="369" t="str">
        <f ca="1">IF($B355&lt;&gt;"PRC_RESID","",IF(X$7=2016+OFFSET(' COM_2017_old'!$B$60,$AW355,SUMIF($B$10:$B$16,"NCAP_TLIFE",$AX$10:$AX$16)),0,""))</f>
        <v/>
      </c>
      <c r="Y355" s="369" t="str">
        <f ca="1">IF($B355&lt;&gt;"PRC_RESID","",IF(Y$7=2016+OFFSET(' COM_2017_old'!$B$60,$AW355,SUMIF($B$10:$B$16,"NCAP_TLIFE",$AX$10:$AX$16)),0,""))</f>
        <v/>
      </c>
      <c r="Z355" s="369" t="str">
        <f ca="1">IF($B355&lt;&gt;"PRC_RESID","",IF(Z$7=2016+OFFSET(' COM_2017_old'!$B$60,$AW355,SUMIF($B$10:$B$16,"NCAP_TLIFE",$AX$10:$AX$16)),0,""))</f>
        <v/>
      </c>
      <c r="AA355" s="369" t="str">
        <f ca="1">IF($B355&lt;&gt;"PRC_RESID","",IF(AA$7=2016+OFFSET(' COM_2017_old'!$B$60,$AW355,SUMIF($B$10:$B$16,"NCAP_TLIFE",$AX$10:$AX$16)),0,""))</f>
        <v/>
      </c>
      <c r="AB355" s="369" t="str">
        <f ca="1">IF($B355&lt;&gt;"PRC_RESID","",IF(AB$7=2016+OFFSET(' COM_2017_old'!$B$60,$AW355,SUMIF($B$10:$B$16,"NCAP_TLIFE",$AX$10:$AX$16)),0,""))</f>
        <v/>
      </c>
      <c r="AC355" s="369" t="str">
        <f ca="1">IF($B355&lt;&gt;"PRC_RESID","",IF(AC$7=2016+OFFSET(' COM_2017_old'!$B$60,$AW355,SUMIF($B$10:$B$16,"NCAP_TLIFE",$AX$10:$AX$16)),0,""))</f>
        <v/>
      </c>
      <c r="AD355" s="369" t="str">
        <f ca="1">IF($B355&lt;&gt;"PRC_RESID","",IF(AD$7=2016+OFFSET(' COM_2017_old'!$B$60,$AW355,SUMIF($B$10:$B$16,"NCAP_TLIFE",$AX$10:$AX$16)),0,""))</f>
        <v/>
      </c>
      <c r="AE355" s="369" t="str">
        <f ca="1">IF($B355&lt;&gt;"PRC_RESID","",IF(AE$7=2005+OFFSET(COM_2012!$B$60,$AW355,SUMIF($B$10:$B$16,"NCAP_TLIFE",$AX$10:$AX$16)),0,""))</f>
        <v/>
      </c>
      <c r="AF355" s="369" t="str">
        <f ca="1">IF($B355&lt;&gt;"PRC_RESID","",IF(AF$7=2005+OFFSET(COM_2012!$B$60,$AW355,SUMIF($B$10:$B$16,"NCAP_TLIFE",$AX$10:$AX$16)),0,""))</f>
        <v/>
      </c>
      <c r="AG355" s="369" t="str">
        <f ca="1">IF($B355&lt;&gt;"PRC_RESID","",IF(AG$7=2005+OFFSET(COM_2012!$B$60,$AW355,SUMIF($B$10:$B$16,"NCAP_TLIFE",$AX$10:$AX$16)),0,""))</f>
        <v/>
      </c>
      <c r="AH355" s="369" t="str">
        <f ca="1">IF($B355&lt;&gt;"PRC_RESID","",IF(AH$7=2005+OFFSET(COM_2012!$B$60,$AW355,SUMIF($B$10:$B$16,"NCAP_TLIFE",$AX$10:$AX$16)),0,""))</f>
        <v/>
      </c>
      <c r="AI355" s="369" t="str">
        <f ca="1">IF($B355&lt;&gt;"PRC_RESID","",IF(AI$7=2005+OFFSET(COM_2012!$B$60,$AW355,SUMIF($B$10:$B$16,"NCAP_TLIFE",$AX$10:$AX$16)),0,""))</f>
        <v/>
      </c>
      <c r="AJ355" s="369" t="str">
        <f ca="1">IF($B355&lt;&gt;"PRC_RESID","",IF(AJ$7=2005+OFFSET(COM_2012!$B$60,$AW355,SUMIF($B$10:$B$16,"NCAP_TLIFE",$AX$10:$AX$16)),0,""))</f>
        <v/>
      </c>
      <c r="AK355" s="369" t="str">
        <f ca="1">IF($B355&lt;&gt;"PRC_RESID","",IF(AK$7=2005+OFFSET(COM_2012!$B$60,$AW355,SUMIF($B$10:$B$16,"NCAP_TLIFE",$AX$10:$AX$16)),0,""))</f>
        <v/>
      </c>
      <c r="AL355" s="369" t="str">
        <f ca="1">IF($B355&lt;&gt;"PRC_RESID","",IF(AL$7=2005+OFFSET(COM_2012!$B$60,$AW355,SUMIF($B$10:$B$16,"NCAP_TLIFE",$AX$10:$AX$16)),0,""))</f>
        <v/>
      </c>
      <c r="AM355" s="369" t="str">
        <f ca="1">IF($B355&lt;&gt;"PRC_RESID","",IF(AM$7=2005+OFFSET(COM_2012!$B$60,$AW355,SUMIF($B$10:$B$16,"NCAP_TLIFE",$AX$10:$AX$16)),0,""))</f>
        <v/>
      </c>
      <c r="AN355" s="369" t="str">
        <f ca="1">IF($B355&lt;&gt;"PRC_RESID","",IF(AN$7=2005+OFFSET(COM_2012!$B$60,$AW355,SUMIF($B$10:$B$16,"NCAP_TLIFE",$AX$10:$AX$16)),0,""))</f>
        <v/>
      </c>
      <c r="AO355" s="369" t="str">
        <f ca="1">IF($B355&lt;&gt;"PRC_RESID","",IF(AO$7=2005+OFFSET(COM_2012!$B$60,$AW355,SUMIF($B$10:$B$16,"NCAP_TLIFE",$AX$10:$AX$16)),0,""))</f>
        <v/>
      </c>
      <c r="AP355" s="369" t="str">
        <f ca="1">IF($B355&lt;&gt;"PRC_RESID","",IF(AP$7=2005+OFFSET(COM_2012!$B$60,$AW355,SUMIF($B$10:$B$16,"NCAP_TLIFE",$AX$10:$AX$16)),0,""))</f>
        <v/>
      </c>
      <c r="AQ355" s="369" t="str">
        <f ca="1">IF($B355&lt;&gt;"PRC_RESID","",IF(AQ$7=2005+OFFSET(COM_2012!$B$60,$AW355,SUMIF($B$10:$B$16,"NCAP_TLIFE",$AX$10:$AX$16)),0,""))</f>
        <v/>
      </c>
      <c r="AR355" s="369" t="str">
        <f ca="1">IF($B355&lt;&gt;"PRC_RESID","",IF(AR$7=2005+OFFSET(COM_2012!$B$60,$AW355,SUMIF($B$10:$B$16,"NCAP_TLIFE",$AX$10:$AX$16)),0,""))</f>
        <v/>
      </c>
      <c r="AS355" s="369" t="str">
        <f ca="1">IF($B355&lt;&gt;"PRC_RESID","",IF(AS$7=2005+OFFSET(COM_2012!$B$60,$AW355,SUMIF($B$10:$B$16,"NCAP_TLIFE",$AX$10:$AX$16)),0,""))</f>
        <v/>
      </c>
      <c r="AT355" s="369" t="str">
        <f ca="1">IF($B355&lt;&gt;"PRC_RESID","",IF(AT$7=2005+OFFSET(COM_2012!$B$60,$AW355,SUMIF($B$10:$B$16,"NCAP_TLIFE",$AX$10:$AX$16)),0,""))</f>
        <v/>
      </c>
      <c r="AU355" s="369" t="str">
        <f ca="1">IF($B355&lt;&gt;"PRC_RESID","",IF(AU$7=2005+OFFSET(COM_2012!$B$60,$AW355,SUMIF($B$10:$B$16,"NCAP_TLIFE",$AX$10:$AX$16)),0,""))</f>
        <v/>
      </c>
      <c r="AV355" s="304">
        <f>IF(AW354=COM_2012!$AI$121,AV354+1,AV354)</f>
        <v>6</v>
      </c>
      <c r="AW355" s="304">
        <f t="shared" si="36"/>
        <v>23</v>
      </c>
    </row>
    <row r="356" spans="1:49">
      <c r="A356" s="304" t="str">
        <f ca="1">IF(LEFT(OFFSET(COM_2012!$A$60,AW356,0),2)="\I","*","")</f>
        <v/>
      </c>
      <c r="B356" s="369" t="str">
        <f t="shared" ca="1" si="35"/>
        <v>PRC_RESID</v>
      </c>
      <c r="C356" s="369" t="str">
        <f ca="1">IF($A356="*","",OFFSET(COM_2012!$B$60,AW356,0))</f>
        <v>CELELCHID-E</v>
      </c>
      <c r="D356" s="369" t="str">
        <f t="shared" ca="1" si="37"/>
        <v>-</v>
      </c>
      <c r="E356" s="369" t="str">
        <f t="shared" ca="1" si="37"/>
        <v>-</v>
      </c>
      <c r="F356" s="369" t="str">
        <f t="shared" ca="1" si="37"/>
        <v>-</v>
      </c>
      <c r="G356" s="369" t="str">
        <f t="shared" ca="1" si="37"/>
        <v>-</v>
      </c>
      <c r="H356" s="369" t="str">
        <f t="shared" ca="1" si="37"/>
        <v>-</v>
      </c>
      <c r="I356" s="370">
        <f t="shared" ca="1" si="37"/>
        <v>0</v>
      </c>
      <c r="J356" s="391">
        <f ca="1">IF($A356="*","",OFFSET(COM_2012!$B$60,AW356,SUMIF($B$10:$B$16,B356,$AX$10:$AX$16)))</f>
        <v>50.811150462244512</v>
      </c>
      <c r="K356" s="369" t="str">
        <f ca="1">IF($B363&lt;&gt;"PRC_RESID","",IF(K$7=2005+OFFSET(COM_2012!$B$60,$AW363,SUMIF($B$10:$B$16,"NCAP_TLIFE",$AX$10:$AX$16)),0,""))</f>
        <v/>
      </c>
      <c r="L356" s="369" t="str">
        <f ca="1">IF($B363&lt;&gt;"PRC_RESID","",IF(L$7=2005+OFFSET(COM_2012!$B$60,$AW363,SUMIF($B$10:$B$16,"NCAP_TLIFE",$AX$10:$AX$16)),0,""))</f>
        <v/>
      </c>
      <c r="M356" s="369"/>
      <c r="N356" s="369" t="str">
        <f ca="1">IF($B363&lt;&gt;"PRC_RESID","",IF(N$7=2005+OFFSET(COM_2012!$B$60,$AW363,SUMIF($B$10:$B$16,"NCAP_TLIFE",$AX$10:$AX$16)),0,""))</f>
        <v/>
      </c>
      <c r="O356" s="391">
        <f ca="1">IF($A356="*","",OFFSET(' COM_2017_old'!$B$60,AW356,SUMIF($B$10:$B$16,B356,$AX$10:$AX$16)))</f>
        <v>43.760150406108387</v>
      </c>
      <c r="P356" s="369" t="str">
        <f ca="1">IF($B356&lt;&gt;"PRC_RESID","",IF(P$7=2005+OFFSET(COM_2012!$B$60,$AW356,SUMIF($B$10:$B$16,"NCAP_TLIFE",$AX$10:$AX$16)),0,""))</f>
        <v/>
      </c>
      <c r="Q356" s="369"/>
      <c r="R356" s="369" t="str">
        <f ca="1">IF($B356&lt;&gt;"PRC_RESID","",IF(R$7=2016+OFFSET(' COM_2017_old'!$B$60,$AW356,SUMIF($B$10:$B$16,"NCAP_TLIFE",$AX$10:$AX$16)),0,""))</f>
        <v/>
      </c>
      <c r="S356" s="369">
        <f ca="1">IF($B356&lt;&gt;"PRC_RESID","",IF(S$7=2016+OFFSET(' COM_2017_old'!$B$60,$AW356,SUMIF($B$10:$B$16,"NCAP_TLIFE",$AX$10:$AX$16)),0,""))</f>
        <v>0</v>
      </c>
      <c r="T356" s="369" t="str">
        <f ca="1">IF($B356&lt;&gt;"PRC_RESID","",IF(T$7=2016+OFFSET(' COM_2017_old'!$B$60,$AW356,SUMIF($B$10:$B$16,"NCAP_TLIFE",$AX$10:$AX$16)),0,""))</f>
        <v/>
      </c>
      <c r="U356" s="369" t="str">
        <f ca="1">IF($B356&lt;&gt;"PRC_RESID","",IF(U$7=2016+OFFSET(' COM_2017_old'!$B$60,$AW356,SUMIF($B$10:$B$16,"NCAP_TLIFE",$AX$10:$AX$16)),0,""))</f>
        <v/>
      </c>
      <c r="V356" s="369" t="str">
        <f ca="1">IF($B356&lt;&gt;"PRC_RESID","",IF(V$7=2016+OFFSET(' COM_2017_old'!$B$60,$AW356,SUMIF($B$10:$B$16,"NCAP_TLIFE",$AX$10:$AX$16)),0,""))</f>
        <v/>
      </c>
      <c r="W356" s="369" t="str">
        <f ca="1">IF($B356&lt;&gt;"PRC_RESID","",IF(W$7=2016+OFFSET(' COM_2017_old'!$B$60,$AW356,SUMIF($B$10:$B$16,"NCAP_TLIFE",$AX$10:$AX$16)),0,""))</f>
        <v/>
      </c>
      <c r="X356" s="369" t="str">
        <f ca="1">IF($B356&lt;&gt;"PRC_RESID","",IF(X$7=2016+OFFSET(' COM_2017_old'!$B$60,$AW356,SUMIF($B$10:$B$16,"NCAP_TLIFE",$AX$10:$AX$16)),0,""))</f>
        <v/>
      </c>
      <c r="Y356" s="369" t="str">
        <f ca="1">IF($B356&lt;&gt;"PRC_RESID","",IF(Y$7=2016+OFFSET(' COM_2017_old'!$B$60,$AW356,SUMIF($B$10:$B$16,"NCAP_TLIFE",$AX$10:$AX$16)),0,""))</f>
        <v/>
      </c>
      <c r="Z356" s="369" t="str">
        <f ca="1">IF($B356&lt;&gt;"PRC_RESID","",IF(Z$7=2016+OFFSET(' COM_2017_old'!$B$60,$AW356,SUMIF($B$10:$B$16,"NCAP_TLIFE",$AX$10:$AX$16)),0,""))</f>
        <v/>
      </c>
      <c r="AA356" s="369" t="str">
        <f ca="1">IF($B356&lt;&gt;"PRC_RESID","",IF(AA$7=2016+OFFSET(' COM_2017_old'!$B$60,$AW356,SUMIF($B$10:$B$16,"NCAP_TLIFE",$AX$10:$AX$16)),0,""))</f>
        <v/>
      </c>
      <c r="AB356" s="369" t="str">
        <f ca="1">IF($B356&lt;&gt;"PRC_RESID","",IF(AB$7=2016+OFFSET(' COM_2017_old'!$B$60,$AW356,SUMIF($B$10:$B$16,"NCAP_TLIFE",$AX$10:$AX$16)),0,""))</f>
        <v/>
      </c>
      <c r="AC356" s="369" t="str">
        <f ca="1">IF($B356&lt;&gt;"PRC_RESID","",IF(AC$7=2016+OFFSET(' COM_2017_old'!$B$60,$AW356,SUMIF($B$10:$B$16,"NCAP_TLIFE",$AX$10:$AX$16)),0,""))</f>
        <v/>
      </c>
      <c r="AD356" s="369" t="str">
        <f ca="1">IF($B356&lt;&gt;"PRC_RESID","",IF(AD$7=2016+OFFSET(' COM_2017_old'!$B$60,$AW356,SUMIF($B$10:$B$16,"NCAP_TLIFE",$AX$10:$AX$16)),0,""))</f>
        <v/>
      </c>
      <c r="AE356" s="369" t="str">
        <f ca="1">IF($B356&lt;&gt;"PRC_RESID","",IF(AE$7=2005+OFFSET(COM_2012!$B$60,$AW356,SUMIF($B$10:$B$16,"NCAP_TLIFE",$AX$10:$AX$16)),0,""))</f>
        <v/>
      </c>
      <c r="AF356" s="369" t="str">
        <f ca="1">IF($B356&lt;&gt;"PRC_RESID","",IF(AF$7=2005+OFFSET(COM_2012!$B$60,$AW356,SUMIF($B$10:$B$16,"NCAP_TLIFE",$AX$10:$AX$16)),0,""))</f>
        <v/>
      </c>
      <c r="AG356" s="369" t="str">
        <f ca="1">IF($B356&lt;&gt;"PRC_RESID","",IF(AG$7=2005+OFFSET(COM_2012!$B$60,$AW356,SUMIF($B$10:$B$16,"NCAP_TLIFE",$AX$10:$AX$16)),0,""))</f>
        <v/>
      </c>
      <c r="AH356" s="369" t="str">
        <f ca="1">IF($B356&lt;&gt;"PRC_RESID","",IF(AH$7=2005+OFFSET(COM_2012!$B$60,$AW356,SUMIF($B$10:$B$16,"NCAP_TLIFE",$AX$10:$AX$16)),0,""))</f>
        <v/>
      </c>
      <c r="AI356" s="369" t="str">
        <f ca="1">IF($B356&lt;&gt;"PRC_RESID","",IF(AI$7=2005+OFFSET(COM_2012!$B$60,$AW356,SUMIF($B$10:$B$16,"NCAP_TLIFE",$AX$10:$AX$16)),0,""))</f>
        <v/>
      </c>
      <c r="AJ356" s="369" t="str">
        <f ca="1">IF($B356&lt;&gt;"PRC_RESID","",IF(AJ$7=2005+OFFSET(COM_2012!$B$60,$AW356,SUMIF($B$10:$B$16,"NCAP_TLIFE",$AX$10:$AX$16)),0,""))</f>
        <v/>
      </c>
      <c r="AK356" s="369" t="str">
        <f ca="1">IF($B356&lt;&gt;"PRC_RESID","",IF(AK$7=2005+OFFSET(COM_2012!$B$60,$AW356,SUMIF($B$10:$B$16,"NCAP_TLIFE",$AX$10:$AX$16)),0,""))</f>
        <v/>
      </c>
      <c r="AL356" s="369" t="str">
        <f ca="1">IF($B356&lt;&gt;"PRC_RESID","",IF(AL$7=2005+OFFSET(COM_2012!$B$60,$AW356,SUMIF($B$10:$B$16,"NCAP_TLIFE",$AX$10:$AX$16)),0,""))</f>
        <v/>
      </c>
      <c r="AM356" s="369" t="str">
        <f ca="1">IF($B356&lt;&gt;"PRC_RESID","",IF(AM$7=2005+OFFSET(COM_2012!$B$60,$AW356,SUMIF($B$10:$B$16,"NCAP_TLIFE",$AX$10:$AX$16)),0,""))</f>
        <v/>
      </c>
      <c r="AN356" s="369" t="str">
        <f ca="1">IF($B356&lt;&gt;"PRC_RESID","",IF(AN$7=2005+OFFSET(COM_2012!$B$60,$AW356,SUMIF($B$10:$B$16,"NCAP_TLIFE",$AX$10:$AX$16)),0,""))</f>
        <v/>
      </c>
      <c r="AO356" s="369" t="str">
        <f ca="1">IF($B356&lt;&gt;"PRC_RESID","",IF(AO$7=2005+OFFSET(COM_2012!$B$60,$AW356,SUMIF($B$10:$B$16,"NCAP_TLIFE",$AX$10:$AX$16)),0,""))</f>
        <v/>
      </c>
      <c r="AP356" s="369" t="str">
        <f ca="1">IF($B356&lt;&gt;"PRC_RESID","",IF(AP$7=2005+OFFSET(COM_2012!$B$60,$AW356,SUMIF($B$10:$B$16,"NCAP_TLIFE",$AX$10:$AX$16)),0,""))</f>
        <v/>
      </c>
      <c r="AQ356" s="369" t="str">
        <f ca="1">IF($B356&lt;&gt;"PRC_RESID","",IF(AQ$7=2005+OFFSET(COM_2012!$B$60,$AW356,SUMIF($B$10:$B$16,"NCAP_TLIFE",$AX$10:$AX$16)),0,""))</f>
        <v/>
      </c>
      <c r="AR356" s="369" t="str">
        <f ca="1">IF($B356&lt;&gt;"PRC_RESID","",IF(AR$7=2005+OFFSET(COM_2012!$B$60,$AW356,SUMIF($B$10:$B$16,"NCAP_TLIFE",$AX$10:$AX$16)),0,""))</f>
        <v/>
      </c>
      <c r="AS356" s="369" t="str">
        <f ca="1">IF($B356&lt;&gt;"PRC_RESID","",IF(AS$7=2005+OFFSET(COM_2012!$B$60,$AW356,SUMIF($B$10:$B$16,"NCAP_TLIFE",$AX$10:$AX$16)),0,""))</f>
        <v/>
      </c>
      <c r="AT356" s="369" t="str">
        <f ca="1">IF($B356&lt;&gt;"PRC_RESID","",IF(AT$7=2005+OFFSET(COM_2012!$B$60,$AW356,SUMIF($B$10:$B$16,"NCAP_TLIFE",$AX$10:$AX$16)),0,""))</f>
        <v/>
      </c>
      <c r="AU356" s="369" t="str">
        <f ca="1">IF($B356&lt;&gt;"PRC_RESID","",IF(AU$7=2005+OFFSET(COM_2012!$B$60,$AW356,SUMIF($B$10:$B$16,"NCAP_TLIFE",$AX$10:$AX$16)),0,""))</f>
        <v/>
      </c>
      <c r="AV356" s="304">
        <f>IF(AW355=COM_2012!$AI$121,AV355+1,AV355)</f>
        <v>6</v>
      </c>
      <c r="AW356" s="304">
        <f t="shared" si="36"/>
        <v>24</v>
      </c>
    </row>
    <row r="357" spans="1:49">
      <c r="A357" s="304" t="str">
        <f ca="1">IF(LEFT(OFFSET(COM_2012!$A$60,AW357,0),2)="\I","*","")</f>
        <v/>
      </c>
      <c r="B357" s="369" t="str">
        <f t="shared" ca="1" si="35"/>
        <v>PRC_RESID</v>
      </c>
      <c r="C357" s="369" t="str">
        <f ca="1">IF($A357="*","",OFFSET(COM_2012!$B$60,AW357,0))</f>
        <v>CELELCINC-E</v>
      </c>
      <c r="D357" s="369" t="str">
        <f t="shared" ca="1" si="37"/>
        <v>-</v>
      </c>
      <c r="E357" s="369" t="str">
        <f t="shared" ca="1" si="37"/>
        <v>-</v>
      </c>
      <c r="F357" s="369" t="str">
        <f t="shared" ca="1" si="37"/>
        <v>-</v>
      </c>
      <c r="G357" s="369" t="str">
        <f t="shared" ca="1" si="37"/>
        <v>-</v>
      </c>
      <c r="H357" s="369" t="str">
        <f t="shared" ca="1" si="37"/>
        <v>-</v>
      </c>
      <c r="I357" s="370">
        <f t="shared" ca="1" si="37"/>
        <v>0</v>
      </c>
      <c r="J357" s="391">
        <f ca="1">IF($A357="*","",OFFSET(COM_2012!$B$60,AW357,SUMIF($B$10:$B$16,B357,$AX$10:$AX$16)))</f>
        <v>3.3874100308163011</v>
      </c>
      <c r="K357" s="369" t="str">
        <f ca="1">IF($B364&lt;&gt;"PRC_RESID","",IF(K$7=2005+OFFSET(COM_2012!$B$60,$AW364,SUMIF($B$10:$B$16,"NCAP_TLIFE",$AX$10:$AX$16)),0,""))</f>
        <v/>
      </c>
      <c r="L357" s="369" t="str">
        <f ca="1">IF($B364&lt;&gt;"PRC_RESID","",IF(L$7=2005+OFFSET(COM_2012!$B$60,$AW364,SUMIF($B$10:$B$16,"NCAP_TLIFE",$AX$10:$AX$16)),0,""))</f>
        <v/>
      </c>
      <c r="M357" s="369"/>
      <c r="N357" s="369" t="str">
        <f ca="1">IF($B364&lt;&gt;"PRC_RESID","",IF(N$7=2005+OFFSET(COM_2012!$B$60,$AW364,SUMIF($B$10:$B$16,"NCAP_TLIFE",$AX$10:$AX$16)),0,""))</f>
        <v/>
      </c>
      <c r="O357" s="391">
        <f ca="1">IF($A357="*","",OFFSET(' COM_2017_old'!$B$60,AW357,SUMIF($B$10:$B$16,B357,$AX$10:$AX$16)))</f>
        <v>2.9173433604072261</v>
      </c>
      <c r="P357" s="369" t="str">
        <f ca="1">IF($B357&lt;&gt;"PRC_RESID","",IF(P$7=2005+OFFSET(COM_2012!$B$60,$AW357,SUMIF($B$10:$B$16,"NCAP_TLIFE",$AX$10:$AX$16)),0,""))</f>
        <v/>
      </c>
      <c r="Q357" s="369"/>
      <c r="R357" s="369" t="str">
        <f ca="1">IF($B357&lt;&gt;"PRC_RESID","",IF(R$7=2016+OFFSET(' COM_2017_old'!$B$60,$AW357,SUMIF($B$10:$B$16,"NCAP_TLIFE",$AX$10:$AX$16)),0,""))</f>
        <v/>
      </c>
      <c r="S357" s="369" t="str">
        <f ca="1">IF($B357&lt;&gt;"PRC_RESID","",IF(S$7=2016+OFFSET(' COM_2017_old'!$B$60,$AW357,SUMIF($B$10:$B$16,"NCAP_TLIFE",$AX$10:$AX$16)),0,""))</f>
        <v/>
      </c>
      <c r="T357" s="369" t="str">
        <f ca="1">IF($B357&lt;&gt;"PRC_RESID","",IF(T$7=2016+OFFSET(' COM_2017_old'!$B$60,$AW357,SUMIF($B$10:$B$16,"NCAP_TLIFE",$AX$10:$AX$16)),0,""))</f>
        <v/>
      </c>
      <c r="U357" s="369" t="str">
        <f ca="1">IF($B357&lt;&gt;"PRC_RESID","",IF(U$7=2016+OFFSET(' COM_2017_old'!$B$60,$AW357,SUMIF($B$10:$B$16,"NCAP_TLIFE",$AX$10:$AX$16)),0,""))</f>
        <v/>
      </c>
      <c r="V357" s="369" t="str">
        <f ca="1">IF($B357&lt;&gt;"PRC_RESID","",IF(V$7=2016+OFFSET(' COM_2017_old'!$B$60,$AW357,SUMIF($B$10:$B$16,"NCAP_TLIFE",$AX$10:$AX$16)),0,""))</f>
        <v/>
      </c>
      <c r="W357" s="369" t="str">
        <f ca="1">IF($B357&lt;&gt;"PRC_RESID","",IF(W$7=2016+OFFSET(' COM_2017_old'!$B$60,$AW357,SUMIF($B$10:$B$16,"NCAP_TLIFE",$AX$10:$AX$16)),0,""))</f>
        <v/>
      </c>
      <c r="X357" s="369" t="str">
        <f ca="1">IF($B357&lt;&gt;"PRC_RESID","",IF(X$7=2016+OFFSET(' COM_2017_old'!$B$60,$AW357,SUMIF($B$10:$B$16,"NCAP_TLIFE",$AX$10:$AX$16)),0,""))</f>
        <v/>
      </c>
      <c r="Y357" s="369" t="str">
        <f ca="1">IF($B357&lt;&gt;"PRC_RESID","",IF(Y$7=2016+OFFSET(' COM_2017_old'!$B$60,$AW357,SUMIF($B$10:$B$16,"NCAP_TLIFE",$AX$10:$AX$16)),0,""))</f>
        <v/>
      </c>
      <c r="Z357" s="369" t="str">
        <f ca="1">IF($B357&lt;&gt;"PRC_RESID","",IF(Z$7=2016+OFFSET(' COM_2017_old'!$B$60,$AW357,SUMIF($B$10:$B$16,"NCAP_TLIFE",$AX$10:$AX$16)),0,""))</f>
        <v/>
      </c>
      <c r="AA357" s="369" t="str">
        <f ca="1">IF($B357&lt;&gt;"PRC_RESID","",IF(AA$7=2016+OFFSET(' COM_2017_old'!$B$60,$AW357,SUMIF($B$10:$B$16,"NCAP_TLIFE",$AX$10:$AX$16)),0,""))</f>
        <v/>
      </c>
      <c r="AB357" s="369" t="str">
        <f ca="1">IF($B357&lt;&gt;"PRC_RESID","",IF(AB$7=2016+OFFSET(' COM_2017_old'!$B$60,$AW357,SUMIF($B$10:$B$16,"NCAP_TLIFE",$AX$10:$AX$16)),0,""))</f>
        <v/>
      </c>
      <c r="AC357" s="369" t="str">
        <f ca="1">IF($B357&lt;&gt;"PRC_RESID","",IF(AC$7=2016+OFFSET(' COM_2017_old'!$B$60,$AW357,SUMIF($B$10:$B$16,"NCAP_TLIFE",$AX$10:$AX$16)),0,""))</f>
        <v/>
      </c>
      <c r="AD357" s="369" t="str">
        <f ca="1">IF($B357&lt;&gt;"PRC_RESID","",IF(AD$7=2016+OFFSET(' COM_2017_old'!$B$60,$AW357,SUMIF($B$10:$B$16,"NCAP_TLIFE",$AX$10:$AX$16)),0,""))</f>
        <v/>
      </c>
      <c r="AE357" s="369" t="str">
        <f ca="1">IF($B357&lt;&gt;"PRC_RESID","",IF(AE$7=2005+OFFSET(COM_2012!$B$60,$AW357,SUMIF($B$10:$B$16,"NCAP_TLIFE",$AX$10:$AX$16)),0,""))</f>
        <v/>
      </c>
      <c r="AF357" s="369" t="str">
        <f ca="1">IF($B357&lt;&gt;"PRC_RESID","",IF(AF$7=2005+OFFSET(COM_2012!$B$60,$AW357,SUMIF($B$10:$B$16,"NCAP_TLIFE",$AX$10:$AX$16)),0,""))</f>
        <v/>
      </c>
      <c r="AG357" s="369" t="str">
        <f ca="1">IF($B357&lt;&gt;"PRC_RESID","",IF(AG$7=2005+OFFSET(COM_2012!$B$60,$AW357,SUMIF($B$10:$B$16,"NCAP_TLIFE",$AX$10:$AX$16)),0,""))</f>
        <v/>
      </c>
      <c r="AH357" s="369" t="str">
        <f ca="1">IF($B357&lt;&gt;"PRC_RESID","",IF(AH$7=2005+OFFSET(COM_2012!$B$60,$AW357,SUMIF($B$10:$B$16,"NCAP_TLIFE",$AX$10:$AX$16)),0,""))</f>
        <v/>
      </c>
      <c r="AI357" s="369" t="str">
        <f ca="1">IF($B357&lt;&gt;"PRC_RESID","",IF(AI$7=2005+OFFSET(COM_2012!$B$60,$AW357,SUMIF($B$10:$B$16,"NCAP_TLIFE",$AX$10:$AX$16)),0,""))</f>
        <v/>
      </c>
      <c r="AJ357" s="369" t="str">
        <f ca="1">IF($B357&lt;&gt;"PRC_RESID","",IF(AJ$7=2005+OFFSET(COM_2012!$B$60,$AW357,SUMIF($B$10:$B$16,"NCAP_TLIFE",$AX$10:$AX$16)),0,""))</f>
        <v/>
      </c>
      <c r="AK357" s="369" t="str">
        <f ca="1">IF($B357&lt;&gt;"PRC_RESID","",IF(AK$7=2005+OFFSET(COM_2012!$B$60,$AW357,SUMIF($B$10:$B$16,"NCAP_TLIFE",$AX$10:$AX$16)),0,""))</f>
        <v/>
      </c>
      <c r="AL357" s="369" t="str">
        <f ca="1">IF($B357&lt;&gt;"PRC_RESID","",IF(AL$7=2005+OFFSET(COM_2012!$B$60,$AW357,SUMIF($B$10:$B$16,"NCAP_TLIFE",$AX$10:$AX$16)),0,""))</f>
        <v/>
      </c>
      <c r="AM357" s="369" t="str">
        <f ca="1">IF($B357&lt;&gt;"PRC_RESID","",IF(AM$7=2005+OFFSET(COM_2012!$B$60,$AW357,SUMIF($B$10:$B$16,"NCAP_TLIFE",$AX$10:$AX$16)),0,""))</f>
        <v/>
      </c>
      <c r="AN357" s="369" t="str">
        <f ca="1">IF($B357&lt;&gt;"PRC_RESID","",IF(AN$7=2005+OFFSET(COM_2012!$B$60,$AW357,SUMIF($B$10:$B$16,"NCAP_TLIFE",$AX$10:$AX$16)),0,""))</f>
        <v/>
      </c>
      <c r="AO357" s="369" t="str">
        <f ca="1">IF($B357&lt;&gt;"PRC_RESID","",IF(AO$7=2005+OFFSET(COM_2012!$B$60,$AW357,SUMIF($B$10:$B$16,"NCAP_TLIFE",$AX$10:$AX$16)),0,""))</f>
        <v/>
      </c>
      <c r="AP357" s="369" t="str">
        <f ca="1">IF($B357&lt;&gt;"PRC_RESID","",IF(AP$7=2005+OFFSET(COM_2012!$B$60,$AW357,SUMIF($B$10:$B$16,"NCAP_TLIFE",$AX$10:$AX$16)),0,""))</f>
        <v/>
      </c>
      <c r="AQ357" s="369" t="str">
        <f ca="1">IF($B357&lt;&gt;"PRC_RESID","",IF(AQ$7=2005+OFFSET(COM_2012!$B$60,$AW357,SUMIF($B$10:$B$16,"NCAP_TLIFE",$AX$10:$AX$16)),0,""))</f>
        <v/>
      </c>
      <c r="AR357" s="369" t="str">
        <f ca="1">IF($B357&lt;&gt;"PRC_RESID","",IF(AR$7=2005+OFFSET(COM_2012!$B$60,$AW357,SUMIF($B$10:$B$16,"NCAP_TLIFE",$AX$10:$AX$16)),0,""))</f>
        <v/>
      </c>
      <c r="AS357" s="369" t="str">
        <f ca="1">IF($B357&lt;&gt;"PRC_RESID","",IF(AS$7=2005+OFFSET(COM_2012!$B$60,$AW357,SUMIF($B$10:$B$16,"NCAP_TLIFE",$AX$10:$AX$16)),0,""))</f>
        <v/>
      </c>
      <c r="AT357" s="369" t="str">
        <f ca="1">IF($B357&lt;&gt;"PRC_RESID","",IF(AT$7=2005+OFFSET(COM_2012!$B$60,$AW357,SUMIF($B$10:$B$16,"NCAP_TLIFE",$AX$10:$AX$16)),0,""))</f>
        <v/>
      </c>
      <c r="AU357" s="369" t="str">
        <f ca="1">IF($B357&lt;&gt;"PRC_RESID","",IF(AU$7=2005+OFFSET(COM_2012!$B$60,$AW357,SUMIF($B$10:$B$16,"NCAP_TLIFE",$AX$10:$AX$16)),0,""))</f>
        <v/>
      </c>
      <c r="AV357" s="304">
        <f>IF(AW356=COM_2012!$AI$121,AV356+1,AV356)</f>
        <v>6</v>
      </c>
      <c r="AW357" s="304">
        <f t="shared" si="36"/>
        <v>25</v>
      </c>
    </row>
    <row r="358" spans="1:49">
      <c r="A358" s="304" t="str">
        <f ca="1">IF(LEFT(OFFSET(COM_2012!$A$60,AW358,0),2)="\I","*","")</f>
        <v/>
      </c>
      <c r="B358" s="369" t="str">
        <f t="shared" ca="1" si="35"/>
        <v>PRC_RESID</v>
      </c>
      <c r="C358" s="369" t="str">
        <f ca="1">IF($A358="*","",OFFSET(COM_2012!$B$60,AW358,0))</f>
        <v>CELELCLED-N</v>
      </c>
      <c r="D358" s="369" t="str">
        <f t="shared" ca="1" si="37"/>
        <v>-</v>
      </c>
      <c r="E358" s="369" t="str">
        <f t="shared" ca="1" si="37"/>
        <v>-</v>
      </c>
      <c r="F358" s="369" t="str">
        <f t="shared" ca="1" si="37"/>
        <v>-</v>
      </c>
      <c r="G358" s="369" t="str">
        <f t="shared" ca="1" si="37"/>
        <v>-</v>
      </c>
      <c r="H358" s="369" t="str">
        <f t="shared" ca="1" si="37"/>
        <v>-</v>
      </c>
      <c r="I358" s="370">
        <f t="shared" ca="1" si="37"/>
        <v>0</v>
      </c>
      <c r="J358" s="391">
        <f ca="1">IF($A358="*","",OFFSET(COM_2012!$B$60,AW358,SUMIF($B$10:$B$16,B358,$AX$10:$AX$16)))</f>
        <v>0</v>
      </c>
      <c r="K358" s="369" t="str">
        <f ca="1">IF($B365&lt;&gt;"PRC_RESID","",IF(K$7=2005+OFFSET(COM_2012!$B$60,$AW365,SUMIF($B$10:$B$16,"NCAP_TLIFE",$AX$10:$AX$16)),0,""))</f>
        <v/>
      </c>
      <c r="L358" s="369" t="str">
        <f ca="1">IF($B365&lt;&gt;"PRC_RESID","",IF(L$7=2005+OFFSET(COM_2012!$B$60,$AW365,SUMIF($B$10:$B$16,"NCAP_TLIFE",$AX$10:$AX$16)),0,""))</f>
        <v/>
      </c>
      <c r="M358" s="369"/>
      <c r="N358" s="369" t="str">
        <f ca="1">IF($B365&lt;&gt;"PRC_RESID","",IF(N$7=2005+OFFSET(COM_2012!$B$60,$AW365,SUMIF($B$10:$B$16,"NCAP_TLIFE",$AX$10:$AX$16)),0,""))</f>
        <v/>
      </c>
      <c r="O358" s="391">
        <f ca="1">IF($A358="*","",OFFSET(' COM_2017_old'!$B$60,AW358,SUMIF($B$10:$B$16,B358,$AX$10:$AX$16)))</f>
        <v>0</v>
      </c>
      <c r="P358" s="369" t="str">
        <f ca="1">IF($B358&lt;&gt;"PRC_RESID","",IF(P$7=2005+OFFSET(COM_2012!$B$60,$AW358,SUMIF($B$10:$B$16,"NCAP_TLIFE",$AX$10:$AX$16)),0,""))</f>
        <v/>
      </c>
      <c r="Q358" s="369"/>
      <c r="R358" s="369" t="str">
        <f ca="1">IF($B358&lt;&gt;"PRC_RESID","",IF(R$7=2016+OFFSET(' COM_2017_old'!$B$60,$AW358,SUMIF($B$10:$B$16,"NCAP_TLIFE",$AX$10:$AX$16)),0,""))</f>
        <v/>
      </c>
      <c r="S358" s="369" t="str">
        <f ca="1">IF($B358&lt;&gt;"PRC_RESID","",IF(S$7=2016+OFFSET(' COM_2017_old'!$B$60,$AW358,SUMIF($B$10:$B$16,"NCAP_TLIFE",$AX$10:$AX$16)),0,""))</f>
        <v/>
      </c>
      <c r="T358" s="369" t="str">
        <f ca="1">IF($B358&lt;&gt;"PRC_RESID","",IF(T$7=2016+OFFSET(' COM_2017_old'!$B$60,$AW358,SUMIF($B$10:$B$16,"NCAP_TLIFE",$AX$10:$AX$16)),0,""))</f>
        <v/>
      </c>
      <c r="U358" s="369" t="str">
        <f ca="1">IF($B358&lt;&gt;"PRC_RESID","",IF(U$7=2016+OFFSET(' COM_2017_old'!$B$60,$AW358,SUMIF($B$10:$B$16,"NCAP_TLIFE",$AX$10:$AX$16)),0,""))</f>
        <v/>
      </c>
      <c r="V358" s="369" t="str">
        <f ca="1">IF($B358&lt;&gt;"PRC_RESID","",IF(V$7=2016+OFFSET(' COM_2017_old'!$B$60,$AW358,SUMIF($B$10:$B$16,"NCAP_TLIFE",$AX$10:$AX$16)),0,""))</f>
        <v/>
      </c>
      <c r="W358" s="369" t="str">
        <f ca="1">IF($B358&lt;&gt;"PRC_RESID","",IF(W$7=2016+OFFSET(' COM_2017_old'!$B$60,$AW358,SUMIF($B$10:$B$16,"NCAP_TLIFE",$AX$10:$AX$16)),0,""))</f>
        <v/>
      </c>
      <c r="X358" s="369">
        <f ca="1">IF($B358&lt;&gt;"PRC_RESID","",IF(X$7=2016+OFFSET(' COM_2017_old'!$B$60,$AW358,SUMIF($B$10:$B$16,"NCAP_TLIFE",$AX$10:$AX$16)),0,""))</f>
        <v>0</v>
      </c>
      <c r="Y358" s="369" t="str">
        <f ca="1">IF($B358&lt;&gt;"PRC_RESID","",IF(Y$7=2016+OFFSET(' COM_2017_old'!$B$60,$AW358,SUMIF($B$10:$B$16,"NCAP_TLIFE",$AX$10:$AX$16)),0,""))</f>
        <v/>
      </c>
      <c r="Z358" s="369" t="str">
        <f ca="1">IF($B358&lt;&gt;"PRC_RESID","",IF(Z$7=2016+OFFSET(' COM_2017_old'!$B$60,$AW358,SUMIF($B$10:$B$16,"NCAP_TLIFE",$AX$10:$AX$16)),0,""))</f>
        <v/>
      </c>
      <c r="AA358" s="369" t="str">
        <f ca="1">IF($B358&lt;&gt;"PRC_RESID","",IF(AA$7=2016+OFFSET(' COM_2017_old'!$B$60,$AW358,SUMIF($B$10:$B$16,"NCAP_TLIFE",$AX$10:$AX$16)),0,""))</f>
        <v/>
      </c>
      <c r="AB358" s="369" t="str">
        <f ca="1">IF($B358&lt;&gt;"PRC_RESID","",IF(AB$7=2016+OFFSET(' COM_2017_old'!$B$60,$AW358,SUMIF($B$10:$B$16,"NCAP_TLIFE",$AX$10:$AX$16)),0,""))</f>
        <v/>
      </c>
      <c r="AC358" s="369" t="str">
        <f ca="1">IF($B358&lt;&gt;"PRC_RESID","",IF(AC$7=2016+OFFSET(' COM_2017_old'!$B$60,$AW358,SUMIF($B$10:$B$16,"NCAP_TLIFE",$AX$10:$AX$16)),0,""))</f>
        <v/>
      </c>
      <c r="AD358" s="369" t="str">
        <f ca="1">IF($B358&lt;&gt;"PRC_RESID","",IF(AD$7=2016+OFFSET(' COM_2017_old'!$B$60,$AW358,SUMIF($B$10:$B$16,"NCAP_TLIFE",$AX$10:$AX$16)),0,""))</f>
        <v/>
      </c>
      <c r="AE358" s="369" t="str">
        <f ca="1">IF($B358&lt;&gt;"PRC_RESID","",IF(AE$7=2005+OFFSET(COM_2012!$B$60,$AW358,SUMIF($B$10:$B$16,"NCAP_TLIFE",$AX$10:$AX$16)),0,""))</f>
        <v/>
      </c>
      <c r="AF358" s="369" t="str">
        <f ca="1">IF($B358&lt;&gt;"PRC_RESID","",IF(AF$7=2005+OFFSET(COM_2012!$B$60,$AW358,SUMIF($B$10:$B$16,"NCAP_TLIFE",$AX$10:$AX$16)),0,""))</f>
        <v/>
      </c>
      <c r="AG358" s="369" t="str">
        <f ca="1">IF($B358&lt;&gt;"PRC_RESID","",IF(AG$7=2005+OFFSET(COM_2012!$B$60,$AW358,SUMIF($B$10:$B$16,"NCAP_TLIFE",$AX$10:$AX$16)),0,""))</f>
        <v/>
      </c>
      <c r="AH358" s="369" t="str">
        <f ca="1">IF($B358&lt;&gt;"PRC_RESID","",IF(AH$7=2005+OFFSET(COM_2012!$B$60,$AW358,SUMIF($B$10:$B$16,"NCAP_TLIFE",$AX$10:$AX$16)),0,""))</f>
        <v/>
      </c>
      <c r="AI358" s="369" t="str">
        <f ca="1">IF($B358&lt;&gt;"PRC_RESID","",IF(AI$7=2005+OFFSET(COM_2012!$B$60,$AW358,SUMIF($B$10:$B$16,"NCAP_TLIFE",$AX$10:$AX$16)),0,""))</f>
        <v/>
      </c>
      <c r="AJ358" s="369" t="str">
        <f ca="1">IF($B358&lt;&gt;"PRC_RESID","",IF(AJ$7=2005+OFFSET(COM_2012!$B$60,$AW358,SUMIF($B$10:$B$16,"NCAP_TLIFE",$AX$10:$AX$16)),0,""))</f>
        <v/>
      </c>
      <c r="AK358" s="369" t="str">
        <f ca="1">IF($B358&lt;&gt;"PRC_RESID","",IF(AK$7=2005+OFFSET(COM_2012!$B$60,$AW358,SUMIF($B$10:$B$16,"NCAP_TLIFE",$AX$10:$AX$16)),0,""))</f>
        <v/>
      </c>
      <c r="AL358" s="369" t="str">
        <f ca="1">IF($B358&lt;&gt;"PRC_RESID","",IF(AL$7=2005+OFFSET(COM_2012!$B$60,$AW358,SUMIF($B$10:$B$16,"NCAP_TLIFE",$AX$10:$AX$16)),0,""))</f>
        <v/>
      </c>
      <c r="AM358" s="369" t="str">
        <f ca="1">IF($B358&lt;&gt;"PRC_RESID","",IF(AM$7=2005+OFFSET(COM_2012!$B$60,$AW358,SUMIF($B$10:$B$16,"NCAP_TLIFE",$AX$10:$AX$16)),0,""))</f>
        <v/>
      </c>
      <c r="AN358" s="369" t="str">
        <f ca="1">IF($B358&lt;&gt;"PRC_RESID","",IF(AN$7=2005+OFFSET(COM_2012!$B$60,$AW358,SUMIF($B$10:$B$16,"NCAP_TLIFE",$AX$10:$AX$16)),0,""))</f>
        <v/>
      </c>
      <c r="AO358" s="369" t="str">
        <f ca="1">IF($B358&lt;&gt;"PRC_RESID","",IF(AO$7=2005+OFFSET(COM_2012!$B$60,$AW358,SUMIF($B$10:$B$16,"NCAP_TLIFE",$AX$10:$AX$16)),0,""))</f>
        <v/>
      </c>
      <c r="AP358" s="369" t="str">
        <f ca="1">IF($B358&lt;&gt;"PRC_RESID","",IF(AP$7=2005+OFFSET(COM_2012!$B$60,$AW358,SUMIF($B$10:$B$16,"NCAP_TLIFE",$AX$10:$AX$16)),0,""))</f>
        <v/>
      </c>
      <c r="AQ358" s="369" t="str">
        <f ca="1">IF($B358&lt;&gt;"PRC_RESID","",IF(AQ$7=2005+OFFSET(COM_2012!$B$60,$AW358,SUMIF($B$10:$B$16,"NCAP_TLIFE",$AX$10:$AX$16)),0,""))</f>
        <v/>
      </c>
      <c r="AR358" s="369" t="str">
        <f ca="1">IF($B358&lt;&gt;"PRC_RESID","",IF(AR$7=2005+OFFSET(COM_2012!$B$60,$AW358,SUMIF($B$10:$B$16,"NCAP_TLIFE",$AX$10:$AX$16)),0,""))</f>
        <v/>
      </c>
      <c r="AS358" s="369" t="str">
        <f ca="1">IF($B358&lt;&gt;"PRC_RESID","",IF(AS$7=2005+OFFSET(COM_2012!$B$60,$AW358,SUMIF($B$10:$B$16,"NCAP_TLIFE",$AX$10:$AX$16)),0,""))</f>
        <v/>
      </c>
      <c r="AT358" s="369" t="str">
        <f ca="1">IF($B358&lt;&gt;"PRC_RESID","",IF(AT$7=2005+OFFSET(COM_2012!$B$60,$AW358,SUMIF($B$10:$B$16,"NCAP_TLIFE",$AX$10:$AX$16)),0,""))</f>
        <v/>
      </c>
      <c r="AU358" s="369" t="str">
        <f ca="1">IF($B358&lt;&gt;"PRC_RESID","",IF(AU$7=2005+OFFSET(COM_2012!$B$60,$AW358,SUMIF($B$10:$B$16,"NCAP_TLIFE",$AX$10:$AX$16)),0,""))</f>
        <v/>
      </c>
      <c r="AV358" s="304">
        <f>IF(AW357=COM_2012!$AI$121,AV357+1,AV357)</f>
        <v>6</v>
      </c>
      <c r="AW358" s="304">
        <f t="shared" si="36"/>
        <v>26</v>
      </c>
    </row>
    <row r="359" spans="1:49">
      <c r="A359" s="304" t="str">
        <f ca="1">IF(LEFT(OFFSET(COM_2012!$A$60,AW359,0),2)="\I","*","")</f>
        <v>*</v>
      </c>
      <c r="B359" s="369" t="str">
        <f t="shared" ca="1" si="35"/>
        <v/>
      </c>
      <c r="C359" s="369" t="str">
        <f ca="1">IF($A359="*","",OFFSET(COM_2012!$B$60,AW359,0))</f>
        <v/>
      </c>
      <c r="D359" s="369" t="str">
        <f t="shared" ca="1" si="37"/>
        <v/>
      </c>
      <c r="E359" s="369" t="str">
        <f t="shared" ca="1" si="37"/>
        <v/>
      </c>
      <c r="F359" s="369" t="str">
        <f t="shared" ca="1" si="37"/>
        <v/>
      </c>
      <c r="G359" s="369" t="str">
        <f t="shared" ca="1" si="37"/>
        <v/>
      </c>
      <c r="H359" s="369" t="str">
        <f t="shared" ca="1" si="37"/>
        <v/>
      </c>
      <c r="I359" s="370" t="str">
        <f t="shared" ca="1" si="37"/>
        <v/>
      </c>
      <c r="J359" s="391" t="str">
        <f ca="1">IF($A359="*","",OFFSET(COM_2012!$B$60,AW359,SUMIF($B$10:$B$16,B359,$AX$10:$AX$16)))</f>
        <v/>
      </c>
      <c r="K359" s="369" t="str">
        <f ca="1">IF($B359&lt;&gt;"PRC_RESID","",IF(K$7=2005+OFFSET(COM_2012!$B$60,$AW359,SUMIF($B$10:$B$16,"NCAP_TLIFE",$AX$10:$AX$16)),0,""))</f>
        <v/>
      </c>
      <c r="L359" s="369" t="str">
        <f ca="1">IF($B359&lt;&gt;"PRC_RESID","",IF(L$7=2005+OFFSET(COM_2012!$B$60,$AW359,SUMIF($B$10:$B$16,"NCAP_TLIFE",$AX$10:$AX$16)),0,""))</f>
        <v/>
      </c>
      <c r="M359" s="369"/>
      <c r="N359" s="369" t="str">
        <f ca="1">IF($B359&lt;&gt;"PRC_RESID","",IF(N$7=2005+OFFSET(COM_2012!$B$60,$AW359,SUMIF($B$10:$B$16,"NCAP_TLIFE",$AX$10:$AX$16)),0,""))</f>
        <v/>
      </c>
      <c r="O359" s="391" t="str">
        <f ca="1">IF($A359="*","",OFFSET(' COM_2017_old'!$B$60,AW359,SUMIF($B$10:$B$16,B359,$AX$10:$AX$16)))</f>
        <v/>
      </c>
      <c r="P359" s="369" t="str">
        <f ca="1">IF($B359&lt;&gt;"PRC_RESID","",IF(P$7=2005+OFFSET(COM_2012!$B$60,$AW359,SUMIF($B$10:$B$16,"NCAP_TLIFE",$AX$10:$AX$16)),0,""))</f>
        <v/>
      </c>
      <c r="Q359" s="369"/>
      <c r="R359" s="369" t="str">
        <f ca="1">IF($B359&lt;&gt;"PRC_RESID","",IF(R$7=2016+OFFSET(' COM_2017_old'!$B$60,$AW359,SUMIF($B$10:$B$16,"NCAP_TLIFE",$AX$10:$AX$16)),0,""))</f>
        <v/>
      </c>
      <c r="S359" s="369" t="str">
        <f ca="1">IF($B359&lt;&gt;"PRC_RESID","",IF(S$7=2016+OFFSET(' COM_2017_old'!$B$60,$AW359,SUMIF($B$10:$B$16,"NCAP_TLIFE",$AX$10:$AX$16)),0,""))</f>
        <v/>
      </c>
      <c r="T359" s="369" t="str">
        <f ca="1">IF($B359&lt;&gt;"PRC_RESID","",IF(T$7=2016+OFFSET(' COM_2017_old'!$B$60,$AW359,SUMIF($B$10:$B$16,"NCAP_TLIFE",$AX$10:$AX$16)),0,""))</f>
        <v/>
      </c>
      <c r="U359" s="369" t="str">
        <f ca="1">IF($B359&lt;&gt;"PRC_RESID","",IF(U$7=2016+OFFSET(' COM_2017_old'!$B$60,$AW359,SUMIF($B$10:$B$16,"NCAP_TLIFE",$AX$10:$AX$16)),0,""))</f>
        <v/>
      </c>
      <c r="V359" s="369" t="str">
        <f ca="1">IF($B359&lt;&gt;"PRC_RESID","",IF(V$7=2016+OFFSET(' COM_2017_old'!$B$60,$AW359,SUMIF($B$10:$B$16,"NCAP_TLIFE",$AX$10:$AX$16)),0,""))</f>
        <v/>
      </c>
      <c r="W359" s="369" t="str">
        <f ca="1">IF($B359&lt;&gt;"PRC_RESID","",IF(W$7=2016+OFFSET(' COM_2017_old'!$B$60,$AW359,SUMIF($B$10:$B$16,"NCAP_TLIFE",$AX$10:$AX$16)),0,""))</f>
        <v/>
      </c>
      <c r="X359" s="369" t="str">
        <f ca="1">IF($B359&lt;&gt;"PRC_RESID","",IF(X$7=2016+OFFSET(' COM_2017_old'!$B$60,$AW359,SUMIF($B$10:$B$16,"NCAP_TLIFE",$AX$10:$AX$16)),0,""))</f>
        <v/>
      </c>
      <c r="Y359" s="369" t="str">
        <f ca="1">IF($B359&lt;&gt;"PRC_RESID","",IF(Y$7=2016+OFFSET(' COM_2017_old'!$B$60,$AW359,SUMIF($B$10:$B$16,"NCAP_TLIFE",$AX$10:$AX$16)),0,""))</f>
        <v/>
      </c>
      <c r="Z359" s="369" t="str">
        <f ca="1">IF($B359&lt;&gt;"PRC_RESID","",IF(Z$7=2016+OFFSET(' COM_2017_old'!$B$60,$AW359,SUMIF($B$10:$B$16,"NCAP_TLIFE",$AX$10:$AX$16)),0,""))</f>
        <v/>
      </c>
      <c r="AA359" s="369" t="str">
        <f ca="1">IF($B359&lt;&gt;"PRC_RESID","",IF(AA$7=2016+OFFSET(' COM_2017_old'!$B$60,$AW359,SUMIF($B$10:$B$16,"NCAP_TLIFE",$AX$10:$AX$16)),0,""))</f>
        <v/>
      </c>
      <c r="AB359" s="369" t="str">
        <f ca="1">IF($B359&lt;&gt;"PRC_RESID","",IF(AB$7=2016+OFFSET(' COM_2017_old'!$B$60,$AW359,SUMIF($B$10:$B$16,"NCAP_TLIFE",$AX$10:$AX$16)),0,""))</f>
        <v/>
      </c>
      <c r="AC359" s="369" t="str">
        <f ca="1">IF($B359&lt;&gt;"PRC_RESID","",IF(AC$7=2016+OFFSET(' COM_2017_old'!$B$60,$AW359,SUMIF($B$10:$B$16,"NCAP_TLIFE",$AX$10:$AX$16)),0,""))</f>
        <v/>
      </c>
      <c r="AD359" s="369" t="str">
        <f ca="1">IF($B359&lt;&gt;"PRC_RESID","",IF(AD$7=2016+OFFSET(' COM_2017_old'!$B$60,$AW359,SUMIF($B$10:$B$16,"NCAP_TLIFE",$AX$10:$AX$16)),0,""))</f>
        <v/>
      </c>
      <c r="AE359" s="369" t="str">
        <f ca="1">IF($B359&lt;&gt;"PRC_RESID","",IF(AE$7=2005+OFFSET(COM_2012!$B$60,$AW359,SUMIF($B$10:$B$16,"NCAP_TLIFE",$AX$10:$AX$16)),0,""))</f>
        <v/>
      </c>
      <c r="AF359" s="369" t="str">
        <f ca="1">IF($B359&lt;&gt;"PRC_RESID","",IF(AF$7=2005+OFFSET(COM_2012!$B$60,$AW359,SUMIF($B$10:$B$16,"NCAP_TLIFE",$AX$10:$AX$16)),0,""))</f>
        <v/>
      </c>
      <c r="AG359" s="369" t="str">
        <f ca="1">IF($B359&lt;&gt;"PRC_RESID","",IF(AG$7=2005+OFFSET(COM_2012!$B$60,$AW359,SUMIF($B$10:$B$16,"NCAP_TLIFE",$AX$10:$AX$16)),0,""))</f>
        <v/>
      </c>
      <c r="AH359" s="369" t="str">
        <f ca="1">IF($B359&lt;&gt;"PRC_RESID","",IF(AH$7=2005+OFFSET(COM_2012!$B$60,$AW359,SUMIF($B$10:$B$16,"NCAP_TLIFE",$AX$10:$AX$16)),0,""))</f>
        <v/>
      </c>
      <c r="AI359" s="369" t="str">
        <f ca="1">IF($B359&lt;&gt;"PRC_RESID","",IF(AI$7=2005+OFFSET(COM_2012!$B$60,$AW359,SUMIF($B$10:$B$16,"NCAP_TLIFE",$AX$10:$AX$16)),0,""))</f>
        <v/>
      </c>
      <c r="AJ359" s="369" t="str">
        <f ca="1">IF($B359&lt;&gt;"PRC_RESID","",IF(AJ$7=2005+OFFSET(COM_2012!$B$60,$AW359,SUMIF($B$10:$B$16,"NCAP_TLIFE",$AX$10:$AX$16)),0,""))</f>
        <v/>
      </c>
      <c r="AK359" s="369" t="str">
        <f ca="1">IF($B359&lt;&gt;"PRC_RESID","",IF(AK$7=2005+OFFSET(COM_2012!$B$60,$AW359,SUMIF($B$10:$B$16,"NCAP_TLIFE",$AX$10:$AX$16)),0,""))</f>
        <v/>
      </c>
      <c r="AL359" s="369" t="str">
        <f ca="1">IF($B359&lt;&gt;"PRC_RESID","",IF(AL$7=2005+OFFSET(COM_2012!$B$60,$AW359,SUMIF($B$10:$B$16,"NCAP_TLIFE",$AX$10:$AX$16)),0,""))</f>
        <v/>
      </c>
      <c r="AM359" s="369" t="str">
        <f ca="1">IF($B359&lt;&gt;"PRC_RESID","",IF(AM$7=2005+OFFSET(COM_2012!$B$60,$AW359,SUMIF($B$10:$B$16,"NCAP_TLIFE",$AX$10:$AX$16)),0,""))</f>
        <v/>
      </c>
      <c r="AN359" s="369" t="str">
        <f ca="1">IF($B359&lt;&gt;"PRC_RESID","",IF(AN$7=2005+OFFSET(COM_2012!$B$60,$AW359,SUMIF($B$10:$B$16,"NCAP_TLIFE",$AX$10:$AX$16)),0,""))</f>
        <v/>
      </c>
      <c r="AO359" s="369" t="str">
        <f ca="1">IF($B359&lt;&gt;"PRC_RESID","",IF(AO$7=2005+OFFSET(COM_2012!$B$60,$AW359,SUMIF($B$10:$B$16,"NCAP_TLIFE",$AX$10:$AX$16)),0,""))</f>
        <v/>
      </c>
      <c r="AP359" s="369" t="str">
        <f ca="1">IF($B359&lt;&gt;"PRC_RESID","",IF(AP$7=2005+OFFSET(COM_2012!$B$60,$AW359,SUMIF($B$10:$B$16,"NCAP_TLIFE",$AX$10:$AX$16)),0,""))</f>
        <v/>
      </c>
      <c r="AQ359" s="369" t="str">
        <f ca="1">IF($B359&lt;&gt;"PRC_RESID","",IF(AQ$7=2005+OFFSET(COM_2012!$B$60,$AW359,SUMIF($B$10:$B$16,"NCAP_TLIFE",$AX$10:$AX$16)),0,""))</f>
        <v/>
      </c>
      <c r="AR359" s="369" t="str">
        <f ca="1">IF($B359&lt;&gt;"PRC_RESID","",IF(AR$7=2005+OFFSET(COM_2012!$B$60,$AW359,SUMIF($B$10:$B$16,"NCAP_TLIFE",$AX$10:$AX$16)),0,""))</f>
        <v/>
      </c>
      <c r="AS359" s="369" t="str">
        <f ca="1">IF($B359&lt;&gt;"PRC_RESID","",IF(AS$7=2005+OFFSET(COM_2012!$B$60,$AW359,SUMIF($B$10:$B$16,"NCAP_TLIFE",$AX$10:$AX$16)),0,""))</f>
        <v/>
      </c>
      <c r="AT359" s="369" t="str">
        <f ca="1">IF($B359&lt;&gt;"PRC_RESID","",IF(AT$7=2005+OFFSET(COM_2012!$B$60,$AW359,SUMIF($B$10:$B$16,"NCAP_TLIFE",$AX$10:$AX$16)),0,""))</f>
        <v/>
      </c>
      <c r="AU359" s="369" t="str">
        <f ca="1">IF($B359&lt;&gt;"PRC_RESID","",IF(AU$7=2005+OFFSET(COM_2012!$B$60,$AW359,SUMIF($B$10:$B$16,"NCAP_TLIFE",$AX$10:$AX$16)),0,""))</f>
        <v/>
      </c>
      <c r="AV359" s="304">
        <f>IF(AW358=COM_2012!$AI$121,AV358+1,AV358)</f>
        <v>6</v>
      </c>
      <c r="AW359" s="304">
        <f t="shared" si="36"/>
        <v>27</v>
      </c>
    </row>
    <row r="360" spans="1:49">
      <c r="A360" s="304" t="str">
        <f ca="1">IF(LEFT(OFFSET(COM_2012!$A$60,AW360,0),2)="\I","*","")</f>
        <v>*</v>
      </c>
      <c r="B360" s="369" t="str">
        <f t="shared" ca="1" si="35"/>
        <v/>
      </c>
      <c r="C360" s="369" t="str">
        <f ca="1">IF($A360="*","",OFFSET(COM_2012!$B$60,AW360,0))</f>
        <v/>
      </c>
      <c r="D360" s="369" t="str">
        <f t="shared" ca="1" si="37"/>
        <v/>
      </c>
      <c r="E360" s="369" t="str">
        <f t="shared" ca="1" si="37"/>
        <v/>
      </c>
      <c r="F360" s="369" t="str">
        <f t="shared" ca="1" si="37"/>
        <v/>
      </c>
      <c r="G360" s="369" t="str">
        <f t="shared" ca="1" si="37"/>
        <v/>
      </c>
      <c r="H360" s="369" t="str">
        <f t="shared" ca="1" si="37"/>
        <v/>
      </c>
      <c r="I360" s="370" t="str">
        <f t="shared" ca="1" si="37"/>
        <v/>
      </c>
      <c r="J360" s="391" t="str">
        <f ca="1">IF($A360="*","",OFFSET(COM_2012!$B$60,AW360,SUMIF($B$10:$B$16,B360,$AX$10:$AX$16)))</f>
        <v/>
      </c>
      <c r="O360" s="391" t="str">
        <f ca="1">IF($A360="*","",OFFSET(' COM_2017_old'!$B$60,AW360,SUMIF($B$10:$B$16,B360,$AX$10:$AX$16)))</f>
        <v/>
      </c>
      <c r="P360" s="369" t="str">
        <f ca="1">IF($B360&lt;&gt;"PRC_RESID","",IF(P$7=2005+OFFSET(COM_2012!$B$60,$AW360,SUMIF($B$10:$B$16,"NCAP_TLIFE",$AX$10:$AX$16)),0,""))</f>
        <v/>
      </c>
      <c r="Q360" s="369"/>
      <c r="R360" s="369" t="str">
        <f ca="1">IF($B360&lt;&gt;"PRC_RESID","",IF(R$7=2016+OFFSET(' COM_2017_old'!$B$60,$AW360,SUMIF($B$10:$B$16,"NCAP_TLIFE",$AX$10:$AX$16)),0,""))</f>
        <v/>
      </c>
      <c r="S360" s="369" t="str">
        <f ca="1">IF($B360&lt;&gt;"PRC_RESID","",IF(S$7=2016+OFFSET(' COM_2017_old'!$B$60,$AW360,SUMIF($B$10:$B$16,"NCAP_TLIFE",$AX$10:$AX$16)),0,""))</f>
        <v/>
      </c>
      <c r="T360" s="369" t="str">
        <f ca="1">IF($B360&lt;&gt;"PRC_RESID","",IF(T$7=2016+OFFSET(' COM_2017_old'!$B$60,$AW360,SUMIF($B$10:$B$16,"NCAP_TLIFE",$AX$10:$AX$16)),0,""))</f>
        <v/>
      </c>
      <c r="U360" s="369" t="str">
        <f ca="1">IF($B360&lt;&gt;"PRC_RESID","",IF(U$7=2016+OFFSET(' COM_2017_old'!$B$60,$AW360,SUMIF($B$10:$B$16,"NCAP_TLIFE",$AX$10:$AX$16)),0,""))</f>
        <v/>
      </c>
      <c r="V360" s="369" t="str">
        <f ca="1">IF($B360&lt;&gt;"PRC_RESID","",IF(V$7=2016+OFFSET(' COM_2017_old'!$B$60,$AW360,SUMIF($B$10:$B$16,"NCAP_TLIFE",$AX$10:$AX$16)),0,""))</f>
        <v/>
      </c>
      <c r="W360" s="369" t="str">
        <f ca="1">IF($B360&lt;&gt;"PRC_RESID","",IF(W$7=2016+OFFSET(' COM_2017_old'!$B$60,$AW360,SUMIF($B$10:$B$16,"NCAP_TLIFE",$AX$10:$AX$16)),0,""))</f>
        <v/>
      </c>
      <c r="X360" s="369" t="str">
        <f ca="1">IF($B360&lt;&gt;"PRC_RESID","",IF(X$7=2016+OFFSET(' COM_2017_old'!$B$60,$AW360,SUMIF($B$10:$B$16,"NCAP_TLIFE",$AX$10:$AX$16)),0,""))</f>
        <v/>
      </c>
      <c r="Y360" s="369" t="str">
        <f ca="1">IF($B360&lt;&gt;"PRC_RESID","",IF(Y$7=2016+OFFSET(' COM_2017_old'!$B$60,$AW360,SUMIF($B$10:$B$16,"NCAP_TLIFE",$AX$10:$AX$16)),0,""))</f>
        <v/>
      </c>
      <c r="Z360" s="369" t="str">
        <f ca="1">IF($B360&lt;&gt;"PRC_RESID","",IF(Z$7=2016+OFFSET(' COM_2017_old'!$B$60,$AW360,SUMIF($B$10:$B$16,"NCAP_TLIFE",$AX$10:$AX$16)),0,""))</f>
        <v/>
      </c>
      <c r="AA360" s="369" t="str">
        <f ca="1">IF($B360&lt;&gt;"PRC_RESID","",IF(AA$7=2016+OFFSET(' COM_2017_old'!$B$60,$AW360,SUMIF($B$10:$B$16,"NCAP_TLIFE",$AX$10:$AX$16)),0,""))</f>
        <v/>
      </c>
      <c r="AB360" s="369" t="str">
        <f ca="1">IF($B360&lt;&gt;"PRC_RESID","",IF(AB$7=2016+OFFSET(' COM_2017_old'!$B$60,$AW360,SUMIF($B$10:$B$16,"NCAP_TLIFE",$AX$10:$AX$16)),0,""))</f>
        <v/>
      </c>
      <c r="AC360" s="369" t="str">
        <f ca="1">IF($B360&lt;&gt;"PRC_RESID","",IF(AC$7=2016+OFFSET(' COM_2017_old'!$B$60,$AW360,SUMIF($B$10:$B$16,"NCAP_TLIFE",$AX$10:$AX$16)),0,""))</f>
        <v/>
      </c>
      <c r="AD360" s="369" t="str">
        <f ca="1">IF($B360&lt;&gt;"PRC_RESID","",IF(AD$7=2016+OFFSET(' COM_2017_old'!$B$60,$AW360,SUMIF($B$10:$B$16,"NCAP_TLIFE",$AX$10:$AX$16)),0,""))</f>
        <v/>
      </c>
      <c r="AE360" s="369" t="str">
        <f ca="1">IF($B360&lt;&gt;"PRC_RESID","",IF(AE$7=2005+OFFSET(COM_2012!$B$60,$AW360,SUMIF($B$10:$B$16,"NCAP_TLIFE",$AX$10:$AX$16)),0,""))</f>
        <v/>
      </c>
      <c r="AF360" s="369" t="str">
        <f ca="1">IF($B360&lt;&gt;"PRC_RESID","",IF(AF$7=2005+OFFSET(COM_2012!$B$60,$AW360,SUMIF($B$10:$B$16,"NCAP_TLIFE",$AX$10:$AX$16)),0,""))</f>
        <v/>
      </c>
      <c r="AG360" s="369" t="str">
        <f ca="1">IF($B360&lt;&gt;"PRC_RESID","",IF(AG$7=2005+OFFSET(COM_2012!$B$60,$AW360,SUMIF($B$10:$B$16,"NCAP_TLIFE",$AX$10:$AX$16)),0,""))</f>
        <v/>
      </c>
      <c r="AH360" s="369" t="str">
        <f ca="1">IF($B360&lt;&gt;"PRC_RESID","",IF(AH$7=2005+OFFSET(COM_2012!$B$60,$AW360,SUMIF($B$10:$B$16,"NCAP_TLIFE",$AX$10:$AX$16)),0,""))</f>
        <v/>
      </c>
      <c r="AI360" s="369" t="str">
        <f ca="1">IF($B360&lt;&gt;"PRC_RESID","",IF(AI$7=2005+OFFSET(COM_2012!$B$60,$AW360,SUMIF($B$10:$B$16,"NCAP_TLIFE",$AX$10:$AX$16)),0,""))</f>
        <v/>
      </c>
      <c r="AJ360" s="369" t="str">
        <f ca="1">IF($B360&lt;&gt;"PRC_RESID","",IF(AJ$7=2005+OFFSET(COM_2012!$B$60,$AW360,SUMIF($B$10:$B$16,"NCAP_TLIFE",$AX$10:$AX$16)),0,""))</f>
        <v/>
      </c>
      <c r="AK360" s="369" t="str">
        <f ca="1">IF($B360&lt;&gt;"PRC_RESID","",IF(AK$7=2005+OFFSET(COM_2012!$B$60,$AW360,SUMIF($B$10:$B$16,"NCAP_TLIFE",$AX$10:$AX$16)),0,""))</f>
        <v/>
      </c>
      <c r="AL360" s="369" t="str">
        <f ca="1">IF($B360&lt;&gt;"PRC_RESID","",IF(AL$7=2005+OFFSET(COM_2012!$B$60,$AW360,SUMIF($B$10:$B$16,"NCAP_TLIFE",$AX$10:$AX$16)),0,""))</f>
        <v/>
      </c>
      <c r="AM360" s="369" t="str">
        <f ca="1">IF($B360&lt;&gt;"PRC_RESID","",IF(AM$7=2005+OFFSET(COM_2012!$B$60,$AW360,SUMIF($B$10:$B$16,"NCAP_TLIFE",$AX$10:$AX$16)),0,""))</f>
        <v/>
      </c>
      <c r="AN360" s="369" t="str">
        <f ca="1">IF($B360&lt;&gt;"PRC_RESID","",IF(AN$7=2005+OFFSET(COM_2012!$B$60,$AW360,SUMIF($B$10:$B$16,"NCAP_TLIFE",$AX$10:$AX$16)),0,""))</f>
        <v/>
      </c>
      <c r="AO360" s="369" t="str">
        <f ca="1">IF($B360&lt;&gt;"PRC_RESID","",IF(AO$7=2005+OFFSET(COM_2012!$B$60,$AW360,SUMIF($B$10:$B$16,"NCAP_TLIFE",$AX$10:$AX$16)),0,""))</f>
        <v/>
      </c>
      <c r="AP360" s="369" t="str">
        <f ca="1">IF($B360&lt;&gt;"PRC_RESID","",IF(AP$7=2005+OFFSET(COM_2012!$B$60,$AW360,SUMIF($B$10:$B$16,"NCAP_TLIFE",$AX$10:$AX$16)),0,""))</f>
        <v/>
      </c>
      <c r="AQ360" s="369" t="str">
        <f ca="1">IF($B360&lt;&gt;"PRC_RESID","",IF(AQ$7=2005+OFFSET(COM_2012!$B$60,$AW360,SUMIF($B$10:$B$16,"NCAP_TLIFE",$AX$10:$AX$16)),0,""))</f>
        <v/>
      </c>
      <c r="AR360" s="369" t="str">
        <f ca="1">IF($B360&lt;&gt;"PRC_RESID","",IF(AR$7=2005+OFFSET(COM_2012!$B$60,$AW360,SUMIF($B$10:$B$16,"NCAP_TLIFE",$AX$10:$AX$16)),0,""))</f>
        <v/>
      </c>
      <c r="AS360" s="369" t="str">
        <f ca="1">IF($B360&lt;&gt;"PRC_RESID","",IF(AS$7=2005+OFFSET(COM_2012!$B$60,$AW360,SUMIF($B$10:$B$16,"NCAP_TLIFE",$AX$10:$AX$16)),0,""))</f>
        <v/>
      </c>
      <c r="AT360" s="369" t="str">
        <f ca="1">IF($B360&lt;&gt;"PRC_RESID","",IF(AT$7=2005+OFFSET(COM_2012!$B$60,$AW360,SUMIF($B$10:$B$16,"NCAP_TLIFE",$AX$10:$AX$16)),0,""))</f>
        <v/>
      </c>
      <c r="AU360" s="369" t="str">
        <f ca="1">IF($B360&lt;&gt;"PRC_RESID","",IF(AU$7=2005+OFFSET(COM_2012!$B$60,$AW360,SUMIF($B$10:$B$16,"NCAP_TLIFE",$AX$10:$AX$16)),0,""))</f>
        <v/>
      </c>
      <c r="AV360" s="304">
        <f>IF(AW359=COM_2012!$AI$121,AV359+1,AV359)</f>
        <v>6</v>
      </c>
      <c r="AW360" s="304">
        <f t="shared" si="36"/>
        <v>28</v>
      </c>
    </row>
    <row r="361" spans="1:49">
      <c r="A361" s="304" t="str">
        <f ca="1">IF(LEFT(OFFSET(COM_2012!$A$60,AW361,0),2)="\I","*","")</f>
        <v/>
      </c>
      <c r="B361" s="369" t="str">
        <f t="shared" ca="1" si="35"/>
        <v>PRC_RESID</v>
      </c>
      <c r="C361" s="369" t="str">
        <f ca="1">IF($A361="*","",OFFSET(COM_2012!$B$60,AW361,0))</f>
        <v>CERELC-E</v>
      </c>
      <c r="D361" s="369" t="str">
        <f t="shared" ca="1" si="37"/>
        <v>-</v>
      </c>
      <c r="E361" s="369" t="str">
        <f t="shared" ca="1" si="37"/>
        <v>-</v>
      </c>
      <c r="F361" s="369" t="str">
        <f t="shared" ca="1" si="37"/>
        <v>-</v>
      </c>
      <c r="G361" s="369" t="str">
        <f t="shared" ca="1" si="37"/>
        <v>-</v>
      </c>
      <c r="H361" s="369" t="str">
        <f t="shared" ca="1" si="37"/>
        <v>-</v>
      </c>
      <c r="I361" s="370">
        <f t="shared" ca="1" si="37"/>
        <v>0</v>
      </c>
      <c r="J361" s="391">
        <f ca="1">IF($A361="*","",OFFSET(COM_2012!$B$60,AW361,SUMIF($B$10:$B$16,B361,$AX$10:$AX$16)))</f>
        <v>42.955673941227737</v>
      </c>
      <c r="O361" s="391">
        <f ca="1">IF($A361="*","",OFFSET(' COM_2017_old'!$B$60,AW361,SUMIF($B$10:$B$16,B361,$AX$10:$AX$16)))</f>
        <v>36.994768576646024</v>
      </c>
      <c r="P361" s="369" t="str">
        <f ca="1">IF($B361&lt;&gt;"PRC_RESID","",IF(P$7=2005+OFFSET(COM_2012!$B$60,$AW361,SUMIF($B$10:$B$16,"NCAP_TLIFE",$AX$10:$AX$16)),0,""))</f>
        <v/>
      </c>
      <c r="Q361" s="369"/>
      <c r="R361" s="369" t="str">
        <f ca="1">IF($B361&lt;&gt;"PRC_RESID","",IF(R$7=2016+OFFSET(' COM_2017_old'!$B$60,$AW361,SUMIF($B$10:$B$16,"NCAP_TLIFE",$AX$10:$AX$16)),0,""))</f>
        <v/>
      </c>
      <c r="S361" s="369" t="str">
        <f ca="1">IF($B361&lt;&gt;"PRC_RESID","",IF(S$7=2016+OFFSET(' COM_2017_old'!$B$60,$AW361,SUMIF($B$10:$B$16,"NCAP_TLIFE",$AX$10:$AX$16)),0,""))</f>
        <v/>
      </c>
      <c r="T361" s="369" t="str">
        <f ca="1">IF($B361&lt;&gt;"PRC_RESID","",IF(T$7=2016+OFFSET(' COM_2017_old'!$B$60,$AW361,SUMIF($B$10:$B$16,"NCAP_TLIFE",$AX$10:$AX$16)),0,""))</f>
        <v/>
      </c>
      <c r="U361" s="369" t="str">
        <f ca="1">IF($B361&lt;&gt;"PRC_RESID","",IF(U$7=2016+OFFSET(' COM_2017_old'!$B$60,$AW361,SUMIF($B$10:$B$16,"NCAP_TLIFE",$AX$10:$AX$16)),0,""))</f>
        <v/>
      </c>
      <c r="V361" s="369" t="str">
        <f ca="1">IF($B361&lt;&gt;"PRC_RESID","",IF(V$7=2016+OFFSET(' COM_2017_old'!$B$60,$AW361,SUMIF($B$10:$B$16,"NCAP_TLIFE",$AX$10:$AX$16)),0,""))</f>
        <v/>
      </c>
      <c r="W361" s="369" t="str">
        <f ca="1">IF($B361&lt;&gt;"PRC_RESID","",IF(W$7=2016+OFFSET(' COM_2017_old'!$B$60,$AW361,SUMIF($B$10:$B$16,"NCAP_TLIFE",$AX$10:$AX$16)),0,""))</f>
        <v/>
      </c>
      <c r="X361" s="369">
        <f ca="1">IF($B361&lt;&gt;"PRC_RESID","",IF(X$7=2016+OFFSET(' COM_2017_old'!$B$60,$AW361,SUMIF($B$10:$B$16,"NCAP_TLIFE",$AX$10:$AX$16)),0,""))</f>
        <v>0</v>
      </c>
      <c r="Y361" s="369" t="str">
        <f ca="1">IF($B361&lt;&gt;"PRC_RESID","",IF(Y$7=2016+OFFSET(' COM_2017_old'!$B$60,$AW361,SUMIF($B$10:$B$16,"NCAP_TLIFE",$AX$10:$AX$16)),0,""))</f>
        <v/>
      </c>
      <c r="Z361" s="369" t="str">
        <f ca="1">IF($B361&lt;&gt;"PRC_RESID","",IF(Z$7=2016+OFFSET(' COM_2017_old'!$B$60,$AW361,SUMIF($B$10:$B$16,"NCAP_TLIFE",$AX$10:$AX$16)),0,""))</f>
        <v/>
      </c>
      <c r="AA361" s="369" t="str">
        <f ca="1">IF($B361&lt;&gt;"PRC_RESID","",IF(AA$7=2016+OFFSET(' COM_2017_old'!$B$60,$AW361,SUMIF($B$10:$B$16,"NCAP_TLIFE",$AX$10:$AX$16)),0,""))</f>
        <v/>
      </c>
      <c r="AB361" s="369" t="str">
        <f ca="1">IF($B361&lt;&gt;"PRC_RESID","",IF(AB$7=2016+OFFSET(' COM_2017_old'!$B$60,$AW361,SUMIF($B$10:$B$16,"NCAP_TLIFE",$AX$10:$AX$16)),0,""))</f>
        <v/>
      </c>
      <c r="AC361" s="369" t="str">
        <f ca="1">IF($B361&lt;&gt;"PRC_RESID","",IF(AC$7=2016+OFFSET(' COM_2017_old'!$B$60,$AW361,SUMIF($B$10:$B$16,"NCAP_TLIFE",$AX$10:$AX$16)),0,""))</f>
        <v/>
      </c>
      <c r="AD361" s="369" t="str">
        <f ca="1">IF($B361&lt;&gt;"PRC_RESID","",IF(AD$7=2016+OFFSET(' COM_2017_old'!$B$60,$AW361,SUMIF($B$10:$B$16,"NCAP_TLIFE",$AX$10:$AX$16)),0,""))</f>
        <v/>
      </c>
      <c r="AE361" s="369" t="str">
        <f ca="1">IF($B361&lt;&gt;"PRC_RESID","",IF(AE$7=2005+OFFSET(COM_2012!$B$60,$AW361,SUMIF($B$10:$B$16,"NCAP_TLIFE",$AX$10:$AX$16)),0,""))</f>
        <v/>
      </c>
      <c r="AF361" s="369" t="str">
        <f ca="1">IF($B361&lt;&gt;"PRC_RESID","",IF(AF$7=2005+OFFSET(COM_2012!$B$60,$AW361,SUMIF($B$10:$B$16,"NCAP_TLIFE",$AX$10:$AX$16)),0,""))</f>
        <v/>
      </c>
      <c r="AG361" s="369" t="str">
        <f ca="1">IF($B361&lt;&gt;"PRC_RESID","",IF(AG$7=2005+OFFSET(COM_2012!$B$60,$AW361,SUMIF($B$10:$B$16,"NCAP_TLIFE",$AX$10:$AX$16)),0,""))</f>
        <v/>
      </c>
      <c r="AH361" s="369" t="str">
        <f ca="1">IF($B361&lt;&gt;"PRC_RESID","",IF(AH$7=2005+OFFSET(COM_2012!$B$60,$AW361,SUMIF($B$10:$B$16,"NCAP_TLIFE",$AX$10:$AX$16)),0,""))</f>
        <v/>
      </c>
      <c r="AI361" s="369" t="str">
        <f ca="1">IF($B361&lt;&gt;"PRC_RESID","",IF(AI$7=2005+OFFSET(COM_2012!$B$60,$AW361,SUMIF($B$10:$B$16,"NCAP_TLIFE",$AX$10:$AX$16)),0,""))</f>
        <v/>
      </c>
      <c r="AJ361" s="369" t="str">
        <f ca="1">IF($B361&lt;&gt;"PRC_RESID","",IF(AJ$7=2005+OFFSET(COM_2012!$B$60,$AW361,SUMIF($B$10:$B$16,"NCAP_TLIFE",$AX$10:$AX$16)),0,""))</f>
        <v/>
      </c>
      <c r="AK361" s="369" t="str">
        <f ca="1">IF($B361&lt;&gt;"PRC_RESID","",IF(AK$7=2005+OFFSET(COM_2012!$B$60,$AW361,SUMIF($B$10:$B$16,"NCAP_TLIFE",$AX$10:$AX$16)),0,""))</f>
        <v/>
      </c>
      <c r="AL361" s="369" t="str">
        <f ca="1">IF($B361&lt;&gt;"PRC_RESID","",IF(AL$7=2005+OFFSET(COM_2012!$B$60,$AW361,SUMIF($B$10:$B$16,"NCAP_TLIFE",$AX$10:$AX$16)),0,""))</f>
        <v/>
      </c>
      <c r="AM361" s="369" t="str">
        <f ca="1">IF($B361&lt;&gt;"PRC_RESID","",IF(AM$7=2005+OFFSET(COM_2012!$B$60,$AW361,SUMIF($B$10:$B$16,"NCAP_TLIFE",$AX$10:$AX$16)),0,""))</f>
        <v/>
      </c>
      <c r="AN361" s="369" t="str">
        <f ca="1">IF($B361&lt;&gt;"PRC_RESID","",IF(AN$7=2005+OFFSET(COM_2012!$B$60,$AW361,SUMIF($B$10:$B$16,"NCAP_TLIFE",$AX$10:$AX$16)),0,""))</f>
        <v/>
      </c>
      <c r="AO361" s="369" t="str">
        <f ca="1">IF($B361&lt;&gt;"PRC_RESID","",IF(AO$7=2005+OFFSET(COM_2012!$B$60,$AW361,SUMIF($B$10:$B$16,"NCAP_TLIFE",$AX$10:$AX$16)),0,""))</f>
        <v/>
      </c>
      <c r="AP361" s="369" t="str">
        <f ca="1">IF($B361&lt;&gt;"PRC_RESID","",IF(AP$7=2005+OFFSET(COM_2012!$B$60,$AW361,SUMIF($B$10:$B$16,"NCAP_TLIFE",$AX$10:$AX$16)),0,""))</f>
        <v/>
      </c>
      <c r="AQ361" s="369" t="str">
        <f ca="1">IF($B361&lt;&gt;"PRC_RESID","",IF(AQ$7=2005+OFFSET(COM_2012!$B$60,$AW361,SUMIF($B$10:$B$16,"NCAP_TLIFE",$AX$10:$AX$16)),0,""))</f>
        <v/>
      </c>
      <c r="AR361" s="369" t="str">
        <f ca="1">IF($B361&lt;&gt;"PRC_RESID","",IF(AR$7=2005+OFFSET(COM_2012!$B$60,$AW361,SUMIF($B$10:$B$16,"NCAP_TLIFE",$AX$10:$AX$16)),0,""))</f>
        <v/>
      </c>
      <c r="AS361" s="369" t="str">
        <f ca="1">IF($B361&lt;&gt;"PRC_RESID","",IF(AS$7=2005+OFFSET(COM_2012!$B$60,$AW361,SUMIF($B$10:$B$16,"NCAP_TLIFE",$AX$10:$AX$16)),0,""))</f>
        <v/>
      </c>
      <c r="AT361" s="369" t="str">
        <f ca="1">IF($B361&lt;&gt;"PRC_RESID","",IF(AT$7=2005+OFFSET(COM_2012!$B$60,$AW361,SUMIF($B$10:$B$16,"NCAP_TLIFE",$AX$10:$AX$16)),0,""))</f>
        <v/>
      </c>
      <c r="AU361" s="369" t="str">
        <f ca="1">IF($B361&lt;&gt;"PRC_RESID","",IF(AU$7=2005+OFFSET(COM_2012!$B$60,$AW361,SUMIF($B$10:$B$16,"NCAP_TLIFE",$AX$10:$AX$16)),0,""))</f>
        <v/>
      </c>
      <c r="AV361" s="304">
        <f>IF(AW360=COM_2012!$AI$121,AV360+1,AV360)</f>
        <v>6</v>
      </c>
      <c r="AW361" s="304">
        <f t="shared" si="36"/>
        <v>29</v>
      </c>
    </row>
    <row r="362" spans="1:49">
      <c r="A362" s="304" t="str">
        <f ca="1">IF(LEFT(OFFSET(COM_2012!$A$60,AW362,0),2)="\I","*","")</f>
        <v/>
      </c>
      <c r="B362" s="369" t="str">
        <f t="shared" ca="1" si="35"/>
        <v>PRC_RESID</v>
      </c>
      <c r="C362" s="369" t="str">
        <f ca="1">IF($A362="*","",OFFSET(COM_2012!$B$60,AW362,0))</f>
        <v>CERELC-N</v>
      </c>
      <c r="D362" s="369" t="str">
        <f t="shared" ca="1" si="37"/>
        <v>-</v>
      </c>
      <c r="E362" s="369" t="str">
        <f t="shared" ca="1" si="37"/>
        <v>-</v>
      </c>
      <c r="F362" s="369" t="str">
        <f t="shared" ca="1" si="37"/>
        <v>-</v>
      </c>
      <c r="G362" s="369" t="str">
        <f t="shared" ca="1" si="37"/>
        <v>-</v>
      </c>
      <c r="H362" s="369" t="str">
        <f t="shared" ca="1" si="37"/>
        <v>-</v>
      </c>
      <c r="I362" s="370">
        <f t="shared" ca="1" si="37"/>
        <v>0</v>
      </c>
      <c r="J362" s="391">
        <f ca="1">IF($A362="*","",OFFSET(COM_2012!$B$60,AW362,SUMIF($B$10:$B$16,B362,$AX$10:$AX$16)))</f>
        <v>0</v>
      </c>
      <c r="O362" s="391">
        <f ca="1">IF($A362="*","",OFFSET(' COM_2017_old'!$B$60,AW362,SUMIF($B$10:$B$16,B362,$AX$10:$AX$16)))</f>
        <v>0</v>
      </c>
      <c r="P362" s="369" t="str">
        <f ca="1">IF($B362&lt;&gt;"PRC_RESID","",IF(P$7=2005+OFFSET(COM_2012!$B$60,$AW362,SUMIF($B$10:$B$16,"NCAP_TLIFE",$AX$10:$AX$16)),0,""))</f>
        <v/>
      </c>
      <c r="Q362" s="369"/>
      <c r="R362" s="369" t="str">
        <f ca="1">IF($B362&lt;&gt;"PRC_RESID","",IF(R$7=2016+OFFSET(' COM_2017_old'!$B$60,$AW362,SUMIF($B$10:$B$16,"NCAP_TLIFE",$AX$10:$AX$16)),0,""))</f>
        <v/>
      </c>
      <c r="S362" s="369" t="str">
        <f ca="1">IF($B362&lt;&gt;"PRC_RESID","",IF(S$7=2016+OFFSET(' COM_2017_old'!$B$60,$AW362,SUMIF($B$10:$B$16,"NCAP_TLIFE",$AX$10:$AX$16)),0,""))</f>
        <v/>
      </c>
      <c r="T362" s="369" t="str">
        <f ca="1">IF($B362&lt;&gt;"PRC_RESID","",IF(T$7=2016+OFFSET(' COM_2017_old'!$B$60,$AW362,SUMIF($B$10:$B$16,"NCAP_TLIFE",$AX$10:$AX$16)),0,""))</f>
        <v/>
      </c>
      <c r="U362" s="369" t="str">
        <f ca="1">IF($B362&lt;&gt;"PRC_RESID","",IF(U$7=2016+OFFSET(' COM_2017_old'!$B$60,$AW362,SUMIF($B$10:$B$16,"NCAP_TLIFE",$AX$10:$AX$16)),0,""))</f>
        <v/>
      </c>
      <c r="V362" s="369" t="str">
        <f ca="1">IF($B362&lt;&gt;"PRC_RESID","",IF(V$7=2016+OFFSET(' COM_2017_old'!$B$60,$AW362,SUMIF($B$10:$B$16,"NCAP_TLIFE",$AX$10:$AX$16)),0,""))</f>
        <v/>
      </c>
      <c r="W362" s="369" t="str">
        <f ca="1">IF($B362&lt;&gt;"PRC_RESID","",IF(W$7=2016+OFFSET(' COM_2017_old'!$B$60,$AW362,SUMIF($B$10:$B$16,"NCAP_TLIFE",$AX$10:$AX$16)),0,""))</f>
        <v/>
      </c>
      <c r="X362" s="369">
        <f ca="1">IF($B362&lt;&gt;"PRC_RESID","",IF(X$7=2016+OFFSET(' COM_2017_old'!$B$60,$AW362,SUMIF($B$10:$B$16,"NCAP_TLIFE",$AX$10:$AX$16)),0,""))</f>
        <v>0</v>
      </c>
      <c r="Y362" s="369" t="str">
        <f ca="1">IF($B362&lt;&gt;"PRC_RESID","",IF(Y$7=2016+OFFSET(' COM_2017_old'!$B$60,$AW362,SUMIF($B$10:$B$16,"NCAP_TLIFE",$AX$10:$AX$16)),0,""))</f>
        <v/>
      </c>
      <c r="Z362" s="369" t="str">
        <f ca="1">IF($B362&lt;&gt;"PRC_RESID","",IF(Z$7=2016+OFFSET(' COM_2017_old'!$B$60,$AW362,SUMIF($B$10:$B$16,"NCAP_TLIFE",$AX$10:$AX$16)),0,""))</f>
        <v/>
      </c>
      <c r="AA362" s="369" t="str">
        <f ca="1">IF($B362&lt;&gt;"PRC_RESID","",IF(AA$7=2016+OFFSET(' COM_2017_old'!$B$60,$AW362,SUMIF($B$10:$B$16,"NCAP_TLIFE",$AX$10:$AX$16)),0,""))</f>
        <v/>
      </c>
      <c r="AB362" s="369" t="str">
        <f ca="1">IF($B362&lt;&gt;"PRC_RESID","",IF(AB$7=2016+OFFSET(' COM_2017_old'!$B$60,$AW362,SUMIF($B$10:$B$16,"NCAP_TLIFE",$AX$10:$AX$16)),0,""))</f>
        <v/>
      </c>
      <c r="AC362" s="369" t="str">
        <f ca="1">IF($B362&lt;&gt;"PRC_RESID","",IF(AC$7=2016+OFFSET(' COM_2017_old'!$B$60,$AW362,SUMIF($B$10:$B$16,"NCAP_TLIFE",$AX$10:$AX$16)),0,""))</f>
        <v/>
      </c>
      <c r="AD362" s="369" t="str">
        <f ca="1">IF($B362&lt;&gt;"PRC_RESID","",IF(AD$7=2016+OFFSET(' COM_2017_old'!$B$60,$AW362,SUMIF($B$10:$B$16,"NCAP_TLIFE",$AX$10:$AX$16)),0,""))</f>
        <v/>
      </c>
      <c r="AE362" s="369" t="str">
        <f ca="1">IF($B362&lt;&gt;"PRC_RESID","",IF(AE$7=2005+OFFSET(COM_2012!$B$60,$AW362,SUMIF($B$10:$B$16,"NCAP_TLIFE",$AX$10:$AX$16)),0,""))</f>
        <v/>
      </c>
      <c r="AF362" s="369" t="str">
        <f ca="1">IF($B362&lt;&gt;"PRC_RESID","",IF(AF$7=2005+OFFSET(COM_2012!$B$60,$AW362,SUMIF($B$10:$B$16,"NCAP_TLIFE",$AX$10:$AX$16)),0,""))</f>
        <v/>
      </c>
      <c r="AG362" s="369" t="str">
        <f ca="1">IF($B362&lt;&gt;"PRC_RESID","",IF(AG$7=2005+OFFSET(COM_2012!$B$60,$AW362,SUMIF($B$10:$B$16,"NCAP_TLIFE",$AX$10:$AX$16)),0,""))</f>
        <v/>
      </c>
      <c r="AH362" s="369" t="str">
        <f ca="1">IF($B362&lt;&gt;"PRC_RESID","",IF(AH$7=2005+OFFSET(COM_2012!$B$60,$AW362,SUMIF($B$10:$B$16,"NCAP_TLIFE",$AX$10:$AX$16)),0,""))</f>
        <v/>
      </c>
      <c r="AI362" s="369" t="str">
        <f ca="1">IF($B362&lt;&gt;"PRC_RESID","",IF(AI$7=2005+OFFSET(COM_2012!$B$60,$AW362,SUMIF($B$10:$B$16,"NCAP_TLIFE",$AX$10:$AX$16)),0,""))</f>
        <v/>
      </c>
      <c r="AJ362" s="369" t="str">
        <f ca="1">IF($B362&lt;&gt;"PRC_RESID","",IF(AJ$7=2005+OFFSET(COM_2012!$B$60,$AW362,SUMIF($B$10:$B$16,"NCAP_TLIFE",$AX$10:$AX$16)),0,""))</f>
        <v/>
      </c>
      <c r="AK362" s="369" t="str">
        <f ca="1">IF($B362&lt;&gt;"PRC_RESID","",IF(AK$7=2005+OFFSET(COM_2012!$B$60,$AW362,SUMIF($B$10:$B$16,"NCAP_TLIFE",$AX$10:$AX$16)),0,""))</f>
        <v/>
      </c>
      <c r="AL362" s="369" t="str">
        <f ca="1">IF($B362&lt;&gt;"PRC_RESID","",IF(AL$7=2005+OFFSET(COM_2012!$B$60,$AW362,SUMIF($B$10:$B$16,"NCAP_TLIFE",$AX$10:$AX$16)),0,""))</f>
        <v/>
      </c>
      <c r="AM362" s="369" t="str">
        <f ca="1">IF($B362&lt;&gt;"PRC_RESID","",IF(AM$7=2005+OFFSET(COM_2012!$B$60,$AW362,SUMIF($B$10:$B$16,"NCAP_TLIFE",$AX$10:$AX$16)),0,""))</f>
        <v/>
      </c>
      <c r="AN362" s="369" t="str">
        <f ca="1">IF($B362&lt;&gt;"PRC_RESID","",IF(AN$7=2005+OFFSET(COM_2012!$B$60,$AW362,SUMIF($B$10:$B$16,"NCAP_TLIFE",$AX$10:$AX$16)),0,""))</f>
        <v/>
      </c>
      <c r="AO362" s="369" t="str">
        <f ca="1">IF($B362&lt;&gt;"PRC_RESID","",IF(AO$7=2005+OFFSET(COM_2012!$B$60,$AW362,SUMIF($B$10:$B$16,"NCAP_TLIFE",$AX$10:$AX$16)),0,""))</f>
        <v/>
      </c>
      <c r="AP362" s="369" t="str">
        <f ca="1">IF($B362&lt;&gt;"PRC_RESID","",IF(AP$7=2005+OFFSET(COM_2012!$B$60,$AW362,SUMIF($B$10:$B$16,"NCAP_TLIFE",$AX$10:$AX$16)),0,""))</f>
        <v/>
      </c>
      <c r="AQ362" s="369" t="str">
        <f ca="1">IF($B362&lt;&gt;"PRC_RESID","",IF(AQ$7=2005+OFFSET(COM_2012!$B$60,$AW362,SUMIF($B$10:$B$16,"NCAP_TLIFE",$AX$10:$AX$16)),0,""))</f>
        <v/>
      </c>
      <c r="AR362" s="369" t="str">
        <f ca="1">IF($B362&lt;&gt;"PRC_RESID","",IF(AR$7=2005+OFFSET(COM_2012!$B$60,$AW362,SUMIF($B$10:$B$16,"NCAP_TLIFE",$AX$10:$AX$16)),0,""))</f>
        <v/>
      </c>
      <c r="AS362" s="369" t="str">
        <f ca="1">IF($B362&lt;&gt;"PRC_RESID","",IF(AS$7=2005+OFFSET(COM_2012!$B$60,$AW362,SUMIF($B$10:$B$16,"NCAP_TLIFE",$AX$10:$AX$16)),0,""))</f>
        <v/>
      </c>
      <c r="AT362" s="369" t="str">
        <f ca="1">IF($B362&lt;&gt;"PRC_RESID","",IF(AT$7=2005+OFFSET(COM_2012!$B$60,$AW362,SUMIF($B$10:$B$16,"NCAP_TLIFE",$AX$10:$AX$16)),0,""))</f>
        <v/>
      </c>
      <c r="AU362" s="369" t="str">
        <f ca="1">IF($B362&lt;&gt;"PRC_RESID","",IF(AU$7=2005+OFFSET(COM_2012!$B$60,$AW362,SUMIF($B$10:$B$16,"NCAP_TLIFE",$AX$10:$AX$16)),0,""))</f>
        <v/>
      </c>
      <c r="AV362" s="304">
        <f>IF(AW361=COM_2012!$AI$121,AV361+1,AV361)</f>
        <v>6</v>
      </c>
      <c r="AW362" s="304">
        <f t="shared" si="36"/>
        <v>30</v>
      </c>
    </row>
    <row r="363" spans="1:49">
      <c r="A363" s="304" t="str">
        <f ca="1">IF(LEFT(OFFSET(COM_2012!$A$60,AW363,0),2)="\I","*","")</f>
        <v>*</v>
      </c>
      <c r="B363" s="369" t="str">
        <f t="shared" ca="1" si="35"/>
        <v/>
      </c>
      <c r="C363" s="369" t="str">
        <f ca="1">IF($A363="*","",OFFSET(COM_2012!$B$60,AW363,0))</f>
        <v/>
      </c>
      <c r="D363" s="369" t="str">
        <f t="shared" ca="1" si="37"/>
        <v/>
      </c>
      <c r="E363" s="369" t="str">
        <f t="shared" ca="1" si="37"/>
        <v/>
      </c>
      <c r="F363" s="369" t="str">
        <f t="shared" ca="1" si="37"/>
        <v/>
      </c>
      <c r="G363" s="369" t="str">
        <f t="shared" ca="1" si="37"/>
        <v/>
      </c>
      <c r="H363" s="369" t="str">
        <f t="shared" ca="1" si="37"/>
        <v/>
      </c>
      <c r="I363" s="370" t="str">
        <f t="shared" ca="1" si="37"/>
        <v/>
      </c>
      <c r="J363" s="391" t="str">
        <f ca="1">IF($A363="*","",OFFSET(COM_2012!$B$60,AW363,SUMIF($B$10:$B$16,B363,$AX$10:$AX$16)))</f>
        <v/>
      </c>
      <c r="O363" s="391" t="str">
        <f ca="1">IF($A363="*","",OFFSET(' COM_2017_old'!$B$60,AW363,SUMIF($B$10:$B$16,B363,$AX$10:$AX$16)))</f>
        <v/>
      </c>
      <c r="P363" s="369" t="str">
        <f ca="1">IF($B363&lt;&gt;"PRC_RESID","",IF(P$7=2005+OFFSET(COM_2012!$B$60,$AW363,SUMIF($B$10:$B$16,"NCAP_TLIFE",$AX$10:$AX$16)),0,""))</f>
        <v/>
      </c>
      <c r="Q363" s="369"/>
      <c r="R363" s="369" t="str">
        <f ca="1">IF($B363&lt;&gt;"PRC_RESID","",IF(R$7=2016+OFFSET(' COM_2017_old'!$B$60,$AW363,SUMIF($B$10:$B$16,"NCAP_TLIFE",$AX$10:$AX$16)),0,""))</f>
        <v/>
      </c>
      <c r="S363" s="369" t="str">
        <f ca="1">IF($B363&lt;&gt;"PRC_RESID","",IF(S$7=2016+OFFSET(' COM_2017_old'!$B$60,$AW363,SUMIF($B$10:$B$16,"NCAP_TLIFE",$AX$10:$AX$16)),0,""))</f>
        <v/>
      </c>
      <c r="T363" s="369" t="str">
        <f ca="1">IF($B363&lt;&gt;"PRC_RESID","",IF(T$7=2016+OFFSET(' COM_2017_old'!$B$60,$AW363,SUMIF($B$10:$B$16,"NCAP_TLIFE",$AX$10:$AX$16)),0,""))</f>
        <v/>
      </c>
      <c r="U363" s="369" t="str">
        <f ca="1">IF($B363&lt;&gt;"PRC_RESID","",IF(U$7=2016+OFFSET(' COM_2017_old'!$B$60,$AW363,SUMIF($B$10:$B$16,"NCAP_TLIFE",$AX$10:$AX$16)),0,""))</f>
        <v/>
      </c>
      <c r="V363" s="369" t="str">
        <f ca="1">IF($B363&lt;&gt;"PRC_RESID","",IF(V$7=2016+OFFSET(' COM_2017_old'!$B$60,$AW363,SUMIF($B$10:$B$16,"NCAP_TLIFE",$AX$10:$AX$16)),0,""))</f>
        <v/>
      </c>
      <c r="W363" s="369" t="str">
        <f ca="1">IF($B363&lt;&gt;"PRC_RESID","",IF(W$7=2016+OFFSET(' COM_2017_old'!$B$60,$AW363,SUMIF($B$10:$B$16,"NCAP_TLIFE",$AX$10:$AX$16)),0,""))</f>
        <v/>
      </c>
      <c r="X363" s="369" t="str">
        <f ca="1">IF($B363&lt;&gt;"PRC_RESID","",IF(X$7=2016+OFFSET(' COM_2017_old'!$B$60,$AW363,SUMIF($B$10:$B$16,"NCAP_TLIFE",$AX$10:$AX$16)),0,""))</f>
        <v/>
      </c>
      <c r="Y363" s="369" t="str">
        <f ca="1">IF($B363&lt;&gt;"PRC_RESID","",IF(Y$7=2016+OFFSET(' COM_2017_old'!$B$60,$AW363,SUMIF($B$10:$B$16,"NCAP_TLIFE",$AX$10:$AX$16)),0,""))</f>
        <v/>
      </c>
      <c r="Z363" s="369" t="str">
        <f ca="1">IF($B363&lt;&gt;"PRC_RESID","",IF(Z$7=2016+OFFSET(' COM_2017_old'!$B$60,$AW363,SUMIF($B$10:$B$16,"NCAP_TLIFE",$AX$10:$AX$16)),0,""))</f>
        <v/>
      </c>
      <c r="AA363" s="369" t="str">
        <f ca="1">IF($B363&lt;&gt;"PRC_RESID","",IF(AA$7=2016+OFFSET(' COM_2017_old'!$B$60,$AW363,SUMIF($B$10:$B$16,"NCAP_TLIFE",$AX$10:$AX$16)),0,""))</f>
        <v/>
      </c>
      <c r="AB363" s="369" t="str">
        <f ca="1">IF($B363&lt;&gt;"PRC_RESID","",IF(AB$7=2016+OFFSET(' COM_2017_old'!$B$60,$AW363,SUMIF($B$10:$B$16,"NCAP_TLIFE",$AX$10:$AX$16)),0,""))</f>
        <v/>
      </c>
      <c r="AC363" s="369" t="str">
        <f ca="1">IF($B363&lt;&gt;"PRC_RESID","",IF(AC$7=2016+OFFSET(' COM_2017_old'!$B$60,$AW363,SUMIF($B$10:$B$16,"NCAP_TLIFE",$AX$10:$AX$16)),0,""))</f>
        <v/>
      </c>
      <c r="AD363" s="369" t="str">
        <f ca="1">IF($B363&lt;&gt;"PRC_RESID","",IF(AD$7=2016+OFFSET(' COM_2017_old'!$B$60,$AW363,SUMIF($B$10:$B$16,"NCAP_TLIFE",$AX$10:$AX$16)),0,""))</f>
        <v/>
      </c>
      <c r="AE363" s="369" t="str">
        <f ca="1">IF($B363&lt;&gt;"PRC_RESID","",IF(AE$7=2005+OFFSET(COM_2012!$B$60,$AW363,SUMIF($B$10:$B$16,"NCAP_TLIFE",$AX$10:$AX$16)),0,""))</f>
        <v/>
      </c>
      <c r="AF363" s="369" t="str">
        <f ca="1">IF($B363&lt;&gt;"PRC_RESID","",IF(AF$7=2005+OFFSET(COM_2012!$B$60,$AW363,SUMIF($B$10:$B$16,"NCAP_TLIFE",$AX$10:$AX$16)),0,""))</f>
        <v/>
      </c>
      <c r="AG363" s="369" t="str">
        <f ca="1">IF($B363&lt;&gt;"PRC_RESID","",IF(AG$7=2005+OFFSET(COM_2012!$B$60,$AW363,SUMIF($B$10:$B$16,"NCAP_TLIFE",$AX$10:$AX$16)),0,""))</f>
        <v/>
      </c>
      <c r="AH363" s="369" t="str">
        <f ca="1">IF($B363&lt;&gt;"PRC_RESID","",IF(AH$7=2005+OFFSET(COM_2012!$B$60,$AW363,SUMIF($B$10:$B$16,"NCAP_TLIFE",$AX$10:$AX$16)),0,""))</f>
        <v/>
      </c>
      <c r="AI363" s="369" t="str">
        <f ca="1">IF($B363&lt;&gt;"PRC_RESID","",IF(AI$7=2005+OFFSET(COM_2012!$B$60,$AW363,SUMIF($B$10:$B$16,"NCAP_TLIFE",$AX$10:$AX$16)),0,""))</f>
        <v/>
      </c>
      <c r="AJ363" s="369" t="str">
        <f ca="1">IF($B363&lt;&gt;"PRC_RESID","",IF(AJ$7=2005+OFFSET(COM_2012!$B$60,$AW363,SUMIF($B$10:$B$16,"NCAP_TLIFE",$AX$10:$AX$16)),0,""))</f>
        <v/>
      </c>
      <c r="AK363" s="369" t="str">
        <f ca="1">IF($B363&lt;&gt;"PRC_RESID","",IF(AK$7=2005+OFFSET(COM_2012!$B$60,$AW363,SUMIF($B$10:$B$16,"NCAP_TLIFE",$AX$10:$AX$16)),0,""))</f>
        <v/>
      </c>
      <c r="AL363" s="369" t="str">
        <f ca="1">IF($B363&lt;&gt;"PRC_RESID","",IF(AL$7=2005+OFFSET(COM_2012!$B$60,$AW363,SUMIF($B$10:$B$16,"NCAP_TLIFE",$AX$10:$AX$16)),0,""))</f>
        <v/>
      </c>
      <c r="AM363" s="369" t="str">
        <f ca="1">IF($B363&lt;&gt;"PRC_RESID","",IF(AM$7=2005+OFFSET(COM_2012!$B$60,$AW363,SUMIF($B$10:$B$16,"NCAP_TLIFE",$AX$10:$AX$16)),0,""))</f>
        <v/>
      </c>
      <c r="AN363" s="369" t="str">
        <f ca="1">IF($B363&lt;&gt;"PRC_RESID","",IF(AN$7=2005+OFFSET(COM_2012!$B$60,$AW363,SUMIF($B$10:$B$16,"NCAP_TLIFE",$AX$10:$AX$16)),0,""))</f>
        <v/>
      </c>
      <c r="AO363" s="369" t="str">
        <f ca="1">IF($B363&lt;&gt;"PRC_RESID","",IF(AO$7=2005+OFFSET(COM_2012!$B$60,$AW363,SUMIF($B$10:$B$16,"NCAP_TLIFE",$AX$10:$AX$16)),0,""))</f>
        <v/>
      </c>
      <c r="AP363" s="369" t="str">
        <f ca="1">IF($B363&lt;&gt;"PRC_RESID","",IF(AP$7=2005+OFFSET(COM_2012!$B$60,$AW363,SUMIF($B$10:$B$16,"NCAP_TLIFE",$AX$10:$AX$16)),0,""))</f>
        <v/>
      </c>
      <c r="AQ363" s="369" t="str">
        <f ca="1">IF($B363&lt;&gt;"PRC_RESID","",IF(AQ$7=2005+OFFSET(COM_2012!$B$60,$AW363,SUMIF($B$10:$B$16,"NCAP_TLIFE",$AX$10:$AX$16)),0,""))</f>
        <v/>
      </c>
      <c r="AR363" s="369" t="str">
        <f ca="1">IF($B363&lt;&gt;"PRC_RESID","",IF(AR$7=2005+OFFSET(COM_2012!$B$60,$AW363,SUMIF($B$10:$B$16,"NCAP_TLIFE",$AX$10:$AX$16)),0,""))</f>
        <v/>
      </c>
      <c r="AS363" s="369" t="str">
        <f ca="1">IF($B363&lt;&gt;"PRC_RESID","",IF(AS$7=2005+OFFSET(COM_2012!$B$60,$AW363,SUMIF($B$10:$B$16,"NCAP_TLIFE",$AX$10:$AX$16)),0,""))</f>
        <v/>
      </c>
      <c r="AT363" s="369" t="str">
        <f ca="1">IF($B363&lt;&gt;"PRC_RESID","",IF(AT$7=2005+OFFSET(COM_2012!$B$60,$AW363,SUMIF($B$10:$B$16,"NCAP_TLIFE",$AX$10:$AX$16)),0,""))</f>
        <v/>
      </c>
      <c r="AU363" s="369" t="str">
        <f ca="1">IF($B363&lt;&gt;"PRC_RESID","",IF(AU$7=2005+OFFSET(COM_2012!$B$60,$AW363,SUMIF($B$10:$B$16,"NCAP_TLIFE",$AX$10:$AX$16)),0,""))</f>
        <v/>
      </c>
      <c r="AV363" s="304">
        <f>IF(AW362=COM_2012!$AI$121,AV362+1,AV362)</f>
        <v>6</v>
      </c>
      <c r="AW363" s="304">
        <f t="shared" si="36"/>
        <v>31</v>
      </c>
    </row>
    <row r="364" spans="1:49">
      <c r="A364" s="304" t="str">
        <f ca="1">IF(LEFT(OFFSET(COM_2012!$A$60,AW364,0),2)="\I","*","")</f>
        <v>*</v>
      </c>
      <c r="B364" s="369" t="str">
        <f t="shared" ca="1" si="35"/>
        <v/>
      </c>
      <c r="C364" s="369" t="str">
        <f ca="1">IF($A364="*","",OFFSET(COM_2012!$B$60,AW364,0))</f>
        <v/>
      </c>
      <c r="D364" s="369" t="str">
        <f t="shared" ca="1" si="37"/>
        <v/>
      </c>
      <c r="E364" s="369" t="str">
        <f t="shared" ca="1" si="37"/>
        <v/>
      </c>
      <c r="F364" s="369" t="str">
        <f t="shared" ca="1" si="37"/>
        <v/>
      </c>
      <c r="G364" s="369" t="str">
        <f t="shared" ca="1" si="37"/>
        <v/>
      </c>
      <c r="H364" s="369" t="str">
        <f t="shared" ca="1" si="37"/>
        <v/>
      </c>
      <c r="I364" s="370" t="str">
        <f t="shared" ca="1" si="37"/>
        <v/>
      </c>
      <c r="J364" s="391" t="str">
        <f ca="1">IF($A364="*","",OFFSET(COM_2012!$B$60,AW364,SUMIF($B$10:$B$16,B364,$AX$10:$AX$16)))</f>
        <v/>
      </c>
      <c r="O364" s="391" t="str">
        <f ca="1">IF($A364="*","",OFFSET(' COM_2017_old'!$B$60,AW364,SUMIF($B$10:$B$16,B364,$AX$10:$AX$16)))</f>
        <v/>
      </c>
      <c r="P364" s="369" t="str">
        <f ca="1">IF($B364&lt;&gt;"PRC_RESID","",IF(P$7=2005+OFFSET(COM_2012!$B$60,$AW364,SUMIF($B$10:$B$16,"NCAP_TLIFE",$AX$10:$AX$16)),0,""))</f>
        <v/>
      </c>
      <c r="Q364" s="369"/>
      <c r="R364" s="369" t="str">
        <f ca="1">IF($B364&lt;&gt;"PRC_RESID","",IF(R$7=2016+OFFSET(' COM_2017_old'!$B$60,$AW364,SUMIF($B$10:$B$16,"NCAP_TLIFE",$AX$10:$AX$16)),0,""))</f>
        <v/>
      </c>
      <c r="S364" s="369" t="str">
        <f ca="1">IF($B364&lt;&gt;"PRC_RESID","",IF(S$7=2016+OFFSET(' COM_2017_old'!$B$60,$AW364,SUMIF($B$10:$B$16,"NCAP_TLIFE",$AX$10:$AX$16)),0,""))</f>
        <v/>
      </c>
      <c r="T364" s="369" t="str">
        <f ca="1">IF($B364&lt;&gt;"PRC_RESID","",IF(T$7=2016+OFFSET(' COM_2017_old'!$B$60,$AW364,SUMIF($B$10:$B$16,"NCAP_TLIFE",$AX$10:$AX$16)),0,""))</f>
        <v/>
      </c>
      <c r="U364" s="369" t="str">
        <f ca="1">IF($B364&lt;&gt;"PRC_RESID","",IF(U$7=2016+OFFSET(' COM_2017_old'!$B$60,$AW364,SUMIF($B$10:$B$16,"NCAP_TLIFE",$AX$10:$AX$16)),0,""))</f>
        <v/>
      </c>
      <c r="V364" s="369" t="str">
        <f ca="1">IF($B364&lt;&gt;"PRC_RESID","",IF(V$7=2016+OFFSET(' COM_2017_old'!$B$60,$AW364,SUMIF($B$10:$B$16,"NCAP_TLIFE",$AX$10:$AX$16)),0,""))</f>
        <v/>
      </c>
      <c r="W364" s="369" t="str">
        <f ca="1">IF($B364&lt;&gt;"PRC_RESID","",IF(W$7=2016+OFFSET(' COM_2017_old'!$B$60,$AW364,SUMIF($B$10:$B$16,"NCAP_TLIFE",$AX$10:$AX$16)),0,""))</f>
        <v/>
      </c>
      <c r="X364" s="369" t="str">
        <f ca="1">IF($B364&lt;&gt;"PRC_RESID","",IF(X$7=2016+OFFSET(' COM_2017_old'!$B$60,$AW364,SUMIF($B$10:$B$16,"NCAP_TLIFE",$AX$10:$AX$16)),0,""))</f>
        <v/>
      </c>
      <c r="Y364" s="369" t="str">
        <f ca="1">IF($B364&lt;&gt;"PRC_RESID","",IF(Y$7=2016+OFFSET(' COM_2017_old'!$B$60,$AW364,SUMIF($B$10:$B$16,"NCAP_TLIFE",$AX$10:$AX$16)),0,""))</f>
        <v/>
      </c>
      <c r="Z364" s="369" t="str">
        <f ca="1">IF($B364&lt;&gt;"PRC_RESID","",IF(Z$7=2016+OFFSET(' COM_2017_old'!$B$60,$AW364,SUMIF($B$10:$B$16,"NCAP_TLIFE",$AX$10:$AX$16)),0,""))</f>
        <v/>
      </c>
      <c r="AA364" s="369" t="str">
        <f ca="1">IF($B364&lt;&gt;"PRC_RESID","",IF(AA$7=2016+OFFSET(' COM_2017_old'!$B$60,$AW364,SUMIF($B$10:$B$16,"NCAP_TLIFE",$AX$10:$AX$16)),0,""))</f>
        <v/>
      </c>
      <c r="AB364" s="369" t="str">
        <f ca="1">IF($B364&lt;&gt;"PRC_RESID","",IF(AB$7=2016+OFFSET(' COM_2017_old'!$B$60,$AW364,SUMIF($B$10:$B$16,"NCAP_TLIFE",$AX$10:$AX$16)),0,""))</f>
        <v/>
      </c>
      <c r="AC364" s="369" t="str">
        <f ca="1">IF($B364&lt;&gt;"PRC_RESID","",IF(AC$7=2016+OFFSET(' COM_2017_old'!$B$60,$AW364,SUMIF($B$10:$B$16,"NCAP_TLIFE",$AX$10:$AX$16)),0,""))</f>
        <v/>
      </c>
      <c r="AD364" s="369" t="str">
        <f ca="1">IF($B364&lt;&gt;"PRC_RESID","",IF(AD$7=2016+OFFSET(' COM_2017_old'!$B$60,$AW364,SUMIF($B$10:$B$16,"NCAP_TLIFE",$AX$10:$AX$16)),0,""))</f>
        <v/>
      </c>
      <c r="AE364" s="369" t="str">
        <f ca="1">IF($B364&lt;&gt;"PRC_RESID","",IF(AE$7=2005+OFFSET(COM_2012!$B$60,$AW364,SUMIF($B$10:$B$16,"NCAP_TLIFE",$AX$10:$AX$16)),0,""))</f>
        <v/>
      </c>
      <c r="AF364" s="369" t="str">
        <f ca="1">IF($B364&lt;&gt;"PRC_RESID","",IF(AF$7=2005+OFFSET(COM_2012!$B$60,$AW364,SUMIF($B$10:$B$16,"NCAP_TLIFE",$AX$10:$AX$16)),0,""))</f>
        <v/>
      </c>
      <c r="AG364" s="369" t="str">
        <f ca="1">IF($B364&lt;&gt;"PRC_RESID","",IF(AG$7=2005+OFFSET(COM_2012!$B$60,$AW364,SUMIF($B$10:$B$16,"NCAP_TLIFE",$AX$10:$AX$16)),0,""))</f>
        <v/>
      </c>
      <c r="AH364" s="369" t="str">
        <f ca="1">IF($B364&lt;&gt;"PRC_RESID","",IF(AH$7=2005+OFFSET(COM_2012!$B$60,$AW364,SUMIF($B$10:$B$16,"NCAP_TLIFE",$AX$10:$AX$16)),0,""))</f>
        <v/>
      </c>
      <c r="AI364" s="369" t="str">
        <f ca="1">IF($B364&lt;&gt;"PRC_RESID","",IF(AI$7=2005+OFFSET(COM_2012!$B$60,$AW364,SUMIF($B$10:$B$16,"NCAP_TLIFE",$AX$10:$AX$16)),0,""))</f>
        <v/>
      </c>
      <c r="AJ364" s="369" t="str">
        <f ca="1">IF($B364&lt;&gt;"PRC_RESID","",IF(AJ$7=2005+OFFSET(COM_2012!$B$60,$AW364,SUMIF($B$10:$B$16,"NCAP_TLIFE",$AX$10:$AX$16)),0,""))</f>
        <v/>
      </c>
      <c r="AK364" s="369" t="str">
        <f ca="1">IF($B364&lt;&gt;"PRC_RESID","",IF(AK$7=2005+OFFSET(COM_2012!$B$60,$AW364,SUMIF($B$10:$B$16,"NCAP_TLIFE",$AX$10:$AX$16)),0,""))</f>
        <v/>
      </c>
      <c r="AL364" s="369" t="str">
        <f ca="1">IF($B364&lt;&gt;"PRC_RESID","",IF(AL$7=2005+OFFSET(COM_2012!$B$60,$AW364,SUMIF($B$10:$B$16,"NCAP_TLIFE",$AX$10:$AX$16)),0,""))</f>
        <v/>
      </c>
      <c r="AM364" s="369" t="str">
        <f ca="1">IF($B364&lt;&gt;"PRC_RESID","",IF(AM$7=2005+OFFSET(COM_2012!$B$60,$AW364,SUMIF($B$10:$B$16,"NCAP_TLIFE",$AX$10:$AX$16)),0,""))</f>
        <v/>
      </c>
      <c r="AN364" s="369" t="str">
        <f ca="1">IF($B364&lt;&gt;"PRC_RESID","",IF(AN$7=2005+OFFSET(COM_2012!$B$60,$AW364,SUMIF($B$10:$B$16,"NCAP_TLIFE",$AX$10:$AX$16)),0,""))</f>
        <v/>
      </c>
      <c r="AO364" s="369" t="str">
        <f ca="1">IF($B364&lt;&gt;"PRC_RESID","",IF(AO$7=2005+OFFSET(COM_2012!$B$60,$AW364,SUMIF($B$10:$B$16,"NCAP_TLIFE",$AX$10:$AX$16)),0,""))</f>
        <v/>
      </c>
      <c r="AP364" s="369" t="str">
        <f ca="1">IF($B364&lt;&gt;"PRC_RESID","",IF(AP$7=2005+OFFSET(COM_2012!$B$60,$AW364,SUMIF($B$10:$B$16,"NCAP_TLIFE",$AX$10:$AX$16)),0,""))</f>
        <v/>
      </c>
      <c r="AQ364" s="369" t="str">
        <f ca="1">IF($B364&lt;&gt;"PRC_RESID","",IF(AQ$7=2005+OFFSET(COM_2012!$B$60,$AW364,SUMIF($B$10:$B$16,"NCAP_TLIFE",$AX$10:$AX$16)),0,""))</f>
        <v/>
      </c>
      <c r="AR364" s="369" t="str">
        <f ca="1">IF($B364&lt;&gt;"PRC_RESID","",IF(AR$7=2005+OFFSET(COM_2012!$B$60,$AW364,SUMIF($B$10:$B$16,"NCAP_TLIFE",$AX$10:$AX$16)),0,""))</f>
        <v/>
      </c>
      <c r="AS364" s="369" t="str">
        <f ca="1">IF($B364&lt;&gt;"PRC_RESID","",IF(AS$7=2005+OFFSET(COM_2012!$B$60,$AW364,SUMIF($B$10:$B$16,"NCAP_TLIFE",$AX$10:$AX$16)),0,""))</f>
        <v/>
      </c>
      <c r="AT364" s="369" t="str">
        <f ca="1">IF($B364&lt;&gt;"PRC_RESID","",IF(AT$7=2005+OFFSET(COM_2012!$B$60,$AW364,SUMIF($B$10:$B$16,"NCAP_TLIFE",$AX$10:$AX$16)),0,""))</f>
        <v/>
      </c>
      <c r="AU364" s="369" t="str">
        <f ca="1">IF($B364&lt;&gt;"PRC_RESID","",IF(AU$7=2005+OFFSET(COM_2012!$B$60,$AW364,SUMIF($B$10:$B$16,"NCAP_TLIFE",$AX$10:$AX$16)),0,""))</f>
        <v/>
      </c>
      <c r="AV364" s="304">
        <f>IF(AW363=COM_2012!$AI$121,AV363+1,AV363)</f>
        <v>6</v>
      </c>
      <c r="AW364" s="304">
        <f t="shared" si="36"/>
        <v>32</v>
      </c>
    </row>
    <row r="365" spans="1:49">
      <c r="A365" s="304" t="str">
        <f ca="1">IF(LEFT(OFFSET(COM_2012!$A$60,AW365,0),2)="\I","*","")</f>
        <v/>
      </c>
      <c r="B365" s="369" t="str">
        <f t="shared" ca="1" si="35"/>
        <v>PRC_RESID</v>
      </c>
      <c r="C365" s="369" t="str">
        <f ca="1">IF($A365="*","",OFFSET(COM_2012!$B$60,AW365,0))</f>
        <v>CEWELC-E</v>
      </c>
      <c r="D365" s="369" t="str">
        <f t="shared" ca="1" si="37"/>
        <v>-</v>
      </c>
      <c r="E365" s="369" t="str">
        <f t="shared" ca="1" si="37"/>
        <v>-</v>
      </c>
      <c r="F365" s="369" t="str">
        <f t="shared" ca="1" si="37"/>
        <v>-</v>
      </c>
      <c r="G365" s="369" t="str">
        <f t="shared" ca="1" si="37"/>
        <v>-</v>
      </c>
      <c r="H365" s="369" t="str">
        <f t="shared" ca="1" si="37"/>
        <v>-</v>
      </c>
      <c r="I365" s="370">
        <f t="shared" ca="1" si="37"/>
        <v>0</v>
      </c>
      <c r="J365" s="391">
        <f ca="1">IF($A365="*","",OFFSET(COM_2012!$B$60,AW365,SUMIF($B$10:$B$16,B365,$AX$10:$AX$16)))</f>
        <v>1.4499691932917971</v>
      </c>
      <c r="O365" s="391">
        <f ca="1">IF($A365="*","",OFFSET(' COM_2017_old'!$B$60,AW365,SUMIF($B$10:$B$16,B365,$AX$10:$AX$16)))</f>
        <v>1.2487587745099411</v>
      </c>
      <c r="P365" s="369" t="str">
        <f ca="1">IF($B365&lt;&gt;"PRC_RESID","",IF(P$7=2005+OFFSET(COM_2012!$B$60,$AW365,SUMIF($B$10:$B$16,"NCAP_TLIFE",$AX$10:$AX$16)),0,""))</f>
        <v/>
      </c>
      <c r="Q365" s="369"/>
      <c r="R365" s="369" t="str">
        <f ca="1">IF($B365&lt;&gt;"PRC_RESID","",IF(R$7=2016+OFFSET(' COM_2017_old'!$B$60,$AW365,SUMIF($B$10:$B$16,"NCAP_TLIFE",$AX$10:$AX$16)),0,""))</f>
        <v/>
      </c>
      <c r="S365" s="369" t="str">
        <f ca="1">IF($B365&lt;&gt;"PRC_RESID","",IF(S$7=2016+OFFSET(' COM_2017_old'!$B$60,$AW365,SUMIF($B$10:$B$16,"NCAP_TLIFE",$AX$10:$AX$16)),0,""))</f>
        <v/>
      </c>
      <c r="T365" s="369" t="str">
        <f ca="1">IF($B365&lt;&gt;"PRC_RESID","",IF(T$7=2016+OFFSET(' COM_2017_old'!$B$60,$AW365,SUMIF($B$10:$B$16,"NCAP_TLIFE",$AX$10:$AX$16)),0,""))</f>
        <v/>
      </c>
      <c r="U365" s="369" t="str">
        <f ca="1">IF($B365&lt;&gt;"PRC_RESID","",IF(U$7=2016+OFFSET(' COM_2017_old'!$B$60,$AW365,SUMIF($B$10:$B$16,"NCAP_TLIFE",$AX$10:$AX$16)),0,""))</f>
        <v/>
      </c>
      <c r="V365" s="369" t="str">
        <f ca="1">IF($B365&lt;&gt;"PRC_RESID","",IF(V$7=2016+OFFSET(' COM_2017_old'!$B$60,$AW365,SUMIF($B$10:$B$16,"NCAP_TLIFE",$AX$10:$AX$16)),0,""))</f>
        <v/>
      </c>
      <c r="W365" s="369" t="str">
        <f ca="1">IF($B365&lt;&gt;"PRC_RESID","",IF(W$7=2016+OFFSET(' COM_2017_old'!$B$60,$AW365,SUMIF($B$10:$B$16,"NCAP_TLIFE",$AX$10:$AX$16)),0,""))</f>
        <v/>
      </c>
      <c r="X365" s="369" t="str">
        <f ca="1">IF($B365&lt;&gt;"PRC_RESID","",IF(X$7=2016+OFFSET(' COM_2017_old'!$B$60,$AW365,SUMIF($B$10:$B$16,"NCAP_TLIFE",$AX$10:$AX$16)),0,""))</f>
        <v/>
      </c>
      <c r="Y365" s="369" t="str">
        <f ca="1">IF($B365&lt;&gt;"PRC_RESID","",IF(Y$7=2016+OFFSET(' COM_2017_old'!$B$60,$AW365,SUMIF($B$10:$B$16,"NCAP_TLIFE",$AX$10:$AX$16)),0,""))</f>
        <v/>
      </c>
      <c r="Z365" s="369" t="str">
        <f ca="1">IF($B365&lt;&gt;"PRC_RESID","",IF(Z$7=2016+OFFSET(' COM_2017_old'!$B$60,$AW365,SUMIF($B$10:$B$16,"NCAP_TLIFE",$AX$10:$AX$16)),0,""))</f>
        <v/>
      </c>
      <c r="AA365" s="369" t="str">
        <f ca="1">IF($B365&lt;&gt;"PRC_RESID","",IF(AA$7=2016+OFFSET(' COM_2017_old'!$B$60,$AW365,SUMIF($B$10:$B$16,"NCAP_TLIFE",$AX$10:$AX$16)),0,""))</f>
        <v/>
      </c>
      <c r="AB365" s="369">
        <f ca="1">IF($B365&lt;&gt;"PRC_RESID","",IF(AB$7=2016+OFFSET(' COM_2017_old'!$B$60,$AW365,SUMIF($B$10:$B$16,"NCAP_TLIFE",$AX$10:$AX$16)),0,""))</f>
        <v>0</v>
      </c>
      <c r="AC365" s="369" t="str">
        <f ca="1">IF($B365&lt;&gt;"PRC_RESID","",IF(AC$7=2016+OFFSET(' COM_2017_old'!$B$60,$AW365,SUMIF($B$10:$B$16,"NCAP_TLIFE",$AX$10:$AX$16)),0,""))</f>
        <v/>
      </c>
      <c r="AD365" s="369" t="str">
        <f ca="1">IF($B365&lt;&gt;"PRC_RESID","",IF(AD$7=2016+OFFSET(' COM_2017_old'!$B$60,$AW365,SUMIF($B$10:$B$16,"NCAP_TLIFE",$AX$10:$AX$16)),0,""))</f>
        <v/>
      </c>
      <c r="AE365" s="369" t="str">
        <f ca="1">IF($B365&lt;&gt;"PRC_RESID","",IF(AE$7=2005+OFFSET(COM_2012!$B$60,$AW365,SUMIF($B$10:$B$16,"NCAP_TLIFE",$AX$10:$AX$16)),0,""))</f>
        <v/>
      </c>
      <c r="AF365" s="369" t="str">
        <f ca="1">IF($B365&lt;&gt;"PRC_RESID","",IF(AF$7=2005+OFFSET(COM_2012!$B$60,$AW365,SUMIF($B$10:$B$16,"NCAP_TLIFE",$AX$10:$AX$16)),0,""))</f>
        <v/>
      </c>
      <c r="AG365" s="369" t="str">
        <f ca="1">IF($B365&lt;&gt;"PRC_RESID","",IF(AG$7=2005+OFFSET(COM_2012!$B$60,$AW365,SUMIF($B$10:$B$16,"NCAP_TLIFE",$AX$10:$AX$16)),0,""))</f>
        <v/>
      </c>
      <c r="AH365" s="369" t="str">
        <f ca="1">IF($B365&lt;&gt;"PRC_RESID","",IF(AH$7=2005+OFFSET(COM_2012!$B$60,$AW365,SUMIF($B$10:$B$16,"NCAP_TLIFE",$AX$10:$AX$16)),0,""))</f>
        <v/>
      </c>
      <c r="AI365" s="369" t="str">
        <f ca="1">IF($B365&lt;&gt;"PRC_RESID","",IF(AI$7=2005+OFFSET(COM_2012!$B$60,$AW365,SUMIF($B$10:$B$16,"NCAP_TLIFE",$AX$10:$AX$16)),0,""))</f>
        <v/>
      </c>
      <c r="AJ365" s="369" t="str">
        <f ca="1">IF($B365&lt;&gt;"PRC_RESID","",IF(AJ$7=2005+OFFSET(COM_2012!$B$60,$AW365,SUMIF($B$10:$B$16,"NCAP_TLIFE",$AX$10:$AX$16)),0,""))</f>
        <v/>
      </c>
      <c r="AK365" s="369" t="str">
        <f ca="1">IF($B365&lt;&gt;"PRC_RESID","",IF(AK$7=2005+OFFSET(COM_2012!$B$60,$AW365,SUMIF($B$10:$B$16,"NCAP_TLIFE",$AX$10:$AX$16)),0,""))</f>
        <v/>
      </c>
      <c r="AL365" s="369" t="str">
        <f ca="1">IF($B365&lt;&gt;"PRC_RESID","",IF(AL$7=2005+OFFSET(COM_2012!$B$60,$AW365,SUMIF($B$10:$B$16,"NCAP_TLIFE",$AX$10:$AX$16)),0,""))</f>
        <v/>
      </c>
      <c r="AM365" s="369" t="str">
        <f ca="1">IF($B365&lt;&gt;"PRC_RESID","",IF(AM$7=2005+OFFSET(COM_2012!$B$60,$AW365,SUMIF($B$10:$B$16,"NCAP_TLIFE",$AX$10:$AX$16)),0,""))</f>
        <v/>
      </c>
      <c r="AN365" s="369" t="str">
        <f ca="1">IF($B365&lt;&gt;"PRC_RESID","",IF(AN$7=2005+OFFSET(COM_2012!$B$60,$AW365,SUMIF($B$10:$B$16,"NCAP_TLIFE",$AX$10:$AX$16)),0,""))</f>
        <v/>
      </c>
      <c r="AO365" s="369" t="str">
        <f ca="1">IF($B365&lt;&gt;"PRC_RESID","",IF(AO$7=2005+OFFSET(COM_2012!$B$60,$AW365,SUMIF($B$10:$B$16,"NCAP_TLIFE",$AX$10:$AX$16)),0,""))</f>
        <v/>
      </c>
      <c r="AP365" s="369" t="str">
        <f ca="1">IF($B365&lt;&gt;"PRC_RESID","",IF(AP$7=2005+OFFSET(COM_2012!$B$60,$AW365,SUMIF($B$10:$B$16,"NCAP_TLIFE",$AX$10:$AX$16)),0,""))</f>
        <v/>
      </c>
      <c r="AQ365" s="369" t="str">
        <f ca="1">IF($B365&lt;&gt;"PRC_RESID","",IF(AQ$7=2005+OFFSET(COM_2012!$B$60,$AW365,SUMIF($B$10:$B$16,"NCAP_TLIFE",$AX$10:$AX$16)),0,""))</f>
        <v/>
      </c>
      <c r="AR365" s="369" t="str">
        <f ca="1">IF($B365&lt;&gt;"PRC_RESID","",IF(AR$7=2005+OFFSET(COM_2012!$B$60,$AW365,SUMIF($B$10:$B$16,"NCAP_TLIFE",$AX$10:$AX$16)),0,""))</f>
        <v/>
      </c>
      <c r="AS365" s="369" t="str">
        <f ca="1">IF($B365&lt;&gt;"PRC_RESID","",IF(AS$7=2005+OFFSET(COM_2012!$B$60,$AW365,SUMIF($B$10:$B$16,"NCAP_TLIFE",$AX$10:$AX$16)),0,""))</f>
        <v/>
      </c>
      <c r="AT365" s="369" t="str">
        <f ca="1">IF($B365&lt;&gt;"PRC_RESID","",IF(AT$7=2005+OFFSET(COM_2012!$B$60,$AW365,SUMIF($B$10:$B$16,"NCAP_TLIFE",$AX$10:$AX$16)),0,""))</f>
        <v/>
      </c>
      <c r="AU365" s="369" t="str">
        <f ca="1">IF($B365&lt;&gt;"PRC_RESID","",IF(AU$7=2005+OFFSET(COM_2012!$B$60,$AW365,SUMIF($B$10:$B$16,"NCAP_TLIFE",$AX$10:$AX$16)),0,""))</f>
        <v/>
      </c>
      <c r="AV365" s="304">
        <f>IF(AW364=COM_2012!$AI$121,AV364+1,AV364)</f>
        <v>6</v>
      </c>
      <c r="AW365" s="304">
        <f t="shared" si="36"/>
        <v>33</v>
      </c>
    </row>
    <row r="366" spans="1:49">
      <c r="A366" s="304" t="str">
        <f ca="1">IF(LEFT(OFFSET(COM_2012!$A$60,AW366,0),2)="\I","*","")</f>
        <v/>
      </c>
      <c r="B366" s="369" t="str">
        <f t="shared" ca="1" si="35"/>
        <v>PRC_RESID</v>
      </c>
      <c r="C366" s="369" t="str">
        <f ca="1">IF($A366="*","",OFFSET(COM_2012!$B$60,AW366,0))</f>
        <v>CEWCOA-E</v>
      </c>
      <c r="D366" s="369" t="str">
        <f t="shared" ca="1" si="37"/>
        <v>-</v>
      </c>
      <c r="E366" s="369" t="str">
        <f t="shared" ca="1" si="37"/>
        <v>-</v>
      </c>
      <c r="F366" s="369" t="str">
        <f t="shared" ca="1" si="37"/>
        <v>-</v>
      </c>
      <c r="G366" s="369" t="str">
        <f t="shared" ca="1" si="37"/>
        <v>-</v>
      </c>
      <c r="H366" s="369" t="str">
        <f t="shared" ca="1" si="37"/>
        <v>-</v>
      </c>
      <c r="I366" s="370">
        <f t="shared" ca="1" si="37"/>
        <v>0</v>
      </c>
      <c r="J366" s="391">
        <f ca="1">IF($A366="*","",OFFSET(COM_2012!$B$60,AW366,SUMIF($B$10:$B$16,B366,$AX$10:$AX$16)))</f>
        <v>4.6136404411232137</v>
      </c>
      <c r="K366" s="369" t="str">
        <f ca="1">IF($B366&lt;&gt;"PRC_RESID","",IF(K$7=2005+OFFSET(COM_2012!$B$60,$AW366,SUMIF($B$10:$B$16,"NCAP_TLIFE",$AX$10:$AX$16)),0,""))</f>
        <v/>
      </c>
      <c r="L366" s="369" t="str">
        <f ca="1">IF($B366&lt;&gt;"PRC_RESID","",IF(L$7=2005+OFFSET(COM_2012!$B$60,$AW366,SUMIF($B$10:$B$16,"NCAP_TLIFE",$AX$10:$AX$16)),0,""))</f>
        <v/>
      </c>
      <c r="M366" s="369"/>
      <c r="N366" s="369" t="str">
        <f ca="1">IF($B366&lt;&gt;"PRC_RESID","",IF(N$7=2005+OFFSET(COM_2012!$B$60,$AW366,SUMIF($B$10:$B$16,"NCAP_TLIFE",$AX$10:$AX$16)),0,""))</f>
        <v/>
      </c>
      <c r="O366" s="391">
        <f ca="1">IF($A366="*","",OFFSET(' COM_2017_old'!$B$60,AW366,SUMIF($B$10:$B$16,B366,$AX$10:$AX$16)))</f>
        <v>8.1842790877227607</v>
      </c>
      <c r="P366" s="369" t="str">
        <f ca="1">IF($B366&lt;&gt;"PRC_RESID","",IF(P$7=2005+OFFSET(COM_2012!$B$60,$AW366,SUMIF($B$10:$B$16,"NCAP_TLIFE",$AX$10:$AX$16)),0,""))</f>
        <v/>
      </c>
      <c r="Q366" s="369"/>
      <c r="R366" s="369" t="str">
        <f ca="1">IF($B366&lt;&gt;"PRC_RESID","",IF(R$7=2016+OFFSET(' COM_2017_old'!$B$60,$AW366,SUMIF($B$10:$B$16,"NCAP_TLIFE",$AX$10:$AX$16)),0,""))</f>
        <v/>
      </c>
      <c r="S366" s="369" t="str">
        <f ca="1">IF($B366&lt;&gt;"PRC_RESID","",IF(S$7=2016+OFFSET(' COM_2017_old'!$B$60,$AW366,SUMIF($B$10:$B$16,"NCAP_TLIFE",$AX$10:$AX$16)),0,""))</f>
        <v/>
      </c>
      <c r="T366" s="369" t="str">
        <f ca="1">IF($B366&lt;&gt;"PRC_RESID","",IF(T$7=2016+OFFSET(' COM_2017_old'!$B$60,$AW366,SUMIF($B$10:$B$16,"NCAP_TLIFE",$AX$10:$AX$16)),0,""))</f>
        <v/>
      </c>
      <c r="U366" s="369" t="str">
        <f ca="1">IF($B366&lt;&gt;"PRC_RESID","",IF(U$7=2016+OFFSET(' COM_2017_old'!$B$60,$AW366,SUMIF($B$10:$B$16,"NCAP_TLIFE",$AX$10:$AX$16)),0,""))</f>
        <v/>
      </c>
      <c r="V366" s="369" t="str">
        <f ca="1">IF($B366&lt;&gt;"PRC_RESID","",IF(V$7=2016+OFFSET(' COM_2017_old'!$B$60,$AW366,SUMIF($B$10:$B$16,"NCAP_TLIFE",$AX$10:$AX$16)),0,""))</f>
        <v/>
      </c>
      <c r="W366" s="369" t="str">
        <f ca="1">IF($B366&lt;&gt;"PRC_RESID","",IF(W$7=2016+OFFSET(' COM_2017_old'!$B$60,$AW366,SUMIF($B$10:$B$16,"NCAP_TLIFE",$AX$10:$AX$16)),0,""))</f>
        <v/>
      </c>
      <c r="X366" s="369" t="str">
        <f ca="1">IF($B366&lt;&gt;"PRC_RESID","",IF(X$7=2016+OFFSET(' COM_2017_old'!$B$60,$AW366,SUMIF($B$10:$B$16,"NCAP_TLIFE",$AX$10:$AX$16)),0,""))</f>
        <v/>
      </c>
      <c r="Y366" s="369" t="str">
        <f ca="1">IF($B366&lt;&gt;"PRC_RESID","",IF(Y$7=2016+OFFSET(' COM_2017_old'!$B$60,$AW366,SUMIF($B$10:$B$16,"NCAP_TLIFE",$AX$10:$AX$16)),0,""))</f>
        <v/>
      </c>
      <c r="Z366" s="369" t="str">
        <f ca="1">IF($B366&lt;&gt;"PRC_RESID","",IF(Z$7=2016+OFFSET(' COM_2017_old'!$B$60,$AW366,SUMIF($B$10:$B$16,"NCAP_TLIFE",$AX$10:$AX$16)),0,""))</f>
        <v/>
      </c>
      <c r="AA366" s="369" t="str">
        <f ca="1">IF($B366&lt;&gt;"PRC_RESID","",IF(AA$7=2016+OFFSET(' COM_2017_old'!$B$60,$AW366,SUMIF($B$10:$B$16,"NCAP_TLIFE",$AX$10:$AX$16)),0,""))</f>
        <v/>
      </c>
      <c r="AB366" s="369">
        <f ca="1">IF($B366&lt;&gt;"PRC_RESID","",IF(AB$7=2016+OFFSET(' COM_2017_old'!$B$60,$AW366,SUMIF($B$10:$B$16,"NCAP_TLIFE",$AX$10:$AX$16)),0,""))</f>
        <v>0</v>
      </c>
      <c r="AC366" s="369" t="str">
        <f ca="1">IF($B366&lt;&gt;"PRC_RESID","",IF(AC$7=2016+OFFSET(' COM_2017_old'!$B$60,$AW366,SUMIF($B$10:$B$16,"NCAP_TLIFE",$AX$10:$AX$16)),0,""))</f>
        <v/>
      </c>
      <c r="AD366" s="369" t="str">
        <f ca="1">IF($B366&lt;&gt;"PRC_RESID","",IF(AD$7=2016+OFFSET(' COM_2017_old'!$B$60,$AW366,SUMIF($B$10:$B$16,"NCAP_TLIFE",$AX$10:$AX$16)),0,""))</f>
        <v/>
      </c>
      <c r="AE366" s="369" t="str">
        <f ca="1">IF($B366&lt;&gt;"PRC_RESID","",IF(AE$7=2005+OFFSET(COM_2012!$B$60,$AW366,SUMIF($B$10:$B$16,"NCAP_TLIFE",$AX$10:$AX$16)),0,""))</f>
        <v/>
      </c>
      <c r="AF366" s="369" t="str">
        <f ca="1">IF($B366&lt;&gt;"PRC_RESID","",IF(AF$7=2005+OFFSET(COM_2012!$B$60,$AW366,SUMIF($B$10:$B$16,"NCAP_TLIFE",$AX$10:$AX$16)),0,""))</f>
        <v/>
      </c>
      <c r="AG366" s="369" t="str">
        <f ca="1">IF($B366&lt;&gt;"PRC_RESID","",IF(AG$7=2005+OFFSET(COM_2012!$B$60,$AW366,SUMIF($B$10:$B$16,"NCAP_TLIFE",$AX$10:$AX$16)),0,""))</f>
        <v/>
      </c>
      <c r="AH366" s="369" t="str">
        <f ca="1">IF($B366&lt;&gt;"PRC_RESID","",IF(AH$7=2005+OFFSET(COM_2012!$B$60,$AW366,SUMIF($B$10:$B$16,"NCAP_TLIFE",$AX$10:$AX$16)),0,""))</f>
        <v/>
      </c>
      <c r="AI366" s="369" t="str">
        <f ca="1">IF($B366&lt;&gt;"PRC_RESID","",IF(AI$7=2005+OFFSET(COM_2012!$B$60,$AW366,SUMIF($B$10:$B$16,"NCAP_TLIFE",$AX$10:$AX$16)),0,""))</f>
        <v/>
      </c>
      <c r="AJ366" s="369" t="str">
        <f ca="1">IF($B366&lt;&gt;"PRC_RESID","",IF(AJ$7=2005+OFFSET(COM_2012!$B$60,$AW366,SUMIF($B$10:$B$16,"NCAP_TLIFE",$AX$10:$AX$16)),0,""))</f>
        <v/>
      </c>
      <c r="AK366" s="369" t="str">
        <f ca="1">IF($B366&lt;&gt;"PRC_RESID","",IF(AK$7=2005+OFFSET(COM_2012!$B$60,$AW366,SUMIF($B$10:$B$16,"NCAP_TLIFE",$AX$10:$AX$16)),0,""))</f>
        <v/>
      </c>
      <c r="AL366" s="369" t="str">
        <f ca="1">IF($B366&lt;&gt;"PRC_RESID","",IF(AL$7=2005+OFFSET(COM_2012!$B$60,$AW366,SUMIF($B$10:$B$16,"NCAP_TLIFE",$AX$10:$AX$16)),0,""))</f>
        <v/>
      </c>
      <c r="AM366" s="369" t="str">
        <f ca="1">IF($B366&lt;&gt;"PRC_RESID","",IF(AM$7=2005+OFFSET(COM_2012!$B$60,$AW366,SUMIF($B$10:$B$16,"NCAP_TLIFE",$AX$10:$AX$16)),0,""))</f>
        <v/>
      </c>
      <c r="AN366" s="369" t="str">
        <f ca="1">IF($B366&lt;&gt;"PRC_RESID","",IF(AN$7=2005+OFFSET(COM_2012!$B$60,$AW366,SUMIF($B$10:$B$16,"NCAP_TLIFE",$AX$10:$AX$16)),0,""))</f>
        <v/>
      </c>
      <c r="AO366" s="369" t="str">
        <f ca="1">IF($B366&lt;&gt;"PRC_RESID","",IF(AO$7=2005+OFFSET(COM_2012!$B$60,$AW366,SUMIF($B$10:$B$16,"NCAP_TLIFE",$AX$10:$AX$16)),0,""))</f>
        <v/>
      </c>
      <c r="AP366" s="369" t="str">
        <f ca="1">IF($B366&lt;&gt;"PRC_RESID","",IF(AP$7=2005+OFFSET(COM_2012!$B$60,$AW366,SUMIF($B$10:$B$16,"NCAP_TLIFE",$AX$10:$AX$16)),0,""))</f>
        <v/>
      </c>
      <c r="AQ366" s="369" t="str">
        <f ca="1">IF($B366&lt;&gt;"PRC_RESID","",IF(AQ$7=2005+OFFSET(COM_2012!$B$60,$AW366,SUMIF($B$10:$B$16,"NCAP_TLIFE",$AX$10:$AX$16)),0,""))</f>
        <v/>
      </c>
      <c r="AR366" s="369" t="str">
        <f ca="1">IF($B366&lt;&gt;"PRC_RESID","",IF(AR$7=2005+OFFSET(COM_2012!$B$60,$AW366,SUMIF($B$10:$B$16,"NCAP_TLIFE",$AX$10:$AX$16)),0,""))</f>
        <v/>
      </c>
      <c r="AS366" s="369" t="str">
        <f ca="1">IF($B366&lt;&gt;"PRC_RESID","",IF(AS$7=2005+OFFSET(COM_2012!$B$60,$AW366,SUMIF($B$10:$B$16,"NCAP_TLIFE",$AX$10:$AX$16)),0,""))</f>
        <v/>
      </c>
      <c r="AT366" s="369" t="str">
        <f ca="1">IF($B366&lt;&gt;"PRC_RESID","",IF(AT$7=2005+OFFSET(COM_2012!$B$60,$AW366,SUMIF($B$10:$B$16,"NCAP_TLIFE",$AX$10:$AX$16)),0,""))</f>
        <v/>
      </c>
      <c r="AU366" s="369" t="str">
        <f ca="1">IF($B366&lt;&gt;"PRC_RESID","",IF(AU$7=2005+OFFSET(COM_2012!$B$60,$AW366,SUMIF($B$10:$B$16,"NCAP_TLIFE",$AX$10:$AX$16)),0,""))</f>
        <v/>
      </c>
      <c r="AV366" s="304">
        <f>IF(AW365=COM_2012!$AI$121,AV365+1,AV365)</f>
        <v>6</v>
      </c>
      <c r="AW366" s="304">
        <f t="shared" si="36"/>
        <v>34</v>
      </c>
    </row>
    <row r="367" spans="1:49">
      <c r="A367" s="304" t="str">
        <f ca="1">IF(LEFT(OFFSET(COM_2012!$A$60,AW367,0),2)="\I","*","")</f>
        <v/>
      </c>
      <c r="B367" s="369" t="str">
        <f t="shared" ca="1" si="35"/>
        <v>PRC_RESID</v>
      </c>
      <c r="C367" s="369" t="str">
        <f ca="1">IF($A367="*","",OFFSET(COM_2012!$B$60,AW367,0))</f>
        <v>CEWOLP-E</v>
      </c>
      <c r="D367" s="369" t="str">
        <f t="shared" ref="D367:I384" ca="1" si="38">IF($A367="*","",VLOOKUP($B367,$B$10:$I$16,D$9,FALSE))</f>
        <v>-</v>
      </c>
      <c r="E367" s="369" t="str">
        <f t="shared" ca="1" si="38"/>
        <v>-</v>
      </c>
      <c r="F367" s="369" t="str">
        <f t="shared" ca="1" si="38"/>
        <v>-</v>
      </c>
      <c r="G367" s="369" t="str">
        <f t="shared" ca="1" si="38"/>
        <v>-</v>
      </c>
      <c r="H367" s="369" t="str">
        <f t="shared" ca="1" si="38"/>
        <v>-</v>
      </c>
      <c r="I367" s="370">
        <f t="shared" ca="1" si="38"/>
        <v>0</v>
      </c>
      <c r="J367" s="391">
        <f ca="1">IF($A367="*","",OFFSET(COM_2012!$B$60,AW367,SUMIF($B$10:$B$16,B367,$AX$10:$AX$16)))</f>
        <v>2.7673084210432193</v>
      </c>
      <c r="K367" s="369" t="str">
        <f ca="1">IF($B367&lt;&gt;"PRC_RESID","",IF(K$7=2005+OFFSET(COM_2012!$B$60,$AW367,SUMIF($B$10:$B$16,"NCAP_TLIFE",$AX$10:$AX$16)),0,""))</f>
        <v/>
      </c>
      <c r="L367" s="369" t="str">
        <f ca="1">IF($B367&lt;&gt;"PRC_RESID","",IF(L$7=2005+OFFSET(COM_2012!$B$60,$AW367,SUMIF($B$10:$B$16,"NCAP_TLIFE",$AX$10:$AX$16)),0,""))</f>
        <v/>
      </c>
      <c r="M367" s="369"/>
      <c r="N367" s="369" t="str">
        <f ca="1">IF($B367&lt;&gt;"PRC_RESID","",IF(N$7=2005+OFFSET(COM_2012!$B$60,$AW367,SUMIF($B$10:$B$16,"NCAP_TLIFE",$AX$10:$AX$16)),0,""))</f>
        <v/>
      </c>
      <c r="O367" s="391">
        <f ca="1">IF($A367="*","",OFFSET(' COM_2017_old'!$B$60,AW367,SUMIF($B$10:$B$16,B367,$AX$10:$AX$16)))</f>
        <v>0.30177315803545718</v>
      </c>
      <c r="P367" s="369" t="str">
        <f ca="1">IF($B367&lt;&gt;"PRC_RESID","",IF(P$7=2005+OFFSET(COM_2012!$B$60,$AW367,SUMIF($B$10:$B$16,"NCAP_TLIFE",$AX$10:$AX$16)),0,""))</f>
        <v/>
      </c>
      <c r="Q367" s="369"/>
      <c r="R367" s="369" t="str">
        <f ca="1">IF($B367&lt;&gt;"PRC_RESID","",IF(R$7=2016+OFFSET(' COM_2017_old'!$B$60,$AW367,SUMIF($B$10:$B$16,"NCAP_TLIFE",$AX$10:$AX$16)),0,""))</f>
        <v/>
      </c>
      <c r="S367" s="369" t="str">
        <f ca="1">IF($B367&lt;&gt;"PRC_RESID","",IF(S$7=2016+OFFSET(' COM_2017_old'!$B$60,$AW367,SUMIF($B$10:$B$16,"NCAP_TLIFE",$AX$10:$AX$16)),0,""))</f>
        <v/>
      </c>
      <c r="T367" s="369" t="str">
        <f ca="1">IF($B367&lt;&gt;"PRC_RESID","",IF(T$7=2016+OFFSET(' COM_2017_old'!$B$60,$AW367,SUMIF($B$10:$B$16,"NCAP_TLIFE",$AX$10:$AX$16)),0,""))</f>
        <v/>
      </c>
      <c r="U367" s="369" t="str">
        <f ca="1">IF($B367&lt;&gt;"PRC_RESID","",IF(U$7=2016+OFFSET(' COM_2017_old'!$B$60,$AW367,SUMIF($B$10:$B$16,"NCAP_TLIFE",$AX$10:$AX$16)),0,""))</f>
        <v/>
      </c>
      <c r="V367" s="369" t="str">
        <f ca="1">IF($B367&lt;&gt;"PRC_RESID","",IF(V$7=2016+OFFSET(' COM_2017_old'!$B$60,$AW367,SUMIF($B$10:$B$16,"NCAP_TLIFE",$AX$10:$AX$16)),0,""))</f>
        <v/>
      </c>
      <c r="W367" s="369" t="str">
        <f ca="1">IF($B367&lt;&gt;"PRC_RESID","",IF(W$7=2016+OFFSET(' COM_2017_old'!$B$60,$AW367,SUMIF($B$10:$B$16,"NCAP_TLIFE",$AX$10:$AX$16)),0,""))</f>
        <v/>
      </c>
      <c r="X367" s="369" t="str">
        <f ca="1">IF($B367&lt;&gt;"PRC_RESID","",IF(X$7=2016+OFFSET(' COM_2017_old'!$B$60,$AW367,SUMIF($B$10:$B$16,"NCAP_TLIFE",$AX$10:$AX$16)),0,""))</f>
        <v/>
      </c>
      <c r="Y367" s="369" t="str">
        <f ca="1">IF($B367&lt;&gt;"PRC_RESID","",IF(Y$7=2016+OFFSET(' COM_2017_old'!$B$60,$AW367,SUMIF($B$10:$B$16,"NCAP_TLIFE",$AX$10:$AX$16)),0,""))</f>
        <v/>
      </c>
      <c r="Z367" s="369">
        <f ca="1">IF($B367&lt;&gt;"PRC_RESID","",IF(Z$7=2016+OFFSET(' COM_2017_old'!$B$60,$AW367,SUMIF($B$10:$B$16,"NCAP_TLIFE",$AX$10:$AX$16)),0,""))</f>
        <v>0</v>
      </c>
      <c r="AA367" s="369" t="str">
        <f ca="1">IF($B367&lt;&gt;"PRC_RESID","",IF(AA$7=2016+OFFSET(' COM_2017_old'!$B$60,$AW367,SUMIF($B$10:$B$16,"NCAP_TLIFE",$AX$10:$AX$16)),0,""))</f>
        <v/>
      </c>
      <c r="AB367" s="369" t="str">
        <f ca="1">IF($B367&lt;&gt;"PRC_RESID","",IF(AB$7=2016+OFFSET(' COM_2017_old'!$B$60,$AW367,SUMIF($B$10:$B$16,"NCAP_TLIFE",$AX$10:$AX$16)),0,""))</f>
        <v/>
      </c>
      <c r="AC367" s="369" t="str">
        <f ca="1">IF($B367&lt;&gt;"PRC_RESID","",IF(AC$7=2016+OFFSET(' COM_2017_old'!$B$60,$AW367,SUMIF($B$10:$B$16,"NCAP_TLIFE",$AX$10:$AX$16)),0,""))</f>
        <v/>
      </c>
      <c r="AD367" s="369" t="str">
        <f ca="1">IF($B367&lt;&gt;"PRC_RESID","",IF(AD$7=2016+OFFSET(' COM_2017_old'!$B$60,$AW367,SUMIF($B$10:$B$16,"NCAP_TLIFE",$AX$10:$AX$16)),0,""))</f>
        <v/>
      </c>
      <c r="AE367" s="369" t="str">
        <f ca="1">IF($B367&lt;&gt;"PRC_RESID","",IF(AE$7=2005+OFFSET(COM_2012!$B$60,$AW367,SUMIF($B$10:$B$16,"NCAP_TLIFE",$AX$10:$AX$16)),0,""))</f>
        <v/>
      </c>
      <c r="AF367" s="369" t="str">
        <f ca="1">IF($B367&lt;&gt;"PRC_RESID","",IF(AF$7=2005+OFFSET(COM_2012!$B$60,$AW367,SUMIF($B$10:$B$16,"NCAP_TLIFE",$AX$10:$AX$16)),0,""))</f>
        <v/>
      </c>
      <c r="AG367" s="369" t="str">
        <f ca="1">IF($B367&lt;&gt;"PRC_RESID","",IF(AG$7=2005+OFFSET(COM_2012!$B$60,$AW367,SUMIF($B$10:$B$16,"NCAP_TLIFE",$AX$10:$AX$16)),0,""))</f>
        <v/>
      </c>
      <c r="AH367" s="369" t="str">
        <f ca="1">IF($B367&lt;&gt;"PRC_RESID","",IF(AH$7=2005+OFFSET(COM_2012!$B$60,$AW367,SUMIF($B$10:$B$16,"NCAP_TLIFE",$AX$10:$AX$16)),0,""))</f>
        <v/>
      </c>
      <c r="AI367" s="369" t="str">
        <f ca="1">IF($B367&lt;&gt;"PRC_RESID","",IF(AI$7=2005+OFFSET(COM_2012!$B$60,$AW367,SUMIF($B$10:$B$16,"NCAP_TLIFE",$AX$10:$AX$16)),0,""))</f>
        <v/>
      </c>
      <c r="AJ367" s="369" t="str">
        <f ca="1">IF($B367&lt;&gt;"PRC_RESID","",IF(AJ$7=2005+OFFSET(COM_2012!$B$60,$AW367,SUMIF($B$10:$B$16,"NCAP_TLIFE",$AX$10:$AX$16)),0,""))</f>
        <v/>
      </c>
      <c r="AK367" s="369" t="str">
        <f ca="1">IF($B367&lt;&gt;"PRC_RESID","",IF(AK$7=2005+OFFSET(COM_2012!$B$60,$AW367,SUMIF($B$10:$B$16,"NCAP_TLIFE",$AX$10:$AX$16)),0,""))</f>
        <v/>
      </c>
      <c r="AL367" s="369" t="str">
        <f ca="1">IF($B367&lt;&gt;"PRC_RESID","",IF(AL$7=2005+OFFSET(COM_2012!$B$60,$AW367,SUMIF($B$10:$B$16,"NCAP_TLIFE",$AX$10:$AX$16)),0,""))</f>
        <v/>
      </c>
      <c r="AM367" s="369" t="str">
        <f ca="1">IF($B367&lt;&gt;"PRC_RESID","",IF(AM$7=2005+OFFSET(COM_2012!$B$60,$AW367,SUMIF($B$10:$B$16,"NCAP_TLIFE",$AX$10:$AX$16)),0,""))</f>
        <v/>
      </c>
      <c r="AN367" s="369" t="str">
        <f ca="1">IF($B367&lt;&gt;"PRC_RESID","",IF(AN$7=2005+OFFSET(COM_2012!$B$60,$AW367,SUMIF($B$10:$B$16,"NCAP_TLIFE",$AX$10:$AX$16)),0,""))</f>
        <v/>
      </c>
      <c r="AO367" s="369" t="str">
        <f ca="1">IF($B367&lt;&gt;"PRC_RESID","",IF(AO$7=2005+OFFSET(COM_2012!$B$60,$AW367,SUMIF($B$10:$B$16,"NCAP_TLIFE",$AX$10:$AX$16)),0,""))</f>
        <v/>
      </c>
      <c r="AP367" s="369" t="str">
        <f ca="1">IF($B367&lt;&gt;"PRC_RESID","",IF(AP$7=2005+OFFSET(COM_2012!$B$60,$AW367,SUMIF($B$10:$B$16,"NCAP_TLIFE",$AX$10:$AX$16)),0,""))</f>
        <v/>
      </c>
      <c r="AQ367" s="369" t="str">
        <f ca="1">IF($B367&lt;&gt;"PRC_RESID","",IF(AQ$7=2005+OFFSET(COM_2012!$B$60,$AW367,SUMIF($B$10:$B$16,"NCAP_TLIFE",$AX$10:$AX$16)),0,""))</f>
        <v/>
      </c>
      <c r="AR367" s="369" t="str">
        <f ca="1">IF($B367&lt;&gt;"PRC_RESID","",IF(AR$7=2005+OFFSET(COM_2012!$B$60,$AW367,SUMIF($B$10:$B$16,"NCAP_TLIFE",$AX$10:$AX$16)),0,""))</f>
        <v/>
      </c>
      <c r="AS367" s="369" t="str">
        <f ca="1">IF($B367&lt;&gt;"PRC_RESID","",IF(AS$7=2005+OFFSET(COM_2012!$B$60,$AW367,SUMIF($B$10:$B$16,"NCAP_TLIFE",$AX$10:$AX$16)),0,""))</f>
        <v/>
      </c>
      <c r="AT367" s="369" t="str">
        <f ca="1">IF($B367&lt;&gt;"PRC_RESID","",IF(AT$7=2005+OFFSET(COM_2012!$B$60,$AW367,SUMIF($B$10:$B$16,"NCAP_TLIFE",$AX$10:$AX$16)),0,""))</f>
        <v/>
      </c>
      <c r="AU367" s="369" t="str">
        <f ca="1">IF($B367&lt;&gt;"PRC_RESID","",IF(AU$7=2005+OFFSET(COM_2012!$B$60,$AW367,SUMIF($B$10:$B$16,"NCAP_TLIFE",$AX$10:$AX$16)),0,""))</f>
        <v/>
      </c>
      <c r="AV367" s="304">
        <f>IF(AW366=COM_2012!$AI$121,AV366+1,AV366)</f>
        <v>6</v>
      </c>
      <c r="AW367" s="304">
        <f t="shared" si="36"/>
        <v>35</v>
      </c>
    </row>
    <row r="368" spans="1:49">
      <c r="A368" s="304" t="str">
        <f ca="1">IF(LEFT(OFFSET(COM_2012!$A$60,AW368,0),2)="\I","*","")</f>
        <v/>
      </c>
      <c r="B368" s="369" t="str">
        <f t="shared" ca="1" si="35"/>
        <v>PRC_RESID</v>
      </c>
      <c r="C368" s="369" t="str">
        <f ca="1">IF($A368="*","",OFFSET(COM_2012!$B$60,AW368,0))</f>
        <v>CEWGAS-E</v>
      </c>
      <c r="D368" s="369" t="str">
        <f t="shared" ca="1" si="38"/>
        <v>-</v>
      </c>
      <c r="E368" s="369" t="str">
        <f t="shared" ca="1" si="38"/>
        <v>-</v>
      </c>
      <c r="F368" s="369" t="str">
        <f t="shared" ca="1" si="38"/>
        <v>-</v>
      </c>
      <c r="G368" s="369" t="str">
        <f t="shared" ca="1" si="38"/>
        <v>-</v>
      </c>
      <c r="H368" s="369" t="str">
        <f t="shared" ca="1" si="38"/>
        <v>-</v>
      </c>
      <c r="I368" s="370">
        <f t="shared" ca="1" si="38"/>
        <v>0</v>
      </c>
      <c r="J368" s="391">
        <f ca="1">IF($A368="*","",OFFSET(COM_2012!$B$60,AW368,SUMIF($B$10:$B$16,B368,$AX$10:$AX$16)))</f>
        <v>1.9276046534315194E-2</v>
      </c>
      <c r="K368" s="369" t="str">
        <f ca="1">IF($B368&lt;&gt;"PRC_RESID","",IF(K$7=2005+OFFSET(COM_2012!$B$60,$AW368,SUMIF($B$10:$B$16,"NCAP_TLIFE",$AX$10:$AX$16)),0,""))</f>
        <v/>
      </c>
      <c r="L368" s="369" t="str">
        <f ca="1">IF($B368&lt;&gt;"PRC_RESID","",IF(L$7=2005+OFFSET(COM_2012!$B$60,$AW368,SUMIF($B$10:$B$16,"NCAP_TLIFE",$AX$10:$AX$16)),0,""))</f>
        <v/>
      </c>
      <c r="M368" s="369"/>
      <c r="N368" s="369" t="str">
        <f ca="1">IF($B368&lt;&gt;"PRC_RESID","",IF(N$7=2005+OFFSET(COM_2012!$B$60,$AW368,SUMIF($B$10:$B$16,"NCAP_TLIFE",$AX$10:$AX$16)),0,""))</f>
        <v/>
      </c>
      <c r="O368" s="391">
        <f ca="1">IF($A368="*","",OFFSET(' COM_2017_old'!$B$60,AW368,SUMIF($B$10:$B$16,B368,$AX$10:$AX$16)))</f>
        <v>0.67851683800789475</v>
      </c>
      <c r="P368" s="369" t="str">
        <f ca="1">IF($B368&lt;&gt;"PRC_RESID","",IF(P$7=2005+OFFSET(COM_2012!$B$60,$AW368,SUMIF($B$10:$B$16,"NCAP_TLIFE",$AX$10:$AX$16)),0,""))</f>
        <v/>
      </c>
      <c r="Q368" s="369"/>
      <c r="R368" s="369" t="str">
        <f ca="1">IF($B368&lt;&gt;"PRC_RESID","",IF(R$7=2016+OFFSET(' COM_2017_old'!$B$60,$AW368,SUMIF($B$10:$B$16,"NCAP_TLIFE",$AX$10:$AX$16)),0,""))</f>
        <v/>
      </c>
      <c r="S368" s="369" t="str">
        <f ca="1">IF($B368&lt;&gt;"PRC_RESID","",IF(S$7=2016+OFFSET(' COM_2017_old'!$B$60,$AW368,SUMIF($B$10:$B$16,"NCAP_TLIFE",$AX$10:$AX$16)),0,""))</f>
        <v/>
      </c>
      <c r="T368" s="369" t="str">
        <f ca="1">IF($B368&lt;&gt;"PRC_RESID","",IF(T$7=2016+OFFSET(' COM_2017_old'!$B$60,$AW368,SUMIF($B$10:$B$16,"NCAP_TLIFE",$AX$10:$AX$16)),0,""))</f>
        <v/>
      </c>
      <c r="U368" s="369" t="str">
        <f ca="1">IF($B368&lt;&gt;"PRC_RESID","",IF(U$7=2016+OFFSET(' COM_2017_old'!$B$60,$AW368,SUMIF($B$10:$B$16,"NCAP_TLIFE",$AX$10:$AX$16)),0,""))</f>
        <v/>
      </c>
      <c r="V368" s="369" t="str">
        <f ca="1">IF($B368&lt;&gt;"PRC_RESID","",IF(V$7=2016+OFFSET(' COM_2017_old'!$B$60,$AW368,SUMIF($B$10:$B$16,"NCAP_TLIFE",$AX$10:$AX$16)),0,""))</f>
        <v/>
      </c>
      <c r="W368" s="369" t="str">
        <f ca="1">IF($B368&lt;&gt;"PRC_RESID","",IF(W$7=2016+OFFSET(' COM_2017_old'!$B$60,$AW368,SUMIF($B$10:$B$16,"NCAP_TLIFE",$AX$10:$AX$16)),0,""))</f>
        <v/>
      </c>
      <c r="X368" s="369" t="str">
        <f ca="1">IF($B368&lt;&gt;"PRC_RESID","",IF(X$7=2016+OFFSET(' COM_2017_old'!$B$60,$AW368,SUMIF($B$10:$B$16,"NCAP_TLIFE",$AX$10:$AX$16)),0,""))</f>
        <v/>
      </c>
      <c r="Y368" s="369" t="str">
        <f ca="1">IF($B368&lt;&gt;"PRC_RESID","",IF(Y$7=2016+OFFSET(' COM_2017_old'!$B$60,$AW368,SUMIF($B$10:$B$16,"NCAP_TLIFE",$AX$10:$AX$16)),0,""))</f>
        <v/>
      </c>
      <c r="Z368" s="369">
        <f ca="1">IF($B368&lt;&gt;"PRC_RESID","",IF(Z$7=2016+OFFSET(' COM_2017_old'!$B$60,$AW368,SUMIF($B$10:$B$16,"NCAP_TLIFE",$AX$10:$AX$16)),0,""))</f>
        <v>0</v>
      </c>
      <c r="AA368" s="369" t="str">
        <f ca="1">IF($B368&lt;&gt;"PRC_RESID","",IF(AA$7=2016+OFFSET(' COM_2017_old'!$B$60,$AW368,SUMIF($B$10:$B$16,"NCAP_TLIFE",$AX$10:$AX$16)),0,""))</f>
        <v/>
      </c>
      <c r="AB368" s="369" t="str">
        <f ca="1">IF($B368&lt;&gt;"PRC_RESID","",IF(AB$7=2016+OFFSET(' COM_2017_old'!$B$60,$AW368,SUMIF($B$10:$B$16,"NCAP_TLIFE",$AX$10:$AX$16)),0,""))</f>
        <v/>
      </c>
      <c r="AC368" s="369" t="str">
        <f ca="1">IF($B368&lt;&gt;"PRC_RESID","",IF(AC$7=2016+OFFSET(' COM_2017_old'!$B$60,$AW368,SUMIF($B$10:$B$16,"NCAP_TLIFE",$AX$10:$AX$16)),0,""))</f>
        <v/>
      </c>
      <c r="AD368" s="369" t="str">
        <f ca="1">IF($B368&lt;&gt;"PRC_RESID","",IF(AD$7=2016+OFFSET(' COM_2017_old'!$B$60,$AW368,SUMIF($B$10:$B$16,"NCAP_TLIFE",$AX$10:$AX$16)),0,""))</f>
        <v/>
      </c>
      <c r="AE368" s="369" t="str">
        <f ca="1">IF($B368&lt;&gt;"PRC_RESID","",IF(AE$7=2005+OFFSET(COM_2012!$B$60,$AW368,SUMIF($B$10:$B$16,"NCAP_TLIFE",$AX$10:$AX$16)),0,""))</f>
        <v/>
      </c>
      <c r="AF368" s="369" t="str">
        <f ca="1">IF($B368&lt;&gt;"PRC_RESID","",IF(AF$7=2005+OFFSET(COM_2012!$B$60,$AW368,SUMIF($B$10:$B$16,"NCAP_TLIFE",$AX$10:$AX$16)),0,""))</f>
        <v/>
      </c>
      <c r="AG368" s="369" t="str">
        <f ca="1">IF($B368&lt;&gt;"PRC_RESID","",IF(AG$7=2005+OFFSET(COM_2012!$B$60,$AW368,SUMIF($B$10:$B$16,"NCAP_TLIFE",$AX$10:$AX$16)),0,""))</f>
        <v/>
      </c>
      <c r="AH368" s="369" t="str">
        <f ca="1">IF($B368&lt;&gt;"PRC_RESID","",IF(AH$7=2005+OFFSET(COM_2012!$B$60,$AW368,SUMIF($B$10:$B$16,"NCAP_TLIFE",$AX$10:$AX$16)),0,""))</f>
        <v/>
      </c>
      <c r="AI368" s="369" t="str">
        <f ca="1">IF($B368&lt;&gt;"PRC_RESID","",IF(AI$7=2005+OFFSET(COM_2012!$B$60,$AW368,SUMIF($B$10:$B$16,"NCAP_TLIFE",$AX$10:$AX$16)),0,""))</f>
        <v/>
      </c>
      <c r="AJ368" s="369" t="str">
        <f ca="1">IF($B368&lt;&gt;"PRC_RESID","",IF(AJ$7=2005+OFFSET(COM_2012!$B$60,$AW368,SUMIF($B$10:$B$16,"NCAP_TLIFE",$AX$10:$AX$16)),0,""))</f>
        <v/>
      </c>
      <c r="AK368" s="369" t="str">
        <f ca="1">IF($B368&lt;&gt;"PRC_RESID","",IF(AK$7=2005+OFFSET(COM_2012!$B$60,$AW368,SUMIF($B$10:$B$16,"NCAP_TLIFE",$AX$10:$AX$16)),0,""))</f>
        <v/>
      </c>
      <c r="AL368" s="369" t="str">
        <f ca="1">IF($B368&lt;&gt;"PRC_RESID","",IF(AL$7=2005+OFFSET(COM_2012!$B$60,$AW368,SUMIF($B$10:$B$16,"NCAP_TLIFE",$AX$10:$AX$16)),0,""))</f>
        <v/>
      </c>
      <c r="AM368" s="369" t="str">
        <f ca="1">IF($B368&lt;&gt;"PRC_RESID","",IF(AM$7=2005+OFFSET(COM_2012!$B$60,$AW368,SUMIF($B$10:$B$16,"NCAP_TLIFE",$AX$10:$AX$16)),0,""))</f>
        <v/>
      </c>
      <c r="AN368" s="369" t="str">
        <f ca="1">IF($B368&lt;&gt;"PRC_RESID","",IF(AN$7=2005+OFFSET(COM_2012!$B$60,$AW368,SUMIF($B$10:$B$16,"NCAP_TLIFE",$AX$10:$AX$16)),0,""))</f>
        <v/>
      </c>
      <c r="AO368" s="369" t="str">
        <f ca="1">IF($B368&lt;&gt;"PRC_RESID","",IF(AO$7=2005+OFFSET(COM_2012!$B$60,$AW368,SUMIF($B$10:$B$16,"NCAP_TLIFE",$AX$10:$AX$16)),0,""))</f>
        <v/>
      </c>
      <c r="AP368" s="369" t="str">
        <f ca="1">IF($B368&lt;&gt;"PRC_RESID","",IF(AP$7=2005+OFFSET(COM_2012!$B$60,$AW368,SUMIF($B$10:$B$16,"NCAP_TLIFE",$AX$10:$AX$16)),0,""))</f>
        <v/>
      </c>
      <c r="AQ368" s="369" t="str">
        <f ca="1">IF($B368&lt;&gt;"PRC_RESID","",IF(AQ$7=2005+OFFSET(COM_2012!$B$60,$AW368,SUMIF($B$10:$B$16,"NCAP_TLIFE",$AX$10:$AX$16)),0,""))</f>
        <v/>
      </c>
      <c r="AR368" s="369" t="str">
        <f ca="1">IF($B368&lt;&gt;"PRC_RESID","",IF(AR$7=2005+OFFSET(COM_2012!$B$60,$AW368,SUMIF($B$10:$B$16,"NCAP_TLIFE",$AX$10:$AX$16)),0,""))</f>
        <v/>
      </c>
      <c r="AS368" s="369" t="str">
        <f ca="1">IF($B368&lt;&gt;"PRC_RESID","",IF(AS$7=2005+OFFSET(COM_2012!$B$60,$AW368,SUMIF($B$10:$B$16,"NCAP_TLIFE",$AX$10:$AX$16)),0,""))</f>
        <v/>
      </c>
      <c r="AT368" s="369" t="str">
        <f ca="1">IF($B368&lt;&gt;"PRC_RESID","",IF(AT$7=2005+OFFSET(COM_2012!$B$60,$AW368,SUMIF($B$10:$B$16,"NCAP_TLIFE",$AX$10:$AX$16)),0,""))</f>
        <v/>
      </c>
      <c r="AU368" s="369" t="str">
        <f ca="1">IF($B368&lt;&gt;"PRC_RESID","",IF(AU$7=2005+OFFSET(COM_2012!$B$60,$AW368,SUMIF($B$10:$B$16,"NCAP_TLIFE",$AX$10:$AX$16)),0,""))</f>
        <v/>
      </c>
      <c r="AV368" s="304">
        <f>IF(AW367=COM_2012!$AI$121,AV367+1,AV367)</f>
        <v>6</v>
      </c>
      <c r="AW368" s="304">
        <f t="shared" si="36"/>
        <v>36</v>
      </c>
    </row>
    <row r="369" spans="1:49">
      <c r="A369" s="304" t="str">
        <f ca="1">IF(LEFT(OFFSET(COM_2012!$A$60,AW369,0),2)="\I","*","")</f>
        <v/>
      </c>
      <c r="B369" s="369" t="str">
        <f t="shared" ca="1" si="35"/>
        <v>PRC_RESID</v>
      </c>
      <c r="C369" s="369" t="str">
        <f ca="1">IF($A369="*","",OFFSET(COM_2012!$B$60,AW369,0))</f>
        <v>CEWOKE-E</v>
      </c>
      <c r="D369" s="369" t="str">
        <f t="shared" ca="1" si="38"/>
        <v>-</v>
      </c>
      <c r="E369" s="369" t="str">
        <f t="shared" ca="1" si="38"/>
        <v>-</v>
      </c>
      <c r="F369" s="369" t="str">
        <f t="shared" ca="1" si="38"/>
        <v>-</v>
      </c>
      <c r="G369" s="369" t="str">
        <f t="shared" ca="1" si="38"/>
        <v>-</v>
      </c>
      <c r="H369" s="369" t="str">
        <f t="shared" ca="1" si="38"/>
        <v>-</v>
      </c>
      <c r="I369" s="370">
        <f t="shared" ca="1" si="38"/>
        <v>0</v>
      </c>
      <c r="J369" s="391">
        <f ca="1">IF($A369="*","",OFFSET(COM_2012!$B$60,AW369,SUMIF($B$10:$B$16,B369,$AX$10:$AX$16)))</f>
        <v>2.0138348703793065</v>
      </c>
      <c r="K369" s="369" t="str">
        <f ca="1">IF($B369&lt;&gt;"PRC_RESID","",IF(K$7=2005+OFFSET(COM_2012!$B$60,$AW369,SUMIF($B$10:$B$16,"NCAP_TLIFE",$AX$10:$AX$16)),0,""))</f>
        <v/>
      </c>
      <c r="L369" s="369" t="str">
        <f ca="1">IF($B369&lt;&gt;"PRC_RESID","",IF(L$7=2005+OFFSET(COM_2012!$B$60,$AW369,SUMIF($B$10:$B$16,"NCAP_TLIFE",$AX$10:$AX$16)),0,""))</f>
        <v/>
      </c>
      <c r="M369" s="369"/>
      <c r="N369" s="369" t="str">
        <f ca="1">IF($B369&lt;&gt;"PRC_RESID","",IF(N$7=2005+OFFSET(COM_2012!$B$60,$AW369,SUMIF($B$10:$B$16,"NCAP_TLIFE",$AX$10:$AX$16)),0,""))</f>
        <v/>
      </c>
      <c r="O369" s="391">
        <f ca="1">IF($A369="*","",OFFSET(' COM_2017_old'!$B$60,AW369,SUMIF($B$10:$B$16,B369,$AX$10:$AX$16)))</f>
        <v>0.41310445416806907</v>
      </c>
      <c r="P369" s="369" t="str">
        <f ca="1">IF($B369&lt;&gt;"PRC_RESID","",IF(P$7=2005+OFFSET(COM_2012!$B$60,$AW369,SUMIF($B$10:$B$16,"NCAP_TLIFE",$AX$10:$AX$16)),0,""))</f>
        <v/>
      </c>
      <c r="Q369" s="369"/>
      <c r="R369" s="369" t="str">
        <f ca="1">IF($B369&lt;&gt;"PRC_RESID","",IF(R$7=2016+OFFSET(' COM_2017_old'!$B$60,$AW369,SUMIF($B$10:$B$16,"NCAP_TLIFE",$AX$10:$AX$16)),0,""))</f>
        <v/>
      </c>
      <c r="S369" s="369" t="str">
        <f ca="1">IF($B369&lt;&gt;"PRC_RESID","",IF(S$7=2016+OFFSET(' COM_2017_old'!$B$60,$AW369,SUMIF($B$10:$B$16,"NCAP_TLIFE",$AX$10:$AX$16)),0,""))</f>
        <v/>
      </c>
      <c r="T369" s="369" t="str">
        <f ca="1">IF($B369&lt;&gt;"PRC_RESID","",IF(T$7=2016+OFFSET(' COM_2017_old'!$B$60,$AW369,SUMIF($B$10:$B$16,"NCAP_TLIFE",$AX$10:$AX$16)),0,""))</f>
        <v/>
      </c>
      <c r="U369" s="369" t="str">
        <f ca="1">IF($B369&lt;&gt;"PRC_RESID","",IF(U$7=2016+OFFSET(' COM_2017_old'!$B$60,$AW369,SUMIF($B$10:$B$16,"NCAP_TLIFE",$AX$10:$AX$16)),0,""))</f>
        <v/>
      </c>
      <c r="V369" s="369" t="str">
        <f ca="1">IF($B369&lt;&gt;"PRC_RESID","",IF(V$7=2016+OFFSET(' COM_2017_old'!$B$60,$AW369,SUMIF($B$10:$B$16,"NCAP_TLIFE",$AX$10:$AX$16)),0,""))</f>
        <v/>
      </c>
      <c r="W369" s="369" t="str">
        <f ca="1">IF($B369&lt;&gt;"PRC_RESID","",IF(W$7=2016+OFFSET(' COM_2017_old'!$B$60,$AW369,SUMIF($B$10:$B$16,"NCAP_TLIFE",$AX$10:$AX$16)),0,""))</f>
        <v/>
      </c>
      <c r="X369" s="369" t="str">
        <f ca="1">IF($B369&lt;&gt;"PRC_RESID","",IF(X$7=2016+OFFSET(' COM_2017_old'!$B$60,$AW369,SUMIF($B$10:$B$16,"NCAP_TLIFE",$AX$10:$AX$16)),0,""))</f>
        <v/>
      </c>
      <c r="Y369" s="369" t="str">
        <f ca="1">IF($B369&lt;&gt;"PRC_RESID","",IF(Y$7=2016+OFFSET(' COM_2017_old'!$B$60,$AW369,SUMIF($B$10:$B$16,"NCAP_TLIFE",$AX$10:$AX$16)),0,""))</f>
        <v/>
      </c>
      <c r="Z369" s="369">
        <f ca="1">IF($B369&lt;&gt;"PRC_RESID","",IF(Z$7=2016+OFFSET(' COM_2017_old'!$B$60,$AW369,SUMIF($B$10:$B$16,"NCAP_TLIFE",$AX$10:$AX$16)),0,""))</f>
        <v>0</v>
      </c>
      <c r="AA369" s="369" t="str">
        <f ca="1">IF($B369&lt;&gt;"PRC_RESID","",IF(AA$7=2016+OFFSET(' COM_2017_old'!$B$60,$AW369,SUMIF($B$10:$B$16,"NCAP_TLIFE",$AX$10:$AX$16)),0,""))</f>
        <v/>
      </c>
      <c r="AB369" s="369" t="str">
        <f ca="1">IF($B369&lt;&gt;"PRC_RESID","",IF(AB$7=2016+OFFSET(' COM_2017_old'!$B$60,$AW369,SUMIF($B$10:$B$16,"NCAP_TLIFE",$AX$10:$AX$16)),0,""))</f>
        <v/>
      </c>
      <c r="AC369" s="369" t="str">
        <f ca="1">IF($B369&lt;&gt;"PRC_RESID","",IF(AC$7=2016+OFFSET(' COM_2017_old'!$B$60,$AW369,SUMIF($B$10:$B$16,"NCAP_TLIFE",$AX$10:$AX$16)),0,""))</f>
        <v/>
      </c>
      <c r="AD369" s="369" t="str">
        <f ca="1">IF($B369&lt;&gt;"PRC_RESID","",IF(AD$7=2016+OFFSET(' COM_2017_old'!$B$60,$AW369,SUMIF($B$10:$B$16,"NCAP_TLIFE",$AX$10:$AX$16)),0,""))</f>
        <v/>
      </c>
      <c r="AE369" s="369" t="str">
        <f ca="1">IF($B369&lt;&gt;"PRC_RESID","",IF(AE$7=2005+OFFSET(COM_2012!$B$60,$AW369,SUMIF($B$10:$B$16,"NCAP_TLIFE",$AX$10:$AX$16)),0,""))</f>
        <v/>
      </c>
      <c r="AF369" s="369" t="str">
        <f ca="1">IF($B369&lt;&gt;"PRC_RESID","",IF(AF$7=2005+OFFSET(COM_2012!$B$60,$AW369,SUMIF($B$10:$B$16,"NCAP_TLIFE",$AX$10:$AX$16)),0,""))</f>
        <v/>
      </c>
      <c r="AG369" s="369" t="str">
        <f ca="1">IF($B369&lt;&gt;"PRC_RESID","",IF(AG$7=2005+OFFSET(COM_2012!$B$60,$AW369,SUMIF($B$10:$B$16,"NCAP_TLIFE",$AX$10:$AX$16)),0,""))</f>
        <v/>
      </c>
      <c r="AH369" s="369" t="str">
        <f ca="1">IF($B369&lt;&gt;"PRC_RESID","",IF(AH$7=2005+OFFSET(COM_2012!$B$60,$AW369,SUMIF($B$10:$B$16,"NCAP_TLIFE",$AX$10:$AX$16)),0,""))</f>
        <v/>
      </c>
      <c r="AI369" s="369" t="str">
        <f ca="1">IF($B369&lt;&gt;"PRC_RESID","",IF(AI$7=2005+OFFSET(COM_2012!$B$60,$AW369,SUMIF($B$10:$B$16,"NCAP_TLIFE",$AX$10:$AX$16)),0,""))</f>
        <v/>
      </c>
      <c r="AJ369" s="369" t="str">
        <f ca="1">IF($B369&lt;&gt;"PRC_RESID","",IF(AJ$7=2005+OFFSET(COM_2012!$B$60,$AW369,SUMIF($B$10:$B$16,"NCAP_TLIFE",$AX$10:$AX$16)),0,""))</f>
        <v/>
      </c>
      <c r="AK369" s="369" t="str">
        <f ca="1">IF($B369&lt;&gt;"PRC_RESID","",IF(AK$7=2005+OFFSET(COM_2012!$B$60,$AW369,SUMIF($B$10:$B$16,"NCAP_TLIFE",$AX$10:$AX$16)),0,""))</f>
        <v/>
      </c>
      <c r="AL369" s="369" t="str">
        <f ca="1">IF($B369&lt;&gt;"PRC_RESID","",IF(AL$7=2005+OFFSET(COM_2012!$B$60,$AW369,SUMIF($B$10:$B$16,"NCAP_TLIFE",$AX$10:$AX$16)),0,""))</f>
        <v/>
      </c>
      <c r="AM369" s="369" t="str">
        <f ca="1">IF($B369&lt;&gt;"PRC_RESID","",IF(AM$7=2005+OFFSET(COM_2012!$B$60,$AW369,SUMIF($B$10:$B$16,"NCAP_TLIFE",$AX$10:$AX$16)),0,""))</f>
        <v/>
      </c>
      <c r="AN369" s="369" t="str">
        <f ca="1">IF($B369&lt;&gt;"PRC_RESID","",IF(AN$7=2005+OFFSET(COM_2012!$B$60,$AW369,SUMIF($B$10:$B$16,"NCAP_TLIFE",$AX$10:$AX$16)),0,""))</f>
        <v/>
      </c>
      <c r="AO369" s="369" t="str">
        <f ca="1">IF($B369&lt;&gt;"PRC_RESID","",IF(AO$7=2005+OFFSET(COM_2012!$B$60,$AW369,SUMIF($B$10:$B$16,"NCAP_TLIFE",$AX$10:$AX$16)),0,""))</f>
        <v/>
      </c>
      <c r="AP369" s="369" t="str">
        <f ca="1">IF($B369&lt;&gt;"PRC_RESID","",IF(AP$7=2005+OFFSET(COM_2012!$B$60,$AW369,SUMIF($B$10:$B$16,"NCAP_TLIFE",$AX$10:$AX$16)),0,""))</f>
        <v/>
      </c>
      <c r="AQ369" s="369" t="str">
        <f ca="1">IF($B369&lt;&gt;"PRC_RESID","",IF(AQ$7=2005+OFFSET(COM_2012!$B$60,$AW369,SUMIF($B$10:$B$16,"NCAP_TLIFE",$AX$10:$AX$16)),0,""))</f>
        <v/>
      </c>
      <c r="AR369" s="369" t="str">
        <f ca="1">IF($B369&lt;&gt;"PRC_RESID","",IF(AR$7=2005+OFFSET(COM_2012!$B$60,$AW369,SUMIF($B$10:$B$16,"NCAP_TLIFE",$AX$10:$AX$16)),0,""))</f>
        <v/>
      </c>
      <c r="AS369" s="369" t="str">
        <f ca="1">IF($B369&lt;&gt;"PRC_RESID","",IF(AS$7=2005+OFFSET(COM_2012!$B$60,$AW369,SUMIF($B$10:$B$16,"NCAP_TLIFE",$AX$10:$AX$16)),0,""))</f>
        <v/>
      </c>
      <c r="AT369" s="369" t="str">
        <f ca="1">IF($B369&lt;&gt;"PRC_RESID","",IF(AT$7=2005+OFFSET(COM_2012!$B$60,$AW369,SUMIF($B$10:$B$16,"NCAP_TLIFE",$AX$10:$AX$16)),0,""))</f>
        <v/>
      </c>
      <c r="AU369" s="369" t="str">
        <f ca="1">IF($B369&lt;&gt;"PRC_RESID","",IF(AU$7=2005+OFFSET(COM_2012!$B$60,$AW369,SUMIF($B$10:$B$16,"NCAP_TLIFE",$AX$10:$AX$16)),0,""))</f>
        <v/>
      </c>
      <c r="AV369" s="304">
        <f>IF(AW368=COM_2012!$AI$121,AV368+1,AV368)</f>
        <v>6</v>
      </c>
      <c r="AW369" s="304">
        <f t="shared" si="36"/>
        <v>37</v>
      </c>
    </row>
    <row r="370" spans="1:49">
      <c r="A370" s="304" t="str">
        <f ca="1">IF(LEFT(OFFSET(COM_2012!$A$60,AW370,0),2)="\I","*","")</f>
        <v/>
      </c>
      <c r="B370" s="369" t="str">
        <f t="shared" ca="1" si="35"/>
        <v>PRC_RESID</v>
      </c>
      <c r="C370" s="369" t="str">
        <f ca="1">IF($A370="*","",OFFSET(COM_2012!$B$60,AW370,0))</f>
        <v>CEWELC-N</v>
      </c>
      <c r="D370" s="369" t="str">
        <f t="shared" ca="1" si="38"/>
        <v>-</v>
      </c>
      <c r="E370" s="369" t="str">
        <f t="shared" ca="1" si="38"/>
        <v>-</v>
      </c>
      <c r="F370" s="369" t="str">
        <f t="shared" ca="1" si="38"/>
        <v>-</v>
      </c>
      <c r="G370" s="369" t="str">
        <f t="shared" ca="1" si="38"/>
        <v>-</v>
      </c>
      <c r="H370" s="369" t="str">
        <f t="shared" ca="1" si="38"/>
        <v>-</v>
      </c>
      <c r="I370" s="370">
        <f t="shared" ca="1" si="38"/>
        <v>0</v>
      </c>
      <c r="J370" s="391">
        <f ca="1">IF($A370="*","",OFFSET(COM_2012!$B$60,AW370,SUMIF($B$10:$B$16,B370,$AX$10:$AX$16)))</f>
        <v>0</v>
      </c>
      <c r="K370" s="369" t="str">
        <f ca="1">IF($B370&lt;&gt;"PRC_RESID","",IF(K$7=2005+OFFSET(COM_2012!$B$60,$AW370,SUMIF($B$10:$B$16,"NCAP_TLIFE",$AX$10:$AX$16)),0,""))</f>
        <v/>
      </c>
      <c r="L370" s="369" t="str">
        <f ca="1">IF($B370&lt;&gt;"PRC_RESID","",IF(L$7=2005+OFFSET(COM_2012!$B$60,$AW370,SUMIF($B$10:$B$16,"NCAP_TLIFE",$AX$10:$AX$16)),0,""))</f>
        <v/>
      </c>
      <c r="M370" s="369"/>
      <c r="N370" s="369" t="str">
        <f ca="1">IF($B370&lt;&gt;"PRC_RESID","",IF(N$7=2005+OFFSET(COM_2012!$B$60,$AW370,SUMIF($B$10:$B$16,"NCAP_TLIFE",$AX$10:$AX$16)),0,""))</f>
        <v/>
      </c>
      <c r="O370" s="391">
        <f ca="1">IF($A370="*","",OFFSET(' COM_2017_old'!$B$60,AW370,SUMIF($B$10:$B$16,B370,$AX$10:$AX$16)))</f>
        <v>0</v>
      </c>
      <c r="P370" s="369" t="str">
        <f ca="1">IF($B370&lt;&gt;"PRC_RESID","",IF(P$7=2005+OFFSET(COM_2012!$B$60,$AW370,SUMIF($B$10:$B$16,"NCAP_TLIFE",$AX$10:$AX$16)),0,""))</f>
        <v/>
      </c>
      <c r="Q370" s="369"/>
      <c r="R370" s="369" t="str">
        <f ca="1">IF($B370&lt;&gt;"PRC_RESID","",IF(R$7=2016+OFFSET(' COM_2017_old'!$B$60,$AW370,SUMIF($B$10:$B$16,"NCAP_TLIFE",$AX$10:$AX$16)),0,""))</f>
        <v/>
      </c>
      <c r="S370" s="369" t="str">
        <f ca="1">IF($B370&lt;&gt;"PRC_RESID","",IF(S$7=2016+OFFSET(' COM_2017_old'!$B$60,$AW370,SUMIF($B$10:$B$16,"NCAP_TLIFE",$AX$10:$AX$16)),0,""))</f>
        <v/>
      </c>
      <c r="T370" s="369" t="str">
        <f ca="1">IF($B370&lt;&gt;"PRC_RESID","",IF(T$7=2016+OFFSET(' COM_2017_old'!$B$60,$AW370,SUMIF($B$10:$B$16,"NCAP_TLIFE",$AX$10:$AX$16)),0,""))</f>
        <v/>
      </c>
      <c r="U370" s="369" t="str">
        <f ca="1">IF($B370&lt;&gt;"PRC_RESID","",IF(U$7=2016+OFFSET(' COM_2017_old'!$B$60,$AW370,SUMIF($B$10:$B$16,"NCAP_TLIFE",$AX$10:$AX$16)),0,""))</f>
        <v/>
      </c>
      <c r="V370" s="369" t="str">
        <f ca="1">IF($B370&lt;&gt;"PRC_RESID","",IF(V$7=2016+OFFSET(' COM_2017_old'!$B$60,$AW370,SUMIF($B$10:$B$16,"NCAP_TLIFE",$AX$10:$AX$16)),0,""))</f>
        <v/>
      </c>
      <c r="W370" s="369" t="str">
        <f ca="1">IF($B370&lt;&gt;"PRC_RESID","",IF(W$7=2016+OFFSET(' COM_2017_old'!$B$60,$AW370,SUMIF($B$10:$B$16,"NCAP_TLIFE",$AX$10:$AX$16)),0,""))</f>
        <v/>
      </c>
      <c r="X370" s="369" t="str">
        <f ca="1">IF($B370&lt;&gt;"PRC_RESID","",IF(X$7=2016+OFFSET(' COM_2017_old'!$B$60,$AW370,SUMIF($B$10:$B$16,"NCAP_TLIFE",$AX$10:$AX$16)),0,""))</f>
        <v/>
      </c>
      <c r="Y370" s="369" t="str">
        <f ca="1">IF($B370&lt;&gt;"PRC_RESID","",IF(Y$7=2016+OFFSET(' COM_2017_old'!$B$60,$AW370,SUMIF($B$10:$B$16,"NCAP_TLIFE",$AX$10:$AX$16)),0,""))</f>
        <v/>
      </c>
      <c r="Z370" s="369" t="str">
        <f ca="1">IF($B370&lt;&gt;"PRC_RESID","",IF(Z$7=2016+OFFSET(' COM_2017_old'!$B$60,$AW370,SUMIF($B$10:$B$16,"NCAP_TLIFE",$AX$10:$AX$16)),0,""))</f>
        <v/>
      </c>
      <c r="AA370" s="369" t="str">
        <f ca="1">IF($B370&lt;&gt;"PRC_RESID","",IF(AA$7=2016+OFFSET(' COM_2017_old'!$B$60,$AW370,SUMIF($B$10:$B$16,"NCAP_TLIFE",$AX$10:$AX$16)),0,""))</f>
        <v/>
      </c>
      <c r="AB370" s="369">
        <f ca="1">IF($B370&lt;&gt;"PRC_RESID","",IF(AB$7=2016+OFFSET(' COM_2017_old'!$B$60,$AW370,SUMIF($B$10:$B$16,"NCAP_TLIFE",$AX$10:$AX$16)),0,""))</f>
        <v>0</v>
      </c>
      <c r="AC370" s="369" t="str">
        <f ca="1">IF($B370&lt;&gt;"PRC_RESID","",IF(AC$7=2016+OFFSET(' COM_2017_old'!$B$60,$AW370,SUMIF($B$10:$B$16,"NCAP_TLIFE",$AX$10:$AX$16)),0,""))</f>
        <v/>
      </c>
      <c r="AD370" s="369" t="str">
        <f ca="1">IF($B370&lt;&gt;"PRC_RESID","",IF(AD$7=2016+OFFSET(' COM_2017_old'!$B$60,$AW370,SUMIF($B$10:$B$16,"NCAP_TLIFE",$AX$10:$AX$16)),0,""))</f>
        <v/>
      </c>
      <c r="AE370" s="369" t="str">
        <f ca="1">IF($B370&lt;&gt;"PRC_RESID","",IF(AE$7=2005+OFFSET(COM_2012!$B$60,$AW370,SUMIF($B$10:$B$16,"NCAP_TLIFE",$AX$10:$AX$16)),0,""))</f>
        <v/>
      </c>
      <c r="AF370" s="369" t="str">
        <f ca="1">IF($B370&lt;&gt;"PRC_RESID","",IF(AF$7=2005+OFFSET(COM_2012!$B$60,$AW370,SUMIF($B$10:$B$16,"NCAP_TLIFE",$AX$10:$AX$16)),0,""))</f>
        <v/>
      </c>
      <c r="AG370" s="369" t="str">
        <f ca="1">IF($B370&lt;&gt;"PRC_RESID","",IF(AG$7=2005+OFFSET(COM_2012!$B$60,$AW370,SUMIF($B$10:$B$16,"NCAP_TLIFE",$AX$10:$AX$16)),0,""))</f>
        <v/>
      </c>
      <c r="AH370" s="369" t="str">
        <f ca="1">IF($B370&lt;&gt;"PRC_RESID","",IF(AH$7=2005+OFFSET(COM_2012!$B$60,$AW370,SUMIF($B$10:$B$16,"NCAP_TLIFE",$AX$10:$AX$16)),0,""))</f>
        <v/>
      </c>
      <c r="AI370" s="369" t="str">
        <f ca="1">IF($B370&lt;&gt;"PRC_RESID","",IF(AI$7=2005+OFFSET(COM_2012!$B$60,$AW370,SUMIF($B$10:$B$16,"NCAP_TLIFE",$AX$10:$AX$16)),0,""))</f>
        <v/>
      </c>
      <c r="AJ370" s="369" t="str">
        <f ca="1">IF($B370&lt;&gt;"PRC_RESID","",IF(AJ$7=2005+OFFSET(COM_2012!$B$60,$AW370,SUMIF($B$10:$B$16,"NCAP_TLIFE",$AX$10:$AX$16)),0,""))</f>
        <v/>
      </c>
      <c r="AK370" s="369" t="str">
        <f ca="1">IF($B370&lt;&gt;"PRC_RESID","",IF(AK$7=2005+OFFSET(COM_2012!$B$60,$AW370,SUMIF($B$10:$B$16,"NCAP_TLIFE",$AX$10:$AX$16)),0,""))</f>
        <v/>
      </c>
      <c r="AL370" s="369" t="str">
        <f ca="1">IF($B370&lt;&gt;"PRC_RESID","",IF(AL$7=2005+OFFSET(COM_2012!$B$60,$AW370,SUMIF($B$10:$B$16,"NCAP_TLIFE",$AX$10:$AX$16)),0,""))</f>
        <v/>
      </c>
      <c r="AM370" s="369" t="str">
        <f ca="1">IF($B370&lt;&gt;"PRC_RESID","",IF(AM$7=2005+OFFSET(COM_2012!$B$60,$AW370,SUMIF($B$10:$B$16,"NCAP_TLIFE",$AX$10:$AX$16)),0,""))</f>
        <v/>
      </c>
      <c r="AN370" s="369" t="str">
        <f ca="1">IF($B370&lt;&gt;"PRC_RESID","",IF(AN$7=2005+OFFSET(COM_2012!$B$60,$AW370,SUMIF($B$10:$B$16,"NCAP_TLIFE",$AX$10:$AX$16)),0,""))</f>
        <v/>
      </c>
      <c r="AO370" s="369" t="str">
        <f ca="1">IF($B370&lt;&gt;"PRC_RESID","",IF(AO$7=2005+OFFSET(COM_2012!$B$60,$AW370,SUMIF($B$10:$B$16,"NCAP_TLIFE",$AX$10:$AX$16)),0,""))</f>
        <v/>
      </c>
      <c r="AP370" s="369" t="str">
        <f ca="1">IF($B370&lt;&gt;"PRC_RESID","",IF(AP$7=2005+OFFSET(COM_2012!$B$60,$AW370,SUMIF($B$10:$B$16,"NCAP_TLIFE",$AX$10:$AX$16)),0,""))</f>
        <v/>
      </c>
      <c r="AQ370" s="369" t="str">
        <f ca="1">IF($B370&lt;&gt;"PRC_RESID","",IF(AQ$7=2005+OFFSET(COM_2012!$B$60,$AW370,SUMIF($B$10:$B$16,"NCAP_TLIFE",$AX$10:$AX$16)),0,""))</f>
        <v/>
      </c>
      <c r="AR370" s="369" t="str">
        <f ca="1">IF($B370&lt;&gt;"PRC_RESID","",IF(AR$7=2005+OFFSET(COM_2012!$B$60,$AW370,SUMIF($B$10:$B$16,"NCAP_TLIFE",$AX$10:$AX$16)),0,""))</f>
        <v/>
      </c>
      <c r="AS370" s="369" t="str">
        <f ca="1">IF($B370&lt;&gt;"PRC_RESID","",IF(AS$7=2005+OFFSET(COM_2012!$B$60,$AW370,SUMIF($B$10:$B$16,"NCAP_TLIFE",$AX$10:$AX$16)),0,""))</f>
        <v/>
      </c>
      <c r="AT370" s="369" t="str">
        <f ca="1">IF($B370&lt;&gt;"PRC_RESID","",IF(AT$7=2005+OFFSET(COM_2012!$B$60,$AW370,SUMIF($B$10:$B$16,"NCAP_TLIFE",$AX$10:$AX$16)),0,""))</f>
        <v/>
      </c>
      <c r="AU370" s="369" t="str">
        <f ca="1">IF($B370&lt;&gt;"PRC_RESID","",IF(AU$7=2005+OFFSET(COM_2012!$B$60,$AW370,SUMIF($B$10:$B$16,"NCAP_TLIFE",$AX$10:$AX$16)),0,""))</f>
        <v/>
      </c>
      <c r="AV370" s="304">
        <f>IF(AW369=COM_2012!$AI$121,AV369+1,AV369)</f>
        <v>6</v>
      </c>
      <c r="AW370" s="304">
        <f t="shared" si="36"/>
        <v>38</v>
      </c>
    </row>
    <row r="371" spans="1:49">
      <c r="A371" s="304" t="str">
        <f ca="1">IF(LEFT(OFFSET(COM_2012!$A$60,AW371,0),2)="\I","*","")</f>
        <v/>
      </c>
      <c r="B371" s="369" t="str">
        <f t="shared" ca="1" si="35"/>
        <v>PRC_RESID</v>
      </c>
      <c r="C371" s="369" t="str">
        <f ca="1">IF($A371="*","",OFFSET(COM_2012!$B$60,AW371,0))</f>
        <v>CEWELCHP-N</v>
      </c>
      <c r="D371" s="369" t="str">
        <f t="shared" ca="1" si="38"/>
        <v>-</v>
      </c>
      <c r="E371" s="369" t="str">
        <f t="shared" ca="1" si="38"/>
        <v>-</v>
      </c>
      <c r="F371" s="369" t="str">
        <f t="shared" ca="1" si="38"/>
        <v>-</v>
      </c>
      <c r="G371" s="369" t="str">
        <f t="shared" ca="1" si="38"/>
        <v>-</v>
      </c>
      <c r="H371" s="369" t="str">
        <f t="shared" ca="1" si="38"/>
        <v>-</v>
      </c>
      <c r="I371" s="370">
        <f t="shared" ca="1" si="38"/>
        <v>0</v>
      </c>
      <c r="J371" s="391">
        <f ca="1">IF($A371="*","",OFFSET(COM_2012!$B$60,AW371,SUMIF($B$10:$B$16,B371,$AX$10:$AX$16)))</f>
        <v>0</v>
      </c>
      <c r="K371" s="369" t="str">
        <f ca="1">IF($B371&lt;&gt;"PRC_RESID","",IF(K$7=2005+OFFSET(COM_2012!$B$60,$AW371,SUMIF($B$10:$B$16,"NCAP_TLIFE",$AX$10:$AX$16)),0,""))</f>
        <v/>
      </c>
      <c r="L371" s="369" t="str">
        <f ca="1">IF($B371&lt;&gt;"PRC_RESID","",IF(L$7=2005+OFFSET(COM_2012!$B$60,$AW371,SUMIF($B$10:$B$16,"NCAP_TLIFE",$AX$10:$AX$16)),0,""))</f>
        <v/>
      </c>
      <c r="M371" s="369"/>
      <c r="N371" s="369" t="str">
        <f ca="1">IF($B371&lt;&gt;"PRC_RESID","",IF(N$7=2005+OFFSET(COM_2012!$B$60,$AW371,SUMIF($B$10:$B$16,"NCAP_TLIFE",$AX$10:$AX$16)),0,""))</f>
        <v/>
      </c>
      <c r="O371" s="391">
        <f ca="1">IF($A371="*","",OFFSET(' COM_2017_old'!$B$60,AW371,SUMIF($B$10:$B$16,B371,$AX$10:$AX$16)))</f>
        <v>0</v>
      </c>
      <c r="P371" s="369" t="str">
        <f ca="1">IF($B371&lt;&gt;"PRC_RESID","",IF(P$7=2005+OFFSET(COM_2012!$B$60,$AW371,SUMIF($B$10:$B$16,"NCAP_TLIFE",$AX$10:$AX$16)),0,""))</f>
        <v/>
      </c>
      <c r="Q371" s="369"/>
      <c r="R371" s="369" t="str">
        <f ca="1">IF($B371&lt;&gt;"PRC_RESID","",IF(R$7=2016+OFFSET(' COM_2017_old'!$B$60,$AW371,SUMIF($B$10:$B$16,"NCAP_TLIFE",$AX$10:$AX$16)),0,""))</f>
        <v/>
      </c>
      <c r="S371" s="369" t="str">
        <f ca="1">IF($B371&lt;&gt;"PRC_RESID","",IF(S$7=2016+OFFSET(' COM_2017_old'!$B$60,$AW371,SUMIF($B$10:$B$16,"NCAP_TLIFE",$AX$10:$AX$16)),0,""))</f>
        <v/>
      </c>
      <c r="T371" s="369" t="str">
        <f ca="1">IF($B371&lt;&gt;"PRC_RESID","",IF(T$7=2016+OFFSET(' COM_2017_old'!$B$60,$AW371,SUMIF($B$10:$B$16,"NCAP_TLIFE",$AX$10:$AX$16)),0,""))</f>
        <v/>
      </c>
      <c r="U371" s="369" t="str">
        <f ca="1">IF($B371&lt;&gt;"PRC_RESID","",IF(U$7=2016+OFFSET(' COM_2017_old'!$B$60,$AW371,SUMIF($B$10:$B$16,"NCAP_TLIFE",$AX$10:$AX$16)),0,""))</f>
        <v/>
      </c>
      <c r="V371" s="369" t="str">
        <f ca="1">IF($B371&lt;&gt;"PRC_RESID","",IF(V$7=2016+OFFSET(' COM_2017_old'!$B$60,$AW371,SUMIF($B$10:$B$16,"NCAP_TLIFE",$AX$10:$AX$16)),0,""))</f>
        <v/>
      </c>
      <c r="W371" s="369" t="str">
        <f ca="1">IF($B371&lt;&gt;"PRC_RESID","",IF(W$7=2016+OFFSET(' COM_2017_old'!$B$60,$AW371,SUMIF($B$10:$B$16,"NCAP_TLIFE",$AX$10:$AX$16)),0,""))</f>
        <v/>
      </c>
      <c r="X371" s="369">
        <f ca="1">IF($B371&lt;&gt;"PRC_RESID","",IF(X$7=2016+OFFSET(' COM_2017_old'!$B$60,$AW371,SUMIF($B$10:$B$16,"NCAP_TLIFE",$AX$10:$AX$16)),0,""))</f>
        <v>0</v>
      </c>
      <c r="Y371" s="369" t="str">
        <f ca="1">IF($B371&lt;&gt;"PRC_RESID","",IF(Y$7=2016+OFFSET(' COM_2017_old'!$B$60,$AW371,SUMIF($B$10:$B$16,"NCAP_TLIFE",$AX$10:$AX$16)),0,""))</f>
        <v/>
      </c>
      <c r="Z371" s="369" t="str">
        <f ca="1">IF($B371&lt;&gt;"PRC_RESID","",IF(Z$7=2016+OFFSET(' COM_2017_old'!$B$60,$AW371,SUMIF($B$10:$B$16,"NCAP_TLIFE",$AX$10:$AX$16)),0,""))</f>
        <v/>
      </c>
      <c r="AA371" s="369" t="str">
        <f ca="1">IF($B371&lt;&gt;"PRC_RESID","",IF(AA$7=2016+OFFSET(' COM_2017_old'!$B$60,$AW371,SUMIF($B$10:$B$16,"NCAP_TLIFE",$AX$10:$AX$16)),0,""))</f>
        <v/>
      </c>
      <c r="AB371" s="369" t="str">
        <f ca="1">IF($B371&lt;&gt;"PRC_RESID","",IF(AB$7=2016+OFFSET(' COM_2017_old'!$B$60,$AW371,SUMIF($B$10:$B$16,"NCAP_TLIFE",$AX$10:$AX$16)),0,""))</f>
        <v/>
      </c>
      <c r="AC371" s="369" t="str">
        <f ca="1">IF($B371&lt;&gt;"PRC_RESID","",IF(AC$7=2016+OFFSET(' COM_2017_old'!$B$60,$AW371,SUMIF($B$10:$B$16,"NCAP_TLIFE",$AX$10:$AX$16)),0,""))</f>
        <v/>
      </c>
      <c r="AD371" s="369" t="str">
        <f ca="1">IF($B371&lt;&gt;"PRC_RESID","",IF(AD$7=2016+OFFSET(' COM_2017_old'!$B$60,$AW371,SUMIF($B$10:$B$16,"NCAP_TLIFE",$AX$10:$AX$16)),0,""))</f>
        <v/>
      </c>
      <c r="AE371" s="369" t="str">
        <f ca="1">IF($B371&lt;&gt;"PRC_RESID","",IF(AE$7=2005+OFFSET(COM_2012!$B$60,$AW371,SUMIF($B$10:$B$16,"NCAP_TLIFE",$AX$10:$AX$16)),0,""))</f>
        <v/>
      </c>
      <c r="AF371" s="369" t="str">
        <f ca="1">IF($B371&lt;&gt;"PRC_RESID","",IF(AF$7=2005+OFFSET(COM_2012!$B$60,$AW371,SUMIF($B$10:$B$16,"NCAP_TLIFE",$AX$10:$AX$16)),0,""))</f>
        <v/>
      </c>
      <c r="AG371" s="369" t="str">
        <f ca="1">IF($B371&lt;&gt;"PRC_RESID","",IF(AG$7=2005+OFFSET(COM_2012!$B$60,$AW371,SUMIF($B$10:$B$16,"NCAP_TLIFE",$AX$10:$AX$16)),0,""))</f>
        <v/>
      </c>
      <c r="AH371" s="369" t="str">
        <f ca="1">IF($B371&lt;&gt;"PRC_RESID","",IF(AH$7=2005+OFFSET(COM_2012!$B$60,$AW371,SUMIF($B$10:$B$16,"NCAP_TLIFE",$AX$10:$AX$16)),0,""))</f>
        <v/>
      </c>
      <c r="AI371" s="369" t="str">
        <f ca="1">IF($B371&lt;&gt;"PRC_RESID","",IF(AI$7=2005+OFFSET(COM_2012!$B$60,$AW371,SUMIF($B$10:$B$16,"NCAP_TLIFE",$AX$10:$AX$16)),0,""))</f>
        <v/>
      </c>
      <c r="AJ371" s="369" t="str">
        <f ca="1">IF($B371&lt;&gt;"PRC_RESID","",IF(AJ$7=2005+OFFSET(COM_2012!$B$60,$AW371,SUMIF($B$10:$B$16,"NCAP_TLIFE",$AX$10:$AX$16)),0,""))</f>
        <v/>
      </c>
      <c r="AK371" s="369" t="str">
        <f ca="1">IF($B371&lt;&gt;"PRC_RESID","",IF(AK$7=2005+OFFSET(COM_2012!$B$60,$AW371,SUMIF($B$10:$B$16,"NCAP_TLIFE",$AX$10:$AX$16)),0,""))</f>
        <v/>
      </c>
      <c r="AL371" s="369" t="str">
        <f ca="1">IF($B371&lt;&gt;"PRC_RESID","",IF(AL$7=2005+OFFSET(COM_2012!$B$60,$AW371,SUMIF($B$10:$B$16,"NCAP_TLIFE",$AX$10:$AX$16)),0,""))</f>
        <v/>
      </c>
      <c r="AM371" s="369" t="str">
        <f ca="1">IF($B371&lt;&gt;"PRC_RESID","",IF(AM$7=2005+OFFSET(COM_2012!$B$60,$AW371,SUMIF($B$10:$B$16,"NCAP_TLIFE",$AX$10:$AX$16)),0,""))</f>
        <v/>
      </c>
      <c r="AN371" s="369" t="str">
        <f ca="1">IF($B371&lt;&gt;"PRC_RESID","",IF(AN$7=2005+OFFSET(COM_2012!$B$60,$AW371,SUMIF($B$10:$B$16,"NCAP_TLIFE",$AX$10:$AX$16)),0,""))</f>
        <v/>
      </c>
      <c r="AO371" s="369" t="str">
        <f ca="1">IF($B371&lt;&gt;"PRC_RESID","",IF(AO$7=2005+OFFSET(COM_2012!$B$60,$AW371,SUMIF($B$10:$B$16,"NCAP_TLIFE",$AX$10:$AX$16)),0,""))</f>
        <v/>
      </c>
      <c r="AP371" s="369" t="str">
        <f ca="1">IF($B371&lt;&gt;"PRC_RESID","",IF(AP$7=2005+OFFSET(COM_2012!$B$60,$AW371,SUMIF($B$10:$B$16,"NCAP_TLIFE",$AX$10:$AX$16)),0,""))</f>
        <v/>
      </c>
      <c r="AQ371" s="369" t="str">
        <f ca="1">IF($B371&lt;&gt;"PRC_RESID","",IF(AQ$7=2005+OFFSET(COM_2012!$B$60,$AW371,SUMIF($B$10:$B$16,"NCAP_TLIFE",$AX$10:$AX$16)),0,""))</f>
        <v/>
      </c>
      <c r="AR371" s="369" t="str">
        <f ca="1">IF($B371&lt;&gt;"PRC_RESID","",IF(AR$7=2005+OFFSET(COM_2012!$B$60,$AW371,SUMIF($B$10:$B$16,"NCAP_TLIFE",$AX$10:$AX$16)),0,""))</f>
        <v/>
      </c>
      <c r="AS371" s="369" t="str">
        <f ca="1">IF($B371&lt;&gt;"PRC_RESID","",IF(AS$7=2005+OFFSET(COM_2012!$B$60,$AW371,SUMIF($B$10:$B$16,"NCAP_TLIFE",$AX$10:$AX$16)),0,""))</f>
        <v/>
      </c>
      <c r="AT371" s="369" t="str">
        <f ca="1">IF($B371&lt;&gt;"PRC_RESID","",IF(AT$7=2005+OFFSET(COM_2012!$B$60,$AW371,SUMIF($B$10:$B$16,"NCAP_TLIFE",$AX$10:$AX$16)),0,""))</f>
        <v/>
      </c>
      <c r="AU371" s="369" t="str">
        <f ca="1">IF($B371&lt;&gt;"PRC_RESID","",IF(AU$7=2005+OFFSET(COM_2012!$B$60,$AW371,SUMIF($B$10:$B$16,"NCAP_TLIFE",$AX$10:$AX$16)),0,""))</f>
        <v/>
      </c>
      <c r="AV371" s="304">
        <f>IF(AW370=COM_2012!$AI$121,AV370+1,AV370)</f>
        <v>6</v>
      </c>
      <c r="AW371" s="304">
        <f t="shared" si="36"/>
        <v>39</v>
      </c>
    </row>
    <row r="372" spans="1:49">
      <c r="A372" s="304" t="str">
        <f ca="1">IF(LEFT(OFFSET(COM_2012!$A$60,AW372,0),2)="\I","*","")</f>
        <v>*</v>
      </c>
      <c r="B372" s="369" t="str">
        <f t="shared" ca="1" si="35"/>
        <v/>
      </c>
      <c r="C372" s="369" t="str">
        <f ca="1">IF($A372="*","",OFFSET(COM_2012!$B$60,AW372,0))</f>
        <v/>
      </c>
      <c r="D372" s="369" t="str">
        <f t="shared" ca="1" si="38"/>
        <v/>
      </c>
      <c r="E372" s="369" t="str">
        <f t="shared" ca="1" si="38"/>
        <v/>
      </c>
      <c r="F372" s="369" t="str">
        <f t="shared" ca="1" si="38"/>
        <v/>
      </c>
      <c r="G372" s="369" t="str">
        <f t="shared" ca="1" si="38"/>
        <v/>
      </c>
      <c r="H372" s="369" t="str">
        <f t="shared" ca="1" si="38"/>
        <v/>
      </c>
      <c r="I372" s="370" t="str">
        <f t="shared" ca="1" si="38"/>
        <v/>
      </c>
      <c r="J372" s="391" t="str">
        <f ca="1">IF($A372="*","",OFFSET(COM_2012!$B$60,AW372,SUMIF($B$10:$B$16,B372,$AX$10:$AX$16)))</f>
        <v/>
      </c>
      <c r="K372" s="369" t="str">
        <f ca="1">IF($B372&lt;&gt;"PRC_RESID","",IF(K$7=2005+OFFSET(COM_2012!$B$60,$AW372,SUMIF($B$10:$B$16,"NCAP_TLIFE",$AX$10:$AX$16)),0,""))</f>
        <v/>
      </c>
      <c r="L372" s="369" t="str">
        <f ca="1">IF($B372&lt;&gt;"PRC_RESID","",IF(L$7=2005+OFFSET(COM_2012!$B$60,$AW372,SUMIF($B$10:$B$16,"NCAP_TLIFE",$AX$10:$AX$16)),0,""))</f>
        <v/>
      </c>
      <c r="M372" s="369"/>
      <c r="N372" s="369" t="str">
        <f ca="1">IF($B372&lt;&gt;"PRC_RESID","",IF(N$7=2005+OFFSET(COM_2012!$B$60,$AW372,SUMIF($B$10:$B$16,"NCAP_TLIFE",$AX$10:$AX$16)),0,""))</f>
        <v/>
      </c>
      <c r="O372" s="391" t="str">
        <f ca="1">IF($A372="*","",OFFSET(' COM_2017_old'!$B$60,AW372,SUMIF($B$10:$B$16,B372,$AX$10:$AX$16)))</f>
        <v/>
      </c>
      <c r="P372" s="369" t="str">
        <f ca="1">IF($B372&lt;&gt;"PRC_RESID","",IF(P$7=2005+OFFSET(COM_2012!$B$60,$AW372,SUMIF($B$10:$B$16,"NCAP_TLIFE",$AX$10:$AX$16)),0,""))</f>
        <v/>
      </c>
      <c r="Q372" s="369"/>
      <c r="R372" s="369" t="str">
        <f ca="1">IF($B372&lt;&gt;"PRC_RESID","",IF(R$7=2016+OFFSET(' COM_2017_old'!$B$60,$AW372,SUMIF($B$10:$B$16,"NCAP_TLIFE",$AX$10:$AX$16)),0,""))</f>
        <v/>
      </c>
      <c r="S372" s="369" t="str">
        <f ca="1">IF($B372&lt;&gt;"PRC_RESID","",IF(S$7=2016+OFFSET(' COM_2017_old'!$B$60,$AW372,SUMIF($B$10:$B$16,"NCAP_TLIFE",$AX$10:$AX$16)),0,""))</f>
        <v/>
      </c>
      <c r="T372" s="369" t="str">
        <f ca="1">IF($B372&lt;&gt;"PRC_RESID","",IF(T$7=2016+OFFSET(' COM_2017_old'!$B$60,$AW372,SUMIF($B$10:$B$16,"NCAP_TLIFE",$AX$10:$AX$16)),0,""))</f>
        <v/>
      </c>
      <c r="U372" s="369" t="str">
        <f ca="1">IF($B372&lt;&gt;"PRC_RESID","",IF(U$7=2016+OFFSET(' COM_2017_old'!$B$60,$AW372,SUMIF($B$10:$B$16,"NCAP_TLIFE",$AX$10:$AX$16)),0,""))</f>
        <v/>
      </c>
      <c r="V372" s="369" t="str">
        <f ca="1">IF($B372&lt;&gt;"PRC_RESID","",IF(V$7=2016+OFFSET(' COM_2017_old'!$B$60,$AW372,SUMIF($B$10:$B$16,"NCAP_TLIFE",$AX$10:$AX$16)),0,""))</f>
        <v/>
      </c>
      <c r="W372" s="369" t="str">
        <f ca="1">IF($B372&lt;&gt;"PRC_RESID","",IF(W$7=2016+OFFSET(' COM_2017_old'!$B$60,$AW372,SUMIF($B$10:$B$16,"NCAP_TLIFE",$AX$10:$AX$16)),0,""))</f>
        <v/>
      </c>
      <c r="X372" s="369" t="str">
        <f ca="1">IF($B372&lt;&gt;"PRC_RESID","",IF(X$7=2016+OFFSET(' COM_2017_old'!$B$60,$AW372,SUMIF($B$10:$B$16,"NCAP_TLIFE",$AX$10:$AX$16)),0,""))</f>
        <v/>
      </c>
      <c r="Y372" s="369" t="str">
        <f ca="1">IF($B372&lt;&gt;"PRC_RESID","",IF(Y$7=2016+OFFSET(' COM_2017_old'!$B$60,$AW372,SUMIF($B$10:$B$16,"NCAP_TLIFE",$AX$10:$AX$16)),0,""))</f>
        <v/>
      </c>
      <c r="Z372" s="369" t="str">
        <f ca="1">IF($B372&lt;&gt;"PRC_RESID","",IF(Z$7=2016+OFFSET(' COM_2017_old'!$B$60,$AW372,SUMIF($B$10:$B$16,"NCAP_TLIFE",$AX$10:$AX$16)),0,""))</f>
        <v/>
      </c>
      <c r="AA372" s="369" t="str">
        <f ca="1">IF($B372&lt;&gt;"PRC_RESID","",IF(AA$7=2016+OFFSET(' COM_2017_old'!$B$60,$AW372,SUMIF($B$10:$B$16,"NCAP_TLIFE",$AX$10:$AX$16)),0,""))</f>
        <v/>
      </c>
      <c r="AB372" s="369" t="str">
        <f ca="1">IF($B372&lt;&gt;"PRC_RESID","",IF(AB$7=2016+OFFSET(' COM_2017_old'!$B$60,$AW372,SUMIF($B$10:$B$16,"NCAP_TLIFE",$AX$10:$AX$16)),0,""))</f>
        <v/>
      </c>
      <c r="AC372" s="369" t="str">
        <f ca="1">IF($B372&lt;&gt;"PRC_RESID","",IF(AC$7=2016+OFFSET(' COM_2017_old'!$B$60,$AW372,SUMIF($B$10:$B$16,"NCAP_TLIFE",$AX$10:$AX$16)),0,""))</f>
        <v/>
      </c>
      <c r="AD372" s="369" t="str">
        <f ca="1">IF($B372&lt;&gt;"PRC_RESID","",IF(AD$7=2016+OFFSET(' COM_2017_old'!$B$60,$AW372,SUMIF($B$10:$B$16,"NCAP_TLIFE",$AX$10:$AX$16)),0,""))</f>
        <v/>
      </c>
      <c r="AE372" s="369" t="str">
        <f ca="1">IF($B372&lt;&gt;"PRC_RESID","",IF(AE$7=2005+OFFSET(COM_2012!$B$60,$AW372,SUMIF($B$10:$B$16,"NCAP_TLIFE",$AX$10:$AX$16)),0,""))</f>
        <v/>
      </c>
      <c r="AF372" s="369" t="str">
        <f ca="1">IF($B372&lt;&gt;"PRC_RESID","",IF(AF$7=2005+OFFSET(COM_2012!$B$60,$AW372,SUMIF($B$10:$B$16,"NCAP_TLIFE",$AX$10:$AX$16)),0,""))</f>
        <v/>
      </c>
      <c r="AG372" s="369" t="str">
        <f ca="1">IF($B372&lt;&gt;"PRC_RESID","",IF(AG$7=2005+OFFSET(COM_2012!$B$60,$AW372,SUMIF($B$10:$B$16,"NCAP_TLIFE",$AX$10:$AX$16)),0,""))</f>
        <v/>
      </c>
      <c r="AH372" s="369" t="str">
        <f ca="1">IF($B372&lt;&gt;"PRC_RESID","",IF(AH$7=2005+OFFSET(COM_2012!$B$60,$AW372,SUMIF($B$10:$B$16,"NCAP_TLIFE",$AX$10:$AX$16)),0,""))</f>
        <v/>
      </c>
      <c r="AI372" s="369" t="str">
        <f ca="1">IF($B372&lt;&gt;"PRC_RESID","",IF(AI$7=2005+OFFSET(COM_2012!$B$60,$AW372,SUMIF($B$10:$B$16,"NCAP_TLIFE",$AX$10:$AX$16)),0,""))</f>
        <v/>
      </c>
      <c r="AJ372" s="369" t="str">
        <f ca="1">IF($B372&lt;&gt;"PRC_RESID","",IF(AJ$7=2005+OFFSET(COM_2012!$B$60,$AW372,SUMIF($B$10:$B$16,"NCAP_TLIFE",$AX$10:$AX$16)),0,""))</f>
        <v/>
      </c>
      <c r="AK372" s="369" t="str">
        <f ca="1">IF($B372&lt;&gt;"PRC_RESID","",IF(AK$7=2005+OFFSET(COM_2012!$B$60,$AW372,SUMIF($B$10:$B$16,"NCAP_TLIFE",$AX$10:$AX$16)),0,""))</f>
        <v/>
      </c>
      <c r="AL372" s="369" t="str">
        <f ca="1">IF($B372&lt;&gt;"PRC_RESID","",IF(AL$7=2005+OFFSET(COM_2012!$B$60,$AW372,SUMIF($B$10:$B$16,"NCAP_TLIFE",$AX$10:$AX$16)),0,""))</f>
        <v/>
      </c>
      <c r="AM372" s="369" t="str">
        <f ca="1">IF($B372&lt;&gt;"PRC_RESID","",IF(AM$7=2005+OFFSET(COM_2012!$B$60,$AW372,SUMIF($B$10:$B$16,"NCAP_TLIFE",$AX$10:$AX$16)),0,""))</f>
        <v/>
      </c>
      <c r="AN372" s="369" t="str">
        <f ca="1">IF($B372&lt;&gt;"PRC_RESID","",IF(AN$7=2005+OFFSET(COM_2012!$B$60,$AW372,SUMIF($B$10:$B$16,"NCAP_TLIFE",$AX$10:$AX$16)),0,""))</f>
        <v/>
      </c>
      <c r="AO372" s="369" t="str">
        <f ca="1">IF($B372&lt;&gt;"PRC_RESID","",IF(AO$7=2005+OFFSET(COM_2012!$B$60,$AW372,SUMIF($B$10:$B$16,"NCAP_TLIFE",$AX$10:$AX$16)),0,""))</f>
        <v/>
      </c>
      <c r="AP372" s="369" t="str">
        <f ca="1">IF($B372&lt;&gt;"PRC_RESID","",IF(AP$7=2005+OFFSET(COM_2012!$B$60,$AW372,SUMIF($B$10:$B$16,"NCAP_TLIFE",$AX$10:$AX$16)),0,""))</f>
        <v/>
      </c>
      <c r="AQ372" s="369" t="str">
        <f ca="1">IF($B372&lt;&gt;"PRC_RESID","",IF(AQ$7=2005+OFFSET(COM_2012!$B$60,$AW372,SUMIF($B$10:$B$16,"NCAP_TLIFE",$AX$10:$AX$16)),0,""))</f>
        <v/>
      </c>
      <c r="AR372" s="369" t="str">
        <f ca="1">IF($B372&lt;&gt;"PRC_RESID","",IF(AR$7=2005+OFFSET(COM_2012!$B$60,$AW372,SUMIF($B$10:$B$16,"NCAP_TLIFE",$AX$10:$AX$16)),0,""))</f>
        <v/>
      </c>
      <c r="AS372" s="369" t="str">
        <f ca="1">IF($B372&lt;&gt;"PRC_RESID","",IF(AS$7=2005+OFFSET(COM_2012!$B$60,$AW372,SUMIF($B$10:$B$16,"NCAP_TLIFE",$AX$10:$AX$16)),0,""))</f>
        <v/>
      </c>
      <c r="AT372" s="369" t="str">
        <f ca="1">IF($B372&lt;&gt;"PRC_RESID","",IF(AT$7=2005+OFFSET(COM_2012!$B$60,$AW372,SUMIF($B$10:$B$16,"NCAP_TLIFE",$AX$10:$AX$16)),0,""))</f>
        <v/>
      </c>
      <c r="AU372" s="369" t="str">
        <f ca="1">IF($B372&lt;&gt;"PRC_RESID","",IF(AU$7=2005+OFFSET(COM_2012!$B$60,$AW372,SUMIF($B$10:$B$16,"NCAP_TLIFE",$AX$10:$AX$16)),0,""))</f>
        <v/>
      </c>
      <c r="AV372" s="304">
        <f>IF(AW371=COM_2012!$AI$121,AV371+1,AV371)</f>
        <v>6</v>
      </c>
      <c r="AW372" s="304">
        <f t="shared" ref="AW372:AW379" si="39">IF(AV372=AV371,AW371+1,1)</f>
        <v>40</v>
      </c>
    </row>
    <row r="373" spans="1:49">
      <c r="A373" s="304" t="str">
        <f ca="1">IF(LEFT(OFFSET(COM_2012!$A$60,AW373,0),2)="\I","*","")</f>
        <v>*</v>
      </c>
      <c r="B373" s="369" t="str">
        <f t="shared" ca="1" si="35"/>
        <v/>
      </c>
      <c r="C373" s="369" t="str">
        <f ca="1">IF($A373="*","",OFFSET(COM_2012!$B$60,AW373,0))</f>
        <v/>
      </c>
      <c r="D373" s="369" t="str">
        <f t="shared" ca="1" si="38"/>
        <v/>
      </c>
      <c r="E373" s="369" t="str">
        <f t="shared" ca="1" si="38"/>
        <v/>
      </c>
      <c r="F373" s="369" t="str">
        <f t="shared" ca="1" si="38"/>
        <v/>
      </c>
      <c r="G373" s="369" t="str">
        <f t="shared" ca="1" si="38"/>
        <v/>
      </c>
      <c r="H373" s="369" t="str">
        <f t="shared" ca="1" si="38"/>
        <v/>
      </c>
      <c r="I373" s="370" t="str">
        <f t="shared" ca="1" si="38"/>
        <v/>
      </c>
      <c r="J373" s="391" t="str">
        <f ca="1">IF($A373="*","",OFFSET(COM_2012!$B$60,AW373,SUMIF($B$10:$B$16,B373,$AX$10:$AX$16)))</f>
        <v/>
      </c>
      <c r="K373" s="369" t="str">
        <f ca="1">IF($B373&lt;&gt;"PRC_RESID","",IF(K$7=2005+OFFSET(COM_2012!$B$60,$AW373,SUMIF($B$10:$B$16,"NCAP_TLIFE",$AX$10:$AX$16)),0,""))</f>
        <v/>
      </c>
      <c r="L373" s="369" t="str">
        <f ca="1">IF($B373&lt;&gt;"PRC_RESID","",IF(L$7=2005+OFFSET(COM_2012!$B$60,$AW373,SUMIF($B$10:$B$16,"NCAP_TLIFE",$AX$10:$AX$16)),0,""))</f>
        <v/>
      </c>
      <c r="M373" s="369"/>
      <c r="N373" s="369" t="str">
        <f ca="1">IF($B373&lt;&gt;"PRC_RESID","",IF(N$7=2005+OFFSET(COM_2012!$B$60,$AW373,SUMIF($B$10:$B$16,"NCAP_TLIFE",$AX$10:$AX$16)),0,""))</f>
        <v/>
      </c>
      <c r="O373" s="391" t="str">
        <f ca="1">IF($A373="*","",OFFSET(' COM_2017_old'!$B$60,AW373,SUMIF($B$10:$B$16,B373,$AX$10:$AX$16)))</f>
        <v/>
      </c>
      <c r="P373" s="369" t="str">
        <f ca="1">IF($B373&lt;&gt;"PRC_RESID","",IF(P$7=2005+OFFSET(COM_2012!$B$60,$AW373,SUMIF($B$10:$B$16,"NCAP_TLIFE",$AX$10:$AX$16)),0,""))</f>
        <v/>
      </c>
      <c r="Q373" s="369"/>
      <c r="R373" s="369" t="str">
        <f ca="1">IF($B373&lt;&gt;"PRC_RESID","",IF(R$7=2016+OFFSET(' COM_2017_old'!$B$60,$AW373,SUMIF($B$10:$B$16,"NCAP_TLIFE",$AX$10:$AX$16)),0,""))</f>
        <v/>
      </c>
      <c r="S373" s="369" t="str">
        <f ca="1">IF($B373&lt;&gt;"PRC_RESID","",IF(S$7=2016+OFFSET(' COM_2017_old'!$B$60,$AW373,SUMIF($B$10:$B$16,"NCAP_TLIFE",$AX$10:$AX$16)),0,""))</f>
        <v/>
      </c>
      <c r="T373" s="369" t="str">
        <f ca="1">IF($B373&lt;&gt;"PRC_RESID","",IF(T$7=2016+OFFSET(' COM_2017_old'!$B$60,$AW373,SUMIF($B$10:$B$16,"NCAP_TLIFE",$AX$10:$AX$16)),0,""))</f>
        <v/>
      </c>
      <c r="U373" s="369" t="str">
        <f ca="1">IF($B373&lt;&gt;"PRC_RESID","",IF(U$7=2016+OFFSET(' COM_2017_old'!$B$60,$AW373,SUMIF($B$10:$B$16,"NCAP_TLIFE",$AX$10:$AX$16)),0,""))</f>
        <v/>
      </c>
      <c r="V373" s="369" t="str">
        <f ca="1">IF($B373&lt;&gt;"PRC_RESID","",IF(V$7=2016+OFFSET(' COM_2017_old'!$B$60,$AW373,SUMIF($B$10:$B$16,"NCAP_TLIFE",$AX$10:$AX$16)),0,""))</f>
        <v/>
      </c>
      <c r="W373" s="369" t="str">
        <f ca="1">IF($B373&lt;&gt;"PRC_RESID","",IF(W$7=2016+OFFSET(' COM_2017_old'!$B$60,$AW373,SUMIF($B$10:$B$16,"NCAP_TLIFE",$AX$10:$AX$16)),0,""))</f>
        <v/>
      </c>
      <c r="X373" s="369" t="str">
        <f ca="1">IF($B373&lt;&gt;"PRC_RESID","",IF(X$7=2016+OFFSET(' COM_2017_old'!$B$60,$AW373,SUMIF($B$10:$B$16,"NCAP_TLIFE",$AX$10:$AX$16)),0,""))</f>
        <v/>
      </c>
      <c r="Y373" s="369" t="str">
        <f ca="1">IF($B373&lt;&gt;"PRC_RESID","",IF(Y$7=2016+OFFSET(' COM_2017_old'!$B$60,$AW373,SUMIF($B$10:$B$16,"NCAP_TLIFE",$AX$10:$AX$16)),0,""))</f>
        <v/>
      </c>
      <c r="Z373" s="369" t="str">
        <f ca="1">IF($B373&lt;&gt;"PRC_RESID","",IF(Z$7=2016+OFFSET(' COM_2017_old'!$B$60,$AW373,SUMIF($B$10:$B$16,"NCAP_TLIFE",$AX$10:$AX$16)),0,""))</f>
        <v/>
      </c>
      <c r="AA373" s="369" t="str">
        <f ca="1">IF($B373&lt;&gt;"PRC_RESID","",IF(AA$7=2016+OFFSET(' COM_2017_old'!$B$60,$AW373,SUMIF($B$10:$B$16,"NCAP_TLIFE",$AX$10:$AX$16)),0,""))</f>
        <v/>
      </c>
      <c r="AB373" s="369" t="str">
        <f ca="1">IF($B373&lt;&gt;"PRC_RESID","",IF(AB$7=2016+OFFSET(' COM_2017_old'!$B$60,$AW373,SUMIF($B$10:$B$16,"NCAP_TLIFE",$AX$10:$AX$16)),0,""))</f>
        <v/>
      </c>
      <c r="AC373" s="369" t="str">
        <f ca="1">IF($B373&lt;&gt;"PRC_RESID","",IF(AC$7=2016+OFFSET(' COM_2017_old'!$B$60,$AW373,SUMIF($B$10:$B$16,"NCAP_TLIFE",$AX$10:$AX$16)),0,""))</f>
        <v/>
      </c>
      <c r="AD373" s="369" t="str">
        <f ca="1">IF($B373&lt;&gt;"PRC_RESID","",IF(AD$7=2016+OFFSET(' COM_2017_old'!$B$60,$AW373,SUMIF($B$10:$B$16,"NCAP_TLIFE",$AX$10:$AX$16)),0,""))</f>
        <v/>
      </c>
      <c r="AE373" s="369" t="str">
        <f ca="1">IF($B373&lt;&gt;"PRC_RESID","",IF(AE$7=2005+OFFSET(COM_2012!$B$60,$AW373,SUMIF($B$10:$B$16,"NCAP_TLIFE",$AX$10:$AX$16)),0,""))</f>
        <v/>
      </c>
      <c r="AF373" s="369" t="str">
        <f ca="1">IF($B373&lt;&gt;"PRC_RESID","",IF(AF$7=2005+OFFSET(COM_2012!$B$60,$AW373,SUMIF($B$10:$B$16,"NCAP_TLIFE",$AX$10:$AX$16)),0,""))</f>
        <v/>
      </c>
      <c r="AG373" s="369" t="str">
        <f ca="1">IF($B373&lt;&gt;"PRC_RESID","",IF(AG$7=2005+OFFSET(COM_2012!$B$60,$AW373,SUMIF($B$10:$B$16,"NCAP_TLIFE",$AX$10:$AX$16)),0,""))</f>
        <v/>
      </c>
      <c r="AH373" s="369" t="str">
        <f ca="1">IF($B373&lt;&gt;"PRC_RESID","",IF(AH$7=2005+OFFSET(COM_2012!$B$60,$AW373,SUMIF($B$10:$B$16,"NCAP_TLIFE",$AX$10:$AX$16)),0,""))</f>
        <v/>
      </c>
      <c r="AI373" s="369" t="str">
        <f ca="1">IF($B373&lt;&gt;"PRC_RESID","",IF(AI$7=2005+OFFSET(COM_2012!$B$60,$AW373,SUMIF($B$10:$B$16,"NCAP_TLIFE",$AX$10:$AX$16)),0,""))</f>
        <v/>
      </c>
      <c r="AJ373" s="369" t="str">
        <f ca="1">IF($B373&lt;&gt;"PRC_RESID","",IF(AJ$7=2005+OFFSET(COM_2012!$B$60,$AW373,SUMIF($B$10:$B$16,"NCAP_TLIFE",$AX$10:$AX$16)),0,""))</f>
        <v/>
      </c>
      <c r="AK373" s="369" t="str">
        <f ca="1">IF($B373&lt;&gt;"PRC_RESID","",IF(AK$7=2005+OFFSET(COM_2012!$B$60,$AW373,SUMIF($B$10:$B$16,"NCAP_TLIFE",$AX$10:$AX$16)),0,""))</f>
        <v/>
      </c>
      <c r="AL373" s="369" t="str">
        <f ca="1">IF($B373&lt;&gt;"PRC_RESID","",IF(AL$7=2005+OFFSET(COM_2012!$B$60,$AW373,SUMIF($B$10:$B$16,"NCAP_TLIFE",$AX$10:$AX$16)),0,""))</f>
        <v/>
      </c>
      <c r="AM373" s="369" t="str">
        <f ca="1">IF($B373&lt;&gt;"PRC_RESID","",IF(AM$7=2005+OFFSET(COM_2012!$B$60,$AW373,SUMIF($B$10:$B$16,"NCAP_TLIFE",$AX$10:$AX$16)),0,""))</f>
        <v/>
      </c>
      <c r="AN373" s="369" t="str">
        <f ca="1">IF($B373&lt;&gt;"PRC_RESID","",IF(AN$7=2005+OFFSET(COM_2012!$B$60,$AW373,SUMIF($B$10:$B$16,"NCAP_TLIFE",$AX$10:$AX$16)),0,""))</f>
        <v/>
      </c>
      <c r="AO373" s="369" t="str">
        <f ca="1">IF($B373&lt;&gt;"PRC_RESID","",IF(AO$7=2005+OFFSET(COM_2012!$B$60,$AW373,SUMIF($B$10:$B$16,"NCAP_TLIFE",$AX$10:$AX$16)),0,""))</f>
        <v/>
      </c>
      <c r="AP373" s="369" t="str">
        <f ca="1">IF($B373&lt;&gt;"PRC_RESID","",IF(AP$7=2005+OFFSET(COM_2012!$B$60,$AW373,SUMIF($B$10:$B$16,"NCAP_TLIFE",$AX$10:$AX$16)),0,""))</f>
        <v/>
      </c>
      <c r="AQ373" s="369" t="str">
        <f ca="1">IF($B373&lt;&gt;"PRC_RESID","",IF(AQ$7=2005+OFFSET(COM_2012!$B$60,$AW373,SUMIF($B$10:$B$16,"NCAP_TLIFE",$AX$10:$AX$16)),0,""))</f>
        <v/>
      </c>
      <c r="AR373" s="369" t="str">
        <f ca="1">IF($B373&lt;&gt;"PRC_RESID","",IF(AR$7=2005+OFFSET(COM_2012!$B$60,$AW373,SUMIF($B$10:$B$16,"NCAP_TLIFE",$AX$10:$AX$16)),0,""))</f>
        <v/>
      </c>
      <c r="AS373" s="369" t="str">
        <f ca="1">IF($B373&lt;&gt;"PRC_RESID","",IF(AS$7=2005+OFFSET(COM_2012!$B$60,$AW373,SUMIF($B$10:$B$16,"NCAP_TLIFE",$AX$10:$AX$16)),0,""))</f>
        <v/>
      </c>
      <c r="AT373" s="369" t="str">
        <f ca="1">IF($B373&lt;&gt;"PRC_RESID","",IF(AT$7=2005+OFFSET(COM_2012!$B$60,$AW373,SUMIF($B$10:$B$16,"NCAP_TLIFE",$AX$10:$AX$16)),0,""))</f>
        <v/>
      </c>
      <c r="AU373" s="369" t="str">
        <f ca="1">IF($B373&lt;&gt;"PRC_RESID","",IF(AU$7=2005+OFFSET(COM_2012!$B$60,$AW373,SUMIF($B$10:$B$16,"NCAP_TLIFE",$AX$10:$AX$16)),0,""))</f>
        <v/>
      </c>
      <c r="AV373" s="304">
        <f>IF(AW372=COM_2012!$AI$121,AV372+1,AV372)</f>
        <v>6</v>
      </c>
      <c r="AW373" s="304">
        <f t="shared" si="39"/>
        <v>41</v>
      </c>
    </row>
    <row r="374" spans="1:49">
      <c r="A374" s="304" t="str">
        <f ca="1">IF(LEFT(OFFSET(COM_2012!$A$60,AW374,0),2)="\I","*","")</f>
        <v/>
      </c>
      <c r="B374" s="369" t="str">
        <f t="shared" ca="1" si="35"/>
        <v>PRC_RESID</v>
      </c>
      <c r="C374" s="369" t="str">
        <f ca="1">IF($A374="*","",OFFSET(COM_2012!$B$60,AW374,0))</f>
        <v>CEGELCINC-E</v>
      </c>
      <c r="D374" s="369" t="str">
        <f t="shared" ca="1" si="38"/>
        <v>-</v>
      </c>
      <c r="E374" s="369" t="str">
        <f t="shared" ca="1" si="38"/>
        <v>-</v>
      </c>
      <c r="F374" s="369" t="str">
        <f t="shared" ca="1" si="38"/>
        <v>-</v>
      </c>
      <c r="G374" s="369" t="str">
        <f t="shared" ca="1" si="38"/>
        <v>-</v>
      </c>
      <c r="H374" s="369" t="str">
        <f t="shared" ca="1" si="38"/>
        <v>-</v>
      </c>
      <c r="I374" s="370">
        <f t="shared" ca="1" si="38"/>
        <v>0</v>
      </c>
      <c r="J374" s="391">
        <f ca="1">IF($A374="*","",OFFSET(COM_2012!$B$60,AW374,SUMIF($B$10:$B$16,B374,$AX$10:$AX$16)))</f>
        <v>0.27384403840742394</v>
      </c>
      <c r="K374" s="369" t="str">
        <f ca="1">IF($B374&lt;&gt;"PRC_RESID","",IF(K$7=2005+OFFSET(COM_2012!$B$60,$AW374,SUMIF($B$10:$B$16,"NCAP_TLIFE",$AX$10:$AX$16)),0,""))</f>
        <v/>
      </c>
      <c r="L374" s="369" t="str">
        <f ca="1">IF($B374&lt;&gt;"PRC_RESID","",IF(L$7=2005+OFFSET(COM_2012!$B$60,$AW374,SUMIF($B$10:$B$16,"NCAP_TLIFE",$AX$10:$AX$16)),0,""))</f>
        <v/>
      </c>
      <c r="M374" s="369"/>
      <c r="N374" s="369" t="str">
        <f ca="1">IF($B374&lt;&gt;"PRC_RESID","",IF(N$7=2005+OFFSET(COM_2012!$B$60,$AW374,SUMIF($B$10:$B$16,"NCAP_TLIFE",$AX$10:$AX$16)),0,""))</f>
        <v/>
      </c>
      <c r="O374" s="391">
        <f ca="1">IF($A374="*","",OFFSET(' COM_2017_old'!$B$60,AW374,SUMIF($B$10:$B$16,B374,$AX$10:$AX$16)))</f>
        <v>0.23584304231468564</v>
      </c>
      <c r="P374" s="369" t="str">
        <f ca="1">IF($B374&lt;&gt;"PRC_RESID","",IF(P$7=2005+OFFSET(COM_2012!$B$60,$AW374,SUMIF($B$10:$B$16,"NCAP_TLIFE",$AX$10:$AX$16)),0,""))</f>
        <v/>
      </c>
      <c r="Q374" s="369"/>
      <c r="R374" s="369" t="str">
        <f ca="1">IF($B374&lt;&gt;"PRC_RESID","",IF(R$7=2016+OFFSET(' COM_2017_old'!$B$60,$AW374,SUMIF($B$10:$B$16,"NCAP_TLIFE",$AX$10:$AX$16)),0,""))</f>
        <v/>
      </c>
      <c r="S374" s="369" t="str">
        <f ca="1">IF($B374&lt;&gt;"PRC_RESID","",IF(S$7=2016+OFFSET(' COM_2017_old'!$B$60,$AW374,SUMIF($B$10:$B$16,"NCAP_TLIFE",$AX$10:$AX$16)),0,""))</f>
        <v/>
      </c>
      <c r="T374" s="369" t="str">
        <f ca="1">IF($B374&lt;&gt;"PRC_RESID","",IF(T$7=2016+OFFSET(' COM_2017_old'!$B$60,$AW374,SUMIF($B$10:$B$16,"NCAP_TLIFE",$AX$10:$AX$16)),0,""))</f>
        <v/>
      </c>
      <c r="U374" s="369" t="str">
        <f ca="1">IF($B374&lt;&gt;"PRC_RESID","",IF(U$7=2016+OFFSET(' COM_2017_old'!$B$60,$AW374,SUMIF($B$10:$B$16,"NCAP_TLIFE",$AX$10:$AX$16)),0,""))</f>
        <v/>
      </c>
      <c r="V374" s="369" t="str">
        <f ca="1">IF($B374&lt;&gt;"PRC_RESID","",IF(V$7=2016+OFFSET(' COM_2017_old'!$B$60,$AW374,SUMIF($B$10:$B$16,"NCAP_TLIFE",$AX$10:$AX$16)),0,""))</f>
        <v/>
      </c>
      <c r="W374" s="369" t="str">
        <f ca="1">IF($B374&lt;&gt;"PRC_RESID","",IF(W$7=2016+OFFSET(' COM_2017_old'!$B$60,$AW374,SUMIF($B$10:$B$16,"NCAP_TLIFE",$AX$10:$AX$16)),0,""))</f>
        <v/>
      </c>
      <c r="X374" s="369">
        <f ca="1">IF($B374&lt;&gt;"PRC_RESID","",IF(X$7=2016+OFFSET(' COM_2017_old'!$B$60,$AW374,SUMIF($B$10:$B$16,"NCAP_TLIFE",$AX$10:$AX$16)),0,""))</f>
        <v>0</v>
      </c>
      <c r="Y374" s="369" t="str">
        <f ca="1">IF($B374&lt;&gt;"PRC_RESID","",IF(Y$7=2016+OFFSET(' COM_2017_old'!$B$60,$AW374,SUMIF($B$10:$B$16,"NCAP_TLIFE",$AX$10:$AX$16)),0,""))</f>
        <v/>
      </c>
      <c r="Z374" s="369" t="str">
        <f ca="1">IF($B374&lt;&gt;"PRC_RESID","",IF(Z$7=2016+OFFSET(' COM_2017_old'!$B$60,$AW374,SUMIF($B$10:$B$16,"NCAP_TLIFE",$AX$10:$AX$16)),0,""))</f>
        <v/>
      </c>
      <c r="AA374" s="369" t="str">
        <f ca="1">IF($B374&lt;&gt;"PRC_RESID","",IF(AA$7=2016+OFFSET(' COM_2017_old'!$B$60,$AW374,SUMIF($B$10:$B$16,"NCAP_TLIFE",$AX$10:$AX$16)),0,""))</f>
        <v/>
      </c>
      <c r="AB374" s="369" t="str">
        <f ca="1">IF($B374&lt;&gt;"PRC_RESID","",IF(AB$7=2016+OFFSET(' COM_2017_old'!$B$60,$AW374,SUMIF($B$10:$B$16,"NCAP_TLIFE",$AX$10:$AX$16)),0,""))</f>
        <v/>
      </c>
      <c r="AC374" s="369" t="str">
        <f ca="1">IF($B374&lt;&gt;"PRC_RESID","",IF(AC$7=2016+OFFSET(' COM_2017_old'!$B$60,$AW374,SUMIF($B$10:$B$16,"NCAP_TLIFE",$AX$10:$AX$16)),0,""))</f>
        <v/>
      </c>
      <c r="AD374" s="369" t="str">
        <f ca="1">IF($B374&lt;&gt;"PRC_RESID","",IF(AD$7=2016+OFFSET(' COM_2017_old'!$B$60,$AW374,SUMIF($B$10:$B$16,"NCAP_TLIFE",$AX$10:$AX$16)),0,""))</f>
        <v/>
      </c>
      <c r="AE374" s="369" t="str">
        <f ca="1">IF($B374&lt;&gt;"PRC_RESID","",IF(AE$7=2005+OFFSET(COM_2012!$B$60,$AW374,SUMIF($B$10:$B$16,"NCAP_TLIFE",$AX$10:$AX$16)),0,""))</f>
        <v/>
      </c>
      <c r="AF374" s="369" t="str">
        <f ca="1">IF($B374&lt;&gt;"PRC_RESID","",IF(AF$7=2005+OFFSET(COM_2012!$B$60,$AW374,SUMIF($B$10:$B$16,"NCAP_TLIFE",$AX$10:$AX$16)),0,""))</f>
        <v/>
      </c>
      <c r="AG374" s="369" t="str">
        <f ca="1">IF($B374&lt;&gt;"PRC_RESID","",IF(AG$7=2005+OFFSET(COM_2012!$B$60,$AW374,SUMIF($B$10:$B$16,"NCAP_TLIFE",$AX$10:$AX$16)),0,""))</f>
        <v/>
      </c>
      <c r="AH374" s="369" t="str">
        <f ca="1">IF($B374&lt;&gt;"PRC_RESID","",IF(AH$7=2005+OFFSET(COM_2012!$B$60,$AW374,SUMIF($B$10:$B$16,"NCAP_TLIFE",$AX$10:$AX$16)),0,""))</f>
        <v/>
      </c>
      <c r="AI374" s="369" t="str">
        <f ca="1">IF($B374&lt;&gt;"PRC_RESID","",IF(AI$7=2005+OFFSET(COM_2012!$B$60,$AW374,SUMIF($B$10:$B$16,"NCAP_TLIFE",$AX$10:$AX$16)),0,""))</f>
        <v/>
      </c>
      <c r="AJ374" s="369" t="str">
        <f ca="1">IF($B374&lt;&gt;"PRC_RESID","",IF(AJ$7=2005+OFFSET(COM_2012!$B$60,$AW374,SUMIF($B$10:$B$16,"NCAP_TLIFE",$AX$10:$AX$16)),0,""))</f>
        <v/>
      </c>
      <c r="AK374" s="369" t="str">
        <f ca="1">IF($B374&lt;&gt;"PRC_RESID","",IF(AK$7=2005+OFFSET(COM_2012!$B$60,$AW374,SUMIF($B$10:$B$16,"NCAP_TLIFE",$AX$10:$AX$16)),0,""))</f>
        <v/>
      </c>
      <c r="AL374" s="369" t="str">
        <f ca="1">IF($B374&lt;&gt;"PRC_RESID","",IF(AL$7=2005+OFFSET(COM_2012!$B$60,$AW374,SUMIF($B$10:$B$16,"NCAP_TLIFE",$AX$10:$AX$16)),0,""))</f>
        <v/>
      </c>
      <c r="AM374" s="369" t="str">
        <f ca="1">IF($B374&lt;&gt;"PRC_RESID","",IF(AM$7=2005+OFFSET(COM_2012!$B$60,$AW374,SUMIF($B$10:$B$16,"NCAP_TLIFE",$AX$10:$AX$16)),0,""))</f>
        <v/>
      </c>
      <c r="AN374" s="369" t="str">
        <f ca="1">IF($B374&lt;&gt;"PRC_RESID","",IF(AN$7=2005+OFFSET(COM_2012!$B$60,$AW374,SUMIF($B$10:$B$16,"NCAP_TLIFE",$AX$10:$AX$16)),0,""))</f>
        <v/>
      </c>
      <c r="AO374" s="369" t="str">
        <f ca="1">IF($B374&lt;&gt;"PRC_RESID","",IF(AO$7=2005+OFFSET(COM_2012!$B$60,$AW374,SUMIF($B$10:$B$16,"NCAP_TLIFE",$AX$10:$AX$16)),0,""))</f>
        <v/>
      </c>
      <c r="AP374" s="369" t="str">
        <f ca="1">IF($B374&lt;&gt;"PRC_RESID","",IF(AP$7=2005+OFFSET(COM_2012!$B$60,$AW374,SUMIF($B$10:$B$16,"NCAP_TLIFE",$AX$10:$AX$16)),0,""))</f>
        <v/>
      </c>
      <c r="AQ374" s="369" t="str">
        <f ca="1">IF($B374&lt;&gt;"PRC_RESID","",IF(AQ$7=2005+OFFSET(COM_2012!$B$60,$AW374,SUMIF($B$10:$B$16,"NCAP_TLIFE",$AX$10:$AX$16)),0,""))</f>
        <v/>
      </c>
      <c r="AR374" s="369" t="str">
        <f ca="1">IF($B374&lt;&gt;"PRC_RESID","",IF(AR$7=2005+OFFSET(COM_2012!$B$60,$AW374,SUMIF($B$10:$B$16,"NCAP_TLIFE",$AX$10:$AX$16)),0,""))</f>
        <v/>
      </c>
      <c r="AS374" s="369" t="str">
        <f ca="1">IF($B374&lt;&gt;"PRC_RESID","",IF(AS$7=2005+OFFSET(COM_2012!$B$60,$AW374,SUMIF($B$10:$B$16,"NCAP_TLIFE",$AX$10:$AX$16)),0,""))</f>
        <v/>
      </c>
      <c r="AT374" s="369" t="str">
        <f ca="1">IF($B374&lt;&gt;"PRC_RESID","",IF(AT$7=2005+OFFSET(COM_2012!$B$60,$AW374,SUMIF($B$10:$B$16,"NCAP_TLIFE",$AX$10:$AX$16)),0,""))</f>
        <v/>
      </c>
      <c r="AU374" s="369" t="str">
        <f ca="1">IF($B374&lt;&gt;"PRC_RESID","",IF(AU$7=2005+OFFSET(COM_2012!$B$60,$AW374,SUMIF($B$10:$B$16,"NCAP_TLIFE",$AX$10:$AX$16)),0,""))</f>
        <v/>
      </c>
      <c r="AV374" s="304">
        <f>IF(AW373=COM_2012!$AI$121,AV373+1,AV373)</f>
        <v>6</v>
      </c>
      <c r="AW374" s="304">
        <f t="shared" si="39"/>
        <v>42</v>
      </c>
    </row>
    <row r="375" spans="1:49">
      <c r="A375" s="304" t="str">
        <f ca="1">IF(LEFT(OFFSET(COM_2012!$A$60,AW375,0),2)="\I","*","")</f>
        <v/>
      </c>
      <c r="B375" s="369" t="str">
        <f t="shared" ca="1" si="35"/>
        <v>PRC_RESID</v>
      </c>
      <c r="C375" s="369" t="str">
        <f ca="1">IF($A375="*","",OFFSET(COM_2012!$B$60,AW375,0))</f>
        <v>CEGELCHAL-E</v>
      </c>
      <c r="D375" s="369" t="str">
        <f t="shared" ca="1" si="38"/>
        <v>-</v>
      </c>
      <c r="E375" s="369" t="str">
        <f t="shared" ca="1" si="38"/>
        <v>-</v>
      </c>
      <c r="F375" s="369" t="str">
        <f t="shared" ca="1" si="38"/>
        <v>-</v>
      </c>
      <c r="G375" s="369" t="str">
        <f t="shared" ca="1" si="38"/>
        <v>-</v>
      </c>
      <c r="H375" s="369" t="str">
        <f t="shared" ca="1" si="38"/>
        <v>-</v>
      </c>
      <c r="I375" s="370">
        <f t="shared" ca="1" si="38"/>
        <v>0</v>
      </c>
      <c r="J375" s="391">
        <f ca="1">IF($A375="*","",OFFSET(COM_2012!$B$60,AW375,SUMIF($B$10:$B$16,B375,$AX$10:$AX$16)))</f>
        <v>0.54768807681484788</v>
      </c>
      <c r="K375" s="369" t="str">
        <f ca="1">IF($B375&lt;&gt;"PRC_RESID","",IF(K$7=2005+OFFSET(COM_2012!$B$60,$AW375,SUMIF($B$10:$B$16,"NCAP_TLIFE",$AX$10:$AX$16)),0,""))</f>
        <v/>
      </c>
      <c r="L375" s="369" t="str">
        <f ca="1">IF($B375&lt;&gt;"PRC_RESID","",IF(L$7=2005+OFFSET(COM_2012!$B$60,$AW375,SUMIF($B$10:$B$16,"NCAP_TLIFE",$AX$10:$AX$16)),0,""))</f>
        <v/>
      </c>
      <c r="M375" s="369"/>
      <c r="N375" s="369" t="str">
        <f ca="1">IF($B375&lt;&gt;"PRC_RESID","",IF(N$7=2005+OFFSET(COM_2012!$B$60,$AW375,SUMIF($B$10:$B$16,"NCAP_TLIFE",$AX$10:$AX$16)),0,""))</f>
        <v/>
      </c>
      <c r="O375" s="391">
        <f ca="1">IF($A375="*","",OFFSET(' COM_2017_old'!$B$60,AW375,SUMIF($B$10:$B$16,B375,$AX$10:$AX$16)))</f>
        <v>0.47168608462937128</v>
      </c>
      <c r="P375" s="369" t="str">
        <f ca="1">IF($B375&lt;&gt;"PRC_RESID","",IF(P$7=2005+OFFSET(COM_2012!$B$60,$AW375,SUMIF($B$10:$B$16,"NCAP_TLIFE",$AX$10:$AX$16)),0,""))</f>
        <v/>
      </c>
      <c r="Q375" s="369"/>
      <c r="R375" s="369" t="str">
        <f ca="1">IF($B375&lt;&gt;"PRC_RESID","",IF(R$7=2016+OFFSET(' COM_2017_old'!$B$60,$AW375,SUMIF($B$10:$B$16,"NCAP_TLIFE",$AX$10:$AX$16)),0,""))</f>
        <v/>
      </c>
      <c r="S375" s="369" t="str">
        <f ca="1">IF($B375&lt;&gt;"PRC_RESID","",IF(S$7=2016+OFFSET(' COM_2017_old'!$B$60,$AW375,SUMIF($B$10:$B$16,"NCAP_TLIFE",$AX$10:$AX$16)),0,""))</f>
        <v/>
      </c>
      <c r="T375" s="369" t="str">
        <f ca="1">IF($B375&lt;&gt;"PRC_RESID","",IF(T$7=2016+OFFSET(' COM_2017_old'!$B$60,$AW375,SUMIF($B$10:$B$16,"NCAP_TLIFE",$AX$10:$AX$16)),0,""))</f>
        <v/>
      </c>
      <c r="U375" s="369" t="str">
        <f ca="1">IF($B375&lt;&gt;"PRC_RESID","",IF(U$7=2016+OFFSET(' COM_2017_old'!$B$60,$AW375,SUMIF($B$10:$B$16,"NCAP_TLIFE",$AX$10:$AX$16)),0,""))</f>
        <v/>
      </c>
      <c r="V375" s="369" t="str">
        <f ca="1">IF($B375&lt;&gt;"PRC_RESID","",IF(V$7=2016+OFFSET(' COM_2017_old'!$B$60,$AW375,SUMIF($B$10:$B$16,"NCAP_TLIFE",$AX$10:$AX$16)),0,""))</f>
        <v/>
      </c>
      <c r="W375" s="369" t="str">
        <f ca="1">IF($B375&lt;&gt;"PRC_RESID","",IF(W$7=2016+OFFSET(' COM_2017_old'!$B$60,$AW375,SUMIF($B$10:$B$16,"NCAP_TLIFE",$AX$10:$AX$16)),0,""))</f>
        <v/>
      </c>
      <c r="X375" s="369">
        <f ca="1">IF($B375&lt;&gt;"PRC_RESID","",IF(X$7=2016+OFFSET(' COM_2017_old'!$B$60,$AW375,SUMIF($B$10:$B$16,"NCAP_TLIFE",$AX$10:$AX$16)),0,""))</f>
        <v>0</v>
      </c>
      <c r="Y375" s="369" t="str">
        <f ca="1">IF($B375&lt;&gt;"PRC_RESID","",IF(Y$7=2016+OFFSET(' COM_2017_old'!$B$60,$AW375,SUMIF($B$10:$B$16,"NCAP_TLIFE",$AX$10:$AX$16)),0,""))</f>
        <v/>
      </c>
      <c r="Z375" s="369" t="str">
        <f ca="1">IF($B375&lt;&gt;"PRC_RESID","",IF(Z$7=2016+OFFSET(' COM_2017_old'!$B$60,$AW375,SUMIF($B$10:$B$16,"NCAP_TLIFE",$AX$10:$AX$16)),0,""))</f>
        <v/>
      </c>
      <c r="AA375" s="369" t="str">
        <f ca="1">IF($B375&lt;&gt;"PRC_RESID","",IF(AA$7=2016+OFFSET(' COM_2017_old'!$B$60,$AW375,SUMIF($B$10:$B$16,"NCAP_TLIFE",$AX$10:$AX$16)),0,""))</f>
        <v/>
      </c>
      <c r="AB375" s="369" t="str">
        <f ca="1">IF($B375&lt;&gt;"PRC_RESID","",IF(AB$7=2016+OFFSET(' COM_2017_old'!$B$60,$AW375,SUMIF($B$10:$B$16,"NCAP_TLIFE",$AX$10:$AX$16)),0,""))</f>
        <v/>
      </c>
      <c r="AC375" s="369" t="str">
        <f ca="1">IF($B375&lt;&gt;"PRC_RESID","",IF(AC$7=2016+OFFSET(' COM_2017_old'!$B$60,$AW375,SUMIF($B$10:$B$16,"NCAP_TLIFE",$AX$10:$AX$16)),0,""))</f>
        <v/>
      </c>
      <c r="AD375" s="369" t="str">
        <f ca="1">IF($B375&lt;&gt;"PRC_RESID","",IF(AD$7=2016+OFFSET(' COM_2017_old'!$B$60,$AW375,SUMIF($B$10:$B$16,"NCAP_TLIFE",$AX$10:$AX$16)),0,""))</f>
        <v/>
      </c>
      <c r="AE375" s="369" t="str">
        <f ca="1">IF($B375&lt;&gt;"PRC_RESID","",IF(AE$7=2005+OFFSET(COM_2012!$B$60,$AW375,SUMIF($B$10:$B$16,"NCAP_TLIFE",$AX$10:$AX$16)),0,""))</f>
        <v/>
      </c>
      <c r="AF375" s="369" t="str">
        <f ca="1">IF($B375&lt;&gt;"PRC_RESID","",IF(AF$7=2005+OFFSET(COM_2012!$B$60,$AW375,SUMIF($B$10:$B$16,"NCAP_TLIFE",$AX$10:$AX$16)),0,""))</f>
        <v/>
      </c>
      <c r="AG375" s="369" t="str">
        <f ca="1">IF($B375&lt;&gt;"PRC_RESID","",IF(AG$7=2005+OFFSET(COM_2012!$B$60,$AW375,SUMIF($B$10:$B$16,"NCAP_TLIFE",$AX$10:$AX$16)),0,""))</f>
        <v/>
      </c>
      <c r="AH375" s="369" t="str">
        <f ca="1">IF($B375&lt;&gt;"PRC_RESID","",IF(AH$7=2005+OFFSET(COM_2012!$B$60,$AW375,SUMIF($B$10:$B$16,"NCAP_TLIFE",$AX$10:$AX$16)),0,""))</f>
        <v/>
      </c>
      <c r="AI375" s="369" t="str">
        <f ca="1">IF($B375&lt;&gt;"PRC_RESID","",IF(AI$7=2005+OFFSET(COM_2012!$B$60,$AW375,SUMIF($B$10:$B$16,"NCAP_TLIFE",$AX$10:$AX$16)),0,""))</f>
        <v/>
      </c>
      <c r="AJ375" s="369" t="str">
        <f ca="1">IF($B375&lt;&gt;"PRC_RESID","",IF(AJ$7=2005+OFFSET(COM_2012!$B$60,$AW375,SUMIF($B$10:$B$16,"NCAP_TLIFE",$AX$10:$AX$16)),0,""))</f>
        <v/>
      </c>
      <c r="AK375" s="369" t="str">
        <f ca="1">IF($B375&lt;&gt;"PRC_RESID","",IF(AK$7=2005+OFFSET(COM_2012!$B$60,$AW375,SUMIF($B$10:$B$16,"NCAP_TLIFE",$AX$10:$AX$16)),0,""))</f>
        <v/>
      </c>
      <c r="AL375" s="369" t="str">
        <f ca="1">IF($B375&lt;&gt;"PRC_RESID","",IF(AL$7=2005+OFFSET(COM_2012!$B$60,$AW375,SUMIF($B$10:$B$16,"NCAP_TLIFE",$AX$10:$AX$16)),0,""))</f>
        <v/>
      </c>
      <c r="AM375" s="369" t="str">
        <f ca="1">IF($B375&lt;&gt;"PRC_RESID","",IF(AM$7=2005+OFFSET(COM_2012!$B$60,$AW375,SUMIF($B$10:$B$16,"NCAP_TLIFE",$AX$10:$AX$16)),0,""))</f>
        <v/>
      </c>
      <c r="AN375" s="369" t="str">
        <f ca="1">IF($B375&lt;&gt;"PRC_RESID","",IF(AN$7=2005+OFFSET(COM_2012!$B$60,$AW375,SUMIF($B$10:$B$16,"NCAP_TLIFE",$AX$10:$AX$16)),0,""))</f>
        <v/>
      </c>
      <c r="AO375" s="369" t="str">
        <f ca="1">IF($B375&lt;&gt;"PRC_RESID","",IF(AO$7=2005+OFFSET(COM_2012!$B$60,$AW375,SUMIF($B$10:$B$16,"NCAP_TLIFE",$AX$10:$AX$16)),0,""))</f>
        <v/>
      </c>
      <c r="AP375" s="369" t="str">
        <f ca="1">IF($B375&lt;&gt;"PRC_RESID","",IF(AP$7=2005+OFFSET(COM_2012!$B$60,$AW375,SUMIF($B$10:$B$16,"NCAP_TLIFE",$AX$10:$AX$16)),0,""))</f>
        <v/>
      </c>
      <c r="AQ375" s="369" t="str">
        <f ca="1">IF($B375&lt;&gt;"PRC_RESID","",IF(AQ$7=2005+OFFSET(COM_2012!$B$60,$AW375,SUMIF($B$10:$B$16,"NCAP_TLIFE",$AX$10:$AX$16)),0,""))</f>
        <v/>
      </c>
      <c r="AR375" s="369" t="str">
        <f ca="1">IF($B375&lt;&gt;"PRC_RESID","",IF(AR$7=2005+OFFSET(COM_2012!$B$60,$AW375,SUMIF($B$10:$B$16,"NCAP_TLIFE",$AX$10:$AX$16)),0,""))</f>
        <v/>
      </c>
      <c r="AS375" s="369" t="str">
        <f ca="1">IF($B375&lt;&gt;"PRC_RESID","",IF(AS$7=2005+OFFSET(COM_2012!$B$60,$AW375,SUMIF($B$10:$B$16,"NCAP_TLIFE",$AX$10:$AX$16)),0,""))</f>
        <v/>
      </c>
      <c r="AT375" s="369" t="str">
        <f ca="1">IF($B375&lt;&gt;"PRC_RESID","",IF(AT$7=2005+OFFSET(COM_2012!$B$60,$AW375,SUMIF($B$10:$B$16,"NCAP_TLIFE",$AX$10:$AX$16)),0,""))</f>
        <v/>
      </c>
      <c r="AU375" s="369" t="str">
        <f ca="1">IF($B375&lt;&gt;"PRC_RESID","",IF(AU$7=2005+OFFSET(COM_2012!$B$60,$AW375,SUMIF($B$10:$B$16,"NCAP_TLIFE",$AX$10:$AX$16)),0,""))</f>
        <v/>
      </c>
      <c r="AV375" s="304">
        <f>IF(AW374=COM_2012!$AI$121,AV374+1,AV374)</f>
        <v>6</v>
      </c>
      <c r="AW375" s="304">
        <f t="shared" si="39"/>
        <v>43</v>
      </c>
    </row>
    <row r="376" spans="1:49">
      <c r="A376" s="304" t="str">
        <f ca="1">IF(LEFT(OFFSET(COM_2012!$A$60,AW376,0),2)="\I","*","")</f>
        <v/>
      </c>
      <c r="B376" s="369" t="str">
        <f t="shared" ca="1" si="35"/>
        <v>PRC_RESID</v>
      </c>
      <c r="C376" s="369" t="str">
        <f ca="1">IF($A376="*","",OFFSET(COM_2012!$B$60,AW376,0))</f>
        <v>CEGELCHPM-E</v>
      </c>
      <c r="D376" s="369" t="str">
        <f t="shared" ca="1" si="38"/>
        <v>-</v>
      </c>
      <c r="E376" s="369" t="str">
        <f t="shared" ca="1" si="38"/>
        <v>-</v>
      </c>
      <c r="F376" s="369" t="str">
        <f t="shared" ca="1" si="38"/>
        <v>-</v>
      </c>
      <c r="G376" s="369" t="str">
        <f t="shared" ca="1" si="38"/>
        <v>-</v>
      </c>
      <c r="H376" s="369" t="str">
        <f t="shared" ca="1" si="38"/>
        <v>-</v>
      </c>
      <c r="I376" s="370">
        <f t="shared" ca="1" si="38"/>
        <v>0</v>
      </c>
      <c r="J376" s="391">
        <f ca="1">IF($A376="*","",OFFSET(COM_2012!$B$60,AW376,SUMIF($B$10:$B$16,B376,$AX$10:$AX$16)))</f>
        <v>8.311100221292465</v>
      </c>
      <c r="K376" s="369" t="str">
        <f ca="1">IF($B376&lt;&gt;"PRC_RESID","",IF(K$7=2005+OFFSET(COM_2012!$B$60,$AW376,SUMIF($B$10:$B$16,"NCAP_TLIFE",$AX$10:$AX$16)),0,""))</f>
        <v/>
      </c>
      <c r="L376" s="369" t="str">
        <f ca="1">IF($B376&lt;&gt;"PRC_RESID","",IF(L$7=2005+OFFSET(COM_2012!$B$60,$AW376,SUMIF($B$10:$B$16,"NCAP_TLIFE",$AX$10:$AX$16)),0,""))</f>
        <v/>
      </c>
      <c r="M376" s="369"/>
      <c r="N376" s="369" t="str">
        <f ca="1">IF($B376&lt;&gt;"PRC_RESID","",IF(N$7=2005+OFFSET(COM_2012!$B$60,$AW376,SUMIF($B$10:$B$16,"NCAP_TLIFE",$AX$10:$AX$16)),0,""))</f>
        <v/>
      </c>
      <c r="O376" s="391">
        <f ca="1">IF($A376="*","",OFFSET(' COM_2017_old'!$B$60,AW376,SUMIF($B$10:$B$16,B376,$AX$10:$AX$16)))</f>
        <v>7.157779196403836</v>
      </c>
      <c r="P376" s="369" t="str">
        <f ca="1">IF($B376&lt;&gt;"PRC_RESID","",IF(P$7=2005+OFFSET(COM_2012!$B$60,$AW376,SUMIF($B$10:$B$16,"NCAP_TLIFE",$AX$10:$AX$16)),0,""))</f>
        <v/>
      </c>
      <c r="Q376" s="369"/>
      <c r="R376" s="369" t="str">
        <f ca="1">IF($B376&lt;&gt;"PRC_RESID","",IF(R$7=2016+OFFSET(' COM_2017_old'!$B$60,$AW376,SUMIF($B$10:$B$16,"NCAP_TLIFE",$AX$10:$AX$16)),0,""))</f>
        <v/>
      </c>
      <c r="S376" s="369" t="str">
        <f ca="1">IF($B376&lt;&gt;"PRC_RESID","",IF(S$7=2016+OFFSET(' COM_2017_old'!$B$60,$AW376,SUMIF($B$10:$B$16,"NCAP_TLIFE",$AX$10:$AX$16)),0,""))</f>
        <v/>
      </c>
      <c r="T376" s="369" t="str">
        <f ca="1">IF($B376&lt;&gt;"PRC_RESID","",IF(T$7=2016+OFFSET(' COM_2017_old'!$B$60,$AW376,SUMIF($B$10:$B$16,"NCAP_TLIFE",$AX$10:$AX$16)),0,""))</f>
        <v/>
      </c>
      <c r="U376" s="369" t="str">
        <f ca="1">IF($B376&lt;&gt;"PRC_RESID","",IF(U$7=2016+OFFSET(' COM_2017_old'!$B$60,$AW376,SUMIF($B$10:$B$16,"NCAP_TLIFE",$AX$10:$AX$16)),0,""))</f>
        <v/>
      </c>
      <c r="V376" s="369" t="str">
        <f ca="1">IF($B376&lt;&gt;"PRC_RESID","",IF(V$7=2016+OFFSET(' COM_2017_old'!$B$60,$AW376,SUMIF($B$10:$B$16,"NCAP_TLIFE",$AX$10:$AX$16)),0,""))</f>
        <v/>
      </c>
      <c r="W376" s="369" t="str">
        <f ca="1">IF($B376&lt;&gt;"PRC_RESID","",IF(W$7=2016+OFFSET(' COM_2017_old'!$B$60,$AW376,SUMIF($B$10:$B$16,"NCAP_TLIFE",$AX$10:$AX$16)),0,""))</f>
        <v/>
      </c>
      <c r="X376" s="369">
        <f ca="1">IF($B376&lt;&gt;"PRC_RESID","",IF(X$7=2016+OFFSET(' COM_2017_old'!$B$60,$AW376,SUMIF($B$10:$B$16,"NCAP_TLIFE",$AX$10:$AX$16)),0,""))</f>
        <v>0</v>
      </c>
      <c r="Y376" s="369" t="str">
        <f ca="1">IF($B376&lt;&gt;"PRC_RESID","",IF(Y$7=2016+OFFSET(' COM_2017_old'!$B$60,$AW376,SUMIF($B$10:$B$16,"NCAP_TLIFE",$AX$10:$AX$16)),0,""))</f>
        <v/>
      </c>
      <c r="Z376" s="369" t="str">
        <f ca="1">IF($B376&lt;&gt;"PRC_RESID","",IF(Z$7=2016+OFFSET(' COM_2017_old'!$B$60,$AW376,SUMIF($B$10:$B$16,"NCAP_TLIFE",$AX$10:$AX$16)),0,""))</f>
        <v/>
      </c>
      <c r="AA376" s="369" t="str">
        <f ca="1">IF($B376&lt;&gt;"PRC_RESID","",IF(AA$7=2016+OFFSET(' COM_2017_old'!$B$60,$AW376,SUMIF($B$10:$B$16,"NCAP_TLIFE",$AX$10:$AX$16)),0,""))</f>
        <v/>
      </c>
      <c r="AB376" s="369" t="str">
        <f ca="1">IF($B376&lt;&gt;"PRC_RESID","",IF(AB$7=2016+OFFSET(' COM_2017_old'!$B$60,$AW376,SUMIF($B$10:$B$16,"NCAP_TLIFE",$AX$10:$AX$16)),0,""))</f>
        <v/>
      </c>
      <c r="AC376" s="369" t="str">
        <f ca="1">IF($B376&lt;&gt;"PRC_RESID","",IF(AC$7=2016+OFFSET(' COM_2017_old'!$B$60,$AW376,SUMIF($B$10:$B$16,"NCAP_TLIFE",$AX$10:$AX$16)),0,""))</f>
        <v/>
      </c>
      <c r="AD376" s="369" t="str">
        <f ca="1">IF($B376&lt;&gt;"PRC_RESID","",IF(AD$7=2016+OFFSET(' COM_2017_old'!$B$60,$AW376,SUMIF($B$10:$B$16,"NCAP_TLIFE",$AX$10:$AX$16)),0,""))</f>
        <v/>
      </c>
      <c r="AE376" s="369" t="str">
        <f ca="1">IF($B376&lt;&gt;"PRC_RESID","",IF(AE$7=2005+OFFSET(COM_2012!$B$60,$AW376,SUMIF($B$10:$B$16,"NCAP_TLIFE",$AX$10:$AX$16)),0,""))</f>
        <v/>
      </c>
      <c r="AF376" s="369" t="str">
        <f ca="1">IF($B376&lt;&gt;"PRC_RESID","",IF(AF$7=2005+OFFSET(COM_2012!$B$60,$AW376,SUMIF($B$10:$B$16,"NCAP_TLIFE",$AX$10:$AX$16)),0,""))</f>
        <v/>
      </c>
      <c r="AG376" s="369" t="str">
        <f ca="1">IF($B376&lt;&gt;"PRC_RESID","",IF(AG$7=2005+OFFSET(COM_2012!$B$60,$AW376,SUMIF($B$10:$B$16,"NCAP_TLIFE",$AX$10:$AX$16)),0,""))</f>
        <v/>
      </c>
      <c r="AH376" s="369" t="str">
        <f ca="1">IF($B376&lt;&gt;"PRC_RESID","",IF(AH$7=2005+OFFSET(COM_2012!$B$60,$AW376,SUMIF($B$10:$B$16,"NCAP_TLIFE",$AX$10:$AX$16)),0,""))</f>
        <v/>
      </c>
      <c r="AI376" s="369" t="str">
        <f ca="1">IF($B376&lt;&gt;"PRC_RESID","",IF(AI$7=2005+OFFSET(COM_2012!$B$60,$AW376,SUMIF($B$10:$B$16,"NCAP_TLIFE",$AX$10:$AX$16)),0,""))</f>
        <v/>
      </c>
      <c r="AJ376" s="369" t="str">
        <f ca="1">IF($B376&lt;&gt;"PRC_RESID","",IF(AJ$7=2005+OFFSET(COM_2012!$B$60,$AW376,SUMIF($B$10:$B$16,"NCAP_TLIFE",$AX$10:$AX$16)),0,""))</f>
        <v/>
      </c>
      <c r="AK376" s="369" t="str">
        <f ca="1">IF($B376&lt;&gt;"PRC_RESID","",IF(AK$7=2005+OFFSET(COM_2012!$B$60,$AW376,SUMIF($B$10:$B$16,"NCAP_TLIFE",$AX$10:$AX$16)),0,""))</f>
        <v/>
      </c>
      <c r="AL376" s="369" t="str">
        <f ca="1">IF($B376&lt;&gt;"PRC_RESID","",IF(AL$7=2005+OFFSET(COM_2012!$B$60,$AW376,SUMIF($B$10:$B$16,"NCAP_TLIFE",$AX$10:$AX$16)),0,""))</f>
        <v/>
      </c>
      <c r="AM376" s="369" t="str">
        <f ca="1">IF($B376&lt;&gt;"PRC_RESID","",IF(AM$7=2005+OFFSET(COM_2012!$B$60,$AW376,SUMIF($B$10:$B$16,"NCAP_TLIFE",$AX$10:$AX$16)),0,""))</f>
        <v/>
      </c>
      <c r="AN376" s="369" t="str">
        <f ca="1">IF($B376&lt;&gt;"PRC_RESID","",IF(AN$7=2005+OFFSET(COM_2012!$B$60,$AW376,SUMIF($B$10:$B$16,"NCAP_TLIFE",$AX$10:$AX$16)),0,""))</f>
        <v/>
      </c>
      <c r="AO376" s="369" t="str">
        <f ca="1">IF($B376&lt;&gt;"PRC_RESID","",IF(AO$7=2005+OFFSET(COM_2012!$B$60,$AW376,SUMIF($B$10:$B$16,"NCAP_TLIFE",$AX$10:$AX$16)),0,""))</f>
        <v/>
      </c>
      <c r="AP376" s="369" t="str">
        <f ca="1">IF($B376&lt;&gt;"PRC_RESID","",IF(AP$7=2005+OFFSET(COM_2012!$B$60,$AW376,SUMIF($B$10:$B$16,"NCAP_TLIFE",$AX$10:$AX$16)),0,""))</f>
        <v/>
      </c>
      <c r="AQ376" s="369" t="str">
        <f ca="1">IF($B376&lt;&gt;"PRC_RESID","",IF(AQ$7=2005+OFFSET(COM_2012!$B$60,$AW376,SUMIF($B$10:$B$16,"NCAP_TLIFE",$AX$10:$AX$16)),0,""))</f>
        <v/>
      </c>
      <c r="AR376" s="369" t="str">
        <f ca="1">IF($B376&lt;&gt;"PRC_RESID","",IF(AR$7=2005+OFFSET(COM_2012!$B$60,$AW376,SUMIF($B$10:$B$16,"NCAP_TLIFE",$AX$10:$AX$16)),0,""))</f>
        <v/>
      </c>
      <c r="AS376" s="369" t="str">
        <f ca="1">IF($B376&lt;&gt;"PRC_RESID","",IF(AS$7=2005+OFFSET(COM_2012!$B$60,$AW376,SUMIF($B$10:$B$16,"NCAP_TLIFE",$AX$10:$AX$16)),0,""))</f>
        <v/>
      </c>
      <c r="AT376" s="369" t="str">
        <f ca="1">IF($B376&lt;&gt;"PRC_RESID","",IF(AT$7=2005+OFFSET(COM_2012!$B$60,$AW376,SUMIF($B$10:$B$16,"NCAP_TLIFE",$AX$10:$AX$16)),0,""))</f>
        <v/>
      </c>
      <c r="AU376" s="369" t="str">
        <f ca="1">IF($B376&lt;&gt;"PRC_RESID","",IF(AU$7=2005+OFFSET(COM_2012!$B$60,$AW376,SUMIF($B$10:$B$16,"NCAP_TLIFE",$AX$10:$AX$16)),0,""))</f>
        <v/>
      </c>
      <c r="AV376" s="304">
        <f>IF(AW375=COM_2012!$AI$121,AV375+1,AV375)</f>
        <v>6</v>
      </c>
      <c r="AW376" s="304">
        <f t="shared" si="39"/>
        <v>44</v>
      </c>
    </row>
    <row r="377" spans="1:49">
      <c r="A377" s="304" t="str">
        <f ca="1">IF(LEFT(OFFSET(COM_2012!$A$60,AW377,0),2)="\I","*","")</f>
        <v/>
      </c>
      <c r="B377" s="369" t="str">
        <f t="shared" ca="1" si="35"/>
        <v>PRC_RESID</v>
      </c>
      <c r="C377" s="369" t="str">
        <f ca="1">IF($A377="*","",OFFSET(COM_2012!$B$60,AW377,0))</f>
        <v>CEGELCHPS-E</v>
      </c>
      <c r="D377" s="369" t="str">
        <f t="shared" ca="1" si="38"/>
        <v>-</v>
      </c>
      <c r="E377" s="369" t="str">
        <f t="shared" ca="1" si="38"/>
        <v>-</v>
      </c>
      <c r="F377" s="369" t="str">
        <f t="shared" ca="1" si="38"/>
        <v>-</v>
      </c>
      <c r="G377" s="369" t="str">
        <f t="shared" ca="1" si="38"/>
        <v>-</v>
      </c>
      <c r="H377" s="369" t="str">
        <f t="shared" ca="1" si="38"/>
        <v>-</v>
      </c>
      <c r="I377" s="370">
        <f t="shared" ca="1" si="38"/>
        <v>0</v>
      </c>
      <c r="J377" s="391">
        <f ca="1">IF($A377="*","",OFFSET(COM_2012!$B$60,AW377,SUMIF($B$10:$B$16,B377,$AX$10:$AX$16)))</f>
        <v>9.462772300802369</v>
      </c>
      <c r="K377" s="369" t="str">
        <f ca="1">IF($B377&lt;&gt;"PRC_RESID","",IF(K$7=2005+OFFSET(COM_2012!$B$60,$AW377,SUMIF($B$10:$B$16,"NCAP_TLIFE",$AX$10:$AX$16)),0,""))</f>
        <v/>
      </c>
      <c r="L377" s="369" t="str">
        <f ca="1">IF($B377&lt;&gt;"PRC_RESID","",IF(L$7=2005+OFFSET(COM_2012!$B$60,$AW377,SUMIF($B$10:$B$16,"NCAP_TLIFE",$AX$10:$AX$16)),0,""))</f>
        <v/>
      </c>
      <c r="M377" s="369"/>
      <c r="N377" s="369" t="str">
        <f ca="1">IF($B377&lt;&gt;"PRC_RESID","",IF(N$7=2005+OFFSET(COM_2012!$B$60,$AW377,SUMIF($B$10:$B$16,"NCAP_TLIFE",$AX$10:$AX$16)),0,""))</f>
        <v/>
      </c>
      <c r="O377" s="391">
        <f ca="1">IF($A377="*","",OFFSET(' COM_2017_old'!$B$60,AW377,SUMIF($B$10:$B$16,B377,$AX$10:$AX$16)))</f>
        <v>8.1496351760340744</v>
      </c>
      <c r="P377" s="369" t="str">
        <f ca="1">IF($B377&lt;&gt;"PRC_RESID","",IF(P$7=2005+OFFSET(COM_2012!$B$60,$AW377,SUMIF($B$10:$B$16,"NCAP_TLIFE",$AX$10:$AX$16)),0,""))</f>
        <v/>
      </c>
      <c r="Q377" s="369"/>
      <c r="R377" s="369" t="str">
        <f ca="1">IF($B377&lt;&gt;"PRC_RESID","",IF(R$7=2016+OFFSET(' COM_2017_old'!$B$60,$AW377,SUMIF($B$10:$B$16,"NCAP_TLIFE",$AX$10:$AX$16)),0,""))</f>
        <v/>
      </c>
      <c r="S377" s="369" t="str">
        <f ca="1">IF($B377&lt;&gt;"PRC_RESID","",IF(S$7=2016+OFFSET(' COM_2017_old'!$B$60,$AW377,SUMIF($B$10:$B$16,"NCAP_TLIFE",$AX$10:$AX$16)),0,""))</f>
        <v/>
      </c>
      <c r="T377" s="369" t="str">
        <f ca="1">IF($B377&lt;&gt;"PRC_RESID","",IF(T$7=2016+OFFSET(' COM_2017_old'!$B$60,$AW377,SUMIF($B$10:$B$16,"NCAP_TLIFE",$AX$10:$AX$16)),0,""))</f>
        <v/>
      </c>
      <c r="U377" s="369" t="str">
        <f ca="1">IF($B377&lt;&gt;"PRC_RESID","",IF(U$7=2016+OFFSET(' COM_2017_old'!$B$60,$AW377,SUMIF($B$10:$B$16,"NCAP_TLIFE",$AX$10:$AX$16)),0,""))</f>
        <v/>
      </c>
      <c r="V377" s="369" t="str">
        <f ca="1">IF($B377&lt;&gt;"PRC_RESID","",IF(V$7=2016+OFFSET(' COM_2017_old'!$B$60,$AW377,SUMIF($B$10:$B$16,"NCAP_TLIFE",$AX$10:$AX$16)),0,""))</f>
        <v/>
      </c>
      <c r="W377" s="369" t="str">
        <f ca="1">IF($B377&lt;&gt;"PRC_RESID","",IF(W$7=2016+OFFSET(' COM_2017_old'!$B$60,$AW377,SUMIF($B$10:$B$16,"NCAP_TLIFE",$AX$10:$AX$16)),0,""))</f>
        <v/>
      </c>
      <c r="X377" s="369" t="str">
        <f ca="1">IF($B377&lt;&gt;"PRC_RESID","",IF(X$7=2016+OFFSET(' COM_2017_old'!$B$60,$AW377,SUMIF($B$10:$B$16,"NCAP_TLIFE",$AX$10:$AX$16)),0,""))</f>
        <v/>
      </c>
      <c r="Y377" s="369" t="str">
        <f ca="1">IF($B377&lt;&gt;"PRC_RESID","",IF(Y$7=2016+OFFSET(' COM_2017_old'!$B$60,$AW377,SUMIF($B$10:$B$16,"NCAP_TLIFE",$AX$10:$AX$16)),0,""))</f>
        <v/>
      </c>
      <c r="Z377" s="369">
        <f ca="1">IF($B377&lt;&gt;"PRC_RESID","",IF(Z$7=2016+OFFSET(' COM_2017_old'!$B$60,$AW377,SUMIF($B$10:$B$16,"NCAP_TLIFE",$AX$10:$AX$16)),0,""))</f>
        <v>0</v>
      </c>
      <c r="AA377" s="369" t="str">
        <f ca="1">IF($B377&lt;&gt;"PRC_RESID","",IF(AA$7=2016+OFFSET(' COM_2017_old'!$B$60,$AW377,SUMIF($B$10:$B$16,"NCAP_TLIFE",$AX$10:$AX$16)),0,""))</f>
        <v/>
      </c>
      <c r="AB377" s="369" t="str">
        <f ca="1">IF($B377&lt;&gt;"PRC_RESID","",IF(AB$7=2016+OFFSET(' COM_2017_old'!$B$60,$AW377,SUMIF($B$10:$B$16,"NCAP_TLIFE",$AX$10:$AX$16)),0,""))</f>
        <v/>
      </c>
      <c r="AC377" s="369" t="str">
        <f ca="1">IF($B377&lt;&gt;"PRC_RESID","",IF(AC$7=2016+OFFSET(' COM_2017_old'!$B$60,$AW377,SUMIF($B$10:$B$16,"NCAP_TLIFE",$AX$10:$AX$16)),0,""))</f>
        <v/>
      </c>
      <c r="AD377" s="369" t="str">
        <f ca="1">IF($B377&lt;&gt;"PRC_RESID","",IF(AD$7=2016+OFFSET(' COM_2017_old'!$B$60,$AW377,SUMIF($B$10:$B$16,"NCAP_TLIFE",$AX$10:$AX$16)),0,""))</f>
        <v/>
      </c>
      <c r="AE377" s="369" t="str">
        <f ca="1">IF($B377&lt;&gt;"PRC_RESID","",IF(AE$7=2005+OFFSET(COM_2012!$B$60,$AW377,SUMIF($B$10:$B$16,"NCAP_TLIFE",$AX$10:$AX$16)),0,""))</f>
        <v/>
      </c>
      <c r="AF377" s="369" t="str">
        <f ca="1">IF($B377&lt;&gt;"PRC_RESID","",IF(AF$7=2005+OFFSET(COM_2012!$B$60,$AW377,SUMIF($B$10:$B$16,"NCAP_TLIFE",$AX$10:$AX$16)),0,""))</f>
        <v/>
      </c>
      <c r="AG377" s="369" t="str">
        <f ca="1">IF($B377&lt;&gt;"PRC_RESID","",IF(AG$7=2005+OFFSET(COM_2012!$B$60,$AW377,SUMIF($B$10:$B$16,"NCAP_TLIFE",$AX$10:$AX$16)),0,""))</f>
        <v/>
      </c>
      <c r="AH377" s="369" t="str">
        <f ca="1">IF($B377&lt;&gt;"PRC_RESID","",IF(AH$7=2005+OFFSET(COM_2012!$B$60,$AW377,SUMIF($B$10:$B$16,"NCAP_TLIFE",$AX$10:$AX$16)),0,""))</f>
        <v/>
      </c>
      <c r="AI377" s="369" t="str">
        <f ca="1">IF($B377&lt;&gt;"PRC_RESID","",IF(AI$7=2005+OFFSET(COM_2012!$B$60,$AW377,SUMIF($B$10:$B$16,"NCAP_TLIFE",$AX$10:$AX$16)),0,""))</f>
        <v/>
      </c>
      <c r="AJ377" s="369" t="str">
        <f ca="1">IF($B377&lt;&gt;"PRC_RESID","",IF(AJ$7=2005+OFFSET(COM_2012!$B$60,$AW377,SUMIF($B$10:$B$16,"NCAP_TLIFE",$AX$10:$AX$16)),0,""))</f>
        <v/>
      </c>
      <c r="AK377" s="369" t="str">
        <f ca="1">IF($B377&lt;&gt;"PRC_RESID","",IF(AK$7=2005+OFFSET(COM_2012!$B$60,$AW377,SUMIF($B$10:$B$16,"NCAP_TLIFE",$AX$10:$AX$16)),0,""))</f>
        <v/>
      </c>
      <c r="AL377" s="369" t="str">
        <f ca="1">IF($B377&lt;&gt;"PRC_RESID","",IF(AL$7=2005+OFFSET(COM_2012!$B$60,$AW377,SUMIF($B$10:$B$16,"NCAP_TLIFE",$AX$10:$AX$16)),0,""))</f>
        <v/>
      </c>
      <c r="AM377" s="369" t="str">
        <f ca="1">IF($B377&lt;&gt;"PRC_RESID","",IF(AM$7=2005+OFFSET(COM_2012!$B$60,$AW377,SUMIF($B$10:$B$16,"NCAP_TLIFE",$AX$10:$AX$16)),0,""))</f>
        <v/>
      </c>
      <c r="AN377" s="369" t="str">
        <f ca="1">IF($B377&lt;&gt;"PRC_RESID","",IF(AN$7=2005+OFFSET(COM_2012!$B$60,$AW377,SUMIF($B$10:$B$16,"NCAP_TLIFE",$AX$10:$AX$16)),0,""))</f>
        <v/>
      </c>
      <c r="AO377" s="369" t="str">
        <f ca="1">IF($B377&lt;&gt;"PRC_RESID","",IF(AO$7=2005+OFFSET(COM_2012!$B$60,$AW377,SUMIF($B$10:$B$16,"NCAP_TLIFE",$AX$10:$AX$16)),0,""))</f>
        <v/>
      </c>
      <c r="AP377" s="369" t="str">
        <f ca="1">IF($B377&lt;&gt;"PRC_RESID","",IF(AP$7=2005+OFFSET(COM_2012!$B$60,$AW377,SUMIF($B$10:$B$16,"NCAP_TLIFE",$AX$10:$AX$16)),0,""))</f>
        <v/>
      </c>
      <c r="AQ377" s="369" t="str">
        <f ca="1">IF($B377&lt;&gt;"PRC_RESID","",IF(AQ$7=2005+OFFSET(COM_2012!$B$60,$AW377,SUMIF($B$10:$B$16,"NCAP_TLIFE",$AX$10:$AX$16)),0,""))</f>
        <v/>
      </c>
      <c r="AR377" s="369" t="str">
        <f ca="1">IF($B377&lt;&gt;"PRC_RESID","",IF(AR$7=2005+OFFSET(COM_2012!$B$60,$AW377,SUMIF($B$10:$B$16,"NCAP_TLIFE",$AX$10:$AX$16)),0,""))</f>
        <v/>
      </c>
      <c r="AS377" s="369" t="str">
        <f ca="1">IF($B377&lt;&gt;"PRC_RESID","",IF(AS$7=2005+OFFSET(COM_2012!$B$60,$AW377,SUMIF($B$10:$B$16,"NCAP_TLIFE",$AX$10:$AX$16)),0,""))</f>
        <v/>
      </c>
      <c r="AT377" s="369" t="str">
        <f ca="1">IF($B377&lt;&gt;"PRC_RESID","",IF(AT$7=2005+OFFSET(COM_2012!$B$60,$AW377,SUMIF($B$10:$B$16,"NCAP_TLIFE",$AX$10:$AX$16)),0,""))</f>
        <v/>
      </c>
      <c r="AU377" s="369" t="str">
        <f ca="1">IF($B377&lt;&gt;"PRC_RESID","",IF(AU$7=2005+OFFSET(COM_2012!$B$60,$AW377,SUMIF($B$10:$B$16,"NCAP_TLIFE",$AX$10:$AX$16)),0,""))</f>
        <v/>
      </c>
      <c r="AV377" s="304">
        <f>IF(AW376=COM_2012!$AI$121,AV376+1,AV376)</f>
        <v>6</v>
      </c>
      <c r="AW377" s="304">
        <f t="shared" si="39"/>
        <v>45</v>
      </c>
    </row>
    <row r="378" spans="1:49">
      <c r="A378" s="304" t="str">
        <f ca="1">IF(LEFT(OFFSET(COM_2012!$A$60,AW378,0),2)="\I","*","")</f>
        <v/>
      </c>
      <c r="B378" s="369" t="str">
        <f t="shared" ca="1" si="35"/>
        <v>PRC_RESID</v>
      </c>
      <c r="C378" s="369" t="str">
        <f ca="1">IF($A378="*","",OFFSET(COM_2012!$B$60,AW378,0))</f>
        <v>CEGELCMHL-E</v>
      </c>
      <c r="D378" s="369" t="str">
        <f t="shared" ca="1" si="38"/>
        <v>-</v>
      </c>
      <c r="E378" s="369" t="str">
        <f t="shared" ca="1" si="38"/>
        <v>-</v>
      </c>
      <c r="F378" s="369" t="str">
        <f t="shared" ca="1" si="38"/>
        <v>-</v>
      </c>
      <c r="G378" s="369" t="str">
        <f t="shared" ca="1" si="38"/>
        <v>-</v>
      </c>
      <c r="H378" s="369" t="str">
        <f t="shared" ca="1" si="38"/>
        <v>-</v>
      </c>
      <c r="I378" s="370">
        <f t="shared" ca="1" si="38"/>
        <v>0</v>
      </c>
      <c r="J378" s="391">
        <f ca="1">IF($A378="*","",OFFSET(COM_2012!$B$60,AW378,SUMIF($B$10:$B$16,B378,$AX$10:$AX$16)))</f>
        <v>0.25626606870999735</v>
      </c>
      <c r="K378" s="369" t="str">
        <f ca="1">IF($B378&lt;&gt;"PRC_RESID","",IF(K$7=2005+OFFSET(COM_2012!$B$60,$AW378,SUMIF($B$10:$B$16,"NCAP_TLIFE",$AX$10:$AX$16)),0,""))</f>
        <v/>
      </c>
      <c r="L378" s="369" t="str">
        <f ca="1">IF($B378&lt;&gt;"PRC_RESID","",IF(L$7=2005+OFFSET(COM_2012!$B$60,$AW378,SUMIF($B$10:$B$16,"NCAP_TLIFE",$AX$10:$AX$16)),0,""))</f>
        <v/>
      </c>
      <c r="M378" s="369"/>
      <c r="N378" s="369" t="str">
        <f ca="1">IF($B378&lt;&gt;"PRC_RESID","",IF(N$7=2005+OFFSET(COM_2012!$B$60,$AW378,SUMIF($B$10:$B$16,"NCAP_TLIFE",$AX$10:$AX$16)),0,""))</f>
        <v/>
      </c>
      <c r="O378" s="391">
        <f ca="1">IF($A378="*","",OFFSET(' COM_2017_old'!$B$60,AW378,SUMIF($B$10:$B$16,B378,$AX$10:$AX$16)))</f>
        <v>0.22070434557596544</v>
      </c>
      <c r="P378" s="369" t="str">
        <f ca="1">IF($B378&lt;&gt;"PRC_RESID","",IF(P$7=2005+OFFSET(COM_2012!$B$60,$AW378,SUMIF($B$10:$B$16,"NCAP_TLIFE",$AX$10:$AX$16)),0,""))</f>
        <v/>
      </c>
      <c r="Q378" s="369"/>
      <c r="R378" s="369" t="str">
        <f ca="1">IF($B378&lt;&gt;"PRC_RESID","",IF(R$7=2016+OFFSET(' COM_2017_old'!$B$60,$AW378,SUMIF($B$10:$B$16,"NCAP_TLIFE",$AX$10:$AX$16)),0,""))</f>
        <v/>
      </c>
      <c r="S378" s="369" t="str">
        <f ca="1">IF($B378&lt;&gt;"PRC_RESID","",IF(S$7=2016+OFFSET(' COM_2017_old'!$B$60,$AW378,SUMIF($B$10:$B$16,"NCAP_TLIFE",$AX$10:$AX$16)),0,""))</f>
        <v/>
      </c>
      <c r="T378" s="369" t="str">
        <f ca="1">IF($B378&lt;&gt;"PRC_RESID","",IF(T$7=2016+OFFSET(' COM_2017_old'!$B$60,$AW378,SUMIF($B$10:$B$16,"NCAP_TLIFE",$AX$10:$AX$16)),0,""))</f>
        <v/>
      </c>
      <c r="U378" s="369" t="str">
        <f ca="1">IF($B378&lt;&gt;"PRC_RESID","",IF(U$7=2016+OFFSET(' COM_2017_old'!$B$60,$AW378,SUMIF($B$10:$B$16,"NCAP_TLIFE",$AX$10:$AX$16)),0,""))</f>
        <v/>
      </c>
      <c r="V378" s="369" t="str">
        <f ca="1">IF($B378&lt;&gt;"PRC_RESID","",IF(V$7=2016+OFFSET(' COM_2017_old'!$B$60,$AW378,SUMIF($B$10:$B$16,"NCAP_TLIFE",$AX$10:$AX$16)),0,""))</f>
        <v/>
      </c>
      <c r="W378" s="369" t="str">
        <f ca="1">IF($B378&lt;&gt;"PRC_RESID","",IF(W$7=2016+OFFSET(' COM_2017_old'!$B$60,$AW378,SUMIF($B$10:$B$16,"NCAP_TLIFE",$AX$10:$AX$16)),0,""))</f>
        <v/>
      </c>
      <c r="X378" s="369">
        <f ca="1">IF($B378&lt;&gt;"PRC_RESID","",IF(X$7=2016+OFFSET(' COM_2017_old'!$B$60,$AW378,SUMIF($B$10:$B$16,"NCAP_TLIFE",$AX$10:$AX$16)),0,""))</f>
        <v>0</v>
      </c>
      <c r="Y378" s="369" t="str">
        <f ca="1">IF($B378&lt;&gt;"PRC_RESID","",IF(Y$7=2016+OFFSET(' COM_2017_old'!$B$60,$AW378,SUMIF($B$10:$B$16,"NCAP_TLIFE",$AX$10:$AX$16)),0,""))</f>
        <v/>
      </c>
      <c r="Z378" s="369" t="str">
        <f ca="1">IF($B378&lt;&gt;"PRC_RESID","",IF(Z$7=2016+OFFSET(' COM_2017_old'!$B$60,$AW378,SUMIF($B$10:$B$16,"NCAP_TLIFE",$AX$10:$AX$16)),0,""))</f>
        <v/>
      </c>
      <c r="AA378" s="369" t="str">
        <f ca="1">IF($B378&lt;&gt;"PRC_RESID","",IF(AA$7=2016+OFFSET(' COM_2017_old'!$B$60,$AW378,SUMIF($B$10:$B$16,"NCAP_TLIFE",$AX$10:$AX$16)),0,""))</f>
        <v/>
      </c>
      <c r="AB378" s="369" t="str">
        <f ca="1">IF($B378&lt;&gt;"PRC_RESID","",IF(AB$7=2016+OFFSET(' COM_2017_old'!$B$60,$AW378,SUMIF($B$10:$B$16,"NCAP_TLIFE",$AX$10:$AX$16)),0,""))</f>
        <v/>
      </c>
      <c r="AC378" s="369" t="str">
        <f ca="1">IF($B378&lt;&gt;"PRC_RESID","",IF(AC$7=2016+OFFSET(' COM_2017_old'!$B$60,$AW378,SUMIF($B$10:$B$16,"NCAP_TLIFE",$AX$10:$AX$16)),0,""))</f>
        <v/>
      </c>
      <c r="AD378" s="369" t="str">
        <f ca="1">IF($B378&lt;&gt;"PRC_RESID","",IF(AD$7=2016+OFFSET(' COM_2017_old'!$B$60,$AW378,SUMIF($B$10:$B$16,"NCAP_TLIFE",$AX$10:$AX$16)),0,""))</f>
        <v/>
      </c>
      <c r="AE378" s="369" t="str">
        <f ca="1">IF($B378&lt;&gt;"PRC_RESID","",IF(AE$7=2005+OFFSET(COM_2012!$B$60,$AW378,SUMIF($B$10:$B$16,"NCAP_TLIFE",$AX$10:$AX$16)),0,""))</f>
        <v/>
      </c>
      <c r="AF378" s="369" t="str">
        <f ca="1">IF($B378&lt;&gt;"PRC_RESID","",IF(AF$7=2005+OFFSET(COM_2012!$B$60,$AW378,SUMIF($B$10:$B$16,"NCAP_TLIFE",$AX$10:$AX$16)),0,""))</f>
        <v/>
      </c>
      <c r="AG378" s="369" t="str">
        <f ca="1">IF($B378&lt;&gt;"PRC_RESID","",IF(AG$7=2005+OFFSET(COM_2012!$B$60,$AW378,SUMIF($B$10:$B$16,"NCAP_TLIFE",$AX$10:$AX$16)),0,""))</f>
        <v/>
      </c>
      <c r="AH378" s="369" t="str">
        <f ca="1">IF($B378&lt;&gt;"PRC_RESID","",IF(AH$7=2005+OFFSET(COM_2012!$B$60,$AW378,SUMIF($B$10:$B$16,"NCAP_TLIFE",$AX$10:$AX$16)),0,""))</f>
        <v/>
      </c>
      <c r="AI378" s="369" t="str">
        <f ca="1">IF($B378&lt;&gt;"PRC_RESID","",IF(AI$7=2005+OFFSET(COM_2012!$B$60,$AW378,SUMIF($B$10:$B$16,"NCAP_TLIFE",$AX$10:$AX$16)),0,""))</f>
        <v/>
      </c>
      <c r="AJ378" s="369" t="str">
        <f ca="1">IF($B378&lt;&gt;"PRC_RESID","",IF(AJ$7=2005+OFFSET(COM_2012!$B$60,$AW378,SUMIF($B$10:$B$16,"NCAP_TLIFE",$AX$10:$AX$16)),0,""))</f>
        <v/>
      </c>
      <c r="AK378" s="369" t="str">
        <f ca="1">IF($B378&lt;&gt;"PRC_RESID","",IF(AK$7=2005+OFFSET(COM_2012!$B$60,$AW378,SUMIF($B$10:$B$16,"NCAP_TLIFE",$AX$10:$AX$16)),0,""))</f>
        <v/>
      </c>
      <c r="AL378" s="369" t="str">
        <f ca="1">IF($B378&lt;&gt;"PRC_RESID","",IF(AL$7=2005+OFFSET(COM_2012!$B$60,$AW378,SUMIF($B$10:$B$16,"NCAP_TLIFE",$AX$10:$AX$16)),0,""))</f>
        <v/>
      </c>
      <c r="AM378" s="369" t="str">
        <f ca="1">IF($B378&lt;&gt;"PRC_RESID","",IF(AM$7=2005+OFFSET(COM_2012!$B$60,$AW378,SUMIF($B$10:$B$16,"NCAP_TLIFE",$AX$10:$AX$16)),0,""))</f>
        <v/>
      </c>
      <c r="AN378" s="369" t="str">
        <f ca="1">IF($B378&lt;&gt;"PRC_RESID","",IF(AN$7=2005+OFFSET(COM_2012!$B$60,$AW378,SUMIF($B$10:$B$16,"NCAP_TLIFE",$AX$10:$AX$16)),0,""))</f>
        <v/>
      </c>
      <c r="AO378" s="369" t="str">
        <f ca="1">IF($B378&lt;&gt;"PRC_RESID","",IF(AO$7=2005+OFFSET(COM_2012!$B$60,$AW378,SUMIF($B$10:$B$16,"NCAP_TLIFE",$AX$10:$AX$16)),0,""))</f>
        <v/>
      </c>
      <c r="AP378" s="369" t="str">
        <f ca="1">IF($B378&lt;&gt;"PRC_RESID","",IF(AP$7=2005+OFFSET(COM_2012!$B$60,$AW378,SUMIF($B$10:$B$16,"NCAP_TLIFE",$AX$10:$AX$16)),0,""))</f>
        <v/>
      </c>
      <c r="AQ378" s="369" t="str">
        <f ca="1">IF($B378&lt;&gt;"PRC_RESID","",IF(AQ$7=2005+OFFSET(COM_2012!$B$60,$AW378,SUMIF($B$10:$B$16,"NCAP_TLIFE",$AX$10:$AX$16)),0,""))</f>
        <v/>
      </c>
      <c r="AR378" s="369" t="str">
        <f ca="1">IF($B378&lt;&gt;"PRC_RESID","",IF(AR$7=2005+OFFSET(COM_2012!$B$60,$AW378,SUMIF($B$10:$B$16,"NCAP_TLIFE",$AX$10:$AX$16)),0,""))</f>
        <v/>
      </c>
      <c r="AS378" s="369" t="str">
        <f ca="1">IF($B378&lt;&gt;"PRC_RESID","",IF(AS$7=2005+OFFSET(COM_2012!$B$60,$AW378,SUMIF($B$10:$B$16,"NCAP_TLIFE",$AX$10:$AX$16)),0,""))</f>
        <v/>
      </c>
      <c r="AT378" s="369" t="str">
        <f ca="1">IF($B378&lt;&gt;"PRC_RESID","",IF(AT$7=2005+OFFSET(COM_2012!$B$60,$AW378,SUMIF($B$10:$B$16,"NCAP_TLIFE",$AX$10:$AX$16)),0,""))</f>
        <v/>
      </c>
      <c r="AU378" s="369" t="str">
        <f ca="1">IF($B378&lt;&gt;"PRC_RESID","",IF(AU$7=2005+OFFSET(COM_2012!$B$60,$AW378,SUMIF($B$10:$B$16,"NCAP_TLIFE",$AX$10:$AX$16)),0,""))</f>
        <v/>
      </c>
      <c r="AV378" s="304">
        <f>IF(AW377=COM_2012!$AI$121,AV377+1,AV377)</f>
        <v>6</v>
      </c>
      <c r="AW378" s="304">
        <f t="shared" si="39"/>
        <v>46</v>
      </c>
    </row>
    <row r="379" spans="1:49">
      <c r="A379" s="304" t="str">
        <f ca="1">IF(LEFT(OFFSET(COM_2012!$A$60,AW379,0),2)="\I","*","")</f>
        <v/>
      </c>
      <c r="B379" s="369" t="str">
        <f t="shared" ca="1" si="35"/>
        <v>PRC_RESID</v>
      </c>
      <c r="C379" s="369" t="str">
        <f ca="1">IF($A379="*","",OFFSET(COM_2012!$B$60,AW379,0))</f>
        <v>CEGELCLED-N</v>
      </c>
      <c r="D379" s="369" t="str">
        <f t="shared" ca="1" si="38"/>
        <v>-</v>
      </c>
      <c r="E379" s="369" t="str">
        <f t="shared" ca="1" si="38"/>
        <v>-</v>
      </c>
      <c r="F379" s="369" t="str">
        <f t="shared" ca="1" si="38"/>
        <v>-</v>
      </c>
      <c r="G379" s="369" t="str">
        <f t="shared" ca="1" si="38"/>
        <v>-</v>
      </c>
      <c r="H379" s="369" t="str">
        <f t="shared" ca="1" si="38"/>
        <v>-</v>
      </c>
      <c r="I379" s="370">
        <f t="shared" ca="1" si="38"/>
        <v>0</v>
      </c>
      <c r="J379" s="391">
        <f ca="1">IF($A379="*","",OFFSET(COM_2012!$B$60,AW379,SUMIF($B$10:$B$16,B379,$AX$10:$AX$16)))</f>
        <v>0</v>
      </c>
      <c r="K379" s="369" t="str">
        <f ca="1">IF($B379&lt;&gt;"PRC_RESID","",IF(K$7=2005+OFFSET(COM_2012!$B$60,$AW379,SUMIF($B$10:$B$16,"NCAP_TLIFE",$AX$10:$AX$16)),0,""))</f>
        <v/>
      </c>
      <c r="L379" s="369" t="str">
        <f ca="1">IF($B379&lt;&gt;"PRC_RESID","",IF(L$7=2005+OFFSET(COM_2012!$B$60,$AW379,SUMIF($B$10:$B$16,"NCAP_TLIFE",$AX$10:$AX$16)),0,""))</f>
        <v/>
      </c>
      <c r="M379" s="369"/>
      <c r="N379" s="369" t="str">
        <f ca="1">IF($B379&lt;&gt;"PRC_RESID","",IF(N$7=2005+OFFSET(COM_2012!$B$60,$AW379,SUMIF($B$10:$B$16,"NCAP_TLIFE",$AX$10:$AX$16)),0,""))</f>
        <v/>
      </c>
      <c r="O379" s="391">
        <f ca="1">IF($A379="*","",OFFSET(' COM_2017_old'!$B$60,AW379,SUMIF($B$10:$B$16,B379,$AX$10:$AX$16)))</f>
        <v>0</v>
      </c>
      <c r="P379" s="369" t="str">
        <f ca="1">IF($B379&lt;&gt;"PRC_RESID","",IF(P$7=2005+OFFSET(COM_2012!$B$60,$AW379,SUMIF($B$10:$B$16,"NCAP_TLIFE",$AX$10:$AX$16)),0,""))</f>
        <v/>
      </c>
      <c r="Q379" s="369"/>
      <c r="R379" s="369" t="str">
        <f ca="1">IF($B379&lt;&gt;"PRC_RESID","",IF(R$7=2016+OFFSET(' COM_2017_old'!$B$60,$AW379,SUMIF($B$10:$B$16,"NCAP_TLIFE",$AX$10:$AX$16)),0,""))</f>
        <v/>
      </c>
      <c r="S379" s="369" t="str">
        <f ca="1">IF($B379&lt;&gt;"PRC_RESID","",IF(S$7=2016+OFFSET(' COM_2017_old'!$B$60,$AW379,SUMIF($B$10:$B$16,"NCAP_TLIFE",$AX$10:$AX$16)),0,""))</f>
        <v/>
      </c>
      <c r="T379" s="369" t="str">
        <f ca="1">IF($B379&lt;&gt;"PRC_RESID","",IF(T$7=2016+OFFSET(' COM_2017_old'!$B$60,$AW379,SUMIF($B$10:$B$16,"NCAP_TLIFE",$AX$10:$AX$16)),0,""))</f>
        <v/>
      </c>
      <c r="U379" s="369" t="str">
        <f ca="1">IF($B379&lt;&gt;"PRC_RESID","",IF(U$7=2016+OFFSET(' COM_2017_old'!$B$60,$AW379,SUMIF($B$10:$B$16,"NCAP_TLIFE",$AX$10:$AX$16)),0,""))</f>
        <v/>
      </c>
      <c r="V379" s="369" t="str">
        <f ca="1">IF($B379&lt;&gt;"PRC_RESID","",IF(V$7=2016+OFFSET(' COM_2017_old'!$B$60,$AW379,SUMIF($B$10:$B$16,"NCAP_TLIFE",$AX$10:$AX$16)),0,""))</f>
        <v/>
      </c>
      <c r="W379" s="369" t="str">
        <f ca="1">IF($B379&lt;&gt;"PRC_RESID","",IF(W$7=2016+OFFSET(' COM_2017_old'!$B$60,$AW379,SUMIF($B$10:$B$16,"NCAP_TLIFE",$AX$10:$AX$16)),0,""))</f>
        <v/>
      </c>
      <c r="X379" s="369">
        <f ca="1">IF($B379&lt;&gt;"PRC_RESID","",IF(X$7=2016+OFFSET(' COM_2017_old'!$B$60,$AW379,SUMIF($B$10:$B$16,"NCAP_TLIFE",$AX$10:$AX$16)),0,""))</f>
        <v>0</v>
      </c>
      <c r="Y379" s="369" t="str">
        <f ca="1">IF($B379&lt;&gt;"PRC_RESID","",IF(Y$7=2016+OFFSET(' COM_2017_old'!$B$60,$AW379,SUMIF($B$10:$B$16,"NCAP_TLIFE",$AX$10:$AX$16)),0,""))</f>
        <v/>
      </c>
      <c r="Z379" s="369" t="str">
        <f ca="1">IF($B379&lt;&gt;"PRC_RESID","",IF(Z$7=2016+OFFSET(' COM_2017_old'!$B$60,$AW379,SUMIF($B$10:$B$16,"NCAP_TLIFE",$AX$10:$AX$16)),0,""))</f>
        <v/>
      </c>
      <c r="AA379" s="369" t="str">
        <f ca="1">IF($B379&lt;&gt;"PRC_RESID","",IF(AA$7=2016+OFFSET(' COM_2017_old'!$B$60,$AW379,SUMIF($B$10:$B$16,"NCAP_TLIFE",$AX$10:$AX$16)),0,""))</f>
        <v/>
      </c>
      <c r="AB379" s="369" t="str">
        <f ca="1">IF($B379&lt;&gt;"PRC_RESID","",IF(AB$7=2016+OFFSET(' COM_2017_old'!$B$60,$AW379,SUMIF($B$10:$B$16,"NCAP_TLIFE",$AX$10:$AX$16)),0,""))</f>
        <v/>
      </c>
      <c r="AC379" s="369" t="str">
        <f ca="1">IF($B379&lt;&gt;"PRC_RESID","",IF(AC$7=2016+OFFSET(' COM_2017_old'!$B$60,$AW379,SUMIF($B$10:$B$16,"NCAP_TLIFE",$AX$10:$AX$16)),0,""))</f>
        <v/>
      </c>
      <c r="AD379" s="369" t="str">
        <f ca="1">IF($B379&lt;&gt;"PRC_RESID","",IF(AD$7=2016+OFFSET(' COM_2017_old'!$B$60,$AW379,SUMIF($B$10:$B$16,"NCAP_TLIFE",$AX$10:$AX$16)),0,""))</f>
        <v/>
      </c>
      <c r="AE379" s="369" t="str">
        <f ca="1">IF($B379&lt;&gt;"PRC_RESID","",IF(AE$7=2005+OFFSET(COM_2012!$B$60,$AW379,SUMIF($B$10:$B$16,"NCAP_TLIFE",$AX$10:$AX$16)),0,""))</f>
        <v/>
      </c>
      <c r="AF379" s="369" t="str">
        <f ca="1">IF($B379&lt;&gt;"PRC_RESID","",IF(AF$7=2005+OFFSET(COM_2012!$B$60,$AW379,SUMIF($B$10:$B$16,"NCAP_TLIFE",$AX$10:$AX$16)),0,""))</f>
        <v/>
      </c>
      <c r="AG379" s="369" t="str">
        <f ca="1">IF($B379&lt;&gt;"PRC_RESID","",IF(AG$7=2005+OFFSET(COM_2012!$B$60,$AW379,SUMIF($B$10:$B$16,"NCAP_TLIFE",$AX$10:$AX$16)),0,""))</f>
        <v/>
      </c>
      <c r="AH379" s="369" t="str">
        <f ca="1">IF($B379&lt;&gt;"PRC_RESID","",IF(AH$7=2005+OFFSET(COM_2012!$B$60,$AW379,SUMIF($B$10:$B$16,"NCAP_TLIFE",$AX$10:$AX$16)),0,""))</f>
        <v/>
      </c>
      <c r="AI379" s="369" t="str">
        <f ca="1">IF($B379&lt;&gt;"PRC_RESID","",IF(AI$7=2005+OFFSET(COM_2012!$B$60,$AW379,SUMIF($B$10:$B$16,"NCAP_TLIFE",$AX$10:$AX$16)),0,""))</f>
        <v/>
      </c>
      <c r="AJ379" s="369" t="str">
        <f ca="1">IF($B379&lt;&gt;"PRC_RESID","",IF(AJ$7=2005+OFFSET(COM_2012!$B$60,$AW379,SUMIF($B$10:$B$16,"NCAP_TLIFE",$AX$10:$AX$16)),0,""))</f>
        <v/>
      </c>
      <c r="AK379" s="369" t="str">
        <f ca="1">IF($B379&lt;&gt;"PRC_RESID","",IF(AK$7=2005+OFFSET(COM_2012!$B$60,$AW379,SUMIF($B$10:$B$16,"NCAP_TLIFE",$AX$10:$AX$16)),0,""))</f>
        <v/>
      </c>
      <c r="AL379" s="369" t="str">
        <f ca="1">IF($B379&lt;&gt;"PRC_RESID","",IF(AL$7=2005+OFFSET(COM_2012!$B$60,$AW379,SUMIF($B$10:$B$16,"NCAP_TLIFE",$AX$10:$AX$16)),0,""))</f>
        <v/>
      </c>
      <c r="AM379" s="369" t="str">
        <f ca="1">IF($B379&lt;&gt;"PRC_RESID","",IF(AM$7=2005+OFFSET(COM_2012!$B$60,$AW379,SUMIF($B$10:$B$16,"NCAP_TLIFE",$AX$10:$AX$16)),0,""))</f>
        <v/>
      </c>
      <c r="AN379" s="369" t="str">
        <f ca="1">IF($B379&lt;&gt;"PRC_RESID","",IF(AN$7=2005+OFFSET(COM_2012!$B$60,$AW379,SUMIF($B$10:$B$16,"NCAP_TLIFE",$AX$10:$AX$16)),0,""))</f>
        <v/>
      </c>
      <c r="AO379" s="369" t="str">
        <f ca="1">IF($B379&lt;&gt;"PRC_RESID","",IF(AO$7=2005+OFFSET(COM_2012!$B$60,$AW379,SUMIF($B$10:$B$16,"NCAP_TLIFE",$AX$10:$AX$16)),0,""))</f>
        <v/>
      </c>
      <c r="AP379" s="369" t="str">
        <f ca="1">IF($B379&lt;&gt;"PRC_RESID","",IF(AP$7=2005+OFFSET(COM_2012!$B$60,$AW379,SUMIF($B$10:$B$16,"NCAP_TLIFE",$AX$10:$AX$16)),0,""))</f>
        <v/>
      </c>
      <c r="AQ379" s="369" t="str">
        <f ca="1">IF($B379&lt;&gt;"PRC_RESID","",IF(AQ$7=2005+OFFSET(COM_2012!$B$60,$AW379,SUMIF($B$10:$B$16,"NCAP_TLIFE",$AX$10:$AX$16)),0,""))</f>
        <v/>
      </c>
      <c r="AR379" s="369" t="str">
        <f ca="1">IF($B379&lt;&gt;"PRC_RESID","",IF(AR$7=2005+OFFSET(COM_2012!$B$60,$AW379,SUMIF($B$10:$B$16,"NCAP_TLIFE",$AX$10:$AX$16)),0,""))</f>
        <v/>
      </c>
      <c r="AS379" s="369" t="str">
        <f ca="1">IF($B379&lt;&gt;"PRC_RESID","",IF(AS$7=2005+OFFSET(COM_2012!$B$60,$AW379,SUMIF($B$10:$B$16,"NCAP_TLIFE",$AX$10:$AX$16)),0,""))</f>
        <v/>
      </c>
      <c r="AT379" s="369" t="str">
        <f ca="1">IF($B379&lt;&gt;"PRC_RESID","",IF(AT$7=2005+OFFSET(COM_2012!$B$60,$AW379,SUMIF($B$10:$B$16,"NCAP_TLIFE",$AX$10:$AX$16)),0,""))</f>
        <v/>
      </c>
      <c r="AU379" s="369" t="str">
        <f ca="1">IF($B379&lt;&gt;"PRC_RESID","",IF(AU$7=2005+OFFSET(COM_2012!$B$60,$AW379,SUMIF($B$10:$B$16,"NCAP_TLIFE",$AX$10:$AX$16)),0,""))</f>
        <v/>
      </c>
      <c r="AV379" s="304">
        <f>IF(AW378=COM_2012!$AI$121,AV378+1,AV378)</f>
        <v>6</v>
      </c>
      <c r="AW379" s="304">
        <f t="shared" si="39"/>
        <v>47</v>
      </c>
    </row>
    <row r="380" spans="1:49">
      <c r="A380" s="304" t="str">
        <f ca="1">IF(LEFT(OFFSET(COM_2012!$A$60,AW380,0),2)="\I","*","")</f>
        <v>*</v>
      </c>
      <c r="B380" s="369" t="str">
        <f t="shared" ca="1" si="35"/>
        <v/>
      </c>
      <c r="C380" s="369" t="str">
        <f ca="1">IF($A380="*","",OFFSET(COM_2012!$B$60,AW380,0))</f>
        <v/>
      </c>
      <c r="D380" s="369" t="str">
        <f t="shared" ca="1" si="38"/>
        <v/>
      </c>
      <c r="E380" s="369" t="str">
        <f t="shared" ca="1" si="38"/>
        <v/>
      </c>
      <c r="F380" s="369" t="str">
        <f t="shared" ca="1" si="38"/>
        <v/>
      </c>
      <c r="G380" s="369" t="str">
        <f t="shared" ca="1" si="38"/>
        <v/>
      </c>
      <c r="H380" s="369" t="str">
        <f t="shared" ca="1" si="38"/>
        <v/>
      </c>
      <c r="I380" s="370" t="str">
        <f t="shared" ca="1" si="38"/>
        <v/>
      </c>
      <c r="J380" s="391" t="str">
        <f ca="1">IF($A380="*","",OFFSET(COM_2012!$B$60,AW380,SUMIF($B$10:$B$16,B380,$AX$10:$AX$16)))</f>
        <v/>
      </c>
      <c r="K380" s="369" t="str">
        <f ca="1">IF($B380&lt;&gt;"PRC_RESID","",IF(K$7=2005+OFFSET(COM_2012!$B$60,$AW380,SUMIF($B$10:$B$16,"NCAP_TLIFE",$AX$10:$AX$16)),0,""))</f>
        <v/>
      </c>
      <c r="L380" s="369" t="str">
        <f ca="1">IF($B380&lt;&gt;"PRC_RESID","",IF(L$7=2005+OFFSET(COM_2012!$B$60,$AW380,SUMIF($B$10:$B$16,"NCAP_TLIFE",$AX$10:$AX$16)),0,""))</f>
        <v/>
      </c>
      <c r="M380" s="369"/>
      <c r="N380" s="369" t="str">
        <f ca="1">IF($B380&lt;&gt;"PRC_RESID","",IF(N$7=2005+OFFSET(COM_2012!$B$60,$AW380,SUMIF($B$10:$B$16,"NCAP_TLIFE",$AX$10:$AX$16)),0,""))</f>
        <v/>
      </c>
      <c r="O380" s="391" t="str">
        <f ca="1">IF($A380="*","",OFFSET(' COM_2017_old'!$B$60,AW380,SUMIF($B$10:$B$16,B380,$AX$10:$AX$16)))</f>
        <v/>
      </c>
      <c r="P380" s="369" t="str">
        <f ca="1">IF($B380&lt;&gt;"PRC_RESID","",IF(P$7=2005+OFFSET(COM_2012!$B$60,$AW380,SUMIF($B$10:$B$16,"NCAP_TLIFE",$AX$10:$AX$16)),0,""))</f>
        <v/>
      </c>
      <c r="Q380" s="369"/>
      <c r="R380" s="369" t="str">
        <f ca="1">IF($B380&lt;&gt;"PRC_RESID","",IF(R$7=2016+OFFSET(' COM_2017_old'!$B$60,$AW380,SUMIF($B$10:$B$16,"NCAP_TLIFE",$AX$10:$AX$16)),0,""))</f>
        <v/>
      </c>
      <c r="S380" s="369" t="str">
        <f ca="1">IF($B380&lt;&gt;"PRC_RESID","",IF(S$7=2016+OFFSET(' COM_2017_old'!$B$60,$AW380,SUMIF($B$10:$B$16,"NCAP_TLIFE",$AX$10:$AX$16)),0,""))</f>
        <v/>
      </c>
      <c r="T380" s="369" t="str">
        <f ca="1">IF($B380&lt;&gt;"PRC_RESID","",IF(T$7=2016+OFFSET(' COM_2017_old'!$B$60,$AW380,SUMIF($B$10:$B$16,"NCAP_TLIFE",$AX$10:$AX$16)),0,""))</f>
        <v/>
      </c>
      <c r="U380" s="369" t="str">
        <f ca="1">IF($B380&lt;&gt;"PRC_RESID","",IF(U$7=2016+OFFSET(' COM_2017_old'!$B$60,$AW380,SUMIF($B$10:$B$16,"NCAP_TLIFE",$AX$10:$AX$16)),0,""))</f>
        <v/>
      </c>
      <c r="V380" s="369" t="str">
        <f ca="1">IF($B380&lt;&gt;"PRC_RESID","",IF(V$7=2016+OFFSET(' COM_2017_old'!$B$60,$AW380,SUMIF($B$10:$B$16,"NCAP_TLIFE",$AX$10:$AX$16)),0,""))</f>
        <v/>
      </c>
      <c r="W380" s="369" t="str">
        <f ca="1">IF($B380&lt;&gt;"PRC_RESID","",IF(W$7=2016+OFFSET(' COM_2017_old'!$B$60,$AW380,SUMIF($B$10:$B$16,"NCAP_TLIFE",$AX$10:$AX$16)),0,""))</f>
        <v/>
      </c>
      <c r="X380" s="369" t="str">
        <f ca="1">IF($B380&lt;&gt;"PRC_RESID","",IF(X$7=2016+OFFSET(' COM_2017_old'!$B$60,$AW380,SUMIF($B$10:$B$16,"NCAP_TLIFE",$AX$10:$AX$16)),0,""))</f>
        <v/>
      </c>
      <c r="Y380" s="369" t="str">
        <f ca="1">IF($B380&lt;&gt;"PRC_RESID","",IF(Y$7=2016+OFFSET(' COM_2017_old'!$B$60,$AW380,SUMIF($B$10:$B$16,"NCAP_TLIFE",$AX$10:$AX$16)),0,""))</f>
        <v/>
      </c>
      <c r="Z380" s="369" t="str">
        <f ca="1">IF($B380&lt;&gt;"PRC_RESID","",IF(Z$7=2016+OFFSET(' COM_2017_old'!$B$60,$AW380,SUMIF($B$10:$B$16,"NCAP_TLIFE",$AX$10:$AX$16)),0,""))</f>
        <v/>
      </c>
      <c r="AA380" s="369" t="str">
        <f ca="1">IF($B380&lt;&gt;"PRC_RESID","",IF(AA$7=2016+OFFSET(' COM_2017_old'!$B$60,$AW380,SUMIF($B$10:$B$16,"NCAP_TLIFE",$AX$10:$AX$16)),0,""))</f>
        <v/>
      </c>
      <c r="AB380" s="369" t="str">
        <f ca="1">IF($B380&lt;&gt;"PRC_RESID","",IF(AB$7=2016+OFFSET(' COM_2017_old'!$B$60,$AW380,SUMIF($B$10:$B$16,"NCAP_TLIFE",$AX$10:$AX$16)),0,""))</f>
        <v/>
      </c>
      <c r="AC380" s="369" t="str">
        <f ca="1">IF($B380&lt;&gt;"PRC_RESID","",IF(AC$7=2016+OFFSET(' COM_2017_old'!$B$60,$AW380,SUMIF($B$10:$B$16,"NCAP_TLIFE",$AX$10:$AX$16)),0,""))</f>
        <v/>
      </c>
      <c r="AD380" s="369" t="str">
        <f ca="1">IF($B380&lt;&gt;"PRC_RESID","",IF(AD$7=2016+OFFSET(' COM_2017_old'!$B$60,$AW380,SUMIF($B$10:$B$16,"NCAP_TLIFE",$AX$10:$AX$16)),0,""))</f>
        <v/>
      </c>
      <c r="AE380" s="369" t="str">
        <f ca="1">IF($B380&lt;&gt;"PRC_RESID","",IF(AE$7=2005+OFFSET(COM_2012!$B$60,$AW380,SUMIF($B$10:$B$16,"NCAP_TLIFE",$AX$10:$AX$16)),0,""))</f>
        <v/>
      </c>
      <c r="AF380" s="369" t="str">
        <f ca="1">IF($B380&lt;&gt;"PRC_RESID","",IF(AF$7=2005+OFFSET(COM_2012!$B$60,$AW380,SUMIF($B$10:$B$16,"NCAP_TLIFE",$AX$10:$AX$16)),0,""))</f>
        <v/>
      </c>
      <c r="AG380" s="369" t="str">
        <f ca="1">IF($B380&lt;&gt;"PRC_RESID","",IF(AG$7=2005+OFFSET(COM_2012!$B$60,$AW380,SUMIF($B$10:$B$16,"NCAP_TLIFE",$AX$10:$AX$16)),0,""))</f>
        <v/>
      </c>
      <c r="AH380" s="369" t="str">
        <f ca="1">IF($B380&lt;&gt;"PRC_RESID","",IF(AH$7=2005+OFFSET(COM_2012!$B$60,$AW380,SUMIF($B$10:$B$16,"NCAP_TLIFE",$AX$10:$AX$16)),0,""))</f>
        <v/>
      </c>
      <c r="AI380" s="369" t="str">
        <f ca="1">IF($B380&lt;&gt;"PRC_RESID","",IF(AI$7=2005+OFFSET(COM_2012!$B$60,$AW380,SUMIF($B$10:$B$16,"NCAP_TLIFE",$AX$10:$AX$16)),0,""))</f>
        <v/>
      </c>
      <c r="AJ380" s="369" t="str">
        <f ca="1">IF($B380&lt;&gt;"PRC_RESID","",IF(AJ$7=2005+OFFSET(COM_2012!$B$60,$AW380,SUMIF($B$10:$B$16,"NCAP_TLIFE",$AX$10:$AX$16)),0,""))</f>
        <v/>
      </c>
      <c r="AK380" s="369" t="str">
        <f ca="1">IF($B380&lt;&gt;"PRC_RESID","",IF(AK$7=2005+OFFSET(COM_2012!$B$60,$AW380,SUMIF($B$10:$B$16,"NCAP_TLIFE",$AX$10:$AX$16)),0,""))</f>
        <v/>
      </c>
      <c r="AL380" s="369" t="str">
        <f ca="1">IF($B380&lt;&gt;"PRC_RESID","",IF(AL$7=2005+OFFSET(COM_2012!$B$60,$AW380,SUMIF($B$10:$B$16,"NCAP_TLIFE",$AX$10:$AX$16)),0,""))</f>
        <v/>
      </c>
      <c r="AM380" s="369" t="str">
        <f ca="1">IF($B380&lt;&gt;"PRC_RESID","",IF(AM$7=2005+OFFSET(COM_2012!$B$60,$AW380,SUMIF($B$10:$B$16,"NCAP_TLIFE",$AX$10:$AX$16)),0,""))</f>
        <v/>
      </c>
      <c r="AN380" s="369" t="str">
        <f ca="1">IF($B380&lt;&gt;"PRC_RESID","",IF(AN$7=2005+OFFSET(COM_2012!$B$60,$AW380,SUMIF($B$10:$B$16,"NCAP_TLIFE",$AX$10:$AX$16)),0,""))</f>
        <v/>
      </c>
      <c r="AO380" s="369" t="str">
        <f ca="1">IF($B380&lt;&gt;"PRC_RESID","",IF(AO$7=2005+OFFSET(COM_2012!$B$60,$AW380,SUMIF($B$10:$B$16,"NCAP_TLIFE",$AX$10:$AX$16)),0,""))</f>
        <v/>
      </c>
      <c r="AP380" s="369" t="str">
        <f ca="1">IF($B380&lt;&gt;"PRC_RESID","",IF(AP$7=2005+OFFSET(COM_2012!$B$60,$AW380,SUMIF($B$10:$B$16,"NCAP_TLIFE",$AX$10:$AX$16)),0,""))</f>
        <v/>
      </c>
      <c r="AQ380" s="369" t="str">
        <f ca="1">IF($B380&lt;&gt;"PRC_RESID","",IF(AQ$7=2005+OFFSET(COM_2012!$B$60,$AW380,SUMIF($B$10:$B$16,"NCAP_TLIFE",$AX$10:$AX$16)),0,""))</f>
        <v/>
      </c>
      <c r="AR380" s="369" t="str">
        <f ca="1">IF($B380&lt;&gt;"PRC_RESID","",IF(AR$7=2005+OFFSET(COM_2012!$B$60,$AW380,SUMIF($B$10:$B$16,"NCAP_TLIFE",$AX$10:$AX$16)),0,""))</f>
        <v/>
      </c>
      <c r="AS380" s="369" t="str">
        <f ca="1">IF($B380&lt;&gt;"PRC_RESID","",IF(AS$7=2005+OFFSET(COM_2012!$B$60,$AW380,SUMIF($B$10:$B$16,"NCAP_TLIFE",$AX$10:$AX$16)),0,""))</f>
        <v/>
      </c>
      <c r="AT380" s="369" t="str">
        <f ca="1">IF($B380&lt;&gt;"PRC_RESID","",IF(AT$7=2005+OFFSET(COM_2012!$B$60,$AW380,SUMIF($B$10:$B$16,"NCAP_TLIFE",$AX$10:$AX$16)),0,""))</f>
        <v/>
      </c>
      <c r="AU380" s="369" t="str">
        <f ca="1">IF($B380&lt;&gt;"PRC_RESID","",IF(AU$7=2005+OFFSET(COM_2012!$B$60,$AW380,SUMIF($B$10:$B$16,"NCAP_TLIFE",$AX$10:$AX$16)),0,""))</f>
        <v/>
      </c>
      <c r="AV380" s="304">
        <f>IF(AW379=COM_2012!$AI$121,AV379+1,AV379)</f>
        <v>6</v>
      </c>
      <c r="AW380" s="304">
        <f t="shared" ref="AW380:AW391" si="40">IF(AV380=AV379,AW379+1,1)</f>
        <v>48</v>
      </c>
    </row>
    <row r="381" spans="1:49">
      <c r="A381" s="304" t="str">
        <f ca="1">IF(LEFT(OFFSET(COM_2012!$A$60,AW381,0),2)="\I","*","")</f>
        <v>*</v>
      </c>
      <c r="B381" s="369" t="str">
        <f t="shared" ca="1" si="35"/>
        <v/>
      </c>
      <c r="C381" s="369" t="str">
        <f ca="1">IF($A381="*","",OFFSET(COM_2012!$B$60,AW381,0))</f>
        <v/>
      </c>
      <c r="D381" s="369" t="str">
        <f t="shared" ca="1" si="38"/>
        <v/>
      </c>
      <c r="E381" s="369" t="str">
        <f t="shared" ca="1" si="38"/>
        <v/>
      </c>
      <c r="F381" s="369" t="str">
        <f t="shared" ca="1" si="38"/>
        <v/>
      </c>
      <c r="G381" s="369" t="str">
        <f t="shared" ca="1" si="38"/>
        <v/>
      </c>
      <c r="H381" s="369" t="str">
        <f t="shared" ca="1" si="38"/>
        <v/>
      </c>
      <c r="I381" s="370" t="str">
        <f t="shared" ca="1" si="38"/>
        <v/>
      </c>
      <c r="J381" s="391" t="str">
        <f ca="1">IF($A381="*","",OFFSET(COM_2012!$B$60,AW381,SUMIF($B$10:$B$16,B381,$AX$10:$AX$16)))</f>
        <v/>
      </c>
      <c r="K381" s="369" t="str">
        <f ca="1">IF($B381&lt;&gt;"PRC_RESID","",IF(K$7=2005+OFFSET(COM_2012!$B$60,$AW381,SUMIF($B$10:$B$16,"NCAP_TLIFE",$AX$10:$AX$16)),0,""))</f>
        <v/>
      </c>
      <c r="L381" s="369" t="str">
        <f ca="1">IF($B381&lt;&gt;"PRC_RESID","",IF(L$7=2005+OFFSET(COM_2012!$B$60,$AW381,SUMIF($B$10:$B$16,"NCAP_TLIFE",$AX$10:$AX$16)),0,""))</f>
        <v/>
      </c>
      <c r="M381" s="369" t="str">
        <f ca="1">IF($B381&lt;&gt;"PRC_RESID","",IF(M$7=2005+OFFSET(COM_2012!$B$60,$AW381,SUMIF($B$10:$B$16,"NCAP_TLIFE",$AX$10:$AX$16)),0,""))</f>
        <v/>
      </c>
      <c r="N381" s="369" t="str">
        <f ca="1">IF($B381&lt;&gt;"PRC_RESID","",IF(N$7=2005+OFFSET(COM_2012!$B$60,$AW381,SUMIF($B$10:$B$16,"NCAP_TLIFE",$AX$10:$AX$16)),0,""))</f>
        <v/>
      </c>
      <c r="O381" s="391" t="str">
        <f ca="1">IF($A381="*","",OFFSET(' COM_2017_old'!$B$60,AW381,SUMIF($B$10:$B$16,B381,$AX$10:$AX$16)))</f>
        <v/>
      </c>
      <c r="P381" s="369" t="str">
        <f ca="1">IF($B381&lt;&gt;"PRC_RESID","",IF(P$7=2005+OFFSET(COM_2012!$B$60,$AW381,SUMIF($B$10:$B$16,"NCAP_TLIFE",$AX$10:$AX$16)),0,""))</f>
        <v/>
      </c>
      <c r="Q381" s="369"/>
      <c r="R381" s="369" t="str">
        <f ca="1">IF($B381&lt;&gt;"PRC_RESID","",IF(R$7=2016+OFFSET(' COM_2017_old'!$B$60,$AW381,SUMIF($B$10:$B$16,"NCAP_TLIFE",$AX$10:$AX$16)),0,""))</f>
        <v/>
      </c>
      <c r="S381" s="369" t="str">
        <f ca="1">IF($B381&lt;&gt;"PRC_RESID","",IF(S$7=2016+OFFSET(' COM_2017_old'!$B$60,$AW381,SUMIF($B$10:$B$16,"NCAP_TLIFE",$AX$10:$AX$16)),0,""))</f>
        <v/>
      </c>
      <c r="T381" s="369" t="str">
        <f ca="1">IF($B381&lt;&gt;"PRC_RESID","",IF(T$7=2016+OFFSET(' COM_2017_old'!$B$60,$AW381,SUMIF($B$10:$B$16,"NCAP_TLIFE",$AX$10:$AX$16)),0,""))</f>
        <v/>
      </c>
      <c r="U381" s="369" t="str">
        <f ca="1">IF($B381&lt;&gt;"PRC_RESID","",IF(U$7=2016+OFFSET(' COM_2017_old'!$B$60,$AW381,SUMIF($B$10:$B$16,"NCAP_TLIFE",$AX$10:$AX$16)),0,""))</f>
        <v/>
      </c>
      <c r="V381" s="369" t="str">
        <f ca="1">IF($B381&lt;&gt;"PRC_RESID","",IF(V$7=2016+OFFSET(' COM_2017_old'!$B$60,$AW381,SUMIF($B$10:$B$16,"NCAP_TLIFE",$AX$10:$AX$16)),0,""))</f>
        <v/>
      </c>
      <c r="W381" s="369" t="str">
        <f ca="1">IF($B381&lt;&gt;"PRC_RESID","",IF(W$7=2016+OFFSET(' COM_2017_old'!$B$60,$AW381,SUMIF($B$10:$B$16,"NCAP_TLIFE",$AX$10:$AX$16)),0,""))</f>
        <v/>
      </c>
      <c r="X381" s="369" t="str">
        <f ca="1">IF($B381&lt;&gt;"PRC_RESID","",IF(X$7=2016+OFFSET(' COM_2017_old'!$B$60,$AW381,SUMIF($B$10:$B$16,"NCAP_TLIFE",$AX$10:$AX$16)),0,""))</f>
        <v/>
      </c>
      <c r="Y381" s="369" t="str">
        <f ca="1">IF($B381&lt;&gt;"PRC_RESID","",IF(Y$7=2016+OFFSET(' COM_2017_old'!$B$60,$AW381,SUMIF($B$10:$B$16,"NCAP_TLIFE",$AX$10:$AX$16)),0,""))</f>
        <v/>
      </c>
      <c r="Z381" s="369" t="str">
        <f ca="1">IF($B381&lt;&gt;"PRC_RESID","",IF(Z$7=2016+OFFSET(' COM_2017_old'!$B$60,$AW381,SUMIF($B$10:$B$16,"NCAP_TLIFE",$AX$10:$AX$16)),0,""))</f>
        <v/>
      </c>
      <c r="AA381" s="369" t="str">
        <f ca="1">IF($B381&lt;&gt;"PRC_RESID","",IF(AA$7=2016+OFFSET(' COM_2017_old'!$B$60,$AW381,SUMIF($B$10:$B$16,"NCAP_TLIFE",$AX$10:$AX$16)),0,""))</f>
        <v/>
      </c>
      <c r="AB381" s="369" t="str">
        <f ca="1">IF($B381&lt;&gt;"PRC_RESID","",IF(AB$7=2016+OFFSET(' COM_2017_old'!$B$60,$AW381,SUMIF($B$10:$B$16,"NCAP_TLIFE",$AX$10:$AX$16)),0,""))</f>
        <v/>
      </c>
      <c r="AC381" s="369" t="str">
        <f ca="1">IF($B381&lt;&gt;"PRC_RESID","",IF(AC$7=2016+OFFSET(' COM_2017_old'!$B$60,$AW381,SUMIF($B$10:$B$16,"NCAP_TLIFE",$AX$10:$AX$16)),0,""))</f>
        <v/>
      </c>
      <c r="AD381" s="369" t="str">
        <f ca="1">IF($B381&lt;&gt;"PRC_RESID","",IF(AD$7=2016+OFFSET(' COM_2017_old'!$B$60,$AW381,SUMIF($B$10:$B$16,"NCAP_TLIFE",$AX$10:$AX$16)),0,""))</f>
        <v/>
      </c>
      <c r="AE381" s="369" t="str">
        <f ca="1">IF($B381&lt;&gt;"PRC_RESID","",IF(AE$7=2005+OFFSET(COM_2012!$B$60,$AW381,SUMIF($B$10:$B$16,"NCAP_TLIFE",$AX$10:$AX$16)),0,""))</f>
        <v/>
      </c>
      <c r="AF381" s="369" t="str">
        <f ca="1">IF($B381&lt;&gt;"PRC_RESID","",IF(AF$7=2005+OFFSET(COM_2012!$B$60,$AW381,SUMIF($B$10:$B$16,"NCAP_TLIFE",$AX$10:$AX$16)),0,""))</f>
        <v/>
      </c>
      <c r="AG381" s="369" t="str">
        <f ca="1">IF($B381&lt;&gt;"PRC_RESID","",IF(AG$7=2005+OFFSET(COM_2012!$B$60,$AW381,SUMIF($B$10:$B$16,"NCAP_TLIFE",$AX$10:$AX$16)),0,""))</f>
        <v/>
      </c>
      <c r="AH381" s="369" t="str">
        <f ca="1">IF($B381&lt;&gt;"PRC_RESID","",IF(AH$7=2005+OFFSET(COM_2012!$B$60,$AW381,SUMIF($B$10:$B$16,"NCAP_TLIFE",$AX$10:$AX$16)),0,""))</f>
        <v/>
      </c>
      <c r="AI381" s="369" t="str">
        <f ca="1">IF($B381&lt;&gt;"PRC_RESID","",IF(AI$7=2005+OFFSET(COM_2012!$B$60,$AW381,SUMIF($B$10:$B$16,"NCAP_TLIFE",$AX$10:$AX$16)),0,""))</f>
        <v/>
      </c>
      <c r="AJ381" s="369" t="str">
        <f ca="1">IF($B381&lt;&gt;"PRC_RESID","",IF(AJ$7=2005+OFFSET(COM_2012!$B$60,$AW381,SUMIF($B$10:$B$16,"NCAP_TLIFE",$AX$10:$AX$16)),0,""))</f>
        <v/>
      </c>
      <c r="AK381" s="369" t="str">
        <f ca="1">IF($B381&lt;&gt;"PRC_RESID","",IF(AK$7=2005+OFFSET(COM_2012!$B$60,$AW381,SUMIF($B$10:$B$16,"NCAP_TLIFE",$AX$10:$AX$16)),0,""))</f>
        <v/>
      </c>
      <c r="AL381" s="369" t="str">
        <f ca="1">IF($B381&lt;&gt;"PRC_RESID","",IF(AL$7=2005+OFFSET(COM_2012!$B$60,$AW381,SUMIF($B$10:$B$16,"NCAP_TLIFE",$AX$10:$AX$16)),0,""))</f>
        <v/>
      </c>
      <c r="AM381" s="369" t="str">
        <f ca="1">IF($B381&lt;&gt;"PRC_RESID","",IF(AM$7=2005+OFFSET(COM_2012!$B$60,$AW381,SUMIF($B$10:$B$16,"NCAP_TLIFE",$AX$10:$AX$16)),0,""))</f>
        <v/>
      </c>
      <c r="AN381" s="369" t="str">
        <f ca="1">IF($B381&lt;&gt;"PRC_RESID","",IF(AN$7=2005+OFFSET(COM_2012!$B$60,$AW381,SUMIF($B$10:$B$16,"NCAP_TLIFE",$AX$10:$AX$16)),0,""))</f>
        <v/>
      </c>
      <c r="AO381" s="369" t="str">
        <f ca="1">IF($B381&lt;&gt;"PRC_RESID","",IF(AO$7=2005+OFFSET(COM_2012!$B$60,$AW381,SUMIF($B$10:$B$16,"NCAP_TLIFE",$AX$10:$AX$16)),0,""))</f>
        <v/>
      </c>
      <c r="AP381" s="369" t="str">
        <f ca="1">IF($B381&lt;&gt;"PRC_RESID","",IF(AP$7=2005+OFFSET(COM_2012!$B$60,$AW381,SUMIF($B$10:$B$16,"NCAP_TLIFE",$AX$10:$AX$16)),0,""))</f>
        <v/>
      </c>
      <c r="AQ381" s="369" t="str">
        <f ca="1">IF($B381&lt;&gt;"PRC_RESID","",IF(AQ$7=2005+OFFSET(COM_2012!$B$60,$AW381,SUMIF($B$10:$B$16,"NCAP_TLIFE",$AX$10:$AX$16)),0,""))</f>
        <v/>
      </c>
      <c r="AR381" s="369" t="str">
        <f ca="1">IF($B381&lt;&gt;"PRC_RESID","",IF(AR$7=2005+OFFSET(COM_2012!$B$60,$AW381,SUMIF($B$10:$B$16,"NCAP_TLIFE",$AX$10:$AX$16)),0,""))</f>
        <v/>
      </c>
      <c r="AS381" s="369" t="str">
        <f ca="1">IF($B381&lt;&gt;"PRC_RESID","",IF(AS$7=2005+OFFSET(COM_2012!$B$60,$AW381,SUMIF($B$10:$B$16,"NCAP_TLIFE",$AX$10:$AX$16)),0,""))</f>
        <v/>
      </c>
      <c r="AT381" s="369" t="str">
        <f ca="1">IF($B381&lt;&gt;"PRC_RESID","",IF(AT$7=2005+OFFSET(COM_2012!$B$60,$AW381,SUMIF($B$10:$B$16,"NCAP_TLIFE",$AX$10:$AX$16)),0,""))</f>
        <v/>
      </c>
      <c r="AU381" s="369" t="str">
        <f ca="1">IF($B381&lt;&gt;"PRC_RESID","",IF(AU$7=2005+OFFSET(COM_2012!$B$60,$AW381,SUMIF($B$10:$B$16,"NCAP_TLIFE",$AX$10:$AX$16)),0,""))</f>
        <v/>
      </c>
      <c r="AV381" s="304">
        <f>IF(AW380=COM_2012!$AI$121,AV380+1,AV380)</f>
        <v>6</v>
      </c>
      <c r="AW381" s="304">
        <f t="shared" si="40"/>
        <v>49</v>
      </c>
    </row>
    <row r="382" spans="1:49">
      <c r="A382" s="304" t="str">
        <f ca="1">IF(LEFT(OFFSET(COM_2012!$A$60,AW382,0),2)="\I","*","")</f>
        <v/>
      </c>
      <c r="B382" s="369" t="str">
        <f t="shared" ca="1" si="35"/>
        <v>PRC_RESID</v>
      </c>
      <c r="C382" s="369" t="str">
        <f ca="1">IF($A382="*","",OFFSET(COM_2012!$B$60,AW382,0))</f>
        <v>CETELC-E</v>
      </c>
      <c r="D382" s="369" t="str">
        <f t="shared" ca="1" si="38"/>
        <v>-</v>
      </c>
      <c r="E382" s="369" t="str">
        <f t="shared" ca="1" si="38"/>
        <v>-</v>
      </c>
      <c r="F382" s="369" t="str">
        <f t="shared" ca="1" si="38"/>
        <v>-</v>
      </c>
      <c r="G382" s="369" t="str">
        <f t="shared" ca="1" si="38"/>
        <v>-</v>
      </c>
      <c r="H382" s="369" t="str">
        <f t="shared" ca="1" si="38"/>
        <v>-</v>
      </c>
      <c r="I382" s="370">
        <f t="shared" ca="1" si="38"/>
        <v>0</v>
      </c>
      <c r="J382" s="391">
        <f ca="1">IF($A382="*","",OFFSET(COM_2012!$B$60,AW382,SUMIF($B$10:$B$16,B382,$AX$10:$AX$16)))</f>
        <v>3.9934379543939782</v>
      </c>
      <c r="K382" s="369" t="str">
        <f ca="1">IF($B382&lt;&gt;"PRC_RESID","",IF(K$7=2005+OFFSET(COM_2012!$B$60,$AW382,SUMIF($B$10:$B$16,"NCAP_TLIFE",$AX$10:$AX$16)),0,""))</f>
        <v/>
      </c>
      <c r="L382" s="369" t="str">
        <f ca="1">IF($B382&lt;&gt;"PRC_RESID","",IF(L$7=2005+OFFSET(COM_2012!$B$60,$AW382,SUMIF($B$10:$B$16,"NCAP_TLIFE",$AX$10:$AX$16)),0,""))</f>
        <v/>
      </c>
      <c r="M382" s="369" t="str">
        <f ca="1">IF($B382&lt;&gt;"PRC_RESID","",IF(M$7=2005+OFFSET(COM_2012!$B$60,$AW382,SUMIF($B$10:$B$16,"NCAP_TLIFE",$AX$10:$AX$16)),0,""))</f>
        <v/>
      </c>
      <c r="N382" s="369" t="str">
        <f ca="1">IF($B382&lt;&gt;"PRC_RESID","",IF(N$7=2005+OFFSET(COM_2012!$B$60,$AW382,SUMIF($B$10:$B$16,"NCAP_TLIFE",$AX$10:$AX$16)),0,""))</f>
        <v/>
      </c>
      <c r="O382" s="391">
        <f ca="1">IF($A382="*","",OFFSET(' COM_2017_old'!$B$60,AW382,SUMIF($B$10:$B$16,B382,$AX$10:$AX$16)))</f>
        <v>3.4392735439358675</v>
      </c>
      <c r="P382" s="369" t="str">
        <f ca="1">IF($B382&lt;&gt;"PRC_RESID","",IF(P$7=2005+OFFSET(COM_2012!$B$60,$AW382,SUMIF($B$10:$B$16,"NCAP_TLIFE",$AX$10:$AX$16)),0,""))</f>
        <v/>
      </c>
      <c r="Q382" s="369"/>
      <c r="R382" s="369" t="str">
        <f ca="1">IF($B382&lt;&gt;"PRC_RESID","",IF(R$7=2016+OFFSET(' COM_2017_old'!$B$60,$AW382,SUMIF($B$10:$B$16,"NCAP_TLIFE",$AX$10:$AX$16)),0,""))</f>
        <v/>
      </c>
      <c r="S382" s="369" t="str">
        <f ca="1">IF($B382&lt;&gt;"PRC_RESID","",IF(S$7=2016+OFFSET(' COM_2017_old'!$B$60,$AW382,SUMIF($B$10:$B$16,"NCAP_TLIFE",$AX$10:$AX$16)),0,""))</f>
        <v/>
      </c>
      <c r="T382" s="369" t="str">
        <f ca="1">IF($B382&lt;&gt;"PRC_RESID","",IF(T$7=2016+OFFSET(' COM_2017_old'!$B$60,$AW382,SUMIF($B$10:$B$16,"NCAP_TLIFE",$AX$10:$AX$16)),0,""))</f>
        <v/>
      </c>
      <c r="U382" s="369" t="str">
        <f ca="1">IF($B382&lt;&gt;"PRC_RESID","",IF(U$7=2016+OFFSET(' COM_2017_old'!$B$60,$AW382,SUMIF($B$10:$B$16,"NCAP_TLIFE",$AX$10:$AX$16)),0,""))</f>
        <v/>
      </c>
      <c r="V382" s="369" t="str">
        <f ca="1">IF($B382&lt;&gt;"PRC_RESID","",IF(V$7=2016+OFFSET(' COM_2017_old'!$B$60,$AW382,SUMIF($B$10:$B$16,"NCAP_TLIFE",$AX$10:$AX$16)),0,""))</f>
        <v/>
      </c>
      <c r="W382" s="369" t="str">
        <f ca="1">IF($B382&lt;&gt;"PRC_RESID","",IF(W$7=2016+OFFSET(' COM_2017_old'!$B$60,$AW382,SUMIF($B$10:$B$16,"NCAP_TLIFE",$AX$10:$AX$16)),0,""))</f>
        <v/>
      </c>
      <c r="X382" s="369" t="str">
        <f ca="1">IF($B382&lt;&gt;"PRC_RESID","",IF(X$7=2016+OFFSET(' COM_2017_old'!$B$60,$AW382,SUMIF($B$10:$B$16,"NCAP_TLIFE",$AX$10:$AX$16)),0,""))</f>
        <v/>
      </c>
      <c r="Y382" s="369" t="str">
        <f ca="1">IF($B382&lt;&gt;"PRC_RESID","",IF(Y$7=2016+OFFSET(' COM_2017_old'!$B$60,$AW382,SUMIF($B$10:$B$16,"NCAP_TLIFE",$AX$10:$AX$16)),0,""))</f>
        <v/>
      </c>
      <c r="Z382" s="369" t="str">
        <f ca="1">IF($B382&lt;&gt;"PRC_RESID","",IF(Z$7=2016+OFFSET(' COM_2017_old'!$B$60,$AW382,SUMIF($B$10:$B$16,"NCAP_TLIFE",$AX$10:$AX$16)),0,""))</f>
        <v/>
      </c>
      <c r="AA382" s="369" t="str">
        <f ca="1">IF($B382&lt;&gt;"PRC_RESID","",IF(AA$7=2016+OFFSET(' COM_2017_old'!$B$60,$AW382,SUMIF($B$10:$B$16,"NCAP_TLIFE",$AX$10:$AX$16)),0,""))</f>
        <v/>
      </c>
      <c r="AB382" s="369" t="str">
        <f ca="1">IF($B382&lt;&gt;"PRC_RESID","",IF(AB$7=2016+OFFSET(' COM_2017_old'!$B$60,$AW382,SUMIF($B$10:$B$16,"NCAP_TLIFE",$AX$10:$AX$16)),0,""))</f>
        <v/>
      </c>
      <c r="AC382" s="369">
        <f ca="1">IF($B382&lt;&gt;"PRC_RESID","",IF(AC$7=2016+OFFSET(' COM_2017_old'!$B$60,$AW382,SUMIF($B$10:$B$16,"NCAP_TLIFE",$AX$10:$AX$16)),0,""))</f>
        <v>0</v>
      </c>
      <c r="AD382" s="369" t="str">
        <f ca="1">IF($B382&lt;&gt;"PRC_RESID","",IF(AD$7=2016+OFFSET(' COM_2017_old'!$B$60,$AW382,SUMIF($B$10:$B$16,"NCAP_TLIFE",$AX$10:$AX$16)),0,""))</f>
        <v/>
      </c>
      <c r="AE382" s="369" t="str">
        <f ca="1">IF($B382&lt;&gt;"PRC_RESID","",IF(AE$7=2005+OFFSET(COM_2012!$B$60,$AW382,SUMIF($B$10:$B$16,"NCAP_TLIFE",$AX$10:$AX$16)),0,""))</f>
        <v/>
      </c>
      <c r="AF382" s="369" t="str">
        <f ca="1">IF($B382&lt;&gt;"PRC_RESID","",IF(AF$7=2005+OFFSET(COM_2012!$B$60,$AW382,SUMIF($B$10:$B$16,"NCAP_TLIFE",$AX$10:$AX$16)),0,""))</f>
        <v/>
      </c>
      <c r="AG382" s="369" t="str">
        <f ca="1">IF($B382&lt;&gt;"PRC_RESID","",IF(AG$7=2005+OFFSET(COM_2012!$B$60,$AW382,SUMIF($B$10:$B$16,"NCAP_TLIFE",$AX$10:$AX$16)),0,""))</f>
        <v/>
      </c>
      <c r="AH382" s="369" t="str">
        <f ca="1">IF($B382&lt;&gt;"PRC_RESID","",IF(AH$7=2005+OFFSET(COM_2012!$B$60,$AW382,SUMIF($B$10:$B$16,"NCAP_TLIFE",$AX$10:$AX$16)),0,""))</f>
        <v/>
      </c>
      <c r="AI382" s="369" t="str">
        <f ca="1">IF($B382&lt;&gt;"PRC_RESID","",IF(AI$7=2005+OFFSET(COM_2012!$B$60,$AW382,SUMIF($B$10:$B$16,"NCAP_TLIFE",$AX$10:$AX$16)),0,""))</f>
        <v/>
      </c>
      <c r="AJ382" s="369" t="str">
        <f ca="1">IF($B382&lt;&gt;"PRC_RESID","",IF(AJ$7=2005+OFFSET(COM_2012!$B$60,$AW382,SUMIF($B$10:$B$16,"NCAP_TLIFE",$AX$10:$AX$16)),0,""))</f>
        <v/>
      </c>
      <c r="AK382" s="369" t="str">
        <f ca="1">IF($B382&lt;&gt;"PRC_RESID","",IF(AK$7=2005+OFFSET(COM_2012!$B$60,$AW382,SUMIF($B$10:$B$16,"NCAP_TLIFE",$AX$10:$AX$16)),0,""))</f>
        <v/>
      </c>
      <c r="AL382" s="369" t="str">
        <f ca="1">IF($B382&lt;&gt;"PRC_RESID","",IF(AL$7=2005+OFFSET(COM_2012!$B$60,$AW382,SUMIF($B$10:$B$16,"NCAP_TLIFE",$AX$10:$AX$16)),0,""))</f>
        <v/>
      </c>
      <c r="AM382" s="369" t="str">
        <f ca="1">IF($B382&lt;&gt;"PRC_RESID","",IF(AM$7=2005+OFFSET(COM_2012!$B$60,$AW382,SUMIF($B$10:$B$16,"NCAP_TLIFE",$AX$10:$AX$16)),0,""))</f>
        <v/>
      </c>
      <c r="AN382" s="369" t="str">
        <f ca="1">IF($B382&lt;&gt;"PRC_RESID","",IF(AN$7=2005+OFFSET(COM_2012!$B$60,$AW382,SUMIF($B$10:$B$16,"NCAP_TLIFE",$AX$10:$AX$16)),0,""))</f>
        <v/>
      </c>
      <c r="AO382" s="369" t="str">
        <f ca="1">IF($B382&lt;&gt;"PRC_RESID","",IF(AO$7=2005+OFFSET(COM_2012!$B$60,$AW382,SUMIF($B$10:$B$16,"NCAP_TLIFE",$AX$10:$AX$16)),0,""))</f>
        <v/>
      </c>
      <c r="AP382" s="369" t="str">
        <f ca="1">IF($B382&lt;&gt;"PRC_RESID","",IF(AP$7=2005+OFFSET(COM_2012!$B$60,$AW382,SUMIF($B$10:$B$16,"NCAP_TLIFE",$AX$10:$AX$16)),0,""))</f>
        <v/>
      </c>
      <c r="AQ382" s="369" t="str">
        <f ca="1">IF($B382&lt;&gt;"PRC_RESID","",IF(AQ$7=2005+OFFSET(COM_2012!$B$60,$AW382,SUMIF($B$10:$B$16,"NCAP_TLIFE",$AX$10:$AX$16)),0,""))</f>
        <v/>
      </c>
      <c r="AR382" s="369" t="str">
        <f ca="1">IF($B382&lt;&gt;"PRC_RESID","",IF(AR$7=2005+OFFSET(COM_2012!$B$60,$AW382,SUMIF($B$10:$B$16,"NCAP_TLIFE",$AX$10:$AX$16)),0,""))</f>
        <v/>
      </c>
      <c r="AS382" s="369" t="str">
        <f ca="1">IF($B382&lt;&gt;"PRC_RESID","",IF(AS$7=2005+OFFSET(COM_2012!$B$60,$AW382,SUMIF($B$10:$B$16,"NCAP_TLIFE",$AX$10:$AX$16)),0,""))</f>
        <v/>
      </c>
      <c r="AT382" s="369" t="str">
        <f ca="1">IF($B382&lt;&gt;"PRC_RESID","",IF(AT$7=2005+OFFSET(COM_2012!$B$60,$AW382,SUMIF($B$10:$B$16,"NCAP_TLIFE",$AX$10:$AX$16)),0,""))</f>
        <v/>
      </c>
      <c r="AU382" s="369" t="str">
        <f ca="1">IF($B382&lt;&gt;"PRC_RESID","",IF(AU$7=2005+OFFSET(COM_2012!$B$60,$AW382,SUMIF($B$10:$B$16,"NCAP_TLIFE",$AX$10:$AX$16)),0,""))</f>
        <v/>
      </c>
      <c r="AV382" s="304">
        <f>IF(AW381=COM_2012!$AI$121,AV381+1,AV381)</f>
        <v>6</v>
      </c>
      <c r="AW382" s="304">
        <f t="shared" si="40"/>
        <v>50</v>
      </c>
    </row>
    <row r="383" spans="1:49">
      <c r="A383" s="304" t="str">
        <f ca="1">IF(LEFT(OFFSET(COM_2012!$A$60,AW383,0),2)="\I","*","")</f>
        <v>*</v>
      </c>
      <c r="B383" s="369" t="str">
        <f t="shared" ca="1" si="35"/>
        <v/>
      </c>
      <c r="C383" s="369" t="str">
        <f ca="1">IF($A383="*","",OFFSET(COM_2012!$B$60,AW383,0))</f>
        <v/>
      </c>
      <c r="D383" s="369" t="str">
        <f t="shared" ca="1" si="38"/>
        <v/>
      </c>
      <c r="E383" s="369" t="str">
        <f t="shared" ca="1" si="38"/>
        <v/>
      </c>
      <c r="F383" s="369" t="str">
        <f t="shared" ca="1" si="38"/>
        <v/>
      </c>
      <c r="G383" s="369" t="str">
        <f t="shared" ca="1" si="38"/>
        <v/>
      </c>
      <c r="H383" s="369" t="str">
        <f t="shared" ca="1" si="38"/>
        <v/>
      </c>
      <c r="I383" s="370" t="str">
        <f t="shared" ca="1" si="38"/>
        <v/>
      </c>
      <c r="J383" s="391" t="str">
        <f ca="1">IF($A383="*","",OFFSET(COM_2012!$B$60,AW383,SUMIF($B$10:$B$16,B383,$AX$10:$AX$16)))</f>
        <v/>
      </c>
      <c r="K383" s="369" t="str">
        <f ca="1">IF($B383&lt;&gt;"PRC_RESID","",IF(K$7=2005+OFFSET(COM_2012!$B$60,$AW383,SUMIF($B$10:$B$16,"NCAP_TLIFE",$AX$10:$AX$16)),0,""))</f>
        <v/>
      </c>
      <c r="L383" s="369" t="str">
        <f ca="1">IF($B383&lt;&gt;"PRC_RESID","",IF(L$7=2005+OFFSET(COM_2012!$B$60,$AW383,SUMIF($B$10:$B$16,"NCAP_TLIFE",$AX$10:$AX$16)),0,""))</f>
        <v/>
      </c>
      <c r="M383" s="369" t="str">
        <f ca="1">IF($B383&lt;&gt;"PRC_RESID","",IF(M$7=2005+OFFSET(COM_2012!$B$60,$AW383,SUMIF($B$10:$B$16,"NCAP_TLIFE",$AX$10:$AX$16)),0,""))</f>
        <v/>
      </c>
      <c r="N383" s="369" t="str">
        <f ca="1">IF($B383&lt;&gt;"PRC_RESID","",IF(N$7=2005+OFFSET(COM_2012!$B$60,$AW383,SUMIF($B$10:$B$16,"NCAP_TLIFE",$AX$10:$AX$16)),0,""))</f>
        <v/>
      </c>
      <c r="O383" s="391" t="str">
        <f ca="1">IF($A383="*","",OFFSET(' COM_2017_old'!$B$60,AW383,SUMIF($B$10:$B$16,B383,$AX$10:$AX$16)))</f>
        <v/>
      </c>
      <c r="P383" s="369" t="str">
        <f ca="1">IF($B383&lt;&gt;"PRC_RESID","",IF(P$7=2005+OFFSET(COM_2012!$B$60,$AW383,SUMIF($B$10:$B$16,"NCAP_TLIFE",$AX$10:$AX$16)),0,""))</f>
        <v/>
      </c>
      <c r="Q383" s="369"/>
      <c r="R383" s="369" t="str">
        <f ca="1">IF($B383&lt;&gt;"PRC_RESID","",IF(R$7=2016+OFFSET(' COM_2017_old'!$B$60,$AW383,SUMIF($B$10:$B$16,"NCAP_TLIFE",$AX$10:$AX$16)),0,""))</f>
        <v/>
      </c>
      <c r="S383" s="369" t="str">
        <f ca="1">IF($B383&lt;&gt;"PRC_RESID","",IF(S$7=2016+OFFSET(' COM_2017_old'!$B$60,$AW383,SUMIF($B$10:$B$16,"NCAP_TLIFE",$AX$10:$AX$16)),0,""))</f>
        <v/>
      </c>
      <c r="T383" s="369" t="str">
        <f ca="1">IF($B383&lt;&gt;"PRC_RESID","",IF(T$7=2016+OFFSET(' COM_2017_old'!$B$60,$AW383,SUMIF($B$10:$B$16,"NCAP_TLIFE",$AX$10:$AX$16)),0,""))</f>
        <v/>
      </c>
      <c r="U383" s="369" t="str">
        <f ca="1">IF($B383&lt;&gt;"PRC_RESID","",IF(U$7=2016+OFFSET(' COM_2017_old'!$B$60,$AW383,SUMIF($B$10:$B$16,"NCAP_TLIFE",$AX$10:$AX$16)),0,""))</f>
        <v/>
      </c>
      <c r="V383" s="369" t="str">
        <f ca="1">IF($B383&lt;&gt;"PRC_RESID","",IF(V$7=2016+OFFSET(' COM_2017_old'!$B$60,$AW383,SUMIF($B$10:$B$16,"NCAP_TLIFE",$AX$10:$AX$16)),0,""))</f>
        <v/>
      </c>
      <c r="W383" s="369" t="str">
        <f ca="1">IF($B383&lt;&gt;"PRC_RESID","",IF(W$7=2016+OFFSET(' COM_2017_old'!$B$60,$AW383,SUMIF($B$10:$B$16,"NCAP_TLIFE",$AX$10:$AX$16)),0,""))</f>
        <v/>
      </c>
      <c r="X383" s="369" t="str">
        <f ca="1">IF($B383&lt;&gt;"PRC_RESID","",IF(X$7=2016+OFFSET(' COM_2017_old'!$B$60,$AW383,SUMIF($B$10:$B$16,"NCAP_TLIFE",$AX$10:$AX$16)),0,""))</f>
        <v/>
      </c>
      <c r="Y383" s="369" t="str">
        <f ca="1">IF($B383&lt;&gt;"PRC_RESID","",IF(Y$7=2016+OFFSET(' COM_2017_old'!$B$60,$AW383,SUMIF($B$10:$B$16,"NCAP_TLIFE",$AX$10:$AX$16)),0,""))</f>
        <v/>
      </c>
      <c r="Z383" s="369" t="str">
        <f ca="1">IF($B383&lt;&gt;"PRC_RESID","",IF(Z$7=2016+OFFSET(' COM_2017_old'!$B$60,$AW383,SUMIF($B$10:$B$16,"NCAP_TLIFE",$AX$10:$AX$16)),0,""))</f>
        <v/>
      </c>
      <c r="AA383" s="369" t="str">
        <f ca="1">IF($B383&lt;&gt;"PRC_RESID","",IF(AA$7=2016+OFFSET(' COM_2017_old'!$B$60,$AW383,SUMIF($B$10:$B$16,"NCAP_TLIFE",$AX$10:$AX$16)),0,""))</f>
        <v/>
      </c>
      <c r="AB383" s="369" t="str">
        <f ca="1">IF($B383&lt;&gt;"PRC_RESID","",IF(AB$7=2016+OFFSET(' COM_2017_old'!$B$60,$AW383,SUMIF($B$10:$B$16,"NCAP_TLIFE",$AX$10:$AX$16)),0,""))</f>
        <v/>
      </c>
      <c r="AC383" s="369" t="str">
        <f ca="1">IF($B383&lt;&gt;"PRC_RESID","",IF(AC$7=2016+OFFSET(' COM_2017_old'!$B$60,$AW383,SUMIF($B$10:$B$16,"NCAP_TLIFE",$AX$10:$AX$16)),0,""))</f>
        <v/>
      </c>
      <c r="AD383" s="369" t="str">
        <f ca="1">IF($B383&lt;&gt;"PRC_RESID","",IF(AD$7=2016+OFFSET(' COM_2017_old'!$B$60,$AW383,SUMIF($B$10:$B$16,"NCAP_TLIFE",$AX$10:$AX$16)),0,""))</f>
        <v/>
      </c>
      <c r="AE383" s="369" t="str">
        <f ca="1">IF($B383&lt;&gt;"PRC_RESID","",IF(AE$7=2005+OFFSET(COM_2012!$B$60,$AW383,SUMIF($B$10:$B$16,"NCAP_TLIFE",$AX$10:$AX$16)),0,""))</f>
        <v/>
      </c>
      <c r="AF383" s="369" t="str">
        <f ca="1">IF($B383&lt;&gt;"PRC_RESID","",IF(AF$7=2005+OFFSET(COM_2012!$B$60,$AW383,SUMIF($B$10:$B$16,"NCAP_TLIFE",$AX$10:$AX$16)),0,""))</f>
        <v/>
      </c>
      <c r="AG383" s="369" t="str">
        <f ca="1">IF($B383&lt;&gt;"PRC_RESID","",IF(AG$7=2005+OFFSET(COM_2012!$B$60,$AW383,SUMIF($B$10:$B$16,"NCAP_TLIFE",$AX$10:$AX$16)),0,""))</f>
        <v/>
      </c>
      <c r="AH383" s="369" t="str">
        <f ca="1">IF($B383&lt;&gt;"PRC_RESID","",IF(AH$7=2005+OFFSET(COM_2012!$B$60,$AW383,SUMIF($B$10:$B$16,"NCAP_TLIFE",$AX$10:$AX$16)),0,""))</f>
        <v/>
      </c>
      <c r="AI383" s="369" t="str">
        <f ca="1">IF($B383&lt;&gt;"PRC_RESID","",IF(AI$7=2005+OFFSET(COM_2012!$B$60,$AW383,SUMIF($B$10:$B$16,"NCAP_TLIFE",$AX$10:$AX$16)),0,""))</f>
        <v/>
      </c>
      <c r="AJ383" s="369" t="str">
        <f ca="1">IF($B383&lt;&gt;"PRC_RESID","",IF(AJ$7=2005+OFFSET(COM_2012!$B$60,$AW383,SUMIF($B$10:$B$16,"NCAP_TLIFE",$AX$10:$AX$16)),0,""))</f>
        <v/>
      </c>
      <c r="AK383" s="369" t="str">
        <f ca="1">IF($B383&lt;&gt;"PRC_RESID","",IF(AK$7=2005+OFFSET(COM_2012!$B$60,$AW383,SUMIF($B$10:$B$16,"NCAP_TLIFE",$AX$10:$AX$16)),0,""))</f>
        <v/>
      </c>
      <c r="AL383" s="369" t="str">
        <f ca="1">IF($B383&lt;&gt;"PRC_RESID","",IF(AL$7=2005+OFFSET(COM_2012!$B$60,$AW383,SUMIF($B$10:$B$16,"NCAP_TLIFE",$AX$10:$AX$16)),0,""))</f>
        <v/>
      </c>
      <c r="AM383" s="369" t="str">
        <f ca="1">IF($B383&lt;&gt;"PRC_RESID","",IF(AM$7=2005+OFFSET(COM_2012!$B$60,$AW383,SUMIF($B$10:$B$16,"NCAP_TLIFE",$AX$10:$AX$16)),0,""))</f>
        <v/>
      </c>
      <c r="AN383" s="369" t="str">
        <f ca="1">IF($B383&lt;&gt;"PRC_RESID","",IF(AN$7=2005+OFFSET(COM_2012!$B$60,$AW383,SUMIF($B$10:$B$16,"NCAP_TLIFE",$AX$10:$AX$16)),0,""))</f>
        <v/>
      </c>
      <c r="AO383" s="369" t="str">
        <f ca="1">IF($B383&lt;&gt;"PRC_RESID","",IF(AO$7=2005+OFFSET(COM_2012!$B$60,$AW383,SUMIF($B$10:$B$16,"NCAP_TLIFE",$AX$10:$AX$16)),0,""))</f>
        <v/>
      </c>
      <c r="AP383" s="369" t="str">
        <f ca="1">IF($B383&lt;&gt;"PRC_RESID","",IF(AP$7=2005+OFFSET(COM_2012!$B$60,$AW383,SUMIF($B$10:$B$16,"NCAP_TLIFE",$AX$10:$AX$16)),0,""))</f>
        <v/>
      </c>
      <c r="AQ383" s="369" t="str">
        <f ca="1">IF($B383&lt;&gt;"PRC_RESID","",IF(AQ$7=2005+OFFSET(COM_2012!$B$60,$AW383,SUMIF($B$10:$B$16,"NCAP_TLIFE",$AX$10:$AX$16)),0,""))</f>
        <v/>
      </c>
      <c r="AR383" s="369" t="str">
        <f ca="1">IF($B383&lt;&gt;"PRC_RESID","",IF(AR$7=2005+OFFSET(COM_2012!$B$60,$AW383,SUMIF($B$10:$B$16,"NCAP_TLIFE",$AX$10:$AX$16)),0,""))</f>
        <v/>
      </c>
      <c r="AS383" s="369" t="str">
        <f ca="1">IF($B383&lt;&gt;"PRC_RESID","",IF(AS$7=2005+OFFSET(COM_2012!$B$60,$AW383,SUMIF($B$10:$B$16,"NCAP_TLIFE",$AX$10:$AX$16)),0,""))</f>
        <v/>
      </c>
      <c r="AT383" s="369" t="str">
        <f ca="1">IF($B383&lt;&gt;"PRC_RESID","",IF(AT$7=2005+OFFSET(COM_2012!$B$60,$AW383,SUMIF($B$10:$B$16,"NCAP_TLIFE",$AX$10:$AX$16)),0,""))</f>
        <v/>
      </c>
      <c r="AU383" s="369" t="str">
        <f ca="1">IF($B383&lt;&gt;"PRC_RESID","",IF(AU$7=2005+OFFSET(COM_2012!$B$60,$AW383,SUMIF($B$10:$B$16,"NCAP_TLIFE",$AX$10:$AX$16)),0,""))</f>
        <v/>
      </c>
      <c r="AV383" s="304">
        <f>IF(AW382=COM_2012!$AI$121,AV382+1,AV382)</f>
        <v>6</v>
      </c>
      <c r="AW383" s="304">
        <f t="shared" si="40"/>
        <v>51</v>
      </c>
    </row>
    <row r="384" spans="1:49">
      <c r="A384" s="304" t="str">
        <f ca="1">IF(LEFT(OFFSET(COM_2012!$A$60,AW384,0),2)="\I","*","")</f>
        <v>*</v>
      </c>
      <c r="B384" s="369" t="str">
        <f t="shared" ca="1" si="35"/>
        <v/>
      </c>
      <c r="C384" s="369" t="str">
        <f ca="1">IF($A384="*","",OFFSET(COM_2012!$B$60,AW384,0))</f>
        <v/>
      </c>
      <c r="D384" s="369" t="str">
        <f t="shared" ca="1" si="38"/>
        <v/>
      </c>
      <c r="E384" s="369" t="str">
        <f t="shared" ca="1" si="38"/>
        <v/>
      </c>
      <c r="F384" s="369" t="str">
        <f t="shared" ca="1" si="38"/>
        <v/>
      </c>
      <c r="G384" s="369" t="str">
        <f t="shared" ca="1" si="38"/>
        <v/>
      </c>
      <c r="H384" s="369" t="str">
        <f t="shared" ca="1" si="38"/>
        <v/>
      </c>
      <c r="I384" s="370" t="str">
        <f t="shared" ca="1" si="38"/>
        <v/>
      </c>
      <c r="J384" s="391" t="str">
        <f ca="1">IF($A384="*","",OFFSET(COM_2012!$B$60,AW384,SUMIF($B$10:$B$16,B384,$AX$10:$AX$16)))</f>
        <v/>
      </c>
      <c r="K384" s="369" t="str">
        <f ca="1">IF($B384&lt;&gt;"PRC_RESID","",IF(K$7=2005+OFFSET(COM_2012!$B$60,$AW384,SUMIF($B$10:$B$16,"NCAP_TLIFE",$AX$10:$AX$16)),0,""))</f>
        <v/>
      </c>
      <c r="L384" s="369" t="str">
        <f ca="1">IF($B384&lt;&gt;"PRC_RESID","",IF(L$7=2005+OFFSET(COM_2012!$B$60,$AW384,SUMIF($B$10:$B$16,"NCAP_TLIFE",$AX$10:$AX$16)),0,""))</f>
        <v/>
      </c>
      <c r="M384" s="369" t="str">
        <f ca="1">IF($B384&lt;&gt;"PRC_RESID","",IF(M$7=2005+OFFSET(COM_2012!$B$60,$AW384,SUMIF($B$10:$B$16,"NCAP_TLIFE",$AX$10:$AX$16)),0,""))</f>
        <v/>
      </c>
      <c r="N384" s="369" t="str">
        <f ca="1">IF($B384&lt;&gt;"PRC_RESID","",IF(N$7=2005+OFFSET(COM_2012!$B$60,$AW384,SUMIF($B$10:$B$16,"NCAP_TLIFE",$AX$10:$AX$16)),0,""))</f>
        <v/>
      </c>
      <c r="O384" s="391" t="str">
        <f ca="1">IF($A384="*","",OFFSET(' COM_2017_old'!$B$60,AW384,SUMIF($B$10:$B$16,B384,$AX$10:$AX$16)))</f>
        <v/>
      </c>
      <c r="P384" s="369" t="str">
        <f ca="1">IF($B384&lt;&gt;"PRC_RESID","",IF(P$7=2005+OFFSET(COM_2012!$B$60,$AW384,SUMIF($B$10:$B$16,"NCAP_TLIFE",$AX$10:$AX$16)),0,""))</f>
        <v/>
      </c>
      <c r="Q384" s="369"/>
      <c r="R384" s="369" t="str">
        <f ca="1">IF($B384&lt;&gt;"PRC_RESID","",IF(R$7=2016+OFFSET(' COM_2017_old'!$B$60,$AW384,SUMIF($B$10:$B$16,"NCAP_TLIFE",$AX$10:$AX$16)),0,""))</f>
        <v/>
      </c>
      <c r="S384" s="369" t="str">
        <f ca="1">IF($B384&lt;&gt;"PRC_RESID","",IF(S$7=2016+OFFSET(' COM_2017_old'!$B$60,$AW384,SUMIF($B$10:$B$16,"NCAP_TLIFE",$AX$10:$AX$16)),0,""))</f>
        <v/>
      </c>
      <c r="T384" s="369" t="str">
        <f ca="1">IF($B384&lt;&gt;"PRC_RESID","",IF(T$7=2016+OFFSET(' COM_2017_old'!$B$60,$AW384,SUMIF($B$10:$B$16,"NCAP_TLIFE",$AX$10:$AX$16)),0,""))</f>
        <v/>
      </c>
      <c r="U384" s="369" t="str">
        <f ca="1">IF($B384&lt;&gt;"PRC_RESID","",IF(U$7=2016+OFFSET(' COM_2017_old'!$B$60,$AW384,SUMIF($B$10:$B$16,"NCAP_TLIFE",$AX$10:$AX$16)),0,""))</f>
        <v/>
      </c>
      <c r="V384" s="369" t="str">
        <f ca="1">IF($B384&lt;&gt;"PRC_RESID","",IF(V$7=2016+OFFSET(' COM_2017_old'!$B$60,$AW384,SUMIF($B$10:$B$16,"NCAP_TLIFE",$AX$10:$AX$16)),0,""))</f>
        <v/>
      </c>
      <c r="W384" s="369" t="str">
        <f ca="1">IF($B384&lt;&gt;"PRC_RESID","",IF(W$7=2016+OFFSET(' COM_2017_old'!$B$60,$AW384,SUMIF($B$10:$B$16,"NCAP_TLIFE",$AX$10:$AX$16)),0,""))</f>
        <v/>
      </c>
      <c r="X384" s="369" t="str">
        <f ca="1">IF($B384&lt;&gt;"PRC_RESID","",IF(X$7=2016+OFFSET(' COM_2017_old'!$B$60,$AW384,SUMIF($B$10:$B$16,"NCAP_TLIFE",$AX$10:$AX$16)),0,""))</f>
        <v/>
      </c>
      <c r="Y384" s="369" t="str">
        <f ca="1">IF($B384&lt;&gt;"PRC_RESID","",IF(Y$7=2016+OFFSET(' COM_2017_old'!$B$60,$AW384,SUMIF($B$10:$B$16,"NCAP_TLIFE",$AX$10:$AX$16)),0,""))</f>
        <v/>
      </c>
      <c r="Z384" s="369" t="str">
        <f ca="1">IF($B384&lt;&gt;"PRC_RESID","",IF(Z$7=2016+OFFSET(' COM_2017_old'!$B$60,$AW384,SUMIF($B$10:$B$16,"NCAP_TLIFE",$AX$10:$AX$16)),0,""))</f>
        <v/>
      </c>
      <c r="AA384" s="369" t="str">
        <f ca="1">IF($B384&lt;&gt;"PRC_RESID","",IF(AA$7=2016+OFFSET(' COM_2017_old'!$B$60,$AW384,SUMIF($B$10:$B$16,"NCAP_TLIFE",$AX$10:$AX$16)),0,""))</f>
        <v/>
      </c>
      <c r="AB384" s="369" t="str">
        <f ca="1">IF($B384&lt;&gt;"PRC_RESID","",IF(AB$7=2016+OFFSET(' COM_2017_old'!$B$60,$AW384,SUMIF($B$10:$B$16,"NCAP_TLIFE",$AX$10:$AX$16)),0,""))</f>
        <v/>
      </c>
      <c r="AC384" s="369" t="str">
        <f ca="1">IF($B384&lt;&gt;"PRC_RESID","",IF(AC$7=2016+OFFSET(' COM_2017_old'!$B$60,$AW384,SUMIF($B$10:$B$16,"NCAP_TLIFE",$AX$10:$AX$16)),0,""))</f>
        <v/>
      </c>
      <c r="AD384" s="369" t="str">
        <f ca="1">IF($B384&lt;&gt;"PRC_RESID","",IF(AD$7=2016+OFFSET(' COM_2017_old'!$B$60,$AW384,SUMIF($B$10:$B$16,"NCAP_TLIFE",$AX$10:$AX$16)),0,""))</f>
        <v/>
      </c>
      <c r="AE384" s="369" t="str">
        <f ca="1">IF($B384&lt;&gt;"PRC_RESID","",IF(AE$7=2005+OFFSET(COM_2012!$B$60,$AW384,SUMIF($B$10:$B$16,"NCAP_TLIFE",$AX$10:$AX$16)),0,""))</f>
        <v/>
      </c>
      <c r="AF384" s="369" t="str">
        <f ca="1">IF($B384&lt;&gt;"PRC_RESID","",IF(AF$7=2005+OFFSET(COM_2012!$B$60,$AW384,SUMIF($B$10:$B$16,"NCAP_TLIFE",$AX$10:$AX$16)),0,""))</f>
        <v/>
      </c>
      <c r="AG384" s="369" t="str">
        <f ca="1">IF($B384&lt;&gt;"PRC_RESID","",IF(AG$7=2005+OFFSET(COM_2012!$B$60,$AW384,SUMIF($B$10:$B$16,"NCAP_TLIFE",$AX$10:$AX$16)),0,""))</f>
        <v/>
      </c>
      <c r="AH384" s="369" t="str">
        <f ca="1">IF($B384&lt;&gt;"PRC_RESID","",IF(AH$7=2005+OFFSET(COM_2012!$B$60,$AW384,SUMIF($B$10:$B$16,"NCAP_TLIFE",$AX$10:$AX$16)),0,""))</f>
        <v/>
      </c>
      <c r="AI384" s="369" t="str">
        <f ca="1">IF($B384&lt;&gt;"PRC_RESID","",IF(AI$7=2005+OFFSET(COM_2012!$B$60,$AW384,SUMIF($B$10:$B$16,"NCAP_TLIFE",$AX$10:$AX$16)),0,""))</f>
        <v/>
      </c>
      <c r="AJ384" s="369" t="str">
        <f ca="1">IF($B384&lt;&gt;"PRC_RESID","",IF(AJ$7=2005+OFFSET(COM_2012!$B$60,$AW384,SUMIF($B$10:$B$16,"NCAP_TLIFE",$AX$10:$AX$16)),0,""))</f>
        <v/>
      </c>
      <c r="AK384" s="369" t="str">
        <f ca="1">IF($B384&lt;&gt;"PRC_RESID","",IF(AK$7=2005+OFFSET(COM_2012!$B$60,$AW384,SUMIF($B$10:$B$16,"NCAP_TLIFE",$AX$10:$AX$16)),0,""))</f>
        <v/>
      </c>
      <c r="AL384" s="369" t="str">
        <f ca="1">IF($B384&lt;&gt;"PRC_RESID","",IF(AL$7=2005+OFFSET(COM_2012!$B$60,$AW384,SUMIF($B$10:$B$16,"NCAP_TLIFE",$AX$10:$AX$16)),0,""))</f>
        <v/>
      </c>
      <c r="AM384" s="369" t="str">
        <f ca="1">IF($B384&lt;&gt;"PRC_RESID","",IF(AM$7=2005+OFFSET(COM_2012!$B$60,$AW384,SUMIF($B$10:$B$16,"NCAP_TLIFE",$AX$10:$AX$16)),0,""))</f>
        <v/>
      </c>
      <c r="AN384" s="369" t="str">
        <f ca="1">IF($B384&lt;&gt;"PRC_RESID","",IF(AN$7=2005+OFFSET(COM_2012!$B$60,$AW384,SUMIF($B$10:$B$16,"NCAP_TLIFE",$AX$10:$AX$16)),0,""))</f>
        <v/>
      </c>
      <c r="AO384" s="369" t="str">
        <f ca="1">IF($B384&lt;&gt;"PRC_RESID","",IF(AO$7=2005+OFFSET(COM_2012!$B$60,$AW384,SUMIF($B$10:$B$16,"NCAP_TLIFE",$AX$10:$AX$16)),0,""))</f>
        <v/>
      </c>
      <c r="AP384" s="369" t="str">
        <f ca="1">IF($B384&lt;&gt;"PRC_RESID","",IF(AP$7=2005+OFFSET(COM_2012!$B$60,$AW384,SUMIF($B$10:$B$16,"NCAP_TLIFE",$AX$10:$AX$16)),0,""))</f>
        <v/>
      </c>
      <c r="AQ384" s="369" t="str">
        <f ca="1">IF($B384&lt;&gt;"PRC_RESID","",IF(AQ$7=2005+OFFSET(COM_2012!$B$60,$AW384,SUMIF($B$10:$B$16,"NCAP_TLIFE",$AX$10:$AX$16)),0,""))</f>
        <v/>
      </c>
      <c r="AR384" s="369" t="str">
        <f ca="1">IF($B384&lt;&gt;"PRC_RESID","",IF(AR$7=2005+OFFSET(COM_2012!$B$60,$AW384,SUMIF($B$10:$B$16,"NCAP_TLIFE",$AX$10:$AX$16)),0,""))</f>
        <v/>
      </c>
      <c r="AS384" s="369" t="str">
        <f ca="1">IF($B384&lt;&gt;"PRC_RESID","",IF(AS$7=2005+OFFSET(COM_2012!$B$60,$AW384,SUMIF($B$10:$B$16,"NCAP_TLIFE",$AX$10:$AX$16)),0,""))</f>
        <v/>
      </c>
      <c r="AT384" s="369" t="str">
        <f ca="1">IF($B384&lt;&gt;"PRC_RESID","",IF(AT$7=2005+OFFSET(COM_2012!$B$60,$AW384,SUMIF($B$10:$B$16,"NCAP_TLIFE",$AX$10:$AX$16)),0,""))</f>
        <v/>
      </c>
      <c r="AU384" s="369" t="str">
        <f ca="1">IF($B384&lt;&gt;"PRC_RESID","",IF(AU$7=2005+OFFSET(COM_2012!$B$60,$AW384,SUMIF($B$10:$B$16,"NCAP_TLIFE",$AX$10:$AX$16)),0,""))</f>
        <v/>
      </c>
      <c r="AV384" s="304">
        <f>IF(AW383=COM_2012!$AI$121,AV383+1,AV383)</f>
        <v>6</v>
      </c>
      <c r="AW384" s="304">
        <f t="shared" si="40"/>
        <v>52</v>
      </c>
    </row>
    <row r="385" spans="1:49">
      <c r="A385" s="304" t="str">
        <f ca="1">IF(LEFT(OFFSET(COM_2012!$A$60,AW385,0),2)="\I","*","")</f>
        <v/>
      </c>
      <c r="B385" s="369" t="str">
        <f t="shared" ca="1" si="35"/>
        <v>PRC_RESID</v>
      </c>
      <c r="C385" s="369" t="str">
        <f ca="1">IF($A385="*","",OFFSET(COM_2012!$B$60,AW385,0))</f>
        <v>CEOCOA-E</v>
      </c>
      <c r="D385" s="369" t="str">
        <f t="shared" ref="D385:I393" ca="1" si="41">IF($A385="*","",VLOOKUP($B385,$B$10:$I$16,D$9,FALSE))</f>
        <v>-</v>
      </c>
      <c r="E385" s="369" t="str">
        <f t="shared" ca="1" si="41"/>
        <v>-</v>
      </c>
      <c r="F385" s="369" t="str">
        <f t="shared" ca="1" si="41"/>
        <v>-</v>
      </c>
      <c r="G385" s="369" t="str">
        <f t="shared" ca="1" si="41"/>
        <v>-</v>
      </c>
      <c r="H385" s="369" t="str">
        <f t="shared" ca="1" si="41"/>
        <v>-</v>
      </c>
      <c r="I385" s="370">
        <f t="shared" ca="1" si="41"/>
        <v>0</v>
      </c>
      <c r="J385" s="391">
        <f ca="1">IF($A385="*","",OFFSET(COM_2012!$B$60,AW385,SUMIF($B$10:$B$16,B385,$AX$10:$AX$16)))</f>
        <v>0</v>
      </c>
      <c r="K385" s="369" t="str">
        <f ca="1">IF($B385&lt;&gt;"PRC_RESID","",IF(K$7=2005+OFFSET(COM_2012!$B$60,$AW385,SUMIF($B$10:$B$16,"NCAP_TLIFE",$AX$10:$AX$16)),0,""))</f>
        <v/>
      </c>
      <c r="L385" s="369" t="str">
        <f ca="1">IF($B385&lt;&gt;"PRC_RESID","",IF(L$7=2005+OFFSET(COM_2012!$B$60,$AW385,SUMIF($B$10:$B$16,"NCAP_TLIFE",$AX$10:$AX$16)),0,""))</f>
        <v/>
      </c>
      <c r="M385" s="369" t="str">
        <f ca="1">IF($B385&lt;&gt;"PRC_RESID","",IF(M$7=2005+OFFSET(COM_2012!$B$60,$AW385,SUMIF($B$10:$B$16,"NCAP_TLIFE",$AX$10:$AX$16)),0,""))</f>
        <v/>
      </c>
      <c r="N385" s="369" t="str">
        <f ca="1">IF($B385&lt;&gt;"PRC_RESID","",IF(N$7=2005+OFFSET(COM_2012!$B$60,$AW385,SUMIF($B$10:$B$16,"NCAP_TLIFE",$AX$10:$AX$16)),0,""))</f>
        <v/>
      </c>
      <c r="O385" s="391">
        <f ca="1">IF($A385="*","",OFFSET(' COM_2017_old'!$B$60,AW385,SUMIF($B$10:$B$16,B385,$AX$10:$AX$16)))</f>
        <v>0</v>
      </c>
      <c r="P385" s="369" t="str">
        <f ca="1">IF($B385&lt;&gt;"PRC_RESID","",IF(P$7=2005+OFFSET(COM_2012!$B$60,$AW385,SUMIF($B$10:$B$16,"NCAP_TLIFE",$AX$10:$AX$16)),0,""))</f>
        <v/>
      </c>
      <c r="Q385" s="369"/>
      <c r="R385" s="369" t="str">
        <f ca="1">IF($B385&lt;&gt;"PRC_RESID","",IF(R$7=2016+OFFSET(' COM_2017_old'!$B$60,$AW385,SUMIF($B$10:$B$16,"NCAP_TLIFE",$AX$10:$AX$16)),0,""))</f>
        <v/>
      </c>
      <c r="S385" s="369" t="str">
        <f ca="1">IF($B385&lt;&gt;"PRC_RESID","",IF(S$7=2016+OFFSET(' COM_2017_old'!$B$60,$AW385,SUMIF($B$10:$B$16,"NCAP_TLIFE",$AX$10:$AX$16)),0,""))</f>
        <v/>
      </c>
      <c r="T385" s="369" t="str">
        <f ca="1">IF($B385&lt;&gt;"PRC_RESID","",IF(T$7=2016+OFFSET(' COM_2017_old'!$B$60,$AW385,SUMIF($B$10:$B$16,"NCAP_TLIFE",$AX$10:$AX$16)),0,""))</f>
        <v/>
      </c>
      <c r="U385" s="369" t="str">
        <f ca="1">IF($B385&lt;&gt;"PRC_RESID","",IF(U$7=2016+OFFSET(' COM_2017_old'!$B$60,$AW385,SUMIF($B$10:$B$16,"NCAP_TLIFE",$AX$10:$AX$16)),0,""))</f>
        <v/>
      </c>
      <c r="V385" s="369" t="str">
        <f ca="1">IF($B385&lt;&gt;"PRC_RESID","",IF(V$7=2016+OFFSET(' COM_2017_old'!$B$60,$AW385,SUMIF($B$10:$B$16,"NCAP_TLIFE",$AX$10:$AX$16)),0,""))</f>
        <v/>
      </c>
      <c r="W385" s="369" t="str">
        <f ca="1">IF($B385&lt;&gt;"PRC_RESID","",IF(W$7=2016+OFFSET(' COM_2017_old'!$B$60,$AW385,SUMIF($B$10:$B$16,"NCAP_TLIFE",$AX$10:$AX$16)),0,""))</f>
        <v/>
      </c>
      <c r="X385" s="369" t="str">
        <f ca="1">IF($B385&lt;&gt;"PRC_RESID","",IF(X$7=2016+OFFSET(' COM_2017_old'!$B$60,$AW385,SUMIF($B$10:$B$16,"NCAP_TLIFE",$AX$10:$AX$16)),0,""))</f>
        <v/>
      </c>
      <c r="Y385" s="369" t="str">
        <f ca="1">IF($B385&lt;&gt;"PRC_RESID","",IF(Y$7=2016+OFFSET(' COM_2017_old'!$B$60,$AW385,SUMIF($B$10:$B$16,"NCAP_TLIFE",$AX$10:$AX$16)),0,""))</f>
        <v/>
      </c>
      <c r="Z385" s="369" t="str">
        <f ca="1">IF($B385&lt;&gt;"PRC_RESID","",IF(Z$7=2016+OFFSET(' COM_2017_old'!$B$60,$AW385,SUMIF($B$10:$B$16,"NCAP_TLIFE",$AX$10:$AX$16)),0,""))</f>
        <v/>
      </c>
      <c r="AA385" s="369" t="str">
        <f ca="1">IF($B385&lt;&gt;"PRC_RESID","",IF(AA$7=2016+OFFSET(' COM_2017_old'!$B$60,$AW385,SUMIF($B$10:$B$16,"NCAP_TLIFE",$AX$10:$AX$16)),0,""))</f>
        <v/>
      </c>
      <c r="AB385" s="369" t="str">
        <f ca="1">IF($B385&lt;&gt;"PRC_RESID","",IF(AB$7=2016+OFFSET(' COM_2017_old'!$B$60,$AW385,SUMIF($B$10:$B$16,"NCAP_TLIFE",$AX$10:$AX$16)),0,""))</f>
        <v/>
      </c>
      <c r="AC385" s="369">
        <f ca="1">IF($B385&lt;&gt;"PRC_RESID","",IF(AC$7=2016+OFFSET(' COM_2017_old'!$B$60,$AW385,SUMIF($B$10:$B$16,"NCAP_TLIFE",$AX$10:$AX$16)),0,""))</f>
        <v>0</v>
      </c>
      <c r="AD385" s="369" t="str">
        <f ca="1">IF($B385&lt;&gt;"PRC_RESID","",IF(AD$7=2016+OFFSET(' COM_2017_old'!$B$60,$AW385,SUMIF($B$10:$B$16,"NCAP_TLIFE",$AX$10:$AX$16)),0,""))</f>
        <v/>
      </c>
      <c r="AE385" s="369" t="str">
        <f ca="1">IF($B385&lt;&gt;"PRC_RESID","",IF(AE$7=2005+OFFSET(COM_2012!$B$60,$AW385,SUMIF($B$10:$B$16,"NCAP_TLIFE",$AX$10:$AX$16)),0,""))</f>
        <v/>
      </c>
      <c r="AF385" s="369" t="str">
        <f ca="1">IF($B385&lt;&gt;"PRC_RESID","",IF(AF$7=2005+OFFSET(COM_2012!$B$60,$AW385,SUMIF($B$10:$B$16,"NCAP_TLIFE",$AX$10:$AX$16)),0,""))</f>
        <v/>
      </c>
      <c r="AG385" s="369" t="str">
        <f ca="1">IF($B385&lt;&gt;"PRC_RESID","",IF(AG$7=2005+OFFSET(COM_2012!$B$60,$AW385,SUMIF($B$10:$B$16,"NCAP_TLIFE",$AX$10:$AX$16)),0,""))</f>
        <v/>
      </c>
      <c r="AH385" s="369" t="str">
        <f ca="1">IF($B385&lt;&gt;"PRC_RESID","",IF(AH$7=2005+OFFSET(COM_2012!$B$60,$AW385,SUMIF($B$10:$B$16,"NCAP_TLIFE",$AX$10:$AX$16)),0,""))</f>
        <v/>
      </c>
      <c r="AI385" s="369" t="str">
        <f ca="1">IF($B385&lt;&gt;"PRC_RESID","",IF(AI$7=2005+OFFSET(COM_2012!$B$60,$AW385,SUMIF($B$10:$B$16,"NCAP_TLIFE",$AX$10:$AX$16)),0,""))</f>
        <v/>
      </c>
      <c r="AJ385" s="369" t="str">
        <f ca="1">IF($B385&lt;&gt;"PRC_RESID","",IF(AJ$7=2005+OFFSET(COM_2012!$B$60,$AW385,SUMIF($B$10:$B$16,"NCAP_TLIFE",$AX$10:$AX$16)),0,""))</f>
        <v/>
      </c>
      <c r="AK385" s="369" t="str">
        <f ca="1">IF($B385&lt;&gt;"PRC_RESID","",IF(AK$7=2005+OFFSET(COM_2012!$B$60,$AW385,SUMIF($B$10:$B$16,"NCAP_TLIFE",$AX$10:$AX$16)),0,""))</f>
        <v/>
      </c>
      <c r="AL385" s="369" t="str">
        <f ca="1">IF($B385&lt;&gt;"PRC_RESID","",IF(AL$7=2005+OFFSET(COM_2012!$B$60,$AW385,SUMIF($B$10:$B$16,"NCAP_TLIFE",$AX$10:$AX$16)),0,""))</f>
        <v/>
      </c>
      <c r="AM385" s="369" t="str">
        <f ca="1">IF($B385&lt;&gt;"PRC_RESID","",IF(AM$7=2005+OFFSET(COM_2012!$B$60,$AW385,SUMIF($B$10:$B$16,"NCAP_TLIFE",$AX$10:$AX$16)),0,""))</f>
        <v/>
      </c>
      <c r="AN385" s="369" t="str">
        <f ca="1">IF($B385&lt;&gt;"PRC_RESID","",IF(AN$7=2005+OFFSET(COM_2012!$B$60,$AW385,SUMIF($B$10:$B$16,"NCAP_TLIFE",$AX$10:$AX$16)),0,""))</f>
        <v/>
      </c>
      <c r="AO385" s="369" t="str">
        <f ca="1">IF($B385&lt;&gt;"PRC_RESID","",IF(AO$7=2005+OFFSET(COM_2012!$B$60,$AW385,SUMIF($B$10:$B$16,"NCAP_TLIFE",$AX$10:$AX$16)),0,""))</f>
        <v/>
      </c>
      <c r="AP385" s="369" t="str">
        <f ca="1">IF($B385&lt;&gt;"PRC_RESID","",IF(AP$7=2005+OFFSET(COM_2012!$B$60,$AW385,SUMIF($B$10:$B$16,"NCAP_TLIFE",$AX$10:$AX$16)),0,""))</f>
        <v/>
      </c>
      <c r="AQ385" s="369" t="str">
        <f ca="1">IF($B385&lt;&gt;"PRC_RESID","",IF(AQ$7=2005+OFFSET(COM_2012!$B$60,$AW385,SUMIF($B$10:$B$16,"NCAP_TLIFE",$AX$10:$AX$16)),0,""))</f>
        <v/>
      </c>
      <c r="AR385" s="369" t="str">
        <f ca="1">IF($B385&lt;&gt;"PRC_RESID","",IF(AR$7=2005+OFFSET(COM_2012!$B$60,$AW385,SUMIF($B$10:$B$16,"NCAP_TLIFE",$AX$10:$AX$16)),0,""))</f>
        <v/>
      </c>
      <c r="AS385" s="369" t="str">
        <f ca="1">IF($B385&lt;&gt;"PRC_RESID","",IF(AS$7=2005+OFFSET(COM_2012!$B$60,$AW385,SUMIF($B$10:$B$16,"NCAP_TLIFE",$AX$10:$AX$16)),0,""))</f>
        <v/>
      </c>
      <c r="AT385" s="369" t="str">
        <f ca="1">IF($B385&lt;&gt;"PRC_RESID","",IF(AT$7=2005+OFFSET(COM_2012!$B$60,$AW385,SUMIF($B$10:$B$16,"NCAP_TLIFE",$AX$10:$AX$16)),0,""))</f>
        <v/>
      </c>
      <c r="AU385" s="369" t="str">
        <f ca="1">IF($B385&lt;&gt;"PRC_RESID","",IF(AU$7=2005+OFFSET(COM_2012!$B$60,$AW385,SUMIF($B$10:$B$16,"NCAP_TLIFE",$AX$10:$AX$16)),0,""))</f>
        <v/>
      </c>
      <c r="AV385" s="304">
        <f>IF(AW384=COM_2012!$AI$121,AV384+1,AV384)</f>
        <v>6</v>
      </c>
      <c r="AW385" s="304">
        <f t="shared" si="40"/>
        <v>53</v>
      </c>
    </row>
    <row r="386" spans="1:49">
      <c r="A386" s="304" t="str">
        <f ca="1">IF(LEFT(OFFSET(COM_2012!$A$60,AW386,0),2)="\I","*","")</f>
        <v/>
      </c>
      <c r="B386" s="369" t="str">
        <f t="shared" ca="1" si="35"/>
        <v>PRC_RESID</v>
      </c>
      <c r="C386" s="369" t="str">
        <f ca="1">IF($A386="*","",OFFSET(COM_2012!$B$60,AW386,0))</f>
        <v>CEOODS-E</v>
      </c>
      <c r="D386" s="369" t="str">
        <f t="shared" ca="1" si="41"/>
        <v>-</v>
      </c>
      <c r="E386" s="369" t="str">
        <f t="shared" ca="1" si="41"/>
        <v>-</v>
      </c>
      <c r="F386" s="369" t="str">
        <f t="shared" ca="1" si="41"/>
        <v>-</v>
      </c>
      <c r="G386" s="369" t="str">
        <f t="shared" ca="1" si="41"/>
        <v>-</v>
      </c>
      <c r="H386" s="369" t="str">
        <f t="shared" ca="1" si="41"/>
        <v>-</v>
      </c>
      <c r="I386" s="370">
        <f t="shared" ca="1" si="41"/>
        <v>0</v>
      </c>
      <c r="J386" s="391">
        <f ca="1">IF($A386="*","",OFFSET(COM_2012!$B$60,AW386,SUMIF($B$10:$B$16,B386,$AX$10:$AX$16)))</f>
        <v>0.96683237446342762</v>
      </c>
      <c r="K386" s="369" t="str">
        <f ca="1">IF($B386&lt;&gt;"PRC_RESID","",IF(K$7=2005+OFFSET(COM_2012!$B$60,$AW386,SUMIF($B$10:$B$16,"NCAP_TLIFE",$AX$10:$AX$16)),0,""))</f>
        <v/>
      </c>
      <c r="L386" s="369" t="str">
        <f ca="1">IF($B386&lt;&gt;"PRC_RESID","",IF(L$7=2005+OFFSET(COM_2012!$B$60,$AW386,SUMIF($B$10:$B$16,"NCAP_TLIFE",$AX$10:$AX$16)),0,""))</f>
        <v/>
      </c>
      <c r="M386" s="369" t="str">
        <f ca="1">IF($B386&lt;&gt;"PRC_RESID","",IF(M$7=2005+OFFSET(COM_2012!$B$60,$AW386,SUMIF($B$10:$B$16,"NCAP_TLIFE",$AX$10:$AX$16)),0,""))</f>
        <v/>
      </c>
      <c r="N386" s="369" t="str">
        <f ca="1">IF($B386&lt;&gt;"PRC_RESID","",IF(N$7=2005+OFFSET(COM_2012!$B$60,$AW386,SUMIF($B$10:$B$16,"NCAP_TLIFE",$AX$10:$AX$16)),0,""))</f>
        <v/>
      </c>
      <c r="O386" s="391">
        <f ca="1">IF($A386="*","",OFFSET(' COM_2017_old'!$B$60,AW386,SUMIF($B$10:$B$16,B386,$AX$10:$AX$16)))</f>
        <v>2.0838739573679335</v>
      </c>
      <c r="P386" s="369" t="str">
        <f ca="1">IF($B386&lt;&gt;"PRC_RESID","",IF(P$7=2005+OFFSET(COM_2012!$B$60,$AW386,SUMIF($B$10:$B$16,"NCAP_TLIFE",$AX$10:$AX$16)),0,""))</f>
        <v/>
      </c>
      <c r="Q386" s="369"/>
      <c r="R386" s="369" t="str">
        <f ca="1">IF($B386&lt;&gt;"PRC_RESID","",IF(R$7=2016+OFFSET(' COM_2017_old'!$B$60,$AW386,SUMIF($B$10:$B$16,"NCAP_TLIFE",$AX$10:$AX$16)),0,""))</f>
        <v/>
      </c>
      <c r="S386" s="369" t="str">
        <f ca="1">IF($B386&lt;&gt;"PRC_RESID","",IF(S$7=2016+OFFSET(' COM_2017_old'!$B$60,$AW386,SUMIF($B$10:$B$16,"NCAP_TLIFE",$AX$10:$AX$16)),0,""))</f>
        <v/>
      </c>
      <c r="T386" s="369" t="str">
        <f ca="1">IF($B386&lt;&gt;"PRC_RESID","",IF(T$7=2016+OFFSET(' COM_2017_old'!$B$60,$AW386,SUMIF($B$10:$B$16,"NCAP_TLIFE",$AX$10:$AX$16)),0,""))</f>
        <v/>
      </c>
      <c r="U386" s="369" t="str">
        <f ca="1">IF($B386&lt;&gt;"PRC_RESID","",IF(U$7=2016+OFFSET(' COM_2017_old'!$B$60,$AW386,SUMIF($B$10:$B$16,"NCAP_TLIFE",$AX$10:$AX$16)),0,""))</f>
        <v/>
      </c>
      <c r="V386" s="369" t="str">
        <f ca="1">IF($B386&lt;&gt;"PRC_RESID","",IF(V$7=2016+OFFSET(' COM_2017_old'!$B$60,$AW386,SUMIF($B$10:$B$16,"NCAP_TLIFE",$AX$10:$AX$16)),0,""))</f>
        <v/>
      </c>
      <c r="W386" s="369" t="str">
        <f ca="1">IF($B386&lt;&gt;"PRC_RESID","",IF(W$7=2016+OFFSET(' COM_2017_old'!$B$60,$AW386,SUMIF($B$10:$B$16,"NCAP_TLIFE",$AX$10:$AX$16)),0,""))</f>
        <v/>
      </c>
      <c r="X386" s="369" t="str">
        <f ca="1">IF($B386&lt;&gt;"PRC_RESID","",IF(X$7=2016+OFFSET(' COM_2017_old'!$B$60,$AW386,SUMIF($B$10:$B$16,"NCAP_TLIFE",$AX$10:$AX$16)),0,""))</f>
        <v/>
      </c>
      <c r="Y386" s="369" t="str">
        <f ca="1">IF($B386&lt;&gt;"PRC_RESID","",IF(Y$7=2016+OFFSET(' COM_2017_old'!$B$60,$AW386,SUMIF($B$10:$B$16,"NCAP_TLIFE",$AX$10:$AX$16)),0,""))</f>
        <v/>
      </c>
      <c r="Z386" s="369" t="str">
        <f ca="1">IF($B386&lt;&gt;"PRC_RESID","",IF(Z$7=2016+OFFSET(' COM_2017_old'!$B$60,$AW386,SUMIF($B$10:$B$16,"NCAP_TLIFE",$AX$10:$AX$16)),0,""))</f>
        <v/>
      </c>
      <c r="AA386" s="369" t="str">
        <f ca="1">IF($B386&lt;&gt;"PRC_RESID","",IF(AA$7=2016+OFFSET(' COM_2017_old'!$B$60,$AW386,SUMIF($B$10:$B$16,"NCAP_TLIFE",$AX$10:$AX$16)),0,""))</f>
        <v/>
      </c>
      <c r="AB386" s="369" t="str">
        <f ca="1">IF($B386&lt;&gt;"PRC_RESID","",IF(AB$7=2016+OFFSET(' COM_2017_old'!$B$60,$AW386,SUMIF($B$10:$B$16,"NCAP_TLIFE",$AX$10:$AX$16)),0,""))</f>
        <v/>
      </c>
      <c r="AC386" s="369">
        <f ca="1">IF($B386&lt;&gt;"PRC_RESID","",IF(AC$7=2016+OFFSET(' COM_2017_old'!$B$60,$AW386,SUMIF($B$10:$B$16,"NCAP_TLIFE",$AX$10:$AX$16)),0,""))</f>
        <v>0</v>
      </c>
      <c r="AD386" s="369" t="str">
        <f ca="1">IF($B386&lt;&gt;"PRC_RESID","",IF(AD$7=2016+OFFSET(' COM_2017_old'!$B$60,$AW386,SUMIF($B$10:$B$16,"NCAP_TLIFE",$AX$10:$AX$16)),0,""))</f>
        <v/>
      </c>
      <c r="AE386" s="369" t="str">
        <f ca="1">IF($B386&lt;&gt;"PRC_RESID","",IF(AE$7=2005+OFFSET(COM_2012!$B$60,$AW386,SUMIF($B$10:$B$16,"NCAP_TLIFE",$AX$10:$AX$16)),0,""))</f>
        <v/>
      </c>
      <c r="AF386" s="369" t="str">
        <f ca="1">IF($B386&lt;&gt;"PRC_RESID","",IF(AF$7=2005+OFFSET(COM_2012!$B$60,$AW386,SUMIF($B$10:$B$16,"NCAP_TLIFE",$AX$10:$AX$16)),0,""))</f>
        <v/>
      </c>
      <c r="AG386" s="369" t="str">
        <f ca="1">IF($B386&lt;&gt;"PRC_RESID","",IF(AG$7=2005+OFFSET(COM_2012!$B$60,$AW386,SUMIF($B$10:$B$16,"NCAP_TLIFE",$AX$10:$AX$16)),0,""))</f>
        <v/>
      </c>
      <c r="AH386" s="369" t="str">
        <f ca="1">IF($B386&lt;&gt;"PRC_RESID","",IF(AH$7=2005+OFFSET(COM_2012!$B$60,$AW386,SUMIF($B$10:$B$16,"NCAP_TLIFE",$AX$10:$AX$16)),0,""))</f>
        <v/>
      </c>
      <c r="AI386" s="369" t="str">
        <f ca="1">IF($B386&lt;&gt;"PRC_RESID","",IF(AI$7=2005+OFFSET(COM_2012!$B$60,$AW386,SUMIF($B$10:$B$16,"NCAP_TLIFE",$AX$10:$AX$16)),0,""))</f>
        <v/>
      </c>
      <c r="AJ386" s="369" t="str">
        <f ca="1">IF($B386&lt;&gt;"PRC_RESID","",IF(AJ$7=2005+OFFSET(COM_2012!$B$60,$AW386,SUMIF($B$10:$B$16,"NCAP_TLIFE",$AX$10:$AX$16)),0,""))</f>
        <v/>
      </c>
      <c r="AK386" s="369" t="str">
        <f ca="1">IF($B386&lt;&gt;"PRC_RESID","",IF(AK$7=2005+OFFSET(COM_2012!$B$60,$AW386,SUMIF($B$10:$B$16,"NCAP_TLIFE",$AX$10:$AX$16)),0,""))</f>
        <v/>
      </c>
      <c r="AL386" s="369" t="str">
        <f ca="1">IF($B386&lt;&gt;"PRC_RESID","",IF(AL$7=2005+OFFSET(COM_2012!$B$60,$AW386,SUMIF($B$10:$B$16,"NCAP_TLIFE",$AX$10:$AX$16)),0,""))</f>
        <v/>
      </c>
      <c r="AM386" s="369" t="str">
        <f ca="1">IF($B386&lt;&gt;"PRC_RESID","",IF(AM$7=2005+OFFSET(COM_2012!$B$60,$AW386,SUMIF($B$10:$B$16,"NCAP_TLIFE",$AX$10:$AX$16)),0,""))</f>
        <v/>
      </c>
      <c r="AN386" s="369" t="str">
        <f ca="1">IF($B386&lt;&gt;"PRC_RESID","",IF(AN$7=2005+OFFSET(COM_2012!$B$60,$AW386,SUMIF($B$10:$B$16,"NCAP_TLIFE",$AX$10:$AX$16)),0,""))</f>
        <v/>
      </c>
      <c r="AO386" s="369" t="str">
        <f ca="1">IF($B386&lt;&gt;"PRC_RESID","",IF(AO$7=2005+OFFSET(COM_2012!$B$60,$AW386,SUMIF($B$10:$B$16,"NCAP_TLIFE",$AX$10:$AX$16)),0,""))</f>
        <v/>
      </c>
      <c r="AP386" s="369" t="str">
        <f ca="1">IF($B386&lt;&gt;"PRC_RESID","",IF(AP$7=2005+OFFSET(COM_2012!$B$60,$AW386,SUMIF($B$10:$B$16,"NCAP_TLIFE",$AX$10:$AX$16)),0,""))</f>
        <v/>
      </c>
      <c r="AQ386" s="369" t="str">
        <f ca="1">IF($B386&lt;&gt;"PRC_RESID","",IF(AQ$7=2005+OFFSET(COM_2012!$B$60,$AW386,SUMIF($B$10:$B$16,"NCAP_TLIFE",$AX$10:$AX$16)),0,""))</f>
        <v/>
      </c>
      <c r="AR386" s="369" t="str">
        <f ca="1">IF($B386&lt;&gt;"PRC_RESID","",IF(AR$7=2005+OFFSET(COM_2012!$B$60,$AW386,SUMIF($B$10:$B$16,"NCAP_TLIFE",$AX$10:$AX$16)),0,""))</f>
        <v/>
      </c>
      <c r="AS386" s="369" t="str">
        <f ca="1">IF($B386&lt;&gt;"PRC_RESID","",IF(AS$7=2005+OFFSET(COM_2012!$B$60,$AW386,SUMIF($B$10:$B$16,"NCAP_TLIFE",$AX$10:$AX$16)),0,""))</f>
        <v/>
      </c>
      <c r="AT386" s="369" t="str">
        <f ca="1">IF($B386&lt;&gt;"PRC_RESID","",IF(AT$7=2005+OFFSET(COM_2012!$B$60,$AW386,SUMIF($B$10:$B$16,"NCAP_TLIFE",$AX$10:$AX$16)),0,""))</f>
        <v/>
      </c>
      <c r="AU386" s="369" t="str">
        <f ca="1">IF($B386&lt;&gt;"PRC_RESID","",IF(AU$7=2005+OFFSET(COM_2012!$B$60,$AW386,SUMIF($B$10:$B$16,"NCAP_TLIFE",$AX$10:$AX$16)),0,""))</f>
        <v/>
      </c>
      <c r="AV386" s="304">
        <f>IF(AW385=COM_2012!$AI$121,AV385+1,AV385)</f>
        <v>6</v>
      </c>
      <c r="AW386" s="304">
        <f t="shared" si="40"/>
        <v>54</v>
      </c>
    </row>
    <row r="387" spans="1:49">
      <c r="A387" s="304" t="str">
        <f ca="1">IF(LEFT(OFFSET(COM_2012!$A$60,AW387,0),2)="\I","*","")</f>
        <v/>
      </c>
      <c r="B387" s="369" t="str">
        <f t="shared" ca="1" si="35"/>
        <v>PRC_RESID</v>
      </c>
      <c r="C387" s="369" t="str">
        <f ca="1">IF($A387="*","",OFFSET(COM_2012!$B$60,AW387,0))</f>
        <v>CEOELC-E</v>
      </c>
      <c r="D387" s="369" t="str">
        <f t="shared" ca="1" si="41"/>
        <v>-</v>
      </c>
      <c r="E387" s="369" t="str">
        <f t="shared" ca="1" si="41"/>
        <v>-</v>
      </c>
      <c r="F387" s="369" t="str">
        <f t="shared" ca="1" si="41"/>
        <v>-</v>
      </c>
      <c r="G387" s="369" t="str">
        <f t="shared" ca="1" si="41"/>
        <v>-</v>
      </c>
      <c r="H387" s="369" t="str">
        <f t="shared" ca="1" si="41"/>
        <v>-</v>
      </c>
      <c r="I387" s="370">
        <f t="shared" ca="1" si="41"/>
        <v>0</v>
      </c>
      <c r="J387" s="391">
        <f ca="1">IF($A387="*","",OFFSET(COM_2012!$B$60,AW387,SUMIF($B$10:$B$16,B387,$AX$10:$AX$16)))</f>
        <v>27.65077895510812</v>
      </c>
      <c r="K387" s="369" t="str">
        <f ca="1">IF($B387&lt;&gt;"PRC_RESID","",IF(K$7=2005+OFFSET(COM_2012!$B$60,$AW387,SUMIF($B$10:$B$16,"NCAP_TLIFE",$AX$10:$AX$16)),0,""))</f>
        <v/>
      </c>
      <c r="L387" s="369" t="str">
        <f ca="1">IF($B387&lt;&gt;"PRC_RESID","",IF(L$7=2005+OFFSET(COM_2012!$B$60,$AW387,SUMIF($B$10:$B$16,"NCAP_TLIFE",$AX$10:$AX$16)),0,""))</f>
        <v/>
      </c>
      <c r="M387" s="369" t="str">
        <f ca="1">IF($B387&lt;&gt;"PRC_RESID","",IF(M$7=2005+OFFSET(COM_2012!$B$60,$AW387,SUMIF($B$10:$B$16,"NCAP_TLIFE",$AX$10:$AX$16)),0,""))</f>
        <v/>
      </c>
      <c r="N387" s="369" t="str">
        <f ca="1">IF($B387&lt;&gt;"PRC_RESID","",IF(N$7=2005+OFFSET(COM_2012!$B$60,$AW387,SUMIF($B$10:$B$16,"NCAP_TLIFE",$AX$10:$AX$16)),0,""))</f>
        <v/>
      </c>
      <c r="O387" s="391">
        <f ca="1">IF($A387="*","",OFFSET(' COM_2017_old'!$B$60,AW387,SUMIF($B$10:$B$16,B387,$AX$10:$AX$16)))</f>
        <v>23.813714803027072</v>
      </c>
      <c r="P387" s="369" t="str">
        <f ca="1">IF($B387&lt;&gt;"PRC_RESID","",IF(P$7=2005+OFFSET(COM_2012!$B$60,$AW387,SUMIF($B$10:$B$16,"NCAP_TLIFE",$AX$10:$AX$16)),0,""))</f>
        <v/>
      </c>
      <c r="Q387" s="369"/>
      <c r="R387" s="369" t="str">
        <f ca="1">IF($B387&lt;&gt;"PRC_RESID","",IF(R$7=2016+OFFSET(' COM_2017_old'!$B$60,$AW387,SUMIF($B$10:$B$16,"NCAP_TLIFE",$AX$10:$AX$16)),0,""))</f>
        <v/>
      </c>
      <c r="S387" s="369" t="str">
        <f ca="1">IF($B387&lt;&gt;"PRC_RESID","",IF(S$7=2016+OFFSET(' COM_2017_old'!$B$60,$AW387,SUMIF($B$10:$B$16,"NCAP_TLIFE",$AX$10:$AX$16)),0,""))</f>
        <v/>
      </c>
      <c r="T387" s="369" t="str">
        <f ca="1">IF($B387&lt;&gt;"PRC_RESID","",IF(T$7=2016+OFFSET(' COM_2017_old'!$B$60,$AW387,SUMIF($B$10:$B$16,"NCAP_TLIFE",$AX$10:$AX$16)),0,""))</f>
        <v/>
      </c>
      <c r="U387" s="369" t="str">
        <f ca="1">IF($B387&lt;&gt;"PRC_RESID","",IF(U$7=2016+OFFSET(' COM_2017_old'!$B$60,$AW387,SUMIF($B$10:$B$16,"NCAP_TLIFE",$AX$10:$AX$16)),0,""))</f>
        <v/>
      </c>
      <c r="V387" s="369" t="str">
        <f ca="1">IF($B387&lt;&gt;"PRC_RESID","",IF(V$7=2016+OFFSET(' COM_2017_old'!$B$60,$AW387,SUMIF($B$10:$B$16,"NCAP_TLIFE",$AX$10:$AX$16)),0,""))</f>
        <v/>
      </c>
      <c r="W387" s="369" t="str">
        <f ca="1">IF($B387&lt;&gt;"PRC_RESID","",IF(W$7=2016+OFFSET(' COM_2017_old'!$B$60,$AW387,SUMIF($B$10:$B$16,"NCAP_TLIFE",$AX$10:$AX$16)),0,""))</f>
        <v/>
      </c>
      <c r="X387" s="369" t="str">
        <f ca="1">IF($B387&lt;&gt;"PRC_RESID","",IF(X$7=2016+OFFSET(' COM_2017_old'!$B$60,$AW387,SUMIF($B$10:$B$16,"NCAP_TLIFE",$AX$10:$AX$16)),0,""))</f>
        <v/>
      </c>
      <c r="Y387" s="369" t="str">
        <f ca="1">IF($B387&lt;&gt;"PRC_RESID","",IF(Y$7=2016+OFFSET(' COM_2017_old'!$B$60,$AW387,SUMIF($B$10:$B$16,"NCAP_TLIFE",$AX$10:$AX$16)),0,""))</f>
        <v/>
      </c>
      <c r="Z387" s="369" t="str">
        <f ca="1">IF($B387&lt;&gt;"PRC_RESID","",IF(Z$7=2016+OFFSET(' COM_2017_old'!$B$60,$AW387,SUMIF($B$10:$B$16,"NCAP_TLIFE",$AX$10:$AX$16)),0,""))</f>
        <v/>
      </c>
      <c r="AA387" s="369" t="str">
        <f ca="1">IF($B387&lt;&gt;"PRC_RESID","",IF(AA$7=2016+OFFSET(' COM_2017_old'!$B$60,$AW387,SUMIF($B$10:$B$16,"NCAP_TLIFE",$AX$10:$AX$16)),0,""))</f>
        <v/>
      </c>
      <c r="AB387" s="369" t="str">
        <f ca="1">IF($B387&lt;&gt;"PRC_RESID","",IF(AB$7=2016+OFFSET(' COM_2017_old'!$B$60,$AW387,SUMIF($B$10:$B$16,"NCAP_TLIFE",$AX$10:$AX$16)),0,""))</f>
        <v/>
      </c>
      <c r="AC387" s="369">
        <f ca="1">IF($B387&lt;&gt;"PRC_RESID","",IF(AC$7=2016+OFFSET(' COM_2017_old'!$B$60,$AW387,SUMIF($B$10:$B$16,"NCAP_TLIFE",$AX$10:$AX$16)),0,""))</f>
        <v>0</v>
      </c>
      <c r="AD387" s="369" t="str">
        <f ca="1">IF($B387&lt;&gt;"PRC_RESID","",IF(AD$7=2016+OFFSET(' COM_2017_old'!$B$60,$AW387,SUMIF($B$10:$B$16,"NCAP_TLIFE",$AX$10:$AX$16)),0,""))</f>
        <v/>
      </c>
      <c r="AE387" s="369" t="str">
        <f ca="1">IF($B387&lt;&gt;"PRC_RESID","",IF(AE$7=2005+OFFSET(COM_2012!$B$60,$AW387,SUMIF($B$10:$B$16,"NCAP_TLIFE",$AX$10:$AX$16)),0,""))</f>
        <v/>
      </c>
      <c r="AF387" s="369" t="str">
        <f ca="1">IF($B387&lt;&gt;"PRC_RESID","",IF(AF$7=2005+OFFSET(COM_2012!$B$60,$AW387,SUMIF($B$10:$B$16,"NCAP_TLIFE",$AX$10:$AX$16)),0,""))</f>
        <v/>
      </c>
      <c r="AG387" s="369" t="str">
        <f ca="1">IF($B387&lt;&gt;"PRC_RESID","",IF(AG$7=2005+OFFSET(COM_2012!$B$60,$AW387,SUMIF($B$10:$B$16,"NCAP_TLIFE",$AX$10:$AX$16)),0,""))</f>
        <v/>
      </c>
      <c r="AH387" s="369" t="str">
        <f ca="1">IF($B387&lt;&gt;"PRC_RESID","",IF(AH$7=2005+OFFSET(COM_2012!$B$60,$AW387,SUMIF($B$10:$B$16,"NCAP_TLIFE",$AX$10:$AX$16)),0,""))</f>
        <v/>
      </c>
      <c r="AI387" s="369" t="str">
        <f ca="1">IF($B387&lt;&gt;"PRC_RESID","",IF(AI$7=2005+OFFSET(COM_2012!$B$60,$AW387,SUMIF($B$10:$B$16,"NCAP_TLIFE",$AX$10:$AX$16)),0,""))</f>
        <v/>
      </c>
      <c r="AJ387" s="369" t="str">
        <f ca="1">IF($B387&lt;&gt;"PRC_RESID","",IF(AJ$7=2005+OFFSET(COM_2012!$B$60,$AW387,SUMIF($B$10:$B$16,"NCAP_TLIFE",$AX$10:$AX$16)),0,""))</f>
        <v/>
      </c>
      <c r="AK387" s="369" t="str">
        <f ca="1">IF($B387&lt;&gt;"PRC_RESID","",IF(AK$7=2005+OFFSET(COM_2012!$B$60,$AW387,SUMIF($B$10:$B$16,"NCAP_TLIFE",$AX$10:$AX$16)),0,""))</f>
        <v/>
      </c>
      <c r="AL387" s="369" t="str">
        <f ca="1">IF($B387&lt;&gt;"PRC_RESID","",IF(AL$7=2005+OFFSET(COM_2012!$B$60,$AW387,SUMIF($B$10:$B$16,"NCAP_TLIFE",$AX$10:$AX$16)),0,""))</f>
        <v/>
      </c>
      <c r="AM387" s="369" t="str">
        <f ca="1">IF($B387&lt;&gt;"PRC_RESID","",IF(AM$7=2005+OFFSET(COM_2012!$B$60,$AW387,SUMIF($B$10:$B$16,"NCAP_TLIFE",$AX$10:$AX$16)),0,""))</f>
        <v/>
      </c>
      <c r="AN387" s="369" t="str">
        <f ca="1">IF($B387&lt;&gt;"PRC_RESID","",IF(AN$7=2005+OFFSET(COM_2012!$B$60,$AW387,SUMIF($B$10:$B$16,"NCAP_TLIFE",$AX$10:$AX$16)),0,""))</f>
        <v/>
      </c>
      <c r="AO387" s="369" t="str">
        <f ca="1">IF($B387&lt;&gt;"PRC_RESID","",IF(AO$7=2005+OFFSET(COM_2012!$B$60,$AW387,SUMIF($B$10:$B$16,"NCAP_TLIFE",$AX$10:$AX$16)),0,""))</f>
        <v/>
      </c>
      <c r="AP387" s="369" t="str">
        <f ca="1">IF($B387&lt;&gt;"PRC_RESID","",IF(AP$7=2005+OFFSET(COM_2012!$B$60,$AW387,SUMIF($B$10:$B$16,"NCAP_TLIFE",$AX$10:$AX$16)),0,""))</f>
        <v/>
      </c>
      <c r="AQ387" s="369" t="str">
        <f ca="1">IF($B387&lt;&gt;"PRC_RESID","",IF(AQ$7=2005+OFFSET(COM_2012!$B$60,$AW387,SUMIF($B$10:$B$16,"NCAP_TLIFE",$AX$10:$AX$16)),0,""))</f>
        <v/>
      </c>
      <c r="AR387" s="369" t="str">
        <f ca="1">IF($B387&lt;&gt;"PRC_RESID","",IF(AR$7=2005+OFFSET(COM_2012!$B$60,$AW387,SUMIF($B$10:$B$16,"NCAP_TLIFE",$AX$10:$AX$16)),0,""))</f>
        <v/>
      </c>
      <c r="AS387" s="369" t="str">
        <f ca="1">IF($B387&lt;&gt;"PRC_RESID","",IF(AS$7=2005+OFFSET(COM_2012!$B$60,$AW387,SUMIF($B$10:$B$16,"NCAP_TLIFE",$AX$10:$AX$16)),0,""))</f>
        <v/>
      </c>
      <c r="AT387" s="369" t="str">
        <f ca="1">IF($B387&lt;&gt;"PRC_RESID","",IF(AT$7=2005+OFFSET(COM_2012!$B$60,$AW387,SUMIF($B$10:$B$16,"NCAP_TLIFE",$AX$10:$AX$16)),0,""))</f>
        <v/>
      </c>
      <c r="AU387" s="369" t="str">
        <f ca="1">IF($B387&lt;&gt;"PRC_RESID","",IF(AU$7=2005+OFFSET(COM_2012!$B$60,$AW387,SUMIF($B$10:$B$16,"NCAP_TLIFE",$AX$10:$AX$16)),0,""))</f>
        <v/>
      </c>
      <c r="AV387" s="304">
        <f>IF(AW386=COM_2012!$AI$121,AV386+1,AV386)</f>
        <v>6</v>
      </c>
      <c r="AW387" s="304">
        <f t="shared" si="40"/>
        <v>55</v>
      </c>
    </row>
    <row r="388" spans="1:49">
      <c r="A388" s="304" t="str">
        <f ca="1">IF(LEFT(OFFSET(COM_2012!$A$60,AW388,0),2)="\I","*","")</f>
        <v/>
      </c>
      <c r="B388" s="369" t="str">
        <f t="shared" ca="1" si="35"/>
        <v>PRC_RESID</v>
      </c>
      <c r="C388" s="369" t="str">
        <f ca="1">IF($A388="*","",OFFSET(COM_2012!$B$60,AW388,0))</f>
        <v>CEOGAS-E</v>
      </c>
      <c r="D388" s="369" t="str">
        <f t="shared" ca="1" si="41"/>
        <v>-</v>
      </c>
      <c r="E388" s="369" t="str">
        <f t="shared" ca="1" si="41"/>
        <v>-</v>
      </c>
      <c r="F388" s="369" t="str">
        <f t="shared" ca="1" si="41"/>
        <v>-</v>
      </c>
      <c r="G388" s="369" t="str">
        <f t="shared" ca="1" si="41"/>
        <v>-</v>
      </c>
      <c r="H388" s="369" t="str">
        <f t="shared" ca="1" si="41"/>
        <v>-</v>
      </c>
      <c r="I388" s="370">
        <f t="shared" ca="1" si="41"/>
        <v>0</v>
      </c>
      <c r="J388" s="391">
        <f ca="1">IF($A388="*","",OFFSET(COM_2012!$B$60,AW388,SUMIF($B$10:$B$16,B388,$AX$10:$AX$16)))</f>
        <v>0</v>
      </c>
      <c r="K388" s="369" t="str">
        <f ca="1">IF($B388&lt;&gt;"PRC_RESID","",IF(K$7=2005+OFFSET(COM_2012!$B$60,$AW388,SUMIF($B$10:$B$16,"NCAP_TLIFE",$AX$10:$AX$16)),0,""))</f>
        <v/>
      </c>
      <c r="L388" s="369" t="str">
        <f ca="1">IF($B388&lt;&gt;"PRC_RESID","",IF(L$7=2005+OFFSET(COM_2012!$B$60,$AW388,SUMIF($B$10:$B$16,"NCAP_TLIFE",$AX$10:$AX$16)),0,""))</f>
        <v/>
      </c>
      <c r="M388" s="369" t="str">
        <f ca="1">IF($B388&lt;&gt;"PRC_RESID","",IF(M$7=2005+OFFSET(COM_2012!$B$60,$AW388,SUMIF($B$10:$B$16,"NCAP_TLIFE",$AX$10:$AX$16)),0,""))</f>
        <v/>
      </c>
      <c r="N388" s="369" t="str">
        <f ca="1">IF($B388&lt;&gt;"PRC_RESID","",IF(N$7=2005+OFFSET(COM_2012!$B$60,$AW388,SUMIF($B$10:$B$16,"NCAP_TLIFE",$AX$10:$AX$16)),0,""))</f>
        <v/>
      </c>
      <c r="O388" s="391">
        <f ca="1">IF($A388="*","",OFFSET(' COM_2017_old'!$B$60,AW388,SUMIF($B$10:$B$16,B388,$AX$10:$AX$16)))</f>
        <v>0</v>
      </c>
      <c r="P388" s="369" t="str">
        <f ca="1">IF($B388&lt;&gt;"PRC_RESID","",IF(P$7=2005+OFFSET(COM_2012!$B$60,$AW388,SUMIF($B$10:$B$16,"NCAP_TLIFE",$AX$10:$AX$16)),0,""))</f>
        <v/>
      </c>
      <c r="Q388" s="369"/>
      <c r="R388" s="369" t="str">
        <f ca="1">IF($B388&lt;&gt;"PRC_RESID","",IF(R$7=2016+OFFSET(' COM_2017_old'!$B$60,$AW388,SUMIF($B$10:$B$16,"NCAP_TLIFE",$AX$10:$AX$16)),0,""))</f>
        <v/>
      </c>
      <c r="S388" s="369" t="str">
        <f ca="1">IF($B388&lt;&gt;"PRC_RESID","",IF(S$7=2016+OFFSET(' COM_2017_old'!$B$60,$AW388,SUMIF($B$10:$B$16,"NCAP_TLIFE",$AX$10:$AX$16)),0,""))</f>
        <v/>
      </c>
      <c r="T388" s="369" t="str">
        <f ca="1">IF($B388&lt;&gt;"PRC_RESID","",IF(T$7=2016+OFFSET(' COM_2017_old'!$B$60,$AW388,SUMIF($B$10:$B$16,"NCAP_TLIFE",$AX$10:$AX$16)),0,""))</f>
        <v/>
      </c>
      <c r="U388" s="369" t="str">
        <f ca="1">IF($B388&lt;&gt;"PRC_RESID","",IF(U$7=2016+OFFSET(' COM_2017_old'!$B$60,$AW388,SUMIF($B$10:$B$16,"NCAP_TLIFE",$AX$10:$AX$16)),0,""))</f>
        <v/>
      </c>
      <c r="V388" s="369" t="str">
        <f ca="1">IF($B388&lt;&gt;"PRC_RESID","",IF(V$7=2016+OFFSET(' COM_2017_old'!$B$60,$AW388,SUMIF($B$10:$B$16,"NCAP_TLIFE",$AX$10:$AX$16)),0,""))</f>
        <v/>
      </c>
      <c r="W388" s="369" t="str">
        <f ca="1">IF($B388&lt;&gt;"PRC_RESID","",IF(W$7=2016+OFFSET(' COM_2017_old'!$B$60,$AW388,SUMIF($B$10:$B$16,"NCAP_TLIFE",$AX$10:$AX$16)),0,""))</f>
        <v/>
      </c>
      <c r="X388" s="369" t="str">
        <f ca="1">IF($B388&lt;&gt;"PRC_RESID","",IF(X$7=2016+OFFSET(' COM_2017_old'!$B$60,$AW388,SUMIF($B$10:$B$16,"NCAP_TLIFE",$AX$10:$AX$16)),0,""))</f>
        <v/>
      </c>
      <c r="Y388" s="369" t="str">
        <f ca="1">IF($B388&lt;&gt;"PRC_RESID","",IF(Y$7=2016+OFFSET(' COM_2017_old'!$B$60,$AW388,SUMIF($B$10:$B$16,"NCAP_TLIFE",$AX$10:$AX$16)),0,""))</f>
        <v/>
      </c>
      <c r="Z388" s="369" t="str">
        <f ca="1">IF($B388&lt;&gt;"PRC_RESID","",IF(Z$7=2016+OFFSET(' COM_2017_old'!$B$60,$AW388,SUMIF($B$10:$B$16,"NCAP_TLIFE",$AX$10:$AX$16)),0,""))</f>
        <v/>
      </c>
      <c r="AA388" s="369" t="str">
        <f ca="1">IF($B388&lt;&gt;"PRC_RESID","",IF(AA$7=2016+OFFSET(' COM_2017_old'!$B$60,$AW388,SUMIF($B$10:$B$16,"NCAP_TLIFE",$AX$10:$AX$16)),0,""))</f>
        <v/>
      </c>
      <c r="AB388" s="369" t="str">
        <f ca="1">IF($B388&lt;&gt;"PRC_RESID","",IF(AB$7=2016+OFFSET(' COM_2017_old'!$B$60,$AW388,SUMIF($B$10:$B$16,"NCAP_TLIFE",$AX$10:$AX$16)),0,""))</f>
        <v/>
      </c>
      <c r="AC388" s="369">
        <f ca="1">IF($B388&lt;&gt;"PRC_RESID","",IF(AC$7=2016+OFFSET(' COM_2017_old'!$B$60,$AW388,SUMIF($B$10:$B$16,"NCAP_TLIFE",$AX$10:$AX$16)),0,""))</f>
        <v>0</v>
      </c>
      <c r="AD388" s="369" t="str">
        <f ca="1">IF($B388&lt;&gt;"PRC_RESID","",IF(AD$7=2016+OFFSET(' COM_2017_old'!$B$60,$AW388,SUMIF($B$10:$B$16,"NCAP_TLIFE",$AX$10:$AX$16)),0,""))</f>
        <v/>
      </c>
      <c r="AE388" s="369" t="str">
        <f ca="1">IF($B388&lt;&gt;"PRC_RESID","",IF(AE$7=2005+OFFSET(COM_2012!$B$60,$AW388,SUMIF($B$10:$B$16,"NCAP_TLIFE",$AX$10:$AX$16)),0,""))</f>
        <v/>
      </c>
      <c r="AF388" s="369" t="str">
        <f ca="1">IF($B388&lt;&gt;"PRC_RESID","",IF(AF$7=2005+OFFSET(COM_2012!$B$60,$AW388,SUMIF($B$10:$B$16,"NCAP_TLIFE",$AX$10:$AX$16)),0,""))</f>
        <v/>
      </c>
      <c r="AG388" s="369" t="str">
        <f ca="1">IF($B388&lt;&gt;"PRC_RESID","",IF(AG$7=2005+OFFSET(COM_2012!$B$60,$AW388,SUMIF($B$10:$B$16,"NCAP_TLIFE",$AX$10:$AX$16)),0,""))</f>
        <v/>
      </c>
      <c r="AH388" s="369" t="str">
        <f ca="1">IF($B388&lt;&gt;"PRC_RESID","",IF(AH$7=2005+OFFSET(COM_2012!$B$60,$AW388,SUMIF($B$10:$B$16,"NCAP_TLIFE",$AX$10:$AX$16)),0,""))</f>
        <v/>
      </c>
      <c r="AI388" s="369" t="str">
        <f ca="1">IF($B388&lt;&gt;"PRC_RESID","",IF(AI$7=2005+OFFSET(COM_2012!$B$60,$AW388,SUMIF($B$10:$B$16,"NCAP_TLIFE",$AX$10:$AX$16)),0,""))</f>
        <v/>
      </c>
      <c r="AJ388" s="369" t="str">
        <f ca="1">IF($B388&lt;&gt;"PRC_RESID","",IF(AJ$7=2005+OFFSET(COM_2012!$B$60,$AW388,SUMIF($B$10:$B$16,"NCAP_TLIFE",$AX$10:$AX$16)),0,""))</f>
        <v/>
      </c>
      <c r="AK388" s="369" t="str">
        <f ca="1">IF($B388&lt;&gt;"PRC_RESID","",IF(AK$7=2005+OFFSET(COM_2012!$B$60,$AW388,SUMIF($B$10:$B$16,"NCAP_TLIFE",$AX$10:$AX$16)),0,""))</f>
        <v/>
      </c>
      <c r="AL388" s="369" t="str">
        <f ca="1">IF($B388&lt;&gt;"PRC_RESID","",IF(AL$7=2005+OFFSET(COM_2012!$B$60,$AW388,SUMIF($B$10:$B$16,"NCAP_TLIFE",$AX$10:$AX$16)),0,""))</f>
        <v/>
      </c>
      <c r="AM388" s="369" t="str">
        <f ca="1">IF($B388&lt;&gt;"PRC_RESID","",IF(AM$7=2005+OFFSET(COM_2012!$B$60,$AW388,SUMIF($B$10:$B$16,"NCAP_TLIFE",$AX$10:$AX$16)),0,""))</f>
        <v/>
      </c>
      <c r="AN388" s="369" t="str">
        <f ca="1">IF($B388&lt;&gt;"PRC_RESID","",IF(AN$7=2005+OFFSET(COM_2012!$B$60,$AW388,SUMIF($B$10:$B$16,"NCAP_TLIFE",$AX$10:$AX$16)),0,""))</f>
        <v/>
      </c>
      <c r="AO388" s="369" t="str">
        <f ca="1">IF($B388&lt;&gt;"PRC_RESID","",IF(AO$7=2005+OFFSET(COM_2012!$B$60,$AW388,SUMIF($B$10:$B$16,"NCAP_TLIFE",$AX$10:$AX$16)),0,""))</f>
        <v/>
      </c>
      <c r="AP388" s="369" t="str">
        <f ca="1">IF($B388&lt;&gt;"PRC_RESID","",IF(AP$7=2005+OFFSET(COM_2012!$B$60,$AW388,SUMIF($B$10:$B$16,"NCAP_TLIFE",$AX$10:$AX$16)),0,""))</f>
        <v/>
      </c>
      <c r="AQ388" s="369" t="str">
        <f ca="1">IF($B388&lt;&gt;"PRC_RESID","",IF(AQ$7=2005+OFFSET(COM_2012!$B$60,$AW388,SUMIF($B$10:$B$16,"NCAP_TLIFE",$AX$10:$AX$16)),0,""))</f>
        <v/>
      </c>
      <c r="AR388" s="369" t="str">
        <f ca="1">IF($B388&lt;&gt;"PRC_RESID","",IF(AR$7=2005+OFFSET(COM_2012!$B$60,$AW388,SUMIF($B$10:$B$16,"NCAP_TLIFE",$AX$10:$AX$16)),0,""))</f>
        <v/>
      </c>
      <c r="AS388" s="369" t="str">
        <f ca="1">IF($B388&lt;&gt;"PRC_RESID","",IF(AS$7=2005+OFFSET(COM_2012!$B$60,$AW388,SUMIF($B$10:$B$16,"NCAP_TLIFE",$AX$10:$AX$16)),0,""))</f>
        <v/>
      </c>
      <c r="AT388" s="369" t="str">
        <f ca="1">IF($B388&lt;&gt;"PRC_RESID","",IF(AT$7=2005+OFFSET(COM_2012!$B$60,$AW388,SUMIF($B$10:$B$16,"NCAP_TLIFE",$AX$10:$AX$16)),0,""))</f>
        <v/>
      </c>
      <c r="AU388" s="369" t="str">
        <f ca="1">IF($B388&lt;&gt;"PRC_RESID","",IF(AU$7=2005+OFFSET(COM_2012!$B$60,$AW388,SUMIF($B$10:$B$16,"NCAP_TLIFE",$AX$10:$AX$16)),0,""))</f>
        <v/>
      </c>
      <c r="AV388" s="304">
        <f>IF(AW387=COM_2012!$AI$121,AV387+1,AV387)</f>
        <v>6</v>
      </c>
      <c r="AW388" s="304">
        <f t="shared" si="40"/>
        <v>56</v>
      </c>
    </row>
    <row r="389" spans="1:49">
      <c r="A389" s="304" t="str">
        <f ca="1">IF(LEFT(OFFSET(COM_2012!$A$60,AW389,0),2)="\I","*","")</f>
        <v/>
      </c>
      <c r="B389" s="369" t="str">
        <f t="shared" ca="1" si="35"/>
        <v>PRC_RESID</v>
      </c>
      <c r="C389" s="369" t="str">
        <f ca="1">IF($A389="*","",OFFSET(COM_2012!$B$60,AW389,0))</f>
        <v>CEOOGS-E</v>
      </c>
      <c r="D389" s="369" t="str">
        <f t="shared" ca="1" si="41"/>
        <v>-</v>
      </c>
      <c r="E389" s="369" t="str">
        <f t="shared" ca="1" si="41"/>
        <v>-</v>
      </c>
      <c r="F389" s="369" t="str">
        <f t="shared" ca="1" si="41"/>
        <v>-</v>
      </c>
      <c r="G389" s="369" t="str">
        <f t="shared" ca="1" si="41"/>
        <v>-</v>
      </c>
      <c r="H389" s="369" t="str">
        <f t="shared" ca="1" si="41"/>
        <v>-</v>
      </c>
      <c r="I389" s="370">
        <f t="shared" ca="1" si="41"/>
        <v>0</v>
      </c>
      <c r="J389" s="391">
        <f ca="1">IF($A389="*","",OFFSET(COM_2012!$B$60,AW389,SUMIF($B$10:$B$16,B389,$AX$10:$AX$16)))</f>
        <v>0</v>
      </c>
      <c r="K389" s="369" t="str">
        <f ca="1">IF($B389&lt;&gt;"PRC_RESID","",IF(K$7=2005+OFFSET(COM_2012!$B$60,$AW389,SUMIF($B$10:$B$16,"NCAP_TLIFE",$AX$10:$AX$16)),0,""))</f>
        <v/>
      </c>
      <c r="L389" s="369" t="str">
        <f ca="1">IF($B389&lt;&gt;"PRC_RESID","",IF(L$7=2005+OFFSET(COM_2012!$B$60,$AW389,SUMIF($B$10:$B$16,"NCAP_TLIFE",$AX$10:$AX$16)),0,""))</f>
        <v/>
      </c>
      <c r="M389" s="369" t="str">
        <f ca="1">IF($B389&lt;&gt;"PRC_RESID","",IF(M$7=2005+OFFSET(COM_2012!$B$60,$AW389,SUMIF($B$10:$B$16,"NCAP_TLIFE",$AX$10:$AX$16)),0,""))</f>
        <v/>
      </c>
      <c r="N389" s="369" t="str">
        <f ca="1">IF($B389&lt;&gt;"PRC_RESID","",IF(N$7=2005+OFFSET(COM_2012!$B$60,$AW389,SUMIF($B$10:$B$16,"NCAP_TLIFE",$AX$10:$AX$16)),0,""))</f>
        <v/>
      </c>
      <c r="O389" s="391">
        <f ca="1">IF($A389="*","",OFFSET(' COM_2017_old'!$B$60,AW389,SUMIF($B$10:$B$16,B389,$AX$10:$AX$16)))</f>
        <v>0</v>
      </c>
      <c r="P389" s="369" t="str">
        <f ca="1">IF($B389&lt;&gt;"PRC_RESID","",IF(P$7=2005+OFFSET(COM_2012!$B$60,$AW389,SUMIF($B$10:$B$16,"NCAP_TLIFE",$AX$10:$AX$16)),0,""))</f>
        <v/>
      </c>
      <c r="Q389" s="369"/>
      <c r="R389" s="369" t="str">
        <f ca="1">IF($B389&lt;&gt;"PRC_RESID","",IF(R$7=2016+OFFSET(' COM_2017_old'!$B$60,$AW389,SUMIF($B$10:$B$16,"NCAP_TLIFE",$AX$10:$AX$16)),0,""))</f>
        <v/>
      </c>
      <c r="S389" s="369" t="str">
        <f ca="1">IF($B389&lt;&gt;"PRC_RESID","",IF(S$7=2016+OFFSET(' COM_2017_old'!$B$60,$AW389,SUMIF($B$10:$B$16,"NCAP_TLIFE",$AX$10:$AX$16)),0,""))</f>
        <v/>
      </c>
      <c r="T389" s="369" t="str">
        <f ca="1">IF($B389&lt;&gt;"PRC_RESID","",IF(T$7=2016+OFFSET(' COM_2017_old'!$B$60,$AW389,SUMIF($B$10:$B$16,"NCAP_TLIFE",$AX$10:$AX$16)),0,""))</f>
        <v/>
      </c>
      <c r="U389" s="369" t="str">
        <f ca="1">IF($B389&lt;&gt;"PRC_RESID","",IF(U$7=2016+OFFSET(' COM_2017_old'!$B$60,$AW389,SUMIF($B$10:$B$16,"NCAP_TLIFE",$AX$10:$AX$16)),0,""))</f>
        <v/>
      </c>
      <c r="V389" s="369" t="str">
        <f ca="1">IF($B389&lt;&gt;"PRC_RESID","",IF(V$7=2016+OFFSET(' COM_2017_old'!$B$60,$AW389,SUMIF($B$10:$B$16,"NCAP_TLIFE",$AX$10:$AX$16)),0,""))</f>
        <v/>
      </c>
      <c r="W389" s="369" t="str">
        <f ca="1">IF($B389&lt;&gt;"PRC_RESID","",IF(W$7=2016+OFFSET(' COM_2017_old'!$B$60,$AW389,SUMIF($B$10:$B$16,"NCAP_TLIFE",$AX$10:$AX$16)),0,""))</f>
        <v/>
      </c>
      <c r="X389" s="369" t="str">
        <f ca="1">IF($B389&lt;&gt;"PRC_RESID","",IF(X$7=2016+OFFSET(' COM_2017_old'!$B$60,$AW389,SUMIF($B$10:$B$16,"NCAP_TLIFE",$AX$10:$AX$16)),0,""))</f>
        <v/>
      </c>
      <c r="Y389" s="369" t="str">
        <f ca="1">IF($B389&lt;&gt;"PRC_RESID","",IF(Y$7=2016+OFFSET(' COM_2017_old'!$B$60,$AW389,SUMIF($B$10:$B$16,"NCAP_TLIFE",$AX$10:$AX$16)),0,""))</f>
        <v/>
      </c>
      <c r="Z389" s="369" t="str">
        <f ca="1">IF($B389&lt;&gt;"PRC_RESID","",IF(Z$7=2016+OFFSET(' COM_2017_old'!$B$60,$AW389,SUMIF($B$10:$B$16,"NCAP_TLIFE",$AX$10:$AX$16)),0,""))</f>
        <v/>
      </c>
      <c r="AA389" s="369" t="str">
        <f ca="1">IF($B389&lt;&gt;"PRC_RESID","",IF(AA$7=2016+OFFSET(' COM_2017_old'!$B$60,$AW389,SUMIF($B$10:$B$16,"NCAP_TLIFE",$AX$10:$AX$16)),0,""))</f>
        <v/>
      </c>
      <c r="AB389" s="369" t="str">
        <f ca="1">IF($B389&lt;&gt;"PRC_RESID","",IF(AB$7=2016+OFFSET(' COM_2017_old'!$B$60,$AW389,SUMIF($B$10:$B$16,"NCAP_TLIFE",$AX$10:$AX$16)),0,""))</f>
        <v/>
      </c>
      <c r="AC389" s="369">
        <f ca="1">IF($B389&lt;&gt;"PRC_RESID","",IF(AC$7=2016+OFFSET(' COM_2017_old'!$B$60,$AW389,SUMIF($B$10:$B$16,"NCAP_TLIFE",$AX$10:$AX$16)),0,""))</f>
        <v>0</v>
      </c>
      <c r="AD389" s="369" t="str">
        <f ca="1">IF($B389&lt;&gt;"PRC_RESID","",IF(AD$7=2016+OFFSET(' COM_2017_old'!$B$60,$AW389,SUMIF($B$10:$B$16,"NCAP_TLIFE",$AX$10:$AX$16)),0,""))</f>
        <v/>
      </c>
      <c r="AE389" s="369" t="str">
        <f ca="1">IF($B389&lt;&gt;"PRC_RESID","",IF(AE$7=2005+OFFSET(COM_2012!$B$60,$AW389,SUMIF($B$10:$B$16,"NCAP_TLIFE",$AX$10:$AX$16)),0,""))</f>
        <v/>
      </c>
      <c r="AF389" s="369" t="str">
        <f ca="1">IF($B389&lt;&gt;"PRC_RESID","",IF(AF$7=2005+OFFSET(COM_2012!$B$60,$AW389,SUMIF($B$10:$B$16,"NCAP_TLIFE",$AX$10:$AX$16)),0,""))</f>
        <v/>
      </c>
      <c r="AG389" s="369" t="str">
        <f ca="1">IF($B389&lt;&gt;"PRC_RESID","",IF(AG$7=2005+OFFSET(COM_2012!$B$60,$AW389,SUMIF($B$10:$B$16,"NCAP_TLIFE",$AX$10:$AX$16)),0,""))</f>
        <v/>
      </c>
      <c r="AH389" s="369" t="str">
        <f ca="1">IF($B389&lt;&gt;"PRC_RESID","",IF(AH$7=2005+OFFSET(COM_2012!$B$60,$AW389,SUMIF($B$10:$B$16,"NCAP_TLIFE",$AX$10:$AX$16)),0,""))</f>
        <v/>
      </c>
      <c r="AI389" s="369" t="str">
        <f ca="1">IF($B389&lt;&gt;"PRC_RESID","",IF(AI$7=2005+OFFSET(COM_2012!$B$60,$AW389,SUMIF($B$10:$B$16,"NCAP_TLIFE",$AX$10:$AX$16)),0,""))</f>
        <v/>
      </c>
      <c r="AJ389" s="369" t="str">
        <f ca="1">IF($B389&lt;&gt;"PRC_RESID","",IF(AJ$7=2005+OFFSET(COM_2012!$B$60,$AW389,SUMIF($B$10:$B$16,"NCAP_TLIFE",$AX$10:$AX$16)),0,""))</f>
        <v/>
      </c>
      <c r="AK389" s="369" t="str">
        <f ca="1">IF($B389&lt;&gt;"PRC_RESID","",IF(AK$7=2005+OFFSET(COM_2012!$B$60,$AW389,SUMIF($B$10:$B$16,"NCAP_TLIFE",$AX$10:$AX$16)),0,""))</f>
        <v/>
      </c>
      <c r="AL389" s="369" t="str">
        <f ca="1">IF($B389&lt;&gt;"PRC_RESID","",IF(AL$7=2005+OFFSET(COM_2012!$B$60,$AW389,SUMIF($B$10:$B$16,"NCAP_TLIFE",$AX$10:$AX$16)),0,""))</f>
        <v/>
      </c>
      <c r="AM389" s="369" t="str">
        <f ca="1">IF($B389&lt;&gt;"PRC_RESID","",IF(AM$7=2005+OFFSET(COM_2012!$B$60,$AW389,SUMIF($B$10:$B$16,"NCAP_TLIFE",$AX$10:$AX$16)),0,""))</f>
        <v/>
      </c>
      <c r="AN389" s="369" t="str">
        <f ca="1">IF($B389&lt;&gt;"PRC_RESID","",IF(AN$7=2005+OFFSET(COM_2012!$B$60,$AW389,SUMIF($B$10:$B$16,"NCAP_TLIFE",$AX$10:$AX$16)),0,""))</f>
        <v/>
      </c>
      <c r="AO389" s="369" t="str">
        <f ca="1">IF($B389&lt;&gt;"PRC_RESID","",IF(AO$7=2005+OFFSET(COM_2012!$B$60,$AW389,SUMIF($B$10:$B$16,"NCAP_TLIFE",$AX$10:$AX$16)),0,""))</f>
        <v/>
      </c>
      <c r="AP389" s="369" t="str">
        <f ca="1">IF($B389&lt;&gt;"PRC_RESID","",IF(AP$7=2005+OFFSET(COM_2012!$B$60,$AW389,SUMIF($B$10:$B$16,"NCAP_TLIFE",$AX$10:$AX$16)),0,""))</f>
        <v/>
      </c>
      <c r="AQ389" s="369" t="str">
        <f ca="1">IF($B389&lt;&gt;"PRC_RESID","",IF(AQ$7=2005+OFFSET(COM_2012!$B$60,$AW389,SUMIF($B$10:$B$16,"NCAP_TLIFE",$AX$10:$AX$16)),0,""))</f>
        <v/>
      </c>
      <c r="AR389" s="369" t="str">
        <f ca="1">IF($B389&lt;&gt;"PRC_RESID","",IF(AR$7=2005+OFFSET(COM_2012!$B$60,$AW389,SUMIF($B$10:$B$16,"NCAP_TLIFE",$AX$10:$AX$16)),0,""))</f>
        <v/>
      </c>
      <c r="AS389" s="369" t="str">
        <f ca="1">IF($B389&lt;&gt;"PRC_RESID","",IF(AS$7=2005+OFFSET(COM_2012!$B$60,$AW389,SUMIF($B$10:$B$16,"NCAP_TLIFE",$AX$10:$AX$16)),0,""))</f>
        <v/>
      </c>
      <c r="AT389" s="369" t="str">
        <f ca="1">IF($B389&lt;&gt;"PRC_RESID","",IF(AT$7=2005+OFFSET(COM_2012!$B$60,$AW389,SUMIF($B$10:$B$16,"NCAP_TLIFE",$AX$10:$AX$16)),0,""))</f>
        <v/>
      </c>
      <c r="AU389" s="369" t="str">
        <f ca="1">IF($B389&lt;&gt;"PRC_RESID","",IF(AU$7=2005+OFFSET(COM_2012!$B$60,$AW389,SUMIF($B$10:$B$16,"NCAP_TLIFE",$AX$10:$AX$16)),0,""))</f>
        <v/>
      </c>
      <c r="AV389" s="304">
        <f>IF(AW388=COM_2012!$AI$121,AV388+1,AV388)</f>
        <v>6</v>
      </c>
      <c r="AW389" s="304">
        <f t="shared" si="40"/>
        <v>57</v>
      </c>
    </row>
    <row r="390" spans="1:49">
      <c r="A390" s="304" t="str">
        <f ca="1">IF(LEFT(OFFSET(COM_2012!$A$60,AW390,0),2)="\I","*","")</f>
        <v/>
      </c>
      <c r="B390" s="369" t="str">
        <f t="shared" ca="1" si="35"/>
        <v>PRC_RESID</v>
      </c>
      <c r="C390" s="369" t="str">
        <f ca="1">IF($A390="*","",OFFSET(COM_2012!$B$60,AW390,0))</f>
        <v>CEOOHF-E</v>
      </c>
      <c r="D390" s="369" t="str">
        <f t="shared" ca="1" si="41"/>
        <v>-</v>
      </c>
      <c r="E390" s="369" t="str">
        <f t="shared" ca="1" si="41"/>
        <v>-</v>
      </c>
      <c r="F390" s="369" t="str">
        <f t="shared" ca="1" si="41"/>
        <v>-</v>
      </c>
      <c r="G390" s="369" t="str">
        <f t="shared" ca="1" si="41"/>
        <v>-</v>
      </c>
      <c r="H390" s="369" t="str">
        <f t="shared" ca="1" si="41"/>
        <v>-</v>
      </c>
      <c r="I390" s="370">
        <f t="shared" ca="1" si="41"/>
        <v>0</v>
      </c>
      <c r="J390" s="391">
        <f ca="1">IF($A390="*","",OFFSET(COM_2012!$B$60,AW390,SUMIF($B$10:$B$16,B390,$AX$10:$AX$16)))</f>
        <v>0.36012169032176811</v>
      </c>
      <c r="K390" s="369" t="str">
        <f ca="1">IF($B390&lt;&gt;"PRC_RESID","",IF(K$7=2005+OFFSET(COM_2012!$B$60,$AW390,SUMIF($B$10:$B$16,"NCAP_TLIFE",$AX$10:$AX$16)),0,""))</f>
        <v/>
      </c>
      <c r="L390" s="369" t="str">
        <f ca="1">IF($B390&lt;&gt;"PRC_RESID","",IF(L$7=2005+OFFSET(COM_2012!$B$60,$AW390,SUMIF($B$10:$B$16,"NCAP_TLIFE",$AX$10:$AX$16)),0,""))</f>
        <v/>
      </c>
      <c r="M390" s="369" t="str">
        <f ca="1">IF($B390&lt;&gt;"PRC_RESID","",IF(M$7=2005+OFFSET(COM_2012!$B$60,$AW390,SUMIF($B$10:$B$16,"NCAP_TLIFE",$AX$10:$AX$16)),0,""))</f>
        <v/>
      </c>
      <c r="N390" s="369" t="str">
        <f ca="1">IF($B390&lt;&gt;"PRC_RESID","",IF(N$7=2005+OFFSET(COM_2012!$B$60,$AW390,SUMIF($B$10:$B$16,"NCAP_TLIFE",$AX$10:$AX$16)),0,""))</f>
        <v/>
      </c>
      <c r="O390" s="391">
        <f ca="1">IF($A390="*","",OFFSET(' COM_2017_old'!$B$60,AW390,SUMIF($B$10:$B$16,B390,$AX$10:$AX$16)))</f>
        <v>0.36012169032176811</v>
      </c>
      <c r="P390" s="369" t="str">
        <f ca="1">IF($B390&lt;&gt;"PRC_RESID","",IF(P$7=2005+OFFSET(COM_2012!$B$60,$AW390,SUMIF($B$10:$B$16,"NCAP_TLIFE",$AX$10:$AX$16)),0,""))</f>
        <v/>
      </c>
      <c r="Q390" s="369"/>
      <c r="R390" s="369" t="str">
        <f ca="1">IF($B390&lt;&gt;"PRC_RESID","",IF(R$7=2016+OFFSET(' COM_2017_old'!$B$60,$AW390,SUMIF($B$10:$B$16,"NCAP_TLIFE",$AX$10:$AX$16)),0,""))</f>
        <v/>
      </c>
      <c r="S390" s="369" t="str">
        <f ca="1">IF($B390&lt;&gt;"PRC_RESID","",IF(S$7=2016+OFFSET(' COM_2017_old'!$B$60,$AW390,SUMIF($B$10:$B$16,"NCAP_TLIFE",$AX$10:$AX$16)),0,""))</f>
        <v/>
      </c>
      <c r="T390" s="369" t="str">
        <f ca="1">IF($B390&lt;&gt;"PRC_RESID","",IF(T$7=2016+OFFSET(' COM_2017_old'!$B$60,$AW390,SUMIF($B$10:$B$16,"NCAP_TLIFE",$AX$10:$AX$16)),0,""))</f>
        <v/>
      </c>
      <c r="U390" s="369" t="str">
        <f ca="1">IF($B390&lt;&gt;"PRC_RESID","",IF(U$7=2016+OFFSET(' COM_2017_old'!$B$60,$AW390,SUMIF($B$10:$B$16,"NCAP_TLIFE",$AX$10:$AX$16)),0,""))</f>
        <v/>
      </c>
      <c r="V390" s="369" t="str">
        <f ca="1">IF($B390&lt;&gt;"PRC_RESID","",IF(V$7=2016+OFFSET(' COM_2017_old'!$B$60,$AW390,SUMIF($B$10:$B$16,"NCAP_TLIFE",$AX$10:$AX$16)),0,""))</f>
        <v/>
      </c>
      <c r="W390" s="369" t="str">
        <f ca="1">IF($B390&lt;&gt;"PRC_RESID","",IF(W$7=2016+OFFSET(' COM_2017_old'!$B$60,$AW390,SUMIF($B$10:$B$16,"NCAP_TLIFE",$AX$10:$AX$16)),0,""))</f>
        <v/>
      </c>
      <c r="X390" s="369" t="str">
        <f ca="1">IF($B390&lt;&gt;"PRC_RESID","",IF(X$7=2016+OFFSET(' COM_2017_old'!$B$60,$AW390,SUMIF($B$10:$B$16,"NCAP_TLIFE",$AX$10:$AX$16)),0,""))</f>
        <v/>
      </c>
      <c r="Y390" s="369" t="str">
        <f ca="1">IF($B390&lt;&gt;"PRC_RESID","",IF(Y$7=2016+OFFSET(' COM_2017_old'!$B$60,$AW390,SUMIF($B$10:$B$16,"NCAP_TLIFE",$AX$10:$AX$16)),0,""))</f>
        <v/>
      </c>
      <c r="Z390" s="369" t="str">
        <f ca="1">IF($B390&lt;&gt;"PRC_RESID","",IF(Z$7=2016+OFFSET(' COM_2017_old'!$B$60,$AW390,SUMIF($B$10:$B$16,"NCAP_TLIFE",$AX$10:$AX$16)),0,""))</f>
        <v/>
      </c>
      <c r="AA390" s="369" t="str">
        <f ca="1">IF($B390&lt;&gt;"PRC_RESID","",IF(AA$7=2016+OFFSET(' COM_2017_old'!$B$60,$AW390,SUMIF($B$10:$B$16,"NCAP_TLIFE",$AX$10:$AX$16)),0,""))</f>
        <v/>
      </c>
      <c r="AB390" s="369" t="str">
        <f ca="1">IF($B390&lt;&gt;"PRC_RESID","",IF(AB$7=2016+OFFSET(' COM_2017_old'!$B$60,$AW390,SUMIF($B$10:$B$16,"NCAP_TLIFE",$AX$10:$AX$16)),0,""))</f>
        <v/>
      </c>
      <c r="AC390" s="369">
        <f ca="1">IF($B390&lt;&gt;"PRC_RESID","",IF(AC$7=2016+OFFSET(' COM_2017_old'!$B$60,$AW390,SUMIF($B$10:$B$16,"NCAP_TLIFE",$AX$10:$AX$16)),0,""))</f>
        <v>0</v>
      </c>
      <c r="AD390" s="369" t="str">
        <f ca="1">IF($B390&lt;&gt;"PRC_RESID","",IF(AD$7=2016+OFFSET(' COM_2017_old'!$B$60,$AW390,SUMIF($B$10:$B$16,"NCAP_TLIFE",$AX$10:$AX$16)),0,""))</f>
        <v/>
      </c>
      <c r="AE390" s="369" t="str">
        <f ca="1">IF($B390&lt;&gt;"PRC_RESID","",IF(AE$7=2005+OFFSET(COM_2012!$B$60,$AW390,SUMIF($B$10:$B$16,"NCAP_TLIFE",$AX$10:$AX$16)),0,""))</f>
        <v/>
      </c>
      <c r="AF390" s="369" t="str">
        <f ca="1">IF($B390&lt;&gt;"PRC_RESID","",IF(AF$7=2005+OFFSET(COM_2012!$B$60,$AW390,SUMIF($B$10:$B$16,"NCAP_TLIFE",$AX$10:$AX$16)),0,""))</f>
        <v/>
      </c>
      <c r="AG390" s="369" t="str">
        <f ca="1">IF($B390&lt;&gt;"PRC_RESID","",IF(AG$7=2005+OFFSET(COM_2012!$B$60,$AW390,SUMIF($B$10:$B$16,"NCAP_TLIFE",$AX$10:$AX$16)),0,""))</f>
        <v/>
      </c>
      <c r="AH390" s="369" t="str">
        <f ca="1">IF($B390&lt;&gt;"PRC_RESID","",IF(AH$7=2005+OFFSET(COM_2012!$B$60,$AW390,SUMIF($B$10:$B$16,"NCAP_TLIFE",$AX$10:$AX$16)),0,""))</f>
        <v/>
      </c>
      <c r="AI390" s="369" t="str">
        <f ca="1">IF($B390&lt;&gt;"PRC_RESID","",IF(AI$7=2005+OFFSET(COM_2012!$B$60,$AW390,SUMIF($B$10:$B$16,"NCAP_TLIFE",$AX$10:$AX$16)),0,""))</f>
        <v/>
      </c>
      <c r="AJ390" s="369" t="str">
        <f ca="1">IF($B390&lt;&gt;"PRC_RESID","",IF(AJ$7=2005+OFFSET(COM_2012!$B$60,$AW390,SUMIF($B$10:$B$16,"NCAP_TLIFE",$AX$10:$AX$16)),0,""))</f>
        <v/>
      </c>
      <c r="AK390" s="369" t="str">
        <f ca="1">IF($B390&lt;&gt;"PRC_RESID","",IF(AK$7=2005+OFFSET(COM_2012!$B$60,$AW390,SUMIF($B$10:$B$16,"NCAP_TLIFE",$AX$10:$AX$16)),0,""))</f>
        <v/>
      </c>
      <c r="AL390" s="369" t="str">
        <f ca="1">IF($B390&lt;&gt;"PRC_RESID","",IF(AL$7=2005+OFFSET(COM_2012!$B$60,$AW390,SUMIF($B$10:$B$16,"NCAP_TLIFE",$AX$10:$AX$16)),0,""))</f>
        <v/>
      </c>
      <c r="AM390" s="369" t="str">
        <f ca="1">IF($B390&lt;&gt;"PRC_RESID","",IF(AM$7=2005+OFFSET(COM_2012!$B$60,$AW390,SUMIF($B$10:$B$16,"NCAP_TLIFE",$AX$10:$AX$16)),0,""))</f>
        <v/>
      </c>
      <c r="AN390" s="369" t="str">
        <f ca="1">IF($B390&lt;&gt;"PRC_RESID","",IF(AN$7=2005+OFFSET(COM_2012!$B$60,$AW390,SUMIF($B$10:$B$16,"NCAP_TLIFE",$AX$10:$AX$16)),0,""))</f>
        <v/>
      </c>
      <c r="AO390" s="369" t="str">
        <f ca="1">IF($B390&lt;&gt;"PRC_RESID","",IF(AO$7=2005+OFFSET(COM_2012!$B$60,$AW390,SUMIF($B$10:$B$16,"NCAP_TLIFE",$AX$10:$AX$16)),0,""))</f>
        <v/>
      </c>
      <c r="AP390" s="369" t="str">
        <f ca="1">IF($B390&lt;&gt;"PRC_RESID","",IF(AP$7=2005+OFFSET(COM_2012!$B$60,$AW390,SUMIF($B$10:$B$16,"NCAP_TLIFE",$AX$10:$AX$16)),0,""))</f>
        <v/>
      </c>
      <c r="AQ390" s="369" t="str">
        <f ca="1">IF($B390&lt;&gt;"PRC_RESID","",IF(AQ$7=2005+OFFSET(COM_2012!$B$60,$AW390,SUMIF($B$10:$B$16,"NCAP_TLIFE",$AX$10:$AX$16)),0,""))</f>
        <v/>
      </c>
      <c r="AR390" s="369" t="str">
        <f ca="1">IF($B390&lt;&gt;"PRC_RESID","",IF(AR$7=2005+OFFSET(COM_2012!$B$60,$AW390,SUMIF($B$10:$B$16,"NCAP_TLIFE",$AX$10:$AX$16)),0,""))</f>
        <v/>
      </c>
      <c r="AS390" s="369" t="str">
        <f ca="1">IF($B390&lt;&gt;"PRC_RESID","",IF(AS$7=2005+OFFSET(COM_2012!$B$60,$AW390,SUMIF($B$10:$B$16,"NCAP_TLIFE",$AX$10:$AX$16)),0,""))</f>
        <v/>
      </c>
      <c r="AT390" s="369" t="str">
        <f ca="1">IF($B390&lt;&gt;"PRC_RESID","",IF(AT$7=2005+OFFSET(COM_2012!$B$60,$AW390,SUMIF($B$10:$B$16,"NCAP_TLIFE",$AX$10:$AX$16)),0,""))</f>
        <v/>
      </c>
      <c r="AU390" s="369" t="str">
        <f ca="1">IF($B390&lt;&gt;"PRC_RESID","",IF(AU$7=2005+OFFSET(COM_2012!$B$60,$AW390,SUMIF($B$10:$B$16,"NCAP_TLIFE",$AX$10:$AX$16)),0,""))</f>
        <v/>
      </c>
      <c r="AV390" s="304">
        <f>IF(AW389=COM_2012!$AI$121,AV389+1,AV389)</f>
        <v>6</v>
      </c>
      <c r="AW390" s="304">
        <f t="shared" si="40"/>
        <v>58</v>
      </c>
    </row>
    <row r="391" spans="1:49">
      <c r="A391" s="304" t="str">
        <f ca="1">IF(LEFT(OFFSET(COM_2012!$A$60,AW391,0),2)="\I","*","")</f>
        <v/>
      </c>
      <c r="B391" s="369" t="str">
        <f t="shared" ca="1" si="35"/>
        <v>PRC_RESID</v>
      </c>
      <c r="C391" s="369" t="str">
        <f ca="1">IF($A391="*","",OFFSET(COM_2012!$B$60,AW391,0))</f>
        <v>CEOOKE-E</v>
      </c>
      <c r="D391" s="369" t="str">
        <f t="shared" ca="1" si="41"/>
        <v>-</v>
      </c>
      <c r="E391" s="369" t="str">
        <f t="shared" ca="1" si="41"/>
        <v>-</v>
      </c>
      <c r="F391" s="369" t="str">
        <f t="shared" ca="1" si="41"/>
        <v>-</v>
      </c>
      <c r="G391" s="369" t="str">
        <f t="shared" ca="1" si="41"/>
        <v>-</v>
      </c>
      <c r="H391" s="369" t="str">
        <f t="shared" ca="1" si="41"/>
        <v>-</v>
      </c>
      <c r="I391" s="370">
        <f t="shared" ca="1" si="41"/>
        <v>0</v>
      </c>
      <c r="J391" s="391">
        <f ca="1">IF($A391="*","",OFFSET(COM_2012!$B$60,AW391,SUMIF($B$10:$B$16,B391,$AX$10:$AX$16)))</f>
        <v>0</v>
      </c>
      <c r="K391" s="369" t="str">
        <f ca="1">IF($B391&lt;&gt;"PRC_RESID","",IF(K$7=2005+OFFSET(COM_2012!$B$60,$AW391,SUMIF($B$10:$B$16,"NCAP_TLIFE",$AX$10:$AX$16)),0,""))</f>
        <v/>
      </c>
      <c r="L391" s="369" t="str">
        <f ca="1">IF($B391&lt;&gt;"PRC_RESID","",IF(L$7=2005+OFFSET(COM_2012!$B$60,$AW391,SUMIF($B$10:$B$16,"NCAP_TLIFE",$AX$10:$AX$16)),0,""))</f>
        <v/>
      </c>
      <c r="M391" s="369" t="str">
        <f ca="1">IF($B391&lt;&gt;"PRC_RESID","",IF(M$7=2005+OFFSET(COM_2012!$B$60,$AW391,SUMIF($B$10:$B$16,"NCAP_TLIFE",$AX$10:$AX$16)),0,""))</f>
        <v/>
      </c>
      <c r="N391" s="369" t="str">
        <f ca="1">IF($B391&lt;&gt;"PRC_RESID","",IF(N$7=2005+OFFSET(COM_2012!$B$60,$AW391,SUMIF($B$10:$B$16,"NCAP_TLIFE",$AX$10:$AX$16)),0,""))</f>
        <v/>
      </c>
      <c r="O391" s="391">
        <f ca="1">IF($A391="*","",OFFSET(' COM_2017_old'!$B$60,AW391,SUMIF($B$10:$B$16,B391,$AX$10:$AX$16)))</f>
        <v>0</v>
      </c>
      <c r="P391" s="369" t="str">
        <f ca="1">IF($B391&lt;&gt;"PRC_RESID","",IF(P$7=2005+OFFSET(COM_2012!$B$60,$AW391,SUMIF($B$10:$B$16,"NCAP_TLIFE",$AX$10:$AX$16)),0,""))</f>
        <v/>
      </c>
      <c r="Q391" s="369"/>
      <c r="R391" s="369" t="str">
        <f ca="1">IF($B391&lt;&gt;"PRC_RESID","",IF(R$7=2016+OFFSET(' COM_2017_old'!$B$60,$AW391,SUMIF($B$10:$B$16,"NCAP_TLIFE",$AX$10:$AX$16)),0,""))</f>
        <v/>
      </c>
      <c r="S391" s="369" t="str">
        <f ca="1">IF($B391&lt;&gt;"PRC_RESID","",IF(S$7=2016+OFFSET(' COM_2017_old'!$B$60,$AW391,SUMIF($B$10:$B$16,"NCAP_TLIFE",$AX$10:$AX$16)),0,""))</f>
        <v/>
      </c>
      <c r="T391" s="369" t="str">
        <f ca="1">IF($B391&lt;&gt;"PRC_RESID","",IF(T$7=2016+OFFSET(' COM_2017_old'!$B$60,$AW391,SUMIF($B$10:$B$16,"NCAP_TLIFE",$AX$10:$AX$16)),0,""))</f>
        <v/>
      </c>
      <c r="U391" s="369" t="str">
        <f ca="1">IF($B391&lt;&gt;"PRC_RESID","",IF(U$7=2016+OFFSET(' COM_2017_old'!$B$60,$AW391,SUMIF($B$10:$B$16,"NCAP_TLIFE",$AX$10:$AX$16)),0,""))</f>
        <v/>
      </c>
      <c r="V391" s="369" t="str">
        <f ca="1">IF($B391&lt;&gt;"PRC_RESID","",IF(V$7=2016+OFFSET(' COM_2017_old'!$B$60,$AW391,SUMIF($B$10:$B$16,"NCAP_TLIFE",$AX$10:$AX$16)),0,""))</f>
        <v/>
      </c>
      <c r="W391" s="369" t="str">
        <f ca="1">IF($B391&lt;&gt;"PRC_RESID","",IF(W$7=2016+OFFSET(' COM_2017_old'!$B$60,$AW391,SUMIF($B$10:$B$16,"NCAP_TLIFE",$AX$10:$AX$16)),0,""))</f>
        <v/>
      </c>
      <c r="X391" s="369" t="str">
        <f ca="1">IF($B391&lt;&gt;"PRC_RESID","",IF(X$7=2016+OFFSET(' COM_2017_old'!$B$60,$AW391,SUMIF($B$10:$B$16,"NCAP_TLIFE",$AX$10:$AX$16)),0,""))</f>
        <v/>
      </c>
      <c r="Y391" s="369" t="str">
        <f ca="1">IF($B391&lt;&gt;"PRC_RESID","",IF(Y$7=2016+OFFSET(' COM_2017_old'!$B$60,$AW391,SUMIF($B$10:$B$16,"NCAP_TLIFE",$AX$10:$AX$16)),0,""))</f>
        <v/>
      </c>
      <c r="Z391" s="369" t="str">
        <f ca="1">IF($B391&lt;&gt;"PRC_RESID","",IF(Z$7=2016+OFFSET(' COM_2017_old'!$B$60,$AW391,SUMIF($B$10:$B$16,"NCAP_TLIFE",$AX$10:$AX$16)),0,""))</f>
        <v/>
      </c>
      <c r="AA391" s="369" t="str">
        <f ca="1">IF($B391&lt;&gt;"PRC_RESID","",IF(AA$7=2016+OFFSET(' COM_2017_old'!$B$60,$AW391,SUMIF($B$10:$B$16,"NCAP_TLIFE",$AX$10:$AX$16)),0,""))</f>
        <v/>
      </c>
      <c r="AB391" s="369" t="str">
        <f ca="1">IF($B391&lt;&gt;"PRC_RESID","",IF(AB$7=2016+OFFSET(' COM_2017_old'!$B$60,$AW391,SUMIF($B$10:$B$16,"NCAP_TLIFE",$AX$10:$AX$16)),0,""))</f>
        <v/>
      </c>
      <c r="AC391" s="369">
        <f ca="1">IF($B391&lt;&gt;"PRC_RESID","",IF(AC$7=2016+OFFSET(' COM_2017_old'!$B$60,$AW391,SUMIF($B$10:$B$16,"NCAP_TLIFE",$AX$10:$AX$16)),0,""))</f>
        <v>0</v>
      </c>
      <c r="AD391" s="369" t="str">
        <f ca="1">IF($B391&lt;&gt;"PRC_RESID","",IF(AD$7=2016+OFFSET(' COM_2017_old'!$B$60,$AW391,SUMIF($B$10:$B$16,"NCAP_TLIFE",$AX$10:$AX$16)),0,""))</f>
        <v/>
      </c>
      <c r="AE391" s="369" t="str">
        <f ca="1">IF($B391&lt;&gt;"PRC_RESID","",IF(AE$7=2005+OFFSET(COM_2012!$B$60,$AW391,SUMIF($B$10:$B$16,"NCAP_TLIFE",$AX$10:$AX$16)),0,""))</f>
        <v/>
      </c>
      <c r="AF391" s="369" t="str">
        <f ca="1">IF($B391&lt;&gt;"PRC_RESID","",IF(AF$7=2005+OFFSET(COM_2012!$B$60,$AW391,SUMIF($B$10:$B$16,"NCAP_TLIFE",$AX$10:$AX$16)),0,""))</f>
        <v/>
      </c>
      <c r="AG391" s="369" t="str">
        <f ca="1">IF($B391&lt;&gt;"PRC_RESID","",IF(AG$7=2005+OFFSET(COM_2012!$B$60,$AW391,SUMIF($B$10:$B$16,"NCAP_TLIFE",$AX$10:$AX$16)),0,""))</f>
        <v/>
      </c>
      <c r="AH391" s="369" t="str">
        <f ca="1">IF($B391&lt;&gt;"PRC_RESID","",IF(AH$7=2005+OFFSET(COM_2012!$B$60,$AW391,SUMIF($B$10:$B$16,"NCAP_TLIFE",$AX$10:$AX$16)),0,""))</f>
        <v/>
      </c>
      <c r="AI391" s="369" t="str">
        <f ca="1">IF($B391&lt;&gt;"PRC_RESID","",IF(AI$7=2005+OFFSET(COM_2012!$B$60,$AW391,SUMIF($B$10:$B$16,"NCAP_TLIFE",$AX$10:$AX$16)),0,""))</f>
        <v/>
      </c>
      <c r="AJ391" s="369" t="str">
        <f ca="1">IF($B391&lt;&gt;"PRC_RESID","",IF(AJ$7=2005+OFFSET(COM_2012!$B$60,$AW391,SUMIF($B$10:$B$16,"NCAP_TLIFE",$AX$10:$AX$16)),0,""))</f>
        <v/>
      </c>
      <c r="AK391" s="369" t="str">
        <f ca="1">IF($B391&lt;&gt;"PRC_RESID","",IF(AK$7=2005+OFFSET(COM_2012!$B$60,$AW391,SUMIF($B$10:$B$16,"NCAP_TLIFE",$AX$10:$AX$16)),0,""))</f>
        <v/>
      </c>
      <c r="AL391" s="369" t="str">
        <f ca="1">IF($B391&lt;&gt;"PRC_RESID","",IF(AL$7=2005+OFFSET(COM_2012!$B$60,$AW391,SUMIF($B$10:$B$16,"NCAP_TLIFE",$AX$10:$AX$16)),0,""))</f>
        <v/>
      </c>
      <c r="AM391" s="369" t="str">
        <f ca="1">IF($B391&lt;&gt;"PRC_RESID","",IF(AM$7=2005+OFFSET(COM_2012!$B$60,$AW391,SUMIF($B$10:$B$16,"NCAP_TLIFE",$AX$10:$AX$16)),0,""))</f>
        <v/>
      </c>
      <c r="AN391" s="369" t="str">
        <f ca="1">IF($B391&lt;&gt;"PRC_RESID","",IF(AN$7=2005+OFFSET(COM_2012!$B$60,$AW391,SUMIF($B$10:$B$16,"NCAP_TLIFE",$AX$10:$AX$16)),0,""))</f>
        <v/>
      </c>
      <c r="AO391" s="369" t="str">
        <f ca="1">IF($B391&lt;&gt;"PRC_RESID","",IF(AO$7=2005+OFFSET(COM_2012!$B$60,$AW391,SUMIF($B$10:$B$16,"NCAP_TLIFE",$AX$10:$AX$16)),0,""))</f>
        <v/>
      </c>
      <c r="AP391" s="369" t="str">
        <f ca="1">IF($B391&lt;&gt;"PRC_RESID","",IF(AP$7=2005+OFFSET(COM_2012!$B$60,$AW391,SUMIF($B$10:$B$16,"NCAP_TLIFE",$AX$10:$AX$16)),0,""))</f>
        <v/>
      </c>
      <c r="AQ391" s="369" t="str">
        <f ca="1">IF($B391&lt;&gt;"PRC_RESID","",IF(AQ$7=2005+OFFSET(COM_2012!$B$60,$AW391,SUMIF($B$10:$B$16,"NCAP_TLIFE",$AX$10:$AX$16)),0,""))</f>
        <v/>
      </c>
      <c r="AR391" s="369" t="str">
        <f ca="1">IF($B391&lt;&gt;"PRC_RESID","",IF(AR$7=2005+OFFSET(COM_2012!$B$60,$AW391,SUMIF($B$10:$B$16,"NCAP_TLIFE",$AX$10:$AX$16)),0,""))</f>
        <v/>
      </c>
      <c r="AS391" s="369" t="str">
        <f ca="1">IF($B391&lt;&gt;"PRC_RESID","",IF(AS$7=2005+OFFSET(COM_2012!$B$60,$AW391,SUMIF($B$10:$B$16,"NCAP_TLIFE",$AX$10:$AX$16)),0,""))</f>
        <v/>
      </c>
      <c r="AT391" s="369" t="str">
        <f ca="1">IF($B391&lt;&gt;"PRC_RESID","",IF(AT$7=2005+OFFSET(COM_2012!$B$60,$AW391,SUMIF($B$10:$B$16,"NCAP_TLIFE",$AX$10:$AX$16)),0,""))</f>
        <v/>
      </c>
      <c r="AU391" s="369" t="str">
        <f ca="1">IF($B391&lt;&gt;"PRC_RESID","",IF(AU$7=2005+OFFSET(COM_2012!$B$60,$AW391,SUMIF($B$10:$B$16,"NCAP_TLIFE",$AX$10:$AX$16)),0,""))</f>
        <v/>
      </c>
      <c r="AV391" s="304">
        <f>IF(AW390=COM_2012!$AI$121,AV390+1,AV390)</f>
        <v>6</v>
      </c>
      <c r="AW391" s="304">
        <f t="shared" si="40"/>
        <v>59</v>
      </c>
    </row>
    <row r="392" spans="1:49">
      <c r="A392" s="304" t="str">
        <f ca="1">IF(LEFT(OFFSET(COM_2012!$A$60,AW392,0),2)="\I","*","")</f>
        <v>*</v>
      </c>
      <c r="B392" s="369" t="str">
        <f t="shared" ca="1" si="35"/>
        <v/>
      </c>
      <c r="C392" s="369" t="str">
        <f ca="1">IF($A392="*","",OFFSET(COM_2012!$B$60,AW392,0))</f>
        <v/>
      </c>
      <c r="D392" s="369" t="str">
        <f t="shared" ca="1" si="41"/>
        <v/>
      </c>
      <c r="E392" s="369" t="str">
        <f t="shared" ca="1" si="41"/>
        <v/>
      </c>
      <c r="F392" s="369" t="str">
        <f t="shared" ca="1" si="41"/>
        <v/>
      </c>
      <c r="G392" s="369" t="str">
        <f t="shared" ca="1" si="41"/>
        <v/>
      </c>
      <c r="H392" s="369" t="str">
        <f t="shared" ca="1" si="41"/>
        <v/>
      </c>
      <c r="I392" s="370" t="str">
        <f t="shared" ca="1" si="41"/>
        <v/>
      </c>
      <c r="J392" s="391" t="str">
        <f ca="1">IF($A392="*","",OFFSET(COM_2012!$B$60,AW392,SUMIF($B$10:$B$16,B392,$AX$10:$AX$16)))</f>
        <v/>
      </c>
      <c r="K392" s="369" t="str">
        <f ca="1">IF($B392&lt;&gt;"PRC_RESID","",IF(K$7=2005+OFFSET(COM_2012!$B$60,$AW392,SUMIF($B$10:$B$16,"NCAP_TLIFE",$AX$10:$AX$16)),0,""))</f>
        <v/>
      </c>
      <c r="L392" s="369" t="str">
        <f ca="1">IF($B392&lt;&gt;"PRC_RESID","",IF(L$7=2005+OFFSET(COM_2012!$B$60,$AW392,SUMIF($B$10:$B$16,"NCAP_TLIFE",$AX$10:$AX$16)),0,""))</f>
        <v/>
      </c>
      <c r="M392" s="369" t="str">
        <f ca="1">IF($B392&lt;&gt;"PRC_RESID","",IF(M$7=2005+OFFSET(COM_2012!$B$60,$AW392,SUMIF($B$10:$B$16,"NCAP_TLIFE",$AX$10:$AX$16)),0,""))</f>
        <v/>
      </c>
      <c r="N392" s="369" t="str">
        <f ca="1">IF($B392&lt;&gt;"PRC_RESID","",IF(N$7=2005+OFFSET(COM_2012!$B$60,$AW392,SUMIF($B$10:$B$16,"NCAP_TLIFE",$AX$10:$AX$16)),0,""))</f>
        <v/>
      </c>
      <c r="O392" s="658" t="str">
        <f ca="1">IF($B392&lt;&gt;"PRC_RESID","",IF(O$7=2005+OFFSET(COM_2012!$B$60,$AW392,SUMIF($B$10:$B$16,"NCAP_TLIFE",$AX$10:$AX$16)),0,""))</f>
        <v/>
      </c>
      <c r="P392" s="369" t="str">
        <f ca="1">IF($B392&lt;&gt;"PRC_RESID","",IF(P$7=2005+OFFSET(COM_2012!$B$60,$AW392,SUMIF($B$10:$B$16,"NCAP_TLIFE",$AX$10:$AX$16)),0,""))</f>
        <v/>
      </c>
      <c r="Q392" s="369" t="str">
        <f ca="1">IF($B392&lt;&gt;"PRC_RESID","",IF(Q$7=2005+OFFSET(COM_2012!$B$60,$AW392,SUMIF($B$10:$B$16,"NCAP_TLIFE",$AX$10:$AX$16)),0,""))</f>
        <v/>
      </c>
      <c r="R392" s="369" t="str">
        <f ca="1">IF($B392&lt;&gt;"PRC_RESID","",IF(R$7=2005+OFFSET(COM_2012!$B$60,$AW392,SUMIF($B$10:$B$16,"NCAP_TLIFE",$AX$10:$AX$16)),0,""))</f>
        <v/>
      </c>
      <c r="S392" s="369" t="str">
        <f ca="1">IF($B392&lt;&gt;"PRC_RESID","",IF(S$7=2005+OFFSET(COM_2012!$B$60,$AW392,SUMIF($B$10:$B$16,"NCAP_TLIFE",$AX$10:$AX$16)),0,""))</f>
        <v/>
      </c>
      <c r="T392" s="369" t="str">
        <f ca="1">IF($B392&lt;&gt;"PRC_RESID","",IF(T$7=2005+OFFSET(COM_2012!$B$60,$AW392,SUMIF($B$10:$B$16,"NCAP_TLIFE",$AX$10:$AX$16)),0,""))</f>
        <v/>
      </c>
      <c r="U392" s="369" t="str">
        <f ca="1">IF($B392&lt;&gt;"PRC_RESID","",IF(U$7=2005+OFFSET(COM_2012!$B$60,$AW392,SUMIF($B$10:$B$16,"NCAP_TLIFE",$AX$10:$AX$16)),0,""))</f>
        <v/>
      </c>
      <c r="V392" s="369" t="str">
        <f ca="1">IF($B392&lt;&gt;"PRC_RESID","",IF(V$7=2005+OFFSET(COM_2012!$B$60,$AW392,SUMIF($B$10:$B$16,"NCAP_TLIFE",$AX$10:$AX$16)),0,""))</f>
        <v/>
      </c>
      <c r="W392" s="369" t="str">
        <f ca="1">IF($B392&lt;&gt;"PRC_RESID","",IF(W$7=2005+OFFSET(COM_2012!$B$60,$AW392,SUMIF($B$10:$B$16,"NCAP_TLIFE",$AX$10:$AX$16)),0,""))</f>
        <v/>
      </c>
      <c r="X392" s="369" t="str">
        <f ca="1">IF($B392&lt;&gt;"PRC_RESID","",IF(X$7=2005+OFFSET(COM_2012!$B$60,$AW392,SUMIF($B$10:$B$16,"NCAP_TLIFE",$AX$10:$AX$16)),0,""))</f>
        <v/>
      </c>
      <c r="Y392" s="369" t="str">
        <f ca="1">IF($B392&lt;&gt;"PRC_RESID","",IF(Y$7=2005+OFFSET(COM_2012!$B$60,$AW392,SUMIF($B$10:$B$16,"NCAP_TLIFE",$AX$10:$AX$16)),0,""))</f>
        <v/>
      </c>
      <c r="Z392" s="369" t="str">
        <f ca="1">IF($B392&lt;&gt;"PRC_RESID","",IF(Z$7=2005+OFFSET(COM_2012!$B$60,$AW392,SUMIF($B$10:$B$16,"NCAP_TLIFE",$AX$10:$AX$16)),0,""))</f>
        <v/>
      </c>
      <c r="AA392" s="369" t="str">
        <f ca="1">IF($B392&lt;&gt;"PRC_RESID","",IF(AA$7=2005+OFFSET(COM_2012!$B$60,$AW392,SUMIF($B$10:$B$16,"NCAP_TLIFE",$AX$10:$AX$16)),0,""))</f>
        <v/>
      </c>
      <c r="AB392" s="369" t="str">
        <f ca="1">IF($B392&lt;&gt;"PRC_RESID","",IF(AB$7=2005+OFFSET(COM_2012!$B$60,$AW392,SUMIF($B$10:$B$16,"NCAP_TLIFE",$AX$10:$AX$16)),0,""))</f>
        <v/>
      </c>
      <c r="AC392" s="369" t="str">
        <f ca="1">IF($B392&lt;&gt;"PRC_RESID","",IF(AC$7=2005+OFFSET(COM_2012!$B$60,$AW392,SUMIF($B$10:$B$16,"NCAP_TLIFE",$AX$10:$AX$16)),0,""))</f>
        <v/>
      </c>
      <c r="AD392" s="369" t="str">
        <f ca="1">IF($B392&lt;&gt;"PRC_RESID","",IF(AD$7=2005+OFFSET(COM_2012!$B$60,$AW392,SUMIF($B$10:$B$16,"NCAP_TLIFE",$AX$10:$AX$16)),0,""))</f>
        <v/>
      </c>
      <c r="AE392" s="369" t="str">
        <f ca="1">IF($B392&lt;&gt;"PRC_RESID","",IF(AE$7=2005+OFFSET(COM_2012!$B$60,$AW392,SUMIF($B$10:$B$16,"NCAP_TLIFE",$AX$10:$AX$16)),0,""))</f>
        <v/>
      </c>
      <c r="AF392" s="369" t="str">
        <f ca="1">IF($B392&lt;&gt;"PRC_RESID","",IF(AF$7=2005+OFFSET(COM_2012!$B$60,$AW392,SUMIF($B$10:$B$16,"NCAP_TLIFE",$AX$10:$AX$16)),0,""))</f>
        <v/>
      </c>
      <c r="AG392" s="369" t="str">
        <f ca="1">IF($B392&lt;&gt;"PRC_RESID","",IF(AG$7=2005+OFFSET(COM_2012!$B$60,$AW392,SUMIF($B$10:$B$16,"NCAP_TLIFE",$AX$10:$AX$16)),0,""))</f>
        <v/>
      </c>
      <c r="AH392" s="369" t="str">
        <f ca="1">IF($B392&lt;&gt;"PRC_RESID","",IF(AH$7=2005+OFFSET(COM_2012!$B$60,$AW392,SUMIF($B$10:$B$16,"NCAP_TLIFE",$AX$10:$AX$16)),0,""))</f>
        <v/>
      </c>
      <c r="AI392" s="369" t="str">
        <f ca="1">IF($B392&lt;&gt;"PRC_RESID","",IF(AI$7=2005+OFFSET(COM_2012!$B$60,$AW392,SUMIF($B$10:$B$16,"NCAP_TLIFE",$AX$10:$AX$16)),0,""))</f>
        <v/>
      </c>
      <c r="AJ392" s="369" t="str">
        <f ca="1">IF($B392&lt;&gt;"PRC_RESID","",IF(AJ$7=2005+OFFSET(COM_2012!$B$60,$AW392,SUMIF($B$10:$B$16,"NCAP_TLIFE",$AX$10:$AX$16)),0,""))</f>
        <v/>
      </c>
      <c r="AK392" s="369" t="str">
        <f ca="1">IF($B392&lt;&gt;"PRC_RESID","",IF(AK$7=2005+OFFSET(COM_2012!$B$60,$AW392,SUMIF($B$10:$B$16,"NCAP_TLIFE",$AX$10:$AX$16)),0,""))</f>
        <v/>
      </c>
      <c r="AL392" s="369" t="str">
        <f ca="1">IF($B392&lt;&gt;"PRC_RESID","",IF(AL$7=2005+OFFSET(COM_2012!$B$60,$AW392,SUMIF($B$10:$B$16,"NCAP_TLIFE",$AX$10:$AX$16)),0,""))</f>
        <v/>
      </c>
      <c r="AM392" s="369" t="str">
        <f ca="1">IF($B392&lt;&gt;"PRC_RESID","",IF(AM$7=2005+OFFSET(COM_2012!$B$60,$AW392,SUMIF($B$10:$B$16,"NCAP_TLIFE",$AX$10:$AX$16)),0,""))</f>
        <v/>
      </c>
      <c r="AN392" s="369" t="str">
        <f ca="1">IF($B392&lt;&gt;"PRC_RESID","",IF(AN$7=2005+OFFSET(COM_2012!$B$60,$AW392,SUMIF($B$10:$B$16,"NCAP_TLIFE",$AX$10:$AX$16)),0,""))</f>
        <v/>
      </c>
      <c r="AO392" s="369" t="str">
        <f ca="1">IF($B392&lt;&gt;"PRC_RESID","",IF(AO$7=2005+OFFSET(COM_2012!$B$60,$AW392,SUMIF($B$10:$B$16,"NCAP_TLIFE",$AX$10:$AX$16)),0,""))</f>
        <v/>
      </c>
      <c r="AP392" s="369" t="str">
        <f ca="1">IF($B392&lt;&gt;"PRC_RESID","",IF(AP$7=2005+OFFSET(COM_2012!$B$60,$AW392,SUMIF($B$10:$B$16,"NCAP_TLIFE",$AX$10:$AX$16)),0,""))</f>
        <v/>
      </c>
      <c r="AQ392" s="369" t="str">
        <f ca="1">IF($B392&lt;&gt;"PRC_RESID","",IF(AQ$7=2005+OFFSET(COM_2012!$B$60,$AW392,SUMIF($B$10:$B$16,"NCAP_TLIFE",$AX$10:$AX$16)),0,""))</f>
        <v/>
      </c>
      <c r="AR392" s="369" t="str">
        <f ca="1">IF($B392&lt;&gt;"PRC_RESID","",IF(AR$7=2005+OFFSET(COM_2012!$B$60,$AW392,SUMIF($B$10:$B$16,"NCAP_TLIFE",$AX$10:$AX$16)),0,""))</f>
        <v/>
      </c>
      <c r="AS392" s="369" t="str">
        <f ca="1">IF($B392&lt;&gt;"PRC_RESID","",IF(AS$7=2005+OFFSET(COM_2012!$B$60,$AW392,SUMIF($B$10:$B$16,"NCAP_TLIFE",$AX$10:$AX$16)),0,""))</f>
        <v/>
      </c>
      <c r="AT392" s="369" t="str">
        <f ca="1">IF($B392&lt;&gt;"PRC_RESID","",IF(AT$7=2005+OFFSET(COM_2012!$B$60,$AW392,SUMIF($B$10:$B$16,"NCAP_TLIFE",$AX$10:$AX$16)),0,""))</f>
        <v/>
      </c>
      <c r="AU392" s="369" t="str">
        <f ca="1">IF($B392&lt;&gt;"PRC_RESID","",IF(AU$7=2005+OFFSET(COM_2012!$B$60,$AW392,SUMIF($B$10:$B$16,"NCAP_TLIFE",$AX$10:$AX$16)),0,""))</f>
        <v/>
      </c>
      <c r="AV392" s="304">
        <f>IF(AW391=COM_2012!$AI$121,AV391+1,AV391)</f>
        <v>6</v>
      </c>
      <c r="AW392" s="304">
        <f t="shared" ref="AW392:AW393" si="42">IF(AV392=AV391,AW391+1,1)</f>
        <v>60</v>
      </c>
    </row>
    <row r="393" spans="1:49">
      <c r="A393" s="304" t="str">
        <f ca="1">IF(LEFT(OFFSET(COM_2012!$A$60,AW393,0),2)="\I","*","")</f>
        <v>*</v>
      </c>
      <c r="B393" s="369" t="str">
        <f t="shared" ca="1" si="35"/>
        <v/>
      </c>
      <c r="C393" s="369" t="str">
        <f ca="1">IF($A393="*","",OFFSET(COM_2012!$B$60,AW393,0))</f>
        <v/>
      </c>
      <c r="D393" s="369" t="str">
        <f t="shared" ca="1" si="41"/>
        <v/>
      </c>
      <c r="E393" s="369" t="str">
        <f t="shared" ca="1" si="41"/>
        <v/>
      </c>
      <c r="F393" s="369" t="str">
        <f t="shared" ca="1" si="41"/>
        <v/>
      </c>
      <c r="G393" s="369" t="str">
        <f t="shared" ca="1" si="41"/>
        <v/>
      </c>
      <c r="H393" s="369" t="str">
        <f t="shared" ca="1" si="41"/>
        <v/>
      </c>
      <c r="I393" s="370" t="str">
        <f t="shared" ca="1" si="41"/>
        <v/>
      </c>
      <c r="J393" s="391" t="str">
        <f ca="1">IF($A393="*","",OFFSET(COM_2012!$B$60,AW393,SUMIF($B$10:$B$16,B393,$AX$10:$AX$16)))</f>
        <v/>
      </c>
      <c r="K393" s="369" t="str">
        <f ca="1">IF($B393&lt;&gt;"PRC_RESID","",IF(K$7=2005+OFFSET(COM_2012!$B$60,$AW393,SUMIF($B$10:$B$16,"NCAP_TLIFE",$AX$10:$AX$16)),0,""))</f>
        <v/>
      </c>
      <c r="L393" s="369" t="str">
        <f ca="1">IF($B393&lt;&gt;"PRC_RESID","",IF(L$7=2005+OFFSET(COM_2012!$B$60,$AW393,SUMIF($B$10:$B$16,"NCAP_TLIFE",$AX$10:$AX$16)),0,""))</f>
        <v/>
      </c>
      <c r="M393" s="369" t="str">
        <f ca="1">IF($B393&lt;&gt;"PRC_RESID","",IF(M$7=2005+OFFSET(COM_2012!$B$60,$AW393,SUMIF($B$10:$B$16,"NCAP_TLIFE",$AX$10:$AX$16)),0,""))</f>
        <v/>
      </c>
      <c r="N393" s="369" t="str">
        <f ca="1">IF($B393&lt;&gt;"PRC_RESID","",IF(N$7=2005+OFFSET(COM_2012!$B$60,$AW393,SUMIF($B$10:$B$16,"NCAP_TLIFE",$AX$10:$AX$16)),0,""))</f>
        <v/>
      </c>
      <c r="O393" s="658" t="str">
        <f ca="1">IF($B393&lt;&gt;"PRC_RESID","",IF(O$7=2005+OFFSET(COM_2012!$B$60,$AW393,SUMIF($B$10:$B$16,"NCAP_TLIFE",$AX$10:$AX$16)),0,""))</f>
        <v/>
      </c>
      <c r="P393" s="369" t="str">
        <f ca="1">IF($B393&lt;&gt;"PRC_RESID","",IF(P$7=2005+OFFSET(COM_2012!$B$60,$AW393,SUMIF($B$10:$B$16,"NCAP_TLIFE",$AX$10:$AX$16)),0,""))</f>
        <v/>
      </c>
      <c r="Q393" s="369" t="str">
        <f ca="1">IF($B393&lt;&gt;"PRC_RESID","",IF(Q$7=2005+OFFSET(COM_2012!$B$60,$AW393,SUMIF($B$10:$B$16,"NCAP_TLIFE",$AX$10:$AX$16)),0,""))</f>
        <v/>
      </c>
      <c r="R393" s="369" t="str">
        <f ca="1">IF($B393&lt;&gt;"PRC_RESID","",IF(R$7=2005+OFFSET(COM_2012!$B$60,$AW393,SUMIF($B$10:$B$16,"NCAP_TLIFE",$AX$10:$AX$16)),0,""))</f>
        <v/>
      </c>
      <c r="S393" s="369" t="str">
        <f ca="1">IF($B393&lt;&gt;"PRC_RESID","",IF(S$7=2005+OFFSET(COM_2012!$B$60,$AW393,SUMIF($B$10:$B$16,"NCAP_TLIFE",$AX$10:$AX$16)),0,""))</f>
        <v/>
      </c>
      <c r="T393" s="369" t="str">
        <f ca="1">IF($B393&lt;&gt;"PRC_RESID","",IF(T$7=2005+OFFSET(COM_2012!$B$60,$AW393,SUMIF($B$10:$B$16,"NCAP_TLIFE",$AX$10:$AX$16)),0,""))</f>
        <v/>
      </c>
      <c r="U393" s="369" t="str">
        <f ca="1">IF($B393&lt;&gt;"PRC_RESID","",IF(U$7=2005+OFFSET(COM_2012!$B$60,$AW393,SUMIF($B$10:$B$16,"NCAP_TLIFE",$AX$10:$AX$16)),0,""))</f>
        <v/>
      </c>
      <c r="V393" s="369" t="str">
        <f ca="1">IF($B393&lt;&gt;"PRC_RESID","",IF(V$7=2005+OFFSET(COM_2012!$B$60,$AW393,SUMIF($B$10:$B$16,"NCAP_TLIFE",$AX$10:$AX$16)),0,""))</f>
        <v/>
      </c>
      <c r="W393" s="369" t="str">
        <f ca="1">IF($B393&lt;&gt;"PRC_RESID","",IF(W$7=2005+OFFSET(COM_2012!$B$60,$AW393,SUMIF($B$10:$B$16,"NCAP_TLIFE",$AX$10:$AX$16)),0,""))</f>
        <v/>
      </c>
      <c r="X393" s="369" t="str">
        <f ca="1">IF($B393&lt;&gt;"PRC_RESID","",IF(X$7=2005+OFFSET(COM_2012!$B$60,$AW393,SUMIF($B$10:$B$16,"NCAP_TLIFE",$AX$10:$AX$16)),0,""))</f>
        <v/>
      </c>
      <c r="Y393" s="369" t="str">
        <f ca="1">IF($B393&lt;&gt;"PRC_RESID","",IF(Y$7=2005+OFFSET(COM_2012!$B$60,$AW393,SUMIF($B$10:$B$16,"NCAP_TLIFE",$AX$10:$AX$16)),0,""))</f>
        <v/>
      </c>
      <c r="Z393" s="369" t="str">
        <f ca="1">IF($B393&lt;&gt;"PRC_RESID","",IF(Z$7=2005+OFFSET(COM_2012!$B$60,$AW393,SUMIF($B$10:$B$16,"NCAP_TLIFE",$AX$10:$AX$16)),0,""))</f>
        <v/>
      </c>
      <c r="AA393" s="369" t="str">
        <f ca="1">IF($B393&lt;&gt;"PRC_RESID","",IF(AA$7=2005+OFFSET(COM_2012!$B$60,$AW393,SUMIF($B$10:$B$16,"NCAP_TLIFE",$AX$10:$AX$16)),0,""))</f>
        <v/>
      </c>
      <c r="AB393" s="369" t="str">
        <f ca="1">IF($B393&lt;&gt;"PRC_RESID","",IF(AB$7=2005+OFFSET(COM_2012!$B$60,$AW393,SUMIF($B$10:$B$16,"NCAP_TLIFE",$AX$10:$AX$16)),0,""))</f>
        <v/>
      </c>
      <c r="AC393" s="369" t="str">
        <f ca="1">IF($B393&lt;&gt;"PRC_RESID","",IF(AC$7=2005+OFFSET(COM_2012!$B$60,$AW393,SUMIF($B$10:$B$16,"NCAP_TLIFE",$AX$10:$AX$16)),0,""))</f>
        <v/>
      </c>
      <c r="AD393" s="369" t="str">
        <f ca="1">IF($B393&lt;&gt;"PRC_RESID","",IF(AD$7=2005+OFFSET(COM_2012!$B$60,$AW393,SUMIF($B$10:$B$16,"NCAP_TLIFE",$AX$10:$AX$16)),0,""))</f>
        <v/>
      </c>
      <c r="AE393" s="369" t="str">
        <f ca="1">IF($B393&lt;&gt;"PRC_RESID","",IF(AE$7=2005+OFFSET(COM_2012!$B$60,$AW393,SUMIF($B$10:$B$16,"NCAP_TLIFE",$AX$10:$AX$16)),0,""))</f>
        <v/>
      </c>
      <c r="AF393" s="369" t="str">
        <f ca="1">IF($B393&lt;&gt;"PRC_RESID","",IF(AF$7=2005+OFFSET(COM_2012!$B$60,$AW393,SUMIF($B$10:$B$16,"NCAP_TLIFE",$AX$10:$AX$16)),0,""))</f>
        <v/>
      </c>
      <c r="AG393" s="369" t="str">
        <f ca="1">IF($B393&lt;&gt;"PRC_RESID","",IF(AG$7=2005+OFFSET(COM_2012!$B$60,$AW393,SUMIF($B$10:$B$16,"NCAP_TLIFE",$AX$10:$AX$16)),0,""))</f>
        <v/>
      </c>
      <c r="AH393" s="369" t="str">
        <f ca="1">IF($B393&lt;&gt;"PRC_RESID","",IF(AH$7=2005+OFFSET(COM_2012!$B$60,$AW393,SUMIF($B$10:$B$16,"NCAP_TLIFE",$AX$10:$AX$16)),0,""))</f>
        <v/>
      </c>
      <c r="AI393" s="369" t="str">
        <f ca="1">IF($B393&lt;&gt;"PRC_RESID","",IF(AI$7=2005+OFFSET(COM_2012!$B$60,$AW393,SUMIF($B$10:$B$16,"NCAP_TLIFE",$AX$10:$AX$16)),0,""))</f>
        <v/>
      </c>
      <c r="AJ393" s="369" t="str">
        <f ca="1">IF($B393&lt;&gt;"PRC_RESID","",IF(AJ$7=2005+OFFSET(COM_2012!$B$60,$AW393,SUMIF($B$10:$B$16,"NCAP_TLIFE",$AX$10:$AX$16)),0,""))</f>
        <v/>
      </c>
      <c r="AK393" s="369" t="str">
        <f ca="1">IF($B393&lt;&gt;"PRC_RESID","",IF(AK$7=2005+OFFSET(COM_2012!$B$60,$AW393,SUMIF($B$10:$B$16,"NCAP_TLIFE",$AX$10:$AX$16)),0,""))</f>
        <v/>
      </c>
      <c r="AL393" s="369" t="str">
        <f ca="1">IF($B393&lt;&gt;"PRC_RESID","",IF(AL$7=2005+OFFSET(COM_2012!$B$60,$AW393,SUMIF($B$10:$B$16,"NCAP_TLIFE",$AX$10:$AX$16)),0,""))</f>
        <v/>
      </c>
      <c r="AM393" s="369" t="str">
        <f ca="1">IF($B393&lt;&gt;"PRC_RESID","",IF(AM$7=2005+OFFSET(COM_2012!$B$60,$AW393,SUMIF($B$10:$B$16,"NCAP_TLIFE",$AX$10:$AX$16)),0,""))</f>
        <v/>
      </c>
      <c r="AN393" s="369" t="str">
        <f ca="1">IF($B393&lt;&gt;"PRC_RESID","",IF(AN$7=2005+OFFSET(COM_2012!$B$60,$AW393,SUMIF($B$10:$B$16,"NCAP_TLIFE",$AX$10:$AX$16)),0,""))</f>
        <v/>
      </c>
      <c r="AO393" s="369" t="str">
        <f ca="1">IF($B393&lt;&gt;"PRC_RESID","",IF(AO$7=2005+OFFSET(COM_2012!$B$60,$AW393,SUMIF($B$10:$B$16,"NCAP_TLIFE",$AX$10:$AX$16)),0,""))</f>
        <v/>
      </c>
      <c r="AP393" s="369" t="str">
        <f ca="1">IF($B393&lt;&gt;"PRC_RESID","",IF(AP$7=2005+OFFSET(COM_2012!$B$60,$AW393,SUMIF($B$10:$B$16,"NCAP_TLIFE",$AX$10:$AX$16)),0,""))</f>
        <v/>
      </c>
      <c r="AQ393" s="369" t="str">
        <f ca="1">IF($B393&lt;&gt;"PRC_RESID","",IF(AQ$7=2005+OFFSET(COM_2012!$B$60,$AW393,SUMIF($B$10:$B$16,"NCAP_TLIFE",$AX$10:$AX$16)),0,""))</f>
        <v/>
      </c>
      <c r="AR393" s="369" t="str">
        <f ca="1">IF($B393&lt;&gt;"PRC_RESID","",IF(AR$7=2005+OFFSET(COM_2012!$B$60,$AW393,SUMIF($B$10:$B$16,"NCAP_TLIFE",$AX$10:$AX$16)),0,""))</f>
        <v/>
      </c>
      <c r="AS393" s="369" t="str">
        <f ca="1">IF($B393&lt;&gt;"PRC_RESID","",IF(AS$7=2005+OFFSET(COM_2012!$B$60,$AW393,SUMIF($B$10:$B$16,"NCAP_TLIFE",$AX$10:$AX$16)),0,""))</f>
        <v/>
      </c>
      <c r="AT393" s="369" t="str">
        <f ca="1">IF($B393&lt;&gt;"PRC_RESID","",IF(AT$7=2005+OFFSET(COM_2012!$B$60,$AW393,SUMIF($B$10:$B$16,"NCAP_TLIFE",$AX$10:$AX$16)),0,""))</f>
        <v/>
      </c>
      <c r="AU393" s="369" t="str">
        <f ca="1">IF($B393&lt;&gt;"PRC_RESID","",IF(AU$7=2005+OFFSET(COM_2012!$B$60,$AW393,SUMIF($B$10:$B$16,"NCAP_TLIFE",$AX$10:$AX$16)),0,""))</f>
        <v/>
      </c>
      <c r="AV393" s="304">
        <f>IF(AW392=COM_2012!$AI$121,AV392+1,AV392)</f>
        <v>6</v>
      </c>
      <c r="AW393" s="304">
        <f t="shared" si="42"/>
        <v>61</v>
      </c>
    </row>
    <row r="394" spans="1:49">
      <c r="A394" s="304" t="s">
        <v>709</v>
      </c>
      <c r="B394" s="369"/>
      <c r="C394" s="369"/>
      <c r="D394" s="369"/>
      <c r="E394" s="369"/>
      <c r="F394" s="369"/>
      <c r="G394" s="369"/>
      <c r="H394" s="369"/>
      <c r="I394" s="370"/>
      <c r="J394" s="391"/>
    </row>
    <row r="395" spans="1:49">
      <c r="A395" s="304" t="s">
        <v>709</v>
      </c>
      <c r="B395" s="369"/>
      <c r="C395" s="369"/>
      <c r="D395" s="369"/>
      <c r="E395" s="369"/>
      <c r="F395" s="369"/>
      <c r="G395" s="369"/>
      <c r="H395" s="369"/>
      <c r="I395" s="370"/>
      <c r="J395" s="391"/>
    </row>
    <row r="396" spans="1:49">
      <c r="B396" s="369"/>
      <c r="C396" s="369"/>
      <c r="D396" s="369"/>
      <c r="E396" s="369"/>
      <c r="F396" s="369"/>
      <c r="G396" s="369"/>
      <c r="H396" s="369"/>
      <c r="I396" s="370"/>
      <c r="J396" s="391"/>
    </row>
    <row r="397" spans="1:49">
      <c r="B397" s="369"/>
      <c r="C397" s="369"/>
      <c r="D397" s="369"/>
      <c r="E397" s="369"/>
      <c r="F397" s="369"/>
      <c r="G397" s="369"/>
      <c r="H397" s="369"/>
      <c r="I397" s="370"/>
      <c r="J397" s="391"/>
    </row>
  </sheetData>
  <autoFilter ref="A7:H349" xr:uid="{00000000-0009-0000-0000-000012000000}"/>
  <pageMargins left="0.75" right="0.75" top="1" bottom="1" header="0.5" footer="0.5"/>
  <headerFooter alignWithMargins="0"/>
  <drawing r:id="rId1"/>
  <legacyDrawing r:id="rId2"/>
  <controls>
    <mc:AlternateContent xmlns:mc="http://schemas.openxmlformats.org/markup-compatibility/2006">
      <mc:Choice Requires="x14">
        <control shapeId="8201"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8201" r:id="rId3" name="cmdSpecifyIEOptcode"/>
      </mc:Fallback>
    </mc:AlternateContent>
    <mc:AlternateContent xmlns:mc="http://schemas.openxmlformats.org/markup-compatibility/2006">
      <mc:Choice Requires="x14">
        <control shapeId="8200"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8200" r:id="rId5" name="cmdSpecifyArg6"/>
      </mc:Fallback>
    </mc:AlternateContent>
    <mc:AlternateContent xmlns:mc="http://schemas.openxmlformats.org/markup-compatibility/2006">
      <mc:Choice Requires="x14">
        <control shapeId="8199"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8199" r:id="rId7" name="cmdSpecifyArg5"/>
      </mc:Fallback>
    </mc:AlternateContent>
    <mc:AlternateContent xmlns:mc="http://schemas.openxmlformats.org/markup-compatibility/2006">
      <mc:Choice Requires="x14">
        <control shapeId="8198"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8198" r:id="rId9" name="cmdSpecifyArg4"/>
      </mc:Fallback>
    </mc:AlternateContent>
    <mc:AlternateContent xmlns:mc="http://schemas.openxmlformats.org/markup-compatibility/2006">
      <mc:Choice Requires="x14">
        <control shapeId="8197"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8197" r:id="rId11" name="cmdSpecifyArg3"/>
      </mc:Fallback>
    </mc:AlternateContent>
    <mc:AlternateContent xmlns:mc="http://schemas.openxmlformats.org/markup-compatibility/2006">
      <mc:Choice Requires="x14">
        <control shapeId="8196"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8196" r:id="rId13" name="cmdSpecifyArg2"/>
      </mc:Fallback>
    </mc:AlternateContent>
    <mc:AlternateContent xmlns:mc="http://schemas.openxmlformats.org/markup-compatibility/2006">
      <mc:Choice Requires="x14">
        <control shapeId="8195"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8195" r:id="rId15" name="cmdSpecifyArg1"/>
      </mc:Fallback>
    </mc:AlternateContent>
    <mc:AlternateContent xmlns:mc="http://schemas.openxmlformats.org/markup-compatibility/2006">
      <mc:Choice Requires="x14">
        <control shapeId="8194"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8194" r:id="rId17" name="cmdSpecifyParameter"/>
      </mc:Fallback>
    </mc:AlternateContent>
    <mc:AlternateContent xmlns:mc="http://schemas.openxmlformats.org/markup-compatibility/2006">
      <mc:Choice Requires="x14">
        <control shapeId="8193"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8193" r:id="rId19" name="cmdCheckTSandTIDDataSheet"/>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0">
    <tabColor theme="9" tint="-0.249977111117893"/>
  </sheetPr>
  <dimension ref="A1:AX383"/>
  <sheetViews>
    <sheetView workbookViewId="0"/>
  </sheetViews>
  <sheetFormatPr defaultColWidth="11.42578125" defaultRowHeight="11.25"/>
  <cols>
    <col min="1" max="1" width="12.140625" style="304" customWidth="1"/>
    <col min="2" max="2" width="12" style="304" customWidth="1"/>
    <col min="3" max="3" width="15.7109375" style="304" customWidth="1"/>
    <col min="4" max="8" width="11.42578125" style="304" customWidth="1"/>
    <col min="9" max="10" width="7.42578125" style="304" customWidth="1"/>
    <col min="11" max="47" width="5.42578125" style="304" customWidth="1"/>
    <col min="48" max="16384" width="11.42578125" style="304"/>
  </cols>
  <sheetData>
    <row r="1" spans="1:50">
      <c r="A1" s="303" t="s">
        <v>718</v>
      </c>
      <c r="B1" s="304" t="s">
        <v>707</v>
      </c>
      <c r="AV1" s="304" t="s">
        <v>709</v>
      </c>
      <c r="AW1" s="304" t="s">
        <v>709</v>
      </c>
      <c r="AX1" s="304" t="s">
        <v>709</v>
      </c>
    </row>
    <row r="2" spans="1:50">
      <c r="A2" s="304" t="s">
        <v>709</v>
      </c>
      <c r="AV2" s="304" t="s">
        <v>719</v>
      </c>
      <c r="AW2" s="304" t="s">
        <v>720</v>
      </c>
      <c r="AX2" s="304" t="s">
        <v>721</v>
      </c>
    </row>
    <row r="3" spans="1:50" ht="15" customHeight="1">
      <c r="A3" s="304" t="s">
        <v>709</v>
      </c>
    </row>
    <row r="4" spans="1:50">
      <c r="A4" s="304" t="s">
        <v>709</v>
      </c>
    </row>
    <row r="5" spans="1:50">
      <c r="A5" s="304" t="s">
        <v>709</v>
      </c>
    </row>
    <row r="6" spans="1:50">
      <c r="A6" s="304" t="s">
        <v>709</v>
      </c>
    </row>
    <row r="7" spans="1:50"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0">
      <c r="A8" s="304" t="s">
        <v>709</v>
      </c>
      <c r="B8" s="303"/>
      <c r="C8" s="303"/>
      <c r="D8" s="303"/>
      <c r="E8" s="303"/>
      <c r="F8" s="303"/>
      <c r="G8" s="303"/>
      <c r="H8" s="303"/>
      <c r="I8" s="365"/>
    </row>
    <row r="9" spans="1:50">
      <c r="A9" s="304" t="s">
        <v>709</v>
      </c>
      <c r="B9" s="366">
        <v>1</v>
      </c>
      <c r="C9" s="366">
        <v>2</v>
      </c>
      <c r="D9" s="366">
        <v>3</v>
      </c>
      <c r="E9" s="366">
        <v>4</v>
      </c>
      <c r="F9" s="366">
        <v>5</v>
      </c>
      <c r="G9" s="366">
        <v>6</v>
      </c>
      <c r="H9" s="366">
        <v>7</v>
      </c>
      <c r="I9" s="367">
        <v>8</v>
      </c>
    </row>
    <row r="10" spans="1:50">
      <c r="A10" s="304" t="s">
        <v>730</v>
      </c>
      <c r="B10" s="363" t="s">
        <v>731</v>
      </c>
      <c r="C10" s="363" t="s">
        <v>732</v>
      </c>
      <c r="D10" s="363" t="s">
        <v>463</v>
      </c>
      <c r="E10" s="363" t="s">
        <v>733</v>
      </c>
      <c r="F10" s="363" t="s">
        <v>463</v>
      </c>
      <c r="G10" s="363" t="s">
        <v>734</v>
      </c>
      <c r="H10" s="363" t="s">
        <v>463</v>
      </c>
      <c r="I10" s="368">
        <v>0</v>
      </c>
      <c r="AX10" s="304">
        <f>COM_N_2012!$E$59</f>
        <v>3</v>
      </c>
    </row>
    <row r="11" spans="1:50">
      <c r="A11" s="304" t="s">
        <v>709</v>
      </c>
      <c r="B11" s="363" t="s">
        <v>736</v>
      </c>
      <c r="C11" s="363" t="s">
        <v>732</v>
      </c>
      <c r="D11" s="363" t="s">
        <v>463</v>
      </c>
      <c r="E11" s="363" t="s">
        <v>463</v>
      </c>
      <c r="F11" s="363" t="s">
        <v>463</v>
      </c>
      <c r="G11" s="363" t="s">
        <v>463</v>
      </c>
      <c r="H11" s="363" t="s">
        <v>737</v>
      </c>
      <c r="I11" s="368">
        <v>0</v>
      </c>
      <c r="AX11" s="304">
        <f>COM_N_2012!$F$59</f>
        <v>4</v>
      </c>
    </row>
    <row r="12" spans="1:50">
      <c r="A12" s="304" t="s">
        <v>735</v>
      </c>
      <c r="B12" s="363" t="s">
        <v>739</v>
      </c>
      <c r="C12" s="363" t="s">
        <v>732</v>
      </c>
      <c r="D12" s="363" t="s">
        <v>463</v>
      </c>
      <c r="E12" s="363" t="s">
        <v>463</v>
      </c>
      <c r="F12" s="363" t="s">
        <v>463</v>
      </c>
      <c r="G12" s="363" t="s">
        <v>463</v>
      </c>
      <c r="H12" s="363" t="s">
        <v>737</v>
      </c>
      <c r="I12" s="368">
        <v>0</v>
      </c>
      <c r="AX12" s="304">
        <v>50</v>
      </c>
    </row>
    <row r="13" spans="1:50">
      <c r="A13" s="304" t="s">
        <v>738</v>
      </c>
      <c r="B13" s="363" t="s">
        <v>741</v>
      </c>
      <c r="C13" s="363" t="s">
        <v>732</v>
      </c>
      <c r="D13" s="363" t="s">
        <v>463</v>
      </c>
      <c r="E13" s="363" t="s">
        <v>463</v>
      </c>
      <c r="F13" s="363" t="s">
        <v>463</v>
      </c>
      <c r="G13" s="363" t="s">
        <v>463</v>
      </c>
      <c r="H13" s="363" t="s">
        <v>463</v>
      </c>
      <c r="I13" s="368">
        <v>0</v>
      </c>
      <c r="AX13" s="304">
        <f>COM_N_2012!$G$59</f>
        <v>5</v>
      </c>
    </row>
    <row r="14" spans="1:50">
      <c r="A14" s="304" t="s">
        <v>740</v>
      </c>
      <c r="B14" s="363" t="s">
        <v>762</v>
      </c>
      <c r="C14" s="363" t="s">
        <v>732</v>
      </c>
      <c r="D14" s="363" t="s">
        <v>463</v>
      </c>
      <c r="E14" s="363" t="s">
        <v>463</v>
      </c>
      <c r="F14" s="363" t="s">
        <v>463</v>
      </c>
      <c r="G14" s="363" t="s">
        <v>463</v>
      </c>
      <c r="H14" s="363" t="s">
        <v>463</v>
      </c>
      <c r="I14" s="368">
        <v>0</v>
      </c>
      <c r="AX14" s="304">
        <f>COM_N_2012!I59</f>
        <v>7</v>
      </c>
    </row>
    <row r="15" spans="1:50">
      <c r="A15" s="304" t="s">
        <v>742</v>
      </c>
      <c r="B15" s="363" t="s">
        <v>776</v>
      </c>
      <c r="C15" s="363" t="s">
        <v>732</v>
      </c>
      <c r="D15" s="363" t="s">
        <v>463</v>
      </c>
      <c r="E15" s="363" t="s">
        <v>463</v>
      </c>
      <c r="F15" s="363" t="s">
        <v>463</v>
      </c>
      <c r="G15" s="363" t="s">
        <v>463</v>
      </c>
      <c r="H15" s="363" t="s">
        <v>463</v>
      </c>
      <c r="I15" s="368">
        <v>0</v>
      </c>
      <c r="AX15" s="304">
        <f>COM_N_2012!J59</f>
        <v>8</v>
      </c>
    </row>
    <row r="16" spans="1:50">
      <c r="A16" s="304" t="s">
        <v>775</v>
      </c>
      <c r="B16" s="363" t="s">
        <v>743</v>
      </c>
      <c r="C16" s="363" t="s">
        <v>732</v>
      </c>
      <c r="D16" s="363" t="s">
        <v>463</v>
      </c>
      <c r="E16" s="363" t="s">
        <v>463</v>
      </c>
      <c r="F16" s="363" t="s">
        <v>463</v>
      </c>
      <c r="G16" s="363" t="s">
        <v>463</v>
      </c>
      <c r="H16" s="363" t="s">
        <v>463</v>
      </c>
      <c r="I16" s="368">
        <v>0</v>
      </c>
      <c r="AX16" s="304">
        <f>COM_N_2012!$H$59</f>
        <v>6</v>
      </c>
    </row>
    <row r="17" spans="1:49">
      <c r="A17" s="304" t="s">
        <v>709</v>
      </c>
      <c r="B17" s="363"/>
      <c r="C17" s="363"/>
      <c r="D17" s="363"/>
      <c r="E17" s="363"/>
      <c r="F17" s="363"/>
      <c r="G17" s="363"/>
      <c r="H17" s="363"/>
      <c r="I17" s="368"/>
    </row>
    <row r="18" spans="1:49">
      <c r="A18" s="304" t="str">
        <f ca="1">IF(LEFT(OFFSET(COM_N_2012!$A$60,AW18,0),2)="\I","*","")</f>
        <v/>
      </c>
      <c r="B18" s="369" t="str">
        <f t="shared" ref="B18:B81" ca="1" si="2">IF(A18="*","",VLOOKUP("*"&amp;AV18,$A$9:$B$16,2,FALSE))</f>
        <v>ACT_EFF</v>
      </c>
      <c r="C18" s="369" t="str">
        <f ca="1">IF($A18="*","",OFFSET(COM_N_2012!$B$60,AW18,0))</f>
        <v>CNCELCCHIL-E</v>
      </c>
      <c r="D18" s="369" t="str">
        <f t="shared" ref="D18:I27" ca="1" si="3">IF($A18="*","",VLOOKUP($B18,$B$10:$I$16,D$9,FALSE))</f>
        <v>-</v>
      </c>
      <c r="E18" s="369" t="str">
        <f t="shared" ca="1" si="3"/>
        <v>ACTGRP</v>
      </c>
      <c r="F18" s="369" t="str">
        <f t="shared" ca="1" si="3"/>
        <v>-</v>
      </c>
      <c r="G18" s="369" t="str">
        <f t="shared" ca="1" si="3"/>
        <v>ANNUAL</v>
      </c>
      <c r="H18" s="369" t="str">
        <f t="shared" ca="1" si="3"/>
        <v>-</v>
      </c>
      <c r="I18" s="370">
        <f t="shared" ca="1" si="3"/>
        <v>0</v>
      </c>
      <c r="J18" s="391">
        <f ca="1">IF($A18="*","",OFFSET(COM_N_2012!$B$60,AW18,SUMIF($B$10:$B$16,B18,$AX$10:$AX$16)))</f>
        <v>2</v>
      </c>
      <c r="K18" s="369" t="str">
        <f ca="1">IF($B18&lt;&gt;"PRC_RESID","",IF(K$7=2005+OFFSET(COM_N_2012!$B$60,$AW18,SUMIF($B$10:$B$16,"NCAP_TLIFE",$AX$10:$AX$16)),0,""))</f>
        <v/>
      </c>
      <c r="L18" s="369" t="str">
        <f ca="1">IF($B18&lt;&gt;"PRC_RESID","",IF(L$7=2005+OFFSET(COM_N_2012!$B$60,$AW18,SUMIF($B$10:$B$16,"NCAP_TLIFE",$AX$10:$AX$16)),0,""))</f>
        <v/>
      </c>
      <c r="M18" s="369" t="str">
        <f ca="1">IF($B18&lt;&gt;"PRC_RESID","",IF(M$7=2005+OFFSET(COM_N_2012!$B$60,$AW18,SUMIF($B$10:$B$16,"NCAP_TLIFE",$AX$10:$AX$16)),0,""))</f>
        <v/>
      </c>
      <c r="N18" s="369" t="str">
        <f ca="1">IF($B18&lt;&gt;"PRC_RESID","",IF(N$7=2005+OFFSET(COM_N_2012!$B$60,$AW18,SUMIF($B$10:$B$16,"NCAP_TLIFE",$AX$10:$AX$16)),0,""))</f>
        <v/>
      </c>
      <c r="O18" s="369" t="str">
        <f ca="1">IF($B18&lt;&gt;"PRC_RESID","",IF(O$7=2005+OFFSET(COM_N_2012!$B$60,$AW18,SUMIF($B$10:$B$16,"NCAP_TLIFE",$AX$10:$AX$16)),0,""))</f>
        <v/>
      </c>
      <c r="P18" s="369" t="str">
        <f ca="1">IF($B18&lt;&gt;"PRC_RESID","",IF(P$7=2005+OFFSET(COM_N_2012!$B$60,$AW18,SUMIF($B$10:$B$16,"NCAP_TLIFE",$AX$10:$AX$16)),0,""))</f>
        <v/>
      </c>
      <c r="Q18" s="369" t="str">
        <f ca="1">IF($B18&lt;&gt;"PRC_RESID","",IF(Q$7=2005+OFFSET(COM_N_2012!$B$60,$AW18,SUMIF($B$10:$B$16,"NCAP_TLIFE",$AX$10:$AX$16)),0,""))</f>
        <v/>
      </c>
      <c r="R18" s="369" t="str">
        <f ca="1">IF($B18&lt;&gt;"PRC_RESID","",IF(R$7=2005+OFFSET(COM_N_2012!$B$60,$AW18,SUMIF($B$10:$B$16,"NCAP_TLIFE",$AX$10:$AX$16)),0,""))</f>
        <v/>
      </c>
      <c r="S18" s="369" t="str">
        <f ca="1">IF($B18&lt;&gt;"PRC_RESID","",IF(S$7=2005+OFFSET(COM_N_2012!$B$60,$AW18,SUMIF($B$10:$B$16,"NCAP_TLIFE",$AX$10:$AX$16)),0,""))</f>
        <v/>
      </c>
      <c r="T18" s="369" t="str">
        <f ca="1">IF($B18&lt;&gt;"PRC_RESID","",IF(T$7=2005+OFFSET(COM_N_2012!$B$60,$AW18,SUMIF($B$10:$B$16,"NCAP_TLIFE",$AX$10:$AX$16)),0,""))</f>
        <v/>
      </c>
      <c r="U18" s="369" t="str">
        <f ca="1">IF($B18&lt;&gt;"PRC_RESID","",IF(U$7=2005+OFFSET(COM_N_2012!$B$60,$AW18,SUMIF($B$10:$B$16,"NCAP_TLIFE",$AX$10:$AX$16)),0,""))</f>
        <v/>
      </c>
      <c r="V18" s="369" t="str">
        <f ca="1">IF($B18&lt;&gt;"PRC_RESID","",IF(V$7=2005+OFFSET(COM_N_2012!$B$60,$AW18,SUMIF($B$10:$B$16,"NCAP_TLIFE",$AX$10:$AX$16)),0,""))</f>
        <v/>
      </c>
      <c r="W18" s="369" t="str">
        <f ca="1">IF($B18&lt;&gt;"PRC_RESID","",IF(W$7=2005+OFFSET(COM_N_2012!$B$60,$AW18,SUMIF($B$10:$B$16,"NCAP_TLIFE",$AX$10:$AX$16)),0,""))</f>
        <v/>
      </c>
      <c r="X18" s="369" t="str">
        <f ca="1">IF($B18&lt;&gt;"PRC_RESID","",IF(X$7=2005+OFFSET(COM_N_2012!$B$60,$AW18,SUMIF($B$10:$B$16,"NCAP_TLIFE",$AX$10:$AX$16)),0,""))</f>
        <v/>
      </c>
      <c r="Y18" s="369" t="str">
        <f ca="1">IF($B18&lt;&gt;"PRC_RESID","",IF(Y$7=2005+OFFSET(COM_N_2012!$B$60,$AW18,SUMIF($B$10:$B$16,"NCAP_TLIFE",$AX$10:$AX$16)),0,""))</f>
        <v/>
      </c>
      <c r="Z18" s="369" t="str">
        <f ca="1">IF($B18&lt;&gt;"PRC_RESID","",IF(Z$7=2005+OFFSET(COM_N_2012!$B$60,$AW18,SUMIF($B$10:$B$16,"NCAP_TLIFE",$AX$10:$AX$16)),0,""))</f>
        <v/>
      </c>
      <c r="AA18" s="369" t="str">
        <f ca="1">IF($B18&lt;&gt;"PRC_RESID","",IF(AA$7=2005+OFFSET(COM_N_2012!$B$60,$AW18,SUMIF($B$10:$B$16,"NCAP_TLIFE",$AX$10:$AX$16)),0,""))</f>
        <v/>
      </c>
      <c r="AB18" s="369" t="str">
        <f ca="1">IF($B18&lt;&gt;"PRC_RESID","",IF(AB$7=2005+OFFSET(COM_N_2012!$B$60,$AW18,SUMIF($B$10:$B$16,"NCAP_TLIFE",$AX$10:$AX$16)),0,""))</f>
        <v/>
      </c>
      <c r="AC18" s="369" t="str">
        <f ca="1">IF($B18&lt;&gt;"PRC_RESID","",IF(AC$7=2005+OFFSET(COM_N_2012!$B$60,$AW18,SUMIF($B$10:$B$16,"NCAP_TLIFE",$AX$10:$AX$16)),0,""))</f>
        <v/>
      </c>
      <c r="AD18" s="369" t="str">
        <f ca="1">IF($B18&lt;&gt;"PRC_RESID","",IF(AD$7=2005+OFFSET(COM_N_2012!$B$60,$AW18,SUMIF($B$10:$B$16,"NCAP_TLIFE",$AX$10:$AX$16)),0,""))</f>
        <v/>
      </c>
      <c r="AE18" s="369" t="str">
        <f ca="1">IF($B18&lt;&gt;"PRC_RESID","",IF(AE$7=2005+OFFSET(COM_N_2012!$B$60,$AW18,SUMIF($B$10:$B$16,"NCAP_TLIFE",$AX$10:$AX$16)),0,""))</f>
        <v/>
      </c>
      <c r="AF18" s="369" t="str">
        <f ca="1">IF($B18&lt;&gt;"PRC_RESID","",IF(AF$7=2005+OFFSET(COM_N_2012!$B$60,$AW18,SUMIF($B$10:$B$16,"NCAP_TLIFE",$AX$10:$AX$16)),0,""))</f>
        <v/>
      </c>
      <c r="AG18" s="369" t="str">
        <f ca="1">IF($B18&lt;&gt;"PRC_RESID","",IF(AG$7=2005+OFFSET(COM_N_2012!$B$60,$AW18,SUMIF($B$10:$B$16,"NCAP_TLIFE",$AX$10:$AX$16)),0,""))</f>
        <v/>
      </c>
      <c r="AH18" s="369" t="str">
        <f ca="1">IF($B18&lt;&gt;"PRC_RESID","",IF(AH$7=2005+OFFSET(COM_N_2012!$B$60,$AW18,SUMIF($B$10:$B$16,"NCAP_TLIFE",$AX$10:$AX$16)),0,""))</f>
        <v/>
      </c>
      <c r="AI18" s="369" t="str">
        <f ca="1">IF($B18&lt;&gt;"PRC_RESID","",IF(AI$7=2005+OFFSET(COM_N_2012!$B$60,$AW18,SUMIF($B$10:$B$16,"NCAP_TLIFE",$AX$10:$AX$16)),0,""))</f>
        <v/>
      </c>
      <c r="AJ18" s="369" t="str">
        <f ca="1">IF($B18&lt;&gt;"PRC_RESID","",IF(AJ$7=2005+OFFSET(COM_N_2012!$B$60,$AW18,SUMIF($B$10:$B$16,"NCAP_TLIFE",$AX$10:$AX$16)),0,""))</f>
        <v/>
      </c>
      <c r="AK18" s="369" t="str">
        <f ca="1">IF($B18&lt;&gt;"PRC_RESID","",IF(AK$7=2005+OFFSET(COM_N_2012!$B$60,$AW18,SUMIF($B$10:$B$16,"NCAP_TLIFE",$AX$10:$AX$16)),0,""))</f>
        <v/>
      </c>
      <c r="AL18" s="369" t="str">
        <f ca="1">IF($B18&lt;&gt;"PRC_RESID","",IF(AL$7=2005+OFFSET(COM_N_2012!$B$60,$AW18,SUMIF($B$10:$B$16,"NCAP_TLIFE",$AX$10:$AX$16)),0,""))</f>
        <v/>
      </c>
      <c r="AM18" s="369" t="str">
        <f ca="1">IF($B18&lt;&gt;"PRC_RESID","",IF(AM$7=2005+OFFSET(COM_N_2012!$B$60,$AW18,SUMIF($B$10:$B$16,"NCAP_TLIFE",$AX$10:$AX$16)),0,""))</f>
        <v/>
      </c>
      <c r="AN18" s="369" t="str">
        <f ca="1">IF($B18&lt;&gt;"PRC_RESID","",IF(AN$7=2005+OFFSET(COM_N_2012!$B$60,$AW18,SUMIF($B$10:$B$16,"NCAP_TLIFE",$AX$10:$AX$16)),0,""))</f>
        <v/>
      </c>
      <c r="AO18" s="369" t="str">
        <f ca="1">IF($B18&lt;&gt;"PRC_RESID","",IF(AO$7=2005+OFFSET(COM_N_2012!$B$60,$AW18,SUMIF($B$10:$B$16,"NCAP_TLIFE",$AX$10:$AX$16)),0,""))</f>
        <v/>
      </c>
      <c r="AP18" s="369" t="str">
        <f ca="1">IF($B18&lt;&gt;"PRC_RESID","",IF(AP$7=2005+OFFSET(COM_N_2012!$B$60,$AW18,SUMIF($B$10:$B$16,"NCAP_TLIFE",$AX$10:$AX$16)),0,""))</f>
        <v/>
      </c>
      <c r="AQ18" s="369" t="str">
        <f ca="1">IF($B18&lt;&gt;"PRC_RESID","",IF(AQ$7=2005+OFFSET(COM_N_2012!$B$60,$AW18,SUMIF($B$10:$B$16,"NCAP_TLIFE",$AX$10:$AX$16)),0,""))</f>
        <v/>
      </c>
      <c r="AR18" s="369" t="str">
        <f ca="1">IF($B18&lt;&gt;"PRC_RESID","",IF(AR$7=2005+OFFSET(COM_N_2012!$B$60,$AW18,SUMIF($B$10:$B$16,"NCAP_TLIFE",$AX$10:$AX$16)),0,""))</f>
        <v/>
      </c>
      <c r="AS18" s="369" t="str">
        <f ca="1">IF($B18&lt;&gt;"PRC_RESID","",IF(AS$7=2005+OFFSET(COM_N_2012!$B$60,$AW18,SUMIF($B$10:$B$16,"NCAP_TLIFE",$AX$10:$AX$16)),0,""))</f>
        <v/>
      </c>
      <c r="AT18" s="369" t="str">
        <f ca="1">IF($B18&lt;&gt;"PRC_RESID","",IF(AT$7=2005+OFFSET(COM_N_2012!$B$60,$AW18,SUMIF($B$10:$B$16,"NCAP_TLIFE",$AX$10:$AX$16)),0,""))</f>
        <v/>
      </c>
      <c r="AU18" s="369" t="str">
        <f ca="1">IF($B18&lt;&gt;"PRC_RESID","",IF(AU$7=2005+OFFSET(COM_N_2012!$B$60,$AW18,SUMIF($B$10:$B$16,"NCAP_TLIFE",$AX$10:$AX$16)),0,""))</f>
        <v/>
      </c>
      <c r="AV18" s="304">
        <v>1</v>
      </c>
      <c r="AW18" s="304">
        <v>1</v>
      </c>
    </row>
    <row r="19" spans="1:49">
      <c r="A19" s="304" t="str">
        <f ca="1">IF(LEFT(OFFSET(COM_N_2012!$A$60,AW19,0),2)="\I","*","")</f>
        <v/>
      </c>
      <c r="B19" s="369" t="str">
        <f t="shared" ca="1" si="2"/>
        <v>ACT_EFF</v>
      </c>
      <c r="C19" s="369" t="str">
        <f ca="1">IF($A19="*","",OFFSET(COM_N_2012!$B$60,AW19,0))</f>
        <v>CNCELCCEN-E</v>
      </c>
      <c r="D19" s="369" t="str">
        <f t="shared" ca="1" si="3"/>
        <v>-</v>
      </c>
      <c r="E19" s="369" t="str">
        <f t="shared" ca="1" si="3"/>
        <v>ACTGRP</v>
      </c>
      <c r="F19" s="369" t="str">
        <f t="shared" ca="1" si="3"/>
        <v>-</v>
      </c>
      <c r="G19" s="369" t="str">
        <f t="shared" ca="1" si="3"/>
        <v>ANNUAL</v>
      </c>
      <c r="H19" s="369" t="str">
        <f t="shared" ca="1" si="3"/>
        <v>-</v>
      </c>
      <c r="I19" s="370">
        <f t="shared" ca="1" si="3"/>
        <v>0</v>
      </c>
      <c r="J19" s="391">
        <f ca="1">IF($A19="*","",OFFSET(COM_N_2012!$B$60,AW19,SUMIF($B$10:$B$16,B19,$AX$10:$AX$16)))</f>
        <v>3</v>
      </c>
      <c r="K19" s="369" t="str">
        <f ca="1">IF($B19&lt;&gt;"PRC_RESID","",IF(K$7=2005+OFFSET(COM_N_2012!$B$60,$AW19,SUMIF($B$10:$B$16,"NCAP_TLIFE",$AX$10:$AX$16)),0,""))</f>
        <v/>
      </c>
      <c r="L19" s="369" t="str">
        <f ca="1">IF($B19&lt;&gt;"PRC_RESID","",IF(L$7=2005+OFFSET(COM_N_2012!$B$60,$AW19,SUMIF($B$10:$B$16,"NCAP_TLIFE",$AX$10:$AX$16)),0,""))</f>
        <v/>
      </c>
      <c r="M19" s="369" t="str">
        <f ca="1">IF($B19&lt;&gt;"PRC_RESID","",IF(M$7=2005+OFFSET(COM_N_2012!$B$60,$AW19,SUMIF($B$10:$B$16,"NCAP_TLIFE",$AX$10:$AX$16)),0,""))</f>
        <v/>
      </c>
      <c r="N19" s="369" t="str">
        <f ca="1">IF($B19&lt;&gt;"PRC_RESID","",IF(N$7=2005+OFFSET(COM_N_2012!$B$60,$AW19,SUMIF($B$10:$B$16,"NCAP_TLIFE",$AX$10:$AX$16)),0,""))</f>
        <v/>
      </c>
      <c r="O19" s="369" t="str">
        <f ca="1">IF($B19&lt;&gt;"PRC_RESID","",IF(O$7=2005+OFFSET(COM_N_2012!$B$60,$AW19,SUMIF($B$10:$B$16,"NCAP_TLIFE",$AX$10:$AX$16)),0,""))</f>
        <v/>
      </c>
      <c r="P19" s="369" t="str">
        <f ca="1">IF($B19&lt;&gt;"PRC_RESID","",IF(P$7=2005+OFFSET(COM_N_2012!$B$60,$AW19,SUMIF($B$10:$B$16,"NCAP_TLIFE",$AX$10:$AX$16)),0,""))</f>
        <v/>
      </c>
      <c r="Q19" s="369" t="str">
        <f ca="1">IF($B19&lt;&gt;"PRC_RESID","",IF(Q$7=2005+OFFSET(COM_N_2012!$B$60,$AW19,SUMIF($B$10:$B$16,"NCAP_TLIFE",$AX$10:$AX$16)),0,""))</f>
        <v/>
      </c>
      <c r="R19" s="369" t="str">
        <f ca="1">IF($B19&lt;&gt;"PRC_RESID","",IF(R$7=2005+OFFSET(COM_N_2012!$B$60,$AW19,SUMIF($B$10:$B$16,"NCAP_TLIFE",$AX$10:$AX$16)),0,""))</f>
        <v/>
      </c>
      <c r="S19" s="369" t="str">
        <f ca="1">IF($B19&lt;&gt;"PRC_RESID","",IF(S$7=2005+OFFSET(COM_N_2012!$B$60,$AW19,SUMIF($B$10:$B$16,"NCAP_TLIFE",$AX$10:$AX$16)),0,""))</f>
        <v/>
      </c>
      <c r="T19" s="369" t="str">
        <f ca="1">IF($B19&lt;&gt;"PRC_RESID","",IF(T$7=2005+OFFSET(COM_N_2012!$B$60,$AW19,SUMIF($B$10:$B$16,"NCAP_TLIFE",$AX$10:$AX$16)),0,""))</f>
        <v/>
      </c>
      <c r="U19" s="369" t="str">
        <f ca="1">IF($B19&lt;&gt;"PRC_RESID","",IF(U$7=2005+OFFSET(COM_N_2012!$B$60,$AW19,SUMIF($B$10:$B$16,"NCAP_TLIFE",$AX$10:$AX$16)),0,""))</f>
        <v/>
      </c>
      <c r="V19" s="369" t="str">
        <f ca="1">IF($B19&lt;&gt;"PRC_RESID","",IF(V$7=2005+OFFSET(COM_N_2012!$B$60,$AW19,SUMIF($B$10:$B$16,"NCAP_TLIFE",$AX$10:$AX$16)),0,""))</f>
        <v/>
      </c>
      <c r="W19" s="369" t="str">
        <f ca="1">IF($B19&lt;&gt;"PRC_RESID","",IF(W$7=2005+OFFSET(COM_N_2012!$B$60,$AW19,SUMIF($B$10:$B$16,"NCAP_TLIFE",$AX$10:$AX$16)),0,""))</f>
        <v/>
      </c>
      <c r="X19" s="369" t="str">
        <f ca="1">IF($B19&lt;&gt;"PRC_RESID","",IF(X$7=2005+OFFSET(COM_N_2012!$B$60,$AW19,SUMIF($B$10:$B$16,"NCAP_TLIFE",$AX$10:$AX$16)),0,""))</f>
        <v/>
      </c>
      <c r="Y19" s="369" t="str">
        <f ca="1">IF($B19&lt;&gt;"PRC_RESID","",IF(Y$7=2005+OFFSET(COM_N_2012!$B$60,$AW19,SUMIF($B$10:$B$16,"NCAP_TLIFE",$AX$10:$AX$16)),0,""))</f>
        <v/>
      </c>
      <c r="Z19" s="369" t="str">
        <f ca="1">IF($B19&lt;&gt;"PRC_RESID","",IF(Z$7=2005+OFFSET(COM_N_2012!$B$60,$AW19,SUMIF($B$10:$B$16,"NCAP_TLIFE",$AX$10:$AX$16)),0,""))</f>
        <v/>
      </c>
      <c r="AA19" s="369" t="str">
        <f ca="1">IF($B19&lt;&gt;"PRC_RESID","",IF(AA$7=2005+OFFSET(COM_N_2012!$B$60,$AW19,SUMIF($B$10:$B$16,"NCAP_TLIFE",$AX$10:$AX$16)),0,""))</f>
        <v/>
      </c>
      <c r="AB19" s="369" t="str">
        <f ca="1">IF($B19&lt;&gt;"PRC_RESID","",IF(AB$7=2005+OFFSET(COM_N_2012!$B$60,$AW19,SUMIF($B$10:$B$16,"NCAP_TLIFE",$AX$10:$AX$16)),0,""))</f>
        <v/>
      </c>
      <c r="AC19" s="369" t="str">
        <f ca="1">IF($B19&lt;&gt;"PRC_RESID","",IF(AC$7=2005+OFFSET(COM_N_2012!$B$60,$AW19,SUMIF($B$10:$B$16,"NCAP_TLIFE",$AX$10:$AX$16)),0,""))</f>
        <v/>
      </c>
      <c r="AD19" s="369" t="str">
        <f ca="1">IF($B19&lt;&gt;"PRC_RESID","",IF(AD$7=2005+OFFSET(COM_N_2012!$B$60,$AW19,SUMIF($B$10:$B$16,"NCAP_TLIFE",$AX$10:$AX$16)),0,""))</f>
        <v/>
      </c>
      <c r="AE19" s="369" t="str">
        <f ca="1">IF($B19&lt;&gt;"PRC_RESID","",IF(AE$7=2005+OFFSET(COM_N_2012!$B$60,$AW19,SUMIF($B$10:$B$16,"NCAP_TLIFE",$AX$10:$AX$16)),0,""))</f>
        <v/>
      </c>
      <c r="AF19" s="369" t="str">
        <f ca="1">IF($B19&lt;&gt;"PRC_RESID","",IF(AF$7=2005+OFFSET(COM_N_2012!$B$60,$AW19,SUMIF($B$10:$B$16,"NCAP_TLIFE",$AX$10:$AX$16)),0,""))</f>
        <v/>
      </c>
      <c r="AG19" s="369" t="str">
        <f ca="1">IF($B19&lt;&gt;"PRC_RESID","",IF(AG$7=2005+OFFSET(COM_N_2012!$B$60,$AW19,SUMIF($B$10:$B$16,"NCAP_TLIFE",$AX$10:$AX$16)),0,""))</f>
        <v/>
      </c>
      <c r="AH19" s="369" t="str">
        <f ca="1">IF($B19&lt;&gt;"PRC_RESID","",IF(AH$7=2005+OFFSET(COM_N_2012!$B$60,$AW19,SUMIF($B$10:$B$16,"NCAP_TLIFE",$AX$10:$AX$16)),0,""))</f>
        <v/>
      </c>
      <c r="AI19" s="369" t="str">
        <f ca="1">IF($B19&lt;&gt;"PRC_RESID","",IF(AI$7=2005+OFFSET(COM_N_2012!$B$60,$AW19,SUMIF($B$10:$B$16,"NCAP_TLIFE",$AX$10:$AX$16)),0,""))</f>
        <v/>
      </c>
      <c r="AJ19" s="369" t="str">
        <f ca="1">IF($B19&lt;&gt;"PRC_RESID","",IF(AJ$7=2005+OFFSET(COM_N_2012!$B$60,$AW19,SUMIF($B$10:$B$16,"NCAP_TLIFE",$AX$10:$AX$16)),0,""))</f>
        <v/>
      </c>
      <c r="AK19" s="369" t="str">
        <f ca="1">IF($B19&lt;&gt;"PRC_RESID","",IF(AK$7=2005+OFFSET(COM_N_2012!$B$60,$AW19,SUMIF($B$10:$B$16,"NCAP_TLIFE",$AX$10:$AX$16)),0,""))</f>
        <v/>
      </c>
      <c r="AL19" s="369" t="str">
        <f ca="1">IF($B19&lt;&gt;"PRC_RESID","",IF(AL$7=2005+OFFSET(COM_N_2012!$B$60,$AW19,SUMIF($B$10:$B$16,"NCAP_TLIFE",$AX$10:$AX$16)),0,""))</f>
        <v/>
      </c>
      <c r="AM19" s="369" t="str">
        <f ca="1">IF($B19&lt;&gt;"PRC_RESID","",IF(AM$7=2005+OFFSET(COM_N_2012!$B$60,$AW19,SUMIF($B$10:$B$16,"NCAP_TLIFE",$AX$10:$AX$16)),0,""))</f>
        <v/>
      </c>
      <c r="AN19" s="369" t="str">
        <f ca="1">IF($B19&lt;&gt;"PRC_RESID","",IF(AN$7=2005+OFFSET(COM_N_2012!$B$60,$AW19,SUMIF($B$10:$B$16,"NCAP_TLIFE",$AX$10:$AX$16)),0,""))</f>
        <v/>
      </c>
      <c r="AO19" s="369" t="str">
        <f ca="1">IF($B19&lt;&gt;"PRC_RESID","",IF(AO$7=2005+OFFSET(COM_N_2012!$B$60,$AW19,SUMIF($B$10:$B$16,"NCAP_TLIFE",$AX$10:$AX$16)),0,""))</f>
        <v/>
      </c>
      <c r="AP19" s="369" t="str">
        <f ca="1">IF($B19&lt;&gt;"PRC_RESID","",IF(AP$7=2005+OFFSET(COM_N_2012!$B$60,$AW19,SUMIF($B$10:$B$16,"NCAP_TLIFE",$AX$10:$AX$16)),0,""))</f>
        <v/>
      </c>
      <c r="AQ19" s="369" t="str">
        <f ca="1">IF($B19&lt;&gt;"PRC_RESID","",IF(AQ$7=2005+OFFSET(COM_N_2012!$B$60,$AW19,SUMIF($B$10:$B$16,"NCAP_TLIFE",$AX$10:$AX$16)),0,""))</f>
        <v/>
      </c>
      <c r="AR19" s="369" t="str">
        <f ca="1">IF($B19&lt;&gt;"PRC_RESID","",IF(AR$7=2005+OFFSET(COM_N_2012!$B$60,$AW19,SUMIF($B$10:$B$16,"NCAP_TLIFE",$AX$10:$AX$16)),0,""))</f>
        <v/>
      </c>
      <c r="AS19" s="369" t="str">
        <f ca="1">IF($B19&lt;&gt;"PRC_RESID","",IF(AS$7=2005+OFFSET(COM_N_2012!$B$60,$AW19,SUMIF($B$10:$B$16,"NCAP_TLIFE",$AX$10:$AX$16)),0,""))</f>
        <v/>
      </c>
      <c r="AT19" s="369" t="str">
        <f ca="1">IF($B19&lt;&gt;"PRC_RESID","",IF(AT$7=2005+OFFSET(COM_N_2012!$B$60,$AW19,SUMIF($B$10:$B$16,"NCAP_TLIFE",$AX$10:$AX$16)),0,""))</f>
        <v/>
      </c>
      <c r="AU19" s="369" t="str">
        <f ca="1">IF($B19&lt;&gt;"PRC_RESID","",IF(AU$7=2005+OFFSET(COM_N_2012!$B$60,$AW19,SUMIF($B$10:$B$16,"NCAP_TLIFE",$AX$10:$AX$16)),0,""))</f>
        <v/>
      </c>
      <c r="AV19" s="304">
        <f>IF(AW18=COM_N_2012!$AK$121,AV18+1,AV18)</f>
        <v>1</v>
      </c>
      <c r="AW19" s="304">
        <f t="shared" ref="AW19:AW82" si="4">IF(AV19=AV18,AW18+1,1)</f>
        <v>2</v>
      </c>
    </row>
    <row r="20" spans="1:49">
      <c r="A20" s="304" t="str">
        <f ca="1">IF(LEFT(OFFSET(COM_N_2012!$A$60,AW20,0),2)="\I","*","")</f>
        <v/>
      </c>
      <c r="B20" s="369" t="str">
        <f t="shared" ca="1" si="2"/>
        <v>ACT_EFF</v>
      </c>
      <c r="C20" s="369" t="str">
        <f ca="1">IF($A20="*","",OFFSET(COM_N_2012!$B$60,AW20,0))</f>
        <v>CNCELCHP-E</v>
      </c>
      <c r="D20" s="369" t="str">
        <f t="shared" ca="1" si="3"/>
        <v>-</v>
      </c>
      <c r="E20" s="369" t="str">
        <f t="shared" ca="1" si="3"/>
        <v>ACTGRP</v>
      </c>
      <c r="F20" s="369" t="str">
        <f t="shared" ca="1" si="3"/>
        <v>-</v>
      </c>
      <c r="G20" s="369" t="str">
        <f t="shared" ca="1" si="3"/>
        <v>ANNUAL</v>
      </c>
      <c r="H20" s="369" t="str">
        <f t="shared" ca="1" si="3"/>
        <v>-</v>
      </c>
      <c r="I20" s="370">
        <f t="shared" ca="1" si="3"/>
        <v>0</v>
      </c>
      <c r="J20" s="391">
        <f ca="1">IF($A20="*","",OFFSET(COM_N_2012!$B$60,AW20,SUMIF($B$10:$B$16,B20,$AX$10:$AX$16)))</f>
        <v>2.2000000000000002</v>
      </c>
      <c r="K20" s="369" t="str">
        <f ca="1">IF($B20&lt;&gt;"PRC_RESID","",IF(K$7=2005+OFFSET(COM_N_2012!$B$60,$AW20,SUMIF($B$10:$B$16,"NCAP_TLIFE",$AX$10:$AX$16)),0,""))</f>
        <v/>
      </c>
      <c r="L20" s="369" t="str">
        <f ca="1">IF($B20&lt;&gt;"PRC_RESID","",IF(L$7=2005+OFFSET(COM_N_2012!$B$60,$AW20,SUMIF($B$10:$B$16,"NCAP_TLIFE",$AX$10:$AX$16)),0,""))</f>
        <v/>
      </c>
      <c r="M20" s="369" t="str">
        <f ca="1">IF($B20&lt;&gt;"PRC_RESID","",IF(M$7=2005+OFFSET(COM_N_2012!$B$60,$AW20,SUMIF($B$10:$B$16,"NCAP_TLIFE",$AX$10:$AX$16)),0,""))</f>
        <v/>
      </c>
      <c r="N20" s="369" t="str">
        <f ca="1">IF($B20&lt;&gt;"PRC_RESID","",IF(N$7=2005+OFFSET(COM_N_2012!$B$60,$AW20,SUMIF($B$10:$B$16,"NCAP_TLIFE",$AX$10:$AX$16)),0,""))</f>
        <v/>
      </c>
      <c r="O20" s="369" t="str">
        <f ca="1">IF($B20&lt;&gt;"PRC_RESID","",IF(O$7=2005+OFFSET(COM_N_2012!$B$60,$AW20,SUMIF($B$10:$B$16,"NCAP_TLIFE",$AX$10:$AX$16)),0,""))</f>
        <v/>
      </c>
      <c r="P20" s="369" t="str">
        <f ca="1">IF($B20&lt;&gt;"PRC_RESID","",IF(P$7=2005+OFFSET(COM_N_2012!$B$60,$AW20,SUMIF($B$10:$B$16,"NCAP_TLIFE",$AX$10:$AX$16)),0,""))</f>
        <v/>
      </c>
      <c r="Q20" s="369" t="str">
        <f ca="1">IF($B20&lt;&gt;"PRC_RESID","",IF(Q$7=2005+OFFSET(COM_N_2012!$B$60,$AW20,SUMIF($B$10:$B$16,"NCAP_TLIFE",$AX$10:$AX$16)),0,""))</f>
        <v/>
      </c>
      <c r="R20" s="369" t="str">
        <f ca="1">IF($B20&lt;&gt;"PRC_RESID","",IF(R$7=2005+OFFSET(COM_N_2012!$B$60,$AW20,SUMIF($B$10:$B$16,"NCAP_TLIFE",$AX$10:$AX$16)),0,""))</f>
        <v/>
      </c>
      <c r="S20" s="369" t="str">
        <f ca="1">IF($B20&lt;&gt;"PRC_RESID","",IF(S$7=2005+OFFSET(COM_N_2012!$B$60,$AW20,SUMIF($B$10:$B$16,"NCAP_TLIFE",$AX$10:$AX$16)),0,""))</f>
        <v/>
      </c>
      <c r="T20" s="369" t="str">
        <f ca="1">IF($B20&lt;&gt;"PRC_RESID","",IF(T$7=2005+OFFSET(COM_N_2012!$B$60,$AW20,SUMIF($B$10:$B$16,"NCAP_TLIFE",$AX$10:$AX$16)),0,""))</f>
        <v/>
      </c>
      <c r="U20" s="369" t="str">
        <f ca="1">IF($B20&lt;&gt;"PRC_RESID","",IF(U$7=2005+OFFSET(COM_N_2012!$B$60,$AW20,SUMIF($B$10:$B$16,"NCAP_TLIFE",$AX$10:$AX$16)),0,""))</f>
        <v/>
      </c>
      <c r="V20" s="369" t="str">
        <f ca="1">IF($B20&lt;&gt;"PRC_RESID","",IF(V$7=2005+OFFSET(COM_N_2012!$B$60,$AW20,SUMIF($B$10:$B$16,"NCAP_TLIFE",$AX$10:$AX$16)),0,""))</f>
        <v/>
      </c>
      <c r="W20" s="369" t="str">
        <f ca="1">IF($B20&lt;&gt;"PRC_RESID","",IF(W$7=2005+OFFSET(COM_N_2012!$B$60,$AW20,SUMIF($B$10:$B$16,"NCAP_TLIFE",$AX$10:$AX$16)),0,""))</f>
        <v/>
      </c>
      <c r="X20" s="369" t="str">
        <f ca="1">IF($B20&lt;&gt;"PRC_RESID","",IF(X$7=2005+OFFSET(COM_N_2012!$B$60,$AW20,SUMIF($B$10:$B$16,"NCAP_TLIFE",$AX$10:$AX$16)),0,""))</f>
        <v/>
      </c>
      <c r="Y20" s="369" t="str">
        <f ca="1">IF($B20&lt;&gt;"PRC_RESID","",IF(Y$7=2005+OFFSET(COM_N_2012!$B$60,$AW20,SUMIF($B$10:$B$16,"NCAP_TLIFE",$AX$10:$AX$16)),0,""))</f>
        <v/>
      </c>
      <c r="Z20" s="369" t="str">
        <f ca="1">IF($B20&lt;&gt;"PRC_RESID","",IF(Z$7=2005+OFFSET(COM_N_2012!$B$60,$AW20,SUMIF($B$10:$B$16,"NCAP_TLIFE",$AX$10:$AX$16)),0,""))</f>
        <v/>
      </c>
      <c r="AA20" s="369" t="str">
        <f ca="1">IF($B20&lt;&gt;"PRC_RESID","",IF(AA$7=2005+OFFSET(COM_N_2012!$B$60,$AW20,SUMIF($B$10:$B$16,"NCAP_TLIFE",$AX$10:$AX$16)),0,""))</f>
        <v/>
      </c>
      <c r="AB20" s="369" t="str">
        <f ca="1">IF($B20&lt;&gt;"PRC_RESID","",IF(AB$7=2005+OFFSET(COM_N_2012!$B$60,$AW20,SUMIF($B$10:$B$16,"NCAP_TLIFE",$AX$10:$AX$16)),0,""))</f>
        <v/>
      </c>
      <c r="AC20" s="369" t="str">
        <f ca="1">IF($B20&lt;&gt;"PRC_RESID","",IF(AC$7=2005+OFFSET(COM_N_2012!$B$60,$AW20,SUMIF($B$10:$B$16,"NCAP_TLIFE",$AX$10:$AX$16)),0,""))</f>
        <v/>
      </c>
      <c r="AD20" s="369" t="str">
        <f ca="1">IF($B20&lt;&gt;"PRC_RESID","",IF(AD$7=2005+OFFSET(COM_N_2012!$B$60,$AW20,SUMIF($B$10:$B$16,"NCAP_TLIFE",$AX$10:$AX$16)),0,""))</f>
        <v/>
      </c>
      <c r="AE20" s="369" t="str">
        <f ca="1">IF($B20&lt;&gt;"PRC_RESID","",IF(AE$7=2005+OFFSET(COM_N_2012!$B$60,$AW20,SUMIF($B$10:$B$16,"NCAP_TLIFE",$AX$10:$AX$16)),0,""))</f>
        <v/>
      </c>
      <c r="AF20" s="369" t="str">
        <f ca="1">IF($B20&lt;&gt;"PRC_RESID","",IF(AF$7=2005+OFFSET(COM_N_2012!$B$60,$AW20,SUMIF($B$10:$B$16,"NCAP_TLIFE",$AX$10:$AX$16)),0,""))</f>
        <v/>
      </c>
      <c r="AG20" s="369" t="str">
        <f ca="1">IF($B20&lt;&gt;"PRC_RESID","",IF(AG$7=2005+OFFSET(COM_N_2012!$B$60,$AW20,SUMIF($B$10:$B$16,"NCAP_TLIFE",$AX$10:$AX$16)),0,""))</f>
        <v/>
      </c>
      <c r="AH20" s="369" t="str">
        <f ca="1">IF($B20&lt;&gt;"PRC_RESID","",IF(AH$7=2005+OFFSET(COM_N_2012!$B$60,$AW20,SUMIF($B$10:$B$16,"NCAP_TLIFE",$AX$10:$AX$16)),0,""))</f>
        <v/>
      </c>
      <c r="AI20" s="369" t="str">
        <f ca="1">IF($B20&lt;&gt;"PRC_RESID","",IF(AI$7=2005+OFFSET(COM_N_2012!$B$60,$AW20,SUMIF($B$10:$B$16,"NCAP_TLIFE",$AX$10:$AX$16)),0,""))</f>
        <v/>
      </c>
      <c r="AJ20" s="369" t="str">
        <f ca="1">IF($B20&lt;&gt;"PRC_RESID","",IF(AJ$7=2005+OFFSET(COM_N_2012!$B$60,$AW20,SUMIF($B$10:$B$16,"NCAP_TLIFE",$AX$10:$AX$16)),0,""))</f>
        <v/>
      </c>
      <c r="AK20" s="369" t="str">
        <f ca="1">IF($B20&lt;&gt;"PRC_RESID","",IF(AK$7=2005+OFFSET(COM_N_2012!$B$60,$AW20,SUMIF($B$10:$B$16,"NCAP_TLIFE",$AX$10:$AX$16)),0,""))</f>
        <v/>
      </c>
      <c r="AL20" s="369" t="str">
        <f ca="1">IF($B20&lt;&gt;"PRC_RESID","",IF(AL$7=2005+OFFSET(COM_N_2012!$B$60,$AW20,SUMIF($B$10:$B$16,"NCAP_TLIFE",$AX$10:$AX$16)),0,""))</f>
        <v/>
      </c>
      <c r="AM20" s="369" t="str">
        <f ca="1">IF($B20&lt;&gt;"PRC_RESID","",IF(AM$7=2005+OFFSET(COM_N_2012!$B$60,$AW20,SUMIF($B$10:$B$16,"NCAP_TLIFE",$AX$10:$AX$16)),0,""))</f>
        <v/>
      </c>
      <c r="AN20" s="369" t="str">
        <f ca="1">IF($B20&lt;&gt;"PRC_RESID","",IF(AN$7=2005+OFFSET(COM_N_2012!$B$60,$AW20,SUMIF($B$10:$B$16,"NCAP_TLIFE",$AX$10:$AX$16)),0,""))</f>
        <v/>
      </c>
      <c r="AO20" s="369" t="str">
        <f ca="1">IF($B20&lt;&gt;"PRC_RESID","",IF(AO$7=2005+OFFSET(COM_N_2012!$B$60,$AW20,SUMIF($B$10:$B$16,"NCAP_TLIFE",$AX$10:$AX$16)),0,""))</f>
        <v/>
      </c>
      <c r="AP20" s="369" t="str">
        <f ca="1">IF($B20&lt;&gt;"PRC_RESID","",IF(AP$7=2005+OFFSET(COM_N_2012!$B$60,$AW20,SUMIF($B$10:$B$16,"NCAP_TLIFE",$AX$10:$AX$16)),0,""))</f>
        <v/>
      </c>
      <c r="AQ20" s="369" t="str">
        <f ca="1">IF($B20&lt;&gt;"PRC_RESID","",IF(AQ$7=2005+OFFSET(COM_N_2012!$B$60,$AW20,SUMIF($B$10:$B$16,"NCAP_TLIFE",$AX$10:$AX$16)),0,""))</f>
        <v/>
      </c>
      <c r="AR20" s="369" t="str">
        <f ca="1">IF($B20&lt;&gt;"PRC_RESID","",IF(AR$7=2005+OFFSET(COM_N_2012!$B$60,$AW20,SUMIF($B$10:$B$16,"NCAP_TLIFE",$AX$10:$AX$16)),0,""))</f>
        <v/>
      </c>
      <c r="AS20" s="369" t="str">
        <f ca="1">IF($B20&lt;&gt;"PRC_RESID","",IF(AS$7=2005+OFFSET(COM_N_2012!$B$60,$AW20,SUMIF($B$10:$B$16,"NCAP_TLIFE",$AX$10:$AX$16)),0,""))</f>
        <v/>
      </c>
      <c r="AT20" s="369" t="str">
        <f ca="1">IF($B20&lt;&gt;"PRC_RESID","",IF(AT$7=2005+OFFSET(COM_N_2012!$B$60,$AW20,SUMIF($B$10:$B$16,"NCAP_TLIFE",$AX$10:$AX$16)),0,""))</f>
        <v/>
      </c>
      <c r="AU20" s="369" t="str">
        <f ca="1">IF($B20&lt;&gt;"PRC_RESID","",IF(AU$7=2005+OFFSET(COM_N_2012!$B$60,$AW20,SUMIF($B$10:$B$16,"NCAP_TLIFE",$AX$10:$AX$16)),0,""))</f>
        <v/>
      </c>
      <c r="AV20" s="304">
        <f>IF(AW19=COM_N_2012!$AK$121,AV19+1,AV19)</f>
        <v>1</v>
      </c>
      <c r="AW20" s="304">
        <f t="shared" si="4"/>
        <v>3</v>
      </c>
    </row>
    <row r="21" spans="1:49">
      <c r="A21" s="304" t="str">
        <f ca="1">IF(LEFT(OFFSET(COM_N_2012!$A$60,AW21,0),2)="\I","*","")</f>
        <v/>
      </c>
      <c r="B21" s="369" t="str">
        <f t="shared" ca="1" si="2"/>
        <v>ACT_EFF</v>
      </c>
      <c r="C21" s="369" t="str">
        <f ca="1">IF($A21="*","",OFFSET(COM_N_2012!$B$60,AW21,0))</f>
        <v>CNCELCROOM-E</v>
      </c>
      <c r="D21" s="369" t="str">
        <f t="shared" ca="1" si="3"/>
        <v>-</v>
      </c>
      <c r="E21" s="369" t="str">
        <f t="shared" ca="1" si="3"/>
        <v>ACTGRP</v>
      </c>
      <c r="F21" s="369" t="str">
        <f t="shared" ca="1" si="3"/>
        <v>-</v>
      </c>
      <c r="G21" s="369" t="str">
        <f t="shared" ca="1" si="3"/>
        <v>ANNUAL</v>
      </c>
      <c r="H21" s="369" t="str">
        <f t="shared" ca="1" si="3"/>
        <v>-</v>
      </c>
      <c r="I21" s="370">
        <f t="shared" ca="1" si="3"/>
        <v>0</v>
      </c>
      <c r="J21" s="391">
        <f ca="1">IF($A21="*","",OFFSET(COM_N_2012!$B$60,AW21,SUMIF($B$10:$B$16,B21,$AX$10:$AX$16)))</f>
        <v>2</v>
      </c>
      <c r="K21" s="369" t="str">
        <f ca="1">IF($B21&lt;&gt;"PRC_RESID","",IF(K$7=2005+OFFSET(COM_N_2012!$B$60,$AW21,SUMIF($B$10:$B$16,"NCAP_TLIFE",$AX$10:$AX$16)),0,""))</f>
        <v/>
      </c>
      <c r="L21" s="369" t="str">
        <f ca="1">IF($B21&lt;&gt;"PRC_RESID","",IF(L$7=2005+OFFSET(COM_N_2012!$B$60,$AW21,SUMIF($B$10:$B$16,"NCAP_TLIFE",$AX$10:$AX$16)),0,""))</f>
        <v/>
      </c>
      <c r="M21" s="369" t="str">
        <f ca="1">IF($B21&lt;&gt;"PRC_RESID","",IF(M$7=2005+OFFSET(COM_N_2012!$B$60,$AW21,SUMIF($B$10:$B$16,"NCAP_TLIFE",$AX$10:$AX$16)),0,""))</f>
        <v/>
      </c>
      <c r="N21" s="369" t="str">
        <f ca="1">IF($B21&lt;&gt;"PRC_RESID","",IF(N$7=2005+OFFSET(COM_N_2012!$B$60,$AW21,SUMIF($B$10:$B$16,"NCAP_TLIFE",$AX$10:$AX$16)),0,""))</f>
        <v/>
      </c>
      <c r="O21" s="369" t="str">
        <f ca="1">IF($B21&lt;&gt;"PRC_RESID","",IF(O$7=2005+OFFSET(COM_N_2012!$B$60,$AW21,SUMIF($B$10:$B$16,"NCAP_TLIFE",$AX$10:$AX$16)),0,""))</f>
        <v/>
      </c>
      <c r="P21" s="369" t="str">
        <f ca="1">IF($B21&lt;&gt;"PRC_RESID","",IF(P$7=2005+OFFSET(COM_N_2012!$B$60,$AW21,SUMIF($B$10:$B$16,"NCAP_TLIFE",$AX$10:$AX$16)),0,""))</f>
        <v/>
      </c>
      <c r="Q21" s="369" t="str">
        <f ca="1">IF($B21&lt;&gt;"PRC_RESID","",IF(Q$7=2005+OFFSET(COM_N_2012!$B$60,$AW21,SUMIF($B$10:$B$16,"NCAP_TLIFE",$AX$10:$AX$16)),0,""))</f>
        <v/>
      </c>
      <c r="R21" s="369" t="str">
        <f ca="1">IF($B21&lt;&gt;"PRC_RESID","",IF(R$7=2005+OFFSET(COM_N_2012!$B$60,$AW21,SUMIF($B$10:$B$16,"NCAP_TLIFE",$AX$10:$AX$16)),0,""))</f>
        <v/>
      </c>
      <c r="S21" s="369" t="str">
        <f ca="1">IF($B21&lt;&gt;"PRC_RESID","",IF(S$7=2005+OFFSET(COM_N_2012!$B$60,$AW21,SUMIF($B$10:$B$16,"NCAP_TLIFE",$AX$10:$AX$16)),0,""))</f>
        <v/>
      </c>
      <c r="T21" s="369" t="str">
        <f ca="1">IF($B21&lt;&gt;"PRC_RESID","",IF(T$7=2005+OFFSET(COM_N_2012!$B$60,$AW21,SUMIF($B$10:$B$16,"NCAP_TLIFE",$AX$10:$AX$16)),0,""))</f>
        <v/>
      </c>
      <c r="U21" s="369" t="str">
        <f ca="1">IF($B21&lt;&gt;"PRC_RESID","",IF(U$7=2005+OFFSET(COM_N_2012!$B$60,$AW21,SUMIF($B$10:$B$16,"NCAP_TLIFE",$AX$10:$AX$16)),0,""))</f>
        <v/>
      </c>
      <c r="V21" s="369" t="str">
        <f ca="1">IF($B21&lt;&gt;"PRC_RESID","",IF(V$7=2005+OFFSET(COM_N_2012!$B$60,$AW21,SUMIF($B$10:$B$16,"NCAP_TLIFE",$AX$10:$AX$16)),0,""))</f>
        <v/>
      </c>
      <c r="W21" s="369" t="str">
        <f ca="1">IF($B21&lt;&gt;"PRC_RESID","",IF(W$7=2005+OFFSET(COM_N_2012!$B$60,$AW21,SUMIF($B$10:$B$16,"NCAP_TLIFE",$AX$10:$AX$16)),0,""))</f>
        <v/>
      </c>
      <c r="X21" s="369" t="str">
        <f ca="1">IF($B21&lt;&gt;"PRC_RESID","",IF(X$7=2005+OFFSET(COM_N_2012!$B$60,$AW21,SUMIF($B$10:$B$16,"NCAP_TLIFE",$AX$10:$AX$16)),0,""))</f>
        <v/>
      </c>
      <c r="Y21" s="369" t="str">
        <f ca="1">IF($B21&lt;&gt;"PRC_RESID","",IF(Y$7=2005+OFFSET(COM_N_2012!$B$60,$AW21,SUMIF($B$10:$B$16,"NCAP_TLIFE",$AX$10:$AX$16)),0,""))</f>
        <v/>
      </c>
      <c r="Z21" s="369" t="str">
        <f ca="1">IF($B21&lt;&gt;"PRC_RESID","",IF(Z$7=2005+OFFSET(COM_N_2012!$B$60,$AW21,SUMIF($B$10:$B$16,"NCAP_TLIFE",$AX$10:$AX$16)),0,""))</f>
        <v/>
      </c>
      <c r="AA21" s="369" t="str">
        <f ca="1">IF($B21&lt;&gt;"PRC_RESID","",IF(AA$7=2005+OFFSET(COM_N_2012!$B$60,$AW21,SUMIF($B$10:$B$16,"NCAP_TLIFE",$AX$10:$AX$16)),0,""))</f>
        <v/>
      </c>
      <c r="AB21" s="369" t="str">
        <f ca="1">IF($B21&lt;&gt;"PRC_RESID","",IF(AB$7=2005+OFFSET(COM_N_2012!$B$60,$AW21,SUMIF($B$10:$B$16,"NCAP_TLIFE",$AX$10:$AX$16)),0,""))</f>
        <v/>
      </c>
      <c r="AC21" s="369" t="str">
        <f ca="1">IF($B21&lt;&gt;"PRC_RESID","",IF(AC$7=2005+OFFSET(COM_N_2012!$B$60,$AW21,SUMIF($B$10:$B$16,"NCAP_TLIFE",$AX$10:$AX$16)),0,""))</f>
        <v/>
      </c>
      <c r="AD21" s="369" t="str">
        <f ca="1">IF($B21&lt;&gt;"PRC_RESID","",IF(AD$7=2005+OFFSET(COM_N_2012!$B$60,$AW21,SUMIF($B$10:$B$16,"NCAP_TLIFE",$AX$10:$AX$16)),0,""))</f>
        <v/>
      </c>
      <c r="AE21" s="369" t="str">
        <f ca="1">IF($B21&lt;&gt;"PRC_RESID","",IF(AE$7=2005+OFFSET(COM_N_2012!$B$60,$AW21,SUMIF($B$10:$B$16,"NCAP_TLIFE",$AX$10:$AX$16)),0,""))</f>
        <v/>
      </c>
      <c r="AF21" s="369" t="str">
        <f ca="1">IF($B21&lt;&gt;"PRC_RESID","",IF(AF$7=2005+OFFSET(COM_N_2012!$B$60,$AW21,SUMIF($B$10:$B$16,"NCAP_TLIFE",$AX$10:$AX$16)),0,""))</f>
        <v/>
      </c>
      <c r="AG21" s="369" t="str">
        <f ca="1">IF($B21&lt;&gt;"PRC_RESID","",IF(AG$7=2005+OFFSET(COM_N_2012!$B$60,$AW21,SUMIF($B$10:$B$16,"NCAP_TLIFE",$AX$10:$AX$16)),0,""))</f>
        <v/>
      </c>
      <c r="AH21" s="369" t="str">
        <f ca="1">IF($B21&lt;&gt;"PRC_RESID","",IF(AH$7=2005+OFFSET(COM_N_2012!$B$60,$AW21,SUMIF($B$10:$B$16,"NCAP_TLIFE",$AX$10:$AX$16)),0,""))</f>
        <v/>
      </c>
      <c r="AI21" s="369" t="str">
        <f ca="1">IF($B21&lt;&gt;"PRC_RESID","",IF(AI$7=2005+OFFSET(COM_N_2012!$B$60,$AW21,SUMIF($B$10:$B$16,"NCAP_TLIFE",$AX$10:$AX$16)),0,""))</f>
        <v/>
      </c>
      <c r="AJ21" s="369" t="str">
        <f ca="1">IF($B21&lt;&gt;"PRC_RESID","",IF(AJ$7=2005+OFFSET(COM_N_2012!$B$60,$AW21,SUMIF($B$10:$B$16,"NCAP_TLIFE",$AX$10:$AX$16)),0,""))</f>
        <v/>
      </c>
      <c r="AK21" s="369" t="str">
        <f ca="1">IF($B21&lt;&gt;"PRC_RESID","",IF(AK$7=2005+OFFSET(COM_N_2012!$B$60,$AW21,SUMIF($B$10:$B$16,"NCAP_TLIFE",$AX$10:$AX$16)),0,""))</f>
        <v/>
      </c>
      <c r="AL21" s="369" t="str">
        <f ca="1">IF($B21&lt;&gt;"PRC_RESID","",IF(AL$7=2005+OFFSET(COM_N_2012!$B$60,$AW21,SUMIF($B$10:$B$16,"NCAP_TLIFE",$AX$10:$AX$16)),0,""))</f>
        <v/>
      </c>
      <c r="AM21" s="369" t="str">
        <f ca="1">IF($B21&lt;&gt;"PRC_RESID","",IF(AM$7=2005+OFFSET(COM_N_2012!$B$60,$AW21,SUMIF($B$10:$B$16,"NCAP_TLIFE",$AX$10:$AX$16)),0,""))</f>
        <v/>
      </c>
      <c r="AN21" s="369" t="str">
        <f ca="1">IF($B21&lt;&gt;"PRC_RESID","",IF(AN$7=2005+OFFSET(COM_N_2012!$B$60,$AW21,SUMIF($B$10:$B$16,"NCAP_TLIFE",$AX$10:$AX$16)),0,""))</f>
        <v/>
      </c>
      <c r="AO21" s="369" t="str">
        <f ca="1">IF($B21&lt;&gt;"PRC_RESID","",IF(AO$7=2005+OFFSET(COM_N_2012!$B$60,$AW21,SUMIF($B$10:$B$16,"NCAP_TLIFE",$AX$10:$AX$16)),0,""))</f>
        <v/>
      </c>
      <c r="AP21" s="369" t="str">
        <f ca="1">IF($B21&lt;&gt;"PRC_RESID","",IF(AP$7=2005+OFFSET(COM_N_2012!$B$60,$AW21,SUMIF($B$10:$B$16,"NCAP_TLIFE",$AX$10:$AX$16)),0,""))</f>
        <v/>
      </c>
      <c r="AQ21" s="369" t="str">
        <f ca="1">IF($B21&lt;&gt;"PRC_RESID","",IF(AQ$7=2005+OFFSET(COM_N_2012!$B$60,$AW21,SUMIF($B$10:$B$16,"NCAP_TLIFE",$AX$10:$AX$16)),0,""))</f>
        <v/>
      </c>
      <c r="AR21" s="369" t="str">
        <f ca="1">IF($B21&lt;&gt;"PRC_RESID","",IF(AR$7=2005+OFFSET(COM_N_2012!$B$60,$AW21,SUMIF($B$10:$B$16,"NCAP_TLIFE",$AX$10:$AX$16)),0,""))</f>
        <v/>
      </c>
      <c r="AS21" s="369" t="str">
        <f ca="1">IF($B21&lt;&gt;"PRC_RESID","",IF(AS$7=2005+OFFSET(COM_N_2012!$B$60,$AW21,SUMIF($B$10:$B$16,"NCAP_TLIFE",$AX$10:$AX$16)),0,""))</f>
        <v/>
      </c>
      <c r="AT21" s="369" t="str">
        <f ca="1">IF($B21&lt;&gt;"PRC_RESID","",IF(AT$7=2005+OFFSET(COM_N_2012!$B$60,$AW21,SUMIF($B$10:$B$16,"NCAP_TLIFE",$AX$10:$AX$16)),0,""))</f>
        <v/>
      </c>
      <c r="AU21" s="369" t="str">
        <f ca="1">IF($B21&lt;&gt;"PRC_RESID","",IF(AU$7=2005+OFFSET(COM_N_2012!$B$60,$AW21,SUMIF($B$10:$B$16,"NCAP_TLIFE",$AX$10:$AX$16)),0,""))</f>
        <v/>
      </c>
      <c r="AV21" s="304">
        <f>IF(AW20=COM_N_2012!$AK$121,AV20+1,AV20)</f>
        <v>1</v>
      </c>
      <c r="AW21" s="304">
        <f t="shared" si="4"/>
        <v>4</v>
      </c>
    </row>
    <row r="22" spans="1:49">
      <c r="A22" s="304" t="str">
        <f ca="1">IF(LEFT(OFFSET(COM_N_2012!$A$60,AW22,0),2)="\I","*","")</f>
        <v/>
      </c>
      <c r="B22" s="369" t="str">
        <f t="shared" ca="1" si="2"/>
        <v>ACT_EFF</v>
      </c>
      <c r="C22" s="369" t="str">
        <f ca="1">IF($A22="*","",OFFSET(COM_N_2012!$B$60,AW22,0))</f>
        <v>CNCELCCEN-N</v>
      </c>
      <c r="D22" s="369" t="str">
        <f t="shared" ca="1" si="3"/>
        <v>-</v>
      </c>
      <c r="E22" s="369" t="str">
        <f t="shared" ca="1" si="3"/>
        <v>ACTGRP</v>
      </c>
      <c r="F22" s="369" t="str">
        <f t="shared" ca="1" si="3"/>
        <v>-</v>
      </c>
      <c r="G22" s="369" t="str">
        <f t="shared" ca="1" si="3"/>
        <v>ANNUAL</v>
      </c>
      <c r="H22" s="369" t="str">
        <f t="shared" ca="1" si="3"/>
        <v>-</v>
      </c>
      <c r="I22" s="370">
        <f t="shared" ca="1" si="3"/>
        <v>0</v>
      </c>
      <c r="J22" s="391">
        <f ca="1">IF($A22="*","",OFFSET(COM_N_2012!$B$60,AW22,SUMIF($B$10:$B$16,B22,$AX$10:$AX$16)))</f>
        <v>3.3529411764705883</v>
      </c>
      <c r="K22" s="369" t="str">
        <f ca="1">IF($B22&lt;&gt;"PRC_RESID","",IF(K$7=2005+OFFSET(COM_N_2012!$B$60,$AW22,SUMIF($B$10:$B$16,"NCAP_TLIFE",$AX$10:$AX$16)),0,""))</f>
        <v/>
      </c>
      <c r="L22" s="369" t="str">
        <f ca="1">IF($B22&lt;&gt;"PRC_RESID","",IF(L$7=2005+OFFSET(COM_N_2012!$B$60,$AW22,SUMIF($B$10:$B$16,"NCAP_TLIFE",$AX$10:$AX$16)),0,""))</f>
        <v/>
      </c>
      <c r="M22" s="369" t="str">
        <f ca="1">IF($B22&lt;&gt;"PRC_RESID","",IF(M$7=2005+OFFSET(COM_N_2012!$B$60,$AW22,SUMIF($B$10:$B$16,"NCAP_TLIFE",$AX$10:$AX$16)),0,""))</f>
        <v/>
      </c>
      <c r="N22" s="369" t="str">
        <f ca="1">IF($B22&lt;&gt;"PRC_RESID","",IF(N$7=2005+OFFSET(COM_N_2012!$B$60,$AW22,SUMIF($B$10:$B$16,"NCAP_TLIFE",$AX$10:$AX$16)),0,""))</f>
        <v/>
      </c>
      <c r="O22" s="369" t="str">
        <f ca="1">IF($B22&lt;&gt;"PRC_RESID","",IF(O$7=2005+OFFSET(COM_N_2012!$B$60,$AW22,SUMIF($B$10:$B$16,"NCAP_TLIFE",$AX$10:$AX$16)),0,""))</f>
        <v/>
      </c>
      <c r="P22" s="369" t="str">
        <f ca="1">IF($B22&lt;&gt;"PRC_RESID","",IF(P$7=2005+OFFSET(COM_N_2012!$B$60,$AW22,SUMIF($B$10:$B$16,"NCAP_TLIFE",$AX$10:$AX$16)),0,""))</f>
        <v/>
      </c>
      <c r="Q22" s="369" t="str">
        <f ca="1">IF($B22&lt;&gt;"PRC_RESID","",IF(Q$7=2005+OFFSET(COM_N_2012!$B$60,$AW22,SUMIF($B$10:$B$16,"NCAP_TLIFE",$AX$10:$AX$16)),0,""))</f>
        <v/>
      </c>
      <c r="R22" s="369" t="str">
        <f ca="1">IF($B22&lt;&gt;"PRC_RESID","",IF(R$7=2005+OFFSET(COM_N_2012!$B$60,$AW22,SUMIF($B$10:$B$16,"NCAP_TLIFE",$AX$10:$AX$16)),0,""))</f>
        <v/>
      </c>
      <c r="S22" s="369" t="str">
        <f ca="1">IF($B22&lt;&gt;"PRC_RESID","",IF(S$7=2005+OFFSET(COM_N_2012!$B$60,$AW22,SUMIF($B$10:$B$16,"NCAP_TLIFE",$AX$10:$AX$16)),0,""))</f>
        <v/>
      </c>
      <c r="T22" s="369" t="str">
        <f ca="1">IF($B22&lt;&gt;"PRC_RESID","",IF(T$7=2005+OFFSET(COM_N_2012!$B$60,$AW22,SUMIF($B$10:$B$16,"NCAP_TLIFE",$AX$10:$AX$16)),0,""))</f>
        <v/>
      </c>
      <c r="U22" s="369" t="str">
        <f ca="1">IF($B22&lt;&gt;"PRC_RESID","",IF(U$7=2005+OFFSET(COM_N_2012!$B$60,$AW22,SUMIF($B$10:$B$16,"NCAP_TLIFE",$AX$10:$AX$16)),0,""))</f>
        <v/>
      </c>
      <c r="V22" s="369" t="str">
        <f ca="1">IF($B22&lt;&gt;"PRC_RESID","",IF(V$7=2005+OFFSET(COM_N_2012!$B$60,$AW22,SUMIF($B$10:$B$16,"NCAP_TLIFE",$AX$10:$AX$16)),0,""))</f>
        <v/>
      </c>
      <c r="W22" s="369" t="str">
        <f ca="1">IF($B22&lt;&gt;"PRC_RESID","",IF(W$7=2005+OFFSET(COM_N_2012!$B$60,$AW22,SUMIF($B$10:$B$16,"NCAP_TLIFE",$AX$10:$AX$16)),0,""))</f>
        <v/>
      </c>
      <c r="X22" s="369" t="str">
        <f ca="1">IF($B22&lt;&gt;"PRC_RESID","",IF(X$7=2005+OFFSET(COM_N_2012!$B$60,$AW22,SUMIF($B$10:$B$16,"NCAP_TLIFE",$AX$10:$AX$16)),0,""))</f>
        <v/>
      </c>
      <c r="Y22" s="369" t="str">
        <f ca="1">IF($B22&lt;&gt;"PRC_RESID","",IF(Y$7=2005+OFFSET(COM_N_2012!$B$60,$AW22,SUMIF($B$10:$B$16,"NCAP_TLIFE",$AX$10:$AX$16)),0,""))</f>
        <v/>
      </c>
      <c r="Z22" s="369" t="str">
        <f ca="1">IF($B22&lt;&gt;"PRC_RESID","",IF(Z$7=2005+OFFSET(COM_N_2012!$B$60,$AW22,SUMIF($B$10:$B$16,"NCAP_TLIFE",$AX$10:$AX$16)),0,""))</f>
        <v/>
      </c>
      <c r="AA22" s="369" t="str">
        <f ca="1">IF($B22&lt;&gt;"PRC_RESID","",IF(AA$7=2005+OFFSET(COM_N_2012!$B$60,$AW22,SUMIF($B$10:$B$16,"NCAP_TLIFE",$AX$10:$AX$16)),0,""))</f>
        <v/>
      </c>
      <c r="AB22" s="369" t="str">
        <f ca="1">IF($B22&lt;&gt;"PRC_RESID","",IF(AB$7=2005+OFFSET(COM_N_2012!$B$60,$AW22,SUMIF($B$10:$B$16,"NCAP_TLIFE",$AX$10:$AX$16)),0,""))</f>
        <v/>
      </c>
      <c r="AC22" s="369" t="str">
        <f ca="1">IF($B22&lt;&gt;"PRC_RESID","",IF(AC$7=2005+OFFSET(COM_N_2012!$B$60,$AW22,SUMIF($B$10:$B$16,"NCAP_TLIFE",$AX$10:$AX$16)),0,""))</f>
        <v/>
      </c>
      <c r="AD22" s="369" t="str">
        <f ca="1">IF($B22&lt;&gt;"PRC_RESID","",IF(AD$7=2005+OFFSET(COM_N_2012!$B$60,$AW22,SUMIF($B$10:$B$16,"NCAP_TLIFE",$AX$10:$AX$16)),0,""))</f>
        <v/>
      </c>
      <c r="AE22" s="369" t="str">
        <f ca="1">IF($B22&lt;&gt;"PRC_RESID","",IF(AE$7=2005+OFFSET(COM_N_2012!$B$60,$AW22,SUMIF($B$10:$B$16,"NCAP_TLIFE",$AX$10:$AX$16)),0,""))</f>
        <v/>
      </c>
      <c r="AF22" s="369" t="str">
        <f ca="1">IF($B22&lt;&gt;"PRC_RESID","",IF(AF$7=2005+OFFSET(COM_N_2012!$B$60,$AW22,SUMIF($B$10:$B$16,"NCAP_TLIFE",$AX$10:$AX$16)),0,""))</f>
        <v/>
      </c>
      <c r="AG22" s="369" t="str">
        <f ca="1">IF($B22&lt;&gt;"PRC_RESID","",IF(AG$7=2005+OFFSET(COM_N_2012!$B$60,$AW22,SUMIF($B$10:$B$16,"NCAP_TLIFE",$AX$10:$AX$16)),0,""))</f>
        <v/>
      </c>
      <c r="AH22" s="369" t="str">
        <f ca="1">IF($B22&lt;&gt;"PRC_RESID","",IF(AH$7=2005+OFFSET(COM_N_2012!$B$60,$AW22,SUMIF($B$10:$B$16,"NCAP_TLIFE",$AX$10:$AX$16)),0,""))</f>
        <v/>
      </c>
      <c r="AI22" s="369" t="str">
        <f ca="1">IF($B22&lt;&gt;"PRC_RESID","",IF(AI$7=2005+OFFSET(COM_N_2012!$B$60,$AW22,SUMIF($B$10:$B$16,"NCAP_TLIFE",$AX$10:$AX$16)),0,""))</f>
        <v/>
      </c>
      <c r="AJ22" s="369" t="str">
        <f ca="1">IF($B22&lt;&gt;"PRC_RESID","",IF(AJ$7=2005+OFFSET(COM_N_2012!$B$60,$AW22,SUMIF($B$10:$B$16,"NCAP_TLIFE",$AX$10:$AX$16)),0,""))</f>
        <v/>
      </c>
      <c r="AK22" s="369" t="str">
        <f ca="1">IF($B22&lt;&gt;"PRC_RESID","",IF(AK$7=2005+OFFSET(COM_N_2012!$B$60,$AW22,SUMIF($B$10:$B$16,"NCAP_TLIFE",$AX$10:$AX$16)),0,""))</f>
        <v/>
      </c>
      <c r="AL22" s="369" t="str">
        <f ca="1">IF($B22&lt;&gt;"PRC_RESID","",IF(AL$7=2005+OFFSET(COM_N_2012!$B$60,$AW22,SUMIF($B$10:$B$16,"NCAP_TLIFE",$AX$10:$AX$16)),0,""))</f>
        <v/>
      </c>
      <c r="AM22" s="369" t="str">
        <f ca="1">IF($B22&lt;&gt;"PRC_RESID","",IF(AM$7=2005+OFFSET(COM_N_2012!$B$60,$AW22,SUMIF($B$10:$B$16,"NCAP_TLIFE",$AX$10:$AX$16)),0,""))</f>
        <v/>
      </c>
      <c r="AN22" s="369" t="str">
        <f ca="1">IF($B22&lt;&gt;"PRC_RESID","",IF(AN$7=2005+OFFSET(COM_N_2012!$B$60,$AW22,SUMIF($B$10:$B$16,"NCAP_TLIFE",$AX$10:$AX$16)),0,""))</f>
        <v/>
      </c>
      <c r="AO22" s="369" t="str">
        <f ca="1">IF($B22&lt;&gt;"PRC_RESID","",IF(AO$7=2005+OFFSET(COM_N_2012!$B$60,$AW22,SUMIF($B$10:$B$16,"NCAP_TLIFE",$AX$10:$AX$16)),0,""))</f>
        <v/>
      </c>
      <c r="AP22" s="369" t="str">
        <f ca="1">IF($B22&lt;&gt;"PRC_RESID","",IF(AP$7=2005+OFFSET(COM_N_2012!$B$60,$AW22,SUMIF($B$10:$B$16,"NCAP_TLIFE",$AX$10:$AX$16)),0,""))</f>
        <v/>
      </c>
      <c r="AQ22" s="369" t="str">
        <f ca="1">IF($B22&lt;&gt;"PRC_RESID","",IF(AQ$7=2005+OFFSET(COM_N_2012!$B$60,$AW22,SUMIF($B$10:$B$16,"NCAP_TLIFE",$AX$10:$AX$16)),0,""))</f>
        <v/>
      </c>
      <c r="AR22" s="369" t="str">
        <f ca="1">IF($B22&lt;&gt;"PRC_RESID","",IF(AR$7=2005+OFFSET(COM_N_2012!$B$60,$AW22,SUMIF($B$10:$B$16,"NCAP_TLIFE",$AX$10:$AX$16)),0,""))</f>
        <v/>
      </c>
      <c r="AS22" s="369" t="str">
        <f ca="1">IF($B22&lt;&gt;"PRC_RESID","",IF(AS$7=2005+OFFSET(COM_N_2012!$B$60,$AW22,SUMIF($B$10:$B$16,"NCAP_TLIFE",$AX$10:$AX$16)),0,""))</f>
        <v/>
      </c>
      <c r="AT22" s="369" t="str">
        <f ca="1">IF($B22&lt;&gt;"PRC_RESID","",IF(AT$7=2005+OFFSET(COM_N_2012!$B$60,$AW22,SUMIF($B$10:$B$16,"NCAP_TLIFE",$AX$10:$AX$16)),0,""))</f>
        <v/>
      </c>
      <c r="AU22" s="369" t="str">
        <f ca="1">IF($B22&lt;&gt;"PRC_RESID","",IF(AU$7=2005+OFFSET(COM_N_2012!$B$60,$AW22,SUMIF($B$10:$B$16,"NCAP_TLIFE",$AX$10:$AX$16)),0,""))</f>
        <v/>
      </c>
      <c r="AV22" s="304">
        <f>IF(AW21=COM_N_2012!$AK$121,AV21+1,AV21)</f>
        <v>1</v>
      </c>
      <c r="AW22" s="304">
        <f t="shared" si="4"/>
        <v>5</v>
      </c>
    </row>
    <row r="23" spans="1:49">
      <c r="A23" s="304" t="str">
        <f ca="1">IF(LEFT(OFFSET(COM_N_2012!$A$60,AW23,0),2)="\I","*","")</f>
        <v/>
      </c>
      <c r="B23" s="369" t="str">
        <f t="shared" ca="1" si="2"/>
        <v>ACT_EFF</v>
      </c>
      <c r="C23" s="369" t="str">
        <f ca="1">IF($A23="*","",OFFSET(COM_N_2012!$B$60,AW23,0))</f>
        <v>CNCELCHP-N</v>
      </c>
      <c r="D23" s="369" t="str">
        <f t="shared" ca="1" si="3"/>
        <v>-</v>
      </c>
      <c r="E23" s="369" t="str">
        <f t="shared" ca="1" si="3"/>
        <v>ACTGRP</v>
      </c>
      <c r="F23" s="369" t="str">
        <f t="shared" ca="1" si="3"/>
        <v>-</v>
      </c>
      <c r="G23" s="369" t="str">
        <f t="shared" ca="1" si="3"/>
        <v>ANNUAL</v>
      </c>
      <c r="H23" s="369" t="str">
        <f t="shared" ca="1" si="3"/>
        <v>-</v>
      </c>
      <c r="I23" s="370">
        <f t="shared" ca="1" si="3"/>
        <v>0</v>
      </c>
      <c r="J23" s="391">
        <f ca="1">IF($A23="*","",OFFSET(COM_N_2012!$B$60,AW23,SUMIF($B$10:$B$16,B23,$AX$10:$AX$16)))</f>
        <v>3.2386363636363633</v>
      </c>
      <c r="K23" s="369" t="str">
        <f ca="1">IF($B23&lt;&gt;"PRC_RESID","",IF(K$7=2005+OFFSET(COM_N_2012!$B$60,$AW23,SUMIF($B$10:$B$16,"NCAP_TLIFE",$AX$10:$AX$16)),0,""))</f>
        <v/>
      </c>
      <c r="L23" s="369" t="str">
        <f ca="1">IF($B23&lt;&gt;"PRC_RESID","",IF(L$7=2005+OFFSET(COM_N_2012!$B$60,$AW23,SUMIF($B$10:$B$16,"NCAP_TLIFE",$AX$10:$AX$16)),0,""))</f>
        <v/>
      </c>
      <c r="M23" s="369" t="str">
        <f ca="1">IF($B23&lt;&gt;"PRC_RESID","",IF(M$7=2005+OFFSET(COM_N_2012!$B$60,$AW23,SUMIF($B$10:$B$16,"NCAP_TLIFE",$AX$10:$AX$16)),0,""))</f>
        <v/>
      </c>
      <c r="N23" s="369" t="str">
        <f ca="1">IF($B23&lt;&gt;"PRC_RESID","",IF(N$7=2005+OFFSET(COM_N_2012!$B$60,$AW23,SUMIF($B$10:$B$16,"NCAP_TLIFE",$AX$10:$AX$16)),0,""))</f>
        <v/>
      </c>
      <c r="O23" s="369" t="str">
        <f ca="1">IF($B23&lt;&gt;"PRC_RESID","",IF(O$7=2005+OFFSET(COM_N_2012!$B$60,$AW23,SUMIF($B$10:$B$16,"NCAP_TLIFE",$AX$10:$AX$16)),0,""))</f>
        <v/>
      </c>
      <c r="P23" s="369" t="str">
        <f ca="1">IF($B23&lt;&gt;"PRC_RESID","",IF(P$7=2005+OFFSET(COM_N_2012!$B$60,$AW23,SUMIF($B$10:$B$16,"NCAP_TLIFE",$AX$10:$AX$16)),0,""))</f>
        <v/>
      </c>
      <c r="Q23" s="369" t="str">
        <f ca="1">IF($B23&lt;&gt;"PRC_RESID","",IF(Q$7=2005+OFFSET(COM_N_2012!$B$60,$AW23,SUMIF($B$10:$B$16,"NCAP_TLIFE",$AX$10:$AX$16)),0,""))</f>
        <v/>
      </c>
      <c r="R23" s="369" t="str">
        <f ca="1">IF($B23&lt;&gt;"PRC_RESID","",IF(R$7=2005+OFFSET(COM_N_2012!$B$60,$AW23,SUMIF($B$10:$B$16,"NCAP_TLIFE",$AX$10:$AX$16)),0,""))</f>
        <v/>
      </c>
      <c r="S23" s="369" t="str">
        <f ca="1">IF($B23&lt;&gt;"PRC_RESID","",IF(S$7=2005+OFFSET(COM_N_2012!$B$60,$AW23,SUMIF($B$10:$B$16,"NCAP_TLIFE",$AX$10:$AX$16)),0,""))</f>
        <v/>
      </c>
      <c r="T23" s="369" t="str">
        <f ca="1">IF($B23&lt;&gt;"PRC_RESID","",IF(T$7=2005+OFFSET(COM_N_2012!$B$60,$AW23,SUMIF($B$10:$B$16,"NCAP_TLIFE",$AX$10:$AX$16)),0,""))</f>
        <v/>
      </c>
      <c r="U23" s="369" t="str">
        <f ca="1">IF($B23&lt;&gt;"PRC_RESID","",IF(U$7=2005+OFFSET(COM_N_2012!$B$60,$AW23,SUMIF($B$10:$B$16,"NCAP_TLIFE",$AX$10:$AX$16)),0,""))</f>
        <v/>
      </c>
      <c r="V23" s="369" t="str">
        <f ca="1">IF($B23&lt;&gt;"PRC_RESID","",IF(V$7=2005+OFFSET(COM_N_2012!$B$60,$AW23,SUMIF($B$10:$B$16,"NCAP_TLIFE",$AX$10:$AX$16)),0,""))</f>
        <v/>
      </c>
      <c r="W23" s="369" t="str">
        <f ca="1">IF($B23&lt;&gt;"PRC_RESID","",IF(W$7=2005+OFFSET(COM_N_2012!$B$60,$AW23,SUMIF($B$10:$B$16,"NCAP_TLIFE",$AX$10:$AX$16)),0,""))</f>
        <v/>
      </c>
      <c r="X23" s="369" t="str">
        <f ca="1">IF($B23&lt;&gt;"PRC_RESID","",IF(X$7=2005+OFFSET(COM_N_2012!$B$60,$AW23,SUMIF($B$10:$B$16,"NCAP_TLIFE",$AX$10:$AX$16)),0,""))</f>
        <v/>
      </c>
      <c r="Y23" s="369" t="str">
        <f ca="1">IF($B23&lt;&gt;"PRC_RESID","",IF(Y$7=2005+OFFSET(COM_N_2012!$B$60,$AW23,SUMIF($B$10:$B$16,"NCAP_TLIFE",$AX$10:$AX$16)),0,""))</f>
        <v/>
      </c>
      <c r="Z23" s="369" t="str">
        <f ca="1">IF($B23&lt;&gt;"PRC_RESID","",IF(Z$7=2005+OFFSET(COM_N_2012!$B$60,$AW23,SUMIF($B$10:$B$16,"NCAP_TLIFE",$AX$10:$AX$16)),0,""))</f>
        <v/>
      </c>
      <c r="AA23" s="369" t="str">
        <f ca="1">IF($B23&lt;&gt;"PRC_RESID","",IF(AA$7=2005+OFFSET(COM_N_2012!$B$60,$AW23,SUMIF($B$10:$B$16,"NCAP_TLIFE",$AX$10:$AX$16)),0,""))</f>
        <v/>
      </c>
      <c r="AB23" s="369" t="str">
        <f ca="1">IF($B23&lt;&gt;"PRC_RESID","",IF(AB$7=2005+OFFSET(COM_N_2012!$B$60,$AW23,SUMIF($B$10:$B$16,"NCAP_TLIFE",$AX$10:$AX$16)),0,""))</f>
        <v/>
      </c>
      <c r="AC23" s="369" t="str">
        <f ca="1">IF($B23&lt;&gt;"PRC_RESID","",IF(AC$7=2005+OFFSET(COM_N_2012!$B$60,$AW23,SUMIF($B$10:$B$16,"NCAP_TLIFE",$AX$10:$AX$16)),0,""))</f>
        <v/>
      </c>
      <c r="AD23" s="369" t="str">
        <f ca="1">IF($B23&lt;&gt;"PRC_RESID","",IF(AD$7=2005+OFFSET(COM_N_2012!$B$60,$AW23,SUMIF($B$10:$B$16,"NCAP_TLIFE",$AX$10:$AX$16)),0,""))</f>
        <v/>
      </c>
      <c r="AE23" s="369" t="str">
        <f ca="1">IF($B23&lt;&gt;"PRC_RESID","",IF(AE$7=2005+OFFSET(COM_N_2012!$B$60,$AW23,SUMIF($B$10:$B$16,"NCAP_TLIFE",$AX$10:$AX$16)),0,""))</f>
        <v/>
      </c>
      <c r="AF23" s="369" t="str">
        <f ca="1">IF($B23&lt;&gt;"PRC_RESID","",IF(AF$7=2005+OFFSET(COM_N_2012!$B$60,$AW23,SUMIF($B$10:$B$16,"NCAP_TLIFE",$AX$10:$AX$16)),0,""))</f>
        <v/>
      </c>
      <c r="AG23" s="369" t="str">
        <f ca="1">IF($B23&lt;&gt;"PRC_RESID","",IF(AG$7=2005+OFFSET(COM_N_2012!$B$60,$AW23,SUMIF($B$10:$B$16,"NCAP_TLIFE",$AX$10:$AX$16)),0,""))</f>
        <v/>
      </c>
      <c r="AH23" s="369" t="str">
        <f ca="1">IF($B23&lt;&gt;"PRC_RESID","",IF(AH$7=2005+OFFSET(COM_N_2012!$B$60,$AW23,SUMIF($B$10:$B$16,"NCAP_TLIFE",$AX$10:$AX$16)),0,""))</f>
        <v/>
      </c>
      <c r="AI23" s="369" t="str">
        <f ca="1">IF($B23&lt;&gt;"PRC_RESID","",IF(AI$7=2005+OFFSET(COM_N_2012!$B$60,$AW23,SUMIF($B$10:$B$16,"NCAP_TLIFE",$AX$10:$AX$16)),0,""))</f>
        <v/>
      </c>
      <c r="AJ23" s="369" t="str">
        <f ca="1">IF($B23&lt;&gt;"PRC_RESID","",IF(AJ$7=2005+OFFSET(COM_N_2012!$B$60,$AW23,SUMIF($B$10:$B$16,"NCAP_TLIFE",$AX$10:$AX$16)),0,""))</f>
        <v/>
      </c>
      <c r="AK23" s="369" t="str">
        <f ca="1">IF($B23&lt;&gt;"PRC_RESID","",IF(AK$7=2005+OFFSET(COM_N_2012!$B$60,$AW23,SUMIF($B$10:$B$16,"NCAP_TLIFE",$AX$10:$AX$16)),0,""))</f>
        <v/>
      </c>
      <c r="AL23" s="369" t="str">
        <f ca="1">IF($B23&lt;&gt;"PRC_RESID","",IF(AL$7=2005+OFFSET(COM_N_2012!$B$60,$AW23,SUMIF($B$10:$B$16,"NCAP_TLIFE",$AX$10:$AX$16)),0,""))</f>
        <v/>
      </c>
      <c r="AM23" s="369" t="str">
        <f ca="1">IF($B23&lt;&gt;"PRC_RESID","",IF(AM$7=2005+OFFSET(COM_N_2012!$B$60,$AW23,SUMIF($B$10:$B$16,"NCAP_TLIFE",$AX$10:$AX$16)),0,""))</f>
        <v/>
      </c>
      <c r="AN23" s="369" t="str">
        <f ca="1">IF($B23&lt;&gt;"PRC_RESID","",IF(AN$7=2005+OFFSET(COM_N_2012!$B$60,$AW23,SUMIF($B$10:$B$16,"NCAP_TLIFE",$AX$10:$AX$16)),0,""))</f>
        <v/>
      </c>
      <c r="AO23" s="369" t="str">
        <f ca="1">IF($B23&lt;&gt;"PRC_RESID","",IF(AO$7=2005+OFFSET(COM_N_2012!$B$60,$AW23,SUMIF($B$10:$B$16,"NCAP_TLIFE",$AX$10:$AX$16)),0,""))</f>
        <v/>
      </c>
      <c r="AP23" s="369" t="str">
        <f ca="1">IF($B23&lt;&gt;"PRC_RESID","",IF(AP$7=2005+OFFSET(COM_N_2012!$B$60,$AW23,SUMIF($B$10:$B$16,"NCAP_TLIFE",$AX$10:$AX$16)),0,""))</f>
        <v/>
      </c>
      <c r="AQ23" s="369" t="str">
        <f ca="1">IF($B23&lt;&gt;"PRC_RESID","",IF(AQ$7=2005+OFFSET(COM_N_2012!$B$60,$AW23,SUMIF($B$10:$B$16,"NCAP_TLIFE",$AX$10:$AX$16)),0,""))</f>
        <v/>
      </c>
      <c r="AR23" s="369" t="str">
        <f ca="1">IF($B23&lt;&gt;"PRC_RESID","",IF(AR$7=2005+OFFSET(COM_N_2012!$B$60,$AW23,SUMIF($B$10:$B$16,"NCAP_TLIFE",$AX$10:$AX$16)),0,""))</f>
        <v/>
      </c>
      <c r="AS23" s="369" t="str">
        <f ca="1">IF($B23&lt;&gt;"PRC_RESID","",IF(AS$7=2005+OFFSET(COM_N_2012!$B$60,$AW23,SUMIF($B$10:$B$16,"NCAP_TLIFE",$AX$10:$AX$16)),0,""))</f>
        <v/>
      </c>
      <c r="AT23" s="369" t="str">
        <f ca="1">IF($B23&lt;&gt;"PRC_RESID","",IF(AT$7=2005+OFFSET(COM_N_2012!$B$60,$AW23,SUMIF($B$10:$B$16,"NCAP_TLIFE",$AX$10:$AX$16)),0,""))</f>
        <v/>
      </c>
      <c r="AU23" s="369" t="str">
        <f ca="1">IF($B23&lt;&gt;"PRC_RESID","",IF(AU$7=2005+OFFSET(COM_N_2012!$B$60,$AW23,SUMIF($B$10:$B$16,"NCAP_TLIFE",$AX$10:$AX$16)),0,""))</f>
        <v/>
      </c>
      <c r="AV23" s="304">
        <f>IF(AW22=COM_N_2012!$AK$121,AV22+1,AV22)</f>
        <v>1</v>
      </c>
      <c r="AW23" s="304">
        <f t="shared" si="4"/>
        <v>6</v>
      </c>
    </row>
    <row r="24" spans="1:49">
      <c r="A24" s="304" t="str">
        <f ca="1">IF(LEFT(OFFSET(COM_N_2012!$A$60,AW24,0),2)="\I","*","")</f>
        <v>*</v>
      </c>
      <c r="B24" s="369" t="str">
        <f t="shared" ca="1" si="2"/>
        <v/>
      </c>
      <c r="C24" s="369" t="str">
        <f ca="1">IF($A24="*","",OFFSET(COM_N_2012!$B$60,AW24,0))</f>
        <v/>
      </c>
      <c r="D24" s="369" t="str">
        <f t="shared" ca="1" si="3"/>
        <v/>
      </c>
      <c r="E24" s="369" t="str">
        <f t="shared" ca="1" si="3"/>
        <v/>
      </c>
      <c r="F24" s="369" t="str">
        <f t="shared" ca="1" si="3"/>
        <v/>
      </c>
      <c r="G24" s="369" t="str">
        <f t="shared" ca="1" si="3"/>
        <v/>
      </c>
      <c r="H24" s="369" t="str">
        <f t="shared" ca="1" si="3"/>
        <v/>
      </c>
      <c r="I24" s="370" t="str">
        <f t="shared" ca="1" si="3"/>
        <v/>
      </c>
      <c r="J24" s="391" t="str">
        <f ca="1">IF($A24="*","",OFFSET(COM_N_2012!$B$60,AW24,SUMIF($B$10:$B$16,B24,$AX$10:$AX$16)))</f>
        <v/>
      </c>
      <c r="K24" s="369" t="str">
        <f ca="1">IF($B24&lt;&gt;"PRC_RESID","",IF(K$7=2005+OFFSET(COM_N_2012!$B$60,$AW24,SUMIF($B$10:$B$16,"NCAP_TLIFE",$AX$10:$AX$16)),0,""))</f>
        <v/>
      </c>
      <c r="L24" s="369" t="str">
        <f ca="1">IF($B24&lt;&gt;"PRC_RESID","",IF(L$7=2005+OFFSET(COM_N_2012!$B$60,$AW24,SUMIF($B$10:$B$16,"NCAP_TLIFE",$AX$10:$AX$16)),0,""))</f>
        <v/>
      </c>
      <c r="M24" s="369" t="str">
        <f ca="1">IF($B24&lt;&gt;"PRC_RESID","",IF(M$7=2005+OFFSET(COM_N_2012!$B$60,$AW24,SUMIF($B$10:$B$16,"NCAP_TLIFE",$AX$10:$AX$16)),0,""))</f>
        <v/>
      </c>
      <c r="N24" s="369" t="str">
        <f ca="1">IF($B24&lt;&gt;"PRC_RESID","",IF(N$7=2005+OFFSET(COM_N_2012!$B$60,$AW24,SUMIF($B$10:$B$16,"NCAP_TLIFE",$AX$10:$AX$16)),0,""))</f>
        <v/>
      </c>
      <c r="O24" s="369" t="str">
        <f ca="1">IF($B24&lt;&gt;"PRC_RESID","",IF(O$7=2005+OFFSET(COM_N_2012!$B$60,$AW24,SUMIF($B$10:$B$16,"NCAP_TLIFE",$AX$10:$AX$16)),0,""))</f>
        <v/>
      </c>
      <c r="P24" s="369" t="str">
        <f ca="1">IF($B24&lt;&gt;"PRC_RESID","",IF(P$7=2005+OFFSET(COM_N_2012!$B$60,$AW24,SUMIF($B$10:$B$16,"NCAP_TLIFE",$AX$10:$AX$16)),0,""))</f>
        <v/>
      </c>
      <c r="Q24" s="369" t="str">
        <f ca="1">IF($B24&lt;&gt;"PRC_RESID","",IF(Q$7=2005+OFFSET(COM_N_2012!$B$60,$AW24,SUMIF($B$10:$B$16,"NCAP_TLIFE",$AX$10:$AX$16)),0,""))</f>
        <v/>
      </c>
      <c r="R24" s="369" t="str">
        <f ca="1">IF($B24&lt;&gt;"PRC_RESID","",IF(R$7=2005+OFFSET(COM_N_2012!$B$60,$AW24,SUMIF($B$10:$B$16,"NCAP_TLIFE",$AX$10:$AX$16)),0,""))</f>
        <v/>
      </c>
      <c r="S24" s="369" t="str">
        <f ca="1">IF($B24&lt;&gt;"PRC_RESID","",IF(S$7=2005+OFFSET(COM_N_2012!$B$60,$AW24,SUMIF($B$10:$B$16,"NCAP_TLIFE",$AX$10:$AX$16)),0,""))</f>
        <v/>
      </c>
      <c r="T24" s="369" t="str">
        <f ca="1">IF($B24&lt;&gt;"PRC_RESID","",IF(T$7=2005+OFFSET(COM_N_2012!$B$60,$AW24,SUMIF($B$10:$B$16,"NCAP_TLIFE",$AX$10:$AX$16)),0,""))</f>
        <v/>
      </c>
      <c r="U24" s="369" t="str">
        <f ca="1">IF($B24&lt;&gt;"PRC_RESID","",IF(U$7=2005+OFFSET(COM_N_2012!$B$60,$AW24,SUMIF($B$10:$B$16,"NCAP_TLIFE",$AX$10:$AX$16)),0,""))</f>
        <v/>
      </c>
      <c r="V24" s="369" t="str">
        <f ca="1">IF($B24&lt;&gt;"PRC_RESID","",IF(V$7=2005+OFFSET(COM_N_2012!$B$60,$AW24,SUMIF($B$10:$B$16,"NCAP_TLIFE",$AX$10:$AX$16)),0,""))</f>
        <v/>
      </c>
      <c r="W24" s="369" t="str">
        <f ca="1">IF($B24&lt;&gt;"PRC_RESID","",IF(W$7=2005+OFFSET(COM_N_2012!$B$60,$AW24,SUMIF($B$10:$B$16,"NCAP_TLIFE",$AX$10:$AX$16)),0,""))</f>
        <v/>
      </c>
      <c r="X24" s="369" t="str">
        <f ca="1">IF($B24&lt;&gt;"PRC_RESID","",IF(X$7=2005+OFFSET(COM_N_2012!$B$60,$AW24,SUMIF($B$10:$B$16,"NCAP_TLIFE",$AX$10:$AX$16)),0,""))</f>
        <v/>
      </c>
      <c r="Y24" s="369" t="str">
        <f ca="1">IF($B24&lt;&gt;"PRC_RESID","",IF(Y$7=2005+OFFSET(COM_N_2012!$B$60,$AW24,SUMIF($B$10:$B$16,"NCAP_TLIFE",$AX$10:$AX$16)),0,""))</f>
        <v/>
      </c>
      <c r="Z24" s="369" t="str">
        <f ca="1">IF($B24&lt;&gt;"PRC_RESID","",IF(Z$7=2005+OFFSET(COM_N_2012!$B$60,$AW24,SUMIF($B$10:$B$16,"NCAP_TLIFE",$AX$10:$AX$16)),0,""))</f>
        <v/>
      </c>
      <c r="AA24" s="369" t="str">
        <f ca="1">IF($B24&lt;&gt;"PRC_RESID","",IF(AA$7=2005+OFFSET(COM_N_2012!$B$60,$AW24,SUMIF($B$10:$B$16,"NCAP_TLIFE",$AX$10:$AX$16)),0,""))</f>
        <v/>
      </c>
      <c r="AB24" s="369" t="str">
        <f ca="1">IF($B24&lt;&gt;"PRC_RESID","",IF(AB$7=2005+OFFSET(COM_N_2012!$B$60,$AW24,SUMIF($B$10:$B$16,"NCAP_TLIFE",$AX$10:$AX$16)),0,""))</f>
        <v/>
      </c>
      <c r="AC24" s="369" t="str">
        <f ca="1">IF($B24&lt;&gt;"PRC_RESID","",IF(AC$7=2005+OFFSET(COM_N_2012!$B$60,$AW24,SUMIF($B$10:$B$16,"NCAP_TLIFE",$AX$10:$AX$16)),0,""))</f>
        <v/>
      </c>
      <c r="AD24" s="369" t="str">
        <f ca="1">IF($B24&lt;&gt;"PRC_RESID","",IF(AD$7=2005+OFFSET(COM_N_2012!$B$60,$AW24,SUMIF($B$10:$B$16,"NCAP_TLIFE",$AX$10:$AX$16)),0,""))</f>
        <v/>
      </c>
      <c r="AE24" s="369" t="str">
        <f ca="1">IF($B24&lt;&gt;"PRC_RESID","",IF(AE$7=2005+OFFSET(COM_N_2012!$B$60,$AW24,SUMIF($B$10:$B$16,"NCAP_TLIFE",$AX$10:$AX$16)),0,""))</f>
        <v/>
      </c>
      <c r="AF24" s="369" t="str">
        <f ca="1">IF($B24&lt;&gt;"PRC_RESID","",IF(AF$7=2005+OFFSET(COM_N_2012!$B$60,$AW24,SUMIF($B$10:$B$16,"NCAP_TLIFE",$AX$10:$AX$16)),0,""))</f>
        <v/>
      </c>
      <c r="AG24" s="369" t="str">
        <f ca="1">IF($B24&lt;&gt;"PRC_RESID","",IF(AG$7=2005+OFFSET(COM_N_2012!$B$60,$AW24,SUMIF($B$10:$B$16,"NCAP_TLIFE",$AX$10:$AX$16)),0,""))</f>
        <v/>
      </c>
      <c r="AH24" s="369" t="str">
        <f ca="1">IF($B24&lt;&gt;"PRC_RESID","",IF(AH$7=2005+OFFSET(COM_N_2012!$B$60,$AW24,SUMIF($B$10:$B$16,"NCAP_TLIFE",$AX$10:$AX$16)),0,""))</f>
        <v/>
      </c>
      <c r="AI24" s="369" t="str">
        <f ca="1">IF($B24&lt;&gt;"PRC_RESID","",IF(AI$7=2005+OFFSET(COM_N_2012!$B$60,$AW24,SUMIF($B$10:$B$16,"NCAP_TLIFE",$AX$10:$AX$16)),0,""))</f>
        <v/>
      </c>
      <c r="AJ24" s="369" t="str">
        <f ca="1">IF($B24&lt;&gt;"PRC_RESID","",IF(AJ$7=2005+OFFSET(COM_N_2012!$B$60,$AW24,SUMIF($B$10:$B$16,"NCAP_TLIFE",$AX$10:$AX$16)),0,""))</f>
        <v/>
      </c>
      <c r="AK24" s="369" t="str">
        <f ca="1">IF($B24&lt;&gt;"PRC_RESID","",IF(AK$7=2005+OFFSET(COM_N_2012!$B$60,$AW24,SUMIF($B$10:$B$16,"NCAP_TLIFE",$AX$10:$AX$16)),0,""))</f>
        <v/>
      </c>
      <c r="AL24" s="369" t="str">
        <f ca="1">IF($B24&lt;&gt;"PRC_RESID","",IF(AL$7=2005+OFFSET(COM_N_2012!$B$60,$AW24,SUMIF($B$10:$B$16,"NCAP_TLIFE",$AX$10:$AX$16)),0,""))</f>
        <v/>
      </c>
      <c r="AM24" s="369" t="str">
        <f ca="1">IF($B24&lt;&gt;"PRC_RESID","",IF(AM$7=2005+OFFSET(COM_N_2012!$B$60,$AW24,SUMIF($B$10:$B$16,"NCAP_TLIFE",$AX$10:$AX$16)),0,""))</f>
        <v/>
      </c>
      <c r="AN24" s="369" t="str">
        <f ca="1">IF($B24&lt;&gt;"PRC_RESID","",IF(AN$7=2005+OFFSET(COM_N_2012!$B$60,$AW24,SUMIF($B$10:$B$16,"NCAP_TLIFE",$AX$10:$AX$16)),0,""))</f>
        <v/>
      </c>
      <c r="AO24" s="369" t="str">
        <f ca="1">IF($B24&lt;&gt;"PRC_RESID","",IF(AO$7=2005+OFFSET(COM_N_2012!$B$60,$AW24,SUMIF($B$10:$B$16,"NCAP_TLIFE",$AX$10:$AX$16)),0,""))</f>
        <v/>
      </c>
      <c r="AP24" s="369" t="str">
        <f ca="1">IF($B24&lt;&gt;"PRC_RESID","",IF(AP$7=2005+OFFSET(COM_N_2012!$B$60,$AW24,SUMIF($B$10:$B$16,"NCAP_TLIFE",$AX$10:$AX$16)),0,""))</f>
        <v/>
      </c>
      <c r="AQ24" s="369" t="str">
        <f ca="1">IF($B24&lt;&gt;"PRC_RESID","",IF(AQ$7=2005+OFFSET(COM_N_2012!$B$60,$AW24,SUMIF($B$10:$B$16,"NCAP_TLIFE",$AX$10:$AX$16)),0,""))</f>
        <v/>
      </c>
      <c r="AR24" s="369" t="str">
        <f ca="1">IF($B24&lt;&gt;"PRC_RESID","",IF(AR$7=2005+OFFSET(COM_N_2012!$B$60,$AW24,SUMIF($B$10:$B$16,"NCAP_TLIFE",$AX$10:$AX$16)),0,""))</f>
        <v/>
      </c>
      <c r="AS24" s="369" t="str">
        <f ca="1">IF($B24&lt;&gt;"PRC_RESID","",IF(AS$7=2005+OFFSET(COM_N_2012!$B$60,$AW24,SUMIF($B$10:$B$16,"NCAP_TLIFE",$AX$10:$AX$16)),0,""))</f>
        <v/>
      </c>
      <c r="AT24" s="369" t="str">
        <f ca="1">IF($B24&lt;&gt;"PRC_RESID","",IF(AT$7=2005+OFFSET(COM_N_2012!$B$60,$AW24,SUMIF($B$10:$B$16,"NCAP_TLIFE",$AX$10:$AX$16)),0,""))</f>
        <v/>
      </c>
      <c r="AU24" s="369" t="str">
        <f ca="1">IF($B24&lt;&gt;"PRC_RESID","",IF(AU$7=2005+OFFSET(COM_N_2012!$B$60,$AW24,SUMIF($B$10:$B$16,"NCAP_TLIFE",$AX$10:$AX$16)),0,""))</f>
        <v/>
      </c>
      <c r="AV24" s="304">
        <f>IF(AW23=COM_N_2012!$AK$121,AV23+1,AV23)</f>
        <v>1</v>
      </c>
      <c r="AW24" s="304">
        <f t="shared" si="4"/>
        <v>7</v>
      </c>
    </row>
    <row r="25" spans="1:49">
      <c r="A25" s="304" t="str">
        <f ca="1">IF(LEFT(OFFSET(COM_N_2012!$A$60,AW25,0),2)="\I","*","")</f>
        <v>*</v>
      </c>
      <c r="B25" s="369" t="str">
        <f t="shared" ca="1" si="2"/>
        <v/>
      </c>
      <c r="C25" s="369" t="str">
        <f ca="1">IF($A25="*","",OFFSET(COM_N_2012!$B$60,AW25,0))</f>
        <v/>
      </c>
      <c r="D25" s="369" t="str">
        <f t="shared" ca="1" si="3"/>
        <v/>
      </c>
      <c r="E25" s="369" t="str">
        <f t="shared" ca="1" si="3"/>
        <v/>
      </c>
      <c r="F25" s="369" t="str">
        <f t="shared" ca="1" si="3"/>
        <v/>
      </c>
      <c r="G25" s="369" t="str">
        <f t="shared" ca="1" si="3"/>
        <v/>
      </c>
      <c r="H25" s="369" t="str">
        <f t="shared" ca="1" si="3"/>
        <v/>
      </c>
      <c r="I25" s="370" t="str">
        <f t="shared" ca="1" si="3"/>
        <v/>
      </c>
      <c r="J25" s="391" t="str">
        <f ca="1">IF($A25="*","",OFFSET(COM_N_2012!$B$60,AW25,SUMIF($B$10:$B$16,B25,$AX$10:$AX$16)))</f>
        <v/>
      </c>
      <c r="K25" s="369" t="str">
        <f ca="1">IF($B25&lt;&gt;"PRC_RESID","",IF(K$7=2005+OFFSET(COM_N_2012!$B$60,$AW25,SUMIF($B$10:$B$16,"NCAP_TLIFE",$AX$10:$AX$16)),0,""))</f>
        <v/>
      </c>
      <c r="L25" s="369" t="str">
        <f ca="1">IF($B25&lt;&gt;"PRC_RESID","",IF(L$7=2005+OFFSET(COM_N_2012!$B$60,$AW25,SUMIF($B$10:$B$16,"NCAP_TLIFE",$AX$10:$AX$16)),0,""))</f>
        <v/>
      </c>
      <c r="M25" s="369" t="str">
        <f ca="1">IF($B25&lt;&gt;"PRC_RESID","",IF(M$7=2005+OFFSET(COM_N_2012!$B$60,$AW25,SUMIF($B$10:$B$16,"NCAP_TLIFE",$AX$10:$AX$16)),0,""))</f>
        <v/>
      </c>
      <c r="N25" s="369" t="str">
        <f ca="1">IF($B25&lt;&gt;"PRC_RESID","",IF(N$7=2005+OFFSET(COM_N_2012!$B$60,$AW25,SUMIF($B$10:$B$16,"NCAP_TLIFE",$AX$10:$AX$16)),0,""))</f>
        <v/>
      </c>
      <c r="O25" s="369" t="str">
        <f ca="1">IF($B25&lt;&gt;"PRC_RESID","",IF(O$7=2005+OFFSET(COM_N_2012!$B$60,$AW25,SUMIF($B$10:$B$16,"NCAP_TLIFE",$AX$10:$AX$16)),0,""))</f>
        <v/>
      </c>
      <c r="P25" s="369" t="str">
        <f ca="1">IF($B25&lt;&gt;"PRC_RESID","",IF(P$7=2005+OFFSET(COM_N_2012!$B$60,$AW25,SUMIF($B$10:$B$16,"NCAP_TLIFE",$AX$10:$AX$16)),0,""))</f>
        <v/>
      </c>
      <c r="Q25" s="369" t="str">
        <f ca="1">IF($B25&lt;&gt;"PRC_RESID","",IF(Q$7=2005+OFFSET(COM_N_2012!$B$60,$AW25,SUMIF($B$10:$B$16,"NCAP_TLIFE",$AX$10:$AX$16)),0,""))</f>
        <v/>
      </c>
      <c r="R25" s="369" t="str">
        <f ca="1">IF($B25&lt;&gt;"PRC_RESID","",IF(R$7=2005+OFFSET(COM_N_2012!$B$60,$AW25,SUMIF($B$10:$B$16,"NCAP_TLIFE",$AX$10:$AX$16)),0,""))</f>
        <v/>
      </c>
      <c r="S25" s="369" t="str">
        <f ca="1">IF($B25&lt;&gt;"PRC_RESID","",IF(S$7=2005+OFFSET(COM_N_2012!$B$60,$AW25,SUMIF($B$10:$B$16,"NCAP_TLIFE",$AX$10:$AX$16)),0,""))</f>
        <v/>
      </c>
      <c r="T25" s="369" t="str">
        <f ca="1">IF($B25&lt;&gt;"PRC_RESID","",IF(T$7=2005+OFFSET(COM_N_2012!$B$60,$AW25,SUMIF($B$10:$B$16,"NCAP_TLIFE",$AX$10:$AX$16)),0,""))</f>
        <v/>
      </c>
      <c r="U25" s="369" t="str">
        <f ca="1">IF($B25&lt;&gt;"PRC_RESID","",IF(U$7=2005+OFFSET(COM_N_2012!$B$60,$AW25,SUMIF($B$10:$B$16,"NCAP_TLIFE",$AX$10:$AX$16)),0,""))</f>
        <v/>
      </c>
      <c r="V25" s="369" t="str">
        <f ca="1">IF($B25&lt;&gt;"PRC_RESID","",IF(V$7=2005+OFFSET(COM_N_2012!$B$60,$AW25,SUMIF($B$10:$B$16,"NCAP_TLIFE",$AX$10:$AX$16)),0,""))</f>
        <v/>
      </c>
      <c r="W25" s="369" t="str">
        <f ca="1">IF($B25&lt;&gt;"PRC_RESID","",IF(W$7=2005+OFFSET(COM_N_2012!$B$60,$AW25,SUMIF($B$10:$B$16,"NCAP_TLIFE",$AX$10:$AX$16)),0,""))</f>
        <v/>
      </c>
      <c r="X25" s="369" t="str">
        <f ca="1">IF($B25&lt;&gt;"PRC_RESID","",IF(X$7=2005+OFFSET(COM_N_2012!$B$60,$AW25,SUMIF($B$10:$B$16,"NCAP_TLIFE",$AX$10:$AX$16)),0,""))</f>
        <v/>
      </c>
      <c r="Y25" s="369" t="str">
        <f ca="1">IF($B25&lt;&gt;"PRC_RESID","",IF(Y$7=2005+OFFSET(COM_N_2012!$B$60,$AW25,SUMIF($B$10:$B$16,"NCAP_TLIFE",$AX$10:$AX$16)),0,""))</f>
        <v/>
      </c>
      <c r="Z25" s="369" t="str">
        <f ca="1">IF($B25&lt;&gt;"PRC_RESID","",IF(Z$7=2005+OFFSET(COM_N_2012!$B$60,$AW25,SUMIF($B$10:$B$16,"NCAP_TLIFE",$AX$10:$AX$16)),0,""))</f>
        <v/>
      </c>
      <c r="AA25" s="369" t="str">
        <f ca="1">IF($B25&lt;&gt;"PRC_RESID","",IF(AA$7=2005+OFFSET(COM_N_2012!$B$60,$AW25,SUMIF($B$10:$B$16,"NCAP_TLIFE",$AX$10:$AX$16)),0,""))</f>
        <v/>
      </c>
      <c r="AB25" s="369" t="str">
        <f ca="1">IF($B25&lt;&gt;"PRC_RESID","",IF(AB$7=2005+OFFSET(COM_N_2012!$B$60,$AW25,SUMIF($B$10:$B$16,"NCAP_TLIFE",$AX$10:$AX$16)),0,""))</f>
        <v/>
      </c>
      <c r="AC25" s="369" t="str">
        <f ca="1">IF($B25&lt;&gt;"PRC_RESID","",IF(AC$7=2005+OFFSET(COM_N_2012!$B$60,$AW25,SUMIF($B$10:$B$16,"NCAP_TLIFE",$AX$10:$AX$16)),0,""))</f>
        <v/>
      </c>
      <c r="AD25" s="369" t="str">
        <f ca="1">IF($B25&lt;&gt;"PRC_RESID","",IF(AD$7=2005+OFFSET(COM_N_2012!$B$60,$AW25,SUMIF($B$10:$B$16,"NCAP_TLIFE",$AX$10:$AX$16)),0,""))</f>
        <v/>
      </c>
      <c r="AE25" s="369" t="str">
        <f ca="1">IF($B25&lt;&gt;"PRC_RESID","",IF(AE$7=2005+OFFSET(COM_N_2012!$B$60,$AW25,SUMIF($B$10:$B$16,"NCAP_TLIFE",$AX$10:$AX$16)),0,""))</f>
        <v/>
      </c>
      <c r="AF25" s="369" t="str">
        <f ca="1">IF($B25&lt;&gt;"PRC_RESID","",IF(AF$7=2005+OFFSET(COM_N_2012!$B$60,$AW25,SUMIF($B$10:$B$16,"NCAP_TLIFE",$AX$10:$AX$16)),0,""))</f>
        <v/>
      </c>
      <c r="AG25" s="369" t="str">
        <f ca="1">IF($B25&lt;&gt;"PRC_RESID","",IF(AG$7=2005+OFFSET(COM_N_2012!$B$60,$AW25,SUMIF($B$10:$B$16,"NCAP_TLIFE",$AX$10:$AX$16)),0,""))</f>
        <v/>
      </c>
      <c r="AH25" s="369" t="str">
        <f ca="1">IF($B25&lt;&gt;"PRC_RESID","",IF(AH$7=2005+OFFSET(COM_N_2012!$B$60,$AW25,SUMIF($B$10:$B$16,"NCAP_TLIFE",$AX$10:$AX$16)),0,""))</f>
        <v/>
      </c>
      <c r="AI25" s="369" t="str">
        <f ca="1">IF($B25&lt;&gt;"PRC_RESID","",IF(AI$7=2005+OFFSET(COM_N_2012!$B$60,$AW25,SUMIF($B$10:$B$16,"NCAP_TLIFE",$AX$10:$AX$16)),0,""))</f>
        <v/>
      </c>
      <c r="AJ25" s="369" t="str">
        <f ca="1">IF($B25&lt;&gt;"PRC_RESID","",IF(AJ$7=2005+OFFSET(COM_N_2012!$B$60,$AW25,SUMIF($B$10:$B$16,"NCAP_TLIFE",$AX$10:$AX$16)),0,""))</f>
        <v/>
      </c>
      <c r="AK25" s="369" t="str">
        <f ca="1">IF($B25&lt;&gt;"PRC_RESID","",IF(AK$7=2005+OFFSET(COM_N_2012!$B$60,$AW25,SUMIF($B$10:$B$16,"NCAP_TLIFE",$AX$10:$AX$16)),0,""))</f>
        <v/>
      </c>
      <c r="AL25" s="369" t="str">
        <f ca="1">IF($B25&lt;&gt;"PRC_RESID","",IF(AL$7=2005+OFFSET(COM_N_2012!$B$60,$AW25,SUMIF($B$10:$B$16,"NCAP_TLIFE",$AX$10:$AX$16)),0,""))</f>
        <v/>
      </c>
      <c r="AM25" s="369" t="str">
        <f ca="1">IF($B25&lt;&gt;"PRC_RESID","",IF(AM$7=2005+OFFSET(COM_N_2012!$B$60,$AW25,SUMIF($B$10:$B$16,"NCAP_TLIFE",$AX$10:$AX$16)),0,""))</f>
        <v/>
      </c>
      <c r="AN25" s="369" t="str">
        <f ca="1">IF($B25&lt;&gt;"PRC_RESID","",IF(AN$7=2005+OFFSET(COM_N_2012!$B$60,$AW25,SUMIF($B$10:$B$16,"NCAP_TLIFE",$AX$10:$AX$16)),0,""))</f>
        <v/>
      </c>
      <c r="AO25" s="369" t="str">
        <f ca="1">IF($B25&lt;&gt;"PRC_RESID","",IF(AO$7=2005+OFFSET(COM_N_2012!$B$60,$AW25,SUMIF($B$10:$B$16,"NCAP_TLIFE",$AX$10:$AX$16)),0,""))</f>
        <v/>
      </c>
      <c r="AP25" s="369" t="str">
        <f ca="1">IF($B25&lt;&gt;"PRC_RESID","",IF(AP$7=2005+OFFSET(COM_N_2012!$B$60,$AW25,SUMIF($B$10:$B$16,"NCAP_TLIFE",$AX$10:$AX$16)),0,""))</f>
        <v/>
      </c>
      <c r="AQ25" s="369" t="str">
        <f ca="1">IF($B25&lt;&gt;"PRC_RESID","",IF(AQ$7=2005+OFFSET(COM_N_2012!$B$60,$AW25,SUMIF($B$10:$B$16,"NCAP_TLIFE",$AX$10:$AX$16)),0,""))</f>
        <v/>
      </c>
      <c r="AR25" s="369" t="str">
        <f ca="1">IF($B25&lt;&gt;"PRC_RESID","",IF(AR$7=2005+OFFSET(COM_N_2012!$B$60,$AW25,SUMIF($B$10:$B$16,"NCAP_TLIFE",$AX$10:$AX$16)),0,""))</f>
        <v/>
      </c>
      <c r="AS25" s="369" t="str">
        <f ca="1">IF($B25&lt;&gt;"PRC_RESID","",IF(AS$7=2005+OFFSET(COM_N_2012!$B$60,$AW25,SUMIF($B$10:$B$16,"NCAP_TLIFE",$AX$10:$AX$16)),0,""))</f>
        <v/>
      </c>
      <c r="AT25" s="369" t="str">
        <f ca="1">IF($B25&lt;&gt;"PRC_RESID","",IF(AT$7=2005+OFFSET(COM_N_2012!$B$60,$AW25,SUMIF($B$10:$B$16,"NCAP_TLIFE",$AX$10:$AX$16)),0,""))</f>
        <v/>
      </c>
      <c r="AU25" s="369" t="str">
        <f ca="1">IF($B25&lt;&gt;"PRC_RESID","",IF(AU$7=2005+OFFSET(COM_N_2012!$B$60,$AW25,SUMIF($B$10:$B$16,"NCAP_TLIFE",$AX$10:$AX$16)),0,""))</f>
        <v/>
      </c>
      <c r="AV25" s="304">
        <f>IF(AW24=COM_N_2012!$AK$121,AV24+1,AV24)</f>
        <v>1</v>
      </c>
      <c r="AW25" s="304">
        <f t="shared" si="4"/>
        <v>8</v>
      </c>
    </row>
    <row r="26" spans="1:49">
      <c r="A26" s="304" t="str">
        <f ca="1">IF(LEFT(OFFSET(COM_N_2012!$A$60,AW26,0),2)="\I","*","")</f>
        <v/>
      </c>
      <c r="B26" s="369" t="str">
        <f t="shared" ca="1" si="2"/>
        <v>ACT_EFF</v>
      </c>
      <c r="C26" s="369" t="str">
        <f ca="1">IF($A26="*","",OFFSET(COM_N_2012!$B$60,AW26,0))</f>
        <v>CNHCOA-E</v>
      </c>
      <c r="D26" s="369" t="str">
        <f t="shared" ca="1" si="3"/>
        <v>-</v>
      </c>
      <c r="E26" s="369" t="str">
        <f t="shared" ca="1" si="3"/>
        <v>ACTGRP</v>
      </c>
      <c r="F26" s="369" t="str">
        <f t="shared" ca="1" si="3"/>
        <v>-</v>
      </c>
      <c r="G26" s="369" t="str">
        <f t="shared" ca="1" si="3"/>
        <v>ANNUAL</v>
      </c>
      <c r="H26" s="369" t="str">
        <f t="shared" ca="1" si="3"/>
        <v>-</v>
      </c>
      <c r="I26" s="370">
        <f t="shared" ca="1" si="3"/>
        <v>0</v>
      </c>
      <c r="J26" s="391">
        <f ca="1">IF($A26="*","",OFFSET(COM_N_2012!$B$60,AW26,SUMIF($B$10:$B$16,B26,$AX$10:$AX$16)))</f>
        <v>0.60000000000000009</v>
      </c>
      <c r="K26" s="369" t="str">
        <f ca="1">IF($B26&lt;&gt;"PRC_RESID","",IF(K$7=2005+OFFSET(COM_N_2012!$B$60,$AW26,SUMIF($B$10:$B$16,"NCAP_TLIFE",$AX$10:$AX$16)),0,""))</f>
        <v/>
      </c>
      <c r="L26" s="369" t="str">
        <f ca="1">IF($B26&lt;&gt;"PRC_RESID","",IF(L$7=2005+OFFSET(COM_N_2012!$B$60,$AW26,SUMIF($B$10:$B$16,"NCAP_TLIFE",$AX$10:$AX$16)),0,""))</f>
        <v/>
      </c>
      <c r="M26" s="369" t="str">
        <f ca="1">IF($B26&lt;&gt;"PRC_RESID","",IF(M$7=2005+OFFSET(COM_N_2012!$B$60,$AW26,SUMIF($B$10:$B$16,"NCAP_TLIFE",$AX$10:$AX$16)),0,""))</f>
        <v/>
      </c>
      <c r="N26" s="369" t="str">
        <f ca="1">IF($B26&lt;&gt;"PRC_RESID","",IF(N$7=2005+OFFSET(COM_N_2012!$B$60,$AW26,SUMIF($B$10:$B$16,"NCAP_TLIFE",$AX$10:$AX$16)),0,""))</f>
        <v/>
      </c>
      <c r="O26" s="369" t="str">
        <f ca="1">IF($B26&lt;&gt;"PRC_RESID","",IF(O$7=2005+OFFSET(COM_N_2012!$B$60,$AW26,SUMIF($B$10:$B$16,"NCAP_TLIFE",$AX$10:$AX$16)),0,""))</f>
        <v/>
      </c>
      <c r="P26" s="369" t="str">
        <f ca="1">IF($B26&lt;&gt;"PRC_RESID","",IF(P$7=2005+OFFSET(COM_N_2012!$B$60,$AW26,SUMIF($B$10:$B$16,"NCAP_TLIFE",$AX$10:$AX$16)),0,""))</f>
        <v/>
      </c>
      <c r="Q26" s="369" t="str">
        <f ca="1">IF($B26&lt;&gt;"PRC_RESID","",IF(Q$7=2005+OFFSET(COM_N_2012!$B$60,$AW26,SUMIF($B$10:$B$16,"NCAP_TLIFE",$AX$10:$AX$16)),0,""))</f>
        <v/>
      </c>
      <c r="R26" s="369" t="str">
        <f ca="1">IF($B26&lt;&gt;"PRC_RESID","",IF(R$7=2005+OFFSET(COM_N_2012!$B$60,$AW26,SUMIF($B$10:$B$16,"NCAP_TLIFE",$AX$10:$AX$16)),0,""))</f>
        <v/>
      </c>
      <c r="S26" s="369" t="str">
        <f ca="1">IF($B26&lt;&gt;"PRC_RESID","",IF(S$7=2005+OFFSET(COM_N_2012!$B$60,$AW26,SUMIF($B$10:$B$16,"NCAP_TLIFE",$AX$10:$AX$16)),0,""))</f>
        <v/>
      </c>
      <c r="T26" s="369" t="str">
        <f ca="1">IF($B26&lt;&gt;"PRC_RESID","",IF(T$7=2005+OFFSET(COM_N_2012!$B$60,$AW26,SUMIF($B$10:$B$16,"NCAP_TLIFE",$AX$10:$AX$16)),0,""))</f>
        <v/>
      </c>
      <c r="U26" s="369" t="str">
        <f ca="1">IF($B26&lt;&gt;"PRC_RESID","",IF(U$7=2005+OFFSET(COM_N_2012!$B$60,$AW26,SUMIF($B$10:$B$16,"NCAP_TLIFE",$AX$10:$AX$16)),0,""))</f>
        <v/>
      </c>
      <c r="V26" s="369" t="str">
        <f ca="1">IF($B26&lt;&gt;"PRC_RESID","",IF(V$7=2005+OFFSET(COM_N_2012!$B$60,$AW26,SUMIF($B$10:$B$16,"NCAP_TLIFE",$AX$10:$AX$16)),0,""))</f>
        <v/>
      </c>
      <c r="W26" s="369" t="str">
        <f ca="1">IF($B26&lt;&gt;"PRC_RESID","",IF(W$7=2005+OFFSET(COM_N_2012!$B$60,$AW26,SUMIF($B$10:$B$16,"NCAP_TLIFE",$AX$10:$AX$16)),0,""))</f>
        <v/>
      </c>
      <c r="X26" s="369" t="str">
        <f ca="1">IF($B26&lt;&gt;"PRC_RESID","",IF(X$7=2005+OFFSET(COM_N_2012!$B$60,$AW26,SUMIF($B$10:$B$16,"NCAP_TLIFE",$AX$10:$AX$16)),0,""))</f>
        <v/>
      </c>
      <c r="Y26" s="369" t="str">
        <f ca="1">IF($B26&lt;&gt;"PRC_RESID","",IF(Y$7=2005+OFFSET(COM_N_2012!$B$60,$AW26,SUMIF($B$10:$B$16,"NCAP_TLIFE",$AX$10:$AX$16)),0,""))</f>
        <v/>
      </c>
      <c r="Z26" s="369" t="str">
        <f ca="1">IF($B26&lt;&gt;"PRC_RESID","",IF(Z$7=2005+OFFSET(COM_N_2012!$B$60,$AW26,SUMIF($B$10:$B$16,"NCAP_TLIFE",$AX$10:$AX$16)),0,""))</f>
        <v/>
      </c>
      <c r="AA26" s="369" t="str">
        <f ca="1">IF($B26&lt;&gt;"PRC_RESID","",IF(AA$7=2005+OFFSET(COM_N_2012!$B$60,$AW26,SUMIF($B$10:$B$16,"NCAP_TLIFE",$AX$10:$AX$16)),0,""))</f>
        <v/>
      </c>
      <c r="AB26" s="369" t="str">
        <f ca="1">IF($B26&lt;&gt;"PRC_RESID","",IF(AB$7=2005+OFFSET(COM_N_2012!$B$60,$AW26,SUMIF($B$10:$B$16,"NCAP_TLIFE",$AX$10:$AX$16)),0,""))</f>
        <v/>
      </c>
      <c r="AC26" s="369" t="str">
        <f ca="1">IF($B26&lt;&gt;"PRC_RESID","",IF(AC$7=2005+OFFSET(COM_N_2012!$B$60,$AW26,SUMIF($B$10:$B$16,"NCAP_TLIFE",$AX$10:$AX$16)),0,""))</f>
        <v/>
      </c>
      <c r="AD26" s="369" t="str">
        <f ca="1">IF($B26&lt;&gt;"PRC_RESID","",IF(AD$7=2005+OFFSET(COM_N_2012!$B$60,$AW26,SUMIF($B$10:$B$16,"NCAP_TLIFE",$AX$10:$AX$16)),0,""))</f>
        <v/>
      </c>
      <c r="AE26" s="369" t="str">
        <f ca="1">IF($B26&lt;&gt;"PRC_RESID","",IF(AE$7=2005+OFFSET(COM_N_2012!$B$60,$AW26,SUMIF($B$10:$B$16,"NCAP_TLIFE",$AX$10:$AX$16)),0,""))</f>
        <v/>
      </c>
      <c r="AF26" s="369" t="str">
        <f ca="1">IF($B26&lt;&gt;"PRC_RESID","",IF(AF$7=2005+OFFSET(COM_N_2012!$B$60,$AW26,SUMIF($B$10:$B$16,"NCAP_TLIFE",$AX$10:$AX$16)),0,""))</f>
        <v/>
      </c>
      <c r="AG26" s="369" t="str">
        <f ca="1">IF($B26&lt;&gt;"PRC_RESID","",IF(AG$7=2005+OFFSET(COM_N_2012!$B$60,$AW26,SUMIF($B$10:$B$16,"NCAP_TLIFE",$AX$10:$AX$16)),0,""))</f>
        <v/>
      </c>
      <c r="AH26" s="369" t="str">
        <f ca="1">IF($B26&lt;&gt;"PRC_RESID","",IF(AH$7=2005+OFFSET(COM_N_2012!$B$60,$AW26,SUMIF($B$10:$B$16,"NCAP_TLIFE",$AX$10:$AX$16)),0,""))</f>
        <v/>
      </c>
      <c r="AI26" s="369" t="str">
        <f ca="1">IF($B26&lt;&gt;"PRC_RESID","",IF(AI$7=2005+OFFSET(COM_N_2012!$B$60,$AW26,SUMIF($B$10:$B$16,"NCAP_TLIFE",$AX$10:$AX$16)),0,""))</f>
        <v/>
      </c>
      <c r="AJ26" s="369" t="str">
        <f ca="1">IF($B26&lt;&gt;"PRC_RESID","",IF(AJ$7=2005+OFFSET(COM_N_2012!$B$60,$AW26,SUMIF($B$10:$B$16,"NCAP_TLIFE",$AX$10:$AX$16)),0,""))</f>
        <v/>
      </c>
      <c r="AK26" s="369" t="str">
        <f ca="1">IF($B26&lt;&gt;"PRC_RESID","",IF(AK$7=2005+OFFSET(COM_N_2012!$B$60,$AW26,SUMIF($B$10:$B$16,"NCAP_TLIFE",$AX$10:$AX$16)),0,""))</f>
        <v/>
      </c>
      <c r="AL26" s="369" t="str">
        <f ca="1">IF($B26&lt;&gt;"PRC_RESID","",IF(AL$7=2005+OFFSET(COM_N_2012!$B$60,$AW26,SUMIF($B$10:$B$16,"NCAP_TLIFE",$AX$10:$AX$16)),0,""))</f>
        <v/>
      </c>
      <c r="AM26" s="369" t="str">
        <f ca="1">IF($B26&lt;&gt;"PRC_RESID","",IF(AM$7=2005+OFFSET(COM_N_2012!$B$60,$AW26,SUMIF($B$10:$B$16,"NCAP_TLIFE",$AX$10:$AX$16)),0,""))</f>
        <v/>
      </c>
      <c r="AN26" s="369" t="str">
        <f ca="1">IF($B26&lt;&gt;"PRC_RESID","",IF(AN$7=2005+OFFSET(COM_N_2012!$B$60,$AW26,SUMIF($B$10:$B$16,"NCAP_TLIFE",$AX$10:$AX$16)),0,""))</f>
        <v/>
      </c>
      <c r="AO26" s="369" t="str">
        <f ca="1">IF($B26&lt;&gt;"PRC_RESID","",IF(AO$7=2005+OFFSET(COM_N_2012!$B$60,$AW26,SUMIF($B$10:$B$16,"NCAP_TLIFE",$AX$10:$AX$16)),0,""))</f>
        <v/>
      </c>
      <c r="AP26" s="369" t="str">
        <f ca="1">IF($B26&lt;&gt;"PRC_RESID","",IF(AP$7=2005+OFFSET(COM_N_2012!$B$60,$AW26,SUMIF($B$10:$B$16,"NCAP_TLIFE",$AX$10:$AX$16)),0,""))</f>
        <v/>
      </c>
      <c r="AQ26" s="369" t="str">
        <f ca="1">IF($B26&lt;&gt;"PRC_RESID","",IF(AQ$7=2005+OFFSET(COM_N_2012!$B$60,$AW26,SUMIF($B$10:$B$16,"NCAP_TLIFE",$AX$10:$AX$16)),0,""))</f>
        <v/>
      </c>
      <c r="AR26" s="369" t="str">
        <f ca="1">IF($B26&lt;&gt;"PRC_RESID","",IF(AR$7=2005+OFFSET(COM_N_2012!$B$60,$AW26,SUMIF($B$10:$B$16,"NCAP_TLIFE",$AX$10:$AX$16)),0,""))</f>
        <v/>
      </c>
      <c r="AS26" s="369" t="str">
        <f ca="1">IF($B26&lt;&gt;"PRC_RESID","",IF(AS$7=2005+OFFSET(COM_N_2012!$B$60,$AW26,SUMIF($B$10:$B$16,"NCAP_TLIFE",$AX$10:$AX$16)),0,""))</f>
        <v/>
      </c>
      <c r="AT26" s="369" t="str">
        <f ca="1">IF($B26&lt;&gt;"PRC_RESID","",IF(AT$7=2005+OFFSET(COM_N_2012!$B$60,$AW26,SUMIF($B$10:$B$16,"NCAP_TLIFE",$AX$10:$AX$16)),0,""))</f>
        <v/>
      </c>
      <c r="AU26" s="369" t="str">
        <f ca="1">IF($B26&lt;&gt;"PRC_RESID","",IF(AU$7=2005+OFFSET(COM_N_2012!$B$60,$AW26,SUMIF($B$10:$B$16,"NCAP_TLIFE",$AX$10:$AX$16)),0,""))</f>
        <v/>
      </c>
      <c r="AV26" s="304">
        <f>IF(AW25=COM_N_2012!$AK$121,AV25+1,AV25)</f>
        <v>1</v>
      </c>
      <c r="AW26" s="304">
        <f t="shared" si="4"/>
        <v>9</v>
      </c>
    </row>
    <row r="27" spans="1:49">
      <c r="A27" s="304" t="str">
        <f ca="1">IF(LEFT(OFFSET(COM_N_2012!$A$60,AW27,0),2)="\I","*","")</f>
        <v/>
      </c>
      <c r="B27" s="369" t="str">
        <f t="shared" ca="1" si="2"/>
        <v>ACT_EFF</v>
      </c>
      <c r="C27" s="369" t="str">
        <f ca="1">IF($A27="*","",OFFSET(COM_N_2012!$B$60,AW27,0))</f>
        <v>CNHELC-E</v>
      </c>
      <c r="D27" s="369" t="str">
        <f t="shared" ca="1" si="3"/>
        <v>-</v>
      </c>
      <c r="E27" s="369" t="str">
        <f t="shared" ca="1" si="3"/>
        <v>ACTGRP</v>
      </c>
      <c r="F27" s="369" t="str">
        <f t="shared" ca="1" si="3"/>
        <v>-</v>
      </c>
      <c r="G27" s="369" t="str">
        <f t="shared" ca="1" si="3"/>
        <v>ANNUAL</v>
      </c>
      <c r="H27" s="369" t="str">
        <f t="shared" ca="1" si="3"/>
        <v>-</v>
      </c>
      <c r="I27" s="370">
        <f t="shared" ca="1" si="3"/>
        <v>0</v>
      </c>
      <c r="J27" s="391">
        <f ca="1">IF($A27="*","",OFFSET(COM_N_2012!$B$60,AW27,SUMIF($B$10:$B$16,B27,$AX$10:$AX$16)))</f>
        <v>1</v>
      </c>
      <c r="K27" s="369" t="str">
        <f ca="1">IF($B27&lt;&gt;"PRC_RESID","",IF(K$7=2005+OFFSET(COM_N_2012!$B$60,$AW27,SUMIF($B$10:$B$16,"NCAP_TLIFE",$AX$10:$AX$16)),0,""))</f>
        <v/>
      </c>
      <c r="L27" s="369" t="str">
        <f ca="1">IF($B27&lt;&gt;"PRC_RESID","",IF(L$7=2005+OFFSET(COM_N_2012!$B$60,$AW27,SUMIF($B$10:$B$16,"NCAP_TLIFE",$AX$10:$AX$16)),0,""))</f>
        <v/>
      </c>
      <c r="M27" s="369" t="str">
        <f ca="1">IF($B27&lt;&gt;"PRC_RESID","",IF(M$7=2005+OFFSET(COM_N_2012!$B$60,$AW27,SUMIF($B$10:$B$16,"NCAP_TLIFE",$AX$10:$AX$16)),0,""))</f>
        <v/>
      </c>
      <c r="N27" s="369" t="str">
        <f ca="1">IF($B27&lt;&gt;"PRC_RESID","",IF(N$7=2005+OFFSET(COM_N_2012!$B$60,$AW27,SUMIF($B$10:$B$16,"NCAP_TLIFE",$AX$10:$AX$16)),0,""))</f>
        <v/>
      </c>
      <c r="O27" s="369" t="str">
        <f ca="1">IF($B27&lt;&gt;"PRC_RESID","",IF(O$7=2005+OFFSET(COM_N_2012!$B$60,$AW27,SUMIF($B$10:$B$16,"NCAP_TLIFE",$AX$10:$AX$16)),0,""))</f>
        <v/>
      </c>
      <c r="P27" s="369" t="str">
        <f ca="1">IF($B27&lt;&gt;"PRC_RESID","",IF(P$7=2005+OFFSET(COM_N_2012!$B$60,$AW27,SUMIF($B$10:$B$16,"NCAP_TLIFE",$AX$10:$AX$16)),0,""))</f>
        <v/>
      </c>
      <c r="Q27" s="369" t="str">
        <f ca="1">IF($B27&lt;&gt;"PRC_RESID","",IF(Q$7=2005+OFFSET(COM_N_2012!$B$60,$AW27,SUMIF($B$10:$B$16,"NCAP_TLIFE",$AX$10:$AX$16)),0,""))</f>
        <v/>
      </c>
      <c r="R27" s="369" t="str">
        <f ca="1">IF($B27&lt;&gt;"PRC_RESID","",IF(R$7=2005+OFFSET(COM_N_2012!$B$60,$AW27,SUMIF($B$10:$B$16,"NCAP_TLIFE",$AX$10:$AX$16)),0,""))</f>
        <v/>
      </c>
      <c r="S27" s="369" t="str">
        <f ca="1">IF($B27&lt;&gt;"PRC_RESID","",IF(S$7=2005+OFFSET(COM_N_2012!$B$60,$AW27,SUMIF($B$10:$B$16,"NCAP_TLIFE",$AX$10:$AX$16)),0,""))</f>
        <v/>
      </c>
      <c r="T27" s="369" t="str">
        <f ca="1">IF($B27&lt;&gt;"PRC_RESID","",IF(T$7=2005+OFFSET(COM_N_2012!$B$60,$AW27,SUMIF($B$10:$B$16,"NCAP_TLIFE",$AX$10:$AX$16)),0,""))</f>
        <v/>
      </c>
      <c r="U27" s="369" t="str">
        <f ca="1">IF($B27&lt;&gt;"PRC_RESID","",IF(U$7=2005+OFFSET(COM_N_2012!$B$60,$AW27,SUMIF($B$10:$B$16,"NCAP_TLIFE",$AX$10:$AX$16)),0,""))</f>
        <v/>
      </c>
      <c r="V27" s="369" t="str">
        <f ca="1">IF($B27&lt;&gt;"PRC_RESID","",IF(V$7=2005+OFFSET(COM_N_2012!$B$60,$AW27,SUMIF($B$10:$B$16,"NCAP_TLIFE",$AX$10:$AX$16)),0,""))</f>
        <v/>
      </c>
      <c r="W27" s="369" t="str">
        <f ca="1">IF($B27&lt;&gt;"PRC_RESID","",IF(W$7=2005+OFFSET(COM_N_2012!$B$60,$AW27,SUMIF($B$10:$B$16,"NCAP_TLIFE",$AX$10:$AX$16)),0,""))</f>
        <v/>
      </c>
      <c r="X27" s="369" t="str">
        <f ca="1">IF($B27&lt;&gt;"PRC_RESID","",IF(X$7=2005+OFFSET(COM_N_2012!$B$60,$AW27,SUMIF($B$10:$B$16,"NCAP_TLIFE",$AX$10:$AX$16)),0,""))</f>
        <v/>
      </c>
      <c r="Y27" s="369" t="str">
        <f ca="1">IF($B27&lt;&gt;"PRC_RESID","",IF(Y$7=2005+OFFSET(COM_N_2012!$B$60,$AW27,SUMIF($B$10:$B$16,"NCAP_TLIFE",$AX$10:$AX$16)),0,""))</f>
        <v/>
      </c>
      <c r="Z27" s="369" t="str">
        <f ca="1">IF($B27&lt;&gt;"PRC_RESID","",IF(Z$7=2005+OFFSET(COM_N_2012!$B$60,$AW27,SUMIF($B$10:$B$16,"NCAP_TLIFE",$AX$10:$AX$16)),0,""))</f>
        <v/>
      </c>
      <c r="AA27" s="369" t="str">
        <f ca="1">IF($B27&lt;&gt;"PRC_RESID","",IF(AA$7=2005+OFFSET(COM_N_2012!$B$60,$AW27,SUMIF($B$10:$B$16,"NCAP_TLIFE",$AX$10:$AX$16)),0,""))</f>
        <v/>
      </c>
      <c r="AB27" s="369" t="str">
        <f ca="1">IF($B27&lt;&gt;"PRC_RESID","",IF(AB$7=2005+OFFSET(COM_N_2012!$B$60,$AW27,SUMIF($B$10:$B$16,"NCAP_TLIFE",$AX$10:$AX$16)),0,""))</f>
        <v/>
      </c>
      <c r="AC27" s="369" t="str">
        <f ca="1">IF($B27&lt;&gt;"PRC_RESID","",IF(AC$7=2005+OFFSET(COM_N_2012!$B$60,$AW27,SUMIF($B$10:$B$16,"NCAP_TLIFE",$AX$10:$AX$16)),0,""))</f>
        <v/>
      </c>
      <c r="AD27" s="369" t="str">
        <f ca="1">IF($B27&lt;&gt;"PRC_RESID","",IF(AD$7=2005+OFFSET(COM_N_2012!$B$60,$AW27,SUMIF($B$10:$B$16,"NCAP_TLIFE",$AX$10:$AX$16)),0,""))</f>
        <v/>
      </c>
      <c r="AE27" s="369" t="str">
        <f ca="1">IF($B27&lt;&gt;"PRC_RESID","",IF(AE$7=2005+OFFSET(COM_N_2012!$B$60,$AW27,SUMIF($B$10:$B$16,"NCAP_TLIFE",$AX$10:$AX$16)),0,""))</f>
        <v/>
      </c>
      <c r="AF27" s="369" t="str">
        <f ca="1">IF($B27&lt;&gt;"PRC_RESID","",IF(AF$7=2005+OFFSET(COM_N_2012!$B$60,$AW27,SUMIF($B$10:$B$16,"NCAP_TLIFE",$AX$10:$AX$16)),0,""))</f>
        <v/>
      </c>
      <c r="AG27" s="369" t="str">
        <f ca="1">IF($B27&lt;&gt;"PRC_RESID","",IF(AG$7=2005+OFFSET(COM_N_2012!$B$60,$AW27,SUMIF($B$10:$B$16,"NCAP_TLIFE",$AX$10:$AX$16)),0,""))</f>
        <v/>
      </c>
      <c r="AH27" s="369" t="str">
        <f ca="1">IF($B27&lt;&gt;"PRC_RESID","",IF(AH$7=2005+OFFSET(COM_N_2012!$B$60,$AW27,SUMIF($B$10:$B$16,"NCAP_TLIFE",$AX$10:$AX$16)),0,""))</f>
        <v/>
      </c>
      <c r="AI27" s="369" t="str">
        <f ca="1">IF($B27&lt;&gt;"PRC_RESID","",IF(AI$7=2005+OFFSET(COM_N_2012!$B$60,$AW27,SUMIF($B$10:$B$16,"NCAP_TLIFE",$AX$10:$AX$16)),0,""))</f>
        <v/>
      </c>
      <c r="AJ27" s="369" t="str">
        <f ca="1">IF($B27&lt;&gt;"PRC_RESID","",IF(AJ$7=2005+OFFSET(COM_N_2012!$B$60,$AW27,SUMIF($B$10:$B$16,"NCAP_TLIFE",$AX$10:$AX$16)),0,""))</f>
        <v/>
      </c>
      <c r="AK27" s="369" t="str">
        <f ca="1">IF($B27&lt;&gt;"PRC_RESID","",IF(AK$7=2005+OFFSET(COM_N_2012!$B$60,$AW27,SUMIF($B$10:$B$16,"NCAP_TLIFE",$AX$10:$AX$16)),0,""))</f>
        <v/>
      </c>
      <c r="AL27" s="369" t="str">
        <f ca="1">IF($B27&lt;&gt;"PRC_RESID","",IF(AL$7=2005+OFFSET(COM_N_2012!$B$60,$AW27,SUMIF($B$10:$B$16,"NCAP_TLIFE",$AX$10:$AX$16)),0,""))</f>
        <v/>
      </c>
      <c r="AM27" s="369" t="str">
        <f ca="1">IF($B27&lt;&gt;"PRC_RESID","",IF(AM$7=2005+OFFSET(COM_N_2012!$B$60,$AW27,SUMIF($B$10:$B$16,"NCAP_TLIFE",$AX$10:$AX$16)),0,""))</f>
        <v/>
      </c>
      <c r="AN27" s="369" t="str">
        <f ca="1">IF($B27&lt;&gt;"PRC_RESID","",IF(AN$7=2005+OFFSET(COM_N_2012!$B$60,$AW27,SUMIF($B$10:$B$16,"NCAP_TLIFE",$AX$10:$AX$16)),0,""))</f>
        <v/>
      </c>
      <c r="AO27" s="369" t="str">
        <f ca="1">IF($B27&lt;&gt;"PRC_RESID","",IF(AO$7=2005+OFFSET(COM_N_2012!$B$60,$AW27,SUMIF($B$10:$B$16,"NCAP_TLIFE",$AX$10:$AX$16)),0,""))</f>
        <v/>
      </c>
      <c r="AP27" s="369" t="str">
        <f ca="1">IF($B27&lt;&gt;"PRC_RESID","",IF(AP$7=2005+OFFSET(COM_N_2012!$B$60,$AW27,SUMIF($B$10:$B$16,"NCAP_TLIFE",$AX$10:$AX$16)),0,""))</f>
        <v/>
      </c>
      <c r="AQ27" s="369" t="str">
        <f ca="1">IF($B27&lt;&gt;"PRC_RESID","",IF(AQ$7=2005+OFFSET(COM_N_2012!$B$60,$AW27,SUMIF($B$10:$B$16,"NCAP_TLIFE",$AX$10:$AX$16)),0,""))</f>
        <v/>
      </c>
      <c r="AR27" s="369" t="str">
        <f ca="1">IF($B27&lt;&gt;"PRC_RESID","",IF(AR$7=2005+OFFSET(COM_N_2012!$B$60,$AW27,SUMIF($B$10:$B$16,"NCAP_TLIFE",$AX$10:$AX$16)),0,""))</f>
        <v/>
      </c>
      <c r="AS27" s="369" t="str">
        <f ca="1">IF($B27&lt;&gt;"PRC_RESID","",IF(AS$7=2005+OFFSET(COM_N_2012!$B$60,$AW27,SUMIF($B$10:$B$16,"NCAP_TLIFE",$AX$10:$AX$16)),0,""))</f>
        <v/>
      </c>
      <c r="AT27" s="369" t="str">
        <f ca="1">IF($B27&lt;&gt;"PRC_RESID","",IF(AT$7=2005+OFFSET(COM_N_2012!$B$60,$AW27,SUMIF($B$10:$B$16,"NCAP_TLIFE",$AX$10:$AX$16)),0,""))</f>
        <v/>
      </c>
      <c r="AU27" s="369" t="str">
        <f ca="1">IF($B27&lt;&gt;"PRC_RESID","",IF(AU$7=2005+OFFSET(COM_N_2012!$B$60,$AW27,SUMIF($B$10:$B$16,"NCAP_TLIFE",$AX$10:$AX$16)),0,""))</f>
        <v/>
      </c>
      <c r="AV27" s="304">
        <f>IF(AW26=COM_N_2012!$AK$121,AV26+1,AV26)</f>
        <v>1</v>
      </c>
      <c r="AW27" s="304">
        <f t="shared" si="4"/>
        <v>10</v>
      </c>
    </row>
    <row r="28" spans="1:49">
      <c r="A28" s="304" t="str">
        <f ca="1">IF(LEFT(OFFSET(COM_N_2012!$A$60,AW28,0),2)="\I","*","")</f>
        <v/>
      </c>
      <c r="B28" s="369" t="str">
        <f t="shared" ca="1" si="2"/>
        <v>ACT_EFF</v>
      </c>
      <c r="C28" s="369" t="str">
        <f ca="1">IF($A28="*","",OFFSET(COM_N_2012!$B$60,AW28,0))</f>
        <v>CNHGAS-E</v>
      </c>
      <c r="D28" s="369" t="str">
        <f t="shared" ref="D28:I37" ca="1" si="5">IF($A28="*","",VLOOKUP($B28,$B$10:$I$16,D$9,FALSE))</f>
        <v>-</v>
      </c>
      <c r="E28" s="369" t="str">
        <f t="shared" ca="1" si="5"/>
        <v>ACTGRP</v>
      </c>
      <c r="F28" s="369" t="str">
        <f t="shared" ca="1" si="5"/>
        <v>-</v>
      </c>
      <c r="G28" s="369" t="str">
        <f t="shared" ca="1" si="5"/>
        <v>ANNUAL</v>
      </c>
      <c r="H28" s="369" t="str">
        <f t="shared" ca="1" si="5"/>
        <v>-</v>
      </c>
      <c r="I28" s="370">
        <f t="shared" ca="1" si="5"/>
        <v>0</v>
      </c>
      <c r="J28" s="391">
        <f ca="1">IF($A28="*","",OFFSET(COM_N_2012!$B$60,AW28,SUMIF($B$10:$B$16,B28,$AX$10:$AX$16)))</f>
        <v>0.69</v>
      </c>
      <c r="K28" s="369" t="str">
        <f ca="1">IF($B28&lt;&gt;"PRC_RESID","",IF(K$7=2005+OFFSET(COM_N_2012!$B$60,$AW28,SUMIF($B$10:$B$16,"NCAP_TLIFE",$AX$10:$AX$16)),0,""))</f>
        <v/>
      </c>
      <c r="L28" s="369" t="str">
        <f ca="1">IF($B28&lt;&gt;"PRC_RESID","",IF(L$7=2005+OFFSET(COM_N_2012!$B$60,$AW28,SUMIF($B$10:$B$16,"NCAP_TLIFE",$AX$10:$AX$16)),0,""))</f>
        <v/>
      </c>
      <c r="M28" s="369" t="str">
        <f ca="1">IF($B28&lt;&gt;"PRC_RESID","",IF(M$7=2005+OFFSET(COM_N_2012!$B$60,$AW28,SUMIF($B$10:$B$16,"NCAP_TLIFE",$AX$10:$AX$16)),0,""))</f>
        <v/>
      </c>
      <c r="N28" s="369" t="str">
        <f ca="1">IF($B28&lt;&gt;"PRC_RESID","",IF(N$7=2005+OFFSET(COM_N_2012!$B$60,$AW28,SUMIF($B$10:$B$16,"NCAP_TLIFE",$AX$10:$AX$16)),0,""))</f>
        <v/>
      </c>
      <c r="O28" s="369" t="str">
        <f ca="1">IF($B28&lt;&gt;"PRC_RESID","",IF(O$7=2005+OFFSET(COM_N_2012!$B$60,$AW28,SUMIF($B$10:$B$16,"NCAP_TLIFE",$AX$10:$AX$16)),0,""))</f>
        <v/>
      </c>
      <c r="P28" s="369" t="str">
        <f ca="1">IF($B28&lt;&gt;"PRC_RESID","",IF(P$7=2005+OFFSET(COM_N_2012!$B$60,$AW28,SUMIF($B$10:$B$16,"NCAP_TLIFE",$AX$10:$AX$16)),0,""))</f>
        <v/>
      </c>
      <c r="Q28" s="369" t="str">
        <f ca="1">IF($B28&lt;&gt;"PRC_RESID","",IF(Q$7=2005+OFFSET(COM_N_2012!$B$60,$AW28,SUMIF($B$10:$B$16,"NCAP_TLIFE",$AX$10:$AX$16)),0,""))</f>
        <v/>
      </c>
      <c r="R28" s="369" t="str">
        <f ca="1">IF($B28&lt;&gt;"PRC_RESID","",IF(R$7=2005+OFFSET(COM_N_2012!$B$60,$AW28,SUMIF($B$10:$B$16,"NCAP_TLIFE",$AX$10:$AX$16)),0,""))</f>
        <v/>
      </c>
      <c r="S28" s="369" t="str">
        <f ca="1">IF($B28&lt;&gt;"PRC_RESID","",IF(S$7=2005+OFFSET(COM_N_2012!$B$60,$AW28,SUMIF($B$10:$B$16,"NCAP_TLIFE",$AX$10:$AX$16)),0,""))</f>
        <v/>
      </c>
      <c r="T28" s="369" t="str">
        <f ca="1">IF($B28&lt;&gt;"PRC_RESID","",IF(T$7=2005+OFFSET(COM_N_2012!$B$60,$AW28,SUMIF($B$10:$B$16,"NCAP_TLIFE",$AX$10:$AX$16)),0,""))</f>
        <v/>
      </c>
      <c r="U28" s="369" t="str">
        <f ca="1">IF($B28&lt;&gt;"PRC_RESID","",IF(U$7=2005+OFFSET(COM_N_2012!$B$60,$AW28,SUMIF($B$10:$B$16,"NCAP_TLIFE",$AX$10:$AX$16)),0,""))</f>
        <v/>
      </c>
      <c r="V28" s="369" t="str">
        <f ca="1">IF($B28&lt;&gt;"PRC_RESID","",IF(V$7=2005+OFFSET(COM_N_2012!$B$60,$AW28,SUMIF($B$10:$B$16,"NCAP_TLIFE",$AX$10:$AX$16)),0,""))</f>
        <v/>
      </c>
      <c r="W28" s="369" t="str">
        <f ca="1">IF($B28&lt;&gt;"PRC_RESID","",IF(W$7=2005+OFFSET(COM_N_2012!$B$60,$AW28,SUMIF($B$10:$B$16,"NCAP_TLIFE",$AX$10:$AX$16)),0,""))</f>
        <v/>
      </c>
      <c r="X28" s="369" t="str">
        <f ca="1">IF($B28&lt;&gt;"PRC_RESID","",IF(X$7=2005+OFFSET(COM_N_2012!$B$60,$AW28,SUMIF($B$10:$B$16,"NCAP_TLIFE",$AX$10:$AX$16)),0,""))</f>
        <v/>
      </c>
      <c r="Y28" s="369" t="str">
        <f ca="1">IF($B28&lt;&gt;"PRC_RESID","",IF(Y$7=2005+OFFSET(COM_N_2012!$B$60,$AW28,SUMIF($B$10:$B$16,"NCAP_TLIFE",$AX$10:$AX$16)),0,""))</f>
        <v/>
      </c>
      <c r="Z28" s="369" t="str">
        <f ca="1">IF($B28&lt;&gt;"PRC_RESID","",IF(Z$7=2005+OFFSET(COM_N_2012!$B$60,$AW28,SUMIF($B$10:$B$16,"NCAP_TLIFE",$AX$10:$AX$16)),0,""))</f>
        <v/>
      </c>
      <c r="AA28" s="369" t="str">
        <f ca="1">IF($B28&lt;&gt;"PRC_RESID","",IF(AA$7=2005+OFFSET(COM_N_2012!$B$60,$AW28,SUMIF($B$10:$B$16,"NCAP_TLIFE",$AX$10:$AX$16)),0,""))</f>
        <v/>
      </c>
      <c r="AB28" s="369" t="str">
        <f ca="1">IF($B28&lt;&gt;"PRC_RESID","",IF(AB$7=2005+OFFSET(COM_N_2012!$B$60,$AW28,SUMIF($B$10:$B$16,"NCAP_TLIFE",$AX$10:$AX$16)),0,""))</f>
        <v/>
      </c>
      <c r="AC28" s="369" t="str">
        <f ca="1">IF($B28&lt;&gt;"PRC_RESID","",IF(AC$7=2005+OFFSET(COM_N_2012!$B$60,$AW28,SUMIF($B$10:$B$16,"NCAP_TLIFE",$AX$10:$AX$16)),0,""))</f>
        <v/>
      </c>
      <c r="AD28" s="369" t="str">
        <f ca="1">IF($B28&lt;&gt;"PRC_RESID","",IF(AD$7=2005+OFFSET(COM_N_2012!$B$60,$AW28,SUMIF($B$10:$B$16,"NCAP_TLIFE",$AX$10:$AX$16)),0,""))</f>
        <v/>
      </c>
      <c r="AE28" s="369" t="str">
        <f ca="1">IF($B28&lt;&gt;"PRC_RESID","",IF(AE$7=2005+OFFSET(COM_N_2012!$B$60,$AW28,SUMIF($B$10:$B$16,"NCAP_TLIFE",$AX$10:$AX$16)),0,""))</f>
        <v/>
      </c>
      <c r="AF28" s="369" t="str">
        <f ca="1">IF($B28&lt;&gt;"PRC_RESID","",IF(AF$7=2005+OFFSET(COM_N_2012!$B$60,$AW28,SUMIF($B$10:$B$16,"NCAP_TLIFE",$AX$10:$AX$16)),0,""))</f>
        <v/>
      </c>
      <c r="AG28" s="369" t="str">
        <f ca="1">IF($B28&lt;&gt;"PRC_RESID","",IF(AG$7=2005+OFFSET(COM_N_2012!$B$60,$AW28,SUMIF($B$10:$B$16,"NCAP_TLIFE",$AX$10:$AX$16)),0,""))</f>
        <v/>
      </c>
      <c r="AH28" s="369" t="str">
        <f ca="1">IF($B28&lt;&gt;"PRC_RESID","",IF(AH$7=2005+OFFSET(COM_N_2012!$B$60,$AW28,SUMIF($B$10:$B$16,"NCAP_TLIFE",$AX$10:$AX$16)),0,""))</f>
        <v/>
      </c>
      <c r="AI28" s="369" t="str">
        <f ca="1">IF($B28&lt;&gt;"PRC_RESID","",IF(AI$7=2005+OFFSET(COM_N_2012!$B$60,$AW28,SUMIF($B$10:$B$16,"NCAP_TLIFE",$AX$10:$AX$16)),0,""))</f>
        <v/>
      </c>
      <c r="AJ28" s="369" t="str">
        <f ca="1">IF($B28&lt;&gt;"PRC_RESID","",IF(AJ$7=2005+OFFSET(COM_N_2012!$B$60,$AW28,SUMIF($B$10:$B$16,"NCAP_TLIFE",$AX$10:$AX$16)),0,""))</f>
        <v/>
      </c>
      <c r="AK28" s="369" t="str">
        <f ca="1">IF($B28&lt;&gt;"PRC_RESID","",IF(AK$7=2005+OFFSET(COM_N_2012!$B$60,$AW28,SUMIF($B$10:$B$16,"NCAP_TLIFE",$AX$10:$AX$16)),0,""))</f>
        <v/>
      </c>
      <c r="AL28" s="369" t="str">
        <f ca="1">IF($B28&lt;&gt;"PRC_RESID","",IF(AL$7=2005+OFFSET(COM_N_2012!$B$60,$AW28,SUMIF($B$10:$B$16,"NCAP_TLIFE",$AX$10:$AX$16)),0,""))</f>
        <v/>
      </c>
      <c r="AM28" s="369" t="str">
        <f ca="1">IF($B28&lt;&gt;"PRC_RESID","",IF(AM$7=2005+OFFSET(COM_N_2012!$B$60,$AW28,SUMIF($B$10:$B$16,"NCAP_TLIFE",$AX$10:$AX$16)),0,""))</f>
        <v/>
      </c>
      <c r="AN28" s="369" t="str">
        <f ca="1">IF($B28&lt;&gt;"PRC_RESID","",IF(AN$7=2005+OFFSET(COM_N_2012!$B$60,$AW28,SUMIF($B$10:$B$16,"NCAP_TLIFE",$AX$10:$AX$16)),0,""))</f>
        <v/>
      </c>
      <c r="AO28" s="369" t="str">
        <f ca="1">IF($B28&lt;&gt;"PRC_RESID","",IF(AO$7=2005+OFFSET(COM_N_2012!$B$60,$AW28,SUMIF($B$10:$B$16,"NCAP_TLIFE",$AX$10:$AX$16)),0,""))</f>
        <v/>
      </c>
      <c r="AP28" s="369" t="str">
        <f ca="1">IF($B28&lt;&gt;"PRC_RESID","",IF(AP$7=2005+OFFSET(COM_N_2012!$B$60,$AW28,SUMIF($B$10:$B$16,"NCAP_TLIFE",$AX$10:$AX$16)),0,""))</f>
        <v/>
      </c>
      <c r="AQ28" s="369" t="str">
        <f ca="1">IF($B28&lt;&gt;"PRC_RESID","",IF(AQ$7=2005+OFFSET(COM_N_2012!$B$60,$AW28,SUMIF($B$10:$B$16,"NCAP_TLIFE",$AX$10:$AX$16)),0,""))</f>
        <v/>
      </c>
      <c r="AR28" s="369" t="str">
        <f ca="1">IF($B28&lt;&gt;"PRC_RESID","",IF(AR$7=2005+OFFSET(COM_N_2012!$B$60,$AW28,SUMIF($B$10:$B$16,"NCAP_TLIFE",$AX$10:$AX$16)),0,""))</f>
        <v/>
      </c>
      <c r="AS28" s="369" t="str">
        <f ca="1">IF($B28&lt;&gt;"PRC_RESID","",IF(AS$7=2005+OFFSET(COM_N_2012!$B$60,$AW28,SUMIF($B$10:$B$16,"NCAP_TLIFE",$AX$10:$AX$16)),0,""))</f>
        <v/>
      </c>
      <c r="AT28" s="369" t="str">
        <f ca="1">IF($B28&lt;&gt;"PRC_RESID","",IF(AT$7=2005+OFFSET(COM_N_2012!$B$60,$AW28,SUMIF($B$10:$B$16,"NCAP_TLIFE",$AX$10:$AX$16)),0,""))</f>
        <v/>
      </c>
      <c r="AU28" s="369" t="str">
        <f ca="1">IF($B28&lt;&gt;"PRC_RESID","",IF(AU$7=2005+OFFSET(COM_N_2012!$B$60,$AW28,SUMIF($B$10:$B$16,"NCAP_TLIFE",$AX$10:$AX$16)),0,""))</f>
        <v/>
      </c>
      <c r="AV28" s="304">
        <f>IF(AW27=COM_N_2012!$AK$121,AV27+1,AV27)</f>
        <v>1</v>
      </c>
      <c r="AW28" s="304">
        <f t="shared" si="4"/>
        <v>11</v>
      </c>
    </row>
    <row r="29" spans="1:49">
      <c r="A29" s="304" t="str">
        <f ca="1">IF(LEFT(OFFSET(COM_N_2012!$A$60,AW29,0),2)="\I","*","")</f>
        <v/>
      </c>
      <c r="B29" s="369" t="str">
        <f t="shared" ca="1" si="2"/>
        <v>ACT_EFF</v>
      </c>
      <c r="C29" s="369" t="str">
        <f ca="1">IF($A29="*","",OFFSET(COM_N_2012!$B$60,AW29,0))</f>
        <v>CNHELC-N</v>
      </c>
      <c r="D29" s="369" t="str">
        <f t="shared" ca="1" si="5"/>
        <v>-</v>
      </c>
      <c r="E29" s="369" t="str">
        <f t="shared" ca="1" si="5"/>
        <v>ACTGRP</v>
      </c>
      <c r="F29" s="369" t="str">
        <f t="shared" ca="1" si="5"/>
        <v>-</v>
      </c>
      <c r="G29" s="369" t="str">
        <f t="shared" ca="1" si="5"/>
        <v>ANNUAL</v>
      </c>
      <c r="H29" s="369" t="str">
        <f t="shared" ca="1" si="5"/>
        <v>-</v>
      </c>
      <c r="I29" s="370">
        <f t="shared" ca="1" si="5"/>
        <v>0</v>
      </c>
      <c r="J29" s="391">
        <f ca="1">IF($A29="*","",OFFSET(COM_N_2012!$B$60,AW29,SUMIF($B$10:$B$16,B29,$AX$10:$AX$16)))</f>
        <v>3.5416666666666665</v>
      </c>
      <c r="K29" s="369" t="str">
        <f ca="1">IF($B29&lt;&gt;"PRC_RESID","",IF(K$7=2005+OFFSET(COM_N_2012!$B$60,$AW29,SUMIF($B$10:$B$16,"NCAP_TLIFE",$AX$10:$AX$16)),0,""))</f>
        <v/>
      </c>
      <c r="L29" s="369" t="str">
        <f ca="1">IF($B29&lt;&gt;"PRC_RESID","",IF(L$7=2005+OFFSET(COM_N_2012!$B$60,$AW29,SUMIF($B$10:$B$16,"NCAP_TLIFE",$AX$10:$AX$16)),0,""))</f>
        <v/>
      </c>
      <c r="M29" s="369" t="str">
        <f ca="1">IF($B29&lt;&gt;"PRC_RESID","",IF(M$7=2005+OFFSET(COM_N_2012!$B$60,$AW29,SUMIF($B$10:$B$16,"NCAP_TLIFE",$AX$10:$AX$16)),0,""))</f>
        <v/>
      </c>
      <c r="N29" s="369" t="str">
        <f ca="1">IF($B29&lt;&gt;"PRC_RESID","",IF(N$7=2005+OFFSET(COM_N_2012!$B$60,$AW29,SUMIF($B$10:$B$16,"NCAP_TLIFE",$AX$10:$AX$16)),0,""))</f>
        <v/>
      </c>
      <c r="O29" s="369" t="str">
        <f ca="1">IF($B29&lt;&gt;"PRC_RESID","",IF(O$7=2005+OFFSET(COM_N_2012!$B$60,$AW29,SUMIF($B$10:$B$16,"NCAP_TLIFE",$AX$10:$AX$16)),0,""))</f>
        <v/>
      </c>
      <c r="P29" s="369" t="str">
        <f ca="1">IF($B29&lt;&gt;"PRC_RESID","",IF(P$7=2005+OFFSET(COM_N_2012!$B$60,$AW29,SUMIF($B$10:$B$16,"NCAP_TLIFE",$AX$10:$AX$16)),0,""))</f>
        <v/>
      </c>
      <c r="Q29" s="369" t="str">
        <f ca="1">IF($B29&lt;&gt;"PRC_RESID","",IF(Q$7=2005+OFFSET(COM_N_2012!$B$60,$AW29,SUMIF($B$10:$B$16,"NCAP_TLIFE",$AX$10:$AX$16)),0,""))</f>
        <v/>
      </c>
      <c r="R29" s="369" t="str">
        <f ca="1">IF($B29&lt;&gt;"PRC_RESID","",IF(R$7=2005+OFFSET(COM_N_2012!$B$60,$AW29,SUMIF($B$10:$B$16,"NCAP_TLIFE",$AX$10:$AX$16)),0,""))</f>
        <v/>
      </c>
      <c r="S29" s="369" t="str">
        <f ca="1">IF($B29&lt;&gt;"PRC_RESID","",IF(S$7=2005+OFFSET(COM_N_2012!$B$60,$AW29,SUMIF($B$10:$B$16,"NCAP_TLIFE",$AX$10:$AX$16)),0,""))</f>
        <v/>
      </c>
      <c r="T29" s="369" t="str">
        <f ca="1">IF($B29&lt;&gt;"PRC_RESID","",IF(T$7=2005+OFFSET(COM_N_2012!$B$60,$AW29,SUMIF($B$10:$B$16,"NCAP_TLIFE",$AX$10:$AX$16)),0,""))</f>
        <v/>
      </c>
      <c r="U29" s="369" t="str">
        <f ca="1">IF($B29&lt;&gt;"PRC_RESID","",IF(U$7=2005+OFFSET(COM_N_2012!$B$60,$AW29,SUMIF($B$10:$B$16,"NCAP_TLIFE",$AX$10:$AX$16)),0,""))</f>
        <v/>
      </c>
      <c r="V29" s="369" t="str">
        <f ca="1">IF($B29&lt;&gt;"PRC_RESID","",IF(V$7=2005+OFFSET(COM_N_2012!$B$60,$AW29,SUMIF($B$10:$B$16,"NCAP_TLIFE",$AX$10:$AX$16)),0,""))</f>
        <v/>
      </c>
      <c r="W29" s="369" t="str">
        <f ca="1">IF($B29&lt;&gt;"PRC_RESID","",IF(W$7=2005+OFFSET(COM_N_2012!$B$60,$AW29,SUMIF($B$10:$B$16,"NCAP_TLIFE",$AX$10:$AX$16)),0,""))</f>
        <v/>
      </c>
      <c r="X29" s="369" t="str">
        <f ca="1">IF($B29&lt;&gt;"PRC_RESID","",IF(X$7=2005+OFFSET(COM_N_2012!$B$60,$AW29,SUMIF($B$10:$B$16,"NCAP_TLIFE",$AX$10:$AX$16)),0,""))</f>
        <v/>
      </c>
      <c r="Y29" s="369" t="str">
        <f ca="1">IF($B29&lt;&gt;"PRC_RESID","",IF(Y$7=2005+OFFSET(COM_N_2012!$B$60,$AW29,SUMIF($B$10:$B$16,"NCAP_TLIFE",$AX$10:$AX$16)),0,""))</f>
        <v/>
      </c>
      <c r="Z29" s="369" t="str">
        <f ca="1">IF($B29&lt;&gt;"PRC_RESID","",IF(Z$7=2005+OFFSET(COM_N_2012!$B$60,$AW29,SUMIF($B$10:$B$16,"NCAP_TLIFE",$AX$10:$AX$16)),0,""))</f>
        <v/>
      </c>
      <c r="AA29" s="369" t="str">
        <f ca="1">IF($B29&lt;&gt;"PRC_RESID","",IF(AA$7=2005+OFFSET(COM_N_2012!$B$60,$AW29,SUMIF($B$10:$B$16,"NCAP_TLIFE",$AX$10:$AX$16)),0,""))</f>
        <v/>
      </c>
      <c r="AB29" s="369" t="str">
        <f ca="1">IF($B29&lt;&gt;"PRC_RESID","",IF(AB$7=2005+OFFSET(COM_N_2012!$B$60,$AW29,SUMIF($B$10:$B$16,"NCAP_TLIFE",$AX$10:$AX$16)),0,""))</f>
        <v/>
      </c>
      <c r="AC29" s="369" t="str">
        <f ca="1">IF($B29&lt;&gt;"PRC_RESID","",IF(AC$7=2005+OFFSET(COM_N_2012!$B$60,$AW29,SUMIF($B$10:$B$16,"NCAP_TLIFE",$AX$10:$AX$16)),0,""))</f>
        <v/>
      </c>
      <c r="AD29" s="369" t="str">
        <f ca="1">IF($B29&lt;&gt;"PRC_RESID","",IF(AD$7=2005+OFFSET(COM_N_2012!$B$60,$AW29,SUMIF($B$10:$B$16,"NCAP_TLIFE",$AX$10:$AX$16)),0,""))</f>
        <v/>
      </c>
      <c r="AE29" s="369" t="str">
        <f ca="1">IF($B29&lt;&gt;"PRC_RESID","",IF(AE$7=2005+OFFSET(COM_N_2012!$B$60,$AW29,SUMIF($B$10:$B$16,"NCAP_TLIFE",$AX$10:$AX$16)),0,""))</f>
        <v/>
      </c>
      <c r="AF29" s="369" t="str">
        <f ca="1">IF($B29&lt;&gt;"PRC_RESID","",IF(AF$7=2005+OFFSET(COM_N_2012!$B$60,$AW29,SUMIF($B$10:$B$16,"NCAP_TLIFE",$AX$10:$AX$16)),0,""))</f>
        <v/>
      </c>
      <c r="AG29" s="369" t="str">
        <f ca="1">IF($B29&lt;&gt;"PRC_RESID","",IF(AG$7=2005+OFFSET(COM_N_2012!$B$60,$AW29,SUMIF($B$10:$B$16,"NCAP_TLIFE",$AX$10:$AX$16)),0,""))</f>
        <v/>
      </c>
      <c r="AH29" s="369" t="str">
        <f ca="1">IF($B29&lt;&gt;"PRC_RESID","",IF(AH$7=2005+OFFSET(COM_N_2012!$B$60,$AW29,SUMIF($B$10:$B$16,"NCAP_TLIFE",$AX$10:$AX$16)),0,""))</f>
        <v/>
      </c>
      <c r="AI29" s="369" t="str">
        <f ca="1">IF($B29&lt;&gt;"PRC_RESID","",IF(AI$7=2005+OFFSET(COM_N_2012!$B$60,$AW29,SUMIF($B$10:$B$16,"NCAP_TLIFE",$AX$10:$AX$16)),0,""))</f>
        <v/>
      </c>
      <c r="AJ29" s="369" t="str">
        <f ca="1">IF($B29&lt;&gt;"PRC_RESID","",IF(AJ$7=2005+OFFSET(COM_N_2012!$B$60,$AW29,SUMIF($B$10:$B$16,"NCAP_TLIFE",$AX$10:$AX$16)),0,""))</f>
        <v/>
      </c>
      <c r="AK29" s="369" t="str">
        <f ca="1">IF($B29&lt;&gt;"PRC_RESID","",IF(AK$7=2005+OFFSET(COM_N_2012!$B$60,$AW29,SUMIF($B$10:$B$16,"NCAP_TLIFE",$AX$10:$AX$16)),0,""))</f>
        <v/>
      </c>
      <c r="AL29" s="369" t="str">
        <f ca="1">IF($B29&lt;&gt;"PRC_RESID","",IF(AL$7=2005+OFFSET(COM_N_2012!$B$60,$AW29,SUMIF($B$10:$B$16,"NCAP_TLIFE",$AX$10:$AX$16)),0,""))</f>
        <v/>
      </c>
      <c r="AM29" s="369" t="str">
        <f ca="1">IF($B29&lt;&gt;"PRC_RESID","",IF(AM$7=2005+OFFSET(COM_N_2012!$B$60,$AW29,SUMIF($B$10:$B$16,"NCAP_TLIFE",$AX$10:$AX$16)),0,""))</f>
        <v/>
      </c>
      <c r="AN29" s="369" t="str">
        <f ca="1">IF($B29&lt;&gt;"PRC_RESID","",IF(AN$7=2005+OFFSET(COM_N_2012!$B$60,$AW29,SUMIF($B$10:$B$16,"NCAP_TLIFE",$AX$10:$AX$16)),0,""))</f>
        <v/>
      </c>
      <c r="AO29" s="369" t="str">
        <f ca="1">IF($B29&lt;&gt;"PRC_RESID","",IF(AO$7=2005+OFFSET(COM_N_2012!$B$60,$AW29,SUMIF($B$10:$B$16,"NCAP_TLIFE",$AX$10:$AX$16)),0,""))</f>
        <v/>
      </c>
      <c r="AP29" s="369" t="str">
        <f ca="1">IF($B29&lt;&gt;"PRC_RESID","",IF(AP$7=2005+OFFSET(COM_N_2012!$B$60,$AW29,SUMIF($B$10:$B$16,"NCAP_TLIFE",$AX$10:$AX$16)),0,""))</f>
        <v/>
      </c>
      <c r="AQ29" s="369" t="str">
        <f ca="1">IF($B29&lt;&gt;"PRC_RESID","",IF(AQ$7=2005+OFFSET(COM_N_2012!$B$60,$AW29,SUMIF($B$10:$B$16,"NCAP_TLIFE",$AX$10:$AX$16)),0,""))</f>
        <v/>
      </c>
      <c r="AR29" s="369" t="str">
        <f ca="1">IF($B29&lt;&gt;"PRC_RESID","",IF(AR$7=2005+OFFSET(COM_N_2012!$B$60,$AW29,SUMIF($B$10:$B$16,"NCAP_TLIFE",$AX$10:$AX$16)),0,""))</f>
        <v/>
      </c>
      <c r="AS29" s="369" t="str">
        <f ca="1">IF($B29&lt;&gt;"PRC_RESID","",IF(AS$7=2005+OFFSET(COM_N_2012!$B$60,$AW29,SUMIF($B$10:$B$16,"NCAP_TLIFE",$AX$10:$AX$16)),0,""))</f>
        <v/>
      </c>
      <c r="AT29" s="369" t="str">
        <f ca="1">IF($B29&lt;&gt;"PRC_RESID","",IF(AT$7=2005+OFFSET(COM_N_2012!$B$60,$AW29,SUMIF($B$10:$B$16,"NCAP_TLIFE",$AX$10:$AX$16)),0,""))</f>
        <v/>
      </c>
      <c r="AU29" s="369" t="str">
        <f ca="1">IF($B29&lt;&gt;"PRC_RESID","",IF(AU$7=2005+OFFSET(COM_N_2012!$B$60,$AW29,SUMIF($B$10:$B$16,"NCAP_TLIFE",$AX$10:$AX$16)),0,""))</f>
        <v/>
      </c>
      <c r="AV29" s="304">
        <f>IF(AW28=COM_N_2012!$AK$121,AV28+1,AV28)</f>
        <v>1</v>
      </c>
      <c r="AW29" s="304">
        <f t="shared" si="4"/>
        <v>12</v>
      </c>
    </row>
    <row r="30" spans="1:49">
      <c r="A30" s="304" t="str">
        <f ca="1">IF(LEFT(OFFSET(COM_N_2012!$A$60,AW30,0),2)="\I","*","")</f>
        <v/>
      </c>
      <c r="B30" s="369" t="str">
        <f t="shared" ca="1" si="2"/>
        <v>ACT_EFF</v>
      </c>
      <c r="C30" s="369" t="str">
        <f ca="1">IF($A30="*","",OFFSET(COM_N_2012!$B$60,AW30,0))</f>
        <v>CNHGAS-N</v>
      </c>
      <c r="D30" s="369" t="str">
        <f t="shared" ca="1" si="5"/>
        <v>-</v>
      </c>
      <c r="E30" s="369" t="str">
        <f t="shared" ca="1" si="5"/>
        <v>ACTGRP</v>
      </c>
      <c r="F30" s="369" t="str">
        <f t="shared" ca="1" si="5"/>
        <v>-</v>
      </c>
      <c r="G30" s="369" t="str">
        <f t="shared" ca="1" si="5"/>
        <v>ANNUAL</v>
      </c>
      <c r="H30" s="369" t="str">
        <f t="shared" ca="1" si="5"/>
        <v>-</v>
      </c>
      <c r="I30" s="370">
        <f t="shared" ca="1" si="5"/>
        <v>0</v>
      </c>
      <c r="J30" s="391">
        <f ca="1">IF($A30="*","",OFFSET(COM_N_2012!$B$60,AW30,SUMIF($B$10:$B$16,B30,$AX$10:$AX$16)))</f>
        <v>0.88</v>
      </c>
      <c r="K30" s="369" t="str">
        <f ca="1">IF($B30&lt;&gt;"PRC_RESID","",IF(K$7=2005+OFFSET(COM_N_2012!$B$60,$AW30,SUMIF($B$10:$B$16,"NCAP_TLIFE",$AX$10:$AX$16)),0,""))</f>
        <v/>
      </c>
      <c r="L30" s="369" t="str">
        <f ca="1">IF($B30&lt;&gt;"PRC_RESID","",IF(L$7=2005+OFFSET(COM_N_2012!$B$60,$AW30,SUMIF($B$10:$B$16,"NCAP_TLIFE",$AX$10:$AX$16)),0,""))</f>
        <v/>
      </c>
      <c r="M30" s="369" t="str">
        <f ca="1">IF($B30&lt;&gt;"PRC_RESID","",IF(M$7=2005+OFFSET(COM_N_2012!$B$60,$AW30,SUMIF($B$10:$B$16,"NCAP_TLIFE",$AX$10:$AX$16)),0,""))</f>
        <v/>
      </c>
      <c r="N30" s="369" t="str">
        <f ca="1">IF($B30&lt;&gt;"PRC_RESID","",IF(N$7=2005+OFFSET(COM_N_2012!$B$60,$AW30,SUMIF($B$10:$B$16,"NCAP_TLIFE",$AX$10:$AX$16)),0,""))</f>
        <v/>
      </c>
      <c r="O30" s="369" t="str">
        <f ca="1">IF($B30&lt;&gt;"PRC_RESID","",IF(O$7=2005+OFFSET(COM_N_2012!$B$60,$AW30,SUMIF($B$10:$B$16,"NCAP_TLIFE",$AX$10:$AX$16)),0,""))</f>
        <v/>
      </c>
      <c r="P30" s="369" t="str">
        <f ca="1">IF($B30&lt;&gt;"PRC_RESID","",IF(P$7=2005+OFFSET(COM_N_2012!$B$60,$AW30,SUMIF($B$10:$B$16,"NCAP_TLIFE",$AX$10:$AX$16)),0,""))</f>
        <v/>
      </c>
      <c r="Q30" s="369" t="str">
        <f ca="1">IF($B30&lt;&gt;"PRC_RESID","",IF(Q$7=2005+OFFSET(COM_N_2012!$B$60,$AW30,SUMIF($B$10:$B$16,"NCAP_TLIFE",$AX$10:$AX$16)),0,""))</f>
        <v/>
      </c>
      <c r="R30" s="369" t="str">
        <f ca="1">IF($B30&lt;&gt;"PRC_RESID","",IF(R$7=2005+OFFSET(COM_N_2012!$B$60,$AW30,SUMIF($B$10:$B$16,"NCAP_TLIFE",$AX$10:$AX$16)),0,""))</f>
        <v/>
      </c>
      <c r="S30" s="369" t="str">
        <f ca="1">IF($B30&lt;&gt;"PRC_RESID","",IF(S$7=2005+OFFSET(COM_N_2012!$B$60,$AW30,SUMIF($B$10:$B$16,"NCAP_TLIFE",$AX$10:$AX$16)),0,""))</f>
        <v/>
      </c>
      <c r="T30" s="369" t="str">
        <f ca="1">IF($B30&lt;&gt;"PRC_RESID","",IF(T$7=2005+OFFSET(COM_N_2012!$B$60,$AW30,SUMIF($B$10:$B$16,"NCAP_TLIFE",$AX$10:$AX$16)),0,""))</f>
        <v/>
      </c>
      <c r="U30" s="369" t="str">
        <f ca="1">IF($B30&lt;&gt;"PRC_RESID","",IF(U$7=2005+OFFSET(COM_N_2012!$B$60,$AW30,SUMIF($B$10:$B$16,"NCAP_TLIFE",$AX$10:$AX$16)),0,""))</f>
        <v/>
      </c>
      <c r="V30" s="369" t="str">
        <f ca="1">IF($B30&lt;&gt;"PRC_RESID","",IF(V$7=2005+OFFSET(COM_N_2012!$B$60,$AW30,SUMIF($B$10:$B$16,"NCAP_TLIFE",$AX$10:$AX$16)),0,""))</f>
        <v/>
      </c>
      <c r="W30" s="369" t="str">
        <f ca="1">IF($B30&lt;&gt;"PRC_RESID","",IF(W$7=2005+OFFSET(COM_N_2012!$B$60,$AW30,SUMIF($B$10:$B$16,"NCAP_TLIFE",$AX$10:$AX$16)),0,""))</f>
        <v/>
      </c>
      <c r="X30" s="369" t="str">
        <f ca="1">IF($B30&lt;&gt;"PRC_RESID","",IF(X$7=2005+OFFSET(COM_N_2012!$B$60,$AW30,SUMIF($B$10:$B$16,"NCAP_TLIFE",$AX$10:$AX$16)),0,""))</f>
        <v/>
      </c>
      <c r="Y30" s="369" t="str">
        <f ca="1">IF($B30&lt;&gt;"PRC_RESID","",IF(Y$7=2005+OFFSET(COM_N_2012!$B$60,$AW30,SUMIF($B$10:$B$16,"NCAP_TLIFE",$AX$10:$AX$16)),0,""))</f>
        <v/>
      </c>
      <c r="Z30" s="369" t="str">
        <f ca="1">IF($B30&lt;&gt;"PRC_RESID","",IF(Z$7=2005+OFFSET(COM_N_2012!$B$60,$AW30,SUMIF($B$10:$B$16,"NCAP_TLIFE",$AX$10:$AX$16)),0,""))</f>
        <v/>
      </c>
      <c r="AA30" s="369" t="str">
        <f ca="1">IF($B30&lt;&gt;"PRC_RESID","",IF(AA$7=2005+OFFSET(COM_N_2012!$B$60,$AW30,SUMIF($B$10:$B$16,"NCAP_TLIFE",$AX$10:$AX$16)),0,""))</f>
        <v/>
      </c>
      <c r="AB30" s="369" t="str">
        <f ca="1">IF($B30&lt;&gt;"PRC_RESID","",IF(AB$7=2005+OFFSET(COM_N_2012!$B$60,$AW30,SUMIF($B$10:$B$16,"NCAP_TLIFE",$AX$10:$AX$16)),0,""))</f>
        <v/>
      </c>
      <c r="AC30" s="369" t="str">
        <f ca="1">IF($B30&lt;&gt;"PRC_RESID","",IF(AC$7=2005+OFFSET(COM_N_2012!$B$60,$AW30,SUMIF($B$10:$B$16,"NCAP_TLIFE",$AX$10:$AX$16)),0,""))</f>
        <v/>
      </c>
      <c r="AD30" s="369" t="str">
        <f ca="1">IF($B30&lt;&gt;"PRC_RESID","",IF(AD$7=2005+OFFSET(COM_N_2012!$B$60,$AW30,SUMIF($B$10:$B$16,"NCAP_TLIFE",$AX$10:$AX$16)),0,""))</f>
        <v/>
      </c>
      <c r="AE30" s="369" t="str">
        <f ca="1">IF($B30&lt;&gt;"PRC_RESID","",IF(AE$7=2005+OFFSET(COM_N_2012!$B$60,$AW30,SUMIF($B$10:$B$16,"NCAP_TLIFE",$AX$10:$AX$16)),0,""))</f>
        <v/>
      </c>
      <c r="AF30" s="369" t="str">
        <f ca="1">IF($B30&lt;&gt;"PRC_RESID","",IF(AF$7=2005+OFFSET(COM_N_2012!$B$60,$AW30,SUMIF($B$10:$B$16,"NCAP_TLIFE",$AX$10:$AX$16)),0,""))</f>
        <v/>
      </c>
      <c r="AG30" s="369" t="str">
        <f ca="1">IF($B30&lt;&gt;"PRC_RESID","",IF(AG$7=2005+OFFSET(COM_N_2012!$B$60,$AW30,SUMIF($B$10:$B$16,"NCAP_TLIFE",$AX$10:$AX$16)),0,""))</f>
        <v/>
      </c>
      <c r="AH30" s="369" t="str">
        <f ca="1">IF($B30&lt;&gt;"PRC_RESID","",IF(AH$7=2005+OFFSET(COM_N_2012!$B$60,$AW30,SUMIF($B$10:$B$16,"NCAP_TLIFE",$AX$10:$AX$16)),0,""))</f>
        <v/>
      </c>
      <c r="AI30" s="369" t="str">
        <f ca="1">IF($B30&lt;&gt;"PRC_RESID","",IF(AI$7=2005+OFFSET(COM_N_2012!$B$60,$AW30,SUMIF($B$10:$B$16,"NCAP_TLIFE",$AX$10:$AX$16)),0,""))</f>
        <v/>
      </c>
      <c r="AJ30" s="369" t="str">
        <f ca="1">IF($B30&lt;&gt;"PRC_RESID","",IF(AJ$7=2005+OFFSET(COM_N_2012!$B$60,$AW30,SUMIF($B$10:$B$16,"NCAP_TLIFE",$AX$10:$AX$16)),0,""))</f>
        <v/>
      </c>
      <c r="AK30" s="369" t="str">
        <f ca="1">IF($B30&lt;&gt;"PRC_RESID","",IF(AK$7=2005+OFFSET(COM_N_2012!$B$60,$AW30,SUMIF($B$10:$B$16,"NCAP_TLIFE",$AX$10:$AX$16)),0,""))</f>
        <v/>
      </c>
      <c r="AL30" s="369" t="str">
        <f ca="1">IF($B30&lt;&gt;"PRC_RESID","",IF(AL$7=2005+OFFSET(COM_N_2012!$B$60,$AW30,SUMIF($B$10:$B$16,"NCAP_TLIFE",$AX$10:$AX$16)),0,""))</f>
        <v/>
      </c>
      <c r="AM30" s="369" t="str">
        <f ca="1">IF($B30&lt;&gt;"PRC_RESID","",IF(AM$7=2005+OFFSET(COM_N_2012!$B$60,$AW30,SUMIF($B$10:$B$16,"NCAP_TLIFE",$AX$10:$AX$16)),0,""))</f>
        <v/>
      </c>
      <c r="AN30" s="369" t="str">
        <f ca="1">IF($B30&lt;&gt;"PRC_RESID","",IF(AN$7=2005+OFFSET(COM_N_2012!$B$60,$AW30,SUMIF($B$10:$B$16,"NCAP_TLIFE",$AX$10:$AX$16)),0,""))</f>
        <v/>
      </c>
      <c r="AO30" s="369" t="str">
        <f ca="1">IF($B30&lt;&gt;"PRC_RESID","",IF(AO$7=2005+OFFSET(COM_N_2012!$B$60,$AW30,SUMIF($B$10:$B$16,"NCAP_TLIFE",$AX$10:$AX$16)),0,""))</f>
        <v/>
      </c>
      <c r="AP30" s="369" t="str">
        <f ca="1">IF($B30&lt;&gt;"PRC_RESID","",IF(AP$7=2005+OFFSET(COM_N_2012!$B$60,$AW30,SUMIF($B$10:$B$16,"NCAP_TLIFE",$AX$10:$AX$16)),0,""))</f>
        <v/>
      </c>
      <c r="AQ30" s="369" t="str">
        <f ca="1">IF($B30&lt;&gt;"PRC_RESID","",IF(AQ$7=2005+OFFSET(COM_N_2012!$B$60,$AW30,SUMIF($B$10:$B$16,"NCAP_TLIFE",$AX$10:$AX$16)),0,""))</f>
        <v/>
      </c>
      <c r="AR30" s="369" t="str">
        <f ca="1">IF($B30&lt;&gt;"PRC_RESID","",IF(AR$7=2005+OFFSET(COM_N_2012!$B$60,$AW30,SUMIF($B$10:$B$16,"NCAP_TLIFE",$AX$10:$AX$16)),0,""))</f>
        <v/>
      </c>
      <c r="AS30" s="369" t="str">
        <f ca="1">IF($B30&lt;&gt;"PRC_RESID","",IF(AS$7=2005+OFFSET(COM_N_2012!$B$60,$AW30,SUMIF($B$10:$B$16,"NCAP_TLIFE",$AX$10:$AX$16)),0,""))</f>
        <v/>
      </c>
      <c r="AT30" s="369" t="str">
        <f ca="1">IF($B30&lt;&gt;"PRC_RESID","",IF(AT$7=2005+OFFSET(COM_N_2012!$B$60,$AW30,SUMIF($B$10:$B$16,"NCAP_TLIFE",$AX$10:$AX$16)),0,""))</f>
        <v/>
      </c>
      <c r="AU30" s="369" t="str">
        <f ca="1">IF($B30&lt;&gt;"PRC_RESID","",IF(AU$7=2005+OFFSET(COM_N_2012!$B$60,$AW30,SUMIF($B$10:$B$16,"NCAP_TLIFE",$AX$10:$AX$16)),0,""))</f>
        <v/>
      </c>
      <c r="AV30" s="304">
        <f>IF(AW29=COM_N_2012!$AK$121,AV29+1,AV29)</f>
        <v>1</v>
      </c>
      <c r="AW30" s="304">
        <f t="shared" si="4"/>
        <v>13</v>
      </c>
    </row>
    <row r="31" spans="1:49">
      <c r="A31" s="304" t="str">
        <f ca="1">IF(LEFT(OFFSET(COM_N_2012!$A$60,AW31,0),2)="\I","*","")</f>
        <v>*</v>
      </c>
      <c r="B31" s="369" t="str">
        <f t="shared" ca="1" si="2"/>
        <v/>
      </c>
      <c r="C31" s="369" t="str">
        <f ca="1">IF($A31="*","",OFFSET(COM_N_2012!$B$60,AW31,0))</f>
        <v/>
      </c>
      <c r="D31" s="369" t="str">
        <f t="shared" ca="1" si="5"/>
        <v/>
      </c>
      <c r="E31" s="369" t="str">
        <f t="shared" ca="1" si="5"/>
        <v/>
      </c>
      <c r="F31" s="369" t="str">
        <f t="shared" ca="1" si="5"/>
        <v/>
      </c>
      <c r="G31" s="369" t="str">
        <f t="shared" ca="1" si="5"/>
        <v/>
      </c>
      <c r="H31" s="369" t="str">
        <f t="shared" ca="1" si="5"/>
        <v/>
      </c>
      <c r="I31" s="370" t="str">
        <f t="shared" ca="1" si="5"/>
        <v/>
      </c>
      <c r="J31" s="391" t="str">
        <f ca="1">IF($A31="*","",OFFSET(COM_N_2012!$B$60,AW31,SUMIF($B$10:$B$16,B31,$AX$10:$AX$16)))</f>
        <v/>
      </c>
      <c r="K31" s="369" t="str">
        <f ca="1">IF($B31&lt;&gt;"PRC_RESID","",IF(K$7=2005+OFFSET(COM_N_2012!$B$60,$AW31,SUMIF($B$10:$B$16,"NCAP_TLIFE",$AX$10:$AX$16)),0,""))</f>
        <v/>
      </c>
      <c r="L31" s="369" t="str">
        <f ca="1">IF($B31&lt;&gt;"PRC_RESID","",IF(L$7=2005+OFFSET(COM_N_2012!$B$60,$AW31,SUMIF($B$10:$B$16,"NCAP_TLIFE",$AX$10:$AX$16)),0,""))</f>
        <v/>
      </c>
      <c r="M31" s="369" t="str">
        <f ca="1">IF($B31&lt;&gt;"PRC_RESID","",IF(M$7=2005+OFFSET(COM_N_2012!$B$60,$AW31,SUMIF($B$10:$B$16,"NCAP_TLIFE",$AX$10:$AX$16)),0,""))</f>
        <v/>
      </c>
      <c r="N31" s="369" t="str">
        <f ca="1">IF($B31&lt;&gt;"PRC_RESID","",IF(N$7=2005+OFFSET(COM_N_2012!$B$60,$AW31,SUMIF($B$10:$B$16,"NCAP_TLIFE",$AX$10:$AX$16)),0,""))</f>
        <v/>
      </c>
      <c r="O31" s="369" t="str">
        <f ca="1">IF($B31&lt;&gt;"PRC_RESID","",IF(O$7=2005+OFFSET(COM_N_2012!$B$60,$AW31,SUMIF($B$10:$B$16,"NCAP_TLIFE",$AX$10:$AX$16)),0,""))</f>
        <v/>
      </c>
      <c r="P31" s="369" t="str">
        <f ca="1">IF($B31&lt;&gt;"PRC_RESID","",IF(P$7=2005+OFFSET(COM_N_2012!$B$60,$AW31,SUMIF($B$10:$B$16,"NCAP_TLIFE",$AX$10:$AX$16)),0,""))</f>
        <v/>
      </c>
      <c r="Q31" s="369" t="str">
        <f ca="1">IF($B31&lt;&gt;"PRC_RESID","",IF(Q$7=2005+OFFSET(COM_N_2012!$B$60,$AW31,SUMIF($B$10:$B$16,"NCAP_TLIFE",$AX$10:$AX$16)),0,""))</f>
        <v/>
      </c>
      <c r="R31" s="369" t="str">
        <f ca="1">IF($B31&lt;&gt;"PRC_RESID","",IF(R$7=2005+OFFSET(COM_N_2012!$B$60,$AW31,SUMIF($B$10:$B$16,"NCAP_TLIFE",$AX$10:$AX$16)),0,""))</f>
        <v/>
      </c>
      <c r="S31" s="369" t="str">
        <f ca="1">IF($B31&lt;&gt;"PRC_RESID","",IF(S$7=2005+OFFSET(COM_N_2012!$B$60,$AW31,SUMIF($B$10:$B$16,"NCAP_TLIFE",$AX$10:$AX$16)),0,""))</f>
        <v/>
      </c>
      <c r="T31" s="369" t="str">
        <f ca="1">IF($B31&lt;&gt;"PRC_RESID","",IF(T$7=2005+OFFSET(COM_N_2012!$B$60,$AW31,SUMIF($B$10:$B$16,"NCAP_TLIFE",$AX$10:$AX$16)),0,""))</f>
        <v/>
      </c>
      <c r="U31" s="369" t="str">
        <f ca="1">IF($B31&lt;&gt;"PRC_RESID","",IF(U$7=2005+OFFSET(COM_N_2012!$B$60,$AW31,SUMIF($B$10:$B$16,"NCAP_TLIFE",$AX$10:$AX$16)),0,""))</f>
        <v/>
      </c>
      <c r="V31" s="369" t="str">
        <f ca="1">IF($B31&lt;&gt;"PRC_RESID","",IF(V$7=2005+OFFSET(COM_N_2012!$B$60,$AW31,SUMIF($B$10:$B$16,"NCAP_TLIFE",$AX$10:$AX$16)),0,""))</f>
        <v/>
      </c>
      <c r="W31" s="369" t="str">
        <f ca="1">IF($B31&lt;&gt;"PRC_RESID","",IF(W$7=2005+OFFSET(COM_N_2012!$B$60,$AW31,SUMIF($B$10:$B$16,"NCAP_TLIFE",$AX$10:$AX$16)),0,""))</f>
        <v/>
      </c>
      <c r="X31" s="369" t="str">
        <f ca="1">IF($B31&lt;&gt;"PRC_RESID","",IF(X$7=2005+OFFSET(COM_N_2012!$B$60,$AW31,SUMIF($B$10:$B$16,"NCAP_TLIFE",$AX$10:$AX$16)),0,""))</f>
        <v/>
      </c>
      <c r="Y31" s="369" t="str">
        <f ca="1">IF($B31&lt;&gt;"PRC_RESID","",IF(Y$7=2005+OFFSET(COM_N_2012!$B$60,$AW31,SUMIF($B$10:$B$16,"NCAP_TLIFE",$AX$10:$AX$16)),0,""))</f>
        <v/>
      </c>
      <c r="Z31" s="369" t="str">
        <f ca="1">IF($B31&lt;&gt;"PRC_RESID","",IF(Z$7=2005+OFFSET(COM_N_2012!$B$60,$AW31,SUMIF($B$10:$B$16,"NCAP_TLIFE",$AX$10:$AX$16)),0,""))</f>
        <v/>
      </c>
      <c r="AA31" s="369" t="str">
        <f ca="1">IF($B31&lt;&gt;"PRC_RESID","",IF(AA$7=2005+OFFSET(COM_N_2012!$B$60,$AW31,SUMIF($B$10:$B$16,"NCAP_TLIFE",$AX$10:$AX$16)),0,""))</f>
        <v/>
      </c>
      <c r="AB31" s="369" t="str">
        <f ca="1">IF($B31&lt;&gt;"PRC_RESID","",IF(AB$7=2005+OFFSET(COM_N_2012!$B$60,$AW31,SUMIF($B$10:$B$16,"NCAP_TLIFE",$AX$10:$AX$16)),0,""))</f>
        <v/>
      </c>
      <c r="AC31" s="369" t="str">
        <f ca="1">IF($B31&lt;&gt;"PRC_RESID","",IF(AC$7=2005+OFFSET(COM_N_2012!$B$60,$AW31,SUMIF($B$10:$B$16,"NCAP_TLIFE",$AX$10:$AX$16)),0,""))</f>
        <v/>
      </c>
      <c r="AD31" s="369" t="str">
        <f ca="1">IF($B31&lt;&gt;"PRC_RESID","",IF(AD$7=2005+OFFSET(COM_N_2012!$B$60,$AW31,SUMIF($B$10:$B$16,"NCAP_TLIFE",$AX$10:$AX$16)),0,""))</f>
        <v/>
      </c>
      <c r="AE31" s="369" t="str">
        <f ca="1">IF($B31&lt;&gt;"PRC_RESID","",IF(AE$7=2005+OFFSET(COM_N_2012!$B$60,$AW31,SUMIF($B$10:$B$16,"NCAP_TLIFE",$AX$10:$AX$16)),0,""))</f>
        <v/>
      </c>
      <c r="AF31" s="369" t="str">
        <f ca="1">IF($B31&lt;&gt;"PRC_RESID","",IF(AF$7=2005+OFFSET(COM_N_2012!$B$60,$AW31,SUMIF($B$10:$B$16,"NCAP_TLIFE",$AX$10:$AX$16)),0,""))</f>
        <v/>
      </c>
      <c r="AG31" s="369" t="str">
        <f ca="1">IF($B31&lt;&gt;"PRC_RESID","",IF(AG$7=2005+OFFSET(COM_N_2012!$B$60,$AW31,SUMIF($B$10:$B$16,"NCAP_TLIFE",$AX$10:$AX$16)),0,""))</f>
        <v/>
      </c>
      <c r="AH31" s="369" t="str">
        <f ca="1">IF($B31&lt;&gt;"PRC_RESID","",IF(AH$7=2005+OFFSET(COM_N_2012!$B$60,$AW31,SUMIF($B$10:$B$16,"NCAP_TLIFE",$AX$10:$AX$16)),0,""))</f>
        <v/>
      </c>
      <c r="AI31" s="369" t="str">
        <f ca="1">IF($B31&lt;&gt;"PRC_RESID","",IF(AI$7=2005+OFFSET(COM_N_2012!$B$60,$AW31,SUMIF($B$10:$B$16,"NCAP_TLIFE",$AX$10:$AX$16)),0,""))</f>
        <v/>
      </c>
      <c r="AJ31" s="369" t="str">
        <f ca="1">IF($B31&lt;&gt;"PRC_RESID","",IF(AJ$7=2005+OFFSET(COM_N_2012!$B$60,$AW31,SUMIF($B$10:$B$16,"NCAP_TLIFE",$AX$10:$AX$16)),0,""))</f>
        <v/>
      </c>
      <c r="AK31" s="369" t="str">
        <f ca="1">IF($B31&lt;&gt;"PRC_RESID","",IF(AK$7=2005+OFFSET(COM_N_2012!$B$60,$AW31,SUMIF($B$10:$B$16,"NCAP_TLIFE",$AX$10:$AX$16)),0,""))</f>
        <v/>
      </c>
      <c r="AL31" s="369" t="str">
        <f ca="1">IF($B31&lt;&gt;"PRC_RESID","",IF(AL$7=2005+OFFSET(COM_N_2012!$B$60,$AW31,SUMIF($B$10:$B$16,"NCAP_TLIFE",$AX$10:$AX$16)),0,""))</f>
        <v/>
      </c>
      <c r="AM31" s="369" t="str">
        <f ca="1">IF($B31&lt;&gt;"PRC_RESID","",IF(AM$7=2005+OFFSET(COM_N_2012!$B$60,$AW31,SUMIF($B$10:$B$16,"NCAP_TLIFE",$AX$10:$AX$16)),0,""))</f>
        <v/>
      </c>
      <c r="AN31" s="369" t="str">
        <f ca="1">IF($B31&lt;&gt;"PRC_RESID","",IF(AN$7=2005+OFFSET(COM_N_2012!$B$60,$AW31,SUMIF($B$10:$B$16,"NCAP_TLIFE",$AX$10:$AX$16)),0,""))</f>
        <v/>
      </c>
      <c r="AO31" s="369" t="str">
        <f ca="1">IF($B31&lt;&gt;"PRC_RESID","",IF(AO$7=2005+OFFSET(COM_N_2012!$B$60,$AW31,SUMIF($B$10:$B$16,"NCAP_TLIFE",$AX$10:$AX$16)),0,""))</f>
        <v/>
      </c>
      <c r="AP31" s="369" t="str">
        <f ca="1">IF($B31&lt;&gt;"PRC_RESID","",IF(AP$7=2005+OFFSET(COM_N_2012!$B$60,$AW31,SUMIF($B$10:$B$16,"NCAP_TLIFE",$AX$10:$AX$16)),0,""))</f>
        <v/>
      </c>
      <c r="AQ31" s="369" t="str">
        <f ca="1">IF($B31&lt;&gt;"PRC_RESID","",IF(AQ$7=2005+OFFSET(COM_N_2012!$B$60,$AW31,SUMIF($B$10:$B$16,"NCAP_TLIFE",$AX$10:$AX$16)),0,""))</f>
        <v/>
      </c>
      <c r="AR31" s="369" t="str">
        <f ca="1">IF($B31&lt;&gt;"PRC_RESID","",IF(AR$7=2005+OFFSET(COM_N_2012!$B$60,$AW31,SUMIF($B$10:$B$16,"NCAP_TLIFE",$AX$10:$AX$16)),0,""))</f>
        <v/>
      </c>
      <c r="AS31" s="369" t="str">
        <f ca="1">IF($B31&lt;&gt;"PRC_RESID","",IF(AS$7=2005+OFFSET(COM_N_2012!$B$60,$AW31,SUMIF($B$10:$B$16,"NCAP_TLIFE",$AX$10:$AX$16)),0,""))</f>
        <v/>
      </c>
      <c r="AT31" s="369" t="str">
        <f ca="1">IF($B31&lt;&gt;"PRC_RESID","",IF(AT$7=2005+OFFSET(COM_N_2012!$B$60,$AW31,SUMIF($B$10:$B$16,"NCAP_TLIFE",$AX$10:$AX$16)),0,""))</f>
        <v/>
      </c>
      <c r="AU31" s="369" t="str">
        <f ca="1">IF($B31&lt;&gt;"PRC_RESID","",IF(AU$7=2005+OFFSET(COM_N_2012!$B$60,$AW31,SUMIF($B$10:$B$16,"NCAP_TLIFE",$AX$10:$AX$16)),0,""))</f>
        <v/>
      </c>
      <c r="AV31" s="304">
        <f>IF(AW30=COM_N_2012!$AK$121,AV30+1,AV30)</f>
        <v>1</v>
      </c>
      <c r="AW31" s="304">
        <f t="shared" si="4"/>
        <v>14</v>
      </c>
    </row>
    <row r="32" spans="1:49">
      <c r="A32" s="304" t="str">
        <f ca="1">IF(LEFT(OFFSET(COM_N_2012!$A$60,AW32,0),2)="\I","*","")</f>
        <v>*</v>
      </c>
      <c r="B32" s="369" t="str">
        <f t="shared" ca="1" si="2"/>
        <v/>
      </c>
      <c r="C32" s="369" t="str">
        <f ca="1">IF($A32="*","",OFFSET(COM_N_2012!$B$60,AW32,0))</f>
        <v/>
      </c>
      <c r="D32" s="369" t="str">
        <f t="shared" ca="1" si="5"/>
        <v/>
      </c>
      <c r="E32" s="369" t="str">
        <f t="shared" ca="1" si="5"/>
        <v/>
      </c>
      <c r="F32" s="369" t="str">
        <f t="shared" ca="1" si="5"/>
        <v/>
      </c>
      <c r="G32" s="369" t="str">
        <f t="shared" ca="1" si="5"/>
        <v/>
      </c>
      <c r="H32" s="369" t="str">
        <f t="shared" ca="1" si="5"/>
        <v/>
      </c>
      <c r="I32" s="370" t="str">
        <f t="shared" ca="1" si="5"/>
        <v/>
      </c>
      <c r="J32" s="391" t="str">
        <f ca="1">IF($A32="*","",OFFSET(COM_N_2012!$B$60,AW32,SUMIF($B$10:$B$16,B32,$AX$10:$AX$16)))</f>
        <v/>
      </c>
      <c r="K32" s="369" t="str">
        <f ca="1">IF($B32&lt;&gt;"PRC_RESID","",IF(K$7=2005+OFFSET(COM_N_2012!$B$60,$AW32,SUMIF($B$10:$B$16,"NCAP_TLIFE",$AX$10:$AX$16)),0,""))</f>
        <v/>
      </c>
      <c r="L32" s="369" t="str">
        <f ca="1">IF($B32&lt;&gt;"PRC_RESID","",IF(L$7=2005+OFFSET(COM_N_2012!$B$60,$AW32,SUMIF($B$10:$B$16,"NCAP_TLIFE",$AX$10:$AX$16)),0,""))</f>
        <v/>
      </c>
      <c r="M32" s="369" t="str">
        <f ca="1">IF($B32&lt;&gt;"PRC_RESID","",IF(M$7=2005+OFFSET(COM_N_2012!$B$60,$AW32,SUMIF($B$10:$B$16,"NCAP_TLIFE",$AX$10:$AX$16)),0,""))</f>
        <v/>
      </c>
      <c r="N32" s="369" t="str">
        <f ca="1">IF($B32&lt;&gt;"PRC_RESID","",IF(N$7=2005+OFFSET(COM_N_2012!$B$60,$AW32,SUMIF($B$10:$B$16,"NCAP_TLIFE",$AX$10:$AX$16)),0,""))</f>
        <v/>
      </c>
      <c r="O32" s="369" t="str">
        <f ca="1">IF($B32&lt;&gt;"PRC_RESID","",IF(O$7=2005+OFFSET(COM_N_2012!$B$60,$AW32,SUMIF($B$10:$B$16,"NCAP_TLIFE",$AX$10:$AX$16)),0,""))</f>
        <v/>
      </c>
      <c r="P32" s="369" t="str">
        <f ca="1">IF($B32&lt;&gt;"PRC_RESID","",IF(P$7=2005+OFFSET(COM_N_2012!$B$60,$AW32,SUMIF($B$10:$B$16,"NCAP_TLIFE",$AX$10:$AX$16)),0,""))</f>
        <v/>
      </c>
      <c r="Q32" s="369" t="str">
        <f ca="1">IF($B32&lt;&gt;"PRC_RESID","",IF(Q$7=2005+OFFSET(COM_N_2012!$B$60,$AW32,SUMIF($B$10:$B$16,"NCAP_TLIFE",$AX$10:$AX$16)),0,""))</f>
        <v/>
      </c>
      <c r="R32" s="369" t="str">
        <f ca="1">IF($B32&lt;&gt;"PRC_RESID","",IF(R$7=2005+OFFSET(COM_N_2012!$B$60,$AW32,SUMIF($B$10:$B$16,"NCAP_TLIFE",$AX$10:$AX$16)),0,""))</f>
        <v/>
      </c>
      <c r="S32" s="369" t="str">
        <f ca="1">IF($B32&lt;&gt;"PRC_RESID","",IF(S$7=2005+OFFSET(COM_N_2012!$B$60,$AW32,SUMIF($B$10:$B$16,"NCAP_TLIFE",$AX$10:$AX$16)),0,""))</f>
        <v/>
      </c>
      <c r="T32" s="369" t="str">
        <f ca="1">IF($B32&lt;&gt;"PRC_RESID","",IF(T$7=2005+OFFSET(COM_N_2012!$B$60,$AW32,SUMIF($B$10:$B$16,"NCAP_TLIFE",$AX$10:$AX$16)),0,""))</f>
        <v/>
      </c>
      <c r="U32" s="369" t="str">
        <f ca="1">IF($B32&lt;&gt;"PRC_RESID","",IF(U$7=2005+OFFSET(COM_N_2012!$B$60,$AW32,SUMIF($B$10:$B$16,"NCAP_TLIFE",$AX$10:$AX$16)),0,""))</f>
        <v/>
      </c>
      <c r="V32" s="369" t="str">
        <f ca="1">IF($B32&lt;&gt;"PRC_RESID","",IF(V$7=2005+OFFSET(COM_N_2012!$B$60,$AW32,SUMIF($B$10:$B$16,"NCAP_TLIFE",$AX$10:$AX$16)),0,""))</f>
        <v/>
      </c>
      <c r="W32" s="369" t="str">
        <f ca="1">IF($B32&lt;&gt;"PRC_RESID","",IF(W$7=2005+OFFSET(COM_N_2012!$B$60,$AW32,SUMIF($B$10:$B$16,"NCAP_TLIFE",$AX$10:$AX$16)),0,""))</f>
        <v/>
      </c>
      <c r="X32" s="369" t="str">
        <f ca="1">IF($B32&lt;&gt;"PRC_RESID","",IF(X$7=2005+OFFSET(COM_N_2012!$B$60,$AW32,SUMIF($B$10:$B$16,"NCAP_TLIFE",$AX$10:$AX$16)),0,""))</f>
        <v/>
      </c>
      <c r="Y32" s="369" t="str">
        <f ca="1">IF($B32&lt;&gt;"PRC_RESID","",IF(Y$7=2005+OFFSET(COM_N_2012!$B$60,$AW32,SUMIF($B$10:$B$16,"NCAP_TLIFE",$AX$10:$AX$16)),0,""))</f>
        <v/>
      </c>
      <c r="Z32" s="369" t="str">
        <f ca="1">IF($B32&lt;&gt;"PRC_RESID","",IF(Z$7=2005+OFFSET(COM_N_2012!$B$60,$AW32,SUMIF($B$10:$B$16,"NCAP_TLIFE",$AX$10:$AX$16)),0,""))</f>
        <v/>
      </c>
      <c r="AA32" s="369" t="str">
        <f ca="1">IF($B32&lt;&gt;"PRC_RESID","",IF(AA$7=2005+OFFSET(COM_N_2012!$B$60,$AW32,SUMIF($B$10:$B$16,"NCAP_TLIFE",$AX$10:$AX$16)),0,""))</f>
        <v/>
      </c>
      <c r="AB32" s="369" t="str">
        <f ca="1">IF($B32&lt;&gt;"PRC_RESID","",IF(AB$7=2005+OFFSET(COM_N_2012!$B$60,$AW32,SUMIF($B$10:$B$16,"NCAP_TLIFE",$AX$10:$AX$16)),0,""))</f>
        <v/>
      </c>
      <c r="AC32" s="369" t="str">
        <f ca="1">IF($B32&lt;&gt;"PRC_RESID","",IF(AC$7=2005+OFFSET(COM_N_2012!$B$60,$AW32,SUMIF($B$10:$B$16,"NCAP_TLIFE",$AX$10:$AX$16)),0,""))</f>
        <v/>
      </c>
      <c r="AD32" s="369" t="str">
        <f ca="1">IF($B32&lt;&gt;"PRC_RESID","",IF(AD$7=2005+OFFSET(COM_N_2012!$B$60,$AW32,SUMIF($B$10:$B$16,"NCAP_TLIFE",$AX$10:$AX$16)),0,""))</f>
        <v/>
      </c>
      <c r="AE32" s="369" t="str">
        <f ca="1">IF($B32&lt;&gt;"PRC_RESID","",IF(AE$7=2005+OFFSET(COM_N_2012!$B$60,$AW32,SUMIF($B$10:$B$16,"NCAP_TLIFE",$AX$10:$AX$16)),0,""))</f>
        <v/>
      </c>
      <c r="AF32" s="369" t="str">
        <f ca="1">IF($B32&lt;&gt;"PRC_RESID","",IF(AF$7=2005+OFFSET(COM_N_2012!$B$60,$AW32,SUMIF($B$10:$B$16,"NCAP_TLIFE",$AX$10:$AX$16)),0,""))</f>
        <v/>
      </c>
      <c r="AG32" s="369" t="str">
        <f ca="1">IF($B32&lt;&gt;"PRC_RESID","",IF(AG$7=2005+OFFSET(COM_N_2012!$B$60,$AW32,SUMIF($B$10:$B$16,"NCAP_TLIFE",$AX$10:$AX$16)),0,""))</f>
        <v/>
      </c>
      <c r="AH32" s="369" t="str">
        <f ca="1">IF($B32&lt;&gt;"PRC_RESID","",IF(AH$7=2005+OFFSET(COM_N_2012!$B$60,$AW32,SUMIF($B$10:$B$16,"NCAP_TLIFE",$AX$10:$AX$16)),0,""))</f>
        <v/>
      </c>
      <c r="AI32" s="369" t="str">
        <f ca="1">IF($B32&lt;&gt;"PRC_RESID","",IF(AI$7=2005+OFFSET(COM_N_2012!$B$60,$AW32,SUMIF($B$10:$B$16,"NCAP_TLIFE",$AX$10:$AX$16)),0,""))</f>
        <v/>
      </c>
      <c r="AJ32" s="369" t="str">
        <f ca="1">IF($B32&lt;&gt;"PRC_RESID","",IF(AJ$7=2005+OFFSET(COM_N_2012!$B$60,$AW32,SUMIF($B$10:$B$16,"NCAP_TLIFE",$AX$10:$AX$16)),0,""))</f>
        <v/>
      </c>
      <c r="AK32" s="369" t="str">
        <f ca="1">IF($B32&lt;&gt;"PRC_RESID","",IF(AK$7=2005+OFFSET(COM_N_2012!$B$60,$AW32,SUMIF($B$10:$B$16,"NCAP_TLIFE",$AX$10:$AX$16)),0,""))</f>
        <v/>
      </c>
      <c r="AL32" s="369" t="str">
        <f ca="1">IF($B32&lt;&gt;"PRC_RESID","",IF(AL$7=2005+OFFSET(COM_N_2012!$B$60,$AW32,SUMIF($B$10:$B$16,"NCAP_TLIFE",$AX$10:$AX$16)),0,""))</f>
        <v/>
      </c>
      <c r="AM32" s="369" t="str">
        <f ca="1">IF($B32&lt;&gt;"PRC_RESID","",IF(AM$7=2005+OFFSET(COM_N_2012!$B$60,$AW32,SUMIF($B$10:$B$16,"NCAP_TLIFE",$AX$10:$AX$16)),0,""))</f>
        <v/>
      </c>
      <c r="AN32" s="369" t="str">
        <f ca="1">IF($B32&lt;&gt;"PRC_RESID","",IF(AN$7=2005+OFFSET(COM_N_2012!$B$60,$AW32,SUMIF($B$10:$B$16,"NCAP_TLIFE",$AX$10:$AX$16)),0,""))</f>
        <v/>
      </c>
      <c r="AO32" s="369" t="str">
        <f ca="1">IF($B32&lt;&gt;"PRC_RESID","",IF(AO$7=2005+OFFSET(COM_N_2012!$B$60,$AW32,SUMIF($B$10:$B$16,"NCAP_TLIFE",$AX$10:$AX$16)),0,""))</f>
        <v/>
      </c>
      <c r="AP32" s="369" t="str">
        <f ca="1">IF($B32&lt;&gt;"PRC_RESID","",IF(AP$7=2005+OFFSET(COM_N_2012!$B$60,$AW32,SUMIF($B$10:$B$16,"NCAP_TLIFE",$AX$10:$AX$16)),0,""))</f>
        <v/>
      </c>
      <c r="AQ32" s="369" t="str">
        <f ca="1">IF($B32&lt;&gt;"PRC_RESID","",IF(AQ$7=2005+OFFSET(COM_N_2012!$B$60,$AW32,SUMIF($B$10:$B$16,"NCAP_TLIFE",$AX$10:$AX$16)),0,""))</f>
        <v/>
      </c>
      <c r="AR32" s="369" t="str">
        <f ca="1">IF($B32&lt;&gt;"PRC_RESID","",IF(AR$7=2005+OFFSET(COM_N_2012!$B$60,$AW32,SUMIF($B$10:$B$16,"NCAP_TLIFE",$AX$10:$AX$16)),0,""))</f>
        <v/>
      </c>
      <c r="AS32" s="369" t="str">
        <f ca="1">IF($B32&lt;&gt;"PRC_RESID","",IF(AS$7=2005+OFFSET(COM_N_2012!$B$60,$AW32,SUMIF($B$10:$B$16,"NCAP_TLIFE",$AX$10:$AX$16)),0,""))</f>
        <v/>
      </c>
      <c r="AT32" s="369" t="str">
        <f ca="1">IF($B32&lt;&gt;"PRC_RESID","",IF(AT$7=2005+OFFSET(COM_N_2012!$B$60,$AW32,SUMIF($B$10:$B$16,"NCAP_TLIFE",$AX$10:$AX$16)),0,""))</f>
        <v/>
      </c>
      <c r="AU32" s="369" t="str">
        <f ca="1">IF($B32&lt;&gt;"PRC_RESID","",IF(AU$7=2005+OFFSET(COM_N_2012!$B$60,$AW32,SUMIF($B$10:$B$16,"NCAP_TLIFE",$AX$10:$AX$16)),0,""))</f>
        <v/>
      </c>
      <c r="AV32" s="304">
        <f>IF(AW31=COM_N_2012!$AK$121,AV31+1,AV31)</f>
        <v>1</v>
      </c>
      <c r="AW32" s="304">
        <f t="shared" si="4"/>
        <v>15</v>
      </c>
    </row>
    <row r="33" spans="1:49">
      <c r="A33" s="304" t="str">
        <f ca="1">IF(LEFT(OFFSET(COM_N_2012!$A$60,AW33,0),2)="\I","*","")</f>
        <v/>
      </c>
      <c r="B33" s="369" t="str">
        <f t="shared" ca="1" si="2"/>
        <v>ACT_EFF</v>
      </c>
      <c r="C33" s="369" t="str">
        <f ca="1">IF($A33="*","",OFFSET(COM_N_2012!$B$60,AW33,0))</f>
        <v>CNKOLP-E</v>
      </c>
      <c r="D33" s="369" t="str">
        <f t="shared" ca="1" si="5"/>
        <v>-</v>
      </c>
      <c r="E33" s="369" t="str">
        <f t="shared" ca="1" si="5"/>
        <v>ACTGRP</v>
      </c>
      <c r="F33" s="369" t="str">
        <f t="shared" ca="1" si="5"/>
        <v>-</v>
      </c>
      <c r="G33" s="369" t="str">
        <f t="shared" ca="1" si="5"/>
        <v>ANNUAL</v>
      </c>
      <c r="H33" s="369" t="str">
        <f t="shared" ca="1" si="5"/>
        <v>-</v>
      </c>
      <c r="I33" s="370">
        <f t="shared" ca="1" si="5"/>
        <v>0</v>
      </c>
      <c r="J33" s="391">
        <f ca="1">IF($A33="*","",OFFSET(COM_N_2012!$B$60,AW33,SUMIF($B$10:$B$16,B33,$AX$10:$AX$16)))</f>
        <v>0.9</v>
      </c>
      <c r="K33" s="369" t="str">
        <f ca="1">IF($B33&lt;&gt;"PRC_RESID","",IF(K$7=2005+OFFSET(COM_N_2012!$B$60,$AW33,SUMIF($B$10:$B$16,"NCAP_TLIFE",$AX$10:$AX$16)),0,""))</f>
        <v/>
      </c>
      <c r="L33" s="369" t="str">
        <f ca="1">IF($B33&lt;&gt;"PRC_RESID","",IF(L$7=2005+OFFSET(COM_N_2012!$B$60,$AW33,SUMIF($B$10:$B$16,"NCAP_TLIFE",$AX$10:$AX$16)),0,""))</f>
        <v/>
      </c>
      <c r="M33" s="369" t="str">
        <f ca="1">IF($B33&lt;&gt;"PRC_RESID","",IF(M$7=2005+OFFSET(COM_N_2012!$B$60,$AW33,SUMIF($B$10:$B$16,"NCAP_TLIFE",$AX$10:$AX$16)),0,""))</f>
        <v/>
      </c>
      <c r="N33" s="369" t="str">
        <f ca="1">IF($B33&lt;&gt;"PRC_RESID","",IF(N$7=2005+OFFSET(COM_N_2012!$B$60,$AW33,SUMIF($B$10:$B$16,"NCAP_TLIFE",$AX$10:$AX$16)),0,""))</f>
        <v/>
      </c>
      <c r="O33" s="369" t="str">
        <f ca="1">IF($B33&lt;&gt;"PRC_RESID","",IF(O$7=2005+OFFSET(COM_N_2012!$B$60,$AW33,SUMIF($B$10:$B$16,"NCAP_TLIFE",$AX$10:$AX$16)),0,""))</f>
        <v/>
      </c>
      <c r="P33" s="369" t="str">
        <f ca="1">IF($B33&lt;&gt;"PRC_RESID","",IF(P$7=2005+OFFSET(COM_N_2012!$B$60,$AW33,SUMIF($B$10:$B$16,"NCAP_TLIFE",$AX$10:$AX$16)),0,""))</f>
        <v/>
      </c>
      <c r="Q33" s="369" t="str">
        <f ca="1">IF($B33&lt;&gt;"PRC_RESID","",IF(Q$7=2005+OFFSET(COM_N_2012!$B$60,$AW33,SUMIF($B$10:$B$16,"NCAP_TLIFE",$AX$10:$AX$16)),0,""))</f>
        <v/>
      </c>
      <c r="R33" s="369" t="str">
        <f ca="1">IF($B33&lt;&gt;"PRC_RESID","",IF(R$7=2005+OFFSET(COM_N_2012!$B$60,$AW33,SUMIF($B$10:$B$16,"NCAP_TLIFE",$AX$10:$AX$16)),0,""))</f>
        <v/>
      </c>
      <c r="S33" s="369" t="str">
        <f ca="1">IF($B33&lt;&gt;"PRC_RESID","",IF(S$7=2005+OFFSET(COM_N_2012!$B$60,$AW33,SUMIF($B$10:$B$16,"NCAP_TLIFE",$AX$10:$AX$16)),0,""))</f>
        <v/>
      </c>
      <c r="T33" s="369" t="str">
        <f ca="1">IF($B33&lt;&gt;"PRC_RESID","",IF(T$7=2005+OFFSET(COM_N_2012!$B$60,$AW33,SUMIF($B$10:$B$16,"NCAP_TLIFE",$AX$10:$AX$16)),0,""))</f>
        <v/>
      </c>
      <c r="U33" s="369" t="str">
        <f ca="1">IF($B33&lt;&gt;"PRC_RESID","",IF(U$7=2005+OFFSET(COM_N_2012!$B$60,$AW33,SUMIF($B$10:$B$16,"NCAP_TLIFE",$AX$10:$AX$16)),0,""))</f>
        <v/>
      </c>
      <c r="V33" s="369" t="str">
        <f ca="1">IF($B33&lt;&gt;"PRC_RESID","",IF(V$7=2005+OFFSET(COM_N_2012!$B$60,$AW33,SUMIF($B$10:$B$16,"NCAP_TLIFE",$AX$10:$AX$16)),0,""))</f>
        <v/>
      </c>
      <c r="W33" s="369" t="str">
        <f ca="1">IF($B33&lt;&gt;"PRC_RESID","",IF(W$7=2005+OFFSET(COM_N_2012!$B$60,$AW33,SUMIF($B$10:$B$16,"NCAP_TLIFE",$AX$10:$AX$16)),0,""))</f>
        <v/>
      </c>
      <c r="X33" s="369" t="str">
        <f ca="1">IF($B33&lt;&gt;"PRC_RESID","",IF(X$7=2005+OFFSET(COM_N_2012!$B$60,$AW33,SUMIF($B$10:$B$16,"NCAP_TLIFE",$AX$10:$AX$16)),0,""))</f>
        <v/>
      </c>
      <c r="Y33" s="369" t="str">
        <f ca="1">IF($B33&lt;&gt;"PRC_RESID","",IF(Y$7=2005+OFFSET(COM_N_2012!$B$60,$AW33,SUMIF($B$10:$B$16,"NCAP_TLIFE",$AX$10:$AX$16)),0,""))</f>
        <v/>
      </c>
      <c r="Z33" s="369" t="str">
        <f ca="1">IF($B33&lt;&gt;"PRC_RESID","",IF(Z$7=2005+OFFSET(COM_N_2012!$B$60,$AW33,SUMIF($B$10:$B$16,"NCAP_TLIFE",$AX$10:$AX$16)),0,""))</f>
        <v/>
      </c>
      <c r="AA33" s="369" t="str">
        <f ca="1">IF($B33&lt;&gt;"PRC_RESID","",IF(AA$7=2005+OFFSET(COM_N_2012!$B$60,$AW33,SUMIF($B$10:$B$16,"NCAP_TLIFE",$AX$10:$AX$16)),0,""))</f>
        <v/>
      </c>
      <c r="AB33" s="369" t="str">
        <f ca="1">IF($B33&lt;&gt;"PRC_RESID","",IF(AB$7=2005+OFFSET(COM_N_2012!$B$60,$AW33,SUMIF($B$10:$B$16,"NCAP_TLIFE",$AX$10:$AX$16)),0,""))</f>
        <v/>
      </c>
      <c r="AC33" s="369" t="str">
        <f ca="1">IF($B33&lt;&gt;"PRC_RESID","",IF(AC$7=2005+OFFSET(COM_N_2012!$B$60,$AW33,SUMIF($B$10:$B$16,"NCAP_TLIFE",$AX$10:$AX$16)),0,""))</f>
        <v/>
      </c>
      <c r="AD33" s="369" t="str">
        <f ca="1">IF($B33&lt;&gt;"PRC_RESID","",IF(AD$7=2005+OFFSET(COM_N_2012!$B$60,$AW33,SUMIF($B$10:$B$16,"NCAP_TLIFE",$AX$10:$AX$16)),0,""))</f>
        <v/>
      </c>
      <c r="AE33" s="369" t="str">
        <f ca="1">IF($B33&lt;&gt;"PRC_RESID","",IF(AE$7=2005+OFFSET(COM_N_2012!$B$60,$AW33,SUMIF($B$10:$B$16,"NCAP_TLIFE",$AX$10:$AX$16)),0,""))</f>
        <v/>
      </c>
      <c r="AF33" s="369" t="str">
        <f ca="1">IF($B33&lt;&gt;"PRC_RESID","",IF(AF$7=2005+OFFSET(COM_N_2012!$B$60,$AW33,SUMIF($B$10:$B$16,"NCAP_TLIFE",$AX$10:$AX$16)),0,""))</f>
        <v/>
      </c>
      <c r="AG33" s="369" t="str">
        <f ca="1">IF($B33&lt;&gt;"PRC_RESID","",IF(AG$7=2005+OFFSET(COM_N_2012!$B$60,$AW33,SUMIF($B$10:$B$16,"NCAP_TLIFE",$AX$10:$AX$16)),0,""))</f>
        <v/>
      </c>
      <c r="AH33" s="369" t="str">
        <f ca="1">IF($B33&lt;&gt;"PRC_RESID","",IF(AH$7=2005+OFFSET(COM_N_2012!$B$60,$AW33,SUMIF($B$10:$B$16,"NCAP_TLIFE",$AX$10:$AX$16)),0,""))</f>
        <v/>
      </c>
      <c r="AI33" s="369" t="str">
        <f ca="1">IF($B33&lt;&gt;"PRC_RESID","",IF(AI$7=2005+OFFSET(COM_N_2012!$B$60,$AW33,SUMIF($B$10:$B$16,"NCAP_TLIFE",$AX$10:$AX$16)),0,""))</f>
        <v/>
      </c>
      <c r="AJ33" s="369" t="str">
        <f ca="1">IF($B33&lt;&gt;"PRC_RESID","",IF(AJ$7=2005+OFFSET(COM_N_2012!$B$60,$AW33,SUMIF($B$10:$B$16,"NCAP_TLIFE",$AX$10:$AX$16)),0,""))</f>
        <v/>
      </c>
      <c r="AK33" s="369" t="str">
        <f ca="1">IF($B33&lt;&gt;"PRC_RESID","",IF(AK$7=2005+OFFSET(COM_N_2012!$B$60,$AW33,SUMIF($B$10:$B$16,"NCAP_TLIFE",$AX$10:$AX$16)),0,""))</f>
        <v/>
      </c>
      <c r="AL33" s="369" t="str">
        <f ca="1">IF($B33&lt;&gt;"PRC_RESID","",IF(AL$7=2005+OFFSET(COM_N_2012!$B$60,$AW33,SUMIF($B$10:$B$16,"NCAP_TLIFE",$AX$10:$AX$16)),0,""))</f>
        <v/>
      </c>
      <c r="AM33" s="369" t="str">
        <f ca="1">IF($B33&lt;&gt;"PRC_RESID","",IF(AM$7=2005+OFFSET(COM_N_2012!$B$60,$AW33,SUMIF($B$10:$B$16,"NCAP_TLIFE",$AX$10:$AX$16)),0,""))</f>
        <v/>
      </c>
      <c r="AN33" s="369" t="str">
        <f ca="1">IF($B33&lt;&gt;"PRC_RESID","",IF(AN$7=2005+OFFSET(COM_N_2012!$B$60,$AW33,SUMIF($B$10:$B$16,"NCAP_TLIFE",$AX$10:$AX$16)),0,""))</f>
        <v/>
      </c>
      <c r="AO33" s="369" t="str">
        <f ca="1">IF($B33&lt;&gt;"PRC_RESID","",IF(AO$7=2005+OFFSET(COM_N_2012!$B$60,$AW33,SUMIF($B$10:$B$16,"NCAP_TLIFE",$AX$10:$AX$16)),0,""))</f>
        <v/>
      </c>
      <c r="AP33" s="369" t="str">
        <f ca="1">IF($B33&lt;&gt;"PRC_RESID","",IF(AP$7=2005+OFFSET(COM_N_2012!$B$60,$AW33,SUMIF($B$10:$B$16,"NCAP_TLIFE",$AX$10:$AX$16)),0,""))</f>
        <v/>
      </c>
      <c r="AQ33" s="369" t="str">
        <f ca="1">IF($B33&lt;&gt;"PRC_RESID","",IF(AQ$7=2005+OFFSET(COM_N_2012!$B$60,$AW33,SUMIF($B$10:$B$16,"NCAP_TLIFE",$AX$10:$AX$16)),0,""))</f>
        <v/>
      </c>
      <c r="AR33" s="369" t="str">
        <f ca="1">IF($B33&lt;&gt;"PRC_RESID","",IF(AR$7=2005+OFFSET(COM_N_2012!$B$60,$AW33,SUMIF($B$10:$B$16,"NCAP_TLIFE",$AX$10:$AX$16)),0,""))</f>
        <v/>
      </c>
      <c r="AS33" s="369" t="str">
        <f ca="1">IF($B33&lt;&gt;"PRC_RESID","",IF(AS$7=2005+OFFSET(COM_N_2012!$B$60,$AW33,SUMIF($B$10:$B$16,"NCAP_TLIFE",$AX$10:$AX$16)),0,""))</f>
        <v/>
      </c>
      <c r="AT33" s="369" t="str">
        <f ca="1">IF($B33&lt;&gt;"PRC_RESID","",IF(AT$7=2005+OFFSET(COM_N_2012!$B$60,$AW33,SUMIF($B$10:$B$16,"NCAP_TLIFE",$AX$10:$AX$16)),0,""))</f>
        <v/>
      </c>
      <c r="AU33" s="369" t="str">
        <f ca="1">IF($B33&lt;&gt;"PRC_RESID","",IF(AU$7=2005+OFFSET(COM_N_2012!$B$60,$AW33,SUMIF($B$10:$B$16,"NCAP_TLIFE",$AX$10:$AX$16)),0,""))</f>
        <v/>
      </c>
      <c r="AV33" s="304">
        <f>IF(AW32=COM_N_2012!$AK$121,AV32+1,AV32)</f>
        <v>1</v>
      </c>
      <c r="AW33" s="304">
        <f t="shared" si="4"/>
        <v>16</v>
      </c>
    </row>
    <row r="34" spans="1:49">
      <c r="A34" s="304" t="str">
        <f ca="1">IF(LEFT(OFFSET(COM_N_2012!$A$60,AW34,0),2)="\I","*","")</f>
        <v/>
      </c>
      <c r="B34" s="369" t="str">
        <f t="shared" ca="1" si="2"/>
        <v>ACT_EFF</v>
      </c>
      <c r="C34" s="369" t="str">
        <f ca="1">IF($A34="*","",OFFSET(COM_N_2012!$B$60,AW34,0))</f>
        <v>CNKELC-E</v>
      </c>
      <c r="D34" s="369" t="str">
        <f t="shared" ca="1" si="5"/>
        <v>-</v>
      </c>
      <c r="E34" s="369" t="str">
        <f t="shared" ca="1" si="5"/>
        <v>ACTGRP</v>
      </c>
      <c r="F34" s="369" t="str">
        <f t="shared" ca="1" si="5"/>
        <v>-</v>
      </c>
      <c r="G34" s="369" t="str">
        <f t="shared" ca="1" si="5"/>
        <v>ANNUAL</v>
      </c>
      <c r="H34" s="369" t="str">
        <f t="shared" ca="1" si="5"/>
        <v>-</v>
      </c>
      <c r="I34" s="370">
        <f t="shared" ca="1" si="5"/>
        <v>0</v>
      </c>
      <c r="J34" s="391">
        <f ca="1">IF($A34="*","",OFFSET(COM_N_2012!$B$60,AW34,SUMIF($B$10:$B$16,B34,$AX$10:$AX$16)))</f>
        <v>1</v>
      </c>
      <c r="K34" s="369" t="str">
        <f ca="1">IF($B34&lt;&gt;"PRC_RESID","",IF(K$7=2005+OFFSET(COM_N_2012!$B$60,$AW34,SUMIF($B$10:$B$16,"NCAP_TLIFE",$AX$10:$AX$16)),0,""))</f>
        <v/>
      </c>
      <c r="L34" s="369" t="str">
        <f ca="1">IF($B34&lt;&gt;"PRC_RESID","",IF(L$7=2005+OFFSET(COM_N_2012!$B$60,$AW34,SUMIF($B$10:$B$16,"NCAP_TLIFE",$AX$10:$AX$16)),0,""))</f>
        <v/>
      </c>
      <c r="M34" s="369" t="str">
        <f ca="1">IF($B34&lt;&gt;"PRC_RESID","",IF(M$7=2005+OFFSET(COM_N_2012!$B$60,$AW34,SUMIF($B$10:$B$16,"NCAP_TLIFE",$AX$10:$AX$16)),0,""))</f>
        <v/>
      </c>
      <c r="N34" s="369" t="str">
        <f ca="1">IF($B34&lt;&gt;"PRC_RESID","",IF(N$7=2005+OFFSET(COM_N_2012!$B$60,$AW34,SUMIF($B$10:$B$16,"NCAP_TLIFE",$AX$10:$AX$16)),0,""))</f>
        <v/>
      </c>
      <c r="O34" s="369" t="str">
        <f ca="1">IF($B34&lt;&gt;"PRC_RESID","",IF(O$7=2005+OFFSET(COM_N_2012!$B$60,$AW34,SUMIF($B$10:$B$16,"NCAP_TLIFE",$AX$10:$AX$16)),0,""))</f>
        <v/>
      </c>
      <c r="P34" s="369" t="str">
        <f ca="1">IF($B34&lt;&gt;"PRC_RESID","",IF(P$7=2005+OFFSET(COM_N_2012!$B$60,$AW34,SUMIF($B$10:$B$16,"NCAP_TLIFE",$AX$10:$AX$16)),0,""))</f>
        <v/>
      </c>
      <c r="Q34" s="369" t="str">
        <f ca="1">IF($B34&lt;&gt;"PRC_RESID","",IF(Q$7=2005+OFFSET(COM_N_2012!$B$60,$AW34,SUMIF($B$10:$B$16,"NCAP_TLIFE",$AX$10:$AX$16)),0,""))</f>
        <v/>
      </c>
      <c r="R34" s="369" t="str">
        <f ca="1">IF($B34&lt;&gt;"PRC_RESID","",IF(R$7=2005+OFFSET(COM_N_2012!$B$60,$AW34,SUMIF($B$10:$B$16,"NCAP_TLIFE",$AX$10:$AX$16)),0,""))</f>
        <v/>
      </c>
      <c r="S34" s="369" t="str">
        <f ca="1">IF($B34&lt;&gt;"PRC_RESID","",IF(S$7=2005+OFFSET(COM_N_2012!$B$60,$AW34,SUMIF($B$10:$B$16,"NCAP_TLIFE",$AX$10:$AX$16)),0,""))</f>
        <v/>
      </c>
      <c r="T34" s="369" t="str">
        <f ca="1">IF($B34&lt;&gt;"PRC_RESID","",IF(T$7=2005+OFFSET(COM_N_2012!$B$60,$AW34,SUMIF($B$10:$B$16,"NCAP_TLIFE",$AX$10:$AX$16)),0,""))</f>
        <v/>
      </c>
      <c r="U34" s="369" t="str">
        <f ca="1">IF($B34&lt;&gt;"PRC_RESID","",IF(U$7=2005+OFFSET(COM_N_2012!$B$60,$AW34,SUMIF($B$10:$B$16,"NCAP_TLIFE",$AX$10:$AX$16)),0,""))</f>
        <v/>
      </c>
      <c r="V34" s="369" t="str">
        <f ca="1">IF($B34&lt;&gt;"PRC_RESID","",IF(V$7=2005+OFFSET(COM_N_2012!$B$60,$AW34,SUMIF($B$10:$B$16,"NCAP_TLIFE",$AX$10:$AX$16)),0,""))</f>
        <v/>
      </c>
      <c r="W34" s="369" t="str">
        <f ca="1">IF($B34&lt;&gt;"PRC_RESID","",IF(W$7=2005+OFFSET(COM_N_2012!$B$60,$AW34,SUMIF($B$10:$B$16,"NCAP_TLIFE",$AX$10:$AX$16)),0,""))</f>
        <v/>
      </c>
      <c r="X34" s="369" t="str">
        <f ca="1">IF($B34&lt;&gt;"PRC_RESID","",IF(X$7=2005+OFFSET(COM_N_2012!$B$60,$AW34,SUMIF($B$10:$B$16,"NCAP_TLIFE",$AX$10:$AX$16)),0,""))</f>
        <v/>
      </c>
      <c r="Y34" s="369" t="str">
        <f ca="1">IF($B34&lt;&gt;"PRC_RESID","",IF(Y$7=2005+OFFSET(COM_N_2012!$B$60,$AW34,SUMIF($B$10:$B$16,"NCAP_TLIFE",$AX$10:$AX$16)),0,""))</f>
        <v/>
      </c>
      <c r="Z34" s="369" t="str">
        <f ca="1">IF($B34&lt;&gt;"PRC_RESID","",IF(Z$7=2005+OFFSET(COM_N_2012!$B$60,$AW34,SUMIF($B$10:$B$16,"NCAP_TLIFE",$AX$10:$AX$16)),0,""))</f>
        <v/>
      </c>
      <c r="AA34" s="369" t="str">
        <f ca="1">IF($B34&lt;&gt;"PRC_RESID","",IF(AA$7=2005+OFFSET(COM_N_2012!$B$60,$AW34,SUMIF($B$10:$B$16,"NCAP_TLIFE",$AX$10:$AX$16)),0,""))</f>
        <v/>
      </c>
      <c r="AB34" s="369" t="str">
        <f ca="1">IF($B34&lt;&gt;"PRC_RESID","",IF(AB$7=2005+OFFSET(COM_N_2012!$B$60,$AW34,SUMIF($B$10:$B$16,"NCAP_TLIFE",$AX$10:$AX$16)),0,""))</f>
        <v/>
      </c>
      <c r="AC34" s="369" t="str">
        <f ca="1">IF($B34&lt;&gt;"PRC_RESID","",IF(AC$7=2005+OFFSET(COM_N_2012!$B$60,$AW34,SUMIF($B$10:$B$16,"NCAP_TLIFE",$AX$10:$AX$16)),0,""))</f>
        <v/>
      </c>
      <c r="AD34" s="369" t="str">
        <f ca="1">IF($B34&lt;&gt;"PRC_RESID","",IF(AD$7=2005+OFFSET(COM_N_2012!$B$60,$AW34,SUMIF($B$10:$B$16,"NCAP_TLIFE",$AX$10:$AX$16)),0,""))</f>
        <v/>
      </c>
      <c r="AE34" s="369" t="str">
        <f ca="1">IF($B34&lt;&gt;"PRC_RESID","",IF(AE$7=2005+OFFSET(COM_N_2012!$B$60,$AW34,SUMIF($B$10:$B$16,"NCAP_TLIFE",$AX$10:$AX$16)),0,""))</f>
        <v/>
      </c>
      <c r="AF34" s="369" t="str">
        <f ca="1">IF($B34&lt;&gt;"PRC_RESID","",IF(AF$7=2005+OFFSET(COM_N_2012!$B$60,$AW34,SUMIF($B$10:$B$16,"NCAP_TLIFE",$AX$10:$AX$16)),0,""))</f>
        <v/>
      </c>
      <c r="AG34" s="369" t="str">
        <f ca="1">IF($B34&lt;&gt;"PRC_RESID","",IF(AG$7=2005+OFFSET(COM_N_2012!$B$60,$AW34,SUMIF($B$10:$B$16,"NCAP_TLIFE",$AX$10:$AX$16)),0,""))</f>
        <v/>
      </c>
      <c r="AH34" s="369" t="str">
        <f ca="1">IF($B34&lt;&gt;"PRC_RESID","",IF(AH$7=2005+OFFSET(COM_N_2012!$B$60,$AW34,SUMIF($B$10:$B$16,"NCAP_TLIFE",$AX$10:$AX$16)),0,""))</f>
        <v/>
      </c>
      <c r="AI34" s="369" t="str">
        <f ca="1">IF($B34&lt;&gt;"PRC_RESID","",IF(AI$7=2005+OFFSET(COM_N_2012!$B$60,$AW34,SUMIF($B$10:$B$16,"NCAP_TLIFE",$AX$10:$AX$16)),0,""))</f>
        <v/>
      </c>
      <c r="AJ34" s="369" t="str">
        <f ca="1">IF($B34&lt;&gt;"PRC_RESID","",IF(AJ$7=2005+OFFSET(COM_N_2012!$B$60,$AW34,SUMIF($B$10:$B$16,"NCAP_TLIFE",$AX$10:$AX$16)),0,""))</f>
        <v/>
      </c>
      <c r="AK34" s="369" t="str">
        <f ca="1">IF($B34&lt;&gt;"PRC_RESID","",IF(AK$7=2005+OFFSET(COM_N_2012!$B$60,$AW34,SUMIF($B$10:$B$16,"NCAP_TLIFE",$AX$10:$AX$16)),0,""))</f>
        <v/>
      </c>
      <c r="AL34" s="369" t="str">
        <f ca="1">IF($B34&lt;&gt;"PRC_RESID","",IF(AL$7=2005+OFFSET(COM_N_2012!$B$60,$AW34,SUMIF($B$10:$B$16,"NCAP_TLIFE",$AX$10:$AX$16)),0,""))</f>
        <v/>
      </c>
      <c r="AM34" s="369" t="str">
        <f ca="1">IF($B34&lt;&gt;"PRC_RESID","",IF(AM$7=2005+OFFSET(COM_N_2012!$B$60,$AW34,SUMIF($B$10:$B$16,"NCAP_TLIFE",$AX$10:$AX$16)),0,""))</f>
        <v/>
      </c>
      <c r="AN34" s="369" t="str">
        <f ca="1">IF($B34&lt;&gt;"PRC_RESID","",IF(AN$7=2005+OFFSET(COM_N_2012!$B$60,$AW34,SUMIF($B$10:$B$16,"NCAP_TLIFE",$AX$10:$AX$16)),0,""))</f>
        <v/>
      </c>
      <c r="AO34" s="369" t="str">
        <f ca="1">IF($B34&lt;&gt;"PRC_RESID","",IF(AO$7=2005+OFFSET(COM_N_2012!$B$60,$AW34,SUMIF($B$10:$B$16,"NCAP_TLIFE",$AX$10:$AX$16)),0,""))</f>
        <v/>
      </c>
      <c r="AP34" s="369" t="str">
        <f ca="1">IF($B34&lt;&gt;"PRC_RESID","",IF(AP$7=2005+OFFSET(COM_N_2012!$B$60,$AW34,SUMIF($B$10:$B$16,"NCAP_TLIFE",$AX$10:$AX$16)),0,""))</f>
        <v/>
      </c>
      <c r="AQ34" s="369" t="str">
        <f ca="1">IF($B34&lt;&gt;"PRC_RESID","",IF(AQ$7=2005+OFFSET(COM_N_2012!$B$60,$AW34,SUMIF($B$10:$B$16,"NCAP_TLIFE",$AX$10:$AX$16)),0,""))</f>
        <v/>
      </c>
      <c r="AR34" s="369" t="str">
        <f ca="1">IF($B34&lt;&gt;"PRC_RESID","",IF(AR$7=2005+OFFSET(COM_N_2012!$B$60,$AW34,SUMIF($B$10:$B$16,"NCAP_TLIFE",$AX$10:$AX$16)),0,""))</f>
        <v/>
      </c>
      <c r="AS34" s="369" t="str">
        <f ca="1">IF($B34&lt;&gt;"PRC_RESID","",IF(AS$7=2005+OFFSET(COM_N_2012!$B$60,$AW34,SUMIF($B$10:$B$16,"NCAP_TLIFE",$AX$10:$AX$16)),0,""))</f>
        <v/>
      </c>
      <c r="AT34" s="369" t="str">
        <f ca="1">IF($B34&lt;&gt;"PRC_RESID","",IF(AT$7=2005+OFFSET(COM_N_2012!$B$60,$AW34,SUMIF($B$10:$B$16,"NCAP_TLIFE",$AX$10:$AX$16)),0,""))</f>
        <v/>
      </c>
      <c r="AU34" s="369" t="str">
        <f ca="1">IF($B34&lt;&gt;"PRC_RESID","",IF(AU$7=2005+OFFSET(COM_N_2012!$B$60,$AW34,SUMIF($B$10:$B$16,"NCAP_TLIFE",$AX$10:$AX$16)),0,""))</f>
        <v/>
      </c>
      <c r="AV34" s="304">
        <f>IF(AW33=COM_N_2012!$AK$121,AV33+1,AV33)</f>
        <v>1</v>
      </c>
      <c r="AW34" s="304">
        <f t="shared" si="4"/>
        <v>17</v>
      </c>
    </row>
    <row r="35" spans="1:49">
      <c r="A35" s="304" t="str">
        <f ca="1">IF(LEFT(OFFSET(COM_N_2012!$A$60,AW35,0),2)="\I","*","")</f>
        <v/>
      </c>
      <c r="B35" s="369" t="str">
        <f t="shared" ca="1" si="2"/>
        <v>ACT_EFF</v>
      </c>
      <c r="C35" s="369" t="str">
        <f ca="1">IF($A35="*","",OFFSET(COM_N_2012!$B$60,AW35,0))</f>
        <v>CNKCOA-E</v>
      </c>
      <c r="D35" s="369" t="str">
        <f t="shared" ca="1" si="5"/>
        <v>-</v>
      </c>
      <c r="E35" s="369" t="str">
        <f t="shared" ca="1" si="5"/>
        <v>ACTGRP</v>
      </c>
      <c r="F35" s="369" t="str">
        <f t="shared" ca="1" si="5"/>
        <v>-</v>
      </c>
      <c r="G35" s="369" t="str">
        <f t="shared" ca="1" si="5"/>
        <v>ANNUAL</v>
      </c>
      <c r="H35" s="369" t="str">
        <f t="shared" ca="1" si="5"/>
        <v>-</v>
      </c>
      <c r="I35" s="370">
        <f t="shared" ca="1" si="5"/>
        <v>0</v>
      </c>
      <c r="J35" s="391">
        <f ca="1">IF($A35="*","",OFFSET(COM_N_2012!$B$60,AW35,SUMIF($B$10:$B$16,B35,$AX$10:$AX$16)))</f>
        <v>0.75</v>
      </c>
      <c r="K35" s="369" t="str">
        <f ca="1">IF($B35&lt;&gt;"PRC_RESID","",IF(K$7=2005+OFFSET(COM_N_2012!$B$60,$AW35,SUMIF($B$10:$B$16,"NCAP_TLIFE",$AX$10:$AX$16)),0,""))</f>
        <v/>
      </c>
      <c r="L35" s="369" t="str">
        <f ca="1">IF($B35&lt;&gt;"PRC_RESID","",IF(L$7=2005+OFFSET(COM_N_2012!$B$60,$AW35,SUMIF($B$10:$B$16,"NCAP_TLIFE",$AX$10:$AX$16)),0,""))</f>
        <v/>
      </c>
      <c r="M35" s="369" t="str">
        <f ca="1">IF($B35&lt;&gt;"PRC_RESID","",IF(M$7=2005+OFFSET(COM_N_2012!$B$60,$AW35,SUMIF($B$10:$B$16,"NCAP_TLIFE",$AX$10:$AX$16)),0,""))</f>
        <v/>
      </c>
      <c r="N35" s="369" t="str">
        <f ca="1">IF($B35&lt;&gt;"PRC_RESID","",IF(N$7=2005+OFFSET(COM_N_2012!$B$60,$AW35,SUMIF($B$10:$B$16,"NCAP_TLIFE",$AX$10:$AX$16)),0,""))</f>
        <v/>
      </c>
      <c r="O35" s="369" t="str">
        <f ca="1">IF($B35&lt;&gt;"PRC_RESID","",IF(O$7=2005+OFFSET(COM_N_2012!$B$60,$AW35,SUMIF($B$10:$B$16,"NCAP_TLIFE",$AX$10:$AX$16)),0,""))</f>
        <v/>
      </c>
      <c r="P35" s="369" t="str">
        <f ca="1">IF($B35&lt;&gt;"PRC_RESID","",IF(P$7=2005+OFFSET(COM_N_2012!$B$60,$AW35,SUMIF($B$10:$B$16,"NCAP_TLIFE",$AX$10:$AX$16)),0,""))</f>
        <v/>
      </c>
      <c r="Q35" s="369" t="str">
        <f ca="1">IF($B35&lt;&gt;"PRC_RESID","",IF(Q$7=2005+OFFSET(COM_N_2012!$B$60,$AW35,SUMIF($B$10:$B$16,"NCAP_TLIFE",$AX$10:$AX$16)),0,""))</f>
        <v/>
      </c>
      <c r="R35" s="369" t="str">
        <f ca="1">IF($B35&lt;&gt;"PRC_RESID","",IF(R$7=2005+OFFSET(COM_N_2012!$B$60,$AW35,SUMIF($B$10:$B$16,"NCAP_TLIFE",$AX$10:$AX$16)),0,""))</f>
        <v/>
      </c>
      <c r="S35" s="369" t="str">
        <f ca="1">IF($B35&lt;&gt;"PRC_RESID","",IF(S$7=2005+OFFSET(COM_N_2012!$B$60,$AW35,SUMIF($B$10:$B$16,"NCAP_TLIFE",$AX$10:$AX$16)),0,""))</f>
        <v/>
      </c>
      <c r="T35" s="369" t="str">
        <f ca="1">IF($B35&lt;&gt;"PRC_RESID","",IF(T$7=2005+OFFSET(COM_N_2012!$B$60,$AW35,SUMIF($B$10:$B$16,"NCAP_TLIFE",$AX$10:$AX$16)),0,""))</f>
        <v/>
      </c>
      <c r="U35" s="369" t="str">
        <f ca="1">IF($B35&lt;&gt;"PRC_RESID","",IF(U$7=2005+OFFSET(COM_N_2012!$B$60,$AW35,SUMIF($B$10:$B$16,"NCAP_TLIFE",$AX$10:$AX$16)),0,""))</f>
        <v/>
      </c>
      <c r="V35" s="369" t="str">
        <f ca="1">IF($B35&lt;&gt;"PRC_RESID","",IF(V$7=2005+OFFSET(COM_N_2012!$B$60,$AW35,SUMIF($B$10:$B$16,"NCAP_TLIFE",$AX$10:$AX$16)),0,""))</f>
        <v/>
      </c>
      <c r="W35" s="369" t="str">
        <f ca="1">IF($B35&lt;&gt;"PRC_RESID","",IF(W$7=2005+OFFSET(COM_N_2012!$B$60,$AW35,SUMIF($B$10:$B$16,"NCAP_TLIFE",$AX$10:$AX$16)),0,""))</f>
        <v/>
      </c>
      <c r="X35" s="369" t="str">
        <f ca="1">IF($B35&lt;&gt;"PRC_RESID","",IF(X$7=2005+OFFSET(COM_N_2012!$B$60,$AW35,SUMIF($B$10:$B$16,"NCAP_TLIFE",$AX$10:$AX$16)),0,""))</f>
        <v/>
      </c>
      <c r="Y35" s="369" t="str">
        <f ca="1">IF($B35&lt;&gt;"PRC_RESID","",IF(Y$7=2005+OFFSET(COM_N_2012!$B$60,$AW35,SUMIF($B$10:$B$16,"NCAP_TLIFE",$AX$10:$AX$16)),0,""))</f>
        <v/>
      </c>
      <c r="Z35" s="369" t="str">
        <f ca="1">IF($B35&lt;&gt;"PRC_RESID","",IF(Z$7=2005+OFFSET(COM_N_2012!$B$60,$AW35,SUMIF($B$10:$B$16,"NCAP_TLIFE",$AX$10:$AX$16)),0,""))</f>
        <v/>
      </c>
      <c r="AA35" s="369" t="str">
        <f ca="1">IF($B35&lt;&gt;"PRC_RESID","",IF(AA$7=2005+OFFSET(COM_N_2012!$B$60,$AW35,SUMIF($B$10:$B$16,"NCAP_TLIFE",$AX$10:$AX$16)),0,""))</f>
        <v/>
      </c>
      <c r="AB35" s="369" t="str">
        <f ca="1">IF($B35&lt;&gt;"PRC_RESID","",IF(AB$7=2005+OFFSET(COM_N_2012!$B$60,$AW35,SUMIF($B$10:$B$16,"NCAP_TLIFE",$AX$10:$AX$16)),0,""))</f>
        <v/>
      </c>
      <c r="AC35" s="369" t="str">
        <f ca="1">IF($B35&lt;&gt;"PRC_RESID","",IF(AC$7=2005+OFFSET(COM_N_2012!$B$60,$AW35,SUMIF($B$10:$B$16,"NCAP_TLIFE",$AX$10:$AX$16)),0,""))</f>
        <v/>
      </c>
      <c r="AD35" s="369" t="str">
        <f ca="1">IF($B35&lt;&gt;"PRC_RESID","",IF(AD$7=2005+OFFSET(COM_N_2012!$B$60,$AW35,SUMIF($B$10:$B$16,"NCAP_TLIFE",$AX$10:$AX$16)),0,""))</f>
        <v/>
      </c>
      <c r="AE35" s="369" t="str">
        <f ca="1">IF($B35&lt;&gt;"PRC_RESID","",IF(AE$7=2005+OFFSET(COM_N_2012!$B$60,$AW35,SUMIF($B$10:$B$16,"NCAP_TLIFE",$AX$10:$AX$16)),0,""))</f>
        <v/>
      </c>
      <c r="AF35" s="369" t="str">
        <f ca="1">IF($B35&lt;&gt;"PRC_RESID","",IF(AF$7=2005+OFFSET(COM_N_2012!$B$60,$AW35,SUMIF($B$10:$B$16,"NCAP_TLIFE",$AX$10:$AX$16)),0,""))</f>
        <v/>
      </c>
      <c r="AG35" s="369" t="str">
        <f ca="1">IF($B35&lt;&gt;"PRC_RESID","",IF(AG$7=2005+OFFSET(COM_N_2012!$B$60,$AW35,SUMIF($B$10:$B$16,"NCAP_TLIFE",$AX$10:$AX$16)),0,""))</f>
        <v/>
      </c>
      <c r="AH35" s="369" t="str">
        <f ca="1">IF($B35&lt;&gt;"PRC_RESID","",IF(AH$7=2005+OFFSET(COM_N_2012!$B$60,$AW35,SUMIF($B$10:$B$16,"NCAP_TLIFE",$AX$10:$AX$16)),0,""))</f>
        <v/>
      </c>
      <c r="AI35" s="369" t="str">
        <f ca="1">IF($B35&lt;&gt;"PRC_RESID","",IF(AI$7=2005+OFFSET(COM_N_2012!$B$60,$AW35,SUMIF($B$10:$B$16,"NCAP_TLIFE",$AX$10:$AX$16)),0,""))</f>
        <v/>
      </c>
      <c r="AJ35" s="369" t="str">
        <f ca="1">IF($B35&lt;&gt;"PRC_RESID","",IF(AJ$7=2005+OFFSET(COM_N_2012!$B$60,$AW35,SUMIF($B$10:$B$16,"NCAP_TLIFE",$AX$10:$AX$16)),0,""))</f>
        <v/>
      </c>
      <c r="AK35" s="369" t="str">
        <f ca="1">IF($B35&lt;&gt;"PRC_RESID","",IF(AK$7=2005+OFFSET(COM_N_2012!$B$60,$AW35,SUMIF($B$10:$B$16,"NCAP_TLIFE",$AX$10:$AX$16)),0,""))</f>
        <v/>
      </c>
      <c r="AL35" s="369" t="str">
        <f ca="1">IF($B35&lt;&gt;"PRC_RESID","",IF(AL$7=2005+OFFSET(COM_N_2012!$B$60,$AW35,SUMIF($B$10:$B$16,"NCAP_TLIFE",$AX$10:$AX$16)),0,""))</f>
        <v/>
      </c>
      <c r="AM35" s="369" t="str">
        <f ca="1">IF($B35&lt;&gt;"PRC_RESID","",IF(AM$7=2005+OFFSET(COM_N_2012!$B$60,$AW35,SUMIF($B$10:$B$16,"NCAP_TLIFE",$AX$10:$AX$16)),0,""))</f>
        <v/>
      </c>
      <c r="AN35" s="369" t="str">
        <f ca="1">IF($B35&lt;&gt;"PRC_RESID","",IF(AN$7=2005+OFFSET(COM_N_2012!$B$60,$AW35,SUMIF($B$10:$B$16,"NCAP_TLIFE",$AX$10:$AX$16)),0,""))</f>
        <v/>
      </c>
      <c r="AO35" s="369" t="str">
        <f ca="1">IF($B35&lt;&gt;"PRC_RESID","",IF(AO$7=2005+OFFSET(COM_N_2012!$B$60,$AW35,SUMIF($B$10:$B$16,"NCAP_TLIFE",$AX$10:$AX$16)),0,""))</f>
        <v/>
      </c>
      <c r="AP35" s="369" t="str">
        <f ca="1">IF($B35&lt;&gt;"PRC_RESID","",IF(AP$7=2005+OFFSET(COM_N_2012!$B$60,$AW35,SUMIF($B$10:$B$16,"NCAP_TLIFE",$AX$10:$AX$16)),0,""))</f>
        <v/>
      </c>
      <c r="AQ35" s="369" t="str">
        <f ca="1">IF($B35&lt;&gt;"PRC_RESID","",IF(AQ$7=2005+OFFSET(COM_N_2012!$B$60,$AW35,SUMIF($B$10:$B$16,"NCAP_TLIFE",$AX$10:$AX$16)),0,""))</f>
        <v/>
      </c>
      <c r="AR35" s="369" t="str">
        <f ca="1">IF($B35&lt;&gt;"PRC_RESID","",IF(AR$7=2005+OFFSET(COM_N_2012!$B$60,$AW35,SUMIF($B$10:$B$16,"NCAP_TLIFE",$AX$10:$AX$16)),0,""))</f>
        <v/>
      </c>
      <c r="AS35" s="369" t="str">
        <f ca="1">IF($B35&lt;&gt;"PRC_RESID","",IF(AS$7=2005+OFFSET(COM_N_2012!$B$60,$AW35,SUMIF($B$10:$B$16,"NCAP_TLIFE",$AX$10:$AX$16)),0,""))</f>
        <v/>
      </c>
      <c r="AT35" s="369" t="str">
        <f ca="1">IF($B35&lt;&gt;"PRC_RESID","",IF(AT$7=2005+OFFSET(COM_N_2012!$B$60,$AW35,SUMIF($B$10:$B$16,"NCAP_TLIFE",$AX$10:$AX$16)),0,""))</f>
        <v/>
      </c>
      <c r="AU35" s="369" t="str">
        <f ca="1">IF($B35&lt;&gt;"PRC_RESID","",IF(AU$7=2005+OFFSET(COM_N_2012!$B$60,$AW35,SUMIF($B$10:$B$16,"NCAP_TLIFE",$AX$10:$AX$16)),0,""))</f>
        <v/>
      </c>
      <c r="AV35" s="304">
        <f>IF(AW34=COM_N_2012!$AK$121,AV34+1,AV34)</f>
        <v>1</v>
      </c>
      <c r="AW35" s="304">
        <f t="shared" si="4"/>
        <v>18</v>
      </c>
    </row>
    <row r="36" spans="1:49">
      <c r="A36" s="304" t="str">
        <f ca="1">IF(LEFT(OFFSET(COM_N_2012!$A$60,AW36,0),2)="\I","*","")</f>
        <v>*</v>
      </c>
      <c r="B36" s="369" t="str">
        <f t="shared" ca="1" si="2"/>
        <v/>
      </c>
      <c r="C36" s="369" t="str">
        <f ca="1">IF($A36="*","",OFFSET(COM_N_2012!$B$60,AW36,0))</f>
        <v/>
      </c>
      <c r="D36" s="369" t="str">
        <f t="shared" ca="1" si="5"/>
        <v/>
      </c>
      <c r="E36" s="369" t="str">
        <f t="shared" ca="1" si="5"/>
        <v/>
      </c>
      <c r="F36" s="369" t="str">
        <f t="shared" ca="1" si="5"/>
        <v/>
      </c>
      <c r="G36" s="369" t="str">
        <f t="shared" ca="1" si="5"/>
        <v/>
      </c>
      <c r="H36" s="369" t="str">
        <f t="shared" ca="1" si="5"/>
        <v/>
      </c>
      <c r="I36" s="370" t="str">
        <f t="shared" ca="1" si="5"/>
        <v/>
      </c>
      <c r="J36" s="391" t="str">
        <f ca="1">IF($A36="*","",OFFSET(COM_N_2012!$B$60,AW36,SUMIF($B$10:$B$16,B36,$AX$10:$AX$16)))</f>
        <v/>
      </c>
      <c r="K36" s="369" t="str">
        <f ca="1">IF($B36&lt;&gt;"PRC_RESID","",IF(K$7=2005+OFFSET(COM_N_2012!$B$60,$AW36,SUMIF($B$10:$B$16,"NCAP_TLIFE",$AX$10:$AX$16)),0,""))</f>
        <v/>
      </c>
      <c r="L36" s="369" t="str">
        <f ca="1">IF($B36&lt;&gt;"PRC_RESID","",IF(L$7=2005+OFFSET(COM_N_2012!$B$60,$AW36,SUMIF($B$10:$B$16,"NCAP_TLIFE",$AX$10:$AX$16)),0,""))</f>
        <v/>
      </c>
      <c r="M36" s="369" t="str">
        <f ca="1">IF($B36&lt;&gt;"PRC_RESID","",IF(M$7=2005+OFFSET(COM_N_2012!$B$60,$AW36,SUMIF($B$10:$B$16,"NCAP_TLIFE",$AX$10:$AX$16)),0,""))</f>
        <v/>
      </c>
      <c r="N36" s="369" t="str">
        <f ca="1">IF($B36&lt;&gt;"PRC_RESID","",IF(N$7=2005+OFFSET(COM_N_2012!$B$60,$AW36,SUMIF($B$10:$B$16,"NCAP_TLIFE",$AX$10:$AX$16)),0,""))</f>
        <v/>
      </c>
      <c r="O36" s="369" t="str">
        <f ca="1">IF($B36&lt;&gt;"PRC_RESID","",IF(O$7=2005+OFFSET(COM_N_2012!$B$60,$AW36,SUMIF($B$10:$B$16,"NCAP_TLIFE",$AX$10:$AX$16)),0,""))</f>
        <v/>
      </c>
      <c r="P36" s="369" t="str">
        <f ca="1">IF($B36&lt;&gt;"PRC_RESID","",IF(P$7=2005+OFFSET(COM_N_2012!$B$60,$AW36,SUMIF($B$10:$B$16,"NCAP_TLIFE",$AX$10:$AX$16)),0,""))</f>
        <v/>
      </c>
      <c r="Q36" s="369" t="str">
        <f ca="1">IF($B36&lt;&gt;"PRC_RESID","",IF(Q$7=2005+OFFSET(COM_N_2012!$B$60,$AW36,SUMIF($B$10:$B$16,"NCAP_TLIFE",$AX$10:$AX$16)),0,""))</f>
        <v/>
      </c>
      <c r="R36" s="369" t="str">
        <f ca="1">IF($B36&lt;&gt;"PRC_RESID","",IF(R$7=2005+OFFSET(COM_N_2012!$B$60,$AW36,SUMIF($B$10:$B$16,"NCAP_TLIFE",$AX$10:$AX$16)),0,""))</f>
        <v/>
      </c>
      <c r="S36" s="369" t="str">
        <f ca="1">IF($B36&lt;&gt;"PRC_RESID","",IF(S$7=2005+OFFSET(COM_N_2012!$B$60,$AW36,SUMIF($B$10:$B$16,"NCAP_TLIFE",$AX$10:$AX$16)),0,""))</f>
        <v/>
      </c>
      <c r="T36" s="369" t="str">
        <f ca="1">IF($B36&lt;&gt;"PRC_RESID","",IF(T$7=2005+OFFSET(COM_N_2012!$B$60,$AW36,SUMIF($B$10:$B$16,"NCAP_TLIFE",$AX$10:$AX$16)),0,""))</f>
        <v/>
      </c>
      <c r="U36" s="369" t="str">
        <f ca="1">IF($B36&lt;&gt;"PRC_RESID","",IF(U$7=2005+OFFSET(COM_N_2012!$B$60,$AW36,SUMIF($B$10:$B$16,"NCAP_TLIFE",$AX$10:$AX$16)),0,""))</f>
        <v/>
      </c>
      <c r="V36" s="369" t="str">
        <f ca="1">IF($B36&lt;&gt;"PRC_RESID","",IF(V$7=2005+OFFSET(COM_N_2012!$B$60,$AW36,SUMIF($B$10:$B$16,"NCAP_TLIFE",$AX$10:$AX$16)),0,""))</f>
        <v/>
      </c>
      <c r="W36" s="369" t="str">
        <f ca="1">IF($B36&lt;&gt;"PRC_RESID","",IF(W$7=2005+OFFSET(COM_N_2012!$B$60,$AW36,SUMIF($B$10:$B$16,"NCAP_TLIFE",$AX$10:$AX$16)),0,""))</f>
        <v/>
      </c>
      <c r="X36" s="369" t="str">
        <f ca="1">IF($B36&lt;&gt;"PRC_RESID","",IF(X$7=2005+OFFSET(COM_N_2012!$B$60,$AW36,SUMIF($B$10:$B$16,"NCAP_TLIFE",$AX$10:$AX$16)),0,""))</f>
        <v/>
      </c>
      <c r="Y36" s="369" t="str">
        <f ca="1">IF($B36&lt;&gt;"PRC_RESID","",IF(Y$7=2005+OFFSET(COM_N_2012!$B$60,$AW36,SUMIF($B$10:$B$16,"NCAP_TLIFE",$AX$10:$AX$16)),0,""))</f>
        <v/>
      </c>
      <c r="Z36" s="369" t="str">
        <f ca="1">IF($B36&lt;&gt;"PRC_RESID","",IF(Z$7=2005+OFFSET(COM_N_2012!$B$60,$AW36,SUMIF($B$10:$B$16,"NCAP_TLIFE",$AX$10:$AX$16)),0,""))</f>
        <v/>
      </c>
      <c r="AA36" s="369" t="str">
        <f ca="1">IF($B36&lt;&gt;"PRC_RESID","",IF(AA$7=2005+OFFSET(COM_N_2012!$B$60,$AW36,SUMIF($B$10:$B$16,"NCAP_TLIFE",$AX$10:$AX$16)),0,""))</f>
        <v/>
      </c>
      <c r="AB36" s="369" t="str">
        <f ca="1">IF($B36&lt;&gt;"PRC_RESID","",IF(AB$7=2005+OFFSET(COM_N_2012!$B$60,$AW36,SUMIF($B$10:$B$16,"NCAP_TLIFE",$AX$10:$AX$16)),0,""))</f>
        <v/>
      </c>
      <c r="AC36" s="369" t="str">
        <f ca="1">IF($B36&lt;&gt;"PRC_RESID","",IF(AC$7=2005+OFFSET(COM_N_2012!$B$60,$AW36,SUMIF($B$10:$B$16,"NCAP_TLIFE",$AX$10:$AX$16)),0,""))</f>
        <v/>
      </c>
      <c r="AD36" s="369" t="str">
        <f ca="1">IF($B36&lt;&gt;"PRC_RESID","",IF(AD$7=2005+OFFSET(COM_N_2012!$B$60,$AW36,SUMIF($B$10:$B$16,"NCAP_TLIFE",$AX$10:$AX$16)),0,""))</f>
        <v/>
      </c>
      <c r="AE36" s="369" t="str">
        <f ca="1">IF($B36&lt;&gt;"PRC_RESID","",IF(AE$7=2005+OFFSET(COM_N_2012!$B$60,$AW36,SUMIF($B$10:$B$16,"NCAP_TLIFE",$AX$10:$AX$16)),0,""))</f>
        <v/>
      </c>
      <c r="AF36" s="369" t="str">
        <f ca="1">IF($B36&lt;&gt;"PRC_RESID","",IF(AF$7=2005+OFFSET(COM_N_2012!$B$60,$AW36,SUMIF($B$10:$B$16,"NCAP_TLIFE",$AX$10:$AX$16)),0,""))</f>
        <v/>
      </c>
      <c r="AG36" s="369" t="str">
        <f ca="1">IF($B36&lt;&gt;"PRC_RESID","",IF(AG$7=2005+OFFSET(COM_N_2012!$B$60,$AW36,SUMIF($B$10:$B$16,"NCAP_TLIFE",$AX$10:$AX$16)),0,""))</f>
        <v/>
      </c>
      <c r="AH36" s="369" t="str">
        <f ca="1">IF($B36&lt;&gt;"PRC_RESID","",IF(AH$7=2005+OFFSET(COM_N_2012!$B$60,$AW36,SUMIF($B$10:$B$16,"NCAP_TLIFE",$AX$10:$AX$16)),0,""))</f>
        <v/>
      </c>
      <c r="AI36" s="369" t="str">
        <f ca="1">IF($B36&lt;&gt;"PRC_RESID","",IF(AI$7=2005+OFFSET(COM_N_2012!$B$60,$AW36,SUMIF($B$10:$B$16,"NCAP_TLIFE",$AX$10:$AX$16)),0,""))</f>
        <v/>
      </c>
      <c r="AJ36" s="369" t="str">
        <f ca="1">IF($B36&lt;&gt;"PRC_RESID","",IF(AJ$7=2005+OFFSET(COM_N_2012!$B$60,$AW36,SUMIF($B$10:$B$16,"NCAP_TLIFE",$AX$10:$AX$16)),0,""))</f>
        <v/>
      </c>
      <c r="AK36" s="369" t="str">
        <f ca="1">IF($B36&lt;&gt;"PRC_RESID","",IF(AK$7=2005+OFFSET(COM_N_2012!$B$60,$AW36,SUMIF($B$10:$B$16,"NCAP_TLIFE",$AX$10:$AX$16)),0,""))</f>
        <v/>
      </c>
      <c r="AL36" s="369" t="str">
        <f ca="1">IF($B36&lt;&gt;"PRC_RESID","",IF(AL$7=2005+OFFSET(COM_N_2012!$B$60,$AW36,SUMIF($B$10:$B$16,"NCAP_TLIFE",$AX$10:$AX$16)),0,""))</f>
        <v/>
      </c>
      <c r="AM36" s="369" t="str">
        <f ca="1">IF($B36&lt;&gt;"PRC_RESID","",IF(AM$7=2005+OFFSET(COM_N_2012!$B$60,$AW36,SUMIF($B$10:$B$16,"NCAP_TLIFE",$AX$10:$AX$16)),0,""))</f>
        <v/>
      </c>
      <c r="AN36" s="369" t="str">
        <f ca="1">IF($B36&lt;&gt;"PRC_RESID","",IF(AN$7=2005+OFFSET(COM_N_2012!$B$60,$AW36,SUMIF($B$10:$B$16,"NCAP_TLIFE",$AX$10:$AX$16)),0,""))</f>
        <v/>
      </c>
      <c r="AO36" s="369" t="str">
        <f ca="1">IF($B36&lt;&gt;"PRC_RESID","",IF(AO$7=2005+OFFSET(COM_N_2012!$B$60,$AW36,SUMIF($B$10:$B$16,"NCAP_TLIFE",$AX$10:$AX$16)),0,""))</f>
        <v/>
      </c>
      <c r="AP36" s="369" t="str">
        <f ca="1">IF($B36&lt;&gt;"PRC_RESID","",IF(AP$7=2005+OFFSET(COM_N_2012!$B$60,$AW36,SUMIF($B$10:$B$16,"NCAP_TLIFE",$AX$10:$AX$16)),0,""))</f>
        <v/>
      </c>
      <c r="AQ36" s="369" t="str">
        <f ca="1">IF($B36&lt;&gt;"PRC_RESID","",IF(AQ$7=2005+OFFSET(COM_N_2012!$B$60,$AW36,SUMIF($B$10:$B$16,"NCAP_TLIFE",$AX$10:$AX$16)),0,""))</f>
        <v/>
      </c>
      <c r="AR36" s="369" t="str">
        <f ca="1">IF($B36&lt;&gt;"PRC_RESID","",IF(AR$7=2005+OFFSET(COM_N_2012!$B$60,$AW36,SUMIF($B$10:$B$16,"NCAP_TLIFE",$AX$10:$AX$16)),0,""))</f>
        <v/>
      </c>
      <c r="AS36" s="369" t="str">
        <f ca="1">IF($B36&lt;&gt;"PRC_RESID","",IF(AS$7=2005+OFFSET(COM_N_2012!$B$60,$AW36,SUMIF($B$10:$B$16,"NCAP_TLIFE",$AX$10:$AX$16)),0,""))</f>
        <v/>
      </c>
      <c r="AT36" s="369" t="str">
        <f ca="1">IF($B36&lt;&gt;"PRC_RESID","",IF(AT$7=2005+OFFSET(COM_N_2012!$B$60,$AW36,SUMIF($B$10:$B$16,"NCAP_TLIFE",$AX$10:$AX$16)),0,""))</f>
        <v/>
      </c>
      <c r="AU36" s="369" t="str">
        <f ca="1">IF($B36&lt;&gt;"PRC_RESID","",IF(AU$7=2005+OFFSET(COM_N_2012!$B$60,$AW36,SUMIF($B$10:$B$16,"NCAP_TLIFE",$AX$10:$AX$16)),0,""))</f>
        <v/>
      </c>
      <c r="AV36" s="304">
        <f>IF(AW35=COM_N_2012!$AK$121,AV35+1,AV35)</f>
        <v>1</v>
      </c>
      <c r="AW36" s="304">
        <f t="shared" si="4"/>
        <v>19</v>
      </c>
    </row>
    <row r="37" spans="1:49">
      <c r="A37" s="304" t="str">
        <f ca="1">IF(LEFT(OFFSET(COM_N_2012!$A$60,AW37,0),2)="\I","*","")</f>
        <v>*</v>
      </c>
      <c r="B37" s="369" t="str">
        <f t="shared" ca="1" si="2"/>
        <v/>
      </c>
      <c r="C37" s="369" t="str">
        <f ca="1">IF($A37="*","",OFFSET(COM_N_2012!$B$60,AW37,0))</f>
        <v/>
      </c>
      <c r="D37" s="369" t="str">
        <f t="shared" ca="1" si="5"/>
        <v/>
      </c>
      <c r="E37" s="369" t="str">
        <f t="shared" ca="1" si="5"/>
        <v/>
      </c>
      <c r="F37" s="369" t="str">
        <f t="shared" ca="1" si="5"/>
        <v/>
      </c>
      <c r="G37" s="369" t="str">
        <f t="shared" ca="1" si="5"/>
        <v/>
      </c>
      <c r="H37" s="369" t="str">
        <f t="shared" ca="1" si="5"/>
        <v/>
      </c>
      <c r="I37" s="370" t="str">
        <f t="shared" ca="1" si="5"/>
        <v/>
      </c>
      <c r="J37" s="391" t="str">
        <f ca="1">IF($A37="*","",OFFSET(COM_N_2012!$B$60,AW37,SUMIF($B$10:$B$16,B37,$AX$10:$AX$16)))</f>
        <v/>
      </c>
      <c r="K37" s="369" t="str">
        <f ca="1">IF($B37&lt;&gt;"PRC_RESID","",IF(K$7=2005+OFFSET(COM_N_2012!$B$60,$AW37,SUMIF($B$10:$B$16,"NCAP_TLIFE",$AX$10:$AX$16)),0,""))</f>
        <v/>
      </c>
      <c r="L37" s="369" t="str">
        <f ca="1">IF($B37&lt;&gt;"PRC_RESID","",IF(L$7=2005+OFFSET(COM_N_2012!$B$60,$AW37,SUMIF($B$10:$B$16,"NCAP_TLIFE",$AX$10:$AX$16)),0,""))</f>
        <v/>
      </c>
      <c r="M37" s="369" t="str">
        <f ca="1">IF($B37&lt;&gt;"PRC_RESID","",IF(M$7=2005+OFFSET(COM_N_2012!$B$60,$AW37,SUMIF($B$10:$B$16,"NCAP_TLIFE",$AX$10:$AX$16)),0,""))</f>
        <v/>
      </c>
      <c r="N37" s="369" t="str">
        <f ca="1">IF($B37&lt;&gt;"PRC_RESID","",IF(N$7=2005+OFFSET(COM_N_2012!$B$60,$AW37,SUMIF($B$10:$B$16,"NCAP_TLIFE",$AX$10:$AX$16)),0,""))</f>
        <v/>
      </c>
      <c r="O37" s="369" t="str">
        <f ca="1">IF($B37&lt;&gt;"PRC_RESID","",IF(O$7=2005+OFFSET(COM_N_2012!$B$60,$AW37,SUMIF($B$10:$B$16,"NCAP_TLIFE",$AX$10:$AX$16)),0,""))</f>
        <v/>
      </c>
      <c r="P37" s="369" t="str">
        <f ca="1">IF($B37&lt;&gt;"PRC_RESID","",IF(P$7=2005+OFFSET(COM_N_2012!$B$60,$AW37,SUMIF($B$10:$B$16,"NCAP_TLIFE",$AX$10:$AX$16)),0,""))</f>
        <v/>
      </c>
      <c r="Q37" s="369" t="str">
        <f ca="1">IF($B37&lt;&gt;"PRC_RESID","",IF(Q$7=2005+OFFSET(COM_N_2012!$B$60,$AW37,SUMIF($B$10:$B$16,"NCAP_TLIFE",$AX$10:$AX$16)),0,""))</f>
        <v/>
      </c>
      <c r="R37" s="369" t="str">
        <f ca="1">IF($B37&lt;&gt;"PRC_RESID","",IF(R$7=2005+OFFSET(COM_N_2012!$B$60,$AW37,SUMIF($B$10:$B$16,"NCAP_TLIFE",$AX$10:$AX$16)),0,""))</f>
        <v/>
      </c>
      <c r="S37" s="369" t="str">
        <f ca="1">IF($B37&lt;&gt;"PRC_RESID","",IF(S$7=2005+OFFSET(COM_N_2012!$B$60,$AW37,SUMIF($B$10:$B$16,"NCAP_TLIFE",$AX$10:$AX$16)),0,""))</f>
        <v/>
      </c>
      <c r="T37" s="369" t="str">
        <f ca="1">IF($B37&lt;&gt;"PRC_RESID","",IF(T$7=2005+OFFSET(COM_N_2012!$B$60,$AW37,SUMIF($B$10:$B$16,"NCAP_TLIFE",$AX$10:$AX$16)),0,""))</f>
        <v/>
      </c>
      <c r="U37" s="369" t="str">
        <f ca="1">IF($B37&lt;&gt;"PRC_RESID","",IF(U$7=2005+OFFSET(COM_N_2012!$B$60,$AW37,SUMIF($B$10:$B$16,"NCAP_TLIFE",$AX$10:$AX$16)),0,""))</f>
        <v/>
      </c>
      <c r="V37" s="369" t="str">
        <f ca="1">IF($B37&lt;&gt;"PRC_RESID","",IF(V$7=2005+OFFSET(COM_N_2012!$B$60,$AW37,SUMIF($B$10:$B$16,"NCAP_TLIFE",$AX$10:$AX$16)),0,""))</f>
        <v/>
      </c>
      <c r="W37" s="369" t="str">
        <f ca="1">IF($B37&lt;&gt;"PRC_RESID","",IF(W$7=2005+OFFSET(COM_N_2012!$B$60,$AW37,SUMIF($B$10:$B$16,"NCAP_TLIFE",$AX$10:$AX$16)),0,""))</f>
        <v/>
      </c>
      <c r="X37" s="369" t="str">
        <f ca="1">IF($B37&lt;&gt;"PRC_RESID","",IF(X$7=2005+OFFSET(COM_N_2012!$B$60,$AW37,SUMIF($B$10:$B$16,"NCAP_TLIFE",$AX$10:$AX$16)),0,""))</f>
        <v/>
      </c>
      <c r="Y37" s="369" t="str">
        <f ca="1">IF($B37&lt;&gt;"PRC_RESID","",IF(Y$7=2005+OFFSET(COM_N_2012!$B$60,$AW37,SUMIF($B$10:$B$16,"NCAP_TLIFE",$AX$10:$AX$16)),0,""))</f>
        <v/>
      </c>
      <c r="Z37" s="369" t="str">
        <f ca="1">IF($B37&lt;&gt;"PRC_RESID","",IF(Z$7=2005+OFFSET(COM_N_2012!$B$60,$AW37,SUMIF($B$10:$B$16,"NCAP_TLIFE",$AX$10:$AX$16)),0,""))</f>
        <v/>
      </c>
      <c r="AA37" s="369" t="str">
        <f ca="1">IF($B37&lt;&gt;"PRC_RESID","",IF(AA$7=2005+OFFSET(COM_N_2012!$B$60,$AW37,SUMIF($B$10:$B$16,"NCAP_TLIFE",$AX$10:$AX$16)),0,""))</f>
        <v/>
      </c>
      <c r="AB37" s="369" t="str">
        <f ca="1">IF($B37&lt;&gt;"PRC_RESID","",IF(AB$7=2005+OFFSET(COM_N_2012!$B$60,$AW37,SUMIF($B$10:$B$16,"NCAP_TLIFE",$AX$10:$AX$16)),0,""))</f>
        <v/>
      </c>
      <c r="AC37" s="369" t="str">
        <f ca="1">IF($B37&lt;&gt;"PRC_RESID","",IF(AC$7=2005+OFFSET(COM_N_2012!$B$60,$AW37,SUMIF($B$10:$B$16,"NCAP_TLIFE",$AX$10:$AX$16)),0,""))</f>
        <v/>
      </c>
      <c r="AD37" s="369" t="str">
        <f ca="1">IF($B37&lt;&gt;"PRC_RESID","",IF(AD$7=2005+OFFSET(COM_N_2012!$B$60,$AW37,SUMIF($B$10:$B$16,"NCAP_TLIFE",$AX$10:$AX$16)),0,""))</f>
        <v/>
      </c>
      <c r="AE37" s="369" t="str">
        <f ca="1">IF($B37&lt;&gt;"PRC_RESID","",IF(AE$7=2005+OFFSET(COM_N_2012!$B$60,$AW37,SUMIF($B$10:$B$16,"NCAP_TLIFE",$AX$10:$AX$16)),0,""))</f>
        <v/>
      </c>
      <c r="AF37" s="369" t="str">
        <f ca="1">IF($B37&lt;&gt;"PRC_RESID","",IF(AF$7=2005+OFFSET(COM_N_2012!$B$60,$AW37,SUMIF($B$10:$B$16,"NCAP_TLIFE",$AX$10:$AX$16)),0,""))</f>
        <v/>
      </c>
      <c r="AG37" s="369" t="str">
        <f ca="1">IF($B37&lt;&gt;"PRC_RESID","",IF(AG$7=2005+OFFSET(COM_N_2012!$B$60,$AW37,SUMIF($B$10:$B$16,"NCAP_TLIFE",$AX$10:$AX$16)),0,""))</f>
        <v/>
      </c>
      <c r="AH37" s="369" t="str">
        <f ca="1">IF($B37&lt;&gt;"PRC_RESID","",IF(AH$7=2005+OFFSET(COM_N_2012!$B$60,$AW37,SUMIF($B$10:$B$16,"NCAP_TLIFE",$AX$10:$AX$16)),0,""))</f>
        <v/>
      </c>
      <c r="AI37" s="369" t="str">
        <f ca="1">IF($B37&lt;&gt;"PRC_RESID","",IF(AI$7=2005+OFFSET(COM_N_2012!$B$60,$AW37,SUMIF($B$10:$B$16,"NCAP_TLIFE",$AX$10:$AX$16)),0,""))</f>
        <v/>
      </c>
      <c r="AJ37" s="369" t="str">
        <f ca="1">IF($B37&lt;&gt;"PRC_RESID","",IF(AJ$7=2005+OFFSET(COM_N_2012!$B$60,$AW37,SUMIF($B$10:$B$16,"NCAP_TLIFE",$AX$10:$AX$16)),0,""))</f>
        <v/>
      </c>
      <c r="AK37" s="369" t="str">
        <f ca="1">IF($B37&lt;&gt;"PRC_RESID","",IF(AK$7=2005+OFFSET(COM_N_2012!$B$60,$AW37,SUMIF($B$10:$B$16,"NCAP_TLIFE",$AX$10:$AX$16)),0,""))</f>
        <v/>
      </c>
      <c r="AL37" s="369" t="str">
        <f ca="1">IF($B37&lt;&gt;"PRC_RESID","",IF(AL$7=2005+OFFSET(COM_N_2012!$B$60,$AW37,SUMIF($B$10:$B$16,"NCAP_TLIFE",$AX$10:$AX$16)),0,""))</f>
        <v/>
      </c>
      <c r="AM37" s="369" t="str">
        <f ca="1">IF($B37&lt;&gt;"PRC_RESID","",IF(AM$7=2005+OFFSET(COM_N_2012!$B$60,$AW37,SUMIF($B$10:$B$16,"NCAP_TLIFE",$AX$10:$AX$16)),0,""))</f>
        <v/>
      </c>
      <c r="AN37" s="369" t="str">
        <f ca="1">IF($B37&lt;&gt;"PRC_RESID","",IF(AN$7=2005+OFFSET(COM_N_2012!$B$60,$AW37,SUMIF($B$10:$B$16,"NCAP_TLIFE",$AX$10:$AX$16)),0,""))</f>
        <v/>
      </c>
      <c r="AO37" s="369" t="str">
        <f ca="1">IF($B37&lt;&gt;"PRC_RESID","",IF(AO$7=2005+OFFSET(COM_N_2012!$B$60,$AW37,SUMIF($B$10:$B$16,"NCAP_TLIFE",$AX$10:$AX$16)),0,""))</f>
        <v/>
      </c>
      <c r="AP37" s="369" t="str">
        <f ca="1">IF($B37&lt;&gt;"PRC_RESID","",IF(AP$7=2005+OFFSET(COM_N_2012!$B$60,$AW37,SUMIF($B$10:$B$16,"NCAP_TLIFE",$AX$10:$AX$16)),0,""))</f>
        <v/>
      </c>
      <c r="AQ37" s="369" t="str">
        <f ca="1">IF($B37&lt;&gt;"PRC_RESID","",IF(AQ$7=2005+OFFSET(COM_N_2012!$B$60,$AW37,SUMIF($B$10:$B$16,"NCAP_TLIFE",$AX$10:$AX$16)),0,""))</f>
        <v/>
      </c>
      <c r="AR37" s="369" t="str">
        <f ca="1">IF($B37&lt;&gt;"PRC_RESID","",IF(AR$7=2005+OFFSET(COM_N_2012!$B$60,$AW37,SUMIF($B$10:$B$16,"NCAP_TLIFE",$AX$10:$AX$16)),0,""))</f>
        <v/>
      </c>
      <c r="AS37" s="369" t="str">
        <f ca="1">IF($B37&lt;&gt;"PRC_RESID","",IF(AS$7=2005+OFFSET(COM_N_2012!$B$60,$AW37,SUMIF($B$10:$B$16,"NCAP_TLIFE",$AX$10:$AX$16)),0,""))</f>
        <v/>
      </c>
      <c r="AT37" s="369" t="str">
        <f ca="1">IF($B37&lt;&gt;"PRC_RESID","",IF(AT$7=2005+OFFSET(COM_N_2012!$B$60,$AW37,SUMIF($B$10:$B$16,"NCAP_TLIFE",$AX$10:$AX$16)),0,""))</f>
        <v/>
      </c>
      <c r="AU37" s="369" t="str">
        <f ca="1">IF($B37&lt;&gt;"PRC_RESID","",IF(AU$7=2005+OFFSET(COM_N_2012!$B$60,$AW37,SUMIF($B$10:$B$16,"NCAP_TLIFE",$AX$10:$AX$16)),0,""))</f>
        <v/>
      </c>
      <c r="AV37" s="304">
        <f>IF(AW36=COM_N_2012!$AK$121,AV36+1,AV36)</f>
        <v>1</v>
      </c>
      <c r="AW37" s="304">
        <f t="shared" si="4"/>
        <v>20</v>
      </c>
    </row>
    <row r="38" spans="1:49">
      <c r="A38" s="304" t="str">
        <f ca="1">IF(LEFT(OFFSET(COM_N_2012!$A$60,AW38,0),2)="\I","*","")</f>
        <v/>
      </c>
      <c r="B38" s="369" t="str">
        <f t="shared" ca="1" si="2"/>
        <v>ACT_EFF</v>
      </c>
      <c r="C38" s="369" t="str">
        <f ca="1">IF($A38="*","",OFFSET(COM_N_2012!$B$60,AW38,0))</f>
        <v>CNLELCCFL-E</v>
      </c>
      <c r="D38" s="369" t="str">
        <f t="shared" ref="D38:I47" ca="1" si="6">IF($A38="*","",VLOOKUP($B38,$B$10:$I$16,D$9,FALSE))</f>
        <v>-</v>
      </c>
      <c r="E38" s="369" t="str">
        <f t="shared" ca="1" si="6"/>
        <v>ACTGRP</v>
      </c>
      <c r="F38" s="369" t="str">
        <f t="shared" ca="1" si="6"/>
        <v>-</v>
      </c>
      <c r="G38" s="369" t="str">
        <f t="shared" ca="1" si="6"/>
        <v>ANNUAL</v>
      </c>
      <c r="H38" s="369" t="str">
        <f t="shared" ca="1" si="6"/>
        <v>-</v>
      </c>
      <c r="I38" s="370">
        <f t="shared" ca="1" si="6"/>
        <v>0</v>
      </c>
      <c r="J38" s="391">
        <f ca="1">IF($A38="*","",OFFSET(COM_N_2012!$B$60,AW38,SUMIF($B$10:$B$16,B38,$AX$10:$AX$16)))</f>
        <v>4</v>
      </c>
      <c r="K38" s="369" t="str">
        <f ca="1">IF($B38&lt;&gt;"PRC_RESID","",IF(K$7=2005+OFFSET(COM_N_2012!$B$60,$AW38,SUMIF($B$10:$B$16,"NCAP_TLIFE",$AX$10:$AX$16)),0,""))</f>
        <v/>
      </c>
      <c r="L38" s="369" t="str">
        <f ca="1">IF($B38&lt;&gt;"PRC_RESID","",IF(L$7=2005+OFFSET(COM_N_2012!$B$60,$AW38,SUMIF($B$10:$B$16,"NCAP_TLIFE",$AX$10:$AX$16)),0,""))</f>
        <v/>
      </c>
      <c r="M38" s="369" t="str">
        <f ca="1">IF($B38&lt;&gt;"PRC_RESID","",IF(M$7=2005+OFFSET(COM_N_2012!$B$60,$AW38,SUMIF($B$10:$B$16,"NCAP_TLIFE",$AX$10:$AX$16)),0,""))</f>
        <v/>
      </c>
      <c r="N38" s="369" t="str">
        <f ca="1">IF($B38&lt;&gt;"PRC_RESID","",IF(N$7=2005+OFFSET(COM_N_2012!$B$60,$AW38,SUMIF($B$10:$B$16,"NCAP_TLIFE",$AX$10:$AX$16)),0,""))</f>
        <v/>
      </c>
      <c r="O38" s="369" t="str">
        <f ca="1">IF($B38&lt;&gt;"PRC_RESID","",IF(O$7=2005+OFFSET(COM_N_2012!$B$60,$AW38,SUMIF($B$10:$B$16,"NCAP_TLIFE",$AX$10:$AX$16)),0,""))</f>
        <v/>
      </c>
      <c r="P38" s="369" t="str">
        <f ca="1">IF($B38&lt;&gt;"PRC_RESID","",IF(P$7=2005+OFFSET(COM_N_2012!$B$60,$AW38,SUMIF($B$10:$B$16,"NCAP_TLIFE",$AX$10:$AX$16)),0,""))</f>
        <v/>
      </c>
      <c r="Q38" s="369" t="str">
        <f ca="1">IF($B38&lt;&gt;"PRC_RESID","",IF(Q$7=2005+OFFSET(COM_N_2012!$B$60,$AW38,SUMIF($B$10:$B$16,"NCAP_TLIFE",$AX$10:$AX$16)),0,""))</f>
        <v/>
      </c>
      <c r="R38" s="369" t="str">
        <f ca="1">IF($B38&lt;&gt;"PRC_RESID","",IF(R$7=2005+OFFSET(COM_N_2012!$B$60,$AW38,SUMIF($B$10:$B$16,"NCAP_TLIFE",$AX$10:$AX$16)),0,""))</f>
        <v/>
      </c>
      <c r="S38" s="369" t="str">
        <f ca="1">IF($B38&lt;&gt;"PRC_RESID","",IF(S$7=2005+OFFSET(COM_N_2012!$B$60,$AW38,SUMIF($B$10:$B$16,"NCAP_TLIFE",$AX$10:$AX$16)),0,""))</f>
        <v/>
      </c>
      <c r="T38" s="369" t="str">
        <f ca="1">IF($B38&lt;&gt;"PRC_RESID","",IF(T$7=2005+OFFSET(COM_N_2012!$B$60,$AW38,SUMIF($B$10:$B$16,"NCAP_TLIFE",$AX$10:$AX$16)),0,""))</f>
        <v/>
      </c>
      <c r="U38" s="369" t="str">
        <f ca="1">IF($B38&lt;&gt;"PRC_RESID","",IF(U$7=2005+OFFSET(COM_N_2012!$B$60,$AW38,SUMIF($B$10:$B$16,"NCAP_TLIFE",$AX$10:$AX$16)),0,""))</f>
        <v/>
      </c>
      <c r="V38" s="369" t="str">
        <f ca="1">IF($B38&lt;&gt;"PRC_RESID","",IF(V$7=2005+OFFSET(COM_N_2012!$B$60,$AW38,SUMIF($B$10:$B$16,"NCAP_TLIFE",$AX$10:$AX$16)),0,""))</f>
        <v/>
      </c>
      <c r="W38" s="369" t="str">
        <f ca="1">IF($B38&lt;&gt;"PRC_RESID","",IF(W$7=2005+OFFSET(COM_N_2012!$B$60,$AW38,SUMIF($B$10:$B$16,"NCAP_TLIFE",$AX$10:$AX$16)),0,""))</f>
        <v/>
      </c>
      <c r="X38" s="369" t="str">
        <f ca="1">IF($B38&lt;&gt;"PRC_RESID","",IF(X$7=2005+OFFSET(COM_N_2012!$B$60,$AW38,SUMIF($B$10:$B$16,"NCAP_TLIFE",$AX$10:$AX$16)),0,""))</f>
        <v/>
      </c>
      <c r="Y38" s="369" t="str">
        <f ca="1">IF($B38&lt;&gt;"PRC_RESID","",IF(Y$7=2005+OFFSET(COM_N_2012!$B$60,$AW38,SUMIF($B$10:$B$16,"NCAP_TLIFE",$AX$10:$AX$16)),0,""))</f>
        <v/>
      </c>
      <c r="Z38" s="369" t="str">
        <f ca="1">IF($B38&lt;&gt;"PRC_RESID","",IF(Z$7=2005+OFFSET(COM_N_2012!$B$60,$AW38,SUMIF($B$10:$B$16,"NCAP_TLIFE",$AX$10:$AX$16)),0,""))</f>
        <v/>
      </c>
      <c r="AA38" s="369" t="str">
        <f ca="1">IF($B38&lt;&gt;"PRC_RESID","",IF(AA$7=2005+OFFSET(COM_N_2012!$B$60,$AW38,SUMIF($B$10:$B$16,"NCAP_TLIFE",$AX$10:$AX$16)),0,""))</f>
        <v/>
      </c>
      <c r="AB38" s="369" t="str">
        <f ca="1">IF($B38&lt;&gt;"PRC_RESID","",IF(AB$7=2005+OFFSET(COM_N_2012!$B$60,$AW38,SUMIF($B$10:$B$16,"NCAP_TLIFE",$AX$10:$AX$16)),0,""))</f>
        <v/>
      </c>
      <c r="AC38" s="369" t="str">
        <f ca="1">IF($B38&lt;&gt;"PRC_RESID","",IF(AC$7=2005+OFFSET(COM_N_2012!$B$60,$AW38,SUMIF($B$10:$B$16,"NCAP_TLIFE",$AX$10:$AX$16)),0,""))</f>
        <v/>
      </c>
      <c r="AD38" s="369" t="str">
        <f ca="1">IF($B38&lt;&gt;"PRC_RESID","",IF(AD$7=2005+OFFSET(COM_N_2012!$B$60,$AW38,SUMIF($B$10:$B$16,"NCAP_TLIFE",$AX$10:$AX$16)),0,""))</f>
        <v/>
      </c>
      <c r="AE38" s="369" t="str">
        <f ca="1">IF($B38&lt;&gt;"PRC_RESID","",IF(AE$7=2005+OFFSET(COM_N_2012!$B$60,$AW38,SUMIF($B$10:$B$16,"NCAP_TLIFE",$AX$10:$AX$16)),0,""))</f>
        <v/>
      </c>
      <c r="AF38" s="369" t="str">
        <f ca="1">IF($B38&lt;&gt;"PRC_RESID","",IF(AF$7=2005+OFFSET(COM_N_2012!$B$60,$AW38,SUMIF($B$10:$B$16,"NCAP_TLIFE",$AX$10:$AX$16)),0,""))</f>
        <v/>
      </c>
      <c r="AG38" s="369" t="str">
        <f ca="1">IF($B38&lt;&gt;"PRC_RESID","",IF(AG$7=2005+OFFSET(COM_N_2012!$B$60,$AW38,SUMIF($B$10:$B$16,"NCAP_TLIFE",$AX$10:$AX$16)),0,""))</f>
        <v/>
      </c>
      <c r="AH38" s="369" t="str">
        <f ca="1">IF($B38&lt;&gt;"PRC_RESID","",IF(AH$7=2005+OFFSET(COM_N_2012!$B$60,$AW38,SUMIF($B$10:$B$16,"NCAP_TLIFE",$AX$10:$AX$16)),0,""))</f>
        <v/>
      </c>
      <c r="AI38" s="369" t="str">
        <f ca="1">IF($B38&lt;&gt;"PRC_RESID","",IF(AI$7=2005+OFFSET(COM_N_2012!$B$60,$AW38,SUMIF($B$10:$B$16,"NCAP_TLIFE",$AX$10:$AX$16)),0,""))</f>
        <v/>
      </c>
      <c r="AJ38" s="369" t="str">
        <f ca="1">IF($B38&lt;&gt;"PRC_RESID","",IF(AJ$7=2005+OFFSET(COM_N_2012!$B$60,$AW38,SUMIF($B$10:$B$16,"NCAP_TLIFE",$AX$10:$AX$16)),0,""))</f>
        <v/>
      </c>
      <c r="AK38" s="369" t="str">
        <f ca="1">IF($B38&lt;&gt;"PRC_RESID","",IF(AK$7=2005+OFFSET(COM_N_2012!$B$60,$AW38,SUMIF($B$10:$B$16,"NCAP_TLIFE",$AX$10:$AX$16)),0,""))</f>
        <v/>
      </c>
      <c r="AL38" s="369" t="str">
        <f ca="1">IF($B38&lt;&gt;"PRC_RESID","",IF(AL$7=2005+OFFSET(COM_N_2012!$B$60,$AW38,SUMIF($B$10:$B$16,"NCAP_TLIFE",$AX$10:$AX$16)),0,""))</f>
        <v/>
      </c>
      <c r="AM38" s="369" t="str">
        <f ca="1">IF($B38&lt;&gt;"PRC_RESID","",IF(AM$7=2005+OFFSET(COM_N_2012!$B$60,$AW38,SUMIF($B$10:$B$16,"NCAP_TLIFE",$AX$10:$AX$16)),0,""))</f>
        <v/>
      </c>
      <c r="AN38" s="369" t="str">
        <f ca="1">IF($B38&lt;&gt;"PRC_RESID","",IF(AN$7=2005+OFFSET(COM_N_2012!$B$60,$AW38,SUMIF($B$10:$B$16,"NCAP_TLIFE",$AX$10:$AX$16)),0,""))</f>
        <v/>
      </c>
      <c r="AO38" s="369" t="str">
        <f ca="1">IF($B38&lt;&gt;"PRC_RESID","",IF(AO$7=2005+OFFSET(COM_N_2012!$B$60,$AW38,SUMIF($B$10:$B$16,"NCAP_TLIFE",$AX$10:$AX$16)),0,""))</f>
        <v/>
      </c>
      <c r="AP38" s="369" t="str">
        <f ca="1">IF($B38&lt;&gt;"PRC_RESID","",IF(AP$7=2005+OFFSET(COM_N_2012!$B$60,$AW38,SUMIF($B$10:$B$16,"NCAP_TLIFE",$AX$10:$AX$16)),0,""))</f>
        <v/>
      </c>
      <c r="AQ38" s="369" t="str">
        <f ca="1">IF($B38&lt;&gt;"PRC_RESID","",IF(AQ$7=2005+OFFSET(COM_N_2012!$B$60,$AW38,SUMIF($B$10:$B$16,"NCAP_TLIFE",$AX$10:$AX$16)),0,""))</f>
        <v/>
      </c>
      <c r="AR38" s="369" t="str">
        <f ca="1">IF($B38&lt;&gt;"PRC_RESID","",IF(AR$7=2005+OFFSET(COM_N_2012!$B$60,$AW38,SUMIF($B$10:$B$16,"NCAP_TLIFE",$AX$10:$AX$16)),0,""))</f>
        <v/>
      </c>
      <c r="AS38" s="369" t="str">
        <f ca="1">IF($B38&lt;&gt;"PRC_RESID","",IF(AS$7=2005+OFFSET(COM_N_2012!$B$60,$AW38,SUMIF($B$10:$B$16,"NCAP_TLIFE",$AX$10:$AX$16)),0,""))</f>
        <v/>
      </c>
      <c r="AT38" s="369" t="str">
        <f ca="1">IF($B38&lt;&gt;"PRC_RESID","",IF(AT$7=2005+OFFSET(COM_N_2012!$B$60,$AW38,SUMIF($B$10:$B$16,"NCAP_TLIFE",$AX$10:$AX$16)),0,""))</f>
        <v/>
      </c>
      <c r="AU38" s="369" t="str">
        <f ca="1">IF($B38&lt;&gt;"PRC_RESID","",IF(AU$7=2005+OFFSET(COM_N_2012!$B$60,$AW38,SUMIF($B$10:$B$16,"NCAP_TLIFE",$AX$10:$AX$16)),0,""))</f>
        <v/>
      </c>
      <c r="AV38" s="304">
        <f>IF(AW37=COM_N_2012!$AK$121,AV37+1,AV37)</f>
        <v>1</v>
      </c>
      <c r="AW38" s="304">
        <f t="shared" si="4"/>
        <v>21</v>
      </c>
    </row>
    <row r="39" spans="1:49">
      <c r="A39" s="304" t="str">
        <f ca="1">IF(LEFT(OFFSET(COM_N_2012!$A$60,AW39,0),2)="\I","*","")</f>
        <v/>
      </c>
      <c r="B39" s="369" t="str">
        <f t="shared" ca="1" si="2"/>
        <v>ACT_EFF</v>
      </c>
      <c r="C39" s="369" t="str">
        <f ca="1">IF($A39="*","",OFFSET(COM_N_2012!$B$60,AW39,0))</f>
        <v>CNLELCFLU-E</v>
      </c>
      <c r="D39" s="369" t="str">
        <f t="shared" ca="1" si="6"/>
        <v>-</v>
      </c>
      <c r="E39" s="369" t="str">
        <f t="shared" ca="1" si="6"/>
        <v>ACTGRP</v>
      </c>
      <c r="F39" s="369" t="str">
        <f t="shared" ca="1" si="6"/>
        <v>-</v>
      </c>
      <c r="G39" s="369" t="str">
        <f t="shared" ca="1" si="6"/>
        <v>ANNUAL</v>
      </c>
      <c r="H39" s="369" t="str">
        <f t="shared" ca="1" si="6"/>
        <v>-</v>
      </c>
      <c r="I39" s="370">
        <f t="shared" ca="1" si="6"/>
        <v>0</v>
      </c>
      <c r="J39" s="391">
        <f ca="1">IF($A39="*","",OFFSET(COM_N_2012!$B$60,AW39,SUMIF($B$10:$B$16,B39,$AX$10:$AX$16)))</f>
        <v>4.5</v>
      </c>
      <c r="K39" s="369" t="str">
        <f ca="1">IF($B39&lt;&gt;"PRC_RESID","",IF(K$7=2005+OFFSET(COM_N_2012!$B$60,$AW39,SUMIF($B$10:$B$16,"NCAP_TLIFE",$AX$10:$AX$16)),0,""))</f>
        <v/>
      </c>
      <c r="L39" s="369" t="str">
        <f ca="1">IF($B39&lt;&gt;"PRC_RESID","",IF(L$7=2005+OFFSET(COM_N_2012!$B$60,$AW39,SUMIF($B$10:$B$16,"NCAP_TLIFE",$AX$10:$AX$16)),0,""))</f>
        <v/>
      </c>
      <c r="M39" s="369" t="str">
        <f ca="1">IF($B39&lt;&gt;"PRC_RESID","",IF(M$7=2005+OFFSET(COM_N_2012!$B$60,$AW39,SUMIF($B$10:$B$16,"NCAP_TLIFE",$AX$10:$AX$16)),0,""))</f>
        <v/>
      </c>
      <c r="N39" s="369" t="str">
        <f ca="1">IF($B39&lt;&gt;"PRC_RESID","",IF(N$7=2005+OFFSET(COM_N_2012!$B$60,$AW39,SUMIF($B$10:$B$16,"NCAP_TLIFE",$AX$10:$AX$16)),0,""))</f>
        <v/>
      </c>
      <c r="O39" s="369" t="str">
        <f ca="1">IF($B39&lt;&gt;"PRC_RESID","",IF(O$7=2005+OFFSET(COM_N_2012!$B$60,$AW39,SUMIF($B$10:$B$16,"NCAP_TLIFE",$AX$10:$AX$16)),0,""))</f>
        <v/>
      </c>
      <c r="P39" s="369" t="str">
        <f ca="1">IF($B39&lt;&gt;"PRC_RESID","",IF(P$7=2005+OFFSET(COM_N_2012!$B$60,$AW39,SUMIF($B$10:$B$16,"NCAP_TLIFE",$AX$10:$AX$16)),0,""))</f>
        <v/>
      </c>
      <c r="Q39" s="369" t="str">
        <f ca="1">IF($B39&lt;&gt;"PRC_RESID","",IF(Q$7=2005+OFFSET(COM_N_2012!$B$60,$AW39,SUMIF($B$10:$B$16,"NCAP_TLIFE",$AX$10:$AX$16)),0,""))</f>
        <v/>
      </c>
      <c r="R39" s="369" t="str">
        <f ca="1">IF($B39&lt;&gt;"PRC_RESID","",IF(R$7=2005+OFFSET(COM_N_2012!$B$60,$AW39,SUMIF($B$10:$B$16,"NCAP_TLIFE",$AX$10:$AX$16)),0,""))</f>
        <v/>
      </c>
      <c r="S39" s="369" t="str">
        <f ca="1">IF($B39&lt;&gt;"PRC_RESID","",IF(S$7=2005+OFFSET(COM_N_2012!$B$60,$AW39,SUMIF($B$10:$B$16,"NCAP_TLIFE",$AX$10:$AX$16)),0,""))</f>
        <v/>
      </c>
      <c r="T39" s="369" t="str">
        <f ca="1">IF($B39&lt;&gt;"PRC_RESID","",IF(T$7=2005+OFFSET(COM_N_2012!$B$60,$AW39,SUMIF($B$10:$B$16,"NCAP_TLIFE",$AX$10:$AX$16)),0,""))</f>
        <v/>
      </c>
      <c r="U39" s="369" t="str">
        <f ca="1">IF($B39&lt;&gt;"PRC_RESID","",IF(U$7=2005+OFFSET(COM_N_2012!$B$60,$AW39,SUMIF($B$10:$B$16,"NCAP_TLIFE",$AX$10:$AX$16)),0,""))</f>
        <v/>
      </c>
      <c r="V39" s="369" t="str">
        <f ca="1">IF($B39&lt;&gt;"PRC_RESID","",IF(V$7=2005+OFFSET(COM_N_2012!$B$60,$AW39,SUMIF($B$10:$B$16,"NCAP_TLIFE",$AX$10:$AX$16)),0,""))</f>
        <v/>
      </c>
      <c r="W39" s="369" t="str">
        <f ca="1">IF($B39&lt;&gt;"PRC_RESID","",IF(W$7=2005+OFFSET(COM_N_2012!$B$60,$AW39,SUMIF($B$10:$B$16,"NCAP_TLIFE",$AX$10:$AX$16)),0,""))</f>
        <v/>
      </c>
      <c r="X39" s="369" t="str">
        <f ca="1">IF($B39&lt;&gt;"PRC_RESID","",IF(X$7=2005+OFFSET(COM_N_2012!$B$60,$AW39,SUMIF($B$10:$B$16,"NCAP_TLIFE",$AX$10:$AX$16)),0,""))</f>
        <v/>
      </c>
      <c r="Y39" s="369" t="str">
        <f ca="1">IF($B39&lt;&gt;"PRC_RESID","",IF(Y$7=2005+OFFSET(COM_N_2012!$B$60,$AW39,SUMIF($B$10:$B$16,"NCAP_TLIFE",$AX$10:$AX$16)),0,""))</f>
        <v/>
      </c>
      <c r="Z39" s="369" t="str">
        <f ca="1">IF($B39&lt;&gt;"PRC_RESID","",IF(Z$7=2005+OFFSET(COM_N_2012!$B$60,$AW39,SUMIF($B$10:$B$16,"NCAP_TLIFE",$AX$10:$AX$16)),0,""))</f>
        <v/>
      </c>
      <c r="AA39" s="369" t="str">
        <f ca="1">IF($B39&lt;&gt;"PRC_RESID","",IF(AA$7=2005+OFFSET(COM_N_2012!$B$60,$AW39,SUMIF($B$10:$B$16,"NCAP_TLIFE",$AX$10:$AX$16)),0,""))</f>
        <v/>
      </c>
      <c r="AB39" s="369" t="str">
        <f ca="1">IF($B39&lt;&gt;"PRC_RESID","",IF(AB$7=2005+OFFSET(COM_N_2012!$B$60,$AW39,SUMIF($B$10:$B$16,"NCAP_TLIFE",$AX$10:$AX$16)),0,""))</f>
        <v/>
      </c>
      <c r="AC39" s="369" t="str">
        <f ca="1">IF($B39&lt;&gt;"PRC_RESID","",IF(AC$7=2005+OFFSET(COM_N_2012!$B$60,$AW39,SUMIF($B$10:$B$16,"NCAP_TLIFE",$AX$10:$AX$16)),0,""))</f>
        <v/>
      </c>
      <c r="AD39" s="369" t="str">
        <f ca="1">IF($B39&lt;&gt;"PRC_RESID","",IF(AD$7=2005+OFFSET(COM_N_2012!$B$60,$AW39,SUMIF($B$10:$B$16,"NCAP_TLIFE",$AX$10:$AX$16)),0,""))</f>
        <v/>
      </c>
      <c r="AE39" s="369" t="str">
        <f ca="1">IF($B39&lt;&gt;"PRC_RESID","",IF(AE$7=2005+OFFSET(COM_N_2012!$B$60,$AW39,SUMIF($B$10:$B$16,"NCAP_TLIFE",$AX$10:$AX$16)),0,""))</f>
        <v/>
      </c>
      <c r="AF39" s="369" t="str">
        <f ca="1">IF($B39&lt;&gt;"PRC_RESID","",IF(AF$7=2005+OFFSET(COM_N_2012!$B$60,$AW39,SUMIF($B$10:$B$16,"NCAP_TLIFE",$AX$10:$AX$16)),0,""))</f>
        <v/>
      </c>
      <c r="AG39" s="369" t="str">
        <f ca="1">IF($B39&lt;&gt;"PRC_RESID","",IF(AG$7=2005+OFFSET(COM_N_2012!$B$60,$AW39,SUMIF($B$10:$B$16,"NCAP_TLIFE",$AX$10:$AX$16)),0,""))</f>
        <v/>
      </c>
      <c r="AH39" s="369" t="str">
        <f ca="1">IF($B39&lt;&gt;"PRC_RESID","",IF(AH$7=2005+OFFSET(COM_N_2012!$B$60,$AW39,SUMIF($B$10:$B$16,"NCAP_TLIFE",$AX$10:$AX$16)),0,""))</f>
        <v/>
      </c>
      <c r="AI39" s="369" t="str">
        <f ca="1">IF($B39&lt;&gt;"PRC_RESID","",IF(AI$7=2005+OFFSET(COM_N_2012!$B$60,$AW39,SUMIF($B$10:$B$16,"NCAP_TLIFE",$AX$10:$AX$16)),0,""))</f>
        <v/>
      </c>
      <c r="AJ39" s="369" t="str">
        <f ca="1">IF($B39&lt;&gt;"PRC_RESID","",IF(AJ$7=2005+OFFSET(COM_N_2012!$B$60,$AW39,SUMIF($B$10:$B$16,"NCAP_TLIFE",$AX$10:$AX$16)),0,""))</f>
        <v/>
      </c>
      <c r="AK39" s="369" t="str">
        <f ca="1">IF($B39&lt;&gt;"PRC_RESID","",IF(AK$7=2005+OFFSET(COM_N_2012!$B$60,$AW39,SUMIF($B$10:$B$16,"NCAP_TLIFE",$AX$10:$AX$16)),0,""))</f>
        <v/>
      </c>
      <c r="AL39" s="369" t="str">
        <f ca="1">IF($B39&lt;&gt;"PRC_RESID","",IF(AL$7=2005+OFFSET(COM_N_2012!$B$60,$AW39,SUMIF($B$10:$B$16,"NCAP_TLIFE",$AX$10:$AX$16)),0,""))</f>
        <v/>
      </c>
      <c r="AM39" s="369" t="str">
        <f ca="1">IF($B39&lt;&gt;"PRC_RESID","",IF(AM$7=2005+OFFSET(COM_N_2012!$B$60,$AW39,SUMIF($B$10:$B$16,"NCAP_TLIFE",$AX$10:$AX$16)),0,""))</f>
        <v/>
      </c>
      <c r="AN39" s="369" t="str">
        <f ca="1">IF($B39&lt;&gt;"PRC_RESID","",IF(AN$7=2005+OFFSET(COM_N_2012!$B$60,$AW39,SUMIF($B$10:$B$16,"NCAP_TLIFE",$AX$10:$AX$16)),0,""))</f>
        <v/>
      </c>
      <c r="AO39" s="369" t="str">
        <f ca="1">IF($B39&lt;&gt;"PRC_RESID","",IF(AO$7=2005+OFFSET(COM_N_2012!$B$60,$AW39,SUMIF($B$10:$B$16,"NCAP_TLIFE",$AX$10:$AX$16)),0,""))</f>
        <v/>
      </c>
      <c r="AP39" s="369" t="str">
        <f ca="1">IF($B39&lt;&gt;"PRC_RESID","",IF(AP$7=2005+OFFSET(COM_N_2012!$B$60,$AW39,SUMIF($B$10:$B$16,"NCAP_TLIFE",$AX$10:$AX$16)),0,""))</f>
        <v/>
      </c>
      <c r="AQ39" s="369" t="str">
        <f ca="1">IF($B39&lt;&gt;"PRC_RESID","",IF(AQ$7=2005+OFFSET(COM_N_2012!$B$60,$AW39,SUMIF($B$10:$B$16,"NCAP_TLIFE",$AX$10:$AX$16)),0,""))</f>
        <v/>
      </c>
      <c r="AR39" s="369" t="str">
        <f ca="1">IF($B39&lt;&gt;"PRC_RESID","",IF(AR$7=2005+OFFSET(COM_N_2012!$B$60,$AW39,SUMIF($B$10:$B$16,"NCAP_TLIFE",$AX$10:$AX$16)),0,""))</f>
        <v/>
      </c>
      <c r="AS39" s="369" t="str">
        <f ca="1">IF($B39&lt;&gt;"PRC_RESID","",IF(AS$7=2005+OFFSET(COM_N_2012!$B$60,$AW39,SUMIF($B$10:$B$16,"NCAP_TLIFE",$AX$10:$AX$16)),0,""))</f>
        <v/>
      </c>
      <c r="AT39" s="369" t="str">
        <f ca="1">IF($B39&lt;&gt;"PRC_RESID","",IF(AT$7=2005+OFFSET(COM_N_2012!$B$60,$AW39,SUMIF($B$10:$B$16,"NCAP_TLIFE",$AX$10:$AX$16)),0,""))</f>
        <v/>
      </c>
      <c r="AU39" s="369" t="str">
        <f ca="1">IF($B39&lt;&gt;"PRC_RESID","",IF(AU$7=2005+OFFSET(COM_N_2012!$B$60,$AW39,SUMIF($B$10:$B$16,"NCAP_TLIFE",$AX$10:$AX$16)),0,""))</f>
        <v/>
      </c>
      <c r="AV39" s="304">
        <f>IF(AW38=COM_N_2012!$AK$121,AV38+1,AV38)</f>
        <v>1</v>
      </c>
      <c r="AW39" s="304">
        <f t="shared" si="4"/>
        <v>22</v>
      </c>
    </row>
    <row r="40" spans="1:49">
      <c r="A40" s="304" t="str">
        <f ca="1">IF(LEFT(OFFSET(COM_N_2012!$A$60,AW40,0),2)="\I","*","")</f>
        <v/>
      </c>
      <c r="B40" s="369" t="str">
        <f t="shared" ca="1" si="2"/>
        <v>ACT_EFF</v>
      </c>
      <c r="C40" s="369" t="str">
        <f ca="1">IF($A40="*","",OFFSET(COM_N_2012!$B$60,AW40,0))</f>
        <v>CNLELCHAL-E</v>
      </c>
      <c r="D40" s="369" t="str">
        <f t="shared" ca="1" si="6"/>
        <v>-</v>
      </c>
      <c r="E40" s="369" t="str">
        <f t="shared" ca="1" si="6"/>
        <v>ACTGRP</v>
      </c>
      <c r="F40" s="369" t="str">
        <f t="shared" ca="1" si="6"/>
        <v>-</v>
      </c>
      <c r="G40" s="369" t="str">
        <f t="shared" ca="1" si="6"/>
        <v>ANNUAL</v>
      </c>
      <c r="H40" s="369" t="str">
        <f t="shared" ca="1" si="6"/>
        <v>-</v>
      </c>
      <c r="I40" s="370">
        <f t="shared" ca="1" si="6"/>
        <v>0</v>
      </c>
      <c r="J40" s="391">
        <f ca="1">IF($A40="*","",OFFSET(COM_N_2012!$B$60,AW40,SUMIF($B$10:$B$16,B40,$AX$10:$AX$16)))</f>
        <v>2</v>
      </c>
      <c r="K40" s="369" t="str">
        <f ca="1">IF($B40&lt;&gt;"PRC_RESID","",IF(K$7=2005+OFFSET(COM_N_2012!$B$60,$AW40,SUMIF($B$10:$B$16,"NCAP_TLIFE",$AX$10:$AX$16)),0,""))</f>
        <v/>
      </c>
      <c r="L40" s="369" t="str">
        <f ca="1">IF($B40&lt;&gt;"PRC_RESID","",IF(L$7=2005+OFFSET(COM_N_2012!$B$60,$AW40,SUMIF($B$10:$B$16,"NCAP_TLIFE",$AX$10:$AX$16)),0,""))</f>
        <v/>
      </c>
      <c r="M40" s="369" t="str">
        <f ca="1">IF($B40&lt;&gt;"PRC_RESID","",IF(M$7=2005+OFFSET(COM_N_2012!$B$60,$AW40,SUMIF($B$10:$B$16,"NCAP_TLIFE",$AX$10:$AX$16)),0,""))</f>
        <v/>
      </c>
      <c r="N40" s="369" t="str">
        <f ca="1">IF($B40&lt;&gt;"PRC_RESID","",IF(N$7=2005+OFFSET(COM_N_2012!$B$60,$AW40,SUMIF($B$10:$B$16,"NCAP_TLIFE",$AX$10:$AX$16)),0,""))</f>
        <v/>
      </c>
      <c r="O40" s="369" t="str">
        <f ca="1">IF($B40&lt;&gt;"PRC_RESID","",IF(O$7=2005+OFFSET(COM_N_2012!$B$60,$AW40,SUMIF($B$10:$B$16,"NCAP_TLIFE",$AX$10:$AX$16)),0,""))</f>
        <v/>
      </c>
      <c r="P40" s="369" t="str">
        <f ca="1">IF($B40&lt;&gt;"PRC_RESID","",IF(P$7=2005+OFFSET(COM_N_2012!$B$60,$AW40,SUMIF($B$10:$B$16,"NCAP_TLIFE",$AX$10:$AX$16)),0,""))</f>
        <v/>
      </c>
      <c r="Q40" s="369" t="str">
        <f ca="1">IF($B40&lt;&gt;"PRC_RESID","",IF(Q$7=2005+OFFSET(COM_N_2012!$B$60,$AW40,SUMIF($B$10:$B$16,"NCAP_TLIFE",$AX$10:$AX$16)),0,""))</f>
        <v/>
      </c>
      <c r="R40" s="369" t="str">
        <f ca="1">IF($B40&lt;&gt;"PRC_RESID","",IF(R$7=2005+OFFSET(COM_N_2012!$B$60,$AW40,SUMIF($B$10:$B$16,"NCAP_TLIFE",$AX$10:$AX$16)),0,""))</f>
        <v/>
      </c>
      <c r="S40" s="369" t="str">
        <f ca="1">IF($B40&lt;&gt;"PRC_RESID","",IF(S$7=2005+OFFSET(COM_N_2012!$B$60,$AW40,SUMIF($B$10:$B$16,"NCAP_TLIFE",$AX$10:$AX$16)),0,""))</f>
        <v/>
      </c>
      <c r="T40" s="369" t="str">
        <f ca="1">IF($B40&lt;&gt;"PRC_RESID","",IF(T$7=2005+OFFSET(COM_N_2012!$B$60,$AW40,SUMIF($B$10:$B$16,"NCAP_TLIFE",$AX$10:$AX$16)),0,""))</f>
        <v/>
      </c>
      <c r="U40" s="369" t="str">
        <f ca="1">IF($B40&lt;&gt;"PRC_RESID","",IF(U$7=2005+OFFSET(COM_N_2012!$B$60,$AW40,SUMIF($B$10:$B$16,"NCAP_TLIFE",$AX$10:$AX$16)),0,""))</f>
        <v/>
      </c>
      <c r="V40" s="369" t="str">
        <f ca="1">IF($B40&lt;&gt;"PRC_RESID","",IF(V$7=2005+OFFSET(COM_N_2012!$B$60,$AW40,SUMIF($B$10:$B$16,"NCAP_TLIFE",$AX$10:$AX$16)),0,""))</f>
        <v/>
      </c>
      <c r="W40" s="369" t="str">
        <f ca="1">IF($B40&lt;&gt;"PRC_RESID","",IF(W$7=2005+OFFSET(COM_N_2012!$B$60,$AW40,SUMIF($B$10:$B$16,"NCAP_TLIFE",$AX$10:$AX$16)),0,""))</f>
        <v/>
      </c>
      <c r="X40" s="369" t="str">
        <f ca="1">IF($B40&lt;&gt;"PRC_RESID","",IF(X$7=2005+OFFSET(COM_N_2012!$B$60,$AW40,SUMIF($B$10:$B$16,"NCAP_TLIFE",$AX$10:$AX$16)),0,""))</f>
        <v/>
      </c>
      <c r="Y40" s="369" t="str">
        <f ca="1">IF($B40&lt;&gt;"PRC_RESID","",IF(Y$7=2005+OFFSET(COM_N_2012!$B$60,$AW40,SUMIF($B$10:$B$16,"NCAP_TLIFE",$AX$10:$AX$16)),0,""))</f>
        <v/>
      </c>
      <c r="Z40" s="369" t="str">
        <f ca="1">IF($B40&lt;&gt;"PRC_RESID","",IF(Z$7=2005+OFFSET(COM_N_2012!$B$60,$AW40,SUMIF($B$10:$B$16,"NCAP_TLIFE",$AX$10:$AX$16)),0,""))</f>
        <v/>
      </c>
      <c r="AA40" s="369" t="str">
        <f ca="1">IF($B40&lt;&gt;"PRC_RESID","",IF(AA$7=2005+OFFSET(COM_N_2012!$B$60,$AW40,SUMIF($B$10:$B$16,"NCAP_TLIFE",$AX$10:$AX$16)),0,""))</f>
        <v/>
      </c>
      <c r="AB40" s="369" t="str">
        <f ca="1">IF($B40&lt;&gt;"PRC_RESID","",IF(AB$7=2005+OFFSET(COM_N_2012!$B$60,$AW40,SUMIF($B$10:$B$16,"NCAP_TLIFE",$AX$10:$AX$16)),0,""))</f>
        <v/>
      </c>
      <c r="AC40" s="369" t="str">
        <f ca="1">IF($B40&lt;&gt;"PRC_RESID","",IF(AC$7=2005+OFFSET(COM_N_2012!$B$60,$AW40,SUMIF($B$10:$B$16,"NCAP_TLIFE",$AX$10:$AX$16)),0,""))</f>
        <v/>
      </c>
      <c r="AD40" s="369" t="str">
        <f ca="1">IF($B40&lt;&gt;"PRC_RESID","",IF(AD$7=2005+OFFSET(COM_N_2012!$B$60,$AW40,SUMIF($B$10:$B$16,"NCAP_TLIFE",$AX$10:$AX$16)),0,""))</f>
        <v/>
      </c>
      <c r="AE40" s="369" t="str">
        <f ca="1">IF($B40&lt;&gt;"PRC_RESID","",IF(AE$7=2005+OFFSET(COM_N_2012!$B$60,$AW40,SUMIF($B$10:$B$16,"NCAP_TLIFE",$AX$10:$AX$16)),0,""))</f>
        <v/>
      </c>
      <c r="AF40" s="369" t="str">
        <f ca="1">IF($B40&lt;&gt;"PRC_RESID","",IF(AF$7=2005+OFFSET(COM_N_2012!$B$60,$AW40,SUMIF($B$10:$B$16,"NCAP_TLIFE",$AX$10:$AX$16)),0,""))</f>
        <v/>
      </c>
      <c r="AG40" s="369" t="str">
        <f ca="1">IF($B40&lt;&gt;"PRC_RESID","",IF(AG$7=2005+OFFSET(COM_N_2012!$B$60,$AW40,SUMIF($B$10:$B$16,"NCAP_TLIFE",$AX$10:$AX$16)),0,""))</f>
        <v/>
      </c>
      <c r="AH40" s="369" t="str">
        <f ca="1">IF($B40&lt;&gt;"PRC_RESID","",IF(AH$7=2005+OFFSET(COM_N_2012!$B$60,$AW40,SUMIF($B$10:$B$16,"NCAP_TLIFE",$AX$10:$AX$16)),0,""))</f>
        <v/>
      </c>
      <c r="AI40" s="369" t="str">
        <f ca="1">IF($B40&lt;&gt;"PRC_RESID","",IF(AI$7=2005+OFFSET(COM_N_2012!$B$60,$AW40,SUMIF($B$10:$B$16,"NCAP_TLIFE",$AX$10:$AX$16)),0,""))</f>
        <v/>
      </c>
      <c r="AJ40" s="369" t="str">
        <f ca="1">IF($B40&lt;&gt;"PRC_RESID","",IF(AJ$7=2005+OFFSET(COM_N_2012!$B$60,$AW40,SUMIF($B$10:$B$16,"NCAP_TLIFE",$AX$10:$AX$16)),0,""))</f>
        <v/>
      </c>
      <c r="AK40" s="369" t="str">
        <f ca="1">IF($B40&lt;&gt;"PRC_RESID","",IF(AK$7=2005+OFFSET(COM_N_2012!$B$60,$AW40,SUMIF($B$10:$B$16,"NCAP_TLIFE",$AX$10:$AX$16)),0,""))</f>
        <v/>
      </c>
      <c r="AL40" s="369" t="str">
        <f ca="1">IF($B40&lt;&gt;"PRC_RESID","",IF(AL$7=2005+OFFSET(COM_N_2012!$B$60,$AW40,SUMIF($B$10:$B$16,"NCAP_TLIFE",$AX$10:$AX$16)),0,""))</f>
        <v/>
      </c>
      <c r="AM40" s="369" t="str">
        <f ca="1">IF($B40&lt;&gt;"PRC_RESID","",IF(AM$7=2005+OFFSET(COM_N_2012!$B$60,$AW40,SUMIF($B$10:$B$16,"NCAP_TLIFE",$AX$10:$AX$16)),0,""))</f>
        <v/>
      </c>
      <c r="AN40" s="369" t="str">
        <f ca="1">IF($B40&lt;&gt;"PRC_RESID","",IF(AN$7=2005+OFFSET(COM_N_2012!$B$60,$AW40,SUMIF($B$10:$B$16,"NCAP_TLIFE",$AX$10:$AX$16)),0,""))</f>
        <v/>
      </c>
      <c r="AO40" s="369" t="str">
        <f ca="1">IF($B40&lt;&gt;"PRC_RESID","",IF(AO$7=2005+OFFSET(COM_N_2012!$B$60,$AW40,SUMIF($B$10:$B$16,"NCAP_TLIFE",$AX$10:$AX$16)),0,""))</f>
        <v/>
      </c>
      <c r="AP40" s="369" t="str">
        <f ca="1">IF($B40&lt;&gt;"PRC_RESID","",IF(AP$7=2005+OFFSET(COM_N_2012!$B$60,$AW40,SUMIF($B$10:$B$16,"NCAP_TLIFE",$AX$10:$AX$16)),0,""))</f>
        <v/>
      </c>
      <c r="AQ40" s="369" t="str">
        <f ca="1">IF($B40&lt;&gt;"PRC_RESID","",IF(AQ$7=2005+OFFSET(COM_N_2012!$B$60,$AW40,SUMIF($B$10:$B$16,"NCAP_TLIFE",$AX$10:$AX$16)),0,""))</f>
        <v/>
      </c>
      <c r="AR40" s="369" t="str">
        <f ca="1">IF($B40&lt;&gt;"PRC_RESID","",IF(AR$7=2005+OFFSET(COM_N_2012!$B$60,$AW40,SUMIF($B$10:$B$16,"NCAP_TLIFE",$AX$10:$AX$16)),0,""))</f>
        <v/>
      </c>
      <c r="AS40" s="369" t="str">
        <f ca="1">IF($B40&lt;&gt;"PRC_RESID","",IF(AS$7=2005+OFFSET(COM_N_2012!$B$60,$AW40,SUMIF($B$10:$B$16,"NCAP_TLIFE",$AX$10:$AX$16)),0,""))</f>
        <v/>
      </c>
      <c r="AT40" s="369" t="str">
        <f ca="1">IF($B40&lt;&gt;"PRC_RESID","",IF(AT$7=2005+OFFSET(COM_N_2012!$B$60,$AW40,SUMIF($B$10:$B$16,"NCAP_TLIFE",$AX$10:$AX$16)),0,""))</f>
        <v/>
      </c>
      <c r="AU40" s="369" t="str">
        <f ca="1">IF($B40&lt;&gt;"PRC_RESID","",IF(AU$7=2005+OFFSET(COM_N_2012!$B$60,$AW40,SUMIF($B$10:$B$16,"NCAP_TLIFE",$AX$10:$AX$16)),0,""))</f>
        <v/>
      </c>
      <c r="AV40" s="304">
        <f>IF(AW39=COM_N_2012!$AK$121,AV39+1,AV39)</f>
        <v>1</v>
      </c>
      <c r="AW40" s="304">
        <f t="shared" si="4"/>
        <v>23</v>
      </c>
    </row>
    <row r="41" spans="1:49">
      <c r="A41" s="304" t="str">
        <f ca="1">IF(LEFT(OFFSET(COM_N_2012!$A$60,AW41,0),2)="\I","*","")</f>
        <v/>
      </c>
      <c r="B41" s="369" t="str">
        <f t="shared" ca="1" si="2"/>
        <v>ACT_EFF</v>
      </c>
      <c r="C41" s="369" t="str">
        <f ca="1">IF($A41="*","",OFFSET(COM_N_2012!$B$60,AW41,0))</f>
        <v>CNLELCHID-E</v>
      </c>
      <c r="D41" s="369" t="str">
        <f t="shared" ca="1" si="6"/>
        <v>-</v>
      </c>
      <c r="E41" s="369" t="str">
        <f t="shared" ca="1" si="6"/>
        <v>ACTGRP</v>
      </c>
      <c r="F41" s="369" t="str">
        <f t="shared" ca="1" si="6"/>
        <v>-</v>
      </c>
      <c r="G41" s="369" t="str">
        <f t="shared" ca="1" si="6"/>
        <v>ANNUAL</v>
      </c>
      <c r="H41" s="369" t="str">
        <f t="shared" ca="1" si="6"/>
        <v>-</v>
      </c>
      <c r="I41" s="370">
        <f t="shared" ca="1" si="6"/>
        <v>0</v>
      </c>
      <c r="J41" s="391">
        <f ca="1">IF($A41="*","",OFFSET(COM_N_2012!$B$60,AW41,SUMIF($B$10:$B$16,B41,$AX$10:$AX$16)))</f>
        <v>7</v>
      </c>
      <c r="K41" s="369" t="str">
        <f ca="1">IF($B41&lt;&gt;"PRC_RESID","",IF(K$7=2005+OFFSET(COM_N_2012!$B$60,$AW41,SUMIF($B$10:$B$16,"NCAP_TLIFE",$AX$10:$AX$16)),0,""))</f>
        <v/>
      </c>
      <c r="L41" s="369" t="str">
        <f ca="1">IF($B41&lt;&gt;"PRC_RESID","",IF(L$7=2005+OFFSET(COM_N_2012!$B$60,$AW41,SUMIF($B$10:$B$16,"NCAP_TLIFE",$AX$10:$AX$16)),0,""))</f>
        <v/>
      </c>
      <c r="M41" s="369" t="str">
        <f ca="1">IF($B41&lt;&gt;"PRC_RESID","",IF(M$7=2005+OFFSET(COM_N_2012!$B$60,$AW41,SUMIF($B$10:$B$16,"NCAP_TLIFE",$AX$10:$AX$16)),0,""))</f>
        <v/>
      </c>
      <c r="N41" s="369" t="str">
        <f ca="1">IF($B41&lt;&gt;"PRC_RESID","",IF(N$7=2005+OFFSET(COM_N_2012!$B$60,$AW41,SUMIF($B$10:$B$16,"NCAP_TLIFE",$AX$10:$AX$16)),0,""))</f>
        <v/>
      </c>
      <c r="O41" s="369" t="str">
        <f ca="1">IF($B41&lt;&gt;"PRC_RESID","",IF(O$7=2005+OFFSET(COM_N_2012!$B$60,$AW41,SUMIF($B$10:$B$16,"NCAP_TLIFE",$AX$10:$AX$16)),0,""))</f>
        <v/>
      </c>
      <c r="P41" s="369" t="str">
        <f ca="1">IF($B41&lt;&gt;"PRC_RESID","",IF(P$7=2005+OFFSET(COM_N_2012!$B$60,$AW41,SUMIF($B$10:$B$16,"NCAP_TLIFE",$AX$10:$AX$16)),0,""))</f>
        <v/>
      </c>
      <c r="Q41" s="369" t="str">
        <f ca="1">IF($B41&lt;&gt;"PRC_RESID","",IF(Q$7=2005+OFFSET(COM_N_2012!$B$60,$AW41,SUMIF($B$10:$B$16,"NCAP_TLIFE",$AX$10:$AX$16)),0,""))</f>
        <v/>
      </c>
      <c r="R41" s="369" t="str">
        <f ca="1">IF($B41&lt;&gt;"PRC_RESID","",IF(R$7=2005+OFFSET(COM_N_2012!$B$60,$AW41,SUMIF($B$10:$B$16,"NCAP_TLIFE",$AX$10:$AX$16)),0,""))</f>
        <v/>
      </c>
      <c r="S41" s="369" t="str">
        <f ca="1">IF($B41&lt;&gt;"PRC_RESID","",IF(S$7=2005+OFFSET(COM_N_2012!$B$60,$AW41,SUMIF($B$10:$B$16,"NCAP_TLIFE",$AX$10:$AX$16)),0,""))</f>
        <v/>
      </c>
      <c r="T41" s="369" t="str">
        <f ca="1">IF($B41&lt;&gt;"PRC_RESID","",IF(T$7=2005+OFFSET(COM_N_2012!$B$60,$AW41,SUMIF($B$10:$B$16,"NCAP_TLIFE",$AX$10:$AX$16)),0,""))</f>
        <v/>
      </c>
      <c r="U41" s="369" t="str">
        <f ca="1">IF($B41&lt;&gt;"PRC_RESID","",IF(U$7=2005+OFFSET(COM_N_2012!$B$60,$AW41,SUMIF($B$10:$B$16,"NCAP_TLIFE",$AX$10:$AX$16)),0,""))</f>
        <v/>
      </c>
      <c r="V41" s="369" t="str">
        <f ca="1">IF($B41&lt;&gt;"PRC_RESID","",IF(V$7=2005+OFFSET(COM_N_2012!$B$60,$AW41,SUMIF($B$10:$B$16,"NCAP_TLIFE",$AX$10:$AX$16)),0,""))</f>
        <v/>
      </c>
      <c r="W41" s="369" t="str">
        <f ca="1">IF($B41&lt;&gt;"PRC_RESID","",IF(W$7=2005+OFFSET(COM_N_2012!$B$60,$AW41,SUMIF($B$10:$B$16,"NCAP_TLIFE",$AX$10:$AX$16)),0,""))</f>
        <v/>
      </c>
      <c r="X41" s="369" t="str">
        <f ca="1">IF($B41&lt;&gt;"PRC_RESID","",IF(X$7=2005+OFFSET(COM_N_2012!$B$60,$AW41,SUMIF($B$10:$B$16,"NCAP_TLIFE",$AX$10:$AX$16)),0,""))</f>
        <v/>
      </c>
      <c r="Y41" s="369" t="str">
        <f ca="1">IF($B41&lt;&gt;"PRC_RESID","",IF(Y$7=2005+OFFSET(COM_N_2012!$B$60,$AW41,SUMIF($B$10:$B$16,"NCAP_TLIFE",$AX$10:$AX$16)),0,""))</f>
        <v/>
      </c>
      <c r="Z41" s="369" t="str">
        <f ca="1">IF($B41&lt;&gt;"PRC_RESID","",IF(Z$7=2005+OFFSET(COM_N_2012!$B$60,$AW41,SUMIF($B$10:$B$16,"NCAP_TLIFE",$AX$10:$AX$16)),0,""))</f>
        <v/>
      </c>
      <c r="AA41" s="369" t="str">
        <f ca="1">IF($B41&lt;&gt;"PRC_RESID","",IF(AA$7=2005+OFFSET(COM_N_2012!$B$60,$AW41,SUMIF($B$10:$B$16,"NCAP_TLIFE",$AX$10:$AX$16)),0,""))</f>
        <v/>
      </c>
      <c r="AB41" s="369" t="str">
        <f ca="1">IF($B41&lt;&gt;"PRC_RESID","",IF(AB$7=2005+OFFSET(COM_N_2012!$B$60,$AW41,SUMIF($B$10:$B$16,"NCAP_TLIFE",$AX$10:$AX$16)),0,""))</f>
        <v/>
      </c>
      <c r="AC41" s="369" t="str">
        <f ca="1">IF($B41&lt;&gt;"PRC_RESID","",IF(AC$7=2005+OFFSET(COM_N_2012!$B$60,$AW41,SUMIF($B$10:$B$16,"NCAP_TLIFE",$AX$10:$AX$16)),0,""))</f>
        <v/>
      </c>
      <c r="AD41" s="369" t="str">
        <f ca="1">IF($B41&lt;&gt;"PRC_RESID","",IF(AD$7=2005+OFFSET(COM_N_2012!$B$60,$AW41,SUMIF($B$10:$B$16,"NCAP_TLIFE",$AX$10:$AX$16)),0,""))</f>
        <v/>
      </c>
      <c r="AE41" s="369" t="str">
        <f ca="1">IF($B41&lt;&gt;"PRC_RESID","",IF(AE$7=2005+OFFSET(COM_N_2012!$B$60,$AW41,SUMIF($B$10:$B$16,"NCAP_TLIFE",$AX$10:$AX$16)),0,""))</f>
        <v/>
      </c>
      <c r="AF41" s="369" t="str">
        <f ca="1">IF($B41&lt;&gt;"PRC_RESID","",IF(AF$7=2005+OFFSET(COM_N_2012!$B$60,$AW41,SUMIF($B$10:$B$16,"NCAP_TLIFE",$AX$10:$AX$16)),0,""))</f>
        <v/>
      </c>
      <c r="AG41" s="369" t="str">
        <f ca="1">IF($B41&lt;&gt;"PRC_RESID","",IF(AG$7=2005+OFFSET(COM_N_2012!$B$60,$AW41,SUMIF($B$10:$B$16,"NCAP_TLIFE",$AX$10:$AX$16)),0,""))</f>
        <v/>
      </c>
      <c r="AH41" s="369" t="str">
        <f ca="1">IF($B41&lt;&gt;"PRC_RESID","",IF(AH$7=2005+OFFSET(COM_N_2012!$B$60,$AW41,SUMIF($B$10:$B$16,"NCAP_TLIFE",$AX$10:$AX$16)),0,""))</f>
        <v/>
      </c>
      <c r="AI41" s="369" t="str">
        <f ca="1">IF($B41&lt;&gt;"PRC_RESID","",IF(AI$7=2005+OFFSET(COM_N_2012!$B$60,$AW41,SUMIF($B$10:$B$16,"NCAP_TLIFE",$AX$10:$AX$16)),0,""))</f>
        <v/>
      </c>
      <c r="AJ41" s="369" t="str">
        <f ca="1">IF($B41&lt;&gt;"PRC_RESID","",IF(AJ$7=2005+OFFSET(COM_N_2012!$B$60,$AW41,SUMIF($B$10:$B$16,"NCAP_TLIFE",$AX$10:$AX$16)),0,""))</f>
        <v/>
      </c>
      <c r="AK41" s="369" t="str">
        <f ca="1">IF($B41&lt;&gt;"PRC_RESID","",IF(AK$7=2005+OFFSET(COM_N_2012!$B$60,$AW41,SUMIF($B$10:$B$16,"NCAP_TLIFE",$AX$10:$AX$16)),0,""))</f>
        <v/>
      </c>
      <c r="AL41" s="369" t="str">
        <f ca="1">IF($B41&lt;&gt;"PRC_RESID","",IF(AL$7=2005+OFFSET(COM_N_2012!$B$60,$AW41,SUMIF($B$10:$B$16,"NCAP_TLIFE",$AX$10:$AX$16)),0,""))</f>
        <v/>
      </c>
      <c r="AM41" s="369" t="str">
        <f ca="1">IF($B41&lt;&gt;"PRC_RESID","",IF(AM$7=2005+OFFSET(COM_N_2012!$B$60,$AW41,SUMIF($B$10:$B$16,"NCAP_TLIFE",$AX$10:$AX$16)),0,""))</f>
        <v/>
      </c>
      <c r="AN41" s="369" t="str">
        <f ca="1">IF($B41&lt;&gt;"PRC_RESID","",IF(AN$7=2005+OFFSET(COM_N_2012!$B$60,$AW41,SUMIF($B$10:$B$16,"NCAP_TLIFE",$AX$10:$AX$16)),0,""))</f>
        <v/>
      </c>
      <c r="AO41" s="369" t="str">
        <f ca="1">IF($B41&lt;&gt;"PRC_RESID","",IF(AO$7=2005+OFFSET(COM_N_2012!$B$60,$AW41,SUMIF($B$10:$B$16,"NCAP_TLIFE",$AX$10:$AX$16)),0,""))</f>
        <v/>
      </c>
      <c r="AP41" s="369" t="str">
        <f ca="1">IF($B41&lt;&gt;"PRC_RESID","",IF(AP$7=2005+OFFSET(COM_N_2012!$B$60,$AW41,SUMIF($B$10:$B$16,"NCAP_TLIFE",$AX$10:$AX$16)),0,""))</f>
        <v/>
      </c>
      <c r="AQ41" s="369" t="str">
        <f ca="1">IF($B41&lt;&gt;"PRC_RESID","",IF(AQ$7=2005+OFFSET(COM_N_2012!$B$60,$AW41,SUMIF($B$10:$B$16,"NCAP_TLIFE",$AX$10:$AX$16)),0,""))</f>
        <v/>
      </c>
      <c r="AR41" s="369" t="str">
        <f ca="1">IF($B41&lt;&gt;"PRC_RESID","",IF(AR$7=2005+OFFSET(COM_N_2012!$B$60,$AW41,SUMIF($B$10:$B$16,"NCAP_TLIFE",$AX$10:$AX$16)),0,""))</f>
        <v/>
      </c>
      <c r="AS41" s="369" t="str">
        <f ca="1">IF($B41&lt;&gt;"PRC_RESID","",IF(AS$7=2005+OFFSET(COM_N_2012!$B$60,$AW41,SUMIF($B$10:$B$16,"NCAP_TLIFE",$AX$10:$AX$16)),0,""))</f>
        <v/>
      </c>
      <c r="AT41" s="369" t="str">
        <f ca="1">IF($B41&lt;&gt;"PRC_RESID","",IF(AT$7=2005+OFFSET(COM_N_2012!$B$60,$AW41,SUMIF($B$10:$B$16,"NCAP_TLIFE",$AX$10:$AX$16)),0,""))</f>
        <v/>
      </c>
      <c r="AU41" s="369" t="str">
        <f ca="1">IF($B41&lt;&gt;"PRC_RESID","",IF(AU$7=2005+OFFSET(COM_N_2012!$B$60,$AW41,SUMIF($B$10:$B$16,"NCAP_TLIFE",$AX$10:$AX$16)),0,""))</f>
        <v/>
      </c>
      <c r="AV41" s="304">
        <f>IF(AW40=COM_N_2012!$AK$121,AV40+1,AV40)</f>
        <v>1</v>
      </c>
      <c r="AW41" s="304">
        <f t="shared" si="4"/>
        <v>24</v>
      </c>
    </row>
    <row r="42" spans="1:49">
      <c r="A42" s="304" t="str">
        <f ca="1">IF(LEFT(OFFSET(COM_N_2012!$A$60,AW42,0),2)="\I","*","")</f>
        <v/>
      </c>
      <c r="B42" s="369" t="str">
        <f t="shared" ca="1" si="2"/>
        <v>ACT_EFF</v>
      </c>
      <c r="C42" s="369" t="str">
        <f ca="1">IF($A42="*","",OFFSET(COM_N_2012!$B$60,AW42,0))</f>
        <v>CNLELCINC-E</v>
      </c>
      <c r="D42" s="369" t="str">
        <f t="shared" ca="1" si="6"/>
        <v>-</v>
      </c>
      <c r="E42" s="369" t="str">
        <f t="shared" ca="1" si="6"/>
        <v>ACTGRP</v>
      </c>
      <c r="F42" s="369" t="str">
        <f t="shared" ca="1" si="6"/>
        <v>-</v>
      </c>
      <c r="G42" s="369" t="str">
        <f t="shared" ca="1" si="6"/>
        <v>ANNUAL</v>
      </c>
      <c r="H42" s="369" t="str">
        <f t="shared" ca="1" si="6"/>
        <v>-</v>
      </c>
      <c r="I42" s="370">
        <f t="shared" ca="1" si="6"/>
        <v>0</v>
      </c>
      <c r="J42" s="391">
        <f ca="1">IF($A42="*","",OFFSET(COM_N_2012!$B$60,AW42,SUMIF($B$10:$B$16,B42,$AX$10:$AX$16)))</f>
        <v>1</v>
      </c>
      <c r="K42" s="369" t="str">
        <f ca="1">IF($B42&lt;&gt;"PRC_RESID","",IF(K$7=2005+OFFSET(COM_N_2012!$B$60,$AW42,SUMIF($B$10:$B$16,"NCAP_TLIFE",$AX$10:$AX$16)),0,""))</f>
        <v/>
      </c>
      <c r="L42" s="369" t="str">
        <f ca="1">IF($B42&lt;&gt;"PRC_RESID","",IF(L$7=2005+OFFSET(COM_N_2012!$B$60,$AW42,SUMIF($B$10:$B$16,"NCAP_TLIFE",$AX$10:$AX$16)),0,""))</f>
        <v/>
      </c>
      <c r="M42" s="369" t="str">
        <f ca="1">IF($B42&lt;&gt;"PRC_RESID","",IF(M$7=2005+OFFSET(COM_N_2012!$B$60,$AW42,SUMIF($B$10:$B$16,"NCAP_TLIFE",$AX$10:$AX$16)),0,""))</f>
        <v/>
      </c>
      <c r="N42" s="369" t="str">
        <f ca="1">IF($B42&lt;&gt;"PRC_RESID","",IF(N$7=2005+OFFSET(COM_N_2012!$B$60,$AW42,SUMIF($B$10:$B$16,"NCAP_TLIFE",$AX$10:$AX$16)),0,""))</f>
        <v/>
      </c>
      <c r="O42" s="369" t="str">
        <f ca="1">IF($B42&lt;&gt;"PRC_RESID","",IF(O$7=2005+OFFSET(COM_N_2012!$B$60,$AW42,SUMIF($B$10:$B$16,"NCAP_TLIFE",$AX$10:$AX$16)),0,""))</f>
        <v/>
      </c>
      <c r="P42" s="369" t="str">
        <f ca="1">IF($B42&lt;&gt;"PRC_RESID","",IF(P$7=2005+OFFSET(COM_N_2012!$B$60,$AW42,SUMIF($B$10:$B$16,"NCAP_TLIFE",$AX$10:$AX$16)),0,""))</f>
        <v/>
      </c>
      <c r="Q42" s="369" t="str">
        <f ca="1">IF($B42&lt;&gt;"PRC_RESID","",IF(Q$7=2005+OFFSET(COM_N_2012!$B$60,$AW42,SUMIF($B$10:$B$16,"NCAP_TLIFE",$AX$10:$AX$16)),0,""))</f>
        <v/>
      </c>
      <c r="R42" s="369" t="str">
        <f ca="1">IF($B42&lt;&gt;"PRC_RESID","",IF(R$7=2005+OFFSET(COM_N_2012!$B$60,$AW42,SUMIF($B$10:$B$16,"NCAP_TLIFE",$AX$10:$AX$16)),0,""))</f>
        <v/>
      </c>
      <c r="S42" s="369" t="str">
        <f ca="1">IF($B42&lt;&gt;"PRC_RESID","",IF(S$7=2005+OFFSET(COM_N_2012!$B$60,$AW42,SUMIF($B$10:$B$16,"NCAP_TLIFE",$AX$10:$AX$16)),0,""))</f>
        <v/>
      </c>
      <c r="T42" s="369" t="str">
        <f ca="1">IF($B42&lt;&gt;"PRC_RESID","",IF(T$7=2005+OFFSET(COM_N_2012!$B$60,$AW42,SUMIF($B$10:$B$16,"NCAP_TLIFE",$AX$10:$AX$16)),0,""))</f>
        <v/>
      </c>
      <c r="U42" s="369" t="str">
        <f ca="1">IF($B42&lt;&gt;"PRC_RESID","",IF(U$7=2005+OFFSET(COM_N_2012!$B$60,$AW42,SUMIF($B$10:$B$16,"NCAP_TLIFE",$AX$10:$AX$16)),0,""))</f>
        <v/>
      </c>
      <c r="V42" s="369" t="str">
        <f ca="1">IF($B42&lt;&gt;"PRC_RESID","",IF(V$7=2005+OFFSET(COM_N_2012!$B$60,$AW42,SUMIF($B$10:$B$16,"NCAP_TLIFE",$AX$10:$AX$16)),0,""))</f>
        <v/>
      </c>
      <c r="W42" s="369" t="str">
        <f ca="1">IF($B42&lt;&gt;"PRC_RESID","",IF(W$7=2005+OFFSET(COM_N_2012!$B$60,$AW42,SUMIF($B$10:$B$16,"NCAP_TLIFE",$AX$10:$AX$16)),0,""))</f>
        <v/>
      </c>
      <c r="X42" s="369" t="str">
        <f ca="1">IF($B42&lt;&gt;"PRC_RESID","",IF(X$7=2005+OFFSET(COM_N_2012!$B$60,$AW42,SUMIF($B$10:$B$16,"NCAP_TLIFE",$AX$10:$AX$16)),0,""))</f>
        <v/>
      </c>
      <c r="Y42" s="369" t="str">
        <f ca="1">IF($B42&lt;&gt;"PRC_RESID","",IF(Y$7=2005+OFFSET(COM_N_2012!$B$60,$AW42,SUMIF($B$10:$B$16,"NCAP_TLIFE",$AX$10:$AX$16)),0,""))</f>
        <v/>
      </c>
      <c r="Z42" s="369" t="str">
        <f ca="1">IF($B42&lt;&gt;"PRC_RESID","",IF(Z$7=2005+OFFSET(COM_N_2012!$B$60,$AW42,SUMIF($B$10:$B$16,"NCAP_TLIFE",$AX$10:$AX$16)),0,""))</f>
        <v/>
      </c>
      <c r="AA42" s="369" t="str">
        <f ca="1">IF($B42&lt;&gt;"PRC_RESID","",IF(AA$7=2005+OFFSET(COM_N_2012!$B$60,$AW42,SUMIF($B$10:$B$16,"NCAP_TLIFE",$AX$10:$AX$16)),0,""))</f>
        <v/>
      </c>
      <c r="AB42" s="369" t="str">
        <f ca="1">IF($B42&lt;&gt;"PRC_RESID","",IF(AB$7=2005+OFFSET(COM_N_2012!$B$60,$AW42,SUMIF($B$10:$B$16,"NCAP_TLIFE",$AX$10:$AX$16)),0,""))</f>
        <v/>
      </c>
      <c r="AC42" s="369" t="str">
        <f ca="1">IF($B42&lt;&gt;"PRC_RESID","",IF(AC$7=2005+OFFSET(COM_N_2012!$B$60,$AW42,SUMIF($B$10:$B$16,"NCAP_TLIFE",$AX$10:$AX$16)),0,""))</f>
        <v/>
      </c>
      <c r="AD42" s="369" t="str">
        <f ca="1">IF($B42&lt;&gt;"PRC_RESID","",IF(AD$7=2005+OFFSET(COM_N_2012!$B$60,$AW42,SUMIF($B$10:$B$16,"NCAP_TLIFE",$AX$10:$AX$16)),0,""))</f>
        <v/>
      </c>
      <c r="AE42" s="369" t="str">
        <f ca="1">IF($B42&lt;&gt;"PRC_RESID","",IF(AE$7=2005+OFFSET(COM_N_2012!$B$60,$AW42,SUMIF($B$10:$B$16,"NCAP_TLIFE",$AX$10:$AX$16)),0,""))</f>
        <v/>
      </c>
      <c r="AF42" s="369" t="str">
        <f ca="1">IF($B42&lt;&gt;"PRC_RESID","",IF(AF$7=2005+OFFSET(COM_N_2012!$B$60,$AW42,SUMIF($B$10:$B$16,"NCAP_TLIFE",$AX$10:$AX$16)),0,""))</f>
        <v/>
      </c>
      <c r="AG42" s="369" t="str">
        <f ca="1">IF($B42&lt;&gt;"PRC_RESID","",IF(AG$7=2005+OFFSET(COM_N_2012!$B$60,$AW42,SUMIF($B$10:$B$16,"NCAP_TLIFE",$AX$10:$AX$16)),0,""))</f>
        <v/>
      </c>
      <c r="AH42" s="369" t="str">
        <f ca="1">IF($B42&lt;&gt;"PRC_RESID","",IF(AH$7=2005+OFFSET(COM_N_2012!$B$60,$AW42,SUMIF($B$10:$B$16,"NCAP_TLIFE",$AX$10:$AX$16)),0,""))</f>
        <v/>
      </c>
      <c r="AI42" s="369" t="str">
        <f ca="1">IF($B42&lt;&gt;"PRC_RESID","",IF(AI$7=2005+OFFSET(COM_N_2012!$B$60,$AW42,SUMIF($B$10:$B$16,"NCAP_TLIFE",$AX$10:$AX$16)),0,""))</f>
        <v/>
      </c>
      <c r="AJ42" s="369" t="str">
        <f ca="1">IF($B42&lt;&gt;"PRC_RESID","",IF(AJ$7=2005+OFFSET(COM_N_2012!$B$60,$AW42,SUMIF($B$10:$B$16,"NCAP_TLIFE",$AX$10:$AX$16)),0,""))</f>
        <v/>
      </c>
      <c r="AK42" s="369" t="str">
        <f ca="1">IF($B42&lt;&gt;"PRC_RESID","",IF(AK$7=2005+OFFSET(COM_N_2012!$B$60,$AW42,SUMIF($B$10:$B$16,"NCAP_TLIFE",$AX$10:$AX$16)),0,""))</f>
        <v/>
      </c>
      <c r="AL42" s="369" t="str">
        <f ca="1">IF($B42&lt;&gt;"PRC_RESID","",IF(AL$7=2005+OFFSET(COM_N_2012!$B$60,$AW42,SUMIF($B$10:$B$16,"NCAP_TLIFE",$AX$10:$AX$16)),0,""))</f>
        <v/>
      </c>
      <c r="AM42" s="369" t="str">
        <f ca="1">IF($B42&lt;&gt;"PRC_RESID","",IF(AM$7=2005+OFFSET(COM_N_2012!$B$60,$AW42,SUMIF($B$10:$B$16,"NCAP_TLIFE",$AX$10:$AX$16)),0,""))</f>
        <v/>
      </c>
      <c r="AN42" s="369" t="str">
        <f ca="1">IF($B42&lt;&gt;"PRC_RESID","",IF(AN$7=2005+OFFSET(COM_N_2012!$B$60,$AW42,SUMIF($B$10:$B$16,"NCAP_TLIFE",$AX$10:$AX$16)),0,""))</f>
        <v/>
      </c>
      <c r="AO42" s="369" t="str">
        <f ca="1">IF($B42&lt;&gt;"PRC_RESID","",IF(AO$7=2005+OFFSET(COM_N_2012!$B$60,$AW42,SUMIF($B$10:$B$16,"NCAP_TLIFE",$AX$10:$AX$16)),0,""))</f>
        <v/>
      </c>
      <c r="AP42" s="369" t="str">
        <f ca="1">IF($B42&lt;&gt;"PRC_RESID","",IF(AP$7=2005+OFFSET(COM_N_2012!$B$60,$AW42,SUMIF($B$10:$B$16,"NCAP_TLIFE",$AX$10:$AX$16)),0,""))</f>
        <v/>
      </c>
      <c r="AQ42" s="369" t="str">
        <f ca="1">IF($B42&lt;&gt;"PRC_RESID","",IF(AQ$7=2005+OFFSET(COM_N_2012!$B$60,$AW42,SUMIF($B$10:$B$16,"NCAP_TLIFE",$AX$10:$AX$16)),0,""))</f>
        <v/>
      </c>
      <c r="AR42" s="369" t="str">
        <f ca="1">IF($B42&lt;&gt;"PRC_RESID","",IF(AR$7=2005+OFFSET(COM_N_2012!$B$60,$AW42,SUMIF($B$10:$B$16,"NCAP_TLIFE",$AX$10:$AX$16)),0,""))</f>
        <v/>
      </c>
      <c r="AS42" s="369" t="str">
        <f ca="1">IF($B42&lt;&gt;"PRC_RESID","",IF(AS$7=2005+OFFSET(COM_N_2012!$B$60,$AW42,SUMIF($B$10:$B$16,"NCAP_TLIFE",$AX$10:$AX$16)),0,""))</f>
        <v/>
      </c>
      <c r="AT42" s="369" t="str">
        <f ca="1">IF($B42&lt;&gt;"PRC_RESID","",IF(AT$7=2005+OFFSET(COM_N_2012!$B$60,$AW42,SUMIF($B$10:$B$16,"NCAP_TLIFE",$AX$10:$AX$16)),0,""))</f>
        <v/>
      </c>
      <c r="AU42" s="369" t="str">
        <f ca="1">IF($B42&lt;&gt;"PRC_RESID","",IF(AU$7=2005+OFFSET(COM_N_2012!$B$60,$AW42,SUMIF($B$10:$B$16,"NCAP_TLIFE",$AX$10:$AX$16)),0,""))</f>
        <v/>
      </c>
      <c r="AV42" s="304">
        <f>IF(AW41=COM_N_2012!$AK$121,AV41+1,AV41)</f>
        <v>1</v>
      </c>
      <c r="AW42" s="304">
        <f t="shared" si="4"/>
        <v>25</v>
      </c>
    </row>
    <row r="43" spans="1:49">
      <c r="A43" s="304" t="str">
        <f ca="1">IF(LEFT(OFFSET(COM_N_2012!$A$60,AW43,0),2)="\I","*","")</f>
        <v/>
      </c>
      <c r="B43" s="369" t="str">
        <f t="shared" ca="1" si="2"/>
        <v>ACT_EFF</v>
      </c>
      <c r="C43" s="369" t="str">
        <f ca="1">IF($A43="*","",OFFSET(COM_N_2012!$B$60,AW43,0))</f>
        <v>CNLELCLED-N</v>
      </c>
      <c r="D43" s="369" t="str">
        <f t="shared" ca="1" si="6"/>
        <v>-</v>
      </c>
      <c r="E43" s="369" t="str">
        <f t="shared" ca="1" si="6"/>
        <v>ACTGRP</v>
      </c>
      <c r="F43" s="369" t="str">
        <f t="shared" ca="1" si="6"/>
        <v>-</v>
      </c>
      <c r="G43" s="369" t="str">
        <f t="shared" ca="1" si="6"/>
        <v>ANNUAL</v>
      </c>
      <c r="H43" s="369" t="str">
        <f t="shared" ca="1" si="6"/>
        <v>-</v>
      </c>
      <c r="I43" s="370">
        <f t="shared" ca="1" si="6"/>
        <v>0</v>
      </c>
      <c r="J43" s="391">
        <f ca="1">IF($A43="*","",OFFSET(COM_N_2012!$B$60,AW43,SUMIF($B$10:$B$16,B43,$AX$10:$AX$16)))</f>
        <v>9.8000000000000007</v>
      </c>
      <c r="K43" s="369" t="str">
        <f ca="1">IF($B43&lt;&gt;"PRC_RESID","",IF(K$7=2005+OFFSET(COM_N_2012!$B$60,$AW43,SUMIF($B$10:$B$16,"NCAP_TLIFE",$AX$10:$AX$16)),0,""))</f>
        <v/>
      </c>
      <c r="L43" s="369" t="str">
        <f ca="1">IF($B43&lt;&gt;"PRC_RESID","",IF(L$7=2005+OFFSET(COM_N_2012!$B$60,$AW43,SUMIF($B$10:$B$16,"NCAP_TLIFE",$AX$10:$AX$16)),0,""))</f>
        <v/>
      </c>
      <c r="M43" s="369" t="str">
        <f ca="1">IF($B43&lt;&gt;"PRC_RESID","",IF(M$7=2005+OFFSET(COM_N_2012!$B$60,$AW43,SUMIF($B$10:$B$16,"NCAP_TLIFE",$AX$10:$AX$16)),0,""))</f>
        <v/>
      </c>
      <c r="N43" s="369" t="str">
        <f ca="1">IF($B43&lt;&gt;"PRC_RESID","",IF(N$7=2005+OFFSET(COM_N_2012!$B$60,$AW43,SUMIF($B$10:$B$16,"NCAP_TLIFE",$AX$10:$AX$16)),0,""))</f>
        <v/>
      </c>
      <c r="O43" s="369" t="str">
        <f ca="1">IF($B43&lt;&gt;"PRC_RESID","",IF(O$7=2005+OFFSET(COM_N_2012!$B$60,$AW43,SUMIF($B$10:$B$16,"NCAP_TLIFE",$AX$10:$AX$16)),0,""))</f>
        <v/>
      </c>
      <c r="P43" s="369" t="str">
        <f ca="1">IF($B43&lt;&gt;"PRC_RESID","",IF(P$7=2005+OFFSET(COM_N_2012!$B$60,$AW43,SUMIF($B$10:$B$16,"NCAP_TLIFE",$AX$10:$AX$16)),0,""))</f>
        <v/>
      </c>
      <c r="Q43" s="369" t="str">
        <f ca="1">IF($B43&lt;&gt;"PRC_RESID","",IF(Q$7=2005+OFFSET(COM_N_2012!$B$60,$AW43,SUMIF($B$10:$B$16,"NCAP_TLIFE",$AX$10:$AX$16)),0,""))</f>
        <v/>
      </c>
      <c r="R43" s="369" t="str">
        <f ca="1">IF($B43&lt;&gt;"PRC_RESID","",IF(R$7=2005+OFFSET(COM_N_2012!$B$60,$AW43,SUMIF($B$10:$B$16,"NCAP_TLIFE",$AX$10:$AX$16)),0,""))</f>
        <v/>
      </c>
      <c r="S43" s="369" t="str">
        <f ca="1">IF($B43&lt;&gt;"PRC_RESID","",IF(S$7=2005+OFFSET(COM_N_2012!$B$60,$AW43,SUMIF($B$10:$B$16,"NCAP_TLIFE",$AX$10:$AX$16)),0,""))</f>
        <v/>
      </c>
      <c r="T43" s="369" t="str">
        <f ca="1">IF($B43&lt;&gt;"PRC_RESID","",IF(T$7=2005+OFFSET(COM_N_2012!$B$60,$AW43,SUMIF($B$10:$B$16,"NCAP_TLIFE",$AX$10:$AX$16)),0,""))</f>
        <v/>
      </c>
      <c r="U43" s="369" t="str">
        <f ca="1">IF($B43&lt;&gt;"PRC_RESID","",IF(U$7=2005+OFFSET(COM_N_2012!$B$60,$AW43,SUMIF($B$10:$B$16,"NCAP_TLIFE",$AX$10:$AX$16)),0,""))</f>
        <v/>
      </c>
      <c r="V43" s="369" t="str">
        <f ca="1">IF($B43&lt;&gt;"PRC_RESID","",IF(V$7=2005+OFFSET(COM_N_2012!$B$60,$AW43,SUMIF($B$10:$B$16,"NCAP_TLIFE",$AX$10:$AX$16)),0,""))</f>
        <v/>
      </c>
      <c r="W43" s="369" t="str">
        <f ca="1">IF($B43&lt;&gt;"PRC_RESID","",IF(W$7=2005+OFFSET(COM_N_2012!$B$60,$AW43,SUMIF($B$10:$B$16,"NCAP_TLIFE",$AX$10:$AX$16)),0,""))</f>
        <v/>
      </c>
      <c r="X43" s="369" t="str">
        <f ca="1">IF($B43&lt;&gt;"PRC_RESID","",IF(X$7=2005+OFFSET(COM_N_2012!$B$60,$AW43,SUMIF($B$10:$B$16,"NCAP_TLIFE",$AX$10:$AX$16)),0,""))</f>
        <v/>
      </c>
      <c r="Y43" s="369" t="str">
        <f ca="1">IF($B43&lt;&gt;"PRC_RESID","",IF(Y$7=2005+OFFSET(COM_N_2012!$B$60,$AW43,SUMIF($B$10:$B$16,"NCAP_TLIFE",$AX$10:$AX$16)),0,""))</f>
        <v/>
      </c>
      <c r="Z43" s="369" t="str">
        <f ca="1">IF($B43&lt;&gt;"PRC_RESID","",IF(Z$7=2005+OFFSET(COM_N_2012!$B$60,$AW43,SUMIF($B$10:$B$16,"NCAP_TLIFE",$AX$10:$AX$16)),0,""))</f>
        <v/>
      </c>
      <c r="AA43" s="369" t="str">
        <f ca="1">IF($B43&lt;&gt;"PRC_RESID","",IF(AA$7=2005+OFFSET(COM_N_2012!$B$60,$AW43,SUMIF($B$10:$B$16,"NCAP_TLIFE",$AX$10:$AX$16)),0,""))</f>
        <v/>
      </c>
      <c r="AB43" s="369" t="str">
        <f ca="1">IF($B43&lt;&gt;"PRC_RESID","",IF(AB$7=2005+OFFSET(COM_N_2012!$B$60,$AW43,SUMIF($B$10:$B$16,"NCAP_TLIFE",$AX$10:$AX$16)),0,""))</f>
        <v/>
      </c>
      <c r="AC43" s="369" t="str">
        <f ca="1">IF($B43&lt;&gt;"PRC_RESID","",IF(AC$7=2005+OFFSET(COM_N_2012!$B$60,$AW43,SUMIF($B$10:$B$16,"NCAP_TLIFE",$AX$10:$AX$16)),0,""))</f>
        <v/>
      </c>
      <c r="AD43" s="369" t="str">
        <f ca="1">IF($B43&lt;&gt;"PRC_RESID","",IF(AD$7=2005+OFFSET(COM_N_2012!$B$60,$AW43,SUMIF($B$10:$B$16,"NCAP_TLIFE",$AX$10:$AX$16)),0,""))</f>
        <v/>
      </c>
      <c r="AE43" s="369" t="str">
        <f ca="1">IF($B43&lt;&gt;"PRC_RESID","",IF(AE$7=2005+OFFSET(COM_N_2012!$B$60,$AW43,SUMIF($B$10:$B$16,"NCAP_TLIFE",$AX$10:$AX$16)),0,""))</f>
        <v/>
      </c>
      <c r="AF43" s="369" t="str">
        <f ca="1">IF($B43&lt;&gt;"PRC_RESID","",IF(AF$7=2005+OFFSET(COM_N_2012!$B$60,$AW43,SUMIF($B$10:$B$16,"NCAP_TLIFE",$AX$10:$AX$16)),0,""))</f>
        <v/>
      </c>
      <c r="AG43" s="369" t="str">
        <f ca="1">IF($B43&lt;&gt;"PRC_RESID","",IF(AG$7=2005+OFFSET(COM_N_2012!$B$60,$AW43,SUMIF($B$10:$B$16,"NCAP_TLIFE",$AX$10:$AX$16)),0,""))</f>
        <v/>
      </c>
      <c r="AH43" s="369" t="str">
        <f ca="1">IF($B43&lt;&gt;"PRC_RESID","",IF(AH$7=2005+OFFSET(COM_N_2012!$B$60,$AW43,SUMIF($B$10:$B$16,"NCAP_TLIFE",$AX$10:$AX$16)),0,""))</f>
        <v/>
      </c>
      <c r="AI43" s="369" t="str">
        <f ca="1">IF($B43&lt;&gt;"PRC_RESID","",IF(AI$7=2005+OFFSET(COM_N_2012!$B$60,$AW43,SUMIF($B$10:$B$16,"NCAP_TLIFE",$AX$10:$AX$16)),0,""))</f>
        <v/>
      </c>
      <c r="AJ43" s="369" t="str">
        <f ca="1">IF($B43&lt;&gt;"PRC_RESID","",IF(AJ$7=2005+OFFSET(COM_N_2012!$B$60,$AW43,SUMIF($B$10:$B$16,"NCAP_TLIFE",$AX$10:$AX$16)),0,""))</f>
        <v/>
      </c>
      <c r="AK43" s="369" t="str">
        <f ca="1">IF($B43&lt;&gt;"PRC_RESID","",IF(AK$7=2005+OFFSET(COM_N_2012!$B$60,$AW43,SUMIF($B$10:$B$16,"NCAP_TLIFE",$AX$10:$AX$16)),0,""))</f>
        <v/>
      </c>
      <c r="AL43" s="369" t="str">
        <f ca="1">IF($B43&lt;&gt;"PRC_RESID","",IF(AL$7=2005+OFFSET(COM_N_2012!$B$60,$AW43,SUMIF($B$10:$B$16,"NCAP_TLIFE",$AX$10:$AX$16)),0,""))</f>
        <v/>
      </c>
      <c r="AM43" s="369" t="str">
        <f ca="1">IF($B43&lt;&gt;"PRC_RESID","",IF(AM$7=2005+OFFSET(COM_N_2012!$B$60,$AW43,SUMIF($B$10:$B$16,"NCAP_TLIFE",$AX$10:$AX$16)),0,""))</f>
        <v/>
      </c>
      <c r="AN43" s="369" t="str">
        <f ca="1">IF($B43&lt;&gt;"PRC_RESID","",IF(AN$7=2005+OFFSET(COM_N_2012!$B$60,$AW43,SUMIF($B$10:$B$16,"NCAP_TLIFE",$AX$10:$AX$16)),0,""))</f>
        <v/>
      </c>
      <c r="AO43" s="369" t="str">
        <f ca="1">IF($B43&lt;&gt;"PRC_RESID","",IF(AO$7=2005+OFFSET(COM_N_2012!$B$60,$AW43,SUMIF($B$10:$B$16,"NCAP_TLIFE",$AX$10:$AX$16)),0,""))</f>
        <v/>
      </c>
      <c r="AP43" s="369" t="str">
        <f ca="1">IF($B43&lt;&gt;"PRC_RESID","",IF(AP$7=2005+OFFSET(COM_N_2012!$B$60,$AW43,SUMIF($B$10:$B$16,"NCAP_TLIFE",$AX$10:$AX$16)),0,""))</f>
        <v/>
      </c>
      <c r="AQ43" s="369" t="str">
        <f ca="1">IF($B43&lt;&gt;"PRC_RESID","",IF(AQ$7=2005+OFFSET(COM_N_2012!$B$60,$AW43,SUMIF($B$10:$B$16,"NCAP_TLIFE",$AX$10:$AX$16)),0,""))</f>
        <v/>
      </c>
      <c r="AR43" s="369" t="str">
        <f ca="1">IF($B43&lt;&gt;"PRC_RESID","",IF(AR$7=2005+OFFSET(COM_N_2012!$B$60,$AW43,SUMIF($B$10:$B$16,"NCAP_TLIFE",$AX$10:$AX$16)),0,""))</f>
        <v/>
      </c>
      <c r="AS43" s="369" t="str">
        <f ca="1">IF($B43&lt;&gt;"PRC_RESID","",IF(AS$7=2005+OFFSET(COM_N_2012!$B$60,$AW43,SUMIF($B$10:$B$16,"NCAP_TLIFE",$AX$10:$AX$16)),0,""))</f>
        <v/>
      </c>
      <c r="AT43" s="369" t="str">
        <f ca="1">IF($B43&lt;&gt;"PRC_RESID","",IF(AT$7=2005+OFFSET(COM_N_2012!$B$60,$AW43,SUMIF($B$10:$B$16,"NCAP_TLIFE",$AX$10:$AX$16)),0,""))</f>
        <v/>
      </c>
      <c r="AU43" s="369" t="str">
        <f ca="1">IF($B43&lt;&gt;"PRC_RESID","",IF(AU$7=2005+OFFSET(COM_N_2012!$B$60,$AW43,SUMIF($B$10:$B$16,"NCAP_TLIFE",$AX$10:$AX$16)),0,""))</f>
        <v/>
      </c>
      <c r="AV43" s="304">
        <f>IF(AW42=COM_N_2012!$AK$121,AV42+1,AV42)</f>
        <v>1</v>
      </c>
      <c r="AW43" s="304">
        <f t="shared" si="4"/>
        <v>26</v>
      </c>
    </row>
    <row r="44" spans="1:49">
      <c r="A44" s="304" t="str">
        <f ca="1">IF(LEFT(OFFSET(COM_N_2012!$A$60,AW44,0),2)="\I","*","")</f>
        <v>*</v>
      </c>
      <c r="B44" s="369" t="str">
        <f t="shared" ca="1" si="2"/>
        <v/>
      </c>
      <c r="C44" s="369" t="str">
        <f ca="1">IF($A44="*","",OFFSET(COM_N_2012!$B$60,AW44,0))</f>
        <v/>
      </c>
      <c r="D44" s="369" t="str">
        <f t="shared" ca="1" si="6"/>
        <v/>
      </c>
      <c r="E44" s="369" t="str">
        <f t="shared" ca="1" si="6"/>
        <v/>
      </c>
      <c r="F44" s="369" t="str">
        <f t="shared" ca="1" si="6"/>
        <v/>
      </c>
      <c r="G44" s="369" t="str">
        <f t="shared" ca="1" si="6"/>
        <v/>
      </c>
      <c r="H44" s="369" t="str">
        <f t="shared" ca="1" si="6"/>
        <v/>
      </c>
      <c r="I44" s="370" t="str">
        <f t="shared" ca="1" si="6"/>
        <v/>
      </c>
      <c r="J44" s="391" t="str">
        <f ca="1">IF($A44="*","",OFFSET(COM_N_2012!$B$60,AW44,SUMIF($B$10:$B$16,B44,$AX$10:$AX$16)))</f>
        <v/>
      </c>
      <c r="K44" s="369" t="str">
        <f ca="1">IF($B44&lt;&gt;"PRC_RESID","",IF(K$7=2005+OFFSET(COM_N_2012!$B$60,$AW44,SUMIF($B$10:$B$16,"NCAP_TLIFE",$AX$10:$AX$16)),0,""))</f>
        <v/>
      </c>
      <c r="L44" s="369" t="str">
        <f ca="1">IF($B44&lt;&gt;"PRC_RESID","",IF(L$7=2005+OFFSET(COM_N_2012!$B$60,$AW44,SUMIF($B$10:$B$16,"NCAP_TLIFE",$AX$10:$AX$16)),0,""))</f>
        <v/>
      </c>
      <c r="M44" s="369" t="str">
        <f ca="1">IF($B44&lt;&gt;"PRC_RESID","",IF(M$7=2005+OFFSET(COM_N_2012!$B$60,$AW44,SUMIF($B$10:$B$16,"NCAP_TLIFE",$AX$10:$AX$16)),0,""))</f>
        <v/>
      </c>
      <c r="N44" s="369" t="str">
        <f ca="1">IF($B44&lt;&gt;"PRC_RESID","",IF(N$7=2005+OFFSET(COM_N_2012!$B$60,$AW44,SUMIF($B$10:$B$16,"NCAP_TLIFE",$AX$10:$AX$16)),0,""))</f>
        <v/>
      </c>
      <c r="O44" s="369" t="str">
        <f ca="1">IF($B44&lt;&gt;"PRC_RESID","",IF(O$7=2005+OFFSET(COM_N_2012!$B$60,$AW44,SUMIF($B$10:$B$16,"NCAP_TLIFE",$AX$10:$AX$16)),0,""))</f>
        <v/>
      </c>
      <c r="P44" s="369" t="str">
        <f ca="1">IF($B44&lt;&gt;"PRC_RESID","",IF(P$7=2005+OFFSET(COM_N_2012!$B$60,$AW44,SUMIF($B$10:$B$16,"NCAP_TLIFE",$AX$10:$AX$16)),0,""))</f>
        <v/>
      </c>
      <c r="Q44" s="369" t="str">
        <f ca="1">IF($B44&lt;&gt;"PRC_RESID","",IF(Q$7=2005+OFFSET(COM_N_2012!$B$60,$AW44,SUMIF($B$10:$B$16,"NCAP_TLIFE",$AX$10:$AX$16)),0,""))</f>
        <v/>
      </c>
      <c r="R44" s="369" t="str">
        <f ca="1">IF($B44&lt;&gt;"PRC_RESID","",IF(R$7=2005+OFFSET(COM_N_2012!$B$60,$AW44,SUMIF($B$10:$B$16,"NCAP_TLIFE",$AX$10:$AX$16)),0,""))</f>
        <v/>
      </c>
      <c r="S44" s="369" t="str">
        <f ca="1">IF($B44&lt;&gt;"PRC_RESID","",IF(S$7=2005+OFFSET(COM_N_2012!$B$60,$AW44,SUMIF($B$10:$B$16,"NCAP_TLIFE",$AX$10:$AX$16)),0,""))</f>
        <v/>
      </c>
      <c r="T44" s="369" t="str">
        <f ca="1">IF($B44&lt;&gt;"PRC_RESID","",IF(T$7=2005+OFFSET(COM_N_2012!$B$60,$AW44,SUMIF($B$10:$B$16,"NCAP_TLIFE",$AX$10:$AX$16)),0,""))</f>
        <v/>
      </c>
      <c r="U44" s="369" t="str">
        <f ca="1">IF($B44&lt;&gt;"PRC_RESID","",IF(U$7=2005+OFFSET(COM_N_2012!$B$60,$AW44,SUMIF($B$10:$B$16,"NCAP_TLIFE",$AX$10:$AX$16)),0,""))</f>
        <v/>
      </c>
      <c r="V44" s="369" t="str">
        <f ca="1">IF($B44&lt;&gt;"PRC_RESID","",IF(V$7=2005+OFFSET(COM_N_2012!$B$60,$AW44,SUMIF($B$10:$B$16,"NCAP_TLIFE",$AX$10:$AX$16)),0,""))</f>
        <v/>
      </c>
      <c r="W44" s="369" t="str">
        <f ca="1">IF($B44&lt;&gt;"PRC_RESID","",IF(W$7=2005+OFFSET(COM_N_2012!$B$60,$AW44,SUMIF($B$10:$B$16,"NCAP_TLIFE",$AX$10:$AX$16)),0,""))</f>
        <v/>
      </c>
      <c r="X44" s="369" t="str">
        <f ca="1">IF($B44&lt;&gt;"PRC_RESID","",IF(X$7=2005+OFFSET(COM_N_2012!$B$60,$AW44,SUMIF($B$10:$B$16,"NCAP_TLIFE",$AX$10:$AX$16)),0,""))</f>
        <v/>
      </c>
      <c r="Y44" s="369" t="str">
        <f ca="1">IF($B44&lt;&gt;"PRC_RESID","",IF(Y$7=2005+OFFSET(COM_N_2012!$B$60,$AW44,SUMIF($B$10:$B$16,"NCAP_TLIFE",$AX$10:$AX$16)),0,""))</f>
        <v/>
      </c>
      <c r="Z44" s="369" t="str">
        <f ca="1">IF($B44&lt;&gt;"PRC_RESID","",IF(Z$7=2005+OFFSET(COM_N_2012!$B$60,$AW44,SUMIF($B$10:$B$16,"NCAP_TLIFE",$AX$10:$AX$16)),0,""))</f>
        <v/>
      </c>
      <c r="AA44" s="369" t="str">
        <f ca="1">IF($B44&lt;&gt;"PRC_RESID","",IF(AA$7=2005+OFFSET(COM_N_2012!$B$60,$AW44,SUMIF($B$10:$B$16,"NCAP_TLIFE",$AX$10:$AX$16)),0,""))</f>
        <v/>
      </c>
      <c r="AB44" s="369" t="str">
        <f ca="1">IF($B44&lt;&gt;"PRC_RESID","",IF(AB$7=2005+OFFSET(COM_N_2012!$B$60,$AW44,SUMIF($B$10:$B$16,"NCAP_TLIFE",$AX$10:$AX$16)),0,""))</f>
        <v/>
      </c>
      <c r="AC44" s="369" t="str">
        <f ca="1">IF($B44&lt;&gt;"PRC_RESID","",IF(AC$7=2005+OFFSET(COM_N_2012!$B$60,$AW44,SUMIF($B$10:$B$16,"NCAP_TLIFE",$AX$10:$AX$16)),0,""))</f>
        <v/>
      </c>
      <c r="AD44" s="369" t="str">
        <f ca="1">IF($B44&lt;&gt;"PRC_RESID","",IF(AD$7=2005+OFFSET(COM_N_2012!$B$60,$AW44,SUMIF($B$10:$B$16,"NCAP_TLIFE",$AX$10:$AX$16)),0,""))</f>
        <v/>
      </c>
      <c r="AE44" s="369" t="str">
        <f ca="1">IF($B44&lt;&gt;"PRC_RESID","",IF(AE$7=2005+OFFSET(COM_N_2012!$B$60,$AW44,SUMIF($B$10:$B$16,"NCAP_TLIFE",$AX$10:$AX$16)),0,""))</f>
        <v/>
      </c>
      <c r="AF44" s="369" t="str">
        <f ca="1">IF($B44&lt;&gt;"PRC_RESID","",IF(AF$7=2005+OFFSET(COM_N_2012!$B$60,$AW44,SUMIF($B$10:$B$16,"NCAP_TLIFE",$AX$10:$AX$16)),0,""))</f>
        <v/>
      </c>
      <c r="AG44" s="369" t="str">
        <f ca="1">IF($B44&lt;&gt;"PRC_RESID","",IF(AG$7=2005+OFFSET(COM_N_2012!$B$60,$AW44,SUMIF($B$10:$B$16,"NCAP_TLIFE",$AX$10:$AX$16)),0,""))</f>
        <v/>
      </c>
      <c r="AH44" s="369" t="str">
        <f ca="1">IF($B44&lt;&gt;"PRC_RESID","",IF(AH$7=2005+OFFSET(COM_N_2012!$B$60,$AW44,SUMIF($B$10:$B$16,"NCAP_TLIFE",$AX$10:$AX$16)),0,""))</f>
        <v/>
      </c>
      <c r="AI44" s="369" t="str">
        <f ca="1">IF($B44&lt;&gt;"PRC_RESID","",IF(AI$7=2005+OFFSET(COM_N_2012!$B$60,$AW44,SUMIF($B$10:$B$16,"NCAP_TLIFE",$AX$10:$AX$16)),0,""))</f>
        <v/>
      </c>
      <c r="AJ44" s="369" t="str">
        <f ca="1">IF($B44&lt;&gt;"PRC_RESID","",IF(AJ$7=2005+OFFSET(COM_N_2012!$B$60,$AW44,SUMIF($B$10:$B$16,"NCAP_TLIFE",$AX$10:$AX$16)),0,""))</f>
        <v/>
      </c>
      <c r="AK44" s="369" t="str">
        <f ca="1">IF($B44&lt;&gt;"PRC_RESID","",IF(AK$7=2005+OFFSET(COM_N_2012!$B$60,$AW44,SUMIF($B$10:$B$16,"NCAP_TLIFE",$AX$10:$AX$16)),0,""))</f>
        <v/>
      </c>
      <c r="AL44" s="369" t="str">
        <f ca="1">IF($B44&lt;&gt;"PRC_RESID","",IF(AL$7=2005+OFFSET(COM_N_2012!$B$60,$AW44,SUMIF($B$10:$B$16,"NCAP_TLIFE",$AX$10:$AX$16)),0,""))</f>
        <v/>
      </c>
      <c r="AM44" s="369" t="str">
        <f ca="1">IF($B44&lt;&gt;"PRC_RESID","",IF(AM$7=2005+OFFSET(COM_N_2012!$B$60,$AW44,SUMIF($B$10:$B$16,"NCAP_TLIFE",$AX$10:$AX$16)),0,""))</f>
        <v/>
      </c>
      <c r="AN44" s="369" t="str">
        <f ca="1">IF($B44&lt;&gt;"PRC_RESID","",IF(AN$7=2005+OFFSET(COM_N_2012!$B$60,$AW44,SUMIF($B$10:$B$16,"NCAP_TLIFE",$AX$10:$AX$16)),0,""))</f>
        <v/>
      </c>
      <c r="AO44" s="369" t="str">
        <f ca="1">IF($B44&lt;&gt;"PRC_RESID","",IF(AO$7=2005+OFFSET(COM_N_2012!$B$60,$AW44,SUMIF($B$10:$B$16,"NCAP_TLIFE",$AX$10:$AX$16)),0,""))</f>
        <v/>
      </c>
      <c r="AP44" s="369" t="str">
        <f ca="1">IF($B44&lt;&gt;"PRC_RESID","",IF(AP$7=2005+OFFSET(COM_N_2012!$B$60,$AW44,SUMIF($B$10:$B$16,"NCAP_TLIFE",$AX$10:$AX$16)),0,""))</f>
        <v/>
      </c>
      <c r="AQ44" s="369" t="str">
        <f ca="1">IF($B44&lt;&gt;"PRC_RESID","",IF(AQ$7=2005+OFFSET(COM_N_2012!$B$60,$AW44,SUMIF($B$10:$B$16,"NCAP_TLIFE",$AX$10:$AX$16)),0,""))</f>
        <v/>
      </c>
      <c r="AR44" s="369" t="str">
        <f ca="1">IF($B44&lt;&gt;"PRC_RESID","",IF(AR$7=2005+OFFSET(COM_N_2012!$B$60,$AW44,SUMIF($B$10:$B$16,"NCAP_TLIFE",$AX$10:$AX$16)),0,""))</f>
        <v/>
      </c>
      <c r="AS44" s="369" t="str">
        <f ca="1">IF($B44&lt;&gt;"PRC_RESID","",IF(AS$7=2005+OFFSET(COM_N_2012!$B$60,$AW44,SUMIF($B$10:$B$16,"NCAP_TLIFE",$AX$10:$AX$16)),0,""))</f>
        <v/>
      </c>
      <c r="AT44" s="369" t="str">
        <f ca="1">IF($B44&lt;&gt;"PRC_RESID","",IF(AT$7=2005+OFFSET(COM_N_2012!$B$60,$AW44,SUMIF($B$10:$B$16,"NCAP_TLIFE",$AX$10:$AX$16)),0,""))</f>
        <v/>
      </c>
      <c r="AU44" s="369" t="str">
        <f ca="1">IF($B44&lt;&gt;"PRC_RESID","",IF(AU$7=2005+OFFSET(COM_N_2012!$B$60,$AW44,SUMIF($B$10:$B$16,"NCAP_TLIFE",$AX$10:$AX$16)),0,""))</f>
        <v/>
      </c>
      <c r="AV44" s="304">
        <f>IF(AW43=COM_N_2012!$AK$121,AV43+1,AV43)</f>
        <v>1</v>
      </c>
      <c r="AW44" s="304">
        <f t="shared" si="4"/>
        <v>27</v>
      </c>
    </row>
    <row r="45" spans="1:49">
      <c r="A45" s="304" t="str">
        <f ca="1">IF(LEFT(OFFSET(COM_N_2012!$A$60,AW45,0),2)="\I","*","")</f>
        <v>*</v>
      </c>
      <c r="B45" s="369" t="str">
        <f t="shared" ca="1" si="2"/>
        <v/>
      </c>
      <c r="C45" s="369" t="str">
        <f ca="1">IF($A45="*","",OFFSET(COM_N_2012!$B$60,AW45,0))</f>
        <v/>
      </c>
      <c r="D45" s="369" t="str">
        <f t="shared" ca="1" si="6"/>
        <v/>
      </c>
      <c r="E45" s="369" t="str">
        <f t="shared" ca="1" si="6"/>
        <v/>
      </c>
      <c r="F45" s="369" t="str">
        <f t="shared" ca="1" si="6"/>
        <v/>
      </c>
      <c r="G45" s="369" t="str">
        <f t="shared" ca="1" si="6"/>
        <v/>
      </c>
      <c r="H45" s="369" t="str">
        <f t="shared" ca="1" si="6"/>
        <v/>
      </c>
      <c r="I45" s="370" t="str">
        <f t="shared" ca="1" si="6"/>
        <v/>
      </c>
      <c r="J45" s="391" t="str">
        <f ca="1">IF($A45="*","",OFFSET(COM_N_2012!$B$60,AW45,SUMIF($B$10:$B$16,B45,$AX$10:$AX$16)))</f>
        <v/>
      </c>
      <c r="K45" s="369" t="str">
        <f ca="1">IF($B45&lt;&gt;"PRC_RESID","",IF(K$7=2005+OFFSET(COM_N_2012!$B$60,$AW45,SUMIF($B$10:$B$16,"NCAP_TLIFE",$AX$10:$AX$16)),0,""))</f>
        <v/>
      </c>
      <c r="L45" s="369" t="str">
        <f ca="1">IF($B45&lt;&gt;"PRC_RESID","",IF(L$7=2005+OFFSET(COM_N_2012!$B$60,$AW45,SUMIF($B$10:$B$16,"NCAP_TLIFE",$AX$10:$AX$16)),0,""))</f>
        <v/>
      </c>
      <c r="M45" s="369" t="str">
        <f ca="1">IF($B45&lt;&gt;"PRC_RESID","",IF(M$7=2005+OFFSET(COM_N_2012!$B$60,$AW45,SUMIF($B$10:$B$16,"NCAP_TLIFE",$AX$10:$AX$16)),0,""))</f>
        <v/>
      </c>
      <c r="N45" s="369" t="str">
        <f ca="1">IF($B45&lt;&gt;"PRC_RESID","",IF(N$7=2005+OFFSET(COM_N_2012!$B$60,$AW45,SUMIF($B$10:$B$16,"NCAP_TLIFE",$AX$10:$AX$16)),0,""))</f>
        <v/>
      </c>
      <c r="O45" s="369" t="str">
        <f ca="1">IF($B45&lt;&gt;"PRC_RESID","",IF(O$7=2005+OFFSET(COM_N_2012!$B$60,$AW45,SUMIF($B$10:$B$16,"NCAP_TLIFE",$AX$10:$AX$16)),0,""))</f>
        <v/>
      </c>
      <c r="P45" s="369" t="str">
        <f ca="1">IF($B45&lt;&gt;"PRC_RESID","",IF(P$7=2005+OFFSET(COM_N_2012!$B$60,$AW45,SUMIF($B$10:$B$16,"NCAP_TLIFE",$AX$10:$AX$16)),0,""))</f>
        <v/>
      </c>
      <c r="Q45" s="369" t="str">
        <f ca="1">IF($B45&lt;&gt;"PRC_RESID","",IF(Q$7=2005+OFFSET(COM_N_2012!$B$60,$AW45,SUMIF($B$10:$B$16,"NCAP_TLIFE",$AX$10:$AX$16)),0,""))</f>
        <v/>
      </c>
      <c r="R45" s="369" t="str">
        <f ca="1">IF($B45&lt;&gt;"PRC_RESID","",IF(R$7=2005+OFFSET(COM_N_2012!$B$60,$AW45,SUMIF($B$10:$B$16,"NCAP_TLIFE",$AX$10:$AX$16)),0,""))</f>
        <v/>
      </c>
      <c r="S45" s="369" t="str">
        <f ca="1">IF($B45&lt;&gt;"PRC_RESID","",IF(S$7=2005+OFFSET(COM_N_2012!$B$60,$AW45,SUMIF($B$10:$B$16,"NCAP_TLIFE",$AX$10:$AX$16)),0,""))</f>
        <v/>
      </c>
      <c r="T45" s="369" t="str">
        <f ca="1">IF($B45&lt;&gt;"PRC_RESID","",IF(T$7=2005+OFFSET(COM_N_2012!$B$60,$AW45,SUMIF($B$10:$B$16,"NCAP_TLIFE",$AX$10:$AX$16)),0,""))</f>
        <v/>
      </c>
      <c r="U45" s="369" t="str">
        <f ca="1">IF($B45&lt;&gt;"PRC_RESID","",IF(U$7=2005+OFFSET(COM_N_2012!$B$60,$AW45,SUMIF($B$10:$B$16,"NCAP_TLIFE",$AX$10:$AX$16)),0,""))</f>
        <v/>
      </c>
      <c r="V45" s="369" t="str">
        <f ca="1">IF($B45&lt;&gt;"PRC_RESID","",IF(V$7=2005+OFFSET(COM_N_2012!$B$60,$AW45,SUMIF($B$10:$B$16,"NCAP_TLIFE",$AX$10:$AX$16)),0,""))</f>
        <v/>
      </c>
      <c r="W45" s="369" t="str">
        <f ca="1">IF($B45&lt;&gt;"PRC_RESID","",IF(W$7=2005+OFFSET(COM_N_2012!$B$60,$AW45,SUMIF($B$10:$B$16,"NCAP_TLIFE",$AX$10:$AX$16)),0,""))</f>
        <v/>
      </c>
      <c r="X45" s="369" t="str">
        <f ca="1">IF($B45&lt;&gt;"PRC_RESID","",IF(X$7=2005+OFFSET(COM_N_2012!$B$60,$AW45,SUMIF($B$10:$B$16,"NCAP_TLIFE",$AX$10:$AX$16)),0,""))</f>
        <v/>
      </c>
      <c r="Y45" s="369" t="str">
        <f ca="1">IF($B45&lt;&gt;"PRC_RESID","",IF(Y$7=2005+OFFSET(COM_N_2012!$B$60,$AW45,SUMIF($B$10:$B$16,"NCAP_TLIFE",$AX$10:$AX$16)),0,""))</f>
        <v/>
      </c>
      <c r="Z45" s="369" t="str">
        <f ca="1">IF($B45&lt;&gt;"PRC_RESID","",IF(Z$7=2005+OFFSET(COM_N_2012!$B$60,$AW45,SUMIF($B$10:$B$16,"NCAP_TLIFE",$AX$10:$AX$16)),0,""))</f>
        <v/>
      </c>
      <c r="AA45" s="369" t="str">
        <f ca="1">IF($B45&lt;&gt;"PRC_RESID","",IF(AA$7=2005+OFFSET(COM_N_2012!$B$60,$AW45,SUMIF($B$10:$B$16,"NCAP_TLIFE",$AX$10:$AX$16)),0,""))</f>
        <v/>
      </c>
      <c r="AB45" s="369" t="str">
        <f ca="1">IF($B45&lt;&gt;"PRC_RESID","",IF(AB$7=2005+OFFSET(COM_N_2012!$B$60,$AW45,SUMIF($B$10:$B$16,"NCAP_TLIFE",$AX$10:$AX$16)),0,""))</f>
        <v/>
      </c>
      <c r="AC45" s="369" t="str">
        <f ca="1">IF($B45&lt;&gt;"PRC_RESID","",IF(AC$7=2005+OFFSET(COM_N_2012!$B$60,$AW45,SUMIF($B$10:$B$16,"NCAP_TLIFE",$AX$10:$AX$16)),0,""))</f>
        <v/>
      </c>
      <c r="AD45" s="369" t="str">
        <f ca="1">IF($B45&lt;&gt;"PRC_RESID","",IF(AD$7=2005+OFFSET(COM_N_2012!$B$60,$AW45,SUMIF($B$10:$B$16,"NCAP_TLIFE",$AX$10:$AX$16)),0,""))</f>
        <v/>
      </c>
      <c r="AE45" s="369" t="str">
        <f ca="1">IF($B45&lt;&gt;"PRC_RESID","",IF(AE$7=2005+OFFSET(COM_N_2012!$B$60,$AW45,SUMIF($B$10:$B$16,"NCAP_TLIFE",$AX$10:$AX$16)),0,""))</f>
        <v/>
      </c>
      <c r="AF45" s="369" t="str">
        <f ca="1">IF($B45&lt;&gt;"PRC_RESID","",IF(AF$7=2005+OFFSET(COM_N_2012!$B$60,$AW45,SUMIF($B$10:$B$16,"NCAP_TLIFE",$AX$10:$AX$16)),0,""))</f>
        <v/>
      </c>
      <c r="AG45" s="369" t="str">
        <f ca="1">IF($B45&lt;&gt;"PRC_RESID","",IF(AG$7=2005+OFFSET(COM_N_2012!$B$60,$AW45,SUMIF($B$10:$B$16,"NCAP_TLIFE",$AX$10:$AX$16)),0,""))</f>
        <v/>
      </c>
      <c r="AH45" s="369" t="str">
        <f ca="1">IF($B45&lt;&gt;"PRC_RESID","",IF(AH$7=2005+OFFSET(COM_N_2012!$B$60,$AW45,SUMIF($B$10:$B$16,"NCAP_TLIFE",$AX$10:$AX$16)),0,""))</f>
        <v/>
      </c>
      <c r="AI45" s="369" t="str">
        <f ca="1">IF($B45&lt;&gt;"PRC_RESID","",IF(AI$7=2005+OFFSET(COM_N_2012!$B$60,$AW45,SUMIF($B$10:$B$16,"NCAP_TLIFE",$AX$10:$AX$16)),0,""))</f>
        <v/>
      </c>
      <c r="AJ45" s="369" t="str">
        <f ca="1">IF($B45&lt;&gt;"PRC_RESID","",IF(AJ$7=2005+OFFSET(COM_N_2012!$B$60,$AW45,SUMIF($B$10:$B$16,"NCAP_TLIFE",$AX$10:$AX$16)),0,""))</f>
        <v/>
      </c>
      <c r="AK45" s="369" t="str">
        <f ca="1">IF($B45&lt;&gt;"PRC_RESID","",IF(AK$7=2005+OFFSET(COM_N_2012!$B$60,$AW45,SUMIF($B$10:$B$16,"NCAP_TLIFE",$AX$10:$AX$16)),0,""))</f>
        <v/>
      </c>
      <c r="AL45" s="369" t="str">
        <f ca="1">IF($B45&lt;&gt;"PRC_RESID","",IF(AL$7=2005+OFFSET(COM_N_2012!$B$60,$AW45,SUMIF($B$10:$B$16,"NCAP_TLIFE",$AX$10:$AX$16)),0,""))</f>
        <v/>
      </c>
      <c r="AM45" s="369" t="str">
        <f ca="1">IF($B45&lt;&gt;"PRC_RESID","",IF(AM$7=2005+OFFSET(COM_N_2012!$B$60,$AW45,SUMIF($B$10:$B$16,"NCAP_TLIFE",$AX$10:$AX$16)),0,""))</f>
        <v/>
      </c>
      <c r="AN45" s="369" t="str">
        <f ca="1">IF($B45&lt;&gt;"PRC_RESID","",IF(AN$7=2005+OFFSET(COM_N_2012!$B$60,$AW45,SUMIF($B$10:$B$16,"NCAP_TLIFE",$AX$10:$AX$16)),0,""))</f>
        <v/>
      </c>
      <c r="AO45" s="369" t="str">
        <f ca="1">IF($B45&lt;&gt;"PRC_RESID","",IF(AO$7=2005+OFFSET(COM_N_2012!$B$60,$AW45,SUMIF($B$10:$B$16,"NCAP_TLIFE",$AX$10:$AX$16)),0,""))</f>
        <v/>
      </c>
      <c r="AP45" s="369" t="str">
        <f ca="1">IF($B45&lt;&gt;"PRC_RESID","",IF(AP$7=2005+OFFSET(COM_N_2012!$B$60,$AW45,SUMIF($B$10:$B$16,"NCAP_TLIFE",$AX$10:$AX$16)),0,""))</f>
        <v/>
      </c>
      <c r="AQ45" s="369" t="str">
        <f ca="1">IF($B45&lt;&gt;"PRC_RESID","",IF(AQ$7=2005+OFFSET(COM_N_2012!$B$60,$AW45,SUMIF($B$10:$B$16,"NCAP_TLIFE",$AX$10:$AX$16)),0,""))</f>
        <v/>
      </c>
      <c r="AR45" s="369" t="str">
        <f ca="1">IF($B45&lt;&gt;"PRC_RESID","",IF(AR$7=2005+OFFSET(COM_N_2012!$B$60,$AW45,SUMIF($B$10:$B$16,"NCAP_TLIFE",$AX$10:$AX$16)),0,""))</f>
        <v/>
      </c>
      <c r="AS45" s="369" t="str">
        <f ca="1">IF($B45&lt;&gt;"PRC_RESID","",IF(AS$7=2005+OFFSET(COM_N_2012!$B$60,$AW45,SUMIF($B$10:$B$16,"NCAP_TLIFE",$AX$10:$AX$16)),0,""))</f>
        <v/>
      </c>
      <c r="AT45" s="369" t="str">
        <f ca="1">IF($B45&lt;&gt;"PRC_RESID","",IF(AT$7=2005+OFFSET(COM_N_2012!$B$60,$AW45,SUMIF($B$10:$B$16,"NCAP_TLIFE",$AX$10:$AX$16)),0,""))</f>
        <v/>
      </c>
      <c r="AU45" s="369" t="str">
        <f ca="1">IF($B45&lt;&gt;"PRC_RESID","",IF(AU$7=2005+OFFSET(COM_N_2012!$B$60,$AW45,SUMIF($B$10:$B$16,"NCAP_TLIFE",$AX$10:$AX$16)),0,""))</f>
        <v/>
      </c>
      <c r="AV45" s="304">
        <f>IF(AW44=COM_N_2012!$AK$121,AV44+1,AV44)</f>
        <v>1</v>
      </c>
      <c r="AW45" s="304">
        <f t="shared" si="4"/>
        <v>28</v>
      </c>
    </row>
    <row r="46" spans="1:49">
      <c r="A46" s="304" t="str">
        <f ca="1">IF(LEFT(OFFSET(COM_N_2012!$A$60,AW46,0),2)="\I","*","")</f>
        <v/>
      </c>
      <c r="B46" s="369" t="str">
        <f t="shared" ca="1" si="2"/>
        <v>ACT_EFF</v>
      </c>
      <c r="C46" s="369" t="str">
        <f ca="1">IF($A46="*","",OFFSET(COM_N_2012!$B$60,AW46,0))</f>
        <v>CNRELC-E</v>
      </c>
      <c r="D46" s="369" t="str">
        <f t="shared" ca="1" si="6"/>
        <v>-</v>
      </c>
      <c r="E46" s="369" t="str">
        <f t="shared" ca="1" si="6"/>
        <v>ACTGRP</v>
      </c>
      <c r="F46" s="369" t="str">
        <f t="shared" ca="1" si="6"/>
        <v>-</v>
      </c>
      <c r="G46" s="369" t="str">
        <f t="shared" ca="1" si="6"/>
        <v>ANNUAL</v>
      </c>
      <c r="H46" s="369" t="str">
        <f t="shared" ca="1" si="6"/>
        <v>-</v>
      </c>
      <c r="I46" s="370">
        <f t="shared" ca="1" si="6"/>
        <v>0</v>
      </c>
      <c r="J46" s="391">
        <f ca="1">IF($A46="*","",OFFSET(COM_N_2012!$B$60,AW46,SUMIF($B$10:$B$16,B46,$AX$10:$AX$16)))</f>
        <v>1</v>
      </c>
      <c r="K46" s="369" t="str">
        <f ca="1">IF($B46&lt;&gt;"PRC_RESID","",IF(K$7=2005+OFFSET(COM_N_2012!$B$60,$AW46,SUMIF($B$10:$B$16,"NCAP_TLIFE",$AX$10:$AX$16)),0,""))</f>
        <v/>
      </c>
      <c r="L46" s="369" t="str">
        <f ca="1">IF($B46&lt;&gt;"PRC_RESID","",IF(L$7=2005+OFFSET(COM_N_2012!$B$60,$AW46,SUMIF($B$10:$B$16,"NCAP_TLIFE",$AX$10:$AX$16)),0,""))</f>
        <v/>
      </c>
      <c r="M46" s="369" t="str">
        <f ca="1">IF($B46&lt;&gt;"PRC_RESID","",IF(M$7=2005+OFFSET(COM_N_2012!$B$60,$AW46,SUMIF($B$10:$B$16,"NCAP_TLIFE",$AX$10:$AX$16)),0,""))</f>
        <v/>
      </c>
      <c r="N46" s="369" t="str">
        <f ca="1">IF($B46&lt;&gt;"PRC_RESID","",IF(N$7=2005+OFFSET(COM_N_2012!$B$60,$AW46,SUMIF($B$10:$B$16,"NCAP_TLIFE",$AX$10:$AX$16)),0,""))</f>
        <v/>
      </c>
      <c r="O46" s="369" t="str">
        <f ca="1">IF($B46&lt;&gt;"PRC_RESID","",IF(O$7=2005+OFFSET(COM_N_2012!$B$60,$AW46,SUMIF($B$10:$B$16,"NCAP_TLIFE",$AX$10:$AX$16)),0,""))</f>
        <v/>
      </c>
      <c r="P46" s="369" t="str">
        <f ca="1">IF($B46&lt;&gt;"PRC_RESID","",IF(P$7=2005+OFFSET(COM_N_2012!$B$60,$AW46,SUMIF($B$10:$B$16,"NCAP_TLIFE",$AX$10:$AX$16)),0,""))</f>
        <v/>
      </c>
      <c r="Q46" s="369" t="str">
        <f ca="1">IF($B46&lt;&gt;"PRC_RESID","",IF(Q$7=2005+OFFSET(COM_N_2012!$B$60,$AW46,SUMIF($B$10:$B$16,"NCAP_TLIFE",$AX$10:$AX$16)),0,""))</f>
        <v/>
      </c>
      <c r="R46" s="369" t="str">
        <f ca="1">IF($B46&lt;&gt;"PRC_RESID","",IF(R$7=2005+OFFSET(COM_N_2012!$B$60,$AW46,SUMIF($B$10:$B$16,"NCAP_TLIFE",$AX$10:$AX$16)),0,""))</f>
        <v/>
      </c>
      <c r="S46" s="369" t="str">
        <f ca="1">IF($B46&lt;&gt;"PRC_RESID","",IF(S$7=2005+OFFSET(COM_N_2012!$B$60,$AW46,SUMIF($B$10:$B$16,"NCAP_TLIFE",$AX$10:$AX$16)),0,""))</f>
        <v/>
      </c>
      <c r="T46" s="369" t="str">
        <f ca="1">IF($B46&lt;&gt;"PRC_RESID","",IF(T$7=2005+OFFSET(COM_N_2012!$B$60,$AW46,SUMIF($B$10:$B$16,"NCAP_TLIFE",$AX$10:$AX$16)),0,""))</f>
        <v/>
      </c>
      <c r="U46" s="369" t="str">
        <f ca="1">IF($B46&lt;&gt;"PRC_RESID","",IF(U$7=2005+OFFSET(COM_N_2012!$B$60,$AW46,SUMIF($B$10:$B$16,"NCAP_TLIFE",$AX$10:$AX$16)),0,""))</f>
        <v/>
      </c>
      <c r="V46" s="369" t="str">
        <f ca="1">IF($B46&lt;&gt;"PRC_RESID","",IF(V$7=2005+OFFSET(COM_N_2012!$B$60,$AW46,SUMIF($B$10:$B$16,"NCAP_TLIFE",$AX$10:$AX$16)),0,""))</f>
        <v/>
      </c>
      <c r="W46" s="369" t="str">
        <f ca="1">IF($B46&lt;&gt;"PRC_RESID","",IF(W$7=2005+OFFSET(COM_N_2012!$B$60,$AW46,SUMIF($B$10:$B$16,"NCAP_TLIFE",$AX$10:$AX$16)),0,""))</f>
        <v/>
      </c>
      <c r="X46" s="369" t="str">
        <f ca="1">IF($B46&lt;&gt;"PRC_RESID","",IF(X$7=2005+OFFSET(COM_N_2012!$B$60,$AW46,SUMIF($B$10:$B$16,"NCAP_TLIFE",$AX$10:$AX$16)),0,""))</f>
        <v/>
      </c>
      <c r="Y46" s="369" t="str">
        <f ca="1">IF($B46&lt;&gt;"PRC_RESID","",IF(Y$7=2005+OFFSET(COM_N_2012!$B$60,$AW46,SUMIF($B$10:$B$16,"NCAP_TLIFE",$AX$10:$AX$16)),0,""))</f>
        <v/>
      </c>
      <c r="Z46" s="369" t="str">
        <f ca="1">IF($B46&lt;&gt;"PRC_RESID","",IF(Z$7=2005+OFFSET(COM_N_2012!$B$60,$AW46,SUMIF($B$10:$B$16,"NCAP_TLIFE",$AX$10:$AX$16)),0,""))</f>
        <v/>
      </c>
      <c r="AA46" s="369" t="str">
        <f ca="1">IF($B46&lt;&gt;"PRC_RESID","",IF(AA$7=2005+OFFSET(COM_N_2012!$B$60,$AW46,SUMIF($B$10:$B$16,"NCAP_TLIFE",$AX$10:$AX$16)),0,""))</f>
        <v/>
      </c>
      <c r="AB46" s="369" t="str">
        <f ca="1">IF($B46&lt;&gt;"PRC_RESID","",IF(AB$7=2005+OFFSET(COM_N_2012!$B$60,$AW46,SUMIF($B$10:$B$16,"NCAP_TLIFE",$AX$10:$AX$16)),0,""))</f>
        <v/>
      </c>
      <c r="AC46" s="369" t="str">
        <f ca="1">IF($B46&lt;&gt;"PRC_RESID","",IF(AC$7=2005+OFFSET(COM_N_2012!$B$60,$AW46,SUMIF($B$10:$B$16,"NCAP_TLIFE",$AX$10:$AX$16)),0,""))</f>
        <v/>
      </c>
      <c r="AD46" s="369" t="str">
        <f ca="1">IF($B46&lt;&gt;"PRC_RESID","",IF(AD$7=2005+OFFSET(COM_N_2012!$B$60,$AW46,SUMIF($B$10:$B$16,"NCAP_TLIFE",$AX$10:$AX$16)),0,""))</f>
        <v/>
      </c>
      <c r="AE46" s="369" t="str">
        <f ca="1">IF($B46&lt;&gt;"PRC_RESID","",IF(AE$7=2005+OFFSET(COM_N_2012!$B$60,$AW46,SUMIF($B$10:$B$16,"NCAP_TLIFE",$AX$10:$AX$16)),0,""))</f>
        <v/>
      </c>
      <c r="AF46" s="369" t="str">
        <f ca="1">IF($B46&lt;&gt;"PRC_RESID","",IF(AF$7=2005+OFFSET(COM_N_2012!$B$60,$AW46,SUMIF($B$10:$B$16,"NCAP_TLIFE",$AX$10:$AX$16)),0,""))</f>
        <v/>
      </c>
      <c r="AG46" s="369" t="str">
        <f ca="1">IF($B46&lt;&gt;"PRC_RESID","",IF(AG$7=2005+OFFSET(COM_N_2012!$B$60,$AW46,SUMIF($B$10:$B$16,"NCAP_TLIFE",$AX$10:$AX$16)),0,""))</f>
        <v/>
      </c>
      <c r="AH46" s="369" t="str">
        <f ca="1">IF($B46&lt;&gt;"PRC_RESID","",IF(AH$7=2005+OFFSET(COM_N_2012!$B$60,$AW46,SUMIF($B$10:$B$16,"NCAP_TLIFE",$AX$10:$AX$16)),0,""))</f>
        <v/>
      </c>
      <c r="AI46" s="369" t="str">
        <f ca="1">IF($B46&lt;&gt;"PRC_RESID","",IF(AI$7=2005+OFFSET(COM_N_2012!$B$60,$AW46,SUMIF($B$10:$B$16,"NCAP_TLIFE",$AX$10:$AX$16)),0,""))</f>
        <v/>
      </c>
      <c r="AJ46" s="369" t="str">
        <f ca="1">IF($B46&lt;&gt;"PRC_RESID","",IF(AJ$7=2005+OFFSET(COM_N_2012!$B$60,$AW46,SUMIF($B$10:$B$16,"NCAP_TLIFE",$AX$10:$AX$16)),0,""))</f>
        <v/>
      </c>
      <c r="AK46" s="369" t="str">
        <f ca="1">IF($B46&lt;&gt;"PRC_RESID","",IF(AK$7=2005+OFFSET(COM_N_2012!$B$60,$AW46,SUMIF($B$10:$B$16,"NCAP_TLIFE",$AX$10:$AX$16)),0,""))</f>
        <v/>
      </c>
      <c r="AL46" s="369" t="str">
        <f ca="1">IF($B46&lt;&gt;"PRC_RESID","",IF(AL$7=2005+OFFSET(COM_N_2012!$B$60,$AW46,SUMIF($B$10:$B$16,"NCAP_TLIFE",$AX$10:$AX$16)),0,""))</f>
        <v/>
      </c>
      <c r="AM46" s="369" t="str">
        <f ca="1">IF($B46&lt;&gt;"PRC_RESID","",IF(AM$7=2005+OFFSET(COM_N_2012!$B$60,$AW46,SUMIF($B$10:$B$16,"NCAP_TLIFE",$AX$10:$AX$16)),0,""))</f>
        <v/>
      </c>
      <c r="AN46" s="369" t="str">
        <f ca="1">IF($B46&lt;&gt;"PRC_RESID","",IF(AN$7=2005+OFFSET(COM_N_2012!$B$60,$AW46,SUMIF($B$10:$B$16,"NCAP_TLIFE",$AX$10:$AX$16)),0,""))</f>
        <v/>
      </c>
      <c r="AO46" s="369" t="str">
        <f ca="1">IF($B46&lt;&gt;"PRC_RESID","",IF(AO$7=2005+OFFSET(COM_N_2012!$B$60,$AW46,SUMIF($B$10:$B$16,"NCAP_TLIFE",$AX$10:$AX$16)),0,""))</f>
        <v/>
      </c>
      <c r="AP46" s="369" t="str">
        <f ca="1">IF($B46&lt;&gt;"PRC_RESID","",IF(AP$7=2005+OFFSET(COM_N_2012!$B$60,$AW46,SUMIF($B$10:$B$16,"NCAP_TLIFE",$AX$10:$AX$16)),0,""))</f>
        <v/>
      </c>
      <c r="AQ46" s="369" t="str">
        <f ca="1">IF($B46&lt;&gt;"PRC_RESID","",IF(AQ$7=2005+OFFSET(COM_N_2012!$B$60,$AW46,SUMIF($B$10:$B$16,"NCAP_TLIFE",$AX$10:$AX$16)),0,""))</f>
        <v/>
      </c>
      <c r="AR46" s="369" t="str">
        <f ca="1">IF($B46&lt;&gt;"PRC_RESID","",IF(AR$7=2005+OFFSET(COM_N_2012!$B$60,$AW46,SUMIF($B$10:$B$16,"NCAP_TLIFE",$AX$10:$AX$16)),0,""))</f>
        <v/>
      </c>
      <c r="AS46" s="369" t="str">
        <f ca="1">IF($B46&lt;&gt;"PRC_RESID","",IF(AS$7=2005+OFFSET(COM_N_2012!$B$60,$AW46,SUMIF($B$10:$B$16,"NCAP_TLIFE",$AX$10:$AX$16)),0,""))</f>
        <v/>
      </c>
      <c r="AT46" s="369" t="str">
        <f ca="1">IF($B46&lt;&gt;"PRC_RESID","",IF(AT$7=2005+OFFSET(COM_N_2012!$B$60,$AW46,SUMIF($B$10:$B$16,"NCAP_TLIFE",$AX$10:$AX$16)),0,""))</f>
        <v/>
      </c>
      <c r="AU46" s="369" t="str">
        <f ca="1">IF($B46&lt;&gt;"PRC_RESID","",IF(AU$7=2005+OFFSET(COM_N_2012!$B$60,$AW46,SUMIF($B$10:$B$16,"NCAP_TLIFE",$AX$10:$AX$16)),0,""))</f>
        <v/>
      </c>
      <c r="AV46" s="304">
        <f>IF(AW45=COM_N_2012!$AK$121,AV45+1,AV45)</f>
        <v>1</v>
      </c>
      <c r="AW46" s="304">
        <f t="shared" si="4"/>
        <v>29</v>
      </c>
    </row>
    <row r="47" spans="1:49">
      <c r="A47" s="304" t="str">
        <f ca="1">IF(LEFT(OFFSET(COM_N_2012!$A$60,AW47,0),2)="\I","*","")</f>
        <v/>
      </c>
      <c r="B47" s="369" t="str">
        <f t="shared" ca="1" si="2"/>
        <v>ACT_EFF</v>
      </c>
      <c r="C47" s="369" t="str">
        <f ca="1">IF($A47="*","",OFFSET(COM_N_2012!$B$60,AW47,0))</f>
        <v>CNRELC-N</v>
      </c>
      <c r="D47" s="369" t="str">
        <f t="shared" ca="1" si="6"/>
        <v>-</v>
      </c>
      <c r="E47" s="369" t="str">
        <f t="shared" ca="1" si="6"/>
        <v>ACTGRP</v>
      </c>
      <c r="F47" s="369" t="str">
        <f t="shared" ca="1" si="6"/>
        <v>-</v>
      </c>
      <c r="G47" s="369" t="str">
        <f t="shared" ca="1" si="6"/>
        <v>ANNUAL</v>
      </c>
      <c r="H47" s="369" t="str">
        <f t="shared" ca="1" si="6"/>
        <v>-</v>
      </c>
      <c r="I47" s="370">
        <f t="shared" ca="1" si="6"/>
        <v>0</v>
      </c>
      <c r="J47" s="391">
        <f ca="1">IF($A47="*","",OFFSET(COM_N_2012!$B$60,AW47,SUMIF($B$10:$B$16,B47,$AX$10:$AX$16)))</f>
        <v>1.6655844155844155</v>
      </c>
      <c r="K47" s="369" t="str">
        <f ca="1">IF($B47&lt;&gt;"PRC_RESID","",IF(K$7=2005+OFFSET(COM_N_2012!$B$60,$AW47,SUMIF($B$10:$B$16,"NCAP_TLIFE",$AX$10:$AX$16)),0,""))</f>
        <v/>
      </c>
      <c r="L47" s="369" t="str">
        <f ca="1">IF($B47&lt;&gt;"PRC_RESID","",IF(L$7=2005+OFFSET(COM_N_2012!$B$60,$AW47,SUMIF($B$10:$B$16,"NCAP_TLIFE",$AX$10:$AX$16)),0,""))</f>
        <v/>
      </c>
      <c r="M47" s="369" t="str">
        <f ca="1">IF($B47&lt;&gt;"PRC_RESID","",IF(M$7=2005+OFFSET(COM_N_2012!$B$60,$AW47,SUMIF($B$10:$B$16,"NCAP_TLIFE",$AX$10:$AX$16)),0,""))</f>
        <v/>
      </c>
      <c r="N47" s="369" t="str">
        <f ca="1">IF($B47&lt;&gt;"PRC_RESID","",IF(N$7=2005+OFFSET(COM_N_2012!$B$60,$AW47,SUMIF($B$10:$B$16,"NCAP_TLIFE",$AX$10:$AX$16)),0,""))</f>
        <v/>
      </c>
      <c r="O47" s="369" t="str">
        <f ca="1">IF($B47&lt;&gt;"PRC_RESID","",IF(O$7=2005+OFFSET(COM_N_2012!$B$60,$AW47,SUMIF($B$10:$B$16,"NCAP_TLIFE",$AX$10:$AX$16)),0,""))</f>
        <v/>
      </c>
      <c r="P47" s="369" t="str">
        <f ca="1">IF($B47&lt;&gt;"PRC_RESID","",IF(P$7=2005+OFFSET(COM_N_2012!$B$60,$AW47,SUMIF($B$10:$B$16,"NCAP_TLIFE",$AX$10:$AX$16)),0,""))</f>
        <v/>
      </c>
      <c r="Q47" s="369" t="str">
        <f ca="1">IF($B47&lt;&gt;"PRC_RESID","",IF(Q$7=2005+OFFSET(COM_N_2012!$B$60,$AW47,SUMIF($B$10:$B$16,"NCAP_TLIFE",$AX$10:$AX$16)),0,""))</f>
        <v/>
      </c>
      <c r="R47" s="369" t="str">
        <f ca="1">IF($B47&lt;&gt;"PRC_RESID","",IF(R$7=2005+OFFSET(COM_N_2012!$B$60,$AW47,SUMIF($B$10:$B$16,"NCAP_TLIFE",$AX$10:$AX$16)),0,""))</f>
        <v/>
      </c>
      <c r="S47" s="369" t="str">
        <f ca="1">IF($B47&lt;&gt;"PRC_RESID","",IF(S$7=2005+OFFSET(COM_N_2012!$B$60,$AW47,SUMIF($B$10:$B$16,"NCAP_TLIFE",$AX$10:$AX$16)),0,""))</f>
        <v/>
      </c>
      <c r="T47" s="369" t="str">
        <f ca="1">IF($B47&lt;&gt;"PRC_RESID","",IF(T$7=2005+OFFSET(COM_N_2012!$B$60,$AW47,SUMIF($B$10:$B$16,"NCAP_TLIFE",$AX$10:$AX$16)),0,""))</f>
        <v/>
      </c>
      <c r="U47" s="369" t="str">
        <f ca="1">IF($B47&lt;&gt;"PRC_RESID","",IF(U$7=2005+OFFSET(COM_N_2012!$B$60,$AW47,SUMIF($B$10:$B$16,"NCAP_TLIFE",$AX$10:$AX$16)),0,""))</f>
        <v/>
      </c>
      <c r="V47" s="369" t="str">
        <f ca="1">IF($B47&lt;&gt;"PRC_RESID","",IF(V$7=2005+OFFSET(COM_N_2012!$B$60,$AW47,SUMIF($B$10:$B$16,"NCAP_TLIFE",$AX$10:$AX$16)),0,""))</f>
        <v/>
      </c>
      <c r="W47" s="369" t="str">
        <f ca="1">IF($B47&lt;&gt;"PRC_RESID","",IF(W$7=2005+OFFSET(COM_N_2012!$B$60,$AW47,SUMIF($B$10:$B$16,"NCAP_TLIFE",$AX$10:$AX$16)),0,""))</f>
        <v/>
      </c>
      <c r="X47" s="369" t="str">
        <f ca="1">IF($B47&lt;&gt;"PRC_RESID","",IF(X$7=2005+OFFSET(COM_N_2012!$B$60,$AW47,SUMIF($B$10:$B$16,"NCAP_TLIFE",$AX$10:$AX$16)),0,""))</f>
        <v/>
      </c>
      <c r="Y47" s="369" t="str">
        <f ca="1">IF($B47&lt;&gt;"PRC_RESID","",IF(Y$7=2005+OFFSET(COM_N_2012!$B$60,$AW47,SUMIF($B$10:$B$16,"NCAP_TLIFE",$AX$10:$AX$16)),0,""))</f>
        <v/>
      </c>
      <c r="Z47" s="369" t="str">
        <f ca="1">IF($B47&lt;&gt;"PRC_RESID","",IF(Z$7=2005+OFFSET(COM_N_2012!$B$60,$AW47,SUMIF($B$10:$B$16,"NCAP_TLIFE",$AX$10:$AX$16)),0,""))</f>
        <v/>
      </c>
      <c r="AA47" s="369" t="str">
        <f ca="1">IF($B47&lt;&gt;"PRC_RESID","",IF(AA$7=2005+OFFSET(COM_N_2012!$B$60,$AW47,SUMIF($B$10:$B$16,"NCAP_TLIFE",$AX$10:$AX$16)),0,""))</f>
        <v/>
      </c>
      <c r="AB47" s="369" t="str">
        <f ca="1">IF($B47&lt;&gt;"PRC_RESID","",IF(AB$7=2005+OFFSET(COM_N_2012!$B$60,$AW47,SUMIF($B$10:$B$16,"NCAP_TLIFE",$AX$10:$AX$16)),0,""))</f>
        <v/>
      </c>
      <c r="AC47" s="369" t="str">
        <f ca="1">IF($B47&lt;&gt;"PRC_RESID","",IF(AC$7=2005+OFFSET(COM_N_2012!$B$60,$AW47,SUMIF($B$10:$B$16,"NCAP_TLIFE",$AX$10:$AX$16)),0,""))</f>
        <v/>
      </c>
      <c r="AD47" s="369" t="str">
        <f ca="1">IF($B47&lt;&gt;"PRC_RESID","",IF(AD$7=2005+OFFSET(COM_N_2012!$B$60,$AW47,SUMIF($B$10:$B$16,"NCAP_TLIFE",$AX$10:$AX$16)),0,""))</f>
        <v/>
      </c>
      <c r="AE47" s="369" t="str">
        <f ca="1">IF($B47&lt;&gt;"PRC_RESID","",IF(AE$7=2005+OFFSET(COM_N_2012!$B$60,$AW47,SUMIF($B$10:$B$16,"NCAP_TLIFE",$AX$10:$AX$16)),0,""))</f>
        <v/>
      </c>
      <c r="AF47" s="369" t="str">
        <f ca="1">IF($B47&lt;&gt;"PRC_RESID","",IF(AF$7=2005+OFFSET(COM_N_2012!$B$60,$AW47,SUMIF($B$10:$B$16,"NCAP_TLIFE",$AX$10:$AX$16)),0,""))</f>
        <v/>
      </c>
      <c r="AG47" s="369" t="str">
        <f ca="1">IF($B47&lt;&gt;"PRC_RESID","",IF(AG$7=2005+OFFSET(COM_N_2012!$B$60,$AW47,SUMIF($B$10:$B$16,"NCAP_TLIFE",$AX$10:$AX$16)),0,""))</f>
        <v/>
      </c>
      <c r="AH47" s="369" t="str">
        <f ca="1">IF($B47&lt;&gt;"PRC_RESID","",IF(AH$7=2005+OFFSET(COM_N_2012!$B$60,$AW47,SUMIF($B$10:$B$16,"NCAP_TLIFE",$AX$10:$AX$16)),0,""))</f>
        <v/>
      </c>
      <c r="AI47" s="369" t="str">
        <f ca="1">IF($B47&lt;&gt;"PRC_RESID","",IF(AI$7=2005+OFFSET(COM_N_2012!$B$60,$AW47,SUMIF($B$10:$B$16,"NCAP_TLIFE",$AX$10:$AX$16)),0,""))</f>
        <v/>
      </c>
      <c r="AJ47" s="369" t="str">
        <f ca="1">IF($B47&lt;&gt;"PRC_RESID","",IF(AJ$7=2005+OFFSET(COM_N_2012!$B$60,$AW47,SUMIF($B$10:$B$16,"NCAP_TLIFE",$AX$10:$AX$16)),0,""))</f>
        <v/>
      </c>
      <c r="AK47" s="369" t="str">
        <f ca="1">IF($B47&lt;&gt;"PRC_RESID","",IF(AK$7=2005+OFFSET(COM_N_2012!$B$60,$AW47,SUMIF($B$10:$B$16,"NCAP_TLIFE",$AX$10:$AX$16)),0,""))</f>
        <v/>
      </c>
      <c r="AL47" s="369" t="str">
        <f ca="1">IF($B47&lt;&gt;"PRC_RESID","",IF(AL$7=2005+OFFSET(COM_N_2012!$B$60,$AW47,SUMIF($B$10:$B$16,"NCAP_TLIFE",$AX$10:$AX$16)),0,""))</f>
        <v/>
      </c>
      <c r="AM47" s="369" t="str">
        <f ca="1">IF($B47&lt;&gt;"PRC_RESID","",IF(AM$7=2005+OFFSET(COM_N_2012!$B$60,$AW47,SUMIF($B$10:$B$16,"NCAP_TLIFE",$AX$10:$AX$16)),0,""))</f>
        <v/>
      </c>
      <c r="AN47" s="369" t="str">
        <f ca="1">IF($B47&lt;&gt;"PRC_RESID","",IF(AN$7=2005+OFFSET(COM_N_2012!$B$60,$AW47,SUMIF($B$10:$B$16,"NCAP_TLIFE",$AX$10:$AX$16)),0,""))</f>
        <v/>
      </c>
      <c r="AO47" s="369" t="str">
        <f ca="1">IF($B47&lt;&gt;"PRC_RESID","",IF(AO$7=2005+OFFSET(COM_N_2012!$B$60,$AW47,SUMIF($B$10:$B$16,"NCAP_TLIFE",$AX$10:$AX$16)),0,""))</f>
        <v/>
      </c>
      <c r="AP47" s="369" t="str">
        <f ca="1">IF($B47&lt;&gt;"PRC_RESID","",IF(AP$7=2005+OFFSET(COM_N_2012!$B$60,$AW47,SUMIF($B$10:$B$16,"NCAP_TLIFE",$AX$10:$AX$16)),0,""))</f>
        <v/>
      </c>
      <c r="AQ47" s="369" t="str">
        <f ca="1">IF($B47&lt;&gt;"PRC_RESID","",IF(AQ$7=2005+OFFSET(COM_N_2012!$B$60,$AW47,SUMIF($B$10:$B$16,"NCAP_TLIFE",$AX$10:$AX$16)),0,""))</f>
        <v/>
      </c>
      <c r="AR47" s="369" t="str">
        <f ca="1">IF($B47&lt;&gt;"PRC_RESID","",IF(AR$7=2005+OFFSET(COM_N_2012!$B$60,$AW47,SUMIF($B$10:$B$16,"NCAP_TLIFE",$AX$10:$AX$16)),0,""))</f>
        <v/>
      </c>
      <c r="AS47" s="369" t="str">
        <f ca="1">IF($B47&lt;&gt;"PRC_RESID","",IF(AS$7=2005+OFFSET(COM_N_2012!$B$60,$AW47,SUMIF($B$10:$B$16,"NCAP_TLIFE",$AX$10:$AX$16)),0,""))</f>
        <v/>
      </c>
      <c r="AT47" s="369" t="str">
        <f ca="1">IF($B47&lt;&gt;"PRC_RESID","",IF(AT$7=2005+OFFSET(COM_N_2012!$B$60,$AW47,SUMIF($B$10:$B$16,"NCAP_TLIFE",$AX$10:$AX$16)),0,""))</f>
        <v/>
      </c>
      <c r="AU47" s="369" t="str">
        <f ca="1">IF($B47&lt;&gt;"PRC_RESID","",IF(AU$7=2005+OFFSET(COM_N_2012!$B$60,$AW47,SUMIF($B$10:$B$16,"NCAP_TLIFE",$AX$10:$AX$16)),0,""))</f>
        <v/>
      </c>
      <c r="AV47" s="304">
        <f>IF(AW46=COM_N_2012!$AK$121,AV46+1,AV46)</f>
        <v>1</v>
      </c>
      <c r="AW47" s="304">
        <f t="shared" si="4"/>
        <v>30</v>
      </c>
    </row>
    <row r="48" spans="1:49">
      <c r="A48" s="304" t="str">
        <f ca="1">IF(LEFT(OFFSET(COM_N_2012!$A$60,AW48,0),2)="\I","*","")</f>
        <v>*</v>
      </c>
      <c r="B48" s="369" t="str">
        <f t="shared" ca="1" si="2"/>
        <v/>
      </c>
      <c r="C48" s="369" t="str">
        <f ca="1">IF($A48="*","",OFFSET(COM_N_2012!$B$60,AW48,0))</f>
        <v/>
      </c>
      <c r="D48" s="369" t="str">
        <f t="shared" ref="D48:I57" ca="1" si="7">IF($A48="*","",VLOOKUP($B48,$B$10:$I$16,D$9,FALSE))</f>
        <v/>
      </c>
      <c r="E48" s="369" t="str">
        <f t="shared" ca="1" si="7"/>
        <v/>
      </c>
      <c r="F48" s="369" t="str">
        <f t="shared" ca="1" si="7"/>
        <v/>
      </c>
      <c r="G48" s="369" t="str">
        <f t="shared" ca="1" si="7"/>
        <v/>
      </c>
      <c r="H48" s="369" t="str">
        <f t="shared" ca="1" si="7"/>
        <v/>
      </c>
      <c r="I48" s="370" t="str">
        <f t="shared" ca="1" si="7"/>
        <v/>
      </c>
      <c r="J48" s="391" t="str">
        <f ca="1">IF($A48="*","",OFFSET(COM_N_2012!$B$60,AW48,SUMIF($B$10:$B$16,B48,$AX$10:$AX$16)))</f>
        <v/>
      </c>
      <c r="K48" s="369" t="str">
        <f ca="1">IF($B48&lt;&gt;"PRC_RESID","",IF(K$7=2005+OFFSET(COM_N_2012!$B$60,$AW48,SUMIF($B$10:$B$16,"NCAP_TLIFE",$AX$10:$AX$16)),0,""))</f>
        <v/>
      </c>
      <c r="L48" s="369" t="str">
        <f ca="1">IF($B48&lt;&gt;"PRC_RESID","",IF(L$7=2005+OFFSET(COM_N_2012!$B$60,$AW48,SUMIF($B$10:$B$16,"NCAP_TLIFE",$AX$10:$AX$16)),0,""))</f>
        <v/>
      </c>
      <c r="M48" s="369" t="str">
        <f ca="1">IF($B48&lt;&gt;"PRC_RESID","",IF(M$7=2005+OFFSET(COM_N_2012!$B$60,$AW48,SUMIF($B$10:$B$16,"NCAP_TLIFE",$AX$10:$AX$16)),0,""))</f>
        <v/>
      </c>
      <c r="N48" s="369" t="str">
        <f ca="1">IF($B48&lt;&gt;"PRC_RESID","",IF(N$7=2005+OFFSET(COM_N_2012!$B$60,$AW48,SUMIF($B$10:$B$16,"NCAP_TLIFE",$AX$10:$AX$16)),0,""))</f>
        <v/>
      </c>
      <c r="O48" s="369" t="str">
        <f ca="1">IF($B48&lt;&gt;"PRC_RESID","",IF(O$7=2005+OFFSET(COM_N_2012!$B$60,$AW48,SUMIF($B$10:$B$16,"NCAP_TLIFE",$AX$10:$AX$16)),0,""))</f>
        <v/>
      </c>
      <c r="P48" s="369" t="str">
        <f ca="1">IF($B48&lt;&gt;"PRC_RESID","",IF(P$7=2005+OFFSET(COM_N_2012!$B$60,$AW48,SUMIF($B$10:$B$16,"NCAP_TLIFE",$AX$10:$AX$16)),0,""))</f>
        <v/>
      </c>
      <c r="Q48" s="369" t="str">
        <f ca="1">IF($B48&lt;&gt;"PRC_RESID","",IF(Q$7=2005+OFFSET(COM_N_2012!$B$60,$AW48,SUMIF($B$10:$B$16,"NCAP_TLIFE",$AX$10:$AX$16)),0,""))</f>
        <v/>
      </c>
      <c r="R48" s="369" t="str">
        <f ca="1">IF($B48&lt;&gt;"PRC_RESID","",IF(R$7=2005+OFFSET(COM_N_2012!$B$60,$AW48,SUMIF($B$10:$B$16,"NCAP_TLIFE",$AX$10:$AX$16)),0,""))</f>
        <v/>
      </c>
      <c r="S48" s="369" t="str">
        <f ca="1">IF($B48&lt;&gt;"PRC_RESID","",IF(S$7=2005+OFFSET(COM_N_2012!$B$60,$AW48,SUMIF($B$10:$B$16,"NCAP_TLIFE",$AX$10:$AX$16)),0,""))</f>
        <v/>
      </c>
      <c r="T48" s="369" t="str">
        <f ca="1">IF($B48&lt;&gt;"PRC_RESID","",IF(T$7=2005+OFFSET(COM_N_2012!$B$60,$AW48,SUMIF($B$10:$B$16,"NCAP_TLIFE",$AX$10:$AX$16)),0,""))</f>
        <v/>
      </c>
      <c r="U48" s="369" t="str">
        <f ca="1">IF($B48&lt;&gt;"PRC_RESID","",IF(U$7=2005+OFFSET(COM_N_2012!$B$60,$AW48,SUMIF($B$10:$B$16,"NCAP_TLIFE",$AX$10:$AX$16)),0,""))</f>
        <v/>
      </c>
      <c r="V48" s="369" t="str">
        <f ca="1">IF($B48&lt;&gt;"PRC_RESID","",IF(V$7=2005+OFFSET(COM_N_2012!$B$60,$AW48,SUMIF($B$10:$B$16,"NCAP_TLIFE",$AX$10:$AX$16)),0,""))</f>
        <v/>
      </c>
      <c r="W48" s="369" t="str">
        <f ca="1">IF($B48&lt;&gt;"PRC_RESID","",IF(W$7=2005+OFFSET(COM_N_2012!$B$60,$AW48,SUMIF($B$10:$B$16,"NCAP_TLIFE",$AX$10:$AX$16)),0,""))</f>
        <v/>
      </c>
      <c r="X48" s="369" t="str">
        <f ca="1">IF($B48&lt;&gt;"PRC_RESID","",IF(X$7=2005+OFFSET(COM_N_2012!$B$60,$AW48,SUMIF($B$10:$B$16,"NCAP_TLIFE",$AX$10:$AX$16)),0,""))</f>
        <v/>
      </c>
      <c r="Y48" s="369" t="str">
        <f ca="1">IF($B48&lt;&gt;"PRC_RESID","",IF(Y$7=2005+OFFSET(COM_N_2012!$B$60,$AW48,SUMIF($B$10:$B$16,"NCAP_TLIFE",$AX$10:$AX$16)),0,""))</f>
        <v/>
      </c>
      <c r="Z48" s="369" t="str">
        <f ca="1">IF($B48&lt;&gt;"PRC_RESID","",IF(Z$7=2005+OFFSET(COM_N_2012!$B$60,$AW48,SUMIF($B$10:$B$16,"NCAP_TLIFE",$AX$10:$AX$16)),0,""))</f>
        <v/>
      </c>
      <c r="AA48" s="369" t="str">
        <f ca="1">IF($B48&lt;&gt;"PRC_RESID","",IF(AA$7=2005+OFFSET(COM_N_2012!$B$60,$AW48,SUMIF($B$10:$B$16,"NCAP_TLIFE",$AX$10:$AX$16)),0,""))</f>
        <v/>
      </c>
      <c r="AB48" s="369" t="str">
        <f ca="1">IF($B48&lt;&gt;"PRC_RESID","",IF(AB$7=2005+OFFSET(COM_N_2012!$B$60,$AW48,SUMIF($B$10:$B$16,"NCAP_TLIFE",$AX$10:$AX$16)),0,""))</f>
        <v/>
      </c>
      <c r="AC48" s="369" t="str">
        <f ca="1">IF($B48&lt;&gt;"PRC_RESID","",IF(AC$7=2005+OFFSET(COM_N_2012!$B$60,$AW48,SUMIF($B$10:$B$16,"NCAP_TLIFE",$AX$10:$AX$16)),0,""))</f>
        <v/>
      </c>
      <c r="AD48" s="369" t="str">
        <f ca="1">IF($B48&lt;&gt;"PRC_RESID","",IF(AD$7=2005+OFFSET(COM_N_2012!$B$60,$AW48,SUMIF($B$10:$B$16,"NCAP_TLIFE",$AX$10:$AX$16)),0,""))</f>
        <v/>
      </c>
      <c r="AE48" s="369" t="str">
        <f ca="1">IF($B48&lt;&gt;"PRC_RESID","",IF(AE$7=2005+OFFSET(COM_N_2012!$B$60,$AW48,SUMIF($B$10:$B$16,"NCAP_TLIFE",$AX$10:$AX$16)),0,""))</f>
        <v/>
      </c>
      <c r="AF48" s="369" t="str">
        <f ca="1">IF($B48&lt;&gt;"PRC_RESID","",IF(AF$7=2005+OFFSET(COM_N_2012!$B$60,$AW48,SUMIF($B$10:$B$16,"NCAP_TLIFE",$AX$10:$AX$16)),0,""))</f>
        <v/>
      </c>
      <c r="AG48" s="369" t="str">
        <f ca="1">IF($B48&lt;&gt;"PRC_RESID","",IF(AG$7=2005+OFFSET(COM_N_2012!$B$60,$AW48,SUMIF($B$10:$B$16,"NCAP_TLIFE",$AX$10:$AX$16)),0,""))</f>
        <v/>
      </c>
      <c r="AH48" s="369" t="str">
        <f ca="1">IF($B48&lt;&gt;"PRC_RESID","",IF(AH$7=2005+OFFSET(COM_N_2012!$B$60,$AW48,SUMIF($B$10:$B$16,"NCAP_TLIFE",$AX$10:$AX$16)),0,""))</f>
        <v/>
      </c>
      <c r="AI48" s="369" t="str">
        <f ca="1">IF($B48&lt;&gt;"PRC_RESID","",IF(AI$7=2005+OFFSET(COM_N_2012!$B$60,$AW48,SUMIF($B$10:$B$16,"NCAP_TLIFE",$AX$10:$AX$16)),0,""))</f>
        <v/>
      </c>
      <c r="AJ48" s="369" t="str">
        <f ca="1">IF($B48&lt;&gt;"PRC_RESID","",IF(AJ$7=2005+OFFSET(COM_N_2012!$B$60,$AW48,SUMIF($B$10:$B$16,"NCAP_TLIFE",$AX$10:$AX$16)),0,""))</f>
        <v/>
      </c>
      <c r="AK48" s="369" t="str">
        <f ca="1">IF($B48&lt;&gt;"PRC_RESID","",IF(AK$7=2005+OFFSET(COM_N_2012!$B$60,$AW48,SUMIF($B$10:$B$16,"NCAP_TLIFE",$AX$10:$AX$16)),0,""))</f>
        <v/>
      </c>
      <c r="AL48" s="369" t="str">
        <f ca="1">IF($B48&lt;&gt;"PRC_RESID","",IF(AL$7=2005+OFFSET(COM_N_2012!$B$60,$AW48,SUMIF($B$10:$B$16,"NCAP_TLIFE",$AX$10:$AX$16)),0,""))</f>
        <v/>
      </c>
      <c r="AM48" s="369" t="str">
        <f ca="1">IF($B48&lt;&gt;"PRC_RESID","",IF(AM$7=2005+OFFSET(COM_N_2012!$B$60,$AW48,SUMIF($B$10:$B$16,"NCAP_TLIFE",$AX$10:$AX$16)),0,""))</f>
        <v/>
      </c>
      <c r="AN48" s="369" t="str">
        <f ca="1">IF($B48&lt;&gt;"PRC_RESID","",IF(AN$7=2005+OFFSET(COM_N_2012!$B$60,$AW48,SUMIF($B$10:$B$16,"NCAP_TLIFE",$AX$10:$AX$16)),0,""))</f>
        <v/>
      </c>
      <c r="AO48" s="369" t="str">
        <f ca="1">IF($B48&lt;&gt;"PRC_RESID","",IF(AO$7=2005+OFFSET(COM_N_2012!$B$60,$AW48,SUMIF($B$10:$B$16,"NCAP_TLIFE",$AX$10:$AX$16)),0,""))</f>
        <v/>
      </c>
      <c r="AP48" s="369" t="str">
        <f ca="1">IF($B48&lt;&gt;"PRC_RESID","",IF(AP$7=2005+OFFSET(COM_N_2012!$B$60,$AW48,SUMIF($B$10:$B$16,"NCAP_TLIFE",$AX$10:$AX$16)),0,""))</f>
        <v/>
      </c>
      <c r="AQ48" s="369" t="str">
        <f ca="1">IF($B48&lt;&gt;"PRC_RESID","",IF(AQ$7=2005+OFFSET(COM_N_2012!$B$60,$AW48,SUMIF($B$10:$B$16,"NCAP_TLIFE",$AX$10:$AX$16)),0,""))</f>
        <v/>
      </c>
      <c r="AR48" s="369" t="str">
        <f ca="1">IF($B48&lt;&gt;"PRC_RESID","",IF(AR$7=2005+OFFSET(COM_N_2012!$B$60,$AW48,SUMIF($B$10:$B$16,"NCAP_TLIFE",$AX$10:$AX$16)),0,""))</f>
        <v/>
      </c>
      <c r="AS48" s="369" t="str">
        <f ca="1">IF($B48&lt;&gt;"PRC_RESID","",IF(AS$7=2005+OFFSET(COM_N_2012!$B$60,$AW48,SUMIF($B$10:$B$16,"NCAP_TLIFE",$AX$10:$AX$16)),0,""))</f>
        <v/>
      </c>
      <c r="AT48" s="369" t="str">
        <f ca="1">IF($B48&lt;&gt;"PRC_RESID","",IF(AT$7=2005+OFFSET(COM_N_2012!$B$60,$AW48,SUMIF($B$10:$B$16,"NCAP_TLIFE",$AX$10:$AX$16)),0,""))</f>
        <v/>
      </c>
      <c r="AU48" s="369" t="str">
        <f ca="1">IF($B48&lt;&gt;"PRC_RESID","",IF(AU$7=2005+OFFSET(COM_N_2012!$B$60,$AW48,SUMIF($B$10:$B$16,"NCAP_TLIFE",$AX$10:$AX$16)),0,""))</f>
        <v/>
      </c>
      <c r="AV48" s="304">
        <f>IF(AW47=COM_N_2012!$AK$121,AV47+1,AV47)</f>
        <v>1</v>
      </c>
      <c r="AW48" s="304">
        <f t="shared" si="4"/>
        <v>31</v>
      </c>
    </row>
    <row r="49" spans="1:49">
      <c r="A49" s="304" t="str">
        <f ca="1">IF(LEFT(OFFSET(COM_N_2012!$A$60,AW49,0),2)="\I","*","")</f>
        <v>*</v>
      </c>
      <c r="B49" s="369" t="str">
        <f t="shared" ca="1" si="2"/>
        <v/>
      </c>
      <c r="C49" s="369" t="str">
        <f ca="1">IF($A49="*","",OFFSET(COM_N_2012!$B$60,AW49,0))</f>
        <v/>
      </c>
      <c r="D49" s="369" t="str">
        <f t="shared" ca="1" si="7"/>
        <v/>
      </c>
      <c r="E49" s="369" t="str">
        <f t="shared" ca="1" si="7"/>
        <v/>
      </c>
      <c r="F49" s="369" t="str">
        <f t="shared" ca="1" si="7"/>
        <v/>
      </c>
      <c r="G49" s="369" t="str">
        <f t="shared" ca="1" si="7"/>
        <v/>
      </c>
      <c r="H49" s="369" t="str">
        <f t="shared" ca="1" si="7"/>
        <v/>
      </c>
      <c r="I49" s="370" t="str">
        <f t="shared" ca="1" si="7"/>
        <v/>
      </c>
      <c r="J49" s="391" t="str">
        <f ca="1">IF($A49="*","",OFFSET(COM_N_2012!$B$60,AW49,SUMIF($B$10:$B$16,B49,$AX$10:$AX$16)))</f>
        <v/>
      </c>
      <c r="K49" s="369" t="str">
        <f ca="1">IF($B49&lt;&gt;"PRC_RESID","",IF(K$7=2005+OFFSET(COM_N_2012!$B$60,$AW49,SUMIF($B$10:$B$16,"NCAP_TLIFE",$AX$10:$AX$16)),0,""))</f>
        <v/>
      </c>
      <c r="L49" s="369" t="str">
        <f ca="1">IF($B49&lt;&gt;"PRC_RESID","",IF(L$7=2005+OFFSET(COM_N_2012!$B$60,$AW49,SUMIF($B$10:$B$16,"NCAP_TLIFE",$AX$10:$AX$16)),0,""))</f>
        <v/>
      </c>
      <c r="M49" s="369" t="str">
        <f ca="1">IF($B49&lt;&gt;"PRC_RESID","",IF(M$7=2005+OFFSET(COM_N_2012!$B$60,$AW49,SUMIF($B$10:$B$16,"NCAP_TLIFE",$AX$10:$AX$16)),0,""))</f>
        <v/>
      </c>
      <c r="N49" s="369" t="str">
        <f ca="1">IF($B49&lt;&gt;"PRC_RESID","",IF(N$7=2005+OFFSET(COM_N_2012!$B$60,$AW49,SUMIF($B$10:$B$16,"NCAP_TLIFE",$AX$10:$AX$16)),0,""))</f>
        <v/>
      </c>
      <c r="O49" s="369" t="str">
        <f ca="1">IF($B49&lt;&gt;"PRC_RESID","",IF(O$7=2005+OFFSET(COM_N_2012!$B$60,$AW49,SUMIF($B$10:$B$16,"NCAP_TLIFE",$AX$10:$AX$16)),0,""))</f>
        <v/>
      </c>
      <c r="P49" s="369" t="str">
        <f ca="1">IF($B49&lt;&gt;"PRC_RESID","",IF(P$7=2005+OFFSET(COM_N_2012!$B$60,$AW49,SUMIF($B$10:$B$16,"NCAP_TLIFE",$AX$10:$AX$16)),0,""))</f>
        <v/>
      </c>
      <c r="Q49" s="369" t="str">
        <f ca="1">IF($B49&lt;&gt;"PRC_RESID","",IF(Q$7=2005+OFFSET(COM_N_2012!$B$60,$AW49,SUMIF($B$10:$B$16,"NCAP_TLIFE",$AX$10:$AX$16)),0,""))</f>
        <v/>
      </c>
      <c r="R49" s="369" t="str">
        <f ca="1">IF($B49&lt;&gt;"PRC_RESID","",IF(R$7=2005+OFFSET(COM_N_2012!$B$60,$AW49,SUMIF($B$10:$B$16,"NCAP_TLIFE",$AX$10:$AX$16)),0,""))</f>
        <v/>
      </c>
      <c r="S49" s="369" t="str">
        <f ca="1">IF($B49&lt;&gt;"PRC_RESID","",IF(S$7=2005+OFFSET(COM_N_2012!$B$60,$AW49,SUMIF($B$10:$B$16,"NCAP_TLIFE",$AX$10:$AX$16)),0,""))</f>
        <v/>
      </c>
      <c r="T49" s="369" t="str">
        <f ca="1">IF($B49&lt;&gt;"PRC_RESID","",IF(T$7=2005+OFFSET(COM_N_2012!$B$60,$AW49,SUMIF($B$10:$B$16,"NCAP_TLIFE",$AX$10:$AX$16)),0,""))</f>
        <v/>
      </c>
      <c r="U49" s="369" t="str">
        <f ca="1">IF($B49&lt;&gt;"PRC_RESID","",IF(U$7=2005+OFFSET(COM_N_2012!$B$60,$AW49,SUMIF($B$10:$B$16,"NCAP_TLIFE",$AX$10:$AX$16)),0,""))</f>
        <v/>
      </c>
      <c r="V49" s="369" t="str">
        <f ca="1">IF($B49&lt;&gt;"PRC_RESID","",IF(V$7=2005+OFFSET(COM_N_2012!$B$60,$AW49,SUMIF($B$10:$B$16,"NCAP_TLIFE",$AX$10:$AX$16)),0,""))</f>
        <v/>
      </c>
      <c r="W49" s="369" t="str">
        <f ca="1">IF($B49&lt;&gt;"PRC_RESID","",IF(W$7=2005+OFFSET(COM_N_2012!$B$60,$AW49,SUMIF($B$10:$B$16,"NCAP_TLIFE",$AX$10:$AX$16)),0,""))</f>
        <v/>
      </c>
      <c r="X49" s="369" t="str">
        <f ca="1">IF($B49&lt;&gt;"PRC_RESID","",IF(X$7=2005+OFFSET(COM_N_2012!$B$60,$AW49,SUMIF($B$10:$B$16,"NCAP_TLIFE",$AX$10:$AX$16)),0,""))</f>
        <v/>
      </c>
      <c r="Y49" s="369" t="str">
        <f ca="1">IF($B49&lt;&gt;"PRC_RESID","",IF(Y$7=2005+OFFSET(COM_N_2012!$B$60,$AW49,SUMIF($B$10:$B$16,"NCAP_TLIFE",$AX$10:$AX$16)),0,""))</f>
        <v/>
      </c>
      <c r="Z49" s="369" t="str">
        <f ca="1">IF($B49&lt;&gt;"PRC_RESID","",IF(Z$7=2005+OFFSET(COM_N_2012!$B$60,$AW49,SUMIF($B$10:$B$16,"NCAP_TLIFE",$AX$10:$AX$16)),0,""))</f>
        <v/>
      </c>
      <c r="AA49" s="369" t="str">
        <f ca="1">IF($B49&lt;&gt;"PRC_RESID","",IF(AA$7=2005+OFFSET(COM_N_2012!$B$60,$AW49,SUMIF($B$10:$B$16,"NCAP_TLIFE",$AX$10:$AX$16)),0,""))</f>
        <v/>
      </c>
      <c r="AB49" s="369" t="str">
        <f ca="1">IF($B49&lt;&gt;"PRC_RESID","",IF(AB$7=2005+OFFSET(COM_N_2012!$B$60,$AW49,SUMIF($B$10:$B$16,"NCAP_TLIFE",$AX$10:$AX$16)),0,""))</f>
        <v/>
      </c>
      <c r="AC49" s="369" t="str">
        <f ca="1">IF($B49&lt;&gt;"PRC_RESID","",IF(AC$7=2005+OFFSET(COM_N_2012!$B$60,$AW49,SUMIF($B$10:$B$16,"NCAP_TLIFE",$AX$10:$AX$16)),0,""))</f>
        <v/>
      </c>
      <c r="AD49" s="369" t="str">
        <f ca="1">IF($B49&lt;&gt;"PRC_RESID","",IF(AD$7=2005+OFFSET(COM_N_2012!$B$60,$AW49,SUMIF($B$10:$B$16,"NCAP_TLIFE",$AX$10:$AX$16)),0,""))</f>
        <v/>
      </c>
      <c r="AE49" s="369" t="str">
        <f ca="1">IF($B49&lt;&gt;"PRC_RESID","",IF(AE$7=2005+OFFSET(COM_N_2012!$B$60,$AW49,SUMIF($B$10:$B$16,"NCAP_TLIFE",$AX$10:$AX$16)),0,""))</f>
        <v/>
      </c>
      <c r="AF49" s="369" t="str">
        <f ca="1">IF($B49&lt;&gt;"PRC_RESID","",IF(AF$7=2005+OFFSET(COM_N_2012!$B$60,$AW49,SUMIF($B$10:$B$16,"NCAP_TLIFE",$AX$10:$AX$16)),0,""))</f>
        <v/>
      </c>
      <c r="AG49" s="369" t="str">
        <f ca="1">IF($B49&lt;&gt;"PRC_RESID","",IF(AG$7=2005+OFFSET(COM_N_2012!$B$60,$AW49,SUMIF($B$10:$B$16,"NCAP_TLIFE",$AX$10:$AX$16)),0,""))</f>
        <v/>
      </c>
      <c r="AH49" s="369" t="str">
        <f ca="1">IF($B49&lt;&gt;"PRC_RESID","",IF(AH$7=2005+OFFSET(COM_N_2012!$B$60,$AW49,SUMIF($B$10:$B$16,"NCAP_TLIFE",$AX$10:$AX$16)),0,""))</f>
        <v/>
      </c>
      <c r="AI49" s="369" t="str">
        <f ca="1">IF($B49&lt;&gt;"PRC_RESID","",IF(AI$7=2005+OFFSET(COM_N_2012!$B$60,$AW49,SUMIF($B$10:$B$16,"NCAP_TLIFE",$AX$10:$AX$16)),0,""))</f>
        <v/>
      </c>
      <c r="AJ49" s="369" t="str">
        <f ca="1">IF($B49&lt;&gt;"PRC_RESID","",IF(AJ$7=2005+OFFSET(COM_N_2012!$B$60,$AW49,SUMIF($B$10:$B$16,"NCAP_TLIFE",$AX$10:$AX$16)),0,""))</f>
        <v/>
      </c>
      <c r="AK49" s="369" t="str">
        <f ca="1">IF($B49&lt;&gt;"PRC_RESID","",IF(AK$7=2005+OFFSET(COM_N_2012!$B$60,$AW49,SUMIF($B$10:$B$16,"NCAP_TLIFE",$AX$10:$AX$16)),0,""))</f>
        <v/>
      </c>
      <c r="AL49" s="369" t="str">
        <f ca="1">IF($B49&lt;&gt;"PRC_RESID","",IF(AL$7=2005+OFFSET(COM_N_2012!$B$60,$AW49,SUMIF($B$10:$B$16,"NCAP_TLIFE",$AX$10:$AX$16)),0,""))</f>
        <v/>
      </c>
      <c r="AM49" s="369" t="str">
        <f ca="1">IF($B49&lt;&gt;"PRC_RESID","",IF(AM$7=2005+OFFSET(COM_N_2012!$B$60,$AW49,SUMIF($B$10:$B$16,"NCAP_TLIFE",$AX$10:$AX$16)),0,""))</f>
        <v/>
      </c>
      <c r="AN49" s="369" t="str">
        <f ca="1">IF($B49&lt;&gt;"PRC_RESID","",IF(AN$7=2005+OFFSET(COM_N_2012!$B$60,$AW49,SUMIF($B$10:$B$16,"NCAP_TLIFE",$AX$10:$AX$16)),0,""))</f>
        <v/>
      </c>
      <c r="AO49" s="369" t="str">
        <f ca="1">IF($B49&lt;&gt;"PRC_RESID","",IF(AO$7=2005+OFFSET(COM_N_2012!$B$60,$AW49,SUMIF($B$10:$B$16,"NCAP_TLIFE",$AX$10:$AX$16)),0,""))</f>
        <v/>
      </c>
      <c r="AP49" s="369" t="str">
        <f ca="1">IF($B49&lt;&gt;"PRC_RESID","",IF(AP$7=2005+OFFSET(COM_N_2012!$B$60,$AW49,SUMIF($B$10:$B$16,"NCAP_TLIFE",$AX$10:$AX$16)),0,""))</f>
        <v/>
      </c>
      <c r="AQ49" s="369" t="str">
        <f ca="1">IF($B49&lt;&gt;"PRC_RESID","",IF(AQ$7=2005+OFFSET(COM_N_2012!$B$60,$AW49,SUMIF($B$10:$B$16,"NCAP_TLIFE",$AX$10:$AX$16)),0,""))</f>
        <v/>
      </c>
      <c r="AR49" s="369" t="str">
        <f ca="1">IF($B49&lt;&gt;"PRC_RESID","",IF(AR$7=2005+OFFSET(COM_N_2012!$B$60,$AW49,SUMIF($B$10:$B$16,"NCAP_TLIFE",$AX$10:$AX$16)),0,""))</f>
        <v/>
      </c>
      <c r="AS49" s="369" t="str">
        <f ca="1">IF($B49&lt;&gt;"PRC_RESID","",IF(AS$7=2005+OFFSET(COM_N_2012!$B$60,$AW49,SUMIF($B$10:$B$16,"NCAP_TLIFE",$AX$10:$AX$16)),0,""))</f>
        <v/>
      </c>
      <c r="AT49" s="369" t="str">
        <f ca="1">IF($B49&lt;&gt;"PRC_RESID","",IF(AT$7=2005+OFFSET(COM_N_2012!$B$60,$AW49,SUMIF($B$10:$B$16,"NCAP_TLIFE",$AX$10:$AX$16)),0,""))</f>
        <v/>
      </c>
      <c r="AU49" s="369" t="str">
        <f ca="1">IF($B49&lt;&gt;"PRC_RESID","",IF(AU$7=2005+OFFSET(COM_N_2012!$B$60,$AW49,SUMIF($B$10:$B$16,"NCAP_TLIFE",$AX$10:$AX$16)),0,""))</f>
        <v/>
      </c>
      <c r="AV49" s="304">
        <f>IF(AW48=COM_N_2012!$AK$121,AV48+1,AV48)</f>
        <v>1</v>
      </c>
      <c r="AW49" s="304">
        <f t="shared" si="4"/>
        <v>32</v>
      </c>
    </row>
    <row r="50" spans="1:49">
      <c r="A50" s="304" t="str">
        <f ca="1">IF(LEFT(OFFSET(COM_N_2012!$A$60,AW50,0),2)="\I","*","")</f>
        <v/>
      </c>
      <c r="B50" s="369" t="str">
        <f t="shared" ca="1" si="2"/>
        <v>ACT_EFF</v>
      </c>
      <c r="C50" s="369" t="str">
        <f ca="1">IF($A50="*","",OFFSET(COM_N_2012!$B$60,AW50,0))</f>
        <v>CNWELC-E</v>
      </c>
      <c r="D50" s="369" t="str">
        <f t="shared" ca="1" si="7"/>
        <v>-</v>
      </c>
      <c r="E50" s="369" t="str">
        <f t="shared" ca="1" si="7"/>
        <v>ACTGRP</v>
      </c>
      <c r="F50" s="369" t="str">
        <f t="shared" ca="1" si="7"/>
        <v>-</v>
      </c>
      <c r="G50" s="369" t="str">
        <f t="shared" ca="1" si="7"/>
        <v>ANNUAL</v>
      </c>
      <c r="H50" s="369" t="str">
        <f t="shared" ca="1" si="7"/>
        <v>-</v>
      </c>
      <c r="I50" s="370">
        <f t="shared" ca="1" si="7"/>
        <v>0</v>
      </c>
      <c r="J50" s="391">
        <f ca="1">IF($A50="*","",OFFSET(COM_N_2012!$B$60,AW50,SUMIF($B$10:$B$16,B50,$AX$10:$AX$16)))</f>
        <v>1</v>
      </c>
      <c r="K50" s="369" t="str">
        <f ca="1">IF($B50&lt;&gt;"PRC_RESID","",IF(K$7=2005+OFFSET(COM_N_2012!$B$60,$AW50,SUMIF($B$10:$B$16,"NCAP_TLIFE",$AX$10:$AX$16)),0,""))</f>
        <v/>
      </c>
      <c r="L50" s="369" t="str">
        <f ca="1">IF($B50&lt;&gt;"PRC_RESID","",IF(L$7=2005+OFFSET(COM_N_2012!$B$60,$AW50,SUMIF($B$10:$B$16,"NCAP_TLIFE",$AX$10:$AX$16)),0,""))</f>
        <v/>
      </c>
      <c r="M50" s="369" t="str">
        <f ca="1">IF($B50&lt;&gt;"PRC_RESID","",IF(M$7=2005+OFFSET(COM_N_2012!$B$60,$AW50,SUMIF($B$10:$B$16,"NCAP_TLIFE",$AX$10:$AX$16)),0,""))</f>
        <v/>
      </c>
      <c r="N50" s="369" t="str">
        <f ca="1">IF($B50&lt;&gt;"PRC_RESID","",IF(N$7=2005+OFFSET(COM_N_2012!$B$60,$AW50,SUMIF($B$10:$B$16,"NCAP_TLIFE",$AX$10:$AX$16)),0,""))</f>
        <v/>
      </c>
      <c r="O50" s="369" t="str">
        <f ca="1">IF($B50&lt;&gt;"PRC_RESID","",IF(O$7=2005+OFFSET(COM_N_2012!$B$60,$AW50,SUMIF($B$10:$B$16,"NCAP_TLIFE",$AX$10:$AX$16)),0,""))</f>
        <v/>
      </c>
      <c r="P50" s="369" t="str">
        <f ca="1">IF($B50&lt;&gt;"PRC_RESID","",IF(P$7=2005+OFFSET(COM_N_2012!$B$60,$AW50,SUMIF($B$10:$B$16,"NCAP_TLIFE",$AX$10:$AX$16)),0,""))</f>
        <v/>
      </c>
      <c r="Q50" s="369" t="str">
        <f ca="1">IF($B50&lt;&gt;"PRC_RESID","",IF(Q$7=2005+OFFSET(COM_N_2012!$B$60,$AW50,SUMIF($B$10:$B$16,"NCAP_TLIFE",$AX$10:$AX$16)),0,""))</f>
        <v/>
      </c>
      <c r="R50" s="369" t="str">
        <f ca="1">IF($B50&lt;&gt;"PRC_RESID","",IF(R$7=2005+OFFSET(COM_N_2012!$B$60,$AW50,SUMIF($B$10:$B$16,"NCAP_TLIFE",$AX$10:$AX$16)),0,""))</f>
        <v/>
      </c>
      <c r="S50" s="369" t="str">
        <f ca="1">IF($B50&lt;&gt;"PRC_RESID","",IF(S$7=2005+OFFSET(COM_N_2012!$B$60,$AW50,SUMIF($B$10:$B$16,"NCAP_TLIFE",$AX$10:$AX$16)),0,""))</f>
        <v/>
      </c>
      <c r="T50" s="369" t="str">
        <f ca="1">IF($B50&lt;&gt;"PRC_RESID","",IF(T$7=2005+OFFSET(COM_N_2012!$B$60,$AW50,SUMIF($B$10:$B$16,"NCAP_TLIFE",$AX$10:$AX$16)),0,""))</f>
        <v/>
      </c>
      <c r="U50" s="369" t="str">
        <f ca="1">IF($B50&lt;&gt;"PRC_RESID","",IF(U$7=2005+OFFSET(COM_N_2012!$B$60,$AW50,SUMIF($B$10:$B$16,"NCAP_TLIFE",$AX$10:$AX$16)),0,""))</f>
        <v/>
      </c>
      <c r="V50" s="369" t="str">
        <f ca="1">IF($B50&lt;&gt;"PRC_RESID","",IF(V$7=2005+OFFSET(COM_N_2012!$B$60,$AW50,SUMIF($B$10:$B$16,"NCAP_TLIFE",$AX$10:$AX$16)),0,""))</f>
        <v/>
      </c>
      <c r="W50" s="369" t="str">
        <f ca="1">IF($B50&lt;&gt;"PRC_RESID","",IF(W$7=2005+OFFSET(COM_N_2012!$B$60,$AW50,SUMIF($B$10:$B$16,"NCAP_TLIFE",$AX$10:$AX$16)),0,""))</f>
        <v/>
      </c>
      <c r="X50" s="369" t="str">
        <f ca="1">IF($B50&lt;&gt;"PRC_RESID","",IF(X$7=2005+OFFSET(COM_N_2012!$B$60,$AW50,SUMIF($B$10:$B$16,"NCAP_TLIFE",$AX$10:$AX$16)),0,""))</f>
        <v/>
      </c>
      <c r="Y50" s="369" t="str">
        <f ca="1">IF($B50&lt;&gt;"PRC_RESID","",IF(Y$7=2005+OFFSET(COM_N_2012!$B$60,$AW50,SUMIF($B$10:$B$16,"NCAP_TLIFE",$AX$10:$AX$16)),0,""))</f>
        <v/>
      </c>
      <c r="Z50" s="369" t="str">
        <f ca="1">IF($B50&lt;&gt;"PRC_RESID","",IF(Z$7=2005+OFFSET(COM_N_2012!$B$60,$AW50,SUMIF($B$10:$B$16,"NCAP_TLIFE",$AX$10:$AX$16)),0,""))</f>
        <v/>
      </c>
      <c r="AA50" s="369" t="str">
        <f ca="1">IF($B50&lt;&gt;"PRC_RESID","",IF(AA$7=2005+OFFSET(COM_N_2012!$B$60,$AW50,SUMIF($B$10:$B$16,"NCAP_TLIFE",$AX$10:$AX$16)),0,""))</f>
        <v/>
      </c>
      <c r="AB50" s="369" t="str">
        <f ca="1">IF($B50&lt;&gt;"PRC_RESID","",IF(AB$7=2005+OFFSET(COM_N_2012!$B$60,$AW50,SUMIF($B$10:$B$16,"NCAP_TLIFE",$AX$10:$AX$16)),0,""))</f>
        <v/>
      </c>
      <c r="AC50" s="369" t="str">
        <f ca="1">IF($B50&lt;&gt;"PRC_RESID","",IF(AC$7=2005+OFFSET(COM_N_2012!$B$60,$AW50,SUMIF($B$10:$B$16,"NCAP_TLIFE",$AX$10:$AX$16)),0,""))</f>
        <v/>
      </c>
      <c r="AD50" s="369" t="str">
        <f ca="1">IF($B50&lt;&gt;"PRC_RESID","",IF(AD$7=2005+OFFSET(COM_N_2012!$B$60,$AW50,SUMIF($B$10:$B$16,"NCAP_TLIFE",$AX$10:$AX$16)),0,""))</f>
        <v/>
      </c>
      <c r="AE50" s="369" t="str">
        <f ca="1">IF($B50&lt;&gt;"PRC_RESID","",IF(AE$7=2005+OFFSET(COM_N_2012!$B$60,$AW50,SUMIF($B$10:$B$16,"NCAP_TLIFE",$AX$10:$AX$16)),0,""))</f>
        <v/>
      </c>
      <c r="AF50" s="369" t="str">
        <f ca="1">IF($B50&lt;&gt;"PRC_RESID","",IF(AF$7=2005+OFFSET(COM_N_2012!$B$60,$AW50,SUMIF($B$10:$B$16,"NCAP_TLIFE",$AX$10:$AX$16)),0,""))</f>
        <v/>
      </c>
      <c r="AG50" s="369" t="str">
        <f ca="1">IF($B50&lt;&gt;"PRC_RESID","",IF(AG$7=2005+OFFSET(COM_N_2012!$B$60,$AW50,SUMIF($B$10:$B$16,"NCAP_TLIFE",$AX$10:$AX$16)),0,""))</f>
        <v/>
      </c>
      <c r="AH50" s="369" t="str">
        <f ca="1">IF($B50&lt;&gt;"PRC_RESID","",IF(AH$7=2005+OFFSET(COM_N_2012!$B$60,$AW50,SUMIF($B$10:$B$16,"NCAP_TLIFE",$AX$10:$AX$16)),0,""))</f>
        <v/>
      </c>
      <c r="AI50" s="369" t="str">
        <f ca="1">IF($B50&lt;&gt;"PRC_RESID","",IF(AI$7=2005+OFFSET(COM_N_2012!$B$60,$AW50,SUMIF($B$10:$B$16,"NCAP_TLIFE",$AX$10:$AX$16)),0,""))</f>
        <v/>
      </c>
      <c r="AJ50" s="369" t="str">
        <f ca="1">IF($B50&lt;&gt;"PRC_RESID","",IF(AJ$7=2005+OFFSET(COM_N_2012!$B$60,$AW50,SUMIF($B$10:$B$16,"NCAP_TLIFE",$AX$10:$AX$16)),0,""))</f>
        <v/>
      </c>
      <c r="AK50" s="369" t="str">
        <f ca="1">IF($B50&lt;&gt;"PRC_RESID","",IF(AK$7=2005+OFFSET(COM_N_2012!$B$60,$AW50,SUMIF($B$10:$B$16,"NCAP_TLIFE",$AX$10:$AX$16)),0,""))</f>
        <v/>
      </c>
      <c r="AL50" s="369" t="str">
        <f ca="1">IF($B50&lt;&gt;"PRC_RESID","",IF(AL$7=2005+OFFSET(COM_N_2012!$B$60,$AW50,SUMIF($B$10:$B$16,"NCAP_TLIFE",$AX$10:$AX$16)),0,""))</f>
        <v/>
      </c>
      <c r="AM50" s="369" t="str">
        <f ca="1">IF($B50&lt;&gt;"PRC_RESID","",IF(AM$7=2005+OFFSET(COM_N_2012!$B$60,$AW50,SUMIF($B$10:$B$16,"NCAP_TLIFE",$AX$10:$AX$16)),0,""))</f>
        <v/>
      </c>
      <c r="AN50" s="369" t="str">
        <f ca="1">IF($B50&lt;&gt;"PRC_RESID","",IF(AN$7=2005+OFFSET(COM_N_2012!$B$60,$AW50,SUMIF($B$10:$B$16,"NCAP_TLIFE",$AX$10:$AX$16)),0,""))</f>
        <v/>
      </c>
      <c r="AO50" s="369" t="str">
        <f ca="1">IF($B50&lt;&gt;"PRC_RESID","",IF(AO$7=2005+OFFSET(COM_N_2012!$B$60,$AW50,SUMIF($B$10:$B$16,"NCAP_TLIFE",$AX$10:$AX$16)),0,""))</f>
        <v/>
      </c>
      <c r="AP50" s="369" t="str">
        <f ca="1">IF($B50&lt;&gt;"PRC_RESID","",IF(AP$7=2005+OFFSET(COM_N_2012!$B$60,$AW50,SUMIF($B$10:$B$16,"NCAP_TLIFE",$AX$10:$AX$16)),0,""))</f>
        <v/>
      </c>
      <c r="AQ50" s="369" t="str">
        <f ca="1">IF($B50&lt;&gt;"PRC_RESID","",IF(AQ$7=2005+OFFSET(COM_N_2012!$B$60,$AW50,SUMIF($B$10:$B$16,"NCAP_TLIFE",$AX$10:$AX$16)),0,""))</f>
        <v/>
      </c>
      <c r="AR50" s="369" t="str">
        <f ca="1">IF($B50&lt;&gt;"PRC_RESID","",IF(AR$7=2005+OFFSET(COM_N_2012!$B$60,$AW50,SUMIF($B$10:$B$16,"NCAP_TLIFE",$AX$10:$AX$16)),0,""))</f>
        <v/>
      </c>
      <c r="AS50" s="369" t="str">
        <f ca="1">IF($B50&lt;&gt;"PRC_RESID","",IF(AS$7=2005+OFFSET(COM_N_2012!$B$60,$AW50,SUMIF($B$10:$B$16,"NCAP_TLIFE",$AX$10:$AX$16)),0,""))</f>
        <v/>
      </c>
      <c r="AT50" s="369" t="str">
        <f ca="1">IF($B50&lt;&gt;"PRC_RESID","",IF(AT$7=2005+OFFSET(COM_N_2012!$B$60,$AW50,SUMIF($B$10:$B$16,"NCAP_TLIFE",$AX$10:$AX$16)),0,""))</f>
        <v/>
      </c>
      <c r="AU50" s="369" t="str">
        <f ca="1">IF($B50&lt;&gt;"PRC_RESID","",IF(AU$7=2005+OFFSET(COM_N_2012!$B$60,$AW50,SUMIF($B$10:$B$16,"NCAP_TLIFE",$AX$10:$AX$16)),0,""))</f>
        <v/>
      </c>
      <c r="AV50" s="304">
        <f>IF(AW49=COM_N_2012!$AK$121,AV49+1,AV49)</f>
        <v>1</v>
      </c>
      <c r="AW50" s="304">
        <f t="shared" si="4"/>
        <v>33</v>
      </c>
    </row>
    <row r="51" spans="1:49">
      <c r="A51" s="304" t="str">
        <f ca="1">IF(LEFT(OFFSET(COM_N_2012!$A$60,AW51,0),2)="\I","*","")</f>
        <v/>
      </c>
      <c r="B51" s="369" t="str">
        <f t="shared" ca="1" si="2"/>
        <v>ACT_EFF</v>
      </c>
      <c r="C51" s="369" t="str">
        <f ca="1">IF($A51="*","",OFFSET(COM_N_2012!$B$60,AW51,0))</f>
        <v>CNWCOA-E</v>
      </c>
      <c r="D51" s="369" t="str">
        <f t="shared" ca="1" si="7"/>
        <v>-</v>
      </c>
      <c r="E51" s="369" t="str">
        <f t="shared" ca="1" si="7"/>
        <v>ACTGRP</v>
      </c>
      <c r="F51" s="369" t="str">
        <f t="shared" ca="1" si="7"/>
        <v>-</v>
      </c>
      <c r="G51" s="369" t="str">
        <f t="shared" ca="1" si="7"/>
        <v>ANNUAL</v>
      </c>
      <c r="H51" s="369" t="str">
        <f t="shared" ca="1" si="7"/>
        <v>-</v>
      </c>
      <c r="I51" s="370">
        <f t="shared" ca="1" si="7"/>
        <v>0</v>
      </c>
      <c r="J51" s="391">
        <f ca="1">IF($A51="*","",OFFSET(COM_N_2012!$B$60,AW51,SUMIF($B$10:$B$16,B51,$AX$10:$AX$16)))</f>
        <v>0.75</v>
      </c>
      <c r="K51" s="369" t="str">
        <f ca="1">IF($B51&lt;&gt;"PRC_RESID","",IF(K$7=2005+OFFSET(COM_N_2012!$B$60,$AW51,SUMIF($B$10:$B$16,"NCAP_TLIFE",$AX$10:$AX$16)),0,""))</f>
        <v/>
      </c>
      <c r="L51" s="369" t="str">
        <f ca="1">IF($B51&lt;&gt;"PRC_RESID","",IF(L$7=2005+OFFSET(COM_N_2012!$B$60,$AW51,SUMIF($B$10:$B$16,"NCAP_TLIFE",$AX$10:$AX$16)),0,""))</f>
        <v/>
      </c>
      <c r="M51" s="369" t="str">
        <f ca="1">IF($B51&lt;&gt;"PRC_RESID","",IF(M$7=2005+OFFSET(COM_N_2012!$B$60,$AW51,SUMIF($B$10:$B$16,"NCAP_TLIFE",$AX$10:$AX$16)),0,""))</f>
        <v/>
      </c>
      <c r="N51" s="369" t="str">
        <f ca="1">IF($B51&lt;&gt;"PRC_RESID","",IF(N$7=2005+OFFSET(COM_N_2012!$B$60,$AW51,SUMIF($B$10:$B$16,"NCAP_TLIFE",$AX$10:$AX$16)),0,""))</f>
        <v/>
      </c>
      <c r="O51" s="369" t="str">
        <f ca="1">IF($B51&lt;&gt;"PRC_RESID","",IF(O$7=2005+OFFSET(COM_N_2012!$B$60,$AW51,SUMIF($B$10:$B$16,"NCAP_TLIFE",$AX$10:$AX$16)),0,""))</f>
        <v/>
      </c>
      <c r="P51" s="369" t="str">
        <f ca="1">IF($B51&lt;&gt;"PRC_RESID","",IF(P$7=2005+OFFSET(COM_N_2012!$B$60,$AW51,SUMIF($B$10:$B$16,"NCAP_TLIFE",$AX$10:$AX$16)),0,""))</f>
        <v/>
      </c>
      <c r="Q51" s="369" t="str">
        <f ca="1">IF($B51&lt;&gt;"PRC_RESID","",IF(Q$7=2005+OFFSET(COM_N_2012!$B$60,$AW51,SUMIF($B$10:$B$16,"NCAP_TLIFE",$AX$10:$AX$16)),0,""))</f>
        <v/>
      </c>
      <c r="R51" s="369" t="str">
        <f ca="1">IF($B51&lt;&gt;"PRC_RESID","",IF(R$7=2005+OFFSET(COM_N_2012!$B$60,$AW51,SUMIF($B$10:$B$16,"NCAP_TLIFE",$AX$10:$AX$16)),0,""))</f>
        <v/>
      </c>
      <c r="S51" s="369" t="str">
        <f ca="1">IF($B51&lt;&gt;"PRC_RESID","",IF(S$7=2005+OFFSET(COM_N_2012!$B$60,$AW51,SUMIF($B$10:$B$16,"NCAP_TLIFE",$AX$10:$AX$16)),0,""))</f>
        <v/>
      </c>
      <c r="T51" s="369" t="str">
        <f ca="1">IF($B51&lt;&gt;"PRC_RESID","",IF(T$7=2005+OFFSET(COM_N_2012!$B$60,$AW51,SUMIF($B$10:$B$16,"NCAP_TLIFE",$AX$10:$AX$16)),0,""))</f>
        <v/>
      </c>
      <c r="U51" s="369" t="str">
        <f ca="1">IF($B51&lt;&gt;"PRC_RESID","",IF(U$7=2005+OFFSET(COM_N_2012!$B$60,$AW51,SUMIF($B$10:$B$16,"NCAP_TLIFE",$AX$10:$AX$16)),0,""))</f>
        <v/>
      </c>
      <c r="V51" s="369" t="str">
        <f ca="1">IF($B51&lt;&gt;"PRC_RESID","",IF(V$7=2005+OFFSET(COM_N_2012!$B$60,$AW51,SUMIF($B$10:$B$16,"NCAP_TLIFE",$AX$10:$AX$16)),0,""))</f>
        <v/>
      </c>
      <c r="W51" s="369" t="str">
        <f ca="1">IF($B51&lt;&gt;"PRC_RESID","",IF(W$7=2005+OFFSET(COM_N_2012!$B$60,$AW51,SUMIF($B$10:$B$16,"NCAP_TLIFE",$AX$10:$AX$16)),0,""))</f>
        <v/>
      </c>
      <c r="X51" s="369" t="str">
        <f ca="1">IF($B51&lt;&gt;"PRC_RESID","",IF(X$7=2005+OFFSET(COM_N_2012!$B$60,$AW51,SUMIF($B$10:$B$16,"NCAP_TLIFE",$AX$10:$AX$16)),0,""))</f>
        <v/>
      </c>
      <c r="Y51" s="369" t="str">
        <f ca="1">IF($B51&lt;&gt;"PRC_RESID","",IF(Y$7=2005+OFFSET(COM_N_2012!$B$60,$AW51,SUMIF($B$10:$B$16,"NCAP_TLIFE",$AX$10:$AX$16)),0,""))</f>
        <v/>
      </c>
      <c r="Z51" s="369" t="str">
        <f ca="1">IF($B51&lt;&gt;"PRC_RESID","",IF(Z$7=2005+OFFSET(COM_N_2012!$B$60,$AW51,SUMIF($B$10:$B$16,"NCAP_TLIFE",$AX$10:$AX$16)),0,""))</f>
        <v/>
      </c>
      <c r="AA51" s="369" t="str">
        <f ca="1">IF($B51&lt;&gt;"PRC_RESID","",IF(AA$7=2005+OFFSET(COM_N_2012!$B$60,$AW51,SUMIF($B$10:$B$16,"NCAP_TLIFE",$AX$10:$AX$16)),0,""))</f>
        <v/>
      </c>
      <c r="AB51" s="369" t="str">
        <f ca="1">IF($B51&lt;&gt;"PRC_RESID","",IF(AB$7=2005+OFFSET(COM_N_2012!$B$60,$AW51,SUMIF($B$10:$B$16,"NCAP_TLIFE",$AX$10:$AX$16)),0,""))</f>
        <v/>
      </c>
      <c r="AC51" s="369" t="str">
        <f ca="1">IF($B51&lt;&gt;"PRC_RESID","",IF(AC$7=2005+OFFSET(COM_N_2012!$B$60,$AW51,SUMIF($B$10:$B$16,"NCAP_TLIFE",$AX$10:$AX$16)),0,""))</f>
        <v/>
      </c>
      <c r="AD51" s="369" t="str">
        <f ca="1">IF($B51&lt;&gt;"PRC_RESID","",IF(AD$7=2005+OFFSET(COM_N_2012!$B$60,$AW51,SUMIF($B$10:$B$16,"NCAP_TLIFE",$AX$10:$AX$16)),0,""))</f>
        <v/>
      </c>
      <c r="AE51" s="369" t="str">
        <f ca="1">IF($B51&lt;&gt;"PRC_RESID","",IF(AE$7=2005+OFFSET(COM_N_2012!$B$60,$AW51,SUMIF($B$10:$B$16,"NCAP_TLIFE",$AX$10:$AX$16)),0,""))</f>
        <v/>
      </c>
      <c r="AF51" s="369" t="str">
        <f ca="1">IF($B51&lt;&gt;"PRC_RESID","",IF(AF$7=2005+OFFSET(COM_N_2012!$B$60,$AW51,SUMIF($B$10:$B$16,"NCAP_TLIFE",$AX$10:$AX$16)),0,""))</f>
        <v/>
      </c>
      <c r="AG51" s="369" t="str">
        <f ca="1">IF($B51&lt;&gt;"PRC_RESID","",IF(AG$7=2005+OFFSET(COM_N_2012!$B$60,$AW51,SUMIF($B$10:$B$16,"NCAP_TLIFE",$AX$10:$AX$16)),0,""))</f>
        <v/>
      </c>
      <c r="AH51" s="369" t="str">
        <f ca="1">IF($B51&lt;&gt;"PRC_RESID","",IF(AH$7=2005+OFFSET(COM_N_2012!$B$60,$AW51,SUMIF($B$10:$B$16,"NCAP_TLIFE",$AX$10:$AX$16)),0,""))</f>
        <v/>
      </c>
      <c r="AI51" s="369" t="str">
        <f ca="1">IF($B51&lt;&gt;"PRC_RESID","",IF(AI$7=2005+OFFSET(COM_N_2012!$B$60,$AW51,SUMIF($B$10:$B$16,"NCAP_TLIFE",$AX$10:$AX$16)),0,""))</f>
        <v/>
      </c>
      <c r="AJ51" s="369" t="str">
        <f ca="1">IF($B51&lt;&gt;"PRC_RESID","",IF(AJ$7=2005+OFFSET(COM_N_2012!$B$60,$AW51,SUMIF($B$10:$B$16,"NCAP_TLIFE",$AX$10:$AX$16)),0,""))</f>
        <v/>
      </c>
      <c r="AK51" s="369" t="str">
        <f ca="1">IF($B51&lt;&gt;"PRC_RESID","",IF(AK$7=2005+OFFSET(COM_N_2012!$B$60,$AW51,SUMIF($B$10:$B$16,"NCAP_TLIFE",$AX$10:$AX$16)),0,""))</f>
        <v/>
      </c>
      <c r="AL51" s="369" t="str">
        <f ca="1">IF($B51&lt;&gt;"PRC_RESID","",IF(AL$7=2005+OFFSET(COM_N_2012!$B$60,$AW51,SUMIF($B$10:$B$16,"NCAP_TLIFE",$AX$10:$AX$16)),0,""))</f>
        <v/>
      </c>
      <c r="AM51" s="369" t="str">
        <f ca="1">IF($B51&lt;&gt;"PRC_RESID","",IF(AM$7=2005+OFFSET(COM_N_2012!$B$60,$AW51,SUMIF($B$10:$B$16,"NCAP_TLIFE",$AX$10:$AX$16)),0,""))</f>
        <v/>
      </c>
      <c r="AN51" s="369" t="str">
        <f ca="1">IF($B51&lt;&gt;"PRC_RESID","",IF(AN$7=2005+OFFSET(COM_N_2012!$B$60,$AW51,SUMIF($B$10:$B$16,"NCAP_TLIFE",$AX$10:$AX$16)),0,""))</f>
        <v/>
      </c>
      <c r="AO51" s="369" t="str">
        <f ca="1">IF($B51&lt;&gt;"PRC_RESID","",IF(AO$7=2005+OFFSET(COM_N_2012!$B$60,$AW51,SUMIF($B$10:$B$16,"NCAP_TLIFE",$AX$10:$AX$16)),0,""))</f>
        <v/>
      </c>
      <c r="AP51" s="369" t="str">
        <f ca="1">IF($B51&lt;&gt;"PRC_RESID","",IF(AP$7=2005+OFFSET(COM_N_2012!$B$60,$AW51,SUMIF($B$10:$B$16,"NCAP_TLIFE",$AX$10:$AX$16)),0,""))</f>
        <v/>
      </c>
      <c r="AQ51" s="369" t="str">
        <f ca="1">IF($B51&lt;&gt;"PRC_RESID","",IF(AQ$7=2005+OFFSET(COM_N_2012!$B$60,$AW51,SUMIF($B$10:$B$16,"NCAP_TLIFE",$AX$10:$AX$16)),0,""))</f>
        <v/>
      </c>
      <c r="AR51" s="369" t="str">
        <f ca="1">IF($B51&lt;&gt;"PRC_RESID","",IF(AR$7=2005+OFFSET(COM_N_2012!$B$60,$AW51,SUMIF($B$10:$B$16,"NCAP_TLIFE",$AX$10:$AX$16)),0,""))</f>
        <v/>
      </c>
      <c r="AS51" s="369" t="str">
        <f ca="1">IF($B51&lt;&gt;"PRC_RESID","",IF(AS$7=2005+OFFSET(COM_N_2012!$B$60,$AW51,SUMIF($B$10:$B$16,"NCAP_TLIFE",$AX$10:$AX$16)),0,""))</f>
        <v/>
      </c>
      <c r="AT51" s="369" t="str">
        <f ca="1">IF($B51&lt;&gt;"PRC_RESID","",IF(AT$7=2005+OFFSET(COM_N_2012!$B$60,$AW51,SUMIF($B$10:$B$16,"NCAP_TLIFE",$AX$10:$AX$16)),0,""))</f>
        <v/>
      </c>
      <c r="AU51" s="369" t="str">
        <f ca="1">IF($B51&lt;&gt;"PRC_RESID","",IF(AU$7=2005+OFFSET(COM_N_2012!$B$60,$AW51,SUMIF($B$10:$B$16,"NCAP_TLIFE",$AX$10:$AX$16)),0,""))</f>
        <v/>
      </c>
      <c r="AV51" s="304">
        <f>IF(AW50=COM_N_2012!$AK$121,AV50+1,AV50)</f>
        <v>1</v>
      </c>
      <c r="AW51" s="304">
        <f t="shared" si="4"/>
        <v>34</v>
      </c>
    </row>
    <row r="52" spans="1:49">
      <c r="A52" s="304" t="str">
        <f ca="1">IF(LEFT(OFFSET(COM_N_2012!$A$60,AW52,0),2)="\I","*","")</f>
        <v/>
      </c>
      <c r="B52" s="369" t="str">
        <f t="shared" ca="1" si="2"/>
        <v>ACT_EFF</v>
      </c>
      <c r="C52" s="369" t="str">
        <f ca="1">IF($A52="*","",OFFSET(COM_N_2012!$B$60,AW52,0))</f>
        <v>CNWOLP-E</v>
      </c>
      <c r="D52" s="369" t="str">
        <f t="shared" ca="1" si="7"/>
        <v>-</v>
      </c>
      <c r="E52" s="369" t="str">
        <f t="shared" ca="1" si="7"/>
        <v>ACTGRP</v>
      </c>
      <c r="F52" s="369" t="str">
        <f t="shared" ca="1" si="7"/>
        <v>-</v>
      </c>
      <c r="G52" s="369" t="str">
        <f t="shared" ca="1" si="7"/>
        <v>ANNUAL</v>
      </c>
      <c r="H52" s="369" t="str">
        <f t="shared" ca="1" si="7"/>
        <v>-</v>
      </c>
      <c r="I52" s="370">
        <f t="shared" ca="1" si="7"/>
        <v>0</v>
      </c>
      <c r="J52" s="391">
        <f ca="1">IF($A52="*","",OFFSET(COM_N_2012!$B$60,AW52,SUMIF($B$10:$B$16,B52,$AX$10:$AX$16)))</f>
        <v>0.7</v>
      </c>
      <c r="K52" s="369" t="str">
        <f ca="1">IF($B52&lt;&gt;"PRC_RESID","",IF(K$7=2005+OFFSET(COM_N_2012!$B$60,$AW52,SUMIF($B$10:$B$16,"NCAP_TLIFE",$AX$10:$AX$16)),0,""))</f>
        <v/>
      </c>
      <c r="L52" s="369" t="str">
        <f ca="1">IF($B52&lt;&gt;"PRC_RESID","",IF(L$7=2005+OFFSET(COM_N_2012!$B$60,$AW52,SUMIF($B$10:$B$16,"NCAP_TLIFE",$AX$10:$AX$16)),0,""))</f>
        <v/>
      </c>
      <c r="M52" s="369" t="str">
        <f ca="1">IF($B52&lt;&gt;"PRC_RESID","",IF(M$7=2005+OFFSET(COM_N_2012!$B$60,$AW52,SUMIF($B$10:$B$16,"NCAP_TLIFE",$AX$10:$AX$16)),0,""))</f>
        <v/>
      </c>
      <c r="N52" s="369" t="str">
        <f ca="1">IF($B52&lt;&gt;"PRC_RESID","",IF(N$7=2005+OFFSET(COM_N_2012!$B$60,$AW52,SUMIF($B$10:$B$16,"NCAP_TLIFE",$AX$10:$AX$16)),0,""))</f>
        <v/>
      </c>
      <c r="O52" s="369" t="str">
        <f ca="1">IF($B52&lt;&gt;"PRC_RESID","",IF(O$7=2005+OFFSET(COM_N_2012!$B$60,$AW52,SUMIF($B$10:$B$16,"NCAP_TLIFE",$AX$10:$AX$16)),0,""))</f>
        <v/>
      </c>
      <c r="P52" s="369" t="str">
        <f ca="1">IF($B52&lt;&gt;"PRC_RESID","",IF(P$7=2005+OFFSET(COM_N_2012!$B$60,$AW52,SUMIF($B$10:$B$16,"NCAP_TLIFE",$AX$10:$AX$16)),0,""))</f>
        <v/>
      </c>
      <c r="Q52" s="369" t="str">
        <f ca="1">IF($B52&lt;&gt;"PRC_RESID","",IF(Q$7=2005+OFFSET(COM_N_2012!$B$60,$AW52,SUMIF($B$10:$B$16,"NCAP_TLIFE",$AX$10:$AX$16)),0,""))</f>
        <v/>
      </c>
      <c r="R52" s="369" t="str">
        <f ca="1">IF($B52&lt;&gt;"PRC_RESID","",IF(R$7=2005+OFFSET(COM_N_2012!$B$60,$AW52,SUMIF($B$10:$B$16,"NCAP_TLIFE",$AX$10:$AX$16)),0,""))</f>
        <v/>
      </c>
      <c r="S52" s="369" t="str">
        <f ca="1">IF($B52&lt;&gt;"PRC_RESID","",IF(S$7=2005+OFFSET(COM_N_2012!$B$60,$AW52,SUMIF($B$10:$B$16,"NCAP_TLIFE",$AX$10:$AX$16)),0,""))</f>
        <v/>
      </c>
      <c r="T52" s="369" t="str">
        <f ca="1">IF($B52&lt;&gt;"PRC_RESID","",IF(T$7=2005+OFFSET(COM_N_2012!$B$60,$AW52,SUMIF($B$10:$B$16,"NCAP_TLIFE",$AX$10:$AX$16)),0,""))</f>
        <v/>
      </c>
      <c r="U52" s="369" t="str">
        <f ca="1">IF($B52&lt;&gt;"PRC_RESID","",IF(U$7=2005+OFFSET(COM_N_2012!$B$60,$AW52,SUMIF($B$10:$B$16,"NCAP_TLIFE",$AX$10:$AX$16)),0,""))</f>
        <v/>
      </c>
      <c r="V52" s="369" t="str">
        <f ca="1">IF($B52&lt;&gt;"PRC_RESID","",IF(V$7=2005+OFFSET(COM_N_2012!$B$60,$AW52,SUMIF($B$10:$B$16,"NCAP_TLIFE",$AX$10:$AX$16)),0,""))</f>
        <v/>
      </c>
      <c r="W52" s="369" t="str">
        <f ca="1">IF($B52&lt;&gt;"PRC_RESID","",IF(W$7=2005+OFFSET(COM_N_2012!$B$60,$AW52,SUMIF($B$10:$B$16,"NCAP_TLIFE",$AX$10:$AX$16)),0,""))</f>
        <v/>
      </c>
      <c r="X52" s="369" t="str">
        <f ca="1">IF($B52&lt;&gt;"PRC_RESID","",IF(X$7=2005+OFFSET(COM_N_2012!$B$60,$AW52,SUMIF($B$10:$B$16,"NCAP_TLIFE",$AX$10:$AX$16)),0,""))</f>
        <v/>
      </c>
      <c r="Y52" s="369" t="str">
        <f ca="1">IF($B52&lt;&gt;"PRC_RESID","",IF(Y$7=2005+OFFSET(COM_N_2012!$B$60,$AW52,SUMIF($B$10:$B$16,"NCAP_TLIFE",$AX$10:$AX$16)),0,""))</f>
        <v/>
      </c>
      <c r="Z52" s="369" t="str">
        <f ca="1">IF($B52&lt;&gt;"PRC_RESID","",IF(Z$7=2005+OFFSET(COM_N_2012!$B$60,$AW52,SUMIF($B$10:$B$16,"NCAP_TLIFE",$AX$10:$AX$16)),0,""))</f>
        <v/>
      </c>
      <c r="AA52" s="369" t="str">
        <f ca="1">IF($B52&lt;&gt;"PRC_RESID","",IF(AA$7=2005+OFFSET(COM_N_2012!$B$60,$AW52,SUMIF($B$10:$B$16,"NCAP_TLIFE",$AX$10:$AX$16)),0,""))</f>
        <v/>
      </c>
      <c r="AB52" s="369" t="str">
        <f ca="1">IF($B52&lt;&gt;"PRC_RESID","",IF(AB$7=2005+OFFSET(COM_N_2012!$B$60,$AW52,SUMIF($B$10:$B$16,"NCAP_TLIFE",$AX$10:$AX$16)),0,""))</f>
        <v/>
      </c>
      <c r="AC52" s="369" t="str">
        <f ca="1">IF($B52&lt;&gt;"PRC_RESID","",IF(AC$7=2005+OFFSET(COM_N_2012!$B$60,$AW52,SUMIF($B$10:$B$16,"NCAP_TLIFE",$AX$10:$AX$16)),0,""))</f>
        <v/>
      </c>
      <c r="AD52" s="369" t="str">
        <f ca="1">IF($B52&lt;&gt;"PRC_RESID","",IF(AD$7=2005+OFFSET(COM_N_2012!$B$60,$AW52,SUMIF($B$10:$B$16,"NCAP_TLIFE",$AX$10:$AX$16)),0,""))</f>
        <v/>
      </c>
      <c r="AE52" s="369" t="str">
        <f ca="1">IF($B52&lt;&gt;"PRC_RESID","",IF(AE$7=2005+OFFSET(COM_N_2012!$B$60,$AW52,SUMIF($B$10:$B$16,"NCAP_TLIFE",$AX$10:$AX$16)),0,""))</f>
        <v/>
      </c>
      <c r="AF52" s="369" t="str">
        <f ca="1">IF($B52&lt;&gt;"PRC_RESID","",IF(AF$7=2005+OFFSET(COM_N_2012!$B$60,$AW52,SUMIF($B$10:$B$16,"NCAP_TLIFE",$AX$10:$AX$16)),0,""))</f>
        <v/>
      </c>
      <c r="AG52" s="369" t="str">
        <f ca="1">IF($B52&lt;&gt;"PRC_RESID","",IF(AG$7=2005+OFFSET(COM_N_2012!$B$60,$AW52,SUMIF($B$10:$B$16,"NCAP_TLIFE",$AX$10:$AX$16)),0,""))</f>
        <v/>
      </c>
      <c r="AH52" s="369" t="str">
        <f ca="1">IF($B52&lt;&gt;"PRC_RESID","",IF(AH$7=2005+OFFSET(COM_N_2012!$B$60,$AW52,SUMIF($B$10:$B$16,"NCAP_TLIFE",$AX$10:$AX$16)),0,""))</f>
        <v/>
      </c>
      <c r="AI52" s="369" t="str">
        <f ca="1">IF($B52&lt;&gt;"PRC_RESID","",IF(AI$7=2005+OFFSET(COM_N_2012!$B$60,$AW52,SUMIF($B$10:$B$16,"NCAP_TLIFE",$AX$10:$AX$16)),0,""))</f>
        <v/>
      </c>
      <c r="AJ52" s="369" t="str">
        <f ca="1">IF($B52&lt;&gt;"PRC_RESID","",IF(AJ$7=2005+OFFSET(COM_N_2012!$B$60,$AW52,SUMIF($B$10:$B$16,"NCAP_TLIFE",$AX$10:$AX$16)),0,""))</f>
        <v/>
      </c>
      <c r="AK52" s="369" t="str">
        <f ca="1">IF($B52&lt;&gt;"PRC_RESID","",IF(AK$7=2005+OFFSET(COM_N_2012!$B$60,$AW52,SUMIF($B$10:$B$16,"NCAP_TLIFE",$AX$10:$AX$16)),0,""))</f>
        <v/>
      </c>
      <c r="AL52" s="369" t="str">
        <f ca="1">IF($B52&lt;&gt;"PRC_RESID","",IF(AL$7=2005+OFFSET(COM_N_2012!$B$60,$AW52,SUMIF($B$10:$B$16,"NCAP_TLIFE",$AX$10:$AX$16)),0,""))</f>
        <v/>
      </c>
      <c r="AM52" s="369" t="str">
        <f ca="1">IF($B52&lt;&gt;"PRC_RESID","",IF(AM$7=2005+OFFSET(COM_N_2012!$B$60,$AW52,SUMIF($B$10:$B$16,"NCAP_TLIFE",$AX$10:$AX$16)),0,""))</f>
        <v/>
      </c>
      <c r="AN52" s="369" t="str">
        <f ca="1">IF($B52&lt;&gt;"PRC_RESID","",IF(AN$7=2005+OFFSET(COM_N_2012!$B$60,$AW52,SUMIF($B$10:$B$16,"NCAP_TLIFE",$AX$10:$AX$16)),0,""))</f>
        <v/>
      </c>
      <c r="AO52" s="369" t="str">
        <f ca="1">IF($B52&lt;&gt;"PRC_RESID","",IF(AO$7=2005+OFFSET(COM_N_2012!$B$60,$AW52,SUMIF($B$10:$B$16,"NCAP_TLIFE",$AX$10:$AX$16)),0,""))</f>
        <v/>
      </c>
      <c r="AP52" s="369" t="str">
        <f ca="1">IF($B52&lt;&gt;"PRC_RESID","",IF(AP$7=2005+OFFSET(COM_N_2012!$B$60,$AW52,SUMIF($B$10:$B$16,"NCAP_TLIFE",$AX$10:$AX$16)),0,""))</f>
        <v/>
      </c>
      <c r="AQ52" s="369" t="str">
        <f ca="1">IF($B52&lt;&gt;"PRC_RESID","",IF(AQ$7=2005+OFFSET(COM_N_2012!$B$60,$AW52,SUMIF($B$10:$B$16,"NCAP_TLIFE",$AX$10:$AX$16)),0,""))</f>
        <v/>
      </c>
      <c r="AR52" s="369" t="str">
        <f ca="1">IF($B52&lt;&gt;"PRC_RESID","",IF(AR$7=2005+OFFSET(COM_N_2012!$B$60,$AW52,SUMIF($B$10:$B$16,"NCAP_TLIFE",$AX$10:$AX$16)),0,""))</f>
        <v/>
      </c>
      <c r="AS52" s="369" t="str">
        <f ca="1">IF($B52&lt;&gt;"PRC_RESID","",IF(AS$7=2005+OFFSET(COM_N_2012!$B$60,$AW52,SUMIF($B$10:$B$16,"NCAP_TLIFE",$AX$10:$AX$16)),0,""))</f>
        <v/>
      </c>
      <c r="AT52" s="369" t="str">
        <f ca="1">IF($B52&lt;&gt;"PRC_RESID","",IF(AT$7=2005+OFFSET(COM_N_2012!$B$60,$AW52,SUMIF($B$10:$B$16,"NCAP_TLIFE",$AX$10:$AX$16)),0,""))</f>
        <v/>
      </c>
      <c r="AU52" s="369" t="str">
        <f ca="1">IF($B52&lt;&gt;"PRC_RESID","",IF(AU$7=2005+OFFSET(COM_N_2012!$B$60,$AW52,SUMIF($B$10:$B$16,"NCAP_TLIFE",$AX$10:$AX$16)),0,""))</f>
        <v/>
      </c>
      <c r="AV52" s="304">
        <f>IF(AW51=COM_N_2012!$AK$121,AV51+1,AV51)</f>
        <v>1</v>
      </c>
      <c r="AW52" s="304">
        <f t="shared" si="4"/>
        <v>35</v>
      </c>
    </row>
    <row r="53" spans="1:49">
      <c r="A53" s="304" t="str">
        <f ca="1">IF(LEFT(OFFSET(COM_N_2012!$A$60,AW53,0),2)="\I","*","")</f>
        <v/>
      </c>
      <c r="B53" s="369" t="str">
        <f t="shared" ca="1" si="2"/>
        <v>ACT_EFF</v>
      </c>
      <c r="C53" s="369" t="str">
        <f ca="1">IF($A53="*","",OFFSET(COM_N_2012!$B$60,AW53,0))</f>
        <v>CNWGAS-E</v>
      </c>
      <c r="D53" s="369" t="str">
        <f t="shared" ca="1" si="7"/>
        <v>-</v>
      </c>
      <c r="E53" s="369" t="str">
        <f t="shared" ca="1" si="7"/>
        <v>ACTGRP</v>
      </c>
      <c r="F53" s="369" t="str">
        <f t="shared" ca="1" si="7"/>
        <v>-</v>
      </c>
      <c r="G53" s="369" t="str">
        <f t="shared" ca="1" si="7"/>
        <v>ANNUAL</v>
      </c>
      <c r="H53" s="369" t="str">
        <f t="shared" ca="1" si="7"/>
        <v>-</v>
      </c>
      <c r="I53" s="370">
        <f t="shared" ca="1" si="7"/>
        <v>0</v>
      </c>
      <c r="J53" s="391">
        <f ca="1">IF($A53="*","",OFFSET(COM_N_2012!$B$60,AW53,SUMIF($B$10:$B$16,B53,$AX$10:$AX$16)))</f>
        <v>0.75</v>
      </c>
      <c r="K53" s="369" t="str">
        <f ca="1">IF($B53&lt;&gt;"PRC_RESID","",IF(K$7=2005+OFFSET(COM_N_2012!$B$60,$AW53,SUMIF($B$10:$B$16,"NCAP_TLIFE",$AX$10:$AX$16)),0,""))</f>
        <v/>
      </c>
      <c r="L53" s="369" t="str">
        <f ca="1">IF($B53&lt;&gt;"PRC_RESID","",IF(L$7=2005+OFFSET(COM_N_2012!$B$60,$AW53,SUMIF($B$10:$B$16,"NCAP_TLIFE",$AX$10:$AX$16)),0,""))</f>
        <v/>
      </c>
      <c r="M53" s="369" t="str">
        <f ca="1">IF($B53&lt;&gt;"PRC_RESID","",IF(M$7=2005+OFFSET(COM_N_2012!$B$60,$AW53,SUMIF($B$10:$B$16,"NCAP_TLIFE",$AX$10:$AX$16)),0,""))</f>
        <v/>
      </c>
      <c r="N53" s="369" t="str">
        <f ca="1">IF($B53&lt;&gt;"PRC_RESID","",IF(N$7=2005+OFFSET(COM_N_2012!$B$60,$AW53,SUMIF($B$10:$B$16,"NCAP_TLIFE",$AX$10:$AX$16)),0,""))</f>
        <v/>
      </c>
      <c r="O53" s="369" t="str">
        <f ca="1">IF($B53&lt;&gt;"PRC_RESID","",IF(O$7=2005+OFFSET(COM_N_2012!$B$60,$AW53,SUMIF($B$10:$B$16,"NCAP_TLIFE",$AX$10:$AX$16)),0,""))</f>
        <v/>
      </c>
      <c r="P53" s="369" t="str">
        <f ca="1">IF($B53&lt;&gt;"PRC_RESID","",IF(P$7=2005+OFFSET(COM_N_2012!$B$60,$AW53,SUMIF($B$10:$B$16,"NCAP_TLIFE",$AX$10:$AX$16)),0,""))</f>
        <v/>
      </c>
      <c r="Q53" s="369" t="str">
        <f ca="1">IF($B53&lt;&gt;"PRC_RESID","",IF(Q$7=2005+OFFSET(COM_N_2012!$B$60,$AW53,SUMIF($B$10:$B$16,"NCAP_TLIFE",$AX$10:$AX$16)),0,""))</f>
        <v/>
      </c>
      <c r="R53" s="369" t="str">
        <f ca="1">IF($B53&lt;&gt;"PRC_RESID","",IF(R$7=2005+OFFSET(COM_N_2012!$B$60,$AW53,SUMIF($B$10:$B$16,"NCAP_TLIFE",$AX$10:$AX$16)),0,""))</f>
        <v/>
      </c>
      <c r="S53" s="369" t="str">
        <f ca="1">IF($B53&lt;&gt;"PRC_RESID","",IF(S$7=2005+OFFSET(COM_N_2012!$B$60,$AW53,SUMIF($B$10:$B$16,"NCAP_TLIFE",$AX$10:$AX$16)),0,""))</f>
        <v/>
      </c>
      <c r="T53" s="369" t="str">
        <f ca="1">IF($B53&lt;&gt;"PRC_RESID","",IF(T$7=2005+OFFSET(COM_N_2012!$B$60,$AW53,SUMIF($B$10:$B$16,"NCAP_TLIFE",$AX$10:$AX$16)),0,""))</f>
        <v/>
      </c>
      <c r="U53" s="369" t="str">
        <f ca="1">IF($B53&lt;&gt;"PRC_RESID","",IF(U$7=2005+OFFSET(COM_N_2012!$B$60,$AW53,SUMIF($B$10:$B$16,"NCAP_TLIFE",$AX$10:$AX$16)),0,""))</f>
        <v/>
      </c>
      <c r="V53" s="369" t="str">
        <f ca="1">IF($B53&lt;&gt;"PRC_RESID","",IF(V$7=2005+OFFSET(COM_N_2012!$B$60,$AW53,SUMIF($B$10:$B$16,"NCAP_TLIFE",$AX$10:$AX$16)),0,""))</f>
        <v/>
      </c>
      <c r="W53" s="369" t="str">
        <f ca="1">IF($B53&lt;&gt;"PRC_RESID","",IF(W$7=2005+OFFSET(COM_N_2012!$B$60,$AW53,SUMIF($B$10:$B$16,"NCAP_TLIFE",$AX$10:$AX$16)),0,""))</f>
        <v/>
      </c>
      <c r="X53" s="369" t="str">
        <f ca="1">IF($B53&lt;&gt;"PRC_RESID","",IF(X$7=2005+OFFSET(COM_N_2012!$B$60,$AW53,SUMIF($B$10:$B$16,"NCAP_TLIFE",$AX$10:$AX$16)),0,""))</f>
        <v/>
      </c>
      <c r="Y53" s="369" t="str">
        <f ca="1">IF($B53&lt;&gt;"PRC_RESID","",IF(Y$7=2005+OFFSET(COM_N_2012!$B$60,$AW53,SUMIF($B$10:$B$16,"NCAP_TLIFE",$AX$10:$AX$16)),0,""))</f>
        <v/>
      </c>
      <c r="Z53" s="369" t="str">
        <f ca="1">IF($B53&lt;&gt;"PRC_RESID","",IF(Z$7=2005+OFFSET(COM_N_2012!$B$60,$AW53,SUMIF($B$10:$B$16,"NCAP_TLIFE",$AX$10:$AX$16)),0,""))</f>
        <v/>
      </c>
      <c r="AA53" s="369" t="str">
        <f ca="1">IF($B53&lt;&gt;"PRC_RESID","",IF(AA$7=2005+OFFSET(COM_N_2012!$B$60,$AW53,SUMIF($B$10:$B$16,"NCAP_TLIFE",$AX$10:$AX$16)),0,""))</f>
        <v/>
      </c>
      <c r="AB53" s="369" t="str">
        <f ca="1">IF($B53&lt;&gt;"PRC_RESID","",IF(AB$7=2005+OFFSET(COM_N_2012!$B$60,$AW53,SUMIF($B$10:$B$16,"NCAP_TLIFE",$AX$10:$AX$16)),0,""))</f>
        <v/>
      </c>
      <c r="AC53" s="369" t="str">
        <f ca="1">IF($B53&lt;&gt;"PRC_RESID","",IF(AC$7=2005+OFFSET(COM_N_2012!$B$60,$AW53,SUMIF($B$10:$B$16,"NCAP_TLIFE",$AX$10:$AX$16)),0,""))</f>
        <v/>
      </c>
      <c r="AD53" s="369" t="str">
        <f ca="1">IF($B53&lt;&gt;"PRC_RESID","",IF(AD$7=2005+OFFSET(COM_N_2012!$B$60,$AW53,SUMIF($B$10:$B$16,"NCAP_TLIFE",$AX$10:$AX$16)),0,""))</f>
        <v/>
      </c>
      <c r="AE53" s="369" t="str">
        <f ca="1">IF($B53&lt;&gt;"PRC_RESID","",IF(AE$7=2005+OFFSET(COM_N_2012!$B$60,$AW53,SUMIF($B$10:$B$16,"NCAP_TLIFE",$AX$10:$AX$16)),0,""))</f>
        <v/>
      </c>
      <c r="AF53" s="369" t="str">
        <f ca="1">IF($B53&lt;&gt;"PRC_RESID","",IF(AF$7=2005+OFFSET(COM_N_2012!$B$60,$AW53,SUMIF($B$10:$B$16,"NCAP_TLIFE",$AX$10:$AX$16)),0,""))</f>
        <v/>
      </c>
      <c r="AG53" s="369" t="str">
        <f ca="1">IF($B53&lt;&gt;"PRC_RESID","",IF(AG$7=2005+OFFSET(COM_N_2012!$B$60,$AW53,SUMIF($B$10:$B$16,"NCAP_TLIFE",$AX$10:$AX$16)),0,""))</f>
        <v/>
      </c>
      <c r="AH53" s="369" t="str">
        <f ca="1">IF($B53&lt;&gt;"PRC_RESID","",IF(AH$7=2005+OFFSET(COM_N_2012!$B$60,$AW53,SUMIF($B$10:$B$16,"NCAP_TLIFE",$AX$10:$AX$16)),0,""))</f>
        <v/>
      </c>
      <c r="AI53" s="369" t="str">
        <f ca="1">IF($B53&lt;&gt;"PRC_RESID","",IF(AI$7=2005+OFFSET(COM_N_2012!$B$60,$AW53,SUMIF($B$10:$B$16,"NCAP_TLIFE",$AX$10:$AX$16)),0,""))</f>
        <v/>
      </c>
      <c r="AJ53" s="369" t="str">
        <f ca="1">IF($B53&lt;&gt;"PRC_RESID","",IF(AJ$7=2005+OFFSET(COM_N_2012!$B$60,$AW53,SUMIF($B$10:$B$16,"NCAP_TLIFE",$AX$10:$AX$16)),0,""))</f>
        <v/>
      </c>
      <c r="AK53" s="369" t="str">
        <f ca="1">IF($B53&lt;&gt;"PRC_RESID","",IF(AK$7=2005+OFFSET(COM_N_2012!$B$60,$AW53,SUMIF($B$10:$B$16,"NCAP_TLIFE",$AX$10:$AX$16)),0,""))</f>
        <v/>
      </c>
      <c r="AL53" s="369" t="str">
        <f ca="1">IF($B53&lt;&gt;"PRC_RESID","",IF(AL$7=2005+OFFSET(COM_N_2012!$B$60,$AW53,SUMIF($B$10:$B$16,"NCAP_TLIFE",$AX$10:$AX$16)),0,""))</f>
        <v/>
      </c>
      <c r="AM53" s="369" t="str">
        <f ca="1">IF($B53&lt;&gt;"PRC_RESID","",IF(AM$7=2005+OFFSET(COM_N_2012!$B$60,$AW53,SUMIF($B$10:$B$16,"NCAP_TLIFE",$AX$10:$AX$16)),0,""))</f>
        <v/>
      </c>
      <c r="AN53" s="369" t="str">
        <f ca="1">IF($B53&lt;&gt;"PRC_RESID","",IF(AN$7=2005+OFFSET(COM_N_2012!$B$60,$AW53,SUMIF($B$10:$B$16,"NCAP_TLIFE",$AX$10:$AX$16)),0,""))</f>
        <v/>
      </c>
      <c r="AO53" s="369" t="str">
        <f ca="1">IF($B53&lt;&gt;"PRC_RESID","",IF(AO$7=2005+OFFSET(COM_N_2012!$B$60,$AW53,SUMIF($B$10:$B$16,"NCAP_TLIFE",$AX$10:$AX$16)),0,""))</f>
        <v/>
      </c>
      <c r="AP53" s="369" t="str">
        <f ca="1">IF($B53&lt;&gt;"PRC_RESID","",IF(AP$7=2005+OFFSET(COM_N_2012!$B$60,$AW53,SUMIF($B$10:$B$16,"NCAP_TLIFE",$AX$10:$AX$16)),0,""))</f>
        <v/>
      </c>
      <c r="AQ53" s="369" t="str">
        <f ca="1">IF($B53&lt;&gt;"PRC_RESID","",IF(AQ$7=2005+OFFSET(COM_N_2012!$B$60,$AW53,SUMIF($B$10:$B$16,"NCAP_TLIFE",$AX$10:$AX$16)),0,""))</f>
        <v/>
      </c>
      <c r="AR53" s="369" t="str">
        <f ca="1">IF($B53&lt;&gt;"PRC_RESID","",IF(AR$7=2005+OFFSET(COM_N_2012!$B$60,$AW53,SUMIF($B$10:$B$16,"NCAP_TLIFE",$AX$10:$AX$16)),0,""))</f>
        <v/>
      </c>
      <c r="AS53" s="369" t="str">
        <f ca="1">IF($B53&lt;&gt;"PRC_RESID","",IF(AS$7=2005+OFFSET(COM_N_2012!$B$60,$AW53,SUMIF($B$10:$B$16,"NCAP_TLIFE",$AX$10:$AX$16)),0,""))</f>
        <v/>
      </c>
      <c r="AT53" s="369" t="str">
        <f ca="1">IF($B53&lt;&gt;"PRC_RESID","",IF(AT$7=2005+OFFSET(COM_N_2012!$B$60,$AW53,SUMIF($B$10:$B$16,"NCAP_TLIFE",$AX$10:$AX$16)),0,""))</f>
        <v/>
      </c>
      <c r="AU53" s="369" t="str">
        <f ca="1">IF($B53&lt;&gt;"PRC_RESID","",IF(AU$7=2005+OFFSET(COM_N_2012!$B$60,$AW53,SUMIF($B$10:$B$16,"NCAP_TLIFE",$AX$10:$AX$16)),0,""))</f>
        <v/>
      </c>
      <c r="AV53" s="304">
        <f>IF(AW52=COM_N_2012!$AK$121,AV52+1,AV52)</f>
        <v>1</v>
      </c>
      <c r="AW53" s="304">
        <f t="shared" si="4"/>
        <v>36</v>
      </c>
    </row>
    <row r="54" spans="1:49">
      <c r="A54" s="304" t="str">
        <f ca="1">IF(LEFT(OFFSET(COM_N_2012!$A$60,AW54,0),2)="\I","*","")</f>
        <v/>
      </c>
      <c r="B54" s="369" t="str">
        <f t="shared" ca="1" si="2"/>
        <v>ACT_EFF</v>
      </c>
      <c r="C54" s="369" t="str">
        <f ca="1">IF($A54="*","",OFFSET(COM_N_2012!$B$60,AW54,0))</f>
        <v>CNWOKE-E</v>
      </c>
      <c r="D54" s="369" t="str">
        <f t="shared" ca="1" si="7"/>
        <v>-</v>
      </c>
      <c r="E54" s="369" t="str">
        <f t="shared" ca="1" si="7"/>
        <v>ACTGRP</v>
      </c>
      <c r="F54" s="369" t="str">
        <f t="shared" ca="1" si="7"/>
        <v>-</v>
      </c>
      <c r="G54" s="369" t="str">
        <f t="shared" ca="1" si="7"/>
        <v>ANNUAL</v>
      </c>
      <c r="H54" s="369" t="str">
        <f t="shared" ca="1" si="7"/>
        <v>-</v>
      </c>
      <c r="I54" s="370">
        <f t="shared" ca="1" si="7"/>
        <v>0</v>
      </c>
      <c r="J54" s="391">
        <f ca="1">IF($A54="*","",OFFSET(COM_N_2012!$B$60,AW54,SUMIF($B$10:$B$16,B54,$AX$10:$AX$16)))</f>
        <v>0.7</v>
      </c>
      <c r="K54" s="369" t="str">
        <f ca="1">IF($B54&lt;&gt;"PRC_RESID","",IF(K$7=2005+OFFSET(COM_N_2012!$B$60,$AW54,SUMIF($B$10:$B$16,"NCAP_TLIFE",$AX$10:$AX$16)),0,""))</f>
        <v/>
      </c>
      <c r="L54" s="369" t="str">
        <f ca="1">IF($B54&lt;&gt;"PRC_RESID","",IF(L$7=2005+OFFSET(COM_N_2012!$B$60,$AW54,SUMIF($B$10:$B$16,"NCAP_TLIFE",$AX$10:$AX$16)),0,""))</f>
        <v/>
      </c>
      <c r="M54" s="369" t="str">
        <f ca="1">IF($B54&lt;&gt;"PRC_RESID","",IF(M$7=2005+OFFSET(COM_N_2012!$B$60,$AW54,SUMIF($B$10:$B$16,"NCAP_TLIFE",$AX$10:$AX$16)),0,""))</f>
        <v/>
      </c>
      <c r="N54" s="369" t="str">
        <f ca="1">IF($B54&lt;&gt;"PRC_RESID","",IF(N$7=2005+OFFSET(COM_N_2012!$B$60,$AW54,SUMIF($B$10:$B$16,"NCAP_TLIFE",$AX$10:$AX$16)),0,""))</f>
        <v/>
      </c>
      <c r="O54" s="369" t="str">
        <f ca="1">IF($B54&lt;&gt;"PRC_RESID","",IF(O$7=2005+OFFSET(COM_N_2012!$B$60,$AW54,SUMIF($B$10:$B$16,"NCAP_TLIFE",$AX$10:$AX$16)),0,""))</f>
        <v/>
      </c>
      <c r="P54" s="369" t="str">
        <f ca="1">IF($B54&lt;&gt;"PRC_RESID","",IF(P$7=2005+OFFSET(COM_N_2012!$B$60,$AW54,SUMIF($B$10:$B$16,"NCAP_TLIFE",$AX$10:$AX$16)),0,""))</f>
        <v/>
      </c>
      <c r="Q54" s="369" t="str">
        <f ca="1">IF($B54&lt;&gt;"PRC_RESID","",IF(Q$7=2005+OFFSET(COM_N_2012!$B$60,$AW54,SUMIF($B$10:$B$16,"NCAP_TLIFE",$AX$10:$AX$16)),0,""))</f>
        <v/>
      </c>
      <c r="R54" s="369" t="str">
        <f ca="1">IF($B54&lt;&gt;"PRC_RESID","",IF(R$7=2005+OFFSET(COM_N_2012!$B$60,$AW54,SUMIF($B$10:$B$16,"NCAP_TLIFE",$AX$10:$AX$16)),0,""))</f>
        <v/>
      </c>
      <c r="S54" s="369" t="str">
        <f ca="1">IF($B54&lt;&gt;"PRC_RESID","",IF(S$7=2005+OFFSET(COM_N_2012!$B$60,$AW54,SUMIF($B$10:$B$16,"NCAP_TLIFE",$AX$10:$AX$16)),0,""))</f>
        <v/>
      </c>
      <c r="T54" s="369" t="str">
        <f ca="1">IF($B54&lt;&gt;"PRC_RESID","",IF(T$7=2005+OFFSET(COM_N_2012!$B$60,$AW54,SUMIF($B$10:$B$16,"NCAP_TLIFE",$AX$10:$AX$16)),0,""))</f>
        <v/>
      </c>
      <c r="U54" s="369" t="str">
        <f ca="1">IF($B54&lt;&gt;"PRC_RESID","",IF(U$7=2005+OFFSET(COM_N_2012!$B$60,$AW54,SUMIF($B$10:$B$16,"NCAP_TLIFE",$AX$10:$AX$16)),0,""))</f>
        <v/>
      </c>
      <c r="V54" s="369" t="str">
        <f ca="1">IF($B54&lt;&gt;"PRC_RESID","",IF(V$7=2005+OFFSET(COM_N_2012!$B$60,$AW54,SUMIF($B$10:$B$16,"NCAP_TLIFE",$AX$10:$AX$16)),0,""))</f>
        <v/>
      </c>
      <c r="W54" s="369" t="str">
        <f ca="1">IF($B54&lt;&gt;"PRC_RESID","",IF(W$7=2005+OFFSET(COM_N_2012!$B$60,$AW54,SUMIF($B$10:$B$16,"NCAP_TLIFE",$AX$10:$AX$16)),0,""))</f>
        <v/>
      </c>
      <c r="X54" s="369" t="str">
        <f ca="1">IF($B54&lt;&gt;"PRC_RESID","",IF(X$7=2005+OFFSET(COM_N_2012!$B$60,$AW54,SUMIF($B$10:$B$16,"NCAP_TLIFE",$AX$10:$AX$16)),0,""))</f>
        <v/>
      </c>
      <c r="Y54" s="369" t="str">
        <f ca="1">IF($B54&lt;&gt;"PRC_RESID","",IF(Y$7=2005+OFFSET(COM_N_2012!$B$60,$AW54,SUMIF($B$10:$B$16,"NCAP_TLIFE",$AX$10:$AX$16)),0,""))</f>
        <v/>
      </c>
      <c r="Z54" s="369" t="str">
        <f ca="1">IF($B54&lt;&gt;"PRC_RESID","",IF(Z$7=2005+OFFSET(COM_N_2012!$B$60,$AW54,SUMIF($B$10:$B$16,"NCAP_TLIFE",$AX$10:$AX$16)),0,""))</f>
        <v/>
      </c>
      <c r="AA54" s="369" t="str">
        <f ca="1">IF($B54&lt;&gt;"PRC_RESID","",IF(AA$7=2005+OFFSET(COM_N_2012!$B$60,$AW54,SUMIF($B$10:$B$16,"NCAP_TLIFE",$AX$10:$AX$16)),0,""))</f>
        <v/>
      </c>
      <c r="AB54" s="369" t="str">
        <f ca="1">IF($B54&lt;&gt;"PRC_RESID","",IF(AB$7=2005+OFFSET(COM_N_2012!$B$60,$AW54,SUMIF($B$10:$B$16,"NCAP_TLIFE",$AX$10:$AX$16)),0,""))</f>
        <v/>
      </c>
      <c r="AC54" s="369" t="str">
        <f ca="1">IF($B54&lt;&gt;"PRC_RESID","",IF(AC$7=2005+OFFSET(COM_N_2012!$B$60,$AW54,SUMIF($B$10:$B$16,"NCAP_TLIFE",$AX$10:$AX$16)),0,""))</f>
        <v/>
      </c>
      <c r="AD54" s="369" t="str">
        <f ca="1">IF($B54&lt;&gt;"PRC_RESID","",IF(AD$7=2005+OFFSET(COM_N_2012!$B$60,$AW54,SUMIF($B$10:$B$16,"NCAP_TLIFE",$AX$10:$AX$16)),0,""))</f>
        <v/>
      </c>
      <c r="AE54" s="369" t="str">
        <f ca="1">IF($B54&lt;&gt;"PRC_RESID","",IF(AE$7=2005+OFFSET(COM_N_2012!$B$60,$AW54,SUMIF($B$10:$B$16,"NCAP_TLIFE",$AX$10:$AX$16)),0,""))</f>
        <v/>
      </c>
      <c r="AF54" s="369" t="str">
        <f ca="1">IF($B54&lt;&gt;"PRC_RESID","",IF(AF$7=2005+OFFSET(COM_N_2012!$B$60,$AW54,SUMIF($B$10:$B$16,"NCAP_TLIFE",$AX$10:$AX$16)),0,""))</f>
        <v/>
      </c>
      <c r="AG54" s="369" t="str">
        <f ca="1">IF($B54&lt;&gt;"PRC_RESID","",IF(AG$7=2005+OFFSET(COM_N_2012!$B$60,$AW54,SUMIF($B$10:$B$16,"NCAP_TLIFE",$AX$10:$AX$16)),0,""))</f>
        <v/>
      </c>
      <c r="AH54" s="369" t="str">
        <f ca="1">IF($B54&lt;&gt;"PRC_RESID","",IF(AH$7=2005+OFFSET(COM_N_2012!$B$60,$AW54,SUMIF($B$10:$B$16,"NCAP_TLIFE",$AX$10:$AX$16)),0,""))</f>
        <v/>
      </c>
      <c r="AI54" s="369" t="str">
        <f ca="1">IF($B54&lt;&gt;"PRC_RESID","",IF(AI$7=2005+OFFSET(COM_N_2012!$B$60,$AW54,SUMIF($B$10:$B$16,"NCAP_TLIFE",$AX$10:$AX$16)),0,""))</f>
        <v/>
      </c>
      <c r="AJ54" s="369" t="str">
        <f ca="1">IF($B54&lt;&gt;"PRC_RESID","",IF(AJ$7=2005+OFFSET(COM_N_2012!$B$60,$AW54,SUMIF($B$10:$B$16,"NCAP_TLIFE",$AX$10:$AX$16)),0,""))</f>
        <v/>
      </c>
      <c r="AK54" s="369" t="str">
        <f ca="1">IF($B54&lt;&gt;"PRC_RESID","",IF(AK$7=2005+OFFSET(COM_N_2012!$B$60,$AW54,SUMIF($B$10:$B$16,"NCAP_TLIFE",$AX$10:$AX$16)),0,""))</f>
        <v/>
      </c>
      <c r="AL54" s="369" t="str">
        <f ca="1">IF($B54&lt;&gt;"PRC_RESID","",IF(AL$7=2005+OFFSET(COM_N_2012!$B$60,$AW54,SUMIF($B$10:$B$16,"NCAP_TLIFE",$AX$10:$AX$16)),0,""))</f>
        <v/>
      </c>
      <c r="AM54" s="369" t="str">
        <f ca="1">IF($B54&lt;&gt;"PRC_RESID","",IF(AM$7=2005+OFFSET(COM_N_2012!$B$60,$AW54,SUMIF($B$10:$B$16,"NCAP_TLIFE",$AX$10:$AX$16)),0,""))</f>
        <v/>
      </c>
      <c r="AN54" s="369" t="str">
        <f ca="1">IF($B54&lt;&gt;"PRC_RESID","",IF(AN$7=2005+OFFSET(COM_N_2012!$B$60,$AW54,SUMIF($B$10:$B$16,"NCAP_TLIFE",$AX$10:$AX$16)),0,""))</f>
        <v/>
      </c>
      <c r="AO54" s="369" t="str">
        <f ca="1">IF($B54&lt;&gt;"PRC_RESID","",IF(AO$7=2005+OFFSET(COM_N_2012!$B$60,$AW54,SUMIF($B$10:$B$16,"NCAP_TLIFE",$AX$10:$AX$16)),0,""))</f>
        <v/>
      </c>
      <c r="AP54" s="369" t="str">
        <f ca="1">IF($B54&lt;&gt;"PRC_RESID","",IF(AP$7=2005+OFFSET(COM_N_2012!$B$60,$AW54,SUMIF($B$10:$B$16,"NCAP_TLIFE",$AX$10:$AX$16)),0,""))</f>
        <v/>
      </c>
      <c r="AQ54" s="369" t="str">
        <f ca="1">IF($B54&lt;&gt;"PRC_RESID","",IF(AQ$7=2005+OFFSET(COM_N_2012!$B$60,$AW54,SUMIF($B$10:$B$16,"NCAP_TLIFE",$AX$10:$AX$16)),0,""))</f>
        <v/>
      </c>
      <c r="AR54" s="369" t="str">
        <f ca="1">IF($B54&lt;&gt;"PRC_RESID","",IF(AR$7=2005+OFFSET(COM_N_2012!$B$60,$AW54,SUMIF($B$10:$B$16,"NCAP_TLIFE",$AX$10:$AX$16)),0,""))</f>
        <v/>
      </c>
      <c r="AS54" s="369" t="str">
        <f ca="1">IF($B54&lt;&gt;"PRC_RESID","",IF(AS$7=2005+OFFSET(COM_N_2012!$B$60,$AW54,SUMIF($B$10:$B$16,"NCAP_TLIFE",$AX$10:$AX$16)),0,""))</f>
        <v/>
      </c>
      <c r="AT54" s="369" t="str">
        <f ca="1">IF($B54&lt;&gt;"PRC_RESID","",IF(AT$7=2005+OFFSET(COM_N_2012!$B$60,$AW54,SUMIF($B$10:$B$16,"NCAP_TLIFE",$AX$10:$AX$16)),0,""))</f>
        <v/>
      </c>
      <c r="AU54" s="369" t="str">
        <f ca="1">IF($B54&lt;&gt;"PRC_RESID","",IF(AU$7=2005+OFFSET(COM_N_2012!$B$60,$AW54,SUMIF($B$10:$B$16,"NCAP_TLIFE",$AX$10:$AX$16)),0,""))</f>
        <v/>
      </c>
      <c r="AV54" s="304">
        <f>IF(AW53=COM_N_2012!$AK$121,AV53+1,AV53)</f>
        <v>1</v>
      </c>
      <c r="AW54" s="304">
        <f t="shared" si="4"/>
        <v>37</v>
      </c>
    </row>
    <row r="55" spans="1:49">
      <c r="A55" s="304" t="str">
        <f ca="1">IF(LEFT(OFFSET(COM_N_2012!$A$60,AW55,0),2)="\I","*","")</f>
        <v/>
      </c>
      <c r="B55" s="369" t="str">
        <f t="shared" ca="1" si="2"/>
        <v>ACT_EFF</v>
      </c>
      <c r="C55" s="369" t="str">
        <f ca="1">IF($A55="*","",OFFSET(COM_N_2012!$B$60,AW55,0))</f>
        <v>CNWELC-N</v>
      </c>
      <c r="D55" s="369" t="str">
        <f t="shared" ca="1" si="7"/>
        <v>-</v>
      </c>
      <c r="E55" s="369" t="str">
        <f t="shared" ca="1" si="7"/>
        <v>ACTGRP</v>
      </c>
      <c r="F55" s="369" t="str">
        <f t="shared" ca="1" si="7"/>
        <v>-</v>
      </c>
      <c r="G55" s="369" t="str">
        <f t="shared" ca="1" si="7"/>
        <v>ANNUAL</v>
      </c>
      <c r="H55" s="369" t="str">
        <f t="shared" ca="1" si="7"/>
        <v>-</v>
      </c>
      <c r="I55" s="370">
        <f t="shared" ca="1" si="7"/>
        <v>0</v>
      </c>
      <c r="J55" s="391">
        <f ca="1">IF($A55="*","",OFFSET(COM_N_2012!$B$60,AW55,SUMIF($B$10:$B$16,B55,$AX$10:$AX$16)))</f>
        <v>1.0104166666666667</v>
      </c>
      <c r="K55" s="369" t="str">
        <f ca="1">IF($B55&lt;&gt;"PRC_RESID","",IF(K$7=2005+OFFSET(COM_N_2012!$B$60,$AW55,SUMIF($B$10:$B$16,"NCAP_TLIFE",$AX$10:$AX$16)),0,""))</f>
        <v/>
      </c>
      <c r="L55" s="369" t="str">
        <f ca="1">IF($B55&lt;&gt;"PRC_RESID","",IF(L$7=2005+OFFSET(COM_N_2012!$B$60,$AW55,SUMIF($B$10:$B$16,"NCAP_TLIFE",$AX$10:$AX$16)),0,""))</f>
        <v/>
      </c>
      <c r="M55" s="369" t="str">
        <f ca="1">IF($B55&lt;&gt;"PRC_RESID","",IF(M$7=2005+OFFSET(COM_N_2012!$B$60,$AW55,SUMIF($B$10:$B$16,"NCAP_TLIFE",$AX$10:$AX$16)),0,""))</f>
        <v/>
      </c>
      <c r="N55" s="369" t="str">
        <f ca="1">IF($B55&lt;&gt;"PRC_RESID","",IF(N$7=2005+OFFSET(COM_N_2012!$B$60,$AW55,SUMIF($B$10:$B$16,"NCAP_TLIFE",$AX$10:$AX$16)),0,""))</f>
        <v/>
      </c>
      <c r="O55" s="369" t="str">
        <f ca="1">IF($B55&lt;&gt;"PRC_RESID","",IF(O$7=2005+OFFSET(COM_N_2012!$B$60,$AW55,SUMIF($B$10:$B$16,"NCAP_TLIFE",$AX$10:$AX$16)),0,""))</f>
        <v/>
      </c>
      <c r="P55" s="369" t="str">
        <f ca="1">IF($B55&lt;&gt;"PRC_RESID","",IF(P$7=2005+OFFSET(COM_N_2012!$B$60,$AW55,SUMIF($B$10:$B$16,"NCAP_TLIFE",$AX$10:$AX$16)),0,""))</f>
        <v/>
      </c>
      <c r="Q55" s="369" t="str">
        <f ca="1">IF($B55&lt;&gt;"PRC_RESID","",IF(Q$7=2005+OFFSET(COM_N_2012!$B$60,$AW55,SUMIF($B$10:$B$16,"NCAP_TLIFE",$AX$10:$AX$16)),0,""))</f>
        <v/>
      </c>
      <c r="R55" s="369" t="str">
        <f ca="1">IF($B55&lt;&gt;"PRC_RESID","",IF(R$7=2005+OFFSET(COM_N_2012!$B$60,$AW55,SUMIF($B$10:$B$16,"NCAP_TLIFE",$AX$10:$AX$16)),0,""))</f>
        <v/>
      </c>
      <c r="S55" s="369" t="str">
        <f ca="1">IF($B55&lt;&gt;"PRC_RESID","",IF(S$7=2005+OFFSET(COM_N_2012!$B$60,$AW55,SUMIF($B$10:$B$16,"NCAP_TLIFE",$AX$10:$AX$16)),0,""))</f>
        <v/>
      </c>
      <c r="T55" s="369" t="str">
        <f ca="1">IF($B55&lt;&gt;"PRC_RESID","",IF(T$7=2005+OFFSET(COM_N_2012!$B$60,$AW55,SUMIF($B$10:$B$16,"NCAP_TLIFE",$AX$10:$AX$16)),0,""))</f>
        <v/>
      </c>
      <c r="U55" s="369" t="str">
        <f ca="1">IF($B55&lt;&gt;"PRC_RESID","",IF(U$7=2005+OFFSET(COM_N_2012!$B$60,$AW55,SUMIF($B$10:$B$16,"NCAP_TLIFE",$AX$10:$AX$16)),0,""))</f>
        <v/>
      </c>
      <c r="V55" s="369" t="str">
        <f ca="1">IF($B55&lt;&gt;"PRC_RESID","",IF(V$7=2005+OFFSET(COM_N_2012!$B$60,$AW55,SUMIF($B$10:$B$16,"NCAP_TLIFE",$AX$10:$AX$16)),0,""))</f>
        <v/>
      </c>
      <c r="W55" s="369" t="str">
        <f ca="1">IF($B55&lt;&gt;"PRC_RESID","",IF(W$7=2005+OFFSET(COM_N_2012!$B$60,$AW55,SUMIF($B$10:$B$16,"NCAP_TLIFE",$AX$10:$AX$16)),0,""))</f>
        <v/>
      </c>
      <c r="X55" s="369" t="str">
        <f ca="1">IF($B55&lt;&gt;"PRC_RESID","",IF(X$7=2005+OFFSET(COM_N_2012!$B$60,$AW55,SUMIF($B$10:$B$16,"NCAP_TLIFE",$AX$10:$AX$16)),0,""))</f>
        <v/>
      </c>
      <c r="Y55" s="369" t="str">
        <f ca="1">IF($B55&lt;&gt;"PRC_RESID","",IF(Y$7=2005+OFFSET(COM_N_2012!$B$60,$AW55,SUMIF($B$10:$B$16,"NCAP_TLIFE",$AX$10:$AX$16)),0,""))</f>
        <v/>
      </c>
      <c r="Z55" s="369" t="str">
        <f ca="1">IF($B55&lt;&gt;"PRC_RESID","",IF(Z$7=2005+OFFSET(COM_N_2012!$B$60,$AW55,SUMIF($B$10:$B$16,"NCAP_TLIFE",$AX$10:$AX$16)),0,""))</f>
        <v/>
      </c>
      <c r="AA55" s="369" t="str">
        <f ca="1">IF($B55&lt;&gt;"PRC_RESID","",IF(AA$7=2005+OFFSET(COM_N_2012!$B$60,$AW55,SUMIF($B$10:$B$16,"NCAP_TLIFE",$AX$10:$AX$16)),0,""))</f>
        <v/>
      </c>
      <c r="AB55" s="369" t="str">
        <f ca="1">IF($B55&lt;&gt;"PRC_RESID","",IF(AB$7=2005+OFFSET(COM_N_2012!$B$60,$AW55,SUMIF($B$10:$B$16,"NCAP_TLIFE",$AX$10:$AX$16)),0,""))</f>
        <v/>
      </c>
      <c r="AC55" s="369" t="str">
        <f ca="1">IF($B55&lt;&gt;"PRC_RESID","",IF(AC$7=2005+OFFSET(COM_N_2012!$B$60,$AW55,SUMIF($B$10:$B$16,"NCAP_TLIFE",$AX$10:$AX$16)),0,""))</f>
        <v/>
      </c>
      <c r="AD55" s="369" t="str">
        <f ca="1">IF($B55&lt;&gt;"PRC_RESID","",IF(AD$7=2005+OFFSET(COM_N_2012!$B$60,$AW55,SUMIF($B$10:$B$16,"NCAP_TLIFE",$AX$10:$AX$16)),0,""))</f>
        <v/>
      </c>
      <c r="AE55" s="369" t="str">
        <f ca="1">IF($B55&lt;&gt;"PRC_RESID","",IF(AE$7=2005+OFFSET(COM_N_2012!$B$60,$AW55,SUMIF($B$10:$B$16,"NCAP_TLIFE",$AX$10:$AX$16)),0,""))</f>
        <v/>
      </c>
      <c r="AF55" s="369" t="str">
        <f ca="1">IF($B55&lt;&gt;"PRC_RESID","",IF(AF$7=2005+OFFSET(COM_N_2012!$B$60,$AW55,SUMIF($B$10:$B$16,"NCAP_TLIFE",$AX$10:$AX$16)),0,""))</f>
        <v/>
      </c>
      <c r="AG55" s="369" t="str">
        <f ca="1">IF($B55&lt;&gt;"PRC_RESID","",IF(AG$7=2005+OFFSET(COM_N_2012!$B$60,$AW55,SUMIF($B$10:$B$16,"NCAP_TLIFE",$AX$10:$AX$16)),0,""))</f>
        <v/>
      </c>
      <c r="AH55" s="369" t="str">
        <f ca="1">IF($B55&lt;&gt;"PRC_RESID","",IF(AH$7=2005+OFFSET(COM_N_2012!$B$60,$AW55,SUMIF($B$10:$B$16,"NCAP_TLIFE",$AX$10:$AX$16)),0,""))</f>
        <v/>
      </c>
      <c r="AI55" s="369" t="str">
        <f ca="1">IF($B55&lt;&gt;"PRC_RESID","",IF(AI$7=2005+OFFSET(COM_N_2012!$B$60,$AW55,SUMIF($B$10:$B$16,"NCAP_TLIFE",$AX$10:$AX$16)),0,""))</f>
        <v/>
      </c>
      <c r="AJ55" s="369" t="str">
        <f ca="1">IF($B55&lt;&gt;"PRC_RESID","",IF(AJ$7=2005+OFFSET(COM_N_2012!$B$60,$AW55,SUMIF($B$10:$B$16,"NCAP_TLIFE",$AX$10:$AX$16)),0,""))</f>
        <v/>
      </c>
      <c r="AK55" s="369" t="str">
        <f ca="1">IF($B55&lt;&gt;"PRC_RESID","",IF(AK$7=2005+OFFSET(COM_N_2012!$B$60,$AW55,SUMIF($B$10:$B$16,"NCAP_TLIFE",$AX$10:$AX$16)),0,""))</f>
        <v/>
      </c>
      <c r="AL55" s="369" t="str">
        <f ca="1">IF($B55&lt;&gt;"PRC_RESID","",IF(AL$7=2005+OFFSET(COM_N_2012!$B$60,$AW55,SUMIF($B$10:$B$16,"NCAP_TLIFE",$AX$10:$AX$16)),0,""))</f>
        <v/>
      </c>
      <c r="AM55" s="369" t="str">
        <f ca="1">IF($B55&lt;&gt;"PRC_RESID","",IF(AM$7=2005+OFFSET(COM_N_2012!$B$60,$AW55,SUMIF($B$10:$B$16,"NCAP_TLIFE",$AX$10:$AX$16)),0,""))</f>
        <v/>
      </c>
      <c r="AN55" s="369" t="str">
        <f ca="1">IF($B55&lt;&gt;"PRC_RESID","",IF(AN$7=2005+OFFSET(COM_N_2012!$B$60,$AW55,SUMIF($B$10:$B$16,"NCAP_TLIFE",$AX$10:$AX$16)),0,""))</f>
        <v/>
      </c>
      <c r="AO55" s="369" t="str">
        <f ca="1">IF($B55&lt;&gt;"PRC_RESID","",IF(AO$7=2005+OFFSET(COM_N_2012!$B$60,$AW55,SUMIF($B$10:$B$16,"NCAP_TLIFE",$AX$10:$AX$16)),0,""))</f>
        <v/>
      </c>
      <c r="AP55" s="369" t="str">
        <f ca="1">IF($B55&lt;&gt;"PRC_RESID","",IF(AP$7=2005+OFFSET(COM_N_2012!$B$60,$AW55,SUMIF($B$10:$B$16,"NCAP_TLIFE",$AX$10:$AX$16)),0,""))</f>
        <v/>
      </c>
      <c r="AQ55" s="369" t="str">
        <f ca="1">IF($B55&lt;&gt;"PRC_RESID","",IF(AQ$7=2005+OFFSET(COM_N_2012!$B$60,$AW55,SUMIF($B$10:$B$16,"NCAP_TLIFE",$AX$10:$AX$16)),0,""))</f>
        <v/>
      </c>
      <c r="AR55" s="369" t="str">
        <f ca="1">IF($B55&lt;&gt;"PRC_RESID","",IF(AR$7=2005+OFFSET(COM_N_2012!$B$60,$AW55,SUMIF($B$10:$B$16,"NCAP_TLIFE",$AX$10:$AX$16)),0,""))</f>
        <v/>
      </c>
      <c r="AS55" s="369" t="str">
        <f ca="1">IF($B55&lt;&gt;"PRC_RESID","",IF(AS$7=2005+OFFSET(COM_N_2012!$B$60,$AW55,SUMIF($B$10:$B$16,"NCAP_TLIFE",$AX$10:$AX$16)),0,""))</f>
        <v/>
      </c>
      <c r="AT55" s="369" t="str">
        <f ca="1">IF($B55&lt;&gt;"PRC_RESID","",IF(AT$7=2005+OFFSET(COM_N_2012!$B$60,$AW55,SUMIF($B$10:$B$16,"NCAP_TLIFE",$AX$10:$AX$16)),0,""))</f>
        <v/>
      </c>
      <c r="AU55" s="369" t="str">
        <f ca="1">IF($B55&lt;&gt;"PRC_RESID","",IF(AU$7=2005+OFFSET(COM_N_2012!$B$60,$AW55,SUMIF($B$10:$B$16,"NCAP_TLIFE",$AX$10:$AX$16)),0,""))</f>
        <v/>
      </c>
      <c r="AV55" s="304">
        <f>IF(AW54=COM_N_2012!$AK$121,AV54+1,AV54)</f>
        <v>1</v>
      </c>
      <c r="AW55" s="304">
        <f t="shared" si="4"/>
        <v>38</v>
      </c>
    </row>
    <row r="56" spans="1:49">
      <c r="A56" s="304" t="str">
        <f ca="1">IF(LEFT(OFFSET(COM_N_2012!$A$60,AW56,0),2)="\I","*","")</f>
        <v/>
      </c>
      <c r="B56" s="369" t="str">
        <f t="shared" ca="1" si="2"/>
        <v>ACT_EFF</v>
      </c>
      <c r="C56" s="369" t="str">
        <f ca="1">IF($A56="*","",OFFSET(COM_N_2012!$B$60,AW56,0))</f>
        <v>CNWELCHP-N</v>
      </c>
      <c r="D56" s="369" t="str">
        <f t="shared" ca="1" si="7"/>
        <v>-</v>
      </c>
      <c r="E56" s="369" t="str">
        <f t="shared" ca="1" si="7"/>
        <v>ACTGRP</v>
      </c>
      <c r="F56" s="369" t="str">
        <f t="shared" ca="1" si="7"/>
        <v>-</v>
      </c>
      <c r="G56" s="369" t="str">
        <f t="shared" ca="1" si="7"/>
        <v>ANNUAL</v>
      </c>
      <c r="H56" s="369" t="str">
        <f t="shared" ca="1" si="7"/>
        <v>-</v>
      </c>
      <c r="I56" s="370">
        <f t="shared" ca="1" si="7"/>
        <v>0</v>
      </c>
      <c r="J56" s="391">
        <f ca="1">IF($A56="*","",OFFSET(COM_N_2012!$B$60,AW56,SUMIF($B$10:$B$16,B56,$AX$10:$AX$16)))</f>
        <v>2.2599999999999998</v>
      </c>
      <c r="K56" s="369" t="str">
        <f ca="1">IF($B56&lt;&gt;"PRC_RESID","",IF(K$7=2005+OFFSET(COM_N_2012!$B$60,$AW56,SUMIF($B$10:$B$16,"NCAP_TLIFE",$AX$10:$AX$16)),0,""))</f>
        <v/>
      </c>
      <c r="L56" s="369" t="str">
        <f ca="1">IF($B56&lt;&gt;"PRC_RESID","",IF(L$7=2005+OFFSET(COM_N_2012!$B$60,$AW56,SUMIF($B$10:$B$16,"NCAP_TLIFE",$AX$10:$AX$16)),0,""))</f>
        <v/>
      </c>
      <c r="M56" s="369" t="str">
        <f ca="1">IF($B56&lt;&gt;"PRC_RESID","",IF(M$7=2005+OFFSET(COM_N_2012!$B$60,$AW56,SUMIF($B$10:$B$16,"NCAP_TLIFE",$AX$10:$AX$16)),0,""))</f>
        <v/>
      </c>
      <c r="N56" s="369" t="str">
        <f ca="1">IF($B56&lt;&gt;"PRC_RESID","",IF(N$7=2005+OFFSET(COM_N_2012!$B$60,$AW56,SUMIF($B$10:$B$16,"NCAP_TLIFE",$AX$10:$AX$16)),0,""))</f>
        <v/>
      </c>
      <c r="O56" s="369" t="str">
        <f ca="1">IF($B56&lt;&gt;"PRC_RESID","",IF(O$7=2005+OFFSET(COM_N_2012!$B$60,$AW56,SUMIF($B$10:$B$16,"NCAP_TLIFE",$AX$10:$AX$16)),0,""))</f>
        <v/>
      </c>
      <c r="P56" s="369" t="str">
        <f ca="1">IF($B56&lt;&gt;"PRC_RESID","",IF(P$7=2005+OFFSET(COM_N_2012!$B$60,$AW56,SUMIF($B$10:$B$16,"NCAP_TLIFE",$AX$10:$AX$16)),0,""))</f>
        <v/>
      </c>
      <c r="Q56" s="369" t="str">
        <f ca="1">IF($B56&lt;&gt;"PRC_RESID","",IF(Q$7=2005+OFFSET(COM_N_2012!$B$60,$AW56,SUMIF($B$10:$B$16,"NCAP_TLIFE",$AX$10:$AX$16)),0,""))</f>
        <v/>
      </c>
      <c r="R56" s="369" t="str">
        <f ca="1">IF($B56&lt;&gt;"PRC_RESID","",IF(R$7=2005+OFFSET(COM_N_2012!$B$60,$AW56,SUMIF($B$10:$B$16,"NCAP_TLIFE",$AX$10:$AX$16)),0,""))</f>
        <v/>
      </c>
      <c r="S56" s="369" t="str">
        <f ca="1">IF($B56&lt;&gt;"PRC_RESID","",IF(S$7=2005+OFFSET(COM_N_2012!$B$60,$AW56,SUMIF($B$10:$B$16,"NCAP_TLIFE",$AX$10:$AX$16)),0,""))</f>
        <v/>
      </c>
      <c r="T56" s="369" t="str">
        <f ca="1">IF($B56&lt;&gt;"PRC_RESID","",IF(T$7=2005+OFFSET(COM_N_2012!$B$60,$AW56,SUMIF($B$10:$B$16,"NCAP_TLIFE",$AX$10:$AX$16)),0,""))</f>
        <v/>
      </c>
      <c r="U56" s="369" t="str">
        <f ca="1">IF($B56&lt;&gt;"PRC_RESID","",IF(U$7=2005+OFFSET(COM_N_2012!$B$60,$AW56,SUMIF($B$10:$B$16,"NCAP_TLIFE",$AX$10:$AX$16)),0,""))</f>
        <v/>
      </c>
      <c r="V56" s="369" t="str">
        <f ca="1">IF($B56&lt;&gt;"PRC_RESID","",IF(V$7=2005+OFFSET(COM_N_2012!$B$60,$AW56,SUMIF($B$10:$B$16,"NCAP_TLIFE",$AX$10:$AX$16)),0,""))</f>
        <v/>
      </c>
      <c r="W56" s="369" t="str">
        <f ca="1">IF($B56&lt;&gt;"PRC_RESID","",IF(W$7=2005+OFFSET(COM_N_2012!$B$60,$AW56,SUMIF($B$10:$B$16,"NCAP_TLIFE",$AX$10:$AX$16)),0,""))</f>
        <v/>
      </c>
      <c r="X56" s="369" t="str">
        <f ca="1">IF($B56&lt;&gt;"PRC_RESID","",IF(X$7=2005+OFFSET(COM_N_2012!$B$60,$AW56,SUMIF($B$10:$B$16,"NCAP_TLIFE",$AX$10:$AX$16)),0,""))</f>
        <v/>
      </c>
      <c r="Y56" s="369" t="str">
        <f ca="1">IF($B56&lt;&gt;"PRC_RESID","",IF(Y$7=2005+OFFSET(COM_N_2012!$B$60,$AW56,SUMIF($B$10:$B$16,"NCAP_TLIFE",$AX$10:$AX$16)),0,""))</f>
        <v/>
      </c>
      <c r="Z56" s="369" t="str">
        <f ca="1">IF($B56&lt;&gt;"PRC_RESID","",IF(Z$7=2005+OFFSET(COM_N_2012!$B$60,$AW56,SUMIF($B$10:$B$16,"NCAP_TLIFE",$AX$10:$AX$16)),0,""))</f>
        <v/>
      </c>
      <c r="AA56" s="369" t="str">
        <f ca="1">IF($B56&lt;&gt;"PRC_RESID","",IF(AA$7=2005+OFFSET(COM_N_2012!$B$60,$AW56,SUMIF($B$10:$B$16,"NCAP_TLIFE",$AX$10:$AX$16)),0,""))</f>
        <v/>
      </c>
      <c r="AB56" s="369" t="str">
        <f ca="1">IF($B56&lt;&gt;"PRC_RESID","",IF(AB$7=2005+OFFSET(COM_N_2012!$B$60,$AW56,SUMIF($B$10:$B$16,"NCAP_TLIFE",$AX$10:$AX$16)),0,""))</f>
        <v/>
      </c>
      <c r="AC56" s="369" t="str">
        <f ca="1">IF($B56&lt;&gt;"PRC_RESID","",IF(AC$7=2005+OFFSET(COM_N_2012!$B$60,$AW56,SUMIF($B$10:$B$16,"NCAP_TLIFE",$AX$10:$AX$16)),0,""))</f>
        <v/>
      </c>
      <c r="AD56" s="369" t="str">
        <f ca="1">IF($B56&lt;&gt;"PRC_RESID","",IF(AD$7=2005+OFFSET(COM_N_2012!$B$60,$AW56,SUMIF($B$10:$B$16,"NCAP_TLIFE",$AX$10:$AX$16)),0,""))</f>
        <v/>
      </c>
      <c r="AE56" s="369" t="str">
        <f ca="1">IF($B56&lt;&gt;"PRC_RESID","",IF(AE$7=2005+OFFSET(COM_N_2012!$B$60,$AW56,SUMIF($B$10:$B$16,"NCAP_TLIFE",$AX$10:$AX$16)),0,""))</f>
        <v/>
      </c>
      <c r="AF56" s="369" t="str">
        <f ca="1">IF($B56&lt;&gt;"PRC_RESID","",IF(AF$7=2005+OFFSET(COM_N_2012!$B$60,$AW56,SUMIF($B$10:$B$16,"NCAP_TLIFE",$AX$10:$AX$16)),0,""))</f>
        <v/>
      </c>
      <c r="AG56" s="369" t="str">
        <f ca="1">IF($B56&lt;&gt;"PRC_RESID","",IF(AG$7=2005+OFFSET(COM_N_2012!$B$60,$AW56,SUMIF($B$10:$B$16,"NCAP_TLIFE",$AX$10:$AX$16)),0,""))</f>
        <v/>
      </c>
      <c r="AH56" s="369" t="str">
        <f ca="1">IF($B56&lt;&gt;"PRC_RESID","",IF(AH$7=2005+OFFSET(COM_N_2012!$B$60,$AW56,SUMIF($B$10:$B$16,"NCAP_TLIFE",$AX$10:$AX$16)),0,""))</f>
        <v/>
      </c>
      <c r="AI56" s="369" t="str">
        <f ca="1">IF($B56&lt;&gt;"PRC_RESID","",IF(AI$7=2005+OFFSET(COM_N_2012!$B$60,$AW56,SUMIF($B$10:$B$16,"NCAP_TLIFE",$AX$10:$AX$16)),0,""))</f>
        <v/>
      </c>
      <c r="AJ56" s="369" t="str">
        <f ca="1">IF($B56&lt;&gt;"PRC_RESID","",IF(AJ$7=2005+OFFSET(COM_N_2012!$B$60,$AW56,SUMIF($B$10:$B$16,"NCAP_TLIFE",$AX$10:$AX$16)),0,""))</f>
        <v/>
      </c>
      <c r="AK56" s="369" t="str">
        <f ca="1">IF($B56&lt;&gt;"PRC_RESID","",IF(AK$7=2005+OFFSET(COM_N_2012!$B$60,$AW56,SUMIF($B$10:$B$16,"NCAP_TLIFE",$AX$10:$AX$16)),0,""))</f>
        <v/>
      </c>
      <c r="AL56" s="369" t="str">
        <f ca="1">IF($B56&lt;&gt;"PRC_RESID","",IF(AL$7=2005+OFFSET(COM_N_2012!$B$60,$AW56,SUMIF($B$10:$B$16,"NCAP_TLIFE",$AX$10:$AX$16)),0,""))</f>
        <v/>
      </c>
      <c r="AM56" s="369" t="str">
        <f ca="1">IF($B56&lt;&gt;"PRC_RESID","",IF(AM$7=2005+OFFSET(COM_N_2012!$B$60,$AW56,SUMIF($B$10:$B$16,"NCAP_TLIFE",$AX$10:$AX$16)),0,""))</f>
        <v/>
      </c>
      <c r="AN56" s="369" t="str">
        <f ca="1">IF($B56&lt;&gt;"PRC_RESID","",IF(AN$7=2005+OFFSET(COM_N_2012!$B$60,$AW56,SUMIF($B$10:$B$16,"NCAP_TLIFE",$AX$10:$AX$16)),0,""))</f>
        <v/>
      </c>
      <c r="AO56" s="369" t="str">
        <f ca="1">IF($B56&lt;&gt;"PRC_RESID","",IF(AO$7=2005+OFFSET(COM_N_2012!$B$60,$AW56,SUMIF($B$10:$B$16,"NCAP_TLIFE",$AX$10:$AX$16)),0,""))</f>
        <v/>
      </c>
      <c r="AP56" s="369" t="str">
        <f ca="1">IF($B56&lt;&gt;"PRC_RESID","",IF(AP$7=2005+OFFSET(COM_N_2012!$B$60,$AW56,SUMIF($B$10:$B$16,"NCAP_TLIFE",$AX$10:$AX$16)),0,""))</f>
        <v/>
      </c>
      <c r="AQ56" s="369" t="str">
        <f ca="1">IF($B56&lt;&gt;"PRC_RESID","",IF(AQ$7=2005+OFFSET(COM_N_2012!$B$60,$AW56,SUMIF($B$10:$B$16,"NCAP_TLIFE",$AX$10:$AX$16)),0,""))</f>
        <v/>
      </c>
      <c r="AR56" s="369" t="str">
        <f ca="1">IF($B56&lt;&gt;"PRC_RESID","",IF(AR$7=2005+OFFSET(COM_N_2012!$B$60,$AW56,SUMIF($B$10:$B$16,"NCAP_TLIFE",$AX$10:$AX$16)),0,""))</f>
        <v/>
      </c>
      <c r="AS56" s="369" t="str">
        <f ca="1">IF($B56&lt;&gt;"PRC_RESID","",IF(AS$7=2005+OFFSET(COM_N_2012!$B$60,$AW56,SUMIF($B$10:$B$16,"NCAP_TLIFE",$AX$10:$AX$16)),0,""))</f>
        <v/>
      </c>
      <c r="AT56" s="369" t="str">
        <f ca="1">IF($B56&lt;&gt;"PRC_RESID","",IF(AT$7=2005+OFFSET(COM_N_2012!$B$60,$AW56,SUMIF($B$10:$B$16,"NCAP_TLIFE",$AX$10:$AX$16)),0,""))</f>
        <v/>
      </c>
      <c r="AU56" s="369" t="str">
        <f ca="1">IF($B56&lt;&gt;"PRC_RESID","",IF(AU$7=2005+OFFSET(COM_N_2012!$B$60,$AW56,SUMIF($B$10:$B$16,"NCAP_TLIFE",$AX$10:$AX$16)),0,""))</f>
        <v/>
      </c>
      <c r="AV56" s="304">
        <f>IF(AW55=COM_N_2012!$AK$121,AV55+1,AV55)</f>
        <v>1</v>
      </c>
      <c r="AW56" s="304">
        <f t="shared" si="4"/>
        <v>39</v>
      </c>
    </row>
    <row r="57" spans="1:49">
      <c r="A57" s="304" t="str">
        <f ca="1">IF(LEFT(OFFSET(COM_N_2012!$A$60,AW57,0),2)="\I","*","")</f>
        <v>*</v>
      </c>
      <c r="B57" s="369" t="str">
        <f t="shared" ca="1" si="2"/>
        <v/>
      </c>
      <c r="C57" s="369" t="str">
        <f ca="1">IF($A57="*","",OFFSET(COM_N_2012!$B$60,AW57,0))</f>
        <v/>
      </c>
      <c r="D57" s="369" t="str">
        <f t="shared" ca="1" si="7"/>
        <v/>
      </c>
      <c r="E57" s="369" t="str">
        <f t="shared" ca="1" si="7"/>
        <v/>
      </c>
      <c r="F57" s="369" t="str">
        <f t="shared" ca="1" si="7"/>
        <v/>
      </c>
      <c r="G57" s="369" t="str">
        <f t="shared" ca="1" si="7"/>
        <v/>
      </c>
      <c r="H57" s="369" t="str">
        <f t="shared" ca="1" si="7"/>
        <v/>
      </c>
      <c r="I57" s="370" t="str">
        <f t="shared" ca="1" si="7"/>
        <v/>
      </c>
      <c r="J57" s="391" t="str">
        <f ca="1">IF($A57="*","",OFFSET(COM_N_2012!$B$60,AW57,SUMIF($B$10:$B$16,B57,$AX$10:$AX$16)))</f>
        <v/>
      </c>
      <c r="K57" s="369" t="str">
        <f ca="1">IF($B57&lt;&gt;"PRC_RESID","",IF(K$7=2005+OFFSET(COM_N_2012!$B$60,$AW57,SUMIF($B$10:$B$16,"NCAP_TLIFE",$AX$10:$AX$16)),0,""))</f>
        <v/>
      </c>
      <c r="L57" s="369" t="str">
        <f ca="1">IF($B57&lt;&gt;"PRC_RESID","",IF(L$7=2005+OFFSET(COM_N_2012!$B$60,$AW57,SUMIF($B$10:$B$16,"NCAP_TLIFE",$AX$10:$AX$16)),0,""))</f>
        <v/>
      </c>
      <c r="M57" s="369" t="str">
        <f ca="1">IF($B57&lt;&gt;"PRC_RESID","",IF(M$7=2005+OFFSET(COM_N_2012!$B$60,$AW57,SUMIF($B$10:$B$16,"NCAP_TLIFE",$AX$10:$AX$16)),0,""))</f>
        <v/>
      </c>
      <c r="N57" s="369" t="str">
        <f ca="1">IF($B57&lt;&gt;"PRC_RESID","",IF(N$7=2005+OFFSET(COM_N_2012!$B$60,$AW57,SUMIF($B$10:$B$16,"NCAP_TLIFE",$AX$10:$AX$16)),0,""))</f>
        <v/>
      </c>
      <c r="O57" s="369" t="str">
        <f ca="1">IF($B57&lt;&gt;"PRC_RESID","",IF(O$7=2005+OFFSET(COM_N_2012!$B$60,$AW57,SUMIF($B$10:$B$16,"NCAP_TLIFE",$AX$10:$AX$16)),0,""))</f>
        <v/>
      </c>
      <c r="P57" s="369" t="str">
        <f ca="1">IF($B57&lt;&gt;"PRC_RESID","",IF(P$7=2005+OFFSET(COM_N_2012!$B$60,$AW57,SUMIF($B$10:$B$16,"NCAP_TLIFE",$AX$10:$AX$16)),0,""))</f>
        <v/>
      </c>
      <c r="Q57" s="369" t="str">
        <f ca="1">IF($B57&lt;&gt;"PRC_RESID","",IF(Q$7=2005+OFFSET(COM_N_2012!$B$60,$AW57,SUMIF($B$10:$B$16,"NCAP_TLIFE",$AX$10:$AX$16)),0,""))</f>
        <v/>
      </c>
      <c r="R57" s="369" t="str">
        <f ca="1">IF($B57&lt;&gt;"PRC_RESID","",IF(R$7=2005+OFFSET(COM_N_2012!$B$60,$AW57,SUMIF($B$10:$B$16,"NCAP_TLIFE",$AX$10:$AX$16)),0,""))</f>
        <v/>
      </c>
      <c r="S57" s="369" t="str">
        <f ca="1">IF($B57&lt;&gt;"PRC_RESID","",IF(S$7=2005+OFFSET(COM_N_2012!$B$60,$AW57,SUMIF($B$10:$B$16,"NCAP_TLIFE",$AX$10:$AX$16)),0,""))</f>
        <v/>
      </c>
      <c r="T57" s="369" t="str">
        <f ca="1">IF($B57&lt;&gt;"PRC_RESID","",IF(T$7=2005+OFFSET(COM_N_2012!$B$60,$AW57,SUMIF($B$10:$B$16,"NCAP_TLIFE",$AX$10:$AX$16)),0,""))</f>
        <v/>
      </c>
      <c r="U57" s="369" t="str">
        <f ca="1">IF($B57&lt;&gt;"PRC_RESID","",IF(U$7=2005+OFFSET(COM_N_2012!$B$60,$AW57,SUMIF($B$10:$B$16,"NCAP_TLIFE",$AX$10:$AX$16)),0,""))</f>
        <v/>
      </c>
      <c r="V57" s="369" t="str">
        <f ca="1">IF($B57&lt;&gt;"PRC_RESID","",IF(V$7=2005+OFFSET(COM_N_2012!$B$60,$AW57,SUMIF($B$10:$B$16,"NCAP_TLIFE",$AX$10:$AX$16)),0,""))</f>
        <v/>
      </c>
      <c r="W57" s="369" t="str">
        <f ca="1">IF($B57&lt;&gt;"PRC_RESID","",IF(W$7=2005+OFFSET(COM_N_2012!$B$60,$AW57,SUMIF($B$10:$B$16,"NCAP_TLIFE",$AX$10:$AX$16)),0,""))</f>
        <v/>
      </c>
      <c r="X57" s="369" t="str">
        <f ca="1">IF($B57&lt;&gt;"PRC_RESID","",IF(X$7=2005+OFFSET(COM_N_2012!$B$60,$AW57,SUMIF($B$10:$B$16,"NCAP_TLIFE",$AX$10:$AX$16)),0,""))</f>
        <v/>
      </c>
      <c r="Y57" s="369" t="str">
        <f ca="1">IF($B57&lt;&gt;"PRC_RESID","",IF(Y$7=2005+OFFSET(COM_N_2012!$B$60,$AW57,SUMIF($B$10:$B$16,"NCAP_TLIFE",$AX$10:$AX$16)),0,""))</f>
        <v/>
      </c>
      <c r="Z57" s="369" t="str">
        <f ca="1">IF($B57&lt;&gt;"PRC_RESID","",IF(Z$7=2005+OFFSET(COM_N_2012!$B$60,$AW57,SUMIF($B$10:$B$16,"NCAP_TLIFE",$AX$10:$AX$16)),0,""))</f>
        <v/>
      </c>
      <c r="AA57" s="369" t="str">
        <f ca="1">IF($B57&lt;&gt;"PRC_RESID","",IF(AA$7=2005+OFFSET(COM_N_2012!$B$60,$AW57,SUMIF($B$10:$B$16,"NCAP_TLIFE",$AX$10:$AX$16)),0,""))</f>
        <v/>
      </c>
      <c r="AB57" s="369" t="str">
        <f ca="1">IF($B57&lt;&gt;"PRC_RESID","",IF(AB$7=2005+OFFSET(COM_N_2012!$B$60,$AW57,SUMIF($B$10:$B$16,"NCAP_TLIFE",$AX$10:$AX$16)),0,""))</f>
        <v/>
      </c>
      <c r="AC57" s="369" t="str">
        <f ca="1">IF($B57&lt;&gt;"PRC_RESID","",IF(AC$7=2005+OFFSET(COM_N_2012!$B$60,$AW57,SUMIF($B$10:$B$16,"NCAP_TLIFE",$AX$10:$AX$16)),0,""))</f>
        <v/>
      </c>
      <c r="AD57" s="369" t="str">
        <f ca="1">IF($B57&lt;&gt;"PRC_RESID","",IF(AD$7=2005+OFFSET(COM_N_2012!$B$60,$AW57,SUMIF($B$10:$B$16,"NCAP_TLIFE",$AX$10:$AX$16)),0,""))</f>
        <v/>
      </c>
      <c r="AE57" s="369" t="str">
        <f ca="1">IF($B57&lt;&gt;"PRC_RESID","",IF(AE$7=2005+OFFSET(COM_N_2012!$B$60,$AW57,SUMIF($B$10:$B$16,"NCAP_TLIFE",$AX$10:$AX$16)),0,""))</f>
        <v/>
      </c>
      <c r="AF57" s="369" t="str">
        <f ca="1">IF($B57&lt;&gt;"PRC_RESID","",IF(AF$7=2005+OFFSET(COM_N_2012!$B$60,$AW57,SUMIF($B$10:$B$16,"NCAP_TLIFE",$AX$10:$AX$16)),0,""))</f>
        <v/>
      </c>
      <c r="AG57" s="369" t="str">
        <f ca="1">IF($B57&lt;&gt;"PRC_RESID","",IF(AG$7=2005+OFFSET(COM_N_2012!$B$60,$AW57,SUMIF($B$10:$B$16,"NCAP_TLIFE",$AX$10:$AX$16)),0,""))</f>
        <v/>
      </c>
      <c r="AH57" s="369" t="str">
        <f ca="1">IF($B57&lt;&gt;"PRC_RESID","",IF(AH$7=2005+OFFSET(COM_N_2012!$B$60,$AW57,SUMIF($B$10:$B$16,"NCAP_TLIFE",$AX$10:$AX$16)),0,""))</f>
        <v/>
      </c>
      <c r="AI57" s="369" t="str">
        <f ca="1">IF($B57&lt;&gt;"PRC_RESID","",IF(AI$7=2005+OFFSET(COM_N_2012!$B$60,$AW57,SUMIF($B$10:$B$16,"NCAP_TLIFE",$AX$10:$AX$16)),0,""))</f>
        <v/>
      </c>
      <c r="AJ57" s="369" t="str">
        <f ca="1">IF($B57&lt;&gt;"PRC_RESID","",IF(AJ$7=2005+OFFSET(COM_N_2012!$B$60,$AW57,SUMIF($B$10:$B$16,"NCAP_TLIFE",$AX$10:$AX$16)),0,""))</f>
        <v/>
      </c>
      <c r="AK57" s="369" t="str">
        <f ca="1">IF($B57&lt;&gt;"PRC_RESID","",IF(AK$7=2005+OFFSET(COM_N_2012!$B$60,$AW57,SUMIF($B$10:$B$16,"NCAP_TLIFE",$AX$10:$AX$16)),0,""))</f>
        <v/>
      </c>
      <c r="AL57" s="369" t="str">
        <f ca="1">IF($B57&lt;&gt;"PRC_RESID","",IF(AL$7=2005+OFFSET(COM_N_2012!$B$60,$AW57,SUMIF($B$10:$B$16,"NCAP_TLIFE",$AX$10:$AX$16)),0,""))</f>
        <v/>
      </c>
      <c r="AM57" s="369" t="str">
        <f ca="1">IF($B57&lt;&gt;"PRC_RESID","",IF(AM$7=2005+OFFSET(COM_N_2012!$B$60,$AW57,SUMIF($B$10:$B$16,"NCAP_TLIFE",$AX$10:$AX$16)),0,""))</f>
        <v/>
      </c>
      <c r="AN57" s="369" t="str">
        <f ca="1">IF($B57&lt;&gt;"PRC_RESID","",IF(AN$7=2005+OFFSET(COM_N_2012!$B$60,$AW57,SUMIF($B$10:$B$16,"NCAP_TLIFE",$AX$10:$AX$16)),0,""))</f>
        <v/>
      </c>
      <c r="AO57" s="369" t="str">
        <f ca="1">IF($B57&lt;&gt;"PRC_RESID","",IF(AO$7=2005+OFFSET(COM_N_2012!$B$60,$AW57,SUMIF($B$10:$B$16,"NCAP_TLIFE",$AX$10:$AX$16)),0,""))</f>
        <v/>
      </c>
      <c r="AP57" s="369" t="str">
        <f ca="1">IF($B57&lt;&gt;"PRC_RESID","",IF(AP$7=2005+OFFSET(COM_N_2012!$B$60,$AW57,SUMIF($B$10:$B$16,"NCAP_TLIFE",$AX$10:$AX$16)),0,""))</f>
        <v/>
      </c>
      <c r="AQ57" s="369" t="str">
        <f ca="1">IF($B57&lt;&gt;"PRC_RESID","",IF(AQ$7=2005+OFFSET(COM_N_2012!$B$60,$AW57,SUMIF($B$10:$B$16,"NCAP_TLIFE",$AX$10:$AX$16)),0,""))</f>
        <v/>
      </c>
      <c r="AR57" s="369" t="str">
        <f ca="1">IF($B57&lt;&gt;"PRC_RESID","",IF(AR$7=2005+OFFSET(COM_N_2012!$B$60,$AW57,SUMIF($B$10:$B$16,"NCAP_TLIFE",$AX$10:$AX$16)),0,""))</f>
        <v/>
      </c>
      <c r="AS57" s="369" t="str">
        <f ca="1">IF($B57&lt;&gt;"PRC_RESID","",IF(AS$7=2005+OFFSET(COM_N_2012!$B$60,$AW57,SUMIF($B$10:$B$16,"NCAP_TLIFE",$AX$10:$AX$16)),0,""))</f>
        <v/>
      </c>
      <c r="AT57" s="369" t="str">
        <f ca="1">IF($B57&lt;&gt;"PRC_RESID","",IF(AT$7=2005+OFFSET(COM_N_2012!$B$60,$AW57,SUMIF($B$10:$B$16,"NCAP_TLIFE",$AX$10:$AX$16)),0,""))</f>
        <v/>
      </c>
      <c r="AU57" s="369" t="str">
        <f ca="1">IF($B57&lt;&gt;"PRC_RESID","",IF(AU$7=2005+OFFSET(COM_N_2012!$B$60,$AW57,SUMIF($B$10:$B$16,"NCAP_TLIFE",$AX$10:$AX$16)),0,""))</f>
        <v/>
      </c>
      <c r="AV57" s="304">
        <f>IF(AW56=COM_N_2012!$AK$121,AV56+1,AV56)</f>
        <v>1</v>
      </c>
      <c r="AW57" s="304">
        <f t="shared" si="4"/>
        <v>40</v>
      </c>
    </row>
    <row r="58" spans="1:49">
      <c r="A58" s="304" t="str">
        <f ca="1">IF(LEFT(OFFSET(COM_N_2012!$A$60,AW58,0),2)="\I","*","")</f>
        <v>*</v>
      </c>
      <c r="B58" s="369" t="str">
        <f t="shared" ca="1" si="2"/>
        <v/>
      </c>
      <c r="C58" s="369" t="str">
        <f ca="1">IF($A58="*","",OFFSET(COM_N_2012!$B$60,AW58,0))</f>
        <v/>
      </c>
      <c r="D58" s="369" t="str">
        <f t="shared" ref="D58:I67" ca="1" si="8">IF($A58="*","",VLOOKUP($B58,$B$10:$I$16,D$9,FALSE))</f>
        <v/>
      </c>
      <c r="E58" s="369" t="str">
        <f t="shared" ca="1" si="8"/>
        <v/>
      </c>
      <c r="F58" s="369" t="str">
        <f t="shared" ca="1" si="8"/>
        <v/>
      </c>
      <c r="G58" s="369" t="str">
        <f t="shared" ca="1" si="8"/>
        <v/>
      </c>
      <c r="H58" s="369" t="str">
        <f t="shared" ca="1" si="8"/>
        <v/>
      </c>
      <c r="I58" s="370" t="str">
        <f t="shared" ca="1" si="8"/>
        <v/>
      </c>
      <c r="J58" s="391" t="str">
        <f ca="1">IF($A58="*","",OFFSET(COM_N_2012!$B$60,AW58,SUMIF($B$10:$B$16,B58,$AX$10:$AX$16)))</f>
        <v/>
      </c>
      <c r="K58" s="369" t="str">
        <f ca="1">IF($B58&lt;&gt;"PRC_RESID","",IF(K$7=2005+OFFSET(COM_N_2012!$B$60,$AW58,SUMIF($B$10:$B$16,"NCAP_TLIFE",$AX$10:$AX$16)),0,""))</f>
        <v/>
      </c>
      <c r="L58" s="369" t="str">
        <f ca="1">IF($B58&lt;&gt;"PRC_RESID","",IF(L$7=2005+OFFSET(COM_N_2012!$B$60,$AW58,SUMIF($B$10:$B$16,"NCAP_TLIFE",$AX$10:$AX$16)),0,""))</f>
        <v/>
      </c>
      <c r="M58" s="369" t="str">
        <f ca="1">IF($B58&lt;&gt;"PRC_RESID","",IF(M$7=2005+OFFSET(COM_N_2012!$B$60,$AW58,SUMIF($B$10:$B$16,"NCAP_TLIFE",$AX$10:$AX$16)),0,""))</f>
        <v/>
      </c>
      <c r="N58" s="369" t="str">
        <f ca="1">IF($B58&lt;&gt;"PRC_RESID","",IF(N$7=2005+OFFSET(COM_N_2012!$B$60,$AW58,SUMIF($B$10:$B$16,"NCAP_TLIFE",$AX$10:$AX$16)),0,""))</f>
        <v/>
      </c>
      <c r="O58" s="369" t="str">
        <f ca="1">IF($B58&lt;&gt;"PRC_RESID","",IF(O$7=2005+OFFSET(COM_N_2012!$B$60,$AW58,SUMIF($B$10:$B$16,"NCAP_TLIFE",$AX$10:$AX$16)),0,""))</f>
        <v/>
      </c>
      <c r="P58" s="369" t="str">
        <f ca="1">IF($B58&lt;&gt;"PRC_RESID","",IF(P$7=2005+OFFSET(COM_N_2012!$B$60,$AW58,SUMIF($B$10:$B$16,"NCAP_TLIFE",$AX$10:$AX$16)),0,""))</f>
        <v/>
      </c>
      <c r="Q58" s="369" t="str">
        <f ca="1">IF($B58&lt;&gt;"PRC_RESID","",IF(Q$7=2005+OFFSET(COM_N_2012!$B$60,$AW58,SUMIF($B$10:$B$16,"NCAP_TLIFE",$AX$10:$AX$16)),0,""))</f>
        <v/>
      </c>
      <c r="R58" s="369" t="str">
        <f ca="1">IF($B58&lt;&gt;"PRC_RESID","",IF(R$7=2005+OFFSET(COM_N_2012!$B$60,$AW58,SUMIF($B$10:$B$16,"NCAP_TLIFE",$AX$10:$AX$16)),0,""))</f>
        <v/>
      </c>
      <c r="S58" s="369" t="str">
        <f ca="1">IF($B58&lt;&gt;"PRC_RESID","",IF(S$7=2005+OFFSET(COM_N_2012!$B$60,$AW58,SUMIF($B$10:$B$16,"NCAP_TLIFE",$AX$10:$AX$16)),0,""))</f>
        <v/>
      </c>
      <c r="T58" s="369" t="str">
        <f ca="1">IF($B58&lt;&gt;"PRC_RESID","",IF(T$7=2005+OFFSET(COM_N_2012!$B$60,$AW58,SUMIF($B$10:$B$16,"NCAP_TLIFE",$AX$10:$AX$16)),0,""))</f>
        <v/>
      </c>
      <c r="U58" s="369" t="str">
        <f ca="1">IF($B58&lt;&gt;"PRC_RESID","",IF(U$7=2005+OFFSET(COM_N_2012!$B$60,$AW58,SUMIF($B$10:$B$16,"NCAP_TLIFE",$AX$10:$AX$16)),0,""))</f>
        <v/>
      </c>
      <c r="V58" s="369" t="str">
        <f ca="1">IF($B58&lt;&gt;"PRC_RESID","",IF(V$7=2005+OFFSET(COM_N_2012!$B$60,$AW58,SUMIF($B$10:$B$16,"NCAP_TLIFE",$AX$10:$AX$16)),0,""))</f>
        <v/>
      </c>
      <c r="W58" s="369" t="str">
        <f ca="1">IF($B58&lt;&gt;"PRC_RESID","",IF(W$7=2005+OFFSET(COM_N_2012!$B$60,$AW58,SUMIF($B$10:$B$16,"NCAP_TLIFE",$AX$10:$AX$16)),0,""))</f>
        <v/>
      </c>
      <c r="X58" s="369" t="str">
        <f ca="1">IF($B58&lt;&gt;"PRC_RESID","",IF(X$7=2005+OFFSET(COM_N_2012!$B$60,$AW58,SUMIF($B$10:$B$16,"NCAP_TLIFE",$AX$10:$AX$16)),0,""))</f>
        <v/>
      </c>
      <c r="Y58" s="369" t="str">
        <f ca="1">IF($B58&lt;&gt;"PRC_RESID","",IF(Y$7=2005+OFFSET(COM_N_2012!$B$60,$AW58,SUMIF($B$10:$B$16,"NCAP_TLIFE",$AX$10:$AX$16)),0,""))</f>
        <v/>
      </c>
      <c r="Z58" s="369" t="str">
        <f ca="1">IF($B58&lt;&gt;"PRC_RESID","",IF(Z$7=2005+OFFSET(COM_N_2012!$B$60,$AW58,SUMIF($B$10:$B$16,"NCAP_TLIFE",$AX$10:$AX$16)),0,""))</f>
        <v/>
      </c>
      <c r="AA58" s="369" t="str">
        <f ca="1">IF($B58&lt;&gt;"PRC_RESID","",IF(AA$7=2005+OFFSET(COM_N_2012!$B$60,$AW58,SUMIF($B$10:$B$16,"NCAP_TLIFE",$AX$10:$AX$16)),0,""))</f>
        <v/>
      </c>
      <c r="AB58" s="369" t="str">
        <f ca="1">IF($B58&lt;&gt;"PRC_RESID","",IF(AB$7=2005+OFFSET(COM_N_2012!$B$60,$AW58,SUMIF($B$10:$B$16,"NCAP_TLIFE",$AX$10:$AX$16)),0,""))</f>
        <v/>
      </c>
      <c r="AC58" s="369" t="str">
        <f ca="1">IF($B58&lt;&gt;"PRC_RESID","",IF(AC$7=2005+OFFSET(COM_N_2012!$B$60,$AW58,SUMIF($B$10:$B$16,"NCAP_TLIFE",$AX$10:$AX$16)),0,""))</f>
        <v/>
      </c>
      <c r="AD58" s="369" t="str">
        <f ca="1">IF($B58&lt;&gt;"PRC_RESID","",IF(AD$7=2005+OFFSET(COM_N_2012!$B$60,$AW58,SUMIF($B$10:$B$16,"NCAP_TLIFE",$AX$10:$AX$16)),0,""))</f>
        <v/>
      </c>
      <c r="AE58" s="369" t="str">
        <f ca="1">IF($B58&lt;&gt;"PRC_RESID","",IF(AE$7=2005+OFFSET(COM_N_2012!$B$60,$AW58,SUMIF($B$10:$B$16,"NCAP_TLIFE",$AX$10:$AX$16)),0,""))</f>
        <v/>
      </c>
      <c r="AF58" s="369" t="str">
        <f ca="1">IF($B58&lt;&gt;"PRC_RESID","",IF(AF$7=2005+OFFSET(COM_N_2012!$B$60,$AW58,SUMIF($B$10:$B$16,"NCAP_TLIFE",$AX$10:$AX$16)),0,""))</f>
        <v/>
      </c>
      <c r="AG58" s="369" t="str">
        <f ca="1">IF($B58&lt;&gt;"PRC_RESID","",IF(AG$7=2005+OFFSET(COM_N_2012!$B$60,$AW58,SUMIF($B$10:$B$16,"NCAP_TLIFE",$AX$10:$AX$16)),0,""))</f>
        <v/>
      </c>
      <c r="AH58" s="369" t="str">
        <f ca="1">IF($B58&lt;&gt;"PRC_RESID","",IF(AH$7=2005+OFFSET(COM_N_2012!$B$60,$AW58,SUMIF($B$10:$B$16,"NCAP_TLIFE",$AX$10:$AX$16)),0,""))</f>
        <v/>
      </c>
      <c r="AI58" s="369" t="str">
        <f ca="1">IF($B58&lt;&gt;"PRC_RESID","",IF(AI$7=2005+OFFSET(COM_N_2012!$B$60,$AW58,SUMIF($B$10:$B$16,"NCAP_TLIFE",$AX$10:$AX$16)),0,""))</f>
        <v/>
      </c>
      <c r="AJ58" s="369" t="str">
        <f ca="1">IF($B58&lt;&gt;"PRC_RESID","",IF(AJ$7=2005+OFFSET(COM_N_2012!$B$60,$AW58,SUMIF($B$10:$B$16,"NCAP_TLIFE",$AX$10:$AX$16)),0,""))</f>
        <v/>
      </c>
      <c r="AK58" s="369" t="str">
        <f ca="1">IF($B58&lt;&gt;"PRC_RESID","",IF(AK$7=2005+OFFSET(COM_N_2012!$B$60,$AW58,SUMIF($B$10:$B$16,"NCAP_TLIFE",$AX$10:$AX$16)),0,""))</f>
        <v/>
      </c>
      <c r="AL58" s="369" t="str">
        <f ca="1">IF($B58&lt;&gt;"PRC_RESID","",IF(AL$7=2005+OFFSET(COM_N_2012!$B$60,$AW58,SUMIF($B$10:$B$16,"NCAP_TLIFE",$AX$10:$AX$16)),0,""))</f>
        <v/>
      </c>
      <c r="AM58" s="369" t="str">
        <f ca="1">IF($B58&lt;&gt;"PRC_RESID","",IF(AM$7=2005+OFFSET(COM_N_2012!$B$60,$AW58,SUMIF($B$10:$B$16,"NCAP_TLIFE",$AX$10:$AX$16)),0,""))</f>
        <v/>
      </c>
      <c r="AN58" s="369" t="str">
        <f ca="1">IF($B58&lt;&gt;"PRC_RESID","",IF(AN$7=2005+OFFSET(COM_N_2012!$B$60,$AW58,SUMIF($B$10:$B$16,"NCAP_TLIFE",$AX$10:$AX$16)),0,""))</f>
        <v/>
      </c>
      <c r="AO58" s="369" t="str">
        <f ca="1">IF($B58&lt;&gt;"PRC_RESID","",IF(AO$7=2005+OFFSET(COM_N_2012!$B$60,$AW58,SUMIF($B$10:$B$16,"NCAP_TLIFE",$AX$10:$AX$16)),0,""))</f>
        <v/>
      </c>
      <c r="AP58" s="369" t="str">
        <f ca="1">IF($B58&lt;&gt;"PRC_RESID","",IF(AP$7=2005+OFFSET(COM_N_2012!$B$60,$AW58,SUMIF($B$10:$B$16,"NCAP_TLIFE",$AX$10:$AX$16)),0,""))</f>
        <v/>
      </c>
      <c r="AQ58" s="369" t="str">
        <f ca="1">IF($B58&lt;&gt;"PRC_RESID","",IF(AQ$7=2005+OFFSET(COM_N_2012!$B$60,$AW58,SUMIF($B$10:$B$16,"NCAP_TLIFE",$AX$10:$AX$16)),0,""))</f>
        <v/>
      </c>
      <c r="AR58" s="369" t="str">
        <f ca="1">IF($B58&lt;&gt;"PRC_RESID","",IF(AR$7=2005+OFFSET(COM_N_2012!$B$60,$AW58,SUMIF($B$10:$B$16,"NCAP_TLIFE",$AX$10:$AX$16)),0,""))</f>
        <v/>
      </c>
      <c r="AS58" s="369" t="str">
        <f ca="1">IF($B58&lt;&gt;"PRC_RESID","",IF(AS$7=2005+OFFSET(COM_N_2012!$B$60,$AW58,SUMIF($B$10:$B$16,"NCAP_TLIFE",$AX$10:$AX$16)),0,""))</f>
        <v/>
      </c>
      <c r="AT58" s="369" t="str">
        <f ca="1">IF($B58&lt;&gt;"PRC_RESID","",IF(AT$7=2005+OFFSET(COM_N_2012!$B$60,$AW58,SUMIF($B$10:$B$16,"NCAP_TLIFE",$AX$10:$AX$16)),0,""))</f>
        <v/>
      </c>
      <c r="AU58" s="369" t="str">
        <f ca="1">IF($B58&lt;&gt;"PRC_RESID","",IF(AU$7=2005+OFFSET(COM_N_2012!$B$60,$AW58,SUMIF($B$10:$B$16,"NCAP_TLIFE",$AX$10:$AX$16)),0,""))</f>
        <v/>
      </c>
      <c r="AV58" s="304">
        <f>IF(AW57=COM_N_2012!$AK$121,AV57+1,AV57)</f>
        <v>1</v>
      </c>
      <c r="AW58" s="304">
        <f t="shared" si="4"/>
        <v>41</v>
      </c>
    </row>
    <row r="59" spans="1:49">
      <c r="A59" s="304" t="str">
        <f ca="1">IF(LEFT(OFFSET(COM_N_2012!$A$60,AW59,0),2)="\I","*","")</f>
        <v/>
      </c>
      <c r="B59" s="369" t="str">
        <f t="shared" ca="1" si="2"/>
        <v>ACT_EFF</v>
      </c>
      <c r="C59" s="369" t="str">
        <f ca="1">IF($A59="*","",OFFSET(COM_N_2012!$B$60,AW59,0))</f>
        <v>CNGELCINC-E</v>
      </c>
      <c r="D59" s="369" t="str">
        <f t="shared" ca="1" si="8"/>
        <v>-</v>
      </c>
      <c r="E59" s="369" t="str">
        <f t="shared" ca="1" si="8"/>
        <v>ACTGRP</v>
      </c>
      <c r="F59" s="369" t="str">
        <f t="shared" ca="1" si="8"/>
        <v>-</v>
      </c>
      <c r="G59" s="369" t="str">
        <f t="shared" ca="1" si="8"/>
        <v>ANNUAL</v>
      </c>
      <c r="H59" s="369" t="str">
        <f t="shared" ca="1" si="8"/>
        <v>-</v>
      </c>
      <c r="I59" s="370">
        <f t="shared" ca="1" si="8"/>
        <v>0</v>
      </c>
      <c r="J59" s="391">
        <f ca="1">IF($A59="*","",OFFSET(COM_N_2012!$B$60,AW59,SUMIF($B$10:$B$16,B59,$AX$10:$AX$16)))</f>
        <v>1</v>
      </c>
      <c r="K59" s="369" t="str">
        <f ca="1">IF($B59&lt;&gt;"PRC_RESID","",IF(K$7=2005+OFFSET(COM_N_2012!$B$60,$AW59,SUMIF($B$10:$B$16,"NCAP_TLIFE",$AX$10:$AX$16)),0,""))</f>
        <v/>
      </c>
      <c r="L59" s="369" t="str">
        <f ca="1">IF($B59&lt;&gt;"PRC_RESID","",IF(L$7=2005+OFFSET(COM_N_2012!$B$60,$AW59,SUMIF($B$10:$B$16,"NCAP_TLIFE",$AX$10:$AX$16)),0,""))</f>
        <v/>
      </c>
      <c r="M59" s="369" t="str">
        <f ca="1">IF($B59&lt;&gt;"PRC_RESID","",IF(M$7=2005+OFFSET(COM_N_2012!$B$60,$AW59,SUMIF($B$10:$B$16,"NCAP_TLIFE",$AX$10:$AX$16)),0,""))</f>
        <v/>
      </c>
      <c r="N59" s="369" t="str">
        <f ca="1">IF($B59&lt;&gt;"PRC_RESID","",IF(N$7=2005+OFFSET(COM_N_2012!$B$60,$AW59,SUMIF($B$10:$B$16,"NCAP_TLIFE",$AX$10:$AX$16)),0,""))</f>
        <v/>
      </c>
      <c r="O59" s="369" t="str">
        <f ca="1">IF($B59&lt;&gt;"PRC_RESID","",IF(O$7=2005+OFFSET(COM_N_2012!$B$60,$AW59,SUMIF($B$10:$B$16,"NCAP_TLIFE",$AX$10:$AX$16)),0,""))</f>
        <v/>
      </c>
      <c r="P59" s="369" t="str">
        <f ca="1">IF($B59&lt;&gt;"PRC_RESID","",IF(P$7=2005+OFFSET(COM_N_2012!$B$60,$AW59,SUMIF($B$10:$B$16,"NCAP_TLIFE",$AX$10:$AX$16)),0,""))</f>
        <v/>
      </c>
      <c r="Q59" s="369" t="str">
        <f ca="1">IF($B59&lt;&gt;"PRC_RESID","",IF(Q$7=2005+OFFSET(COM_N_2012!$B$60,$AW59,SUMIF($B$10:$B$16,"NCAP_TLIFE",$AX$10:$AX$16)),0,""))</f>
        <v/>
      </c>
      <c r="R59" s="369" t="str">
        <f ca="1">IF($B59&lt;&gt;"PRC_RESID","",IF(R$7=2005+OFFSET(COM_N_2012!$B$60,$AW59,SUMIF($B$10:$B$16,"NCAP_TLIFE",$AX$10:$AX$16)),0,""))</f>
        <v/>
      </c>
      <c r="S59" s="369" t="str">
        <f ca="1">IF($B59&lt;&gt;"PRC_RESID","",IF(S$7=2005+OFFSET(COM_N_2012!$B$60,$AW59,SUMIF($B$10:$B$16,"NCAP_TLIFE",$AX$10:$AX$16)),0,""))</f>
        <v/>
      </c>
      <c r="T59" s="369" t="str">
        <f ca="1">IF($B59&lt;&gt;"PRC_RESID","",IF(T$7=2005+OFFSET(COM_N_2012!$B$60,$AW59,SUMIF($B$10:$B$16,"NCAP_TLIFE",$AX$10:$AX$16)),0,""))</f>
        <v/>
      </c>
      <c r="U59" s="369" t="str">
        <f ca="1">IF($B59&lt;&gt;"PRC_RESID","",IF(U$7=2005+OFFSET(COM_N_2012!$B$60,$AW59,SUMIF($B$10:$B$16,"NCAP_TLIFE",$AX$10:$AX$16)),0,""))</f>
        <v/>
      </c>
      <c r="V59" s="369" t="str">
        <f ca="1">IF($B59&lt;&gt;"PRC_RESID","",IF(V$7=2005+OFFSET(COM_N_2012!$B$60,$AW59,SUMIF($B$10:$B$16,"NCAP_TLIFE",$AX$10:$AX$16)),0,""))</f>
        <v/>
      </c>
      <c r="W59" s="369" t="str">
        <f ca="1">IF($B59&lt;&gt;"PRC_RESID","",IF(W$7=2005+OFFSET(COM_N_2012!$B$60,$AW59,SUMIF($B$10:$B$16,"NCAP_TLIFE",$AX$10:$AX$16)),0,""))</f>
        <v/>
      </c>
      <c r="X59" s="369" t="str">
        <f ca="1">IF($B59&lt;&gt;"PRC_RESID","",IF(X$7=2005+OFFSET(COM_N_2012!$B$60,$AW59,SUMIF($B$10:$B$16,"NCAP_TLIFE",$AX$10:$AX$16)),0,""))</f>
        <v/>
      </c>
      <c r="Y59" s="369" t="str">
        <f ca="1">IF($B59&lt;&gt;"PRC_RESID","",IF(Y$7=2005+OFFSET(COM_N_2012!$B$60,$AW59,SUMIF($B$10:$B$16,"NCAP_TLIFE",$AX$10:$AX$16)),0,""))</f>
        <v/>
      </c>
      <c r="Z59" s="369" t="str">
        <f ca="1">IF($B59&lt;&gt;"PRC_RESID","",IF(Z$7=2005+OFFSET(COM_N_2012!$B$60,$AW59,SUMIF($B$10:$B$16,"NCAP_TLIFE",$AX$10:$AX$16)),0,""))</f>
        <v/>
      </c>
      <c r="AA59" s="369" t="str">
        <f ca="1">IF($B59&lt;&gt;"PRC_RESID","",IF(AA$7=2005+OFFSET(COM_N_2012!$B$60,$AW59,SUMIF($B$10:$B$16,"NCAP_TLIFE",$AX$10:$AX$16)),0,""))</f>
        <v/>
      </c>
      <c r="AB59" s="369" t="str">
        <f ca="1">IF($B59&lt;&gt;"PRC_RESID","",IF(AB$7=2005+OFFSET(COM_N_2012!$B$60,$AW59,SUMIF($B$10:$B$16,"NCAP_TLIFE",$AX$10:$AX$16)),0,""))</f>
        <v/>
      </c>
      <c r="AC59" s="369" t="str">
        <f ca="1">IF($B59&lt;&gt;"PRC_RESID","",IF(AC$7=2005+OFFSET(COM_N_2012!$B$60,$AW59,SUMIF($B$10:$B$16,"NCAP_TLIFE",$AX$10:$AX$16)),0,""))</f>
        <v/>
      </c>
      <c r="AD59" s="369" t="str">
        <f ca="1">IF($B59&lt;&gt;"PRC_RESID","",IF(AD$7=2005+OFFSET(COM_N_2012!$B$60,$AW59,SUMIF($B$10:$B$16,"NCAP_TLIFE",$AX$10:$AX$16)),0,""))</f>
        <v/>
      </c>
      <c r="AE59" s="369" t="str">
        <f ca="1">IF($B59&lt;&gt;"PRC_RESID","",IF(AE$7=2005+OFFSET(COM_N_2012!$B$60,$AW59,SUMIF($B$10:$B$16,"NCAP_TLIFE",$AX$10:$AX$16)),0,""))</f>
        <v/>
      </c>
      <c r="AF59" s="369" t="str">
        <f ca="1">IF($B59&lt;&gt;"PRC_RESID","",IF(AF$7=2005+OFFSET(COM_N_2012!$B$60,$AW59,SUMIF($B$10:$B$16,"NCAP_TLIFE",$AX$10:$AX$16)),0,""))</f>
        <v/>
      </c>
      <c r="AG59" s="369" t="str">
        <f ca="1">IF($B59&lt;&gt;"PRC_RESID","",IF(AG$7=2005+OFFSET(COM_N_2012!$B$60,$AW59,SUMIF($B$10:$B$16,"NCAP_TLIFE",$AX$10:$AX$16)),0,""))</f>
        <v/>
      </c>
      <c r="AH59" s="369" t="str">
        <f ca="1">IF($B59&lt;&gt;"PRC_RESID","",IF(AH$7=2005+OFFSET(COM_N_2012!$B$60,$AW59,SUMIF($B$10:$B$16,"NCAP_TLIFE",$AX$10:$AX$16)),0,""))</f>
        <v/>
      </c>
      <c r="AI59" s="369" t="str">
        <f ca="1">IF($B59&lt;&gt;"PRC_RESID","",IF(AI$7=2005+OFFSET(COM_N_2012!$B$60,$AW59,SUMIF($B$10:$B$16,"NCAP_TLIFE",$AX$10:$AX$16)),0,""))</f>
        <v/>
      </c>
      <c r="AJ59" s="369" t="str">
        <f ca="1">IF($B59&lt;&gt;"PRC_RESID","",IF(AJ$7=2005+OFFSET(COM_N_2012!$B$60,$AW59,SUMIF($B$10:$B$16,"NCAP_TLIFE",$AX$10:$AX$16)),0,""))</f>
        <v/>
      </c>
      <c r="AK59" s="369" t="str">
        <f ca="1">IF($B59&lt;&gt;"PRC_RESID","",IF(AK$7=2005+OFFSET(COM_N_2012!$B$60,$AW59,SUMIF($B$10:$B$16,"NCAP_TLIFE",$AX$10:$AX$16)),0,""))</f>
        <v/>
      </c>
      <c r="AL59" s="369" t="str">
        <f ca="1">IF($B59&lt;&gt;"PRC_RESID","",IF(AL$7=2005+OFFSET(COM_N_2012!$B$60,$AW59,SUMIF($B$10:$B$16,"NCAP_TLIFE",$AX$10:$AX$16)),0,""))</f>
        <v/>
      </c>
      <c r="AM59" s="369" t="str">
        <f ca="1">IF($B59&lt;&gt;"PRC_RESID","",IF(AM$7=2005+OFFSET(COM_N_2012!$B$60,$AW59,SUMIF($B$10:$B$16,"NCAP_TLIFE",$AX$10:$AX$16)),0,""))</f>
        <v/>
      </c>
      <c r="AN59" s="369" t="str">
        <f ca="1">IF($B59&lt;&gt;"PRC_RESID","",IF(AN$7=2005+OFFSET(COM_N_2012!$B$60,$AW59,SUMIF($B$10:$B$16,"NCAP_TLIFE",$AX$10:$AX$16)),0,""))</f>
        <v/>
      </c>
      <c r="AO59" s="369" t="str">
        <f ca="1">IF($B59&lt;&gt;"PRC_RESID","",IF(AO$7=2005+OFFSET(COM_N_2012!$B$60,$AW59,SUMIF($B$10:$B$16,"NCAP_TLIFE",$AX$10:$AX$16)),0,""))</f>
        <v/>
      </c>
      <c r="AP59" s="369" t="str">
        <f ca="1">IF($B59&lt;&gt;"PRC_RESID","",IF(AP$7=2005+OFFSET(COM_N_2012!$B$60,$AW59,SUMIF($B$10:$B$16,"NCAP_TLIFE",$AX$10:$AX$16)),0,""))</f>
        <v/>
      </c>
      <c r="AQ59" s="369" t="str">
        <f ca="1">IF($B59&lt;&gt;"PRC_RESID","",IF(AQ$7=2005+OFFSET(COM_N_2012!$B$60,$AW59,SUMIF($B$10:$B$16,"NCAP_TLIFE",$AX$10:$AX$16)),0,""))</f>
        <v/>
      </c>
      <c r="AR59" s="369" t="str">
        <f ca="1">IF($B59&lt;&gt;"PRC_RESID","",IF(AR$7=2005+OFFSET(COM_N_2012!$B$60,$AW59,SUMIF($B$10:$B$16,"NCAP_TLIFE",$AX$10:$AX$16)),0,""))</f>
        <v/>
      </c>
      <c r="AS59" s="369" t="str">
        <f ca="1">IF($B59&lt;&gt;"PRC_RESID","",IF(AS$7=2005+OFFSET(COM_N_2012!$B$60,$AW59,SUMIF($B$10:$B$16,"NCAP_TLIFE",$AX$10:$AX$16)),0,""))</f>
        <v/>
      </c>
      <c r="AT59" s="369" t="str">
        <f ca="1">IF($B59&lt;&gt;"PRC_RESID","",IF(AT$7=2005+OFFSET(COM_N_2012!$B$60,$AW59,SUMIF($B$10:$B$16,"NCAP_TLIFE",$AX$10:$AX$16)),0,""))</f>
        <v/>
      </c>
      <c r="AU59" s="369" t="str">
        <f ca="1">IF($B59&lt;&gt;"PRC_RESID","",IF(AU$7=2005+OFFSET(COM_N_2012!$B$60,$AW59,SUMIF($B$10:$B$16,"NCAP_TLIFE",$AX$10:$AX$16)),0,""))</f>
        <v/>
      </c>
      <c r="AV59" s="304">
        <f>IF(AW58=COM_N_2012!$AK$121,AV58+1,AV58)</f>
        <v>1</v>
      </c>
      <c r="AW59" s="304">
        <f t="shared" si="4"/>
        <v>42</v>
      </c>
    </row>
    <row r="60" spans="1:49">
      <c r="A60" s="304" t="str">
        <f ca="1">IF(LEFT(OFFSET(COM_N_2012!$A$60,AW60,0),2)="\I","*","")</f>
        <v/>
      </c>
      <c r="B60" s="369" t="str">
        <f t="shared" ca="1" si="2"/>
        <v>ACT_EFF</v>
      </c>
      <c r="C60" s="369" t="str">
        <f ca="1">IF($A60="*","",OFFSET(COM_N_2012!$B$60,AW60,0))</f>
        <v>CNGELCHAL-E</v>
      </c>
      <c r="D60" s="369" t="str">
        <f t="shared" ca="1" si="8"/>
        <v>-</v>
      </c>
      <c r="E60" s="369" t="str">
        <f t="shared" ca="1" si="8"/>
        <v>ACTGRP</v>
      </c>
      <c r="F60" s="369" t="str">
        <f t="shared" ca="1" si="8"/>
        <v>-</v>
      </c>
      <c r="G60" s="369" t="str">
        <f t="shared" ca="1" si="8"/>
        <v>ANNUAL</v>
      </c>
      <c r="H60" s="369" t="str">
        <f t="shared" ca="1" si="8"/>
        <v>-</v>
      </c>
      <c r="I60" s="370">
        <f t="shared" ca="1" si="8"/>
        <v>0</v>
      </c>
      <c r="J60" s="391">
        <f ca="1">IF($A60="*","",OFFSET(COM_N_2012!$B$60,AW60,SUMIF($B$10:$B$16,B60,$AX$10:$AX$16)))</f>
        <v>2</v>
      </c>
      <c r="K60" s="369" t="str">
        <f ca="1">IF($B60&lt;&gt;"PRC_RESID","",IF(K$7=2005+OFFSET(COM_N_2012!$B$60,$AW60,SUMIF($B$10:$B$16,"NCAP_TLIFE",$AX$10:$AX$16)),0,""))</f>
        <v/>
      </c>
      <c r="L60" s="369" t="str">
        <f ca="1">IF($B60&lt;&gt;"PRC_RESID","",IF(L$7=2005+OFFSET(COM_N_2012!$B$60,$AW60,SUMIF($B$10:$B$16,"NCAP_TLIFE",$AX$10:$AX$16)),0,""))</f>
        <v/>
      </c>
      <c r="M60" s="369" t="str">
        <f ca="1">IF($B60&lt;&gt;"PRC_RESID","",IF(M$7=2005+OFFSET(COM_N_2012!$B$60,$AW60,SUMIF($B$10:$B$16,"NCAP_TLIFE",$AX$10:$AX$16)),0,""))</f>
        <v/>
      </c>
      <c r="N60" s="369" t="str">
        <f ca="1">IF($B60&lt;&gt;"PRC_RESID","",IF(N$7=2005+OFFSET(COM_N_2012!$B$60,$AW60,SUMIF($B$10:$B$16,"NCAP_TLIFE",$AX$10:$AX$16)),0,""))</f>
        <v/>
      </c>
      <c r="O60" s="369" t="str">
        <f ca="1">IF($B60&lt;&gt;"PRC_RESID","",IF(O$7=2005+OFFSET(COM_N_2012!$B$60,$AW60,SUMIF($B$10:$B$16,"NCAP_TLIFE",$AX$10:$AX$16)),0,""))</f>
        <v/>
      </c>
      <c r="P60" s="369" t="str">
        <f ca="1">IF($B60&lt;&gt;"PRC_RESID","",IF(P$7=2005+OFFSET(COM_N_2012!$B$60,$AW60,SUMIF($B$10:$B$16,"NCAP_TLIFE",$AX$10:$AX$16)),0,""))</f>
        <v/>
      </c>
      <c r="Q60" s="369" t="str">
        <f ca="1">IF($B60&lt;&gt;"PRC_RESID","",IF(Q$7=2005+OFFSET(COM_N_2012!$B$60,$AW60,SUMIF($B$10:$B$16,"NCAP_TLIFE",$AX$10:$AX$16)),0,""))</f>
        <v/>
      </c>
      <c r="R60" s="369" t="str">
        <f ca="1">IF($B60&lt;&gt;"PRC_RESID","",IF(R$7=2005+OFFSET(COM_N_2012!$B$60,$AW60,SUMIF($B$10:$B$16,"NCAP_TLIFE",$AX$10:$AX$16)),0,""))</f>
        <v/>
      </c>
      <c r="S60" s="369" t="str">
        <f ca="1">IF($B60&lt;&gt;"PRC_RESID","",IF(S$7=2005+OFFSET(COM_N_2012!$B$60,$AW60,SUMIF($B$10:$B$16,"NCAP_TLIFE",$AX$10:$AX$16)),0,""))</f>
        <v/>
      </c>
      <c r="T60" s="369" t="str">
        <f ca="1">IF($B60&lt;&gt;"PRC_RESID","",IF(T$7=2005+OFFSET(COM_N_2012!$B$60,$AW60,SUMIF($B$10:$B$16,"NCAP_TLIFE",$AX$10:$AX$16)),0,""))</f>
        <v/>
      </c>
      <c r="U60" s="369" t="str">
        <f ca="1">IF($B60&lt;&gt;"PRC_RESID","",IF(U$7=2005+OFFSET(COM_N_2012!$B$60,$AW60,SUMIF($B$10:$B$16,"NCAP_TLIFE",$AX$10:$AX$16)),0,""))</f>
        <v/>
      </c>
      <c r="V60" s="369" t="str">
        <f ca="1">IF($B60&lt;&gt;"PRC_RESID","",IF(V$7=2005+OFFSET(COM_N_2012!$B$60,$AW60,SUMIF($B$10:$B$16,"NCAP_TLIFE",$AX$10:$AX$16)),0,""))</f>
        <v/>
      </c>
      <c r="W60" s="369" t="str">
        <f ca="1">IF($B60&lt;&gt;"PRC_RESID","",IF(W$7=2005+OFFSET(COM_N_2012!$B$60,$AW60,SUMIF($B$10:$B$16,"NCAP_TLIFE",$AX$10:$AX$16)),0,""))</f>
        <v/>
      </c>
      <c r="X60" s="369" t="str">
        <f ca="1">IF($B60&lt;&gt;"PRC_RESID","",IF(X$7=2005+OFFSET(COM_N_2012!$B$60,$AW60,SUMIF($B$10:$B$16,"NCAP_TLIFE",$AX$10:$AX$16)),0,""))</f>
        <v/>
      </c>
      <c r="Y60" s="369" t="str">
        <f ca="1">IF($B60&lt;&gt;"PRC_RESID","",IF(Y$7=2005+OFFSET(COM_N_2012!$B$60,$AW60,SUMIF($B$10:$B$16,"NCAP_TLIFE",$AX$10:$AX$16)),0,""))</f>
        <v/>
      </c>
      <c r="Z60" s="369" t="str">
        <f ca="1">IF($B60&lt;&gt;"PRC_RESID","",IF(Z$7=2005+OFFSET(COM_N_2012!$B$60,$AW60,SUMIF($B$10:$B$16,"NCAP_TLIFE",$AX$10:$AX$16)),0,""))</f>
        <v/>
      </c>
      <c r="AA60" s="369" t="str">
        <f ca="1">IF($B60&lt;&gt;"PRC_RESID","",IF(AA$7=2005+OFFSET(COM_N_2012!$B$60,$AW60,SUMIF($B$10:$B$16,"NCAP_TLIFE",$AX$10:$AX$16)),0,""))</f>
        <v/>
      </c>
      <c r="AB60" s="369" t="str">
        <f ca="1">IF($B60&lt;&gt;"PRC_RESID","",IF(AB$7=2005+OFFSET(COM_N_2012!$B$60,$AW60,SUMIF($B$10:$B$16,"NCAP_TLIFE",$AX$10:$AX$16)),0,""))</f>
        <v/>
      </c>
      <c r="AC60" s="369" t="str">
        <f ca="1">IF($B60&lt;&gt;"PRC_RESID","",IF(AC$7=2005+OFFSET(COM_N_2012!$B$60,$AW60,SUMIF($B$10:$B$16,"NCAP_TLIFE",$AX$10:$AX$16)),0,""))</f>
        <v/>
      </c>
      <c r="AD60" s="369" t="str">
        <f ca="1">IF($B60&lt;&gt;"PRC_RESID","",IF(AD$7=2005+OFFSET(COM_N_2012!$B$60,$AW60,SUMIF($B$10:$B$16,"NCAP_TLIFE",$AX$10:$AX$16)),0,""))</f>
        <v/>
      </c>
      <c r="AE60" s="369" t="str">
        <f ca="1">IF($B60&lt;&gt;"PRC_RESID","",IF(AE$7=2005+OFFSET(COM_N_2012!$B$60,$AW60,SUMIF($B$10:$B$16,"NCAP_TLIFE",$AX$10:$AX$16)),0,""))</f>
        <v/>
      </c>
      <c r="AF60" s="369" t="str">
        <f ca="1">IF($B60&lt;&gt;"PRC_RESID","",IF(AF$7=2005+OFFSET(COM_N_2012!$B$60,$AW60,SUMIF($B$10:$B$16,"NCAP_TLIFE",$AX$10:$AX$16)),0,""))</f>
        <v/>
      </c>
      <c r="AG60" s="369" t="str">
        <f ca="1">IF($B60&lt;&gt;"PRC_RESID","",IF(AG$7=2005+OFFSET(COM_N_2012!$B$60,$AW60,SUMIF($B$10:$B$16,"NCAP_TLIFE",$AX$10:$AX$16)),0,""))</f>
        <v/>
      </c>
      <c r="AH60" s="369" t="str">
        <f ca="1">IF($B60&lt;&gt;"PRC_RESID","",IF(AH$7=2005+OFFSET(COM_N_2012!$B$60,$AW60,SUMIF($B$10:$B$16,"NCAP_TLIFE",$AX$10:$AX$16)),0,""))</f>
        <v/>
      </c>
      <c r="AI60" s="369" t="str">
        <f ca="1">IF($B60&lt;&gt;"PRC_RESID","",IF(AI$7=2005+OFFSET(COM_N_2012!$B$60,$AW60,SUMIF($B$10:$B$16,"NCAP_TLIFE",$AX$10:$AX$16)),0,""))</f>
        <v/>
      </c>
      <c r="AJ60" s="369" t="str">
        <f ca="1">IF($B60&lt;&gt;"PRC_RESID","",IF(AJ$7=2005+OFFSET(COM_N_2012!$B$60,$AW60,SUMIF($B$10:$B$16,"NCAP_TLIFE",$AX$10:$AX$16)),0,""))</f>
        <v/>
      </c>
      <c r="AK60" s="369" t="str">
        <f ca="1">IF($B60&lt;&gt;"PRC_RESID","",IF(AK$7=2005+OFFSET(COM_N_2012!$B$60,$AW60,SUMIF($B$10:$B$16,"NCAP_TLIFE",$AX$10:$AX$16)),0,""))</f>
        <v/>
      </c>
      <c r="AL60" s="369" t="str">
        <f ca="1">IF($B60&lt;&gt;"PRC_RESID","",IF(AL$7=2005+OFFSET(COM_N_2012!$B$60,$AW60,SUMIF($B$10:$B$16,"NCAP_TLIFE",$AX$10:$AX$16)),0,""))</f>
        <v/>
      </c>
      <c r="AM60" s="369" t="str">
        <f ca="1">IF($B60&lt;&gt;"PRC_RESID","",IF(AM$7=2005+OFFSET(COM_N_2012!$B$60,$AW60,SUMIF($B$10:$B$16,"NCAP_TLIFE",$AX$10:$AX$16)),0,""))</f>
        <v/>
      </c>
      <c r="AN60" s="369" t="str">
        <f ca="1">IF($B60&lt;&gt;"PRC_RESID","",IF(AN$7=2005+OFFSET(COM_N_2012!$B$60,$AW60,SUMIF($B$10:$B$16,"NCAP_TLIFE",$AX$10:$AX$16)),0,""))</f>
        <v/>
      </c>
      <c r="AO60" s="369" t="str">
        <f ca="1">IF($B60&lt;&gt;"PRC_RESID","",IF(AO$7=2005+OFFSET(COM_N_2012!$B$60,$AW60,SUMIF($B$10:$B$16,"NCAP_TLIFE",$AX$10:$AX$16)),0,""))</f>
        <v/>
      </c>
      <c r="AP60" s="369" t="str">
        <f ca="1">IF($B60&lt;&gt;"PRC_RESID","",IF(AP$7=2005+OFFSET(COM_N_2012!$B$60,$AW60,SUMIF($B$10:$B$16,"NCAP_TLIFE",$AX$10:$AX$16)),0,""))</f>
        <v/>
      </c>
      <c r="AQ60" s="369" t="str">
        <f ca="1">IF($B60&lt;&gt;"PRC_RESID","",IF(AQ$7=2005+OFFSET(COM_N_2012!$B$60,$AW60,SUMIF($B$10:$B$16,"NCAP_TLIFE",$AX$10:$AX$16)),0,""))</f>
        <v/>
      </c>
      <c r="AR60" s="369" t="str">
        <f ca="1">IF($B60&lt;&gt;"PRC_RESID","",IF(AR$7=2005+OFFSET(COM_N_2012!$B$60,$AW60,SUMIF($B$10:$B$16,"NCAP_TLIFE",$AX$10:$AX$16)),0,""))</f>
        <v/>
      </c>
      <c r="AS60" s="369" t="str">
        <f ca="1">IF($B60&lt;&gt;"PRC_RESID","",IF(AS$7=2005+OFFSET(COM_N_2012!$B$60,$AW60,SUMIF($B$10:$B$16,"NCAP_TLIFE",$AX$10:$AX$16)),0,""))</f>
        <v/>
      </c>
      <c r="AT60" s="369" t="str">
        <f ca="1">IF($B60&lt;&gt;"PRC_RESID","",IF(AT$7=2005+OFFSET(COM_N_2012!$B$60,$AW60,SUMIF($B$10:$B$16,"NCAP_TLIFE",$AX$10:$AX$16)),0,""))</f>
        <v/>
      </c>
      <c r="AU60" s="369" t="str">
        <f ca="1">IF($B60&lt;&gt;"PRC_RESID","",IF(AU$7=2005+OFFSET(COM_N_2012!$B$60,$AW60,SUMIF($B$10:$B$16,"NCAP_TLIFE",$AX$10:$AX$16)),0,""))</f>
        <v/>
      </c>
      <c r="AV60" s="304">
        <f>IF(AW59=COM_N_2012!$AK$121,AV59+1,AV59)</f>
        <v>1</v>
      </c>
      <c r="AW60" s="304">
        <f t="shared" si="4"/>
        <v>43</v>
      </c>
    </row>
    <row r="61" spans="1:49">
      <c r="A61" s="304" t="str">
        <f ca="1">IF(LEFT(OFFSET(COM_N_2012!$A$60,AW61,0),2)="\I","*","")</f>
        <v/>
      </c>
      <c r="B61" s="369" t="str">
        <f t="shared" ca="1" si="2"/>
        <v>ACT_EFF</v>
      </c>
      <c r="C61" s="369" t="str">
        <f ca="1">IF($A61="*","",OFFSET(COM_N_2012!$B$60,AW61,0))</f>
        <v>CNGELCHPM-E</v>
      </c>
      <c r="D61" s="369" t="str">
        <f t="shared" ca="1" si="8"/>
        <v>-</v>
      </c>
      <c r="E61" s="369" t="str">
        <f t="shared" ca="1" si="8"/>
        <v>ACTGRP</v>
      </c>
      <c r="F61" s="369" t="str">
        <f t="shared" ca="1" si="8"/>
        <v>-</v>
      </c>
      <c r="G61" s="369" t="str">
        <f t="shared" ca="1" si="8"/>
        <v>ANNUAL</v>
      </c>
      <c r="H61" s="369" t="str">
        <f t="shared" ca="1" si="8"/>
        <v>-</v>
      </c>
      <c r="I61" s="370">
        <f t="shared" ca="1" si="8"/>
        <v>0</v>
      </c>
      <c r="J61" s="391">
        <f ca="1">IF($A61="*","",OFFSET(COM_N_2012!$B$60,AW61,SUMIF($B$10:$B$16,B61,$AX$10:$AX$16)))</f>
        <v>2.4</v>
      </c>
      <c r="K61" s="369" t="str">
        <f ca="1">IF($B61&lt;&gt;"PRC_RESID","",IF(K$7=2005+OFFSET(COM_N_2012!$B$60,$AW61,SUMIF($B$10:$B$16,"NCAP_TLIFE",$AX$10:$AX$16)),0,""))</f>
        <v/>
      </c>
      <c r="L61" s="369" t="str">
        <f ca="1">IF($B61&lt;&gt;"PRC_RESID","",IF(L$7=2005+OFFSET(COM_N_2012!$B$60,$AW61,SUMIF($B$10:$B$16,"NCAP_TLIFE",$AX$10:$AX$16)),0,""))</f>
        <v/>
      </c>
      <c r="M61" s="369" t="str">
        <f ca="1">IF($B61&lt;&gt;"PRC_RESID","",IF(M$7=2005+OFFSET(COM_N_2012!$B$60,$AW61,SUMIF($B$10:$B$16,"NCAP_TLIFE",$AX$10:$AX$16)),0,""))</f>
        <v/>
      </c>
      <c r="N61" s="369" t="str">
        <f ca="1">IF($B61&lt;&gt;"PRC_RESID","",IF(N$7=2005+OFFSET(COM_N_2012!$B$60,$AW61,SUMIF($B$10:$B$16,"NCAP_TLIFE",$AX$10:$AX$16)),0,""))</f>
        <v/>
      </c>
      <c r="O61" s="369" t="str">
        <f ca="1">IF($B61&lt;&gt;"PRC_RESID","",IF(O$7=2005+OFFSET(COM_N_2012!$B$60,$AW61,SUMIF($B$10:$B$16,"NCAP_TLIFE",$AX$10:$AX$16)),0,""))</f>
        <v/>
      </c>
      <c r="P61" s="369" t="str">
        <f ca="1">IF($B61&lt;&gt;"PRC_RESID","",IF(P$7=2005+OFFSET(COM_N_2012!$B$60,$AW61,SUMIF($B$10:$B$16,"NCAP_TLIFE",$AX$10:$AX$16)),0,""))</f>
        <v/>
      </c>
      <c r="Q61" s="369" t="str">
        <f ca="1">IF($B61&lt;&gt;"PRC_RESID","",IF(Q$7=2005+OFFSET(COM_N_2012!$B$60,$AW61,SUMIF($B$10:$B$16,"NCAP_TLIFE",$AX$10:$AX$16)),0,""))</f>
        <v/>
      </c>
      <c r="R61" s="369" t="str">
        <f ca="1">IF($B61&lt;&gt;"PRC_RESID","",IF(R$7=2005+OFFSET(COM_N_2012!$B$60,$AW61,SUMIF($B$10:$B$16,"NCAP_TLIFE",$AX$10:$AX$16)),0,""))</f>
        <v/>
      </c>
      <c r="S61" s="369" t="str">
        <f ca="1">IF($B61&lt;&gt;"PRC_RESID","",IF(S$7=2005+OFFSET(COM_N_2012!$B$60,$AW61,SUMIF($B$10:$B$16,"NCAP_TLIFE",$AX$10:$AX$16)),0,""))</f>
        <v/>
      </c>
      <c r="T61" s="369" t="str">
        <f ca="1">IF($B61&lt;&gt;"PRC_RESID","",IF(T$7=2005+OFFSET(COM_N_2012!$B$60,$AW61,SUMIF($B$10:$B$16,"NCAP_TLIFE",$AX$10:$AX$16)),0,""))</f>
        <v/>
      </c>
      <c r="U61" s="369" t="str">
        <f ca="1">IF($B61&lt;&gt;"PRC_RESID","",IF(U$7=2005+OFFSET(COM_N_2012!$B$60,$AW61,SUMIF($B$10:$B$16,"NCAP_TLIFE",$AX$10:$AX$16)),0,""))</f>
        <v/>
      </c>
      <c r="V61" s="369" t="str">
        <f ca="1">IF($B61&lt;&gt;"PRC_RESID","",IF(V$7=2005+OFFSET(COM_N_2012!$B$60,$AW61,SUMIF($B$10:$B$16,"NCAP_TLIFE",$AX$10:$AX$16)),0,""))</f>
        <v/>
      </c>
      <c r="W61" s="369" t="str">
        <f ca="1">IF($B61&lt;&gt;"PRC_RESID","",IF(W$7=2005+OFFSET(COM_N_2012!$B$60,$AW61,SUMIF($B$10:$B$16,"NCAP_TLIFE",$AX$10:$AX$16)),0,""))</f>
        <v/>
      </c>
      <c r="X61" s="369" t="str">
        <f ca="1">IF($B61&lt;&gt;"PRC_RESID","",IF(X$7=2005+OFFSET(COM_N_2012!$B$60,$AW61,SUMIF($B$10:$B$16,"NCAP_TLIFE",$AX$10:$AX$16)),0,""))</f>
        <v/>
      </c>
      <c r="Y61" s="369" t="str">
        <f ca="1">IF($B61&lt;&gt;"PRC_RESID","",IF(Y$7=2005+OFFSET(COM_N_2012!$B$60,$AW61,SUMIF($B$10:$B$16,"NCAP_TLIFE",$AX$10:$AX$16)),0,""))</f>
        <v/>
      </c>
      <c r="Z61" s="369" t="str">
        <f ca="1">IF($B61&lt;&gt;"PRC_RESID","",IF(Z$7=2005+OFFSET(COM_N_2012!$B$60,$AW61,SUMIF($B$10:$B$16,"NCAP_TLIFE",$AX$10:$AX$16)),0,""))</f>
        <v/>
      </c>
      <c r="AA61" s="369" t="str">
        <f ca="1">IF($B61&lt;&gt;"PRC_RESID","",IF(AA$7=2005+OFFSET(COM_N_2012!$B$60,$AW61,SUMIF($B$10:$B$16,"NCAP_TLIFE",$AX$10:$AX$16)),0,""))</f>
        <v/>
      </c>
      <c r="AB61" s="369" t="str">
        <f ca="1">IF($B61&lt;&gt;"PRC_RESID","",IF(AB$7=2005+OFFSET(COM_N_2012!$B$60,$AW61,SUMIF($B$10:$B$16,"NCAP_TLIFE",$AX$10:$AX$16)),0,""))</f>
        <v/>
      </c>
      <c r="AC61" s="369" t="str">
        <f ca="1">IF($B61&lt;&gt;"PRC_RESID","",IF(AC$7=2005+OFFSET(COM_N_2012!$B$60,$AW61,SUMIF($B$10:$B$16,"NCAP_TLIFE",$AX$10:$AX$16)),0,""))</f>
        <v/>
      </c>
      <c r="AD61" s="369" t="str">
        <f ca="1">IF($B61&lt;&gt;"PRC_RESID","",IF(AD$7=2005+OFFSET(COM_N_2012!$B$60,$AW61,SUMIF($B$10:$B$16,"NCAP_TLIFE",$AX$10:$AX$16)),0,""))</f>
        <v/>
      </c>
      <c r="AE61" s="369" t="str">
        <f ca="1">IF($B61&lt;&gt;"PRC_RESID","",IF(AE$7=2005+OFFSET(COM_N_2012!$B$60,$AW61,SUMIF($B$10:$B$16,"NCAP_TLIFE",$AX$10:$AX$16)),0,""))</f>
        <v/>
      </c>
      <c r="AF61" s="369" t="str">
        <f ca="1">IF($B61&lt;&gt;"PRC_RESID","",IF(AF$7=2005+OFFSET(COM_N_2012!$B$60,$AW61,SUMIF($B$10:$B$16,"NCAP_TLIFE",$AX$10:$AX$16)),0,""))</f>
        <v/>
      </c>
      <c r="AG61" s="369" t="str">
        <f ca="1">IF($B61&lt;&gt;"PRC_RESID","",IF(AG$7=2005+OFFSET(COM_N_2012!$B$60,$AW61,SUMIF($B$10:$B$16,"NCAP_TLIFE",$AX$10:$AX$16)),0,""))</f>
        <v/>
      </c>
      <c r="AH61" s="369" t="str">
        <f ca="1">IF($B61&lt;&gt;"PRC_RESID","",IF(AH$7=2005+OFFSET(COM_N_2012!$B$60,$AW61,SUMIF($B$10:$B$16,"NCAP_TLIFE",$AX$10:$AX$16)),0,""))</f>
        <v/>
      </c>
      <c r="AI61" s="369" t="str">
        <f ca="1">IF($B61&lt;&gt;"PRC_RESID","",IF(AI$7=2005+OFFSET(COM_N_2012!$B$60,$AW61,SUMIF($B$10:$B$16,"NCAP_TLIFE",$AX$10:$AX$16)),0,""))</f>
        <v/>
      </c>
      <c r="AJ61" s="369" t="str">
        <f ca="1">IF($B61&lt;&gt;"PRC_RESID","",IF(AJ$7=2005+OFFSET(COM_N_2012!$B$60,$AW61,SUMIF($B$10:$B$16,"NCAP_TLIFE",$AX$10:$AX$16)),0,""))</f>
        <v/>
      </c>
      <c r="AK61" s="369" t="str">
        <f ca="1">IF($B61&lt;&gt;"PRC_RESID","",IF(AK$7=2005+OFFSET(COM_N_2012!$B$60,$AW61,SUMIF($B$10:$B$16,"NCAP_TLIFE",$AX$10:$AX$16)),0,""))</f>
        <v/>
      </c>
      <c r="AL61" s="369" t="str">
        <f ca="1">IF($B61&lt;&gt;"PRC_RESID","",IF(AL$7=2005+OFFSET(COM_N_2012!$B$60,$AW61,SUMIF($B$10:$B$16,"NCAP_TLIFE",$AX$10:$AX$16)),0,""))</f>
        <v/>
      </c>
      <c r="AM61" s="369" t="str">
        <f ca="1">IF($B61&lt;&gt;"PRC_RESID","",IF(AM$7=2005+OFFSET(COM_N_2012!$B$60,$AW61,SUMIF($B$10:$B$16,"NCAP_TLIFE",$AX$10:$AX$16)),0,""))</f>
        <v/>
      </c>
      <c r="AN61" s="369" t="str">
        <f ca="1">IF($B61&lt;&gt;"PRC_RESID","",IF(AN$7=2005+OFFSET(COM_N_2012!$B$60,$AW61,SUMIF($B$10:$B$16,"NCAP_TLIFE",$AX$10:$AX$16)),0,""))</f>
        <v/>
      </c>
      <c r="AO61" s="369" t="str">
        <f ca="1">IF($B61&lt;&gt;"PRC_RESID","",IF(AO$7=2005+OFFSET(COM_N_2012!$B$60,$AW61,SUMIF($B$10:$B$16,"NCAP_TLIFE",$AX$10:$AX$16)),0,""))</f>
        <v/>
      </c>
      <c r="AP61" s="369" t="str">
        <f ca="1">IF($B61&lt;&gt;"PRC_RESID","",IF(AP$7=2005+OFFSET(COM_N_2012!$B$60,$AW61,SUMIF($B$10:$B$16,"NCAP_TLIFE",$AX$10:$AX$16)),0,""))</f>
        <v/>
      </c>
      <c r="AQ61" s="369" t="str">
        <f ca="1">IF($B61&lt;&gt;"PRC_RESID","",IF(AQ$7=2005+OFFSET(COM_N_2012!$B$60,$AW61,SUMIF($B$10:$B$16,"NCAP_TLIFE",$AX$10:$AX$16)),0,""))</f>
        <v/>
      </c>
      <c r="AR61" s="369" t="str">
        <f ca="1">IF($B61&lt;&gt;"PRC_RESID","",IF(AR$7=2005+OFFSET(COM_N_2012!$B$60,$AW61,SUMIF($B$10:$B$16,"NCAP_TLIFE",$AX$10:$AX$16)),0,""))</f>
        <v/>
      </c>
      <c r="AS61" s="369" t="str">
        <f ca="1">IF($B61&lt;&gt;"PRC_RESID","",IF(AS$7=2005+OFFSET(COM_N_2012!$B$60,$AW61,SUMIF($B$10:$B$16,"NCAP_TLIFE",$AX$10:$AX$16)),0,""))</f>
        <v/>
      </c>
      <c r="AT61" s="369" t="str">
        <f ca="1">IF($B61&lt;&gt;"PRC_RESID","",IF(AT$7=2005+OFFSET(COM_N_2012!$B$60,$AW61,SUMIF($B$10:$B$16,"NCAP_TLIFE",$AX$10:$AX$16)),0,""))</f>
        <v/>
      </c>
      <c r="AU61" s="369" t="str">
        <f ca="1">IF($B61&lt;&gt;"PRC_RESID","",IF(AU$7=2005+OFFSET(COM_N_2012!$B$60,$AW61,SUMIF($B$10:$B$16,"NCAP_TLIFE",$AX$10:$AX$16)),0,""))</f>
        <v/>
      </c>
      <c r="AV61" s="304">
        <f>IF(AW60=COM_N_2012!$AK$121,AV60+1,AV60)</f>
        <v>1</v>
      </c>
      <c r="AW61" s="304">
        <f t="shared" si="4"/>
        <v>44</v>
      </c>
    </row>
    <row r="62" spans="1:49">
      <c r="A62" s="304" t="str">
        <f ca="1">IF(LEFT(OFFSET(COM_N_2012!$A$60,AW62,0),2)="\I","*","")</f>
        <v/>
      </c>
      <c r="B62" s="369" t="str">
        <f t="shared" ca="1" si="2"/>
        <v>ACT_EFF</v>
      </c>
      <c r="C62" s="369" t="str">
        <f ca="1">IF($A62="*","",OFFSET(COM_N_2012!$B$60,AW62,0))</f>
        <v>CNGELCHPS-E</v>
      </c>
      <c r="D62" s="369" t="str">
        <f t="shared" ca="1" si="8"/>
        <v>-</v>
      </c>
      <c r="E62" s="369" t="str">
        <f t="shared" ca="1" si="8"/>
        <v>ACTGRP</v>
      </c>
      <c r="F62" s="369" t="str">
        <f t="shared" ca="1" si="8"/>
        <v>-</v>
      </c>
      <c r="G62" s="369" t="str">
        <f t="shared" ca="1" si="8"/>
        <v>ANNUAL</v>
      </c>
      <c r="H62" s="369" t="str">
        <f t="shared" ca="1" si="8"/>
        <v>-</v>
      </c>
      <c r="I62" s="370">
        <f t="shared" ca="1" si="8"/>
        <v>0</v>
      </c>
      <c r="J62" s="391">
        <f ca="1">IF($A62="*","",OFFSET(COM_N_2012!$B$60,AW62,SUMIF($B$10:$B$16,B62,$AX$10:$AX$16)))</f>
        <v>6.5</v>
      </c>
      <c r="K62" s="369" t="str">
        <f ca="1">IF($B62&lt;&gt;"PRC_RESID","",IF(K$7=2005+OFFSET(COM_N_2012!$B$60,$AW62,SUMIF($B$10:$B$16,"NCAP_TLIFE",$AX$10:$AX$16)),0,""))</f>
        <v/>
      </c>
      <c r="L62" s="369" t="str">
        <f ca="1">IF($B62&lt;&gt;"PRC_RESID","",IF(L$7=2005+OFFSET(COM_N_2012!$B$60,$AW62,SUMIF($B$10:$B$16,"NCAP_TLIFE",$AX$10:$AX$16)),0,""))</f>
        <v/>
      </c>
      <c r="M62" s="369" t="str">
        <f ca="1">IF($B62&lt;&gt;"PRC_RESID","",IF(M$7=2005+OFFSET(COM_N_2012!$B$60,$AW62,SUMIF($B$10:$B$16,"NCAP_TLIFE",$AX$10:$AX$16)),0,""))</f>
        <v/>
      </c>
      <c r="N62" s="369" t="str">
        <f ca="1">IF($B62&lt;&gt;"PRC_RESID","",IF(N$7=2005+OFFSET(COM_N_2012!$B$60,$AW62,SUMIF($B$10:$B$16,"NCAP_TLIFE",$AX$10:$AX$16)),0,""))</f>
        <v/>
      </c>
      <c r="O62" s="369" t="str">
        <f ca="1">IF($B62&lt;&gt;"PRC_RESID","",IF(O$7=2005+OFFSET(COM_N_2012!$B$60,$AW62,SUMIF($B$10:$B$16,"NCAP_TLIFE",$AX$10:$AX$16)),0,""))</f>
        <v/>
      </c>
      <c r="P62" s="369" t="str">
        <f ca="1">IF($B62&lt;&gt;"PRC_RESID","",IF(P$7=2005+OFFSET(COM_N_2012!$B$60,$AW62,SUMIF($B$10:$B$16,"NCAP_TLIFE",$AX$10:$AX$16)),0,""))</f>
        <v/>
      </c>
      <c r="Q62" s="369" t="str">
        <f ca="1">IF($B62&lt;&gt;"PRC_RESID","",IF(Q$7=2005+OFFSET(COM_N_2012!$B$60,$AW62,SUMIF($B$10:$B$16,"NCAP_TLIFE",$AX$10:$AX$16)),0,""))</f>
        <v/>
      </c>
      <c r="R62" s="369" t="str">
        <f ca="1">IF($B62&lt;&gt;"PRC_RESID","",IF(R$7=2005+OFFSET(COM_N_2012!$B$60,$AW62,SUMIF($B$10:$B$16,"NCAP_TLIFE",$AX$10:$AX$16)),0,""))</f>
        <v/>
      </c>
      <c r="S62" s="369" t="str">
        <f ca="1">IF($B62&lt;&gt;"PRC_RESID","",IF(S$7=2005+OFFSET(COM_N_2012!$B$60,$AW62,SUMIF($B$10:$B$16,"NCAP_TLIFE",$AX$10:$AX$16)),0,""))</f>
        <v/>
      </c>
      <c r="T62" s="369" t="str">
        <f ca="1">IF($B62&lt;&gt;"PRC_RESID","",IF(T$7=2005+OFFSET(COM_N_2012!$B$60,$AW62,SUMIF($B$10:$B$16,"NCAP_TLIFE",$AX$10:$AX$16)),0,""))</f>
        <v/>
      </c>
      <c r="U62" s="369" t="str">
        <f ca="1">IF($B62&lt;&gt;"PRC_RESID","",IF(U$7=2005+OFFSET(COM_N_2012!$B$60,$AW62,SUMIF($B$10:$B$16,"NCAP_TLIFE",$AX$10:$AX$16)),0,""))</f>
        <v/>
      </c>
      <c r="V62" s="369" t="str">
        <f ca="1">IF($B62&lt;&gt;"PRC_RESID","",IF(V$7=2005+OFFSET(COM_N_2012!$B$60,$AW62,SUMIF($B$10:$B$16,"NCAP_TLIFE",$AX$10:$AX$16)),0,""))</f>
        <v/>
      </c>
      <c r="W62" s="369" t="str">
        <f ca="1">IF($B62&lt;&gt;"PRC_RESID","",IF(W$7=2005+OFFSET(COM_N_2012!$B$60,$AW62,SUMIF($B$10:$B$16,"NCAP_TLIFE",$AX$10:$AX$16)),0,""))</f>
        <v/>
      </c>
      <c r="X62" s="369" t="str">
        <f ca="1">IF($B62&lt;&gt;"PRC_RESID","",IF(X$7=2005+OFFSET(COM_N_2012!$B$60,$AW62,SUMIF($B$10:$B$16,"NCAP_TLIFE",$AX$10:$AX$16)),0,""))</f>
        <v/>
      </c>
      <c r="Y62" s="369" t="str">
        <f ca="1">IF($B62&lt;&gt;"PRC_RESID","",IF(Y$7=2005+OFFSET(COM_N_2012!$B$60,$AW62,SUMIF($B$10:$B$16,"NCAP_TLIFE",$AX$10:$AX$16)),0,""))</f>
        <v/>
      </c>
      <c r="Z62" s="369" t="str">
        <f ca="1">IF($B62&lt;&gt;"PRC_RESID","",IF(Z$7=2005+OFFSET(COM_N_2012!$B$60,$AW62,SUMIF($B$10:$B$16,"NCAP_TLIFE",$AX$10:$AX$16)),0,""))</f>
        <v/>
      </c>
      <c r="AA62" s="369" t="str">
        <f ca="1">IF($B62&lt;&gt;"PRC_RESID","",IF(AA$7=2005+OFFSET(COM_N_2012!$B$60,$AW62,SUMIF($B$10:$B$16,"NCAP_TLIFE",$AX$10:$AX$16)),0,""))</f>
        <v/>
      </c>
      <c r="AB62" s="369" t="str">
        <f ca="1">IF($B62&lt;&gt;"PRC_RESID","",IF(AB$7=2005+OFFSET(COM_N_2012!$B$60,$AW62,SUMIF($B$10:$B$16,"NCAP_TLIFE",$AX$10:$AX$16)),0,""))</f>
        <v/>
      </c>
      <c r="AC62" s="369" t="str">
        <f ca="1">IF($B62&lt;&gt;"PRC_RESID","",IF(AC$7=2005+OFFSET(COM_N_2012!$B$60,$AW62,SUMIF($B$10:$B$16,"NCAP_TLIFE",$AX$10:$AX$16)),0,""))</f>
        <v/>
      </c>
      <c r="AD62" s="369" t="str">
        <f ca="1">IF($B62&lt;&gt;"PRC_RESID","",IF(AD$7=2005+OFFSET(COM_N_2012!$B$60,$AW62,SUMIF($B$10:$B$16,"NCAP_TLIFE",$AX$10:$AX$16)),0,""))</f>
        <v/>
      </c>
      <c r="AE62" s="369" t="str">
        <f ca="1">IF($B62&lt;&gt;"PRC_RESID","",IF(AE$7=2005+OFFSET(COM_N_2012!$B$60,$AW62,SUMIF($B$10:$B$16,"NCAP_TLIFE",$AX$10:$AX$16)),0,""))</f>
        <v/>
      </c>
      <c r="AF62" s="369" t="str">
        <f ca="1">IF($B62&lt;&gt;"PRC_RESID","",IF(AF$7=2005+OFFSET(COM_N_2012!$B$60,$AW62,SUMIF($B$10:$B$16,"NCAP_TLIFE",$AX$10:$AX$16)),0,""))</f>
        <v/>
      </c>
      <c r="AG62" s="369" t="str">
        <f ca="1">IF($B62&lt;&gt;"PRC_RESID","",IF(AG$7=2005+OFFSET(COM_N_2012!$B$60,$AW62,SUMIF($B$10:$B$16,"NCAP_TLIFE",$AX$10:$AX$16)),0,""))</f>
        <v/>
      </c>
      <c r="AH62" s="369" t="str">
        <f ca="1">IF($B62&lt;&gt;"PRC_RESID","",IF(AH$7=2005+OFFSET(COM_N_2012!$B$60,$AW62,SUMIF($B$10:$B$16,"NCAP_TLIFE",$AX$10:$AX$16)),0,""))</f>
        <v/>
      </c>
      <c r="AI62" s="369" t="str">
        <f ca="1">IF($B62&lt;&gt;"PRC_RESID","",IF(AI$7=2005+OFFSET(COM_N_2012!$B$60,$AW62,SUMIF($B$10:$B$16,"NCAP_TLIFE",$AX$10:$AX$16)),0,""))</f>
        <v/>
      </c>
      <c r="AJ62" s="369" t="str">
        <f ca="1">IF($B62&lt;&gt;"PRC_RESID","",IF(AJ$7=2005+OFFSET(COM_N_2012!$B$60,$AW62,SUMIF($B$10:$B$16,"NCAP_TLIFE",$AX$10:$AX$16)),0,""))</f>
        <v/>
      </c>
      <c r="AK62" s="369" t="str">
        <f ca="1">IF($B62&lt;&gt;"PRC_RESID","",IF(AK$7=2005+OFFSET(COM_N_2012!$B$60,$AW62,SUMIF($B$10:$B$16,"NCAP_TLIFE",$AX$10:$AX$16)),0,""))</f>
        <v/>
      </c>
      <c r="AL62" s="369" t="str">
        <f ca="1">IF($B62&lt;&gt;"PRC_RESID","",IF(AL$7=2005+OFFSET(COM_N_2012!$B$60,$AW62,SUMIF($B$10:$B$16,"NCAP_TLIFE",$AX$10:$AX$16)),0,""))</f>
        <v/>
      </c>
      <c r="AM62" s="369" t="str">
        <f ca="1">IF($B62&lt;&gt;"PRC_RESID","",IF(AM$7=2005+OFFSET(COM_N_2012!$B$60,$AW62,SUMIF($B$10:$B$16,"NCAP_TLIFE",$AX$10:$AX$16)),0,""))</f>
        <v/>
      </c>
      <c r="AN62" s="369" t="str">
        <f ca="1">IF($B62&lt;&gt;"PRC_RESID","",IF(AN$7=2005+OFFSET(COM_N_2012!$B$60,$AW62,SUMIF($B$10:$B$16,"NCAP_TLIFE",$AX$10:$AX$16)),0,""))</f>
        <v/>
      </c>
      <c r="AO62" s="369" t="str">
        <f ca="1">IF($B62&lt;&gt;"PRC_RESID","",IF(AO$7=2005+OFFSET(COM_N_2012!$B$60,$AW62,SUMIF($B$10:$B$16,"NCAP_TLIFE",$AX$10:$AX$16)),0,""))</f>
        <v/>
      </c>
      <c r="AP62" s="369" t="str">
        <f ca="1">IF($B62&lt;&gt;"PRC_RESID","",IF(AP$7=2005+OFFSET(COM_N_2012!$B$60,$AW62,SUMIF($B$10:$B$16,"NCAP_TLIFE",$AX$10:$AX$16)),0,""))</f>
        <v/>
      </c>
      <c r="AQ62" s="369" t="str">
        <f ca="1">IF($B62&lt;&gt;"PRC_RESID","",IF(AQ$7=2005+OFFSET(COM_N_2012!$B$60,$AW62,SUMIF($B$10:$B$16,"NCAP_TLIFE",$AX$10:$AX$16)),0,""))</f>
        <v/>
      </c>
      <c r="AR62" s="369" t="str">
        <f ca="1">IF($B62&lt;&gt;"PRC_RESID","",IF(AR$7=2005+OFFSET(COM_N_2012!$B$60,$AW62,SUMIF($B$10:$B$16,"NCAP_TLIFE",$AX$10:$AX$16)),0,""))</f>
        <v/>
      </c>
      <c r="AS62" s="369" t="str">
        <f ca="1">IF($B62&lt;&gt;"PRC_RESID","",IF(AS$7=2005+OFFSET(COM_N_2012!$B$60,$AW62,SUMIF($B$10:$B$16,"NCAP_TLIFE",$AX$10:$AX$16)),0,""))</f>
        <v/>
      </c>
      <c r="AT62" s="369" t="str">
        <f ca="1">IF($B62&lt;&gt;"PRC_RESID","",IF(AT$7=2005+OFFSET(COM_N_2012!$B$60,$AW62,SUMIF($B$10:$B$16,"NCAP_TLIFE",$AX$10:$AX$16)),0,""))</f>
        <v/>
      </c>
      <c r="AU62" s="369" t="str">
        <f ca="1">IF($B62&lt;&gt;"PRC_RESID","",IF(AU$7=2005+OFFSET(COM_N_2012!$B$60,$AW62,SUMIF($B$10:$B$16,"NCAP_TLIFE",$AX$10:$AX$16)),0,""))</f>
        <v/>
      </c>
      <c r="AV62" s="304">
        <f>IF(AW61=COM_N_2012!$AK$121,AV61+1,AV61)</f>
        <v>1</v>
      </c>
      <c r="AW62" s="304">
        <f t="shared" si="4"/>
        <v>45</v>
      </c>
    </row>
    <row r="63" spans="1:49">
      <c r="A63" s="304" t="str">
        <f ca="1">IF(LEFT(OFFSET(COM_N_2012!$A$60,AW63,0),2)="\I","*","")</f>
        <v/>
      </c>
      <c r="B63" s="369" t="str">
        <f t="shared" ca="1" si="2"/>
        <v>ACT_EFF</v>
      </c>
      <c r="C63" s="369" t="str">
        <f ca="1">IF($A63="*","",OFFSET(COM_N_2012!$B$60,AW63,0))</f>
        <v>CNGELCMHL-E</v>
      </c>
      <c r="D63" s="369" t="str">
        <f t="shared" ca="1" si="8"/>
        <v>-</v>
      </c>
      <c r="E63" s="369" t="str">
        <f t="shared" ca="1" si="8"/>
        <v>ACTGRP</v>
      </c>
      <c r="F63" s="369" t="str">
        <f t="shared" ca="1" si="8"/>
        <v>-</v>
      </c>
      <c r="G63" s="369" t="str">
        <f t="shared" ca="1" si="8"/>
        <v>ANNUAL</v>
      </c>
      <c r="H63" s="369" t="str">
        <f t="shared" ca="1" si="8"/>
        <v>-</v>
      </c>
      <c r="I63" s="370">
        <f t="shared" ca="1" si="8"/>
        <v>0</v>
      </c>
      <c r="J63" s="391">
        <f ca="1">IF($A63="*","",OFFSET(COM_N_2012!$B$60,AW63,SUMIF($B$10:$B$16,B63,$AX$10:$AX$16)))</f>
        <v>5</v>
      </c>
      <c r="K63" s="369" t="str">
        <f ca="1">IF($B63&lt;&gt;"PRC_RESID","",IF(K$7=2005+OFFSET(COM_N_2012!$B$60,$AW63,SUMIF($B$10:$B$16,"NCAP_TLIFE",$AX$10:$AX$16)),0,""))</f>
        <v/>
      </c>
      <c r="L63" s="369" t="str">
        <f ca="1">IF($B63&lt;&gt;"PRC_RESID","",IF(L$7=2005+OFFSET(COM_N_2012!$B$60,$AW63,SUMIF($B$10:$B$16,"NCAP_TLIFE",$AX$10:$AX$16)),0,""))</f>
        <v/>
      </c>
      <c r="M63" s="369" t="str">
        <f ca="1">IF($B63&lt;&gt;"PRC_RESID","",IF(M$7=2005+OFFSET(COM_N_2012!$B$60,$AW63,SUMIF($B$10:$B$16,"NCAP_TLIFE",$AX$10:$AX$16)),0,""))</f>
        <v/>
      </c>
      <c r="N63" s="369" t="str">
        <f ca="1">IF($B63&lt;&gt;"PRC_RESID","",IF(N$7=2005+OFFSET(COM_N_2012!$B$60,$AW63,SUMIF($B$10:$B$16,"NCAP_TLIFE",$AX$10:$AX$16)),0,""))</f>
        <v/>
      </c>
      <c r="O63" s="369" t="str">
        <f ca="1">IF($B63&lt;&gt;"PRC_RESID","",IF(O$7=2005+OFFSET(COM_N_2012!$B$60,$AW63,SUMIF($B$10:$B$16,"NCAP_TLIFE",$AX$10:$AX$16)),0,""))</f>
        <v/>
      </c>
      <c r="P63" s="369" t="str">
        <f ca="1">IF($B63&lt;&gt;"PRC_RESID","",IF(P$7=2005+OFFSET(COM_N_2012!$B$60,$AW63,SUMIF($B$10:$B$16,"NCAP_TLIFE",$AX$10:$AX$16)),0,""))</f>
        <v/>
      </c>
      <c r="Q63" s="369" t="str">
        <f ca="1">IF($B63&lt;&gt;"PRC_RESID","",IF(Q$7=2005+OFFSET(COM_N_2012!$B$60,$AW63,SUMIF($B$10:$B$16,"NCAP_TLIFE",$AX$10:$AX$16)),0,""))</f>
        <v/>
      </c>
      <c r="R63" s="369" t="str">
        <f ca="1">IF($B63&lt;&gt;"PRC_RESID","",IF(R$7=2005+OFFSET(COM_N_2012!$B$60,$AW63,SUMIF($B$10:$B$16,"NCAP_TLIFE",$AX$10:$AX$16)),0,""))</f>
        <v/>
      </c>
      <c r="S63" s="369" t="str">
        <f ca="1">IF($B63&lt;&gt;"PRC_RESID","",IF(S$7=2005+OFFSET(COM_N_2012!$B$60,$AW63,SUMIF($B$10:$B$16,"NCAP_TLIFE",$AX$10:$AX$16)),0,""))</f>
        <v/>
      </c>
      <c r="T63" s="369" t="str">
        <f ca="1">IF($B63&lt;&gt;"PRC_RESID","",IF(T$7=2005+OFFSET(COM_N_2012!$B$60,$AW63,SUMIF($B$10:$B$16,"NCAP_TLIFE",$AX$10:$AX$16)),0,""))</f>
        <v/>
      </c>
      <c r="U63" s="369" t="str">
        <f ca="1">IF($B63&lt;&gt;"PRC_RESID","",IF(U$7=2005+OFFSET(COM_N_2012!$B$60,$AW63,SUMIF($B$10:$B$16,"NCAP_TLIFE",$AX$10:$AX$16)),0,""))</f>
        <v/>
      </c>
      <c r="V63" s="369" t="str">
        <f ca="1">IF($B63&lt;&gt;"PRC_RESID","",IF(V$7=2005+OFFSET(COM_N_2012!$B$60,$AW63,SUMIF($B$10:$B$16,"NCAP_TLIFE",$AX$10:$AX$16)),0,""))</f>
        <v/>
      </c>
      <c r="W63" s="369" t="str">
        <f ca="1">IF($B63&lt;&gt;"PRC_RESID","",IF(W$7=2005+OFFSET(COM_N_2012!$B$60,$AW63,SUMIF($B$10:$B$16,"NCAP_TLIFE",$AX$10:$AX$16)),0,""))</f>
        <v/>
      </c>
      <c r="X63" s="369" t="str">
        <f ca="1">IF($B63&lt;&gt;"PRC_RESID","",IF(X$7=2005+OFFSET(COM_N_2012!$B$60,$AW63,SUMIF($B$10:$B$16,"NCAP_TLIFE",$AX$10:$AX$16)),0,""))</f>
        <v/>
      </c>
      <c r="Y63" s="369" t="str">
        <f ca="1">IF($B63&lt;&gt;"PRC_RESID","",IF(Y$7=2005+OFFSET(COM_N_2012!$B$60,$AW63,SUMIF($B$10:$B$16,"NCAP_TLIFE",$AX$10:$AX$16)),0,""))</f>
        <v/>
      </c>
      <c r="Z63" s="369" t="str">
        <f ca="1">IF($B63&lt;&gt;"PRC_RESID","",IF(Z$7=2005+OFFSET(COM_N_2012!$B$60,$AW63,SUMIF($B$10:$B$16,"NCAP_TLIFE",$AX$10:$AX$16)),0,""))</f>
        <v/>
      </c>
      <c r="AA63" s="369" t="str">
        <f ca="1">IF($B63&lt;&gt;"PRC_RESID","",IF(AA$7=2005+OFFSET(COM_N_2012!$B$60,$AW63,SUMIF($B$10:$B$16,"NCAP_TLIFE",$AX$10:$AX$16)),0,""))</f>
        <v/>
      </c>
      <c r="AB63" s="369" t="str">
        <f ca="1">IF($B63&lt;&gt;"PRC_RESID","",IF(AB$7=2005+OFFSET(COM_N_2012!$B$60,$AW63,SUMIF($B$10:$B$16,"NCAP_TLIFE",$AX$10:$AX$16)),0,""))</f>
        <v/>
      </c>
      <c r="AC63" s="369" t="str">
        <f ca="1">IF($B63&lt;&gt;"PRC_RESID","",IF(AC$7=2005+OFFSET(COM_N_2012!$B$60,$AW63,SUMIF($B$10:$B$16,"NCAP_TLIFE",$AX$10:$AX$16)),0,""))</f>
        <v/>
      </c>
      <c r="AD63" s="369" t="str">
        <f ca="1">IF($B63&lt;&gt;"PRC_RESID","",IF(AD$7=2005+OFFSET(COM_N_2012!$B$60,$AW63,SUMIF($B$10:$B$16,"NCAP_TLIFE",$AX$10:$AX$16)),0,""))</f>
        <v/>
      </c>
      <c r="AE63" s="369" t="str">
        <f ca="1">IF($B63&lt;&gt;"PRC_RESID","",IF(AE$7=2005+OFFSET(COM_N_2012!$B$60,$AW63,SUMIF($B$10:$B$16,"NCAP_TLIFE",$AX$10:$AX$16)),0,""))</f>
        <v/>
      </c>
      <c r="AF63" s="369" t="str">
        <f ca="1">IF($B63&lt;&gt;"PRC_RESID","",IF(AF$7=2005+OFFSET(COM_N_2012!$B$60,$AW63,SUMIF($B$10:$B$16,"NCAP_TLIFE",$AX$10:$AX$16)),0,""))</f>
        <v/>
      </c>
      <c r="AG63" s="369" t="str">
        <f ca="1">IF($B63&lt;&gt;"PRC_RESID","",IF(AG$7=2005+OFFSET(COM_N_2012!$B$60,$AW63,SUMIF($B$10:$B$16,"NCAP_TLIFE",$AX$10:$AX$16)),0,""))</f>
        <v/>
      </c>
      <c r="AH63" s="369" t="str">
        <f ca="1">IF($B63&lt;&gt;"PRC_RESID","",IF(AH$7=2005+OFFSET(COM_N_2012!$B$60,$AW63,SUMIF($B$10:$B$16,"NCAP_TLIFE",$AX$10:$AX$16)),0,""))</f>
        <v/>
      </c>
      <c r="AI63" s="369" t="str">
        <f ca="1">IF($B63&lt;&gt;"PRC_RESID","",IF(AI$7=2005+OFFSET(COM_N_2012!$B$60,$AW63,SUMIF($B$10:$B$16,"NCAP_TLIFE",$AX$10:$AX$16)),0,""))</f>
        <v/>
      </c>
      <c r="AJ63" s="369" t="str">
        <f ca="1">IF($B63&lt;&gt;"PRC_RESID","",IF(AJ$7=2005+OFFSET(COM_N_2012!$B$60,$AW63,SUMIF($B$10:$B$16,"NCAP_TLIFE",$AX$10:$AX$16)),0,""))</f>
        <v/>
      </c>
      <c r="AK63" s="369" t="str">
        <f ca="1">IF($B63&lt;&gt;"PRC_RESID","",IF(AK$7=2005+OFFSET(COM_N_2012!$B$60,$AW63,SUMIF($B$10:$B$16,"NCAP_TLIFE",$AX$10:$AX$16)),0,""))</f>
        <v/>
      </c>
      <c r="AL63" s="369" t="str">
        <f ca="1">IF($B63&lt;&gt;"PRC_RESID","",IF(AL$7=2005+OFFSET(COM_N_2012!$B$60,$AW63,SUMIF($B$10:$B$16,"NCAP_TLIFE",$AX$10:$AX$16)),0,""))</f>
        <v/>
      </c>
      <c r="AM63" s="369" t="str">
        <f ca="1">IF($B63&lt;&gt;"PRC_RESID","",IF(AM$7=2005+OFFSET(COM_N_2012!$B$60,$AW63,SUMIF($B$10:$B$16,"NCAP_TLIFE",$AX$10:$AX$16)),0,""))</f>
        <v/>
      </c>
      <c r="AN63" s="369" t="str">
        <f ca="1">IF($B63&lt;&gt;"PRC_RESID","",IF(AN$7=2005+OFFSET(COM_N_2012!$B$60,$AW63,SUMIF($B$10:$B$16,"NCAP_TLIFE",$AX$10:$AX$16)),0,""))</f>
        <v/>
      </c>
      <c r="AO63" s="369" t="str">
        <f ca="1">IF($B63&lt;&gt;"PRC_RESID","",IF(AO$7=2005+OFFSET(COM_N_2012!$B$60,$AW63,SUMIF($B$10:$B$16,"NCAP_TLIFE",$AX$10:$AX$16)),0,""))</f>
        <v/>
      </c>
      <c r="AP63" s="369" t="str">
        <f ca="1">IF($B63&lt;&gt;"PRC_RESID","",IF(AP$7=2005+OFFSET(COM_N_2012!$B$60,$AW63,SUMIF($B$10:$B$16,"NCAP_TLIFE",$AX$10:$AX$16)),0,""))</f>
        <v/>
      </c>
      <c r="AQ63" s="369" t="str">
        <f ca="1">IF($B63&lt;&gt;"PRC_RESID","",IF(AQ$7=2005+OFFSET(COM_N_2012!$B$60,$AW63,SUMIF($B$10:$B$16,"NCAP_TLIFE",$AX$10:$AX$16)),0,""))</f>
        <v/>
      </c>
      <c r="AR63" s="369" t="str">
        <f ca="1">IF($B63&lt;&gt;"PRC_RESID","",IF(AR$7=2005+OFFSET(COM_N_2012!$B$60,$AW63,SUMIF($B$10:$B$16,"NCAP_TLIFE",$AX$10:$AX$16)),0,""))</f>
        <v/>
      </c>
      <c r="AS63" s="369" t="str">
        <f ca="1">IF($B63&lt;&gt;"PRC_RESID","",IF(AS$7=2005+OFFSET(COM_N_2012!$B$60,$AW63,SUMIF($B$10:$B$16,"NCAP_TLIFE",$AX$10:$AX$16)),0,""))</f>
        <v/>
      </c>
      <c r="AT63" s="369" t="str">
        <f ca="1">IF($B63&lt;&gt;"PRC_RESID","",IF(AT$7=2005+OFFSET(COM_N_2012!$B$60,$AW63,SUMIF($B$10:$B$16,"NCAP_TLIFE",$AX$10:$AX$16)),0,""))</f>
        <v/>
      </c>
      <c r="AU63" s="369" t="str">
        <f ca="1">IF($B63&lt;&gt;"PRC_RESID","",IF(AU$7=2005+OFFSET(COM_N_2012!$B$60,$AW63,SUMIF($B$10:$B$16,"NCAP_TLIFE",$AX$10:$AX$16)),0,""))</f>
        <v/>
      </c>
      <c r="AV63" s="304">
        <f>IF(AW62=COM_N_2012!$AK$121,AV62+1,AV62)</f>
        <v>1</v>
      </c>
      <c r="AW63" s="304">
        <f t="shared" si="4"/>
        <v>46</v>
      </c>
    </row>
    <row r="64" spans="1:49">
      <c r="A64" s="304" t="str">
        <f ca="1">IF(LEFT(OFFSET(COM_N_2012!$A$60,AW64,0),2)="\I","*","")</f>
        <v/>
      </c>
      <c r="B64" s="369" t="str">
        <f t="shared" ca="1" si="2"/>
        <v>ACT_EFF</v>
      </c>
      <c r="C64" s="369" t="str">
        <f ca="1">IF($A64="*","",OFFSET(COM_N_2012!$B$60,AW64,0))</f>
        <v>CNGELCLED-N</v>
      </c>
      <c r="D64" s="369" t="str">
        <f t="shared" ca="1" si="8"/>
        <v>-</v>
      </c>
      <c r="E64" s="369" t="str">
        <f t="shared" ca="1" si="8"/>
        <v>ACTGRP</v>
      </c>
      <c r="F64" s="369" t="str">
        <f t="shared" ca="1" si="8"/>
        <v>-</v>
      </c>
      <c r="G64" s="369" t="str">
        <f t="shared" ca="1" si="8"/>
        <v>ANNUAL</v>
      </c>
      <c r="H64" s="369" t="str">
        <f t="shared" ca="1" si="8"/>
        <v>-</v>
      </c>
      <c r="I64" s="370">
        <f t="shared" ca="1" si="8"/>
        <v>0</v>
      </c>
      <c r="J64" s="391">
        <f ca="1">IF($A64="*","",OFFSET(COM_N_2012!$B$60,AW64,SUMIF($B$10:$B$16,B64,$AX$10:$AX$16)))</f>
        <v>9.8000000000000007</v>
      </c>
      <c r="K64" s="369" t="str">
        <f ca="1">IF($B64&lt;&gt;"PRC_RESID","",IF(K$7=2005+OFFSET(COM_N_2012!$B$60,$AW64,SUMIF($B$10:$B$16,"NCAP_TLIFE",$AX$10:$AX$16)),0,""))</f>
        <v/>
      </c>
      <c r="L64" s="369" t="str">
        <f ca="1">IF($B64&lt;&gt;"PRC_RESID","",IF(L$7=2005+OFFSET(COM_N_2012!$B$60,$AW64,SUMIF($B$10:$B$16,"NCAP_TLIFE",$AX$10:$AX$16)),0,""))</f>
        <v/>
      </c>
      <c r="M64" s="369" t="str">
        <f ca="1">IF($B64&lt;&gt;"PRC_RESID","",IF(M$7=2005+OFFSET(COM_N_2012!$B$60,$AW64,SUMIF($B$10:$B$16,"NCAP_TLIFE",$AX$10:$AX$16)),0,""))</f>
        <v/>
      </c>
      <c r="N64" s="369" t="str">
        <f ca="1">IF($B64&lt;&gt;"PRC_RESID","",IF(N$7=2005+OFFSET(COM_N_2012!$B$60,$AW64,SUMIF($B$10:$B$16,"NCAP_TLIFE",$AX$10:$AX$16)),0,""))</f>
        <v/>
      </c>
      <c r="O64" s="369" t="str">
        <f ca="1">IF($B64&lt;&gt;"PRC_RESID","",IF(O$7=2005+OFFSET(COM_N_2012!$B$60,$AW64,SUMIF($B$10:$B$16,"NCAP_TLIFE",$AX$10:$AX$16)),0,""))</f>
        <v/>
      </c>
      <c r="P64" s="369" t="str">
        <f ca="1">IF($B64&lt;&gt;"PRC_RESID","",IF(P$7=2005+OFFSET(COM_N_2012!$B$60,$AW64,SUMIF($B$10:$B$16,"NCAP_TLIFE",$AX$10:$AX$16)),0,""))</f>
        <v/>
      </c>
      <c r="Q64" s="369" t="str">
        <f ca="1">IF($B64&lt;&gt;"PRC_RESID","",IF(Q$7=2005+OFFSET(COM_N_2012!$B$60,$AW64,SUMIF($B$10:$B$16,"NCAP_TLIFE",$AX$10:$AX$16)),0,""))</f>
        <v/>
      </c>
      <c r="R64" s="369" t="str">
        <f ca="1">IF($B64&lt;&gt;"PRC_RESID","",IF(R$7=2005+OFFSET(COM_N_2012!$B$60,$AW64,SUMIF($B$10:$B$16,"NCAP_TLIFE",$AX$10:$AX$16)),0,""))</f>
        <v/>
      </c>
      <c r="S64" s="369" t="str">
        <f ca="1">IF($B64&lt;&gt;"PRC_RESID","",IF(S$7=2005+OFFSET(COM_N_2012!$B$60,$AW64,SUMIF($B$10:$B$16,"NCAP_TLIFE",$AX$10:$AX$16)),0,""))</f>
        <v/>
      </c>
      <c r="T64" s="369" t="str">
        <f ca="1">IF($B64&lt;&gt;"PRC_RESID","",IF(T$7=2005+OFFSET(COM_N_2012!$B$60,$AW64,SUMIF($B$10:$B$16,"NCAP_TLIFE",$AX$10:$AX$16)),0,""))</f>
        <v/>
      </c>
      <c r="U64" s="369" t="str">
        <f ca="1">IF($B64&lt;&gt;"PRC_RESID","",IF(U$7=2005+OFFSET(COM_N_2012!$B$60,$AW64,SUMIF($B$10:$B$16,"NCAP_TLIFE",$AX$10:$AX$16)),0,""))</f>
        <v/>
      </c>
      <c r="V64" s="369" t="str">
        <f ca="1">IF($B64&lt;&gt;"PRC_RESID","",IF(V$7=2005+OFFSET(COM_N_2012!$B$60,$AW64,SUMIF($B$10:$B$16,"NCAP_TLIFE",$AX$10:$AX$16)),0,""))</f>
        <v/>
      </c>
      <c r="W64" s="369" t="str">
        <f ca="1">IF($B64&lt;&gt;"PRC_RESID","",IF(W$7=2005+OFFSET(COM_N_2012!$B$60,$AW64,SUMIF($B$10:$B$16,"NCAP_TLIFE",$AX$10:$AX$16)),0,""))</f>
        <v/>
      </c>
      <c r="X64" s="369" t="str">
        <f ca="1">IF($B64&lt;&gt;"PRC_RESID","",IF(X$7=2005+OFFSET(COM_N_2012!$B$60,$AW64,SUMIF($B$10:$B$16,"NCAP_TLIFE",$AX$10:$AX$16)),0,""))</f>
        <v/>
      </c>
      <c r="Y64" s="369" t="str">
        <f ca="1">IF($B64&lt;&gt;"PRC_RESID","",IF(Y$7=2005+OFFSET(COM_N_2012!$B$60,$AW64,SUMIF($B$10:$B$16,"NCAP_TLIFE",$AX$10:$AX$16)),0,""))</f>
        <v/>
      </c>
      <c r="Z64" s="369" t="str">
        <f ca="1">IF($B64&lt;&gt;"PRC_RESID","",IF(Z$7=2005+OFFSET(COM_N_2012!$B$60,$AW64,SUMIF($B$10:$B$16,"NCAP_TLIFE",$AX$10:$AX$16)),0,""))</f>
        <v/>
      </c>
      <c r="AA64" s="369" t="str">
        <f ca="1">IF($B64&lt;&gt;"PRC_RESID","",IF(AA$7=2005+OFFSET(COM_N_2012!$B$60,$AW64,SUMIF($B$10:$B$16,"NCAP_TLIFE",$AX$10:$AX$16)),0,""))</f>
        <v/>
      </c>
      <c r="AB64" s="369" t="str">
        <f ca="1">IF($B64&lt;&gt;"PRC_RESID","",IF(AB$7=2005+OFFSET(COM_N_2012!$B$60,$AW64,SUMIF($B$10:$B$16,"NCAP_TLIFE",$AX$10:$AX$16)),0,""))</f>
        <v/>
      </c>
      <c r="AC64" s="369" t="str">
        <f ca="1">IF($B64&lt;&gt;"PRC_RESID","",IF(AC$7=2005+OFFSET(COM_N_2012!$B$60,$AW64,SUMIF($B$10:$B$16,"NCAP_TLIFE",$AX$10:$AX$16)),0,""))</f>
        <v/>
      </c>
      <c r="AD64" s="369" t="str">
        <f ca="1">IF($B64&lt;&gt;"PRC_RESID","",IF(AD$7=2005+OFFSET(COM_N_2012!$B$60,$AW64,SUMIF($B$10:$B$16,"NCAP_TLIFE",$AX$10:$AX$16)),0,""))</f>
        <v/>
      </c>
      <c r="AE64" s="369" t="str">
        <f ca="1">IF($B64&lt;&gt;"PRC_RESID","",IF(AE$7=2005+OFFSET(COM_N_2012!$B$60,$AW64,SUMIF($B$10:$B$16,"NCAP_TLIFE",$AX$10:$AX$16)),0,""))</f>
        <v/>
      </c>
      <c r="AF64" s="369" t="str">
        <f ca="1">IF($B64&lt;&gt;"PRC_RESID","",IF(AF$7=2005+OFFSET(COM_N_2012!$B$60,$AW64,SUMIF($B$10:$B$16,"NCAP_TLIFE",$AX$10:$AX$16)),0,""))</f>
        <v/>
      </c>
      <c r="AG64" s="369" t="str">
        <f ca="1">IF($B64&lt;&gt;"PRC_RESID","",IF(AG$7=2005+OFFSET(COM_N_2012!$B$60,$AW64,SUMIF($B$10:$B$16,"NCAP_TLIFE",$AX$10:$AX$16)),0,""))</f>
        <v/>
      </c>
      <c r="AH64" s="369" t="str">
        <f ca="1">IF($B64&lt;&gt;"PRC_RESID","",IF(AH$7=2005+OFFSET(COM_N_2012!$B$60,$AW64,SUMIF($B$10:$B$16,"NCAP_TLIFE",$AX$10:$AX$16)),0,""))</f>
        <v/>
      </c>
      <c r="AI64" s="369" t="str">
        <f ca="1">IF($B64&lt;&gt;"PRC_RESID","",IF(AI$7=2005+OFFSET(COM_N_2012!$B$60,$AW64,SUMIF($B$10:$B$16,"NCAP_TLIFE",$AX$10:$AX$16)),0,""))</f>
        <v/>
      </c>
      <c r="AJ64" s="369" t="str">
        <f ca="1">IF($B64&lt;&gt;"PRC_RESID","",IF(AJ$7=2005+OFFSET(COM_N_2012!$B$60,$AW64,SUMIF($B$10:$B$16,"NCAP_TLIFE",$AX$10:$AX$16)),0,""))</f>
        <v/>
      </c>
      <c r="AK64" s="369" t="str">
        <f ca="1">IF($B64&lt;&gt;"PRC_RESID","",IF(AK$7=2005+OFFSET(COM_N_2012!$B$60,$AW64,SUMIF($B$10:$B$16,"NCAP_TLIFE",$AX$10:$AX$16)),0,""))</f>
        <v/>
      </c>
      <c r="AL64" s="369" t="str">
        <f ca="1">IF($B64&lt;&gt;"PRC_RESID","",IF(AL$7=2005+OFFSET(COM_N_2012!$B$60,$AW64,SUMIF($B$10:$B$16,"NCAP_TLIFE",$AX$10:$AX$16)),0,""))</f>
        <v/>
      </c>
      <c r="AM64" s="369" t="str">
        <f ca="1">IF($B64&lt;&gt;"PRC_RESID","",IF(AM$7=2005+OFFSET(COM_N_2012!$B$60,$AW64,SUMIF($B$10:$B$16,"NCAP_TLIFE",$AX$10:$AX$16)),0,""))</f>
        <v/>
      </c>
      <c r="AN64" s="369" t="str">
        <f ca="1">IF($B64&lt;&gt;"PRC_RESID","",IF(AN$7=2005+OFFSET(COM_N_2012!$B$60,$AW64,SUMIF($B$10:$B$16,"NCAP_TLIFE",$AX$10:$AX$16)),0,""))</f>
        <v/>
      </c>
      <c r="AO64" s="369" t="str">
        <f ca="1">IF($B64&lt;&gt;"PRC_RESID","",IF(AO$7=2005+OFFSET(COM_N_2012!$B$60,$AW64,SUMIF($B$10:$B$16,"NCAP_TLIFE",$AX$10:$AX$16)),0,""))</f>
        <v/>
      </c>
      <c r="AP64" s="369" t="str">
        <f ca="1">IF($B64&lt;&gt;"PRC_RESID","",IF(AP$7=2005+OFFSET(COM_N_2012!$B$60,$AW64,SUMIF($B$10:$B$16,"NCAP_TLIFE",$AX$10:$AX$16)),0,""))</f>
        <v/>
      </c>
      <c r="AQ64" s="369" t="str">
        <f ca="1">IF($B64&lt;&gt;"PRC_RESID","",IF(AQ$7=2005+OFFSET(COM_N_2012!$B$60,$AW64,SUMIF($B$10:$B$16,"NCAP_TLIFE",$AX$10:$AX$16)),0,""))</f>
        <v/>
      </c>
      <c r="AR64" s="369" t="str">
        <f ca="1">IF($B64&lt;&gt;"PRC_RESID","",IF(AR$7=2005+OFFSET(COM_N_2012!$B$60,$AW64,SUMIF($B$10:$B$16,"NCAP_TLIFE",$AX$10:$AX$16)),0,""))</f>
        <v/>
      </c>
      <c r="AS64" s="369" t="str">
        <f ca="1">IF($B64&lt;&gt;"PRC_RESID","",IF(AS$7=2005+OFFSET(COM_N_2012!$B$60,$AW64,SUMIF($B$10:$B$16,"NCAP_TLIFE",$AX$10:$AX$16)),0,""))</f>
        <v/>
      </c>
      <c r="AT64" s="369" t="str">
        <f ca="1">IF($B64&lt;&gt;"PRC_RESID","",IF(AT$7=2005+OFFSET(COM_N_2012!$B$60,$AW64,SUMIF($B$10:$B$16,"NCAP_TLIFE",$AX$10:$AX$16)),0,""))</f>
        <v/>
      </c>
      <c r="AU64" s="369" t="str">
        <f ca="1">IF($B64&lt;&gt;"PRC_RESID","",IF(AU$7=2005+OFFSET(COM_N_2012!$B$60,$AW64,SUMIF($B$10:$B$16,"NCAP_TLIFE",$AX$10:$AX$16)),0,""))</f>
        <v/>
      </c>
      <c r="AV64" s="304">
        <f>IF(AW63=COM_N_2012!$AK$121,AV63+1,AV63)</f>
        <v>1</v>
      </c>
      <c r="AW64" s="304">
        <f t="shared" si="4"/>
        <v>47</v>
      </c>
    </row>
    <row r="65" spans="1:49">
      <c r="A65" s="304" t="str">
        <f ca="1">IF(LEFT(OFFSET(COM_N_2012!$A$60,AW65,0),2)="\I","*","")</f>
        <v>*</v>
      </c>
      <c r="B65" s="369" t="str">
        <f t="shared" ca="1" si="2"/>
        <v/>
      </c>
      <c r="C65" s="369" t="str">
        <f ca="1">IF($A65="*","",OFFSET(COM_N_2012!$B$60,AW65,0))</f>
        <v/>
      </c>
      <c r="D65" s="369" t="str">
        <f t="shared" ca="1" si="8"/>
        <v/>
      </c>
      <c r="E65" s="369" t="str">
        <f t="shared" ca="1" si="8"/>
        <v/>
      </c>
      <c r="F65" s="369" t="str">
        <f t="shared" ca="1" si="8"/>
        <v/>
      </c>
      <c r="G65" s="369" t="str">
        <f t="shared" ca="1" si="8"/>
        <v/>
      </c>
      <c r="H65" s="369" t="str">
        <f t="shared" ca="1" si="8"/>
        <v/>
      </c>
      <c r="I65" s="370" t="str">
        <f t="shared" ca="1" si="8"/>
        <v/>
      </c>
      <c r="J65" s="391" t="str">
        <f ca="1">IF($A65="*","",OFFSET(COM_N_2012!$B$60,AW65,SUMIF($B$10:$B$16,B65,$AX$10:$AX$16)))</f>
        <v/>
      </c>
      <c r="K65" s="369" t="str">
        <f ca="1">IF($B65&lt;&gt;"PRC_RESID","",IF(K$7=2005+OFFSET(COM_N_2012!$B$60,$AW65,SUMIF($B$10:$B$16,"NCAP_TLIFE",$AX$10:$AX$16)),0,""))</f>
        <v/>
      </c>
      <c r="L65" s="369" t="str">
        <f ca="1">IF($B65&lt;&gt;"PRC_RESID","",IF(L$7=2005+OFFSET(COM_N_2012!$B$60,$AW65,SUMIF($B$10:$B$16,"NCAP_TLIFE",$AX$10:$AX$16)),0,""))</f>
        <v/>
      </c>
      <c r="M65" s="369" t="str">
        <f ca="1">IF($B65&lt;&gt;"PRC_RESID","",IF(M$7=2005+OFFSET(COM_N_2012!$B$60,$AW65,SUMIF($B$10:$B$16,"NCAP_TLIFE",$AX$10:$AX$16)),0,""))</f>
        <v/>
      </c>
      <c r="N65" s="369" t="str">
        <f ca="1">IF($B65&lt;&gt;"PRC_RESID","",IF(N$7=2005+OFFSET(COM_N_2012!$B$60,$AW65,SUMIF($B$10:$B$16,"NCAP_TLIFE",$AX$10:$AX$16)),0,""))</f>
        <v/>
      </c>
      <c r="O65" s="369" t="str">
        <f ca="1">IF($B65&lt;&gt;"PRC_RESID","",IF(O$7=2005+OFFSET(COM_N_2012!$B$60,$AW65,SUMIF($B$10:$B$16,"NCAP_TLIFE",$AX$10:$AX$16)),0,""))</f>
        <v/>
      </c>
      <c r="P65" s="369" t="str">
        <f ca="1">IF($B65&lt;&gt;"PRC_RESID","",IF(P$7=2005+OFFSET(COM_N_2012!$B$60,$AW65,SUMIF($B$10:$B$16,"NCAP_TLIFE",$AX$10:$AX$16)),0,""))</f>
        <v/>
      </c>
      <c r="Q65" s="369" t="str">
        <f ca="1">IF($B65&lt;&gt;"PRC_RESID","",IF(Q$7=2005+OFFSET(COM_N_2012!$B$60,$AW65,SUMIF($B$10:$B$16,"NCAP_TLIFE",$AX$10:$AX$16)),0,""))</f>
        <v/>
      </c>
      <c r="R65" s="369" t="str">
        <f ca="1">IF($B65&lt;&gt;"PRC_RESID","",IF(R$7=2005+OFFSET(COM_N_2012!$B$60,$AW65,SUMIF($B$10:$B$16,"NCAP_TLIFE",$AX$10:$AX$16)),0,""))</f>
        <v/>
      </c>
      <c r="S65" s="369" t="str">
        <f ca="1">IF($B65&lt;&gt;"PRC_RESID","",IF(S$7=2005+OFFSET(COM_N_2012!$B$60,$AW65,SUMIF($B$10:$B$16,"NCAP_TLIFE",$AX$10:$AX$16)),0,""))</f>
        <v/>
      </c>
      <c r="T65" s="369" t="str">
        <f ca="1">IF($B65&lt;&gt;"PRC_RESID","",IF(T$7=2005+OFFSET(COM_N_2012!$B$60,$AW65,SUMIF($B$10:$B$16,"NCAP_TLIFE",$AX$10:$AX$16)),0,""))</f>
        <v/>
      </c>
      <c r="U65" s="369" t="str">
        <f ca="1">IF($B65&lt;&gt;"PRC_RESID","",IF(U$7=2005+OFFSET(COM_N_2012!$B$60,$AW65,SUMIF($B$10:$B$16,"NCAP_TLIFE",$AX$10:$AX$16)),0,""))</f>
        <v/>
      </c>
      <c r="V65" s="369" t="str">
        <f ca="1">IF($B65&lt;&gt;"PRC_RESID","",IF(V$7=2005+OFFSET(COM_N_2012!$B$60,$AW65,SUMIF($B$10:$B$16,"NCAP_TLIFE",$AX$10:$AX$16)),0,""))</f>
        <v/>
      </c>
      <c r="W65" s="369" t="str">
        <f ca="1">IF($B65&lt;&gt;"PRC_RESID","",IF(W$7=2005+OFFSET(COM_N_2012!$B$60,$AW65,SUMIF($B$10:$B$16,"NCAP_TLIFE",$AX$10:$AX$16)),0,""))</f>
        <v/>
      </c>
      <c r="X65" s="369" t="str">
        <f ca="1">IF($B65&lt;&gt;"PRC_RESID","",IF(X$7=2005+OFFSET(COM_N_2012!$B$60,$AW65,SUMIF($B$10:$B$16,"NCAP_TLIFE",$AX$10:$AX$16)),0,""))</f>
        <v/>
      </c>
      <c r="Y65" s="369" t="str">
        <f ca="1">IF($B65&lt;&gt;"PRC_RESID","",IF(Y$7=2005+OFFSET(COM_N_2012!$B$60,$AW65,SUMIF($B$10:$B$16,"NCAP_TLIFE",$AX$10:$AX$16)),0,""))</f>
        <v/>
      </c>
      <c r="Z65" s="369" t="str">
        <f ca="1">IF($B65&lt;&gt;"PRC_RESID","",IF(Z$7=2005+OFFSET(COM_N_2012!$B$60,$AW65,SUMIF($B$10:$B$16,"NCAP_TLIFE",$AX$10:$AX$16)),0,""))</f>
        <v/>
      </c>
      <c r="AA65" s="369" t="str">
        <f ca="1">IF($B65&lt;&gt;"PRC_RESID","",IF(AA$7=2005+OFFSET(COM_N_2012!$B$60,$AW65,SUMIF($B$10:$B$16,"NCAP_TLIFE",$AX$10:$AX$16)),0,""))</f>
        <v/>
      </c>
      <c r="AB65" s="369" t="str">
        <f ca="1">IF($B65&lt;&gt;"PRC_RESID","",IF(AB$7=2005+OFFSET(COM_N_2012!$B$60,$AW65,SUMIF($B$10:$B$16,"NCAP_TLIFE",$AX$10:$AX$16)),0,""))</f>
        <v/>
      </c>
      <c r="AC65" s="369" t="str">
        <f ca="1">IF($B65&lt;&gt;"PRC_RESID","",IF(AC$7=2005+OFFSET(COM_N_2012!$B$60,$AW65,SUMIF($B$10:$B$16,"NCAP_TLIFE",$AX$10:$AX$16)),0,""))</f>
        <v/>
      </c>
      <c r="AD65" s="369" t="str">
        <f ca="1">IF($B65&lt;&gt;"PRC_RESID","",IF(AD$7=2005+OFFSET(COM_N_2012!$B$60,$AW65,SUMIF($B$10:$B$16,"NCAP_TLIFE",$AX$10:$AX$16)),0,""))</f>
        <v/>
      </c>
      <c r="AE65" s="369" t="str">
        <f ca="1">IF($B65&lt;&gt;"PRC_RESID","",IF(AE$7=2005+OFFSET(COM_N_2012!$B$60,$AW65,SUMIF($B$10:$B$16,"NCAP_TLIFE",$AX$10:$AX$16)),0,""))</f>
        <v/>
      </c>
      <c r="AF65" s="369" t="str">
        <f ca="1">IF($B65&lt;&gt;"PRC_RESID","",IF(AF$7=2005+OFFSET(COM_N_2012!$B$60,$AW65,SUMIF($B$10:$B$16,"NCAP_TLIFE",$AX$10:$AX$16)),0,""))</f>
        <v/>
      </c>
      <c r="AG65" s="369" t="str">
        <f ca="1">IF($B65&lt;&gt;"PRC_RESID","",IF(AG$7=2005+OFFSET(COM_N_2012!$B$60,$AW65,SUMIF($B$10:$B$16,"NCAP_TLIFE",$AX$10:$AX$16)),0,""))</f>
        <v/>
      </c>
      <c r="AH65" s="369" t="str">
        <f ca="1">IF($B65&lt;&gt;"PRC_RESID","",IF(AH$7=2005+OFFSET(COM_N_2012!$B$60,$AW65,SUMIF($B$10:$B$16,"NCAP_TLIFE",$AX$10:$AX$16)),0,""))</f>
        <v/>
      </c>
      <c r="AI65" s="369" t="str">
        <f ca="1">IF($B65&lt;&gt;"PRC_RESID","",IF(AI$7=2005+OFFSET(COM_N_2012!$B$60,$AW65,SUMIF($B$10:$B$16,"NCAP_TLIFE",$AX$10:$AX$16)),0,""))</f>
        <v/>
      </c>
      <c r="AJ65" s="369" t="str">
        <f ca="1">IF($B65&lt;&gt;"PRC_RESID","",IF(AJ$7=2005+OFFSET(COM_N_2012!$B$60,$AW65,SUMIF($B$10:$B$16,"NCAP_TLIFE",$AX$10:$AX$16)),0,""))</f>
        <v/>
      </c>
      <c r="AK65" s="369" t="str">
        <f ca="1">IF($B65&lt;&gt;"PRC_RESID","",IF(AK$7=2005+OFFSET(COM_N_2012!$B$60,$AW65,SUMIF($B$10:$B$16,"NCAP_TLIFE",$AX$10:$AX$16)),0,""))</f>
        <v/>
      </c>
      <c r="AL65" s="369" t="str">
        <f ca="1">IF($B65&lt;&gt;"PRC_RESID","",IF(AL$7=2005+OFFSET(COM_N_2012!$B$60,$AW65,SUMIF($B$10:$B$16,"NCAP_TLIFE",$AX$10:$AX$16)),0,""))</f>
        <v/>
      </c>
      <c r="AM65" s="369" t="str">
        <f ca="1">IF($B65&lt;&gt;"PRC_RESID","",IF(AM$7=2005+OFFSET(COM_N_2012!$B$60,$AW65,SUMIF($B$10:$B$16,"NCAP_TLIFE",$AX$10:$AX$16)),0,""))</f>
        <v/>
      </c>
      <c r="AN65" s="369" t="str">
        <f ca="1">IF($B65&lt;&gt;"PRC_RESID","",IF(AN$7=2005+OFFSET(COM_N_2012!$B$60,$AW65,SUMIF($B$10:$B$16,"NCAP_TLIFE",$AX$10:$AX$16)),0,""))</f>
        <v/>
      </c>
      <c r="AO65" s="369" t="str">
        <f ca="1">IF($B65&lt;&gt;"PRC_RESID","",IF(AO$7=2005+OFFSET(COM_N_2012!$B$60,$AW65,SUMIF($B$10:$B$16,"NCAP_TLIFE",$AX$10:$AX$16)),0,""))</f>
        <v/>
      </c>
      <c r="AP65" s="369" t="str">
        <f ca="1">IF($B65&lt;&gt;"PRC_RESID","",IF(AP$7=2005+OFFSET(COM_N_2012!$B$60,$AW65,SUMIF($B$10:$B$16,"NCAP_TLIFE",$AX$10:$AX$16)),0,""))</f>
        <v/>
      </c>
      <c r="AQ65" s="369" t="str">
        <f ca="1">IF($B65&lt;&gt;"PRC_RESID","",IF(AQ$7=2005+OFFSET(COM_N_2012!$B$60,$AW65,SUMIF($B$10:$B$16,"NCAP_TLIFE",$AX$10:$AX$16)),0,""))</f>
        <v/>
      </c>
      <c r="AR65" s="369" t="str">
        <f ca="1">IF($B65&lt;&gt;"PRC_RESID","",IF(AR$7=2005+OFFSET(COM_N_2012!$B$60,$AW65,SUMIF($B$10:$B$16,"NCAP_TLIFE",$AX$10:$AX$16)),0,""))</f>
        <v/>
      </c>
      <c r="AS65" s="369" t="str">
        <f ca="1">IF($B65&lt;&gt;"PRC_RESID","",IF(AS$7=2005+OFFSET(COM_N_2012!$B$60,$AW65,SUMIF($B$10:$B$16,"NCAP_TLIFE",$AX$10:$AX$16)),0,""))</f>
        <v/>
      </c>
      <c r="AT65" s="369" t="str">
        <f ca="1">IF($B65&lt;&gt;"PRC_RESID","",IF(AT$7=2005+OFFSET(COM_N_2012!$B$60,$AW65,SUMIF($B$10:$B$16,"NCAP_TLIFE",$AX$10:$AX$16)),0,""))</f>
        <v/>
      </c>
      <c r="AU65" s="369" t="str">
        <f ca="1">IF($B65&lt;&gt;"PRC_RESID","",IF(AU$7=2005+OFFSET(COM_N_2012!$B$60,$AW65,SUMIF($B$10:$B$16,"NCAP_TLIFE",$AX$10:$AX$16)),0,""))</f>
        <v/>
      </c>
      <c r="AV65" s="304">
        <f>IF(AW64=COM_N_2012!$AK$121,AV64+1,AV64)</f>
        <v>1</v>
      </c>
      <c r="AW65" s="304">
        <f t="shared" si="4"/>
        <v>48</v>
      </c>
    </row>
    <row r="66" spans="1:49">
      <c r="A66" s="304" t="str">
        <f ca="1">IF(LEFT(OFFSET(COM_N_2012!$A$60,AW66,0),2)="\I","*","")</f>
        <v>*</v>
      </c>
      <c r="B66" s="369" t="str">
        <f t="shared" ca="1" si="2"/>
        <v/>
      </c>
      <c r="C66" s="369" t="str">
        <f ca="1">IF($A66="*","",OFFSET(COM_N_2012!$B$60,AW66,0))</f>
        <v/>
      </c>
      <c r="D66" s="369" t="str">
        <f t="shared" ca="1" si="8"/>
        <v/>
      </c>
      <c r="E66" s="369" t="str">
        <f t="shared" ca="1" si="8"/>
        <v/>
      </c>
      <c r="F66" s="369" t="str">
        <f t="shared" ca="1" si="8"/>
        <v/>
      </c>
      <c r="G66" s="369" t="str">
        <f t="shared" ca="1" si="8"/>
        <v/>
      </c>
      <c r="H66" s="369" t="str">
        <f t="shared" ca="1" si="8"/>
        <v/>
      </c>
      <c r="I66" s="370" t="str">
        <f t="shared" ca="1" si="8"/>
        <v/>
      </c>
      <c r="J66" s="391" t="str">
        <f ca="1">IF($A66="*","",OFFSET(COM_N_2012!$B$60,AW66,SUMIF($B$10:$B$16,B66,$AX$10:$AX$16)))</f>
        <v/>
      </c>
      <c r="K66" s="369" t="str">
        <f ca="1">IF($B66&lt;&gt;"PRC_RESID","",IF(K$7=2005+OFFSET(COM_N_2012!$B$60,$AW66,SUMIF($B$10:$B$16,"NCAP_TLIFE",$AX$10:$AX$16)),0,""))</f>
        <v/>
      </c>
      <c r="L66" s="369" t="str">
        <f ca="1">IF($B66&lt;&gt;"PRC_RESID","",IF(L$7=2005+OFFSET(COM_N_2012!$B$60,$AW66,SUMIF($B$10:$B$16,"NCAP_TLIFE",$AX$10:$AX$16)),0,""))</f>
        <v/>
      </c>
      <c r="M66" s="369" t="str">
        <f ca="1">IF($B66&lt;&gt;"PRC_RESID","",IF(M$7=2005+OFFSET(COM_N_2012!$B$60,$AW66,SUMIF($B$10:$B$16,"NCAP_TLIFE",$AX$10:$AX$16)),0,""))</f>
        <v/>
      </c>
      <c r="N66" s="369" t="str">
        <f ca="1">IF($B66&lt;&gt;"PRC_RESID","",IF(N$7=2005+OFFSET(COM_N_2012!$B$60,$AW66,SUMIF($B$10:$B$16,"NCAP_TLIFE",$AX$10:$AX$16)),0,""))</f>
        <v/>
      </c>
      <c r="O66" s="369" t="str">
        <f ca="1">IF($B66&lt;&gt;"PRC_RESID","",IF(O$7=2005+OFFSET(COM_N_2012!$B$60,$AW66,SUMIF($B$10:$B$16,"NCAP_TLIFE",$AX$10:$AX$16)),0,""))</f>
        <v/>
      </c>
      <c r="P66" s="369" t="str">
        <f ca="1">IF($B66&lt;&gt;"PRC_RESID","",IF(P$7=2005+OFFSET(COM_N_2012!$B$60,$AW66,SUMIF($B$10:$B$16,"NCAP_TLIFE",$AX$10:$AX$16)),0,""))</f>
        <v/>
      </c>
      <c r="Q66" s="369" t="str">
        <f ca="1">IF($B66&lt;&gt;"PRC_RESID","",IF(Q$7=2005+OFFSET(COM_N_2012!$B$60,$AW66,SUMIF($B$10:$B$16,"NCAP_TLIFE",$AX$10:$AX$16)),0,""))</f>
        <v/>
      </c>
      <c r="R66" s="369" t="str">
        <f ca="1">IF($B66&lt;&gt;"PRC_RESID","",IF(R$7=2005+OFFSET(COM_N_2012!$B$60,$AW66,SUMIF($B$10:$B$16,"NCAP_TLIFE",$AX$10:$AX$16)),0,""))</f>
        <v/>
      </c>
      <c r="S66" s="369" t="str">
        <f ca="1">IF($B66&lt;&gt;"PRC_RESID","",IF(S$7=2005+OFFSET(COM_N_2012!$B$60,$AW66,SUMIF($B$10:$B$16,"NCAP_TLIFE",$AX$10:$AX$16)),0,""))</f>
        <v/>
      </c>
      <c r="T66" s="369" t="str">
        <f ca="1">IF($B66&lt;&gt;"PRC_RESID","",IF(T$7=2005+OFFSET(COM_N_2012!$B$60,$AW66,SUMIF($B$10:$B$16,"NCAP_TLIFE",$AX$10:$AX$16)),0,""))</f>
        <v/>
      </c>
      <c r="U66" s="369" t="str">
        <f ca="1">IF($B66&lt;&gt;"PRC_RESID","",IF(U$7=2005+OFFSET(COM_N_2012!$B$60,$AW66,SUMIF($B$10:$B$16,"NCAP_TLIFE",$AX$10:$AX$16)),0,""))</f>
        <v/>
      </c>
      <c r="V66" s="369" t="str">
        <f ca="1">IF($B66&lt;&gt;"PRC_RESID","",IF(V$7=2005+OFFSET(COM_N_2012!$B$60,$AW66,SUMIF($B$10:$B$16,"NCAP_TLIFE",$AX$10:$AX$16)),0,""))</f>
        <v/>
      </c>
      <c r="W66" s="369" t="str">
        <f ca="1">IF($B66&lt;&gt;"PRC_RESID","",IF(W$7=2005+OFFSET(COM_N_2012!$B$60,$AW66,SUMIF($B$10:$B$16,"NCAP_TLIFE",$AX$10:$AX$16)),0,""))</f>
        <v/>
      </c>
      <c r="X66" s="369" t="str">
        <f ca="1">IF($B66&lt;&gt;"PRC_RESID","",IF(X$7=2005+OFFSET(COM_N_2012!$B$60,$AW66,SUMIF($B$10:$B$16,"NCAP_TLIFE",$AX$10:$AX$16)),0,""))</f>
        <v/>
      </c>
      <c r="Y66" s="369" t="str">
        <f ca="1">IF($B66&lt;&gt;"PRC_RESID","",IF(Y$7=2005+OFFSET(COM_N_2012!$B$60,$AW66,SUMIF($B$10:$B$16,"NCAP_TLIFE",$AX$10:$AX$16)),0,""))</f>
        <v/>
      </c>
      <c r="Z66" s="369" t="str">
        <f ca="1">IF($B66&lt;&gt;"PRC_RESID","",IF(Z$7=2005+OFFSET(COM_N_2012!$B$60,$AW66,SUMIF($B$10:$B$16,"NCAP_TLIFE",$AX$10:$AX$16)),0,""))</f>
        <v/>
      </c>
      <c r="AA66" s="369" t="str">
        <f ca="1">IF($B66&lt;&gt;"PRC_RESID","",IF(AA$7=2005+OFFSET(COM_N_2012!$B$60,$AW66,SUMIF($B$10:$B$16,"NCAP_TLIFE",$AX$10:$AX$16)),0,""))</f>
        <v/>
      </c>
      <c r="AB66" s="369" t="str">
        <f ca="1">IF($B66&lt;&gt;"PRC_RESID","",IF(AB$7=2005+OFFSET(COM_N_2012!$B$60,$AW66,SUMIF($B$10:$B$16,"NCAP_TLIFE",$AX$10:$AX$16)),0,""))</f>
        <v/>
      </c>
      <c r="AC66" s="369" t="str">
        <f ca="1">IF($B66&lt;&gt;"PRC_RESID","",IF(AC$7=2005+OFFSET(COM_N_2012!$B$60,$AW66,SUMIF($B$10:$B$16,"NCAP_TLIFE",$AX$10:$AX$16)),0,""))</f>
        <v/>
      </c>
      <c r="AD66" s="369" t="str">
        <f ca="1">IF($B66&lt;&gt;"PRC_RESID","",IF(AD$7=2005+OFFSET(COM_N_2012!$B$60,$AW66,SUMIF($B$10:$B$16,"NCAP_TLIFE",$AX$10:$AX$16)),0,""))</f>
        <v/>
      </c>
      <c r="AE66" s="369" t="str">
        <f ca="1">IF($B66&lt;&gt;"PRC_RESID","",IF(AE$7=2005+OFFSET(COM_N_2012!$B$60,$AW66,SUMIF($B$10:$B$16,"NCAP_TLIFE",$AX$10:$AX$16)),0,""))</f>
        <v/>
      </c>
      <c r="AF66" s="369" t="str">
        <f ca="1">IF($B66&lt;&gt;"PRC_RESID","",IF(AF$7=2005+OFFSET(COM_N_2012!$B$60,$AW66,SUMIF($B$10:$B$16,"NCAP_TLIFE",$AX$10:$AX$16)),0,""))</f>
        <v/>
      </c>
      <c r="AG66" s="369" t="str">
        <f ca="1">IF($B66&lt;&gt;"PRC_RESID","",IF(AG$7=2005+OFFSET(COM_N_2012!$B$60,$AW66,SUMIF($B$10:$B$16,"NCAP_TLIFE",$AX$10:$AX$16)),0,""))</f>
        <v/>
      </c>
      <c r="AH66" s="369" t="str">
        <f ca="1">IF($B66&lt;&gt;"PRC_RESID","",IF(AH$7=2005+OFFSET(COM_N_2012!$B$60,$AW66,SUMIF($B$10:$B$16,"NCAP_TLIFE",$AX$10:$AX$16)),0,""))</f>
        <v/>
      </c>
      <c r="AI66" s="369" t="str">
        <f ca="1">IF($B66&lt;&gt;"PRC_RESID","",IF(AI$7=2005+OFFSET(COM_N_2012!$B$60,$AW66,SUMIF($B$10:$B$16,"NCAP_TLIFE",$AX$10:$AX$16)),0,""))</f>
        <v/>
      </c>
      <c r="AJ66" s="369" t="str">
        <f ca="1">IF($B66&lt;&gt;"PRC_RESID","",IF(AJ$7=2005+OFFSET(COM_N_2012!$B$60,$AW66,SUMIF($B$10:$B$16,"NCAP_TLIFE",$AX$10:$AX$16)),0,""))</f>
        <v/>
      </c>
      <c r="AK66" s="369" t="str">
        <f ca="1">IF($B66&lt;&gt;"PRC_RESID","",IF(AK$7=2005+OFFSET(COM_N_2012!$B$60,$AW66,SUMIF($B$10:$B$16,"NCAP_TLIFE",$AX$10:$AX$16)),0,""))</f>
        <v/>
      </c>
      <c r="AL66" s="369" t="str">
        <f ca="1">IF($B66&lt;&gt;"PRC_RESID","",IF(AL$7=2005+OFFSET(COM_N_2012!$B$60,$AW66,SUMIF($B$10:$B$16,"NCAP_TLIFE",$AX$10:$AX$16)),0,""))</f>
        <v/>
      </c>
      <c r="AM66" s="369" t="str">
        <f ca="1">IF($B66&lt;&gt;"PRC_RESID","",IF(AM$7=2005+OFFSET(COM_N_2012!$B$60,$AW66,SUMIF($B$10:$B$16,"NCAP_TLIFE",$AX$10:$AX$16)),0,""))</f>
        <v/>
      </c>
      <c r="AN66" s="369" t="str">
        <f ca="1">IF($B66&lt;&gt;"PRC_RESID","",IF(AN$7=2005+OFFSET(COM_N_2012!$B$60,$AW66,SUMIF($B$10:$B$16,"NCAP_TLIFE",$AX$10:$AX$16)),0,""))</f>
        <v/>
      </c>
      <c r="AO66" s="369" t="str">
        <f ca="1">IF($B66&lt;&gt;"PRC_RESID","",IF(AO$7=2005+OFFSET(COM_N_2012!$B$60,$AW66,SUMIF($B$10:$B$16,"NCAP_TLIFE",$AX$10:$AX$16)),0,""))</f>
        <v/>
      </c>
      <c r="AP66" s="369" t="str">
        <f ca="1">IF($B66&lt;&gt;"PRC_RESID","",IF(AP$7=2005+OFFSET(COM_N_2012!$B$60,$AW66,SUMIF($B$10:$B$16,"NCAP_TLIFE",$AX$10:$AX$16)),0,""))</f>
        <v/>
      </c>
      <c r="AQ66" s="369" t="str">
        <f ca="1">IF($B66&lt;&gt;"PRC_RESID","",IF(AQ$7=2005+OFFSET(COM_N_2012!$B$60,$AW66,SUMIF($B$10:$B$16,"NCAP_TLIFE",$AX$10:$AX$16)),0,""))</f>
        <v/>
      </c>
      <c r="AR66" s="369" t="str">
        <f ca="1">IF($B66&lt;&gt;"PRC_RESID","",IF(AR$7=2005+OFFSET(COM_N_2012!$B$60,$AW66,SUMIF($B$10:$B$16,"NCAP_TLIFE",$AX$10:$AX$16)),0,""))</f>
        <v/>
      </c>
      <c r="AS66" s="369" t="str">
        <f ca="1">IF($B66&lt;&gt;"PRC_RESID","",IF(AS$7=2005+OFFSET(COM_N_2012!$B$60,$AW66,SUMIF($B$10:$B$16,"NCAP_TLIFE",$AX$10:$AX$16)),0,""))</f>
        <v/>
      </c>
      <c r="AT66" s="369" t="str">
        <f ca="1">IF($B66&lt;&gt;"PRC_RESID","",IF(AT$7=2005+OFFSET(COM_N_2012!$B$60,$AW66,SUMIF($B$10:$B$16,"NCAP_TLIFE",$AX$10:$AX$16)),0,""))</f>
        <v/>
      </c>
      <c r="AU66" s="369" t="str">
        <f ca="1">IF($B66&lt;&gt;"PRC_RESID","",IF(AU$7=2005+OFFSET(COM_N_2012!$B$60,$AW66,SUMIF($B$10:$B$16,"NCAP_TLIFE",$AX$10:$AX$16)),0,""))</f>
        <v/>
      </c>
      <c r="AV66" s="304">
        <f>IF(AW65=COM_N_2012!$AK$121,AV65+1,AV65)</f>
        <v>1</v>
      </c>
      <c r="AW66" s="304">
        <f t="shared" si="4"/>
        <v>49</v>
      </c>
    </row>
    <row r="67" spans="1:49">
      <c r="A67" s="304" t="str">
        <f ca="1">IF(LEFT(OFFSET(COM_N_2012!$A$60,AW67,0),2)="\I","*","")</f>
        <v/>
      </c>
      <c r="B67" s="369" t="str">
        <f t="shared" ca="1" si="2"/>
        <v>ACT_EFF</v>
      </c>
      <c r="C67" s="369" t="str">
        <f ca="1">IF($A67="*","",OFFSET(COM_N_2012!$B$60,AW67,0))</f>
        <v>CNTELC-E</v>
      </c>
      <c r="D67" s="369" t="str">
        <f t="shared" ca="1" si="8"/>
        <v>-</v>
      </c>
      <c r="E67" s="369" t="str">
        <f t="shared" ca="1" si="8"/>
        <v>ACTGRP</v>
      </c>
      <c r="F67" s="369" t="str">
        <f t="shared" ca="1" si="8"/>
        <v>-</v>
      </c>
      <c r="G67" s="369" t="str">
        <f t="shared" ca="1" si="8"/>
        <v>ANNUAL</v>
      </c>
      <c r="H67" s="369" t="str">
        <f t="shared" ca="1" si="8"/>
        <v>-</v>
      </c>
      <c r="I67" s="370">
        <f t="shared" ca="1" si="8"/>
        <v>0</v>
      </c>
      <c r="J67" s="391">
        <f ca="1">IF($A67="*","",OFFSET(COM_N_2012!$B$60,AW67,SUMIF($B$10:$B$16,B67,$AX$10:$AX$16)))</f>
        <v>1</v>
      </c>
      <c r="K67" s="369" t="str">
        <f ca="1">IF($B67&lt;&gt;"PRC_RESID","",IF(K$7=2005+OFFSET(COM_N_2012!$B$60,$AW67,SUMIF($B$10:$B$16,"NCAP_TLIFE",$AX$10:$AX$16)),0,""))</f>
        <v/>
      </c>
      <c r="L67" s="369" t="str">
        <f ca="1">IF($B67&lt;&gt;"PRC_RESID","",IF(L$7=2005+OFFSET(COM_N_2012!$B$60,$AW67,SUMIF($B$10:$B$16,"NCAP_TLIFE",$AX$10:$AX$16)),0,""))</f>
        <v/>
      </c>
      <c r="M67" s="369" t="str">
        <f ca="1">IF($B67&lt;&gt;"PRC_RESID","",IF(M$7=2005+OFFSET(COM_N_2012!$B$60,$AW67,SUMIF($B$10:$B$16,"NCAP_TLIFE",$AX$10:$AX$16)),0,""))</f>
        <v/>
      </c>
      <c r="N67" s="369" t="str">
        <f ca="1">IF($B67&lt;&gt;"PRC_RESID","",IF(N$7=2005+OFFSET(COM_N_2012!$B$60,$AW67,SUMIF($B$10:$B$16,"NCAP_TLIFE",$AX$10:$AX$16)),0,""))</f>
        <v/>
      </c>
      <c r="O67" s="369" t="str">
        <f ca="1">IF($B67&lt;&gt;"PRC_RESID","",IF(O$7=2005+OFFSET(COM_N_2012!$B$60,$AW67,SUMIF($B$10:$B$16,"NCAP_TLIFE",$AX$10:$AX$16)),0,""))</f>
        <v/>
      </c>
      <c r="P67" s="369" t="str">
        <f ca="1">IF($B67&lt;&gt;"PRC_RESID","",IF(P$7=2005+OFFSET(COM_N_2012!$B$60,$AW67,SUMIF($B$10:$B$16,"NCAP_TLIFE",$AX$10:$AX$16)),0,""))</f>
        <v/>
      </c>
      <c r="Q67" s="369" t="str">
        <f ca="1">IF($B67&lt;&gt;"PRC_RESID","",IF(Q$7=2005+OFFSET(COM_N_2012!$B$60,$AW67,SUMIF($B$10:$B$16,"NCAP_TLIFE",$AX$10:$AX$16)),0,""))</f>
        <v/>
      </c>
      <c r="R67" s="369" t="str">
        <f ca="1">IF($B67&lt;&gt;"PRC_RESID","",IF(R$7=2005+OFFSET(COM_N_2012!$B$60,$AW67,SUMIF($B$10:$B$16,"NCAP_TLIFE",$AX$10:$AX$16)),0,""))</f>
        <v/>
      </c>
      <c r="S67" s="369" t="str">
        <f ca="1">IF($B67&lt;&gt;"PRC_RESID","",IF(S$7=2005+OFFSET(COM_N_2012!$B$60,$AW67,SUMIF($B$10:$B$16,"NCAP_TLIFE",$AX$10:$AX$16)),0,""))</f>
        <v/>
      </c>
      <c r="T67" s="369" t="str">
        <f ca="1">IF($B67&lt;&gt;"PRC_RESID","",IF(T$7=2005+OFFSET(COM_N_2012!$B$60,$AW67,SUMIF($B$10:$B$16,"NCAP_TLIFE",$AX$10:$AX$16)),0,""))</f>
        <v/>
      </c>
      <c r="U67" s="369" t="str">
        <f ca="1">IF($B67&lt;&gt;"PRC_RESID","",IF(U$7=2005+OFFSET(COM_N_2012!$B$60,$AW67,SUMIF($B$10:$B$16,"NCAP_TLIFE",$AX$10:$AX$16)),0,""))</f>
        <v/>
      </c>
      <c r="V67" s="369" t="str">
        <f ca="1">IF($B67&lt;&gt;"PRC_RESID","",IF(V$7=2005+OFFSET(COM_N_2012!$B$60,$AW67,SUMIF($B$10:$B$16,"NCAP_TLIFE",$AX$10:$AX$16)),0,""))</f>
        <v/>
      </c>
      <c r="W67" s="369" t="str">
        <f ca="1">IF($B67&lt;&gt;"PRC_RESID","",IF(W$7=2005+OFFSET(COM_N_2012!$B$60,$AW67,SUMIF($B$10:$B$16,"NCAP_TLIFE",$AX$10:$AX$16)),0,""))</f>
        <v/>
      </c>
      <c r="X67" s="369" t="str">
        <f ca="1">IF($B67&lt;&gt;"PRC_RESID","",IF(X$7=2005+OFFSET(COM_N_2012!$B$60,$AW67,SUMIF($B$10:$B$16,"NCAP_TLIFE",$AX$10:$AX$16)),0,""))</f>
        <v/>
      </c>
      <c r="Y67" s="369" t="str">
        <f ca="1">IF($B67&lt;&gt;"PRC_RESID","",IF(Y$7=2005+OFFSET(COM_N_2012!$B$60,$AW67,SUMIF($B$10:$B$16,"NCAP_TLIFE",$AX$10:$AX$16)),0,""))</f>
        <v/>
      </c>
      <c r="Z67" s="369" t="str">
        <f ca="1">IF($B67&lt;&gt;"PRC_RESID","",IF(Z$7=2005+OFFSET(COM_N_2012!$B$60,$AW67,SUMIF($B$10:$B$16,"NCAP_TLIFE",$AX$10:$AX$16)),0,""))</f>
        <v/>
      </c>
      <c r="AA67" s="369" t="str">
        <f ca="1">IF($B67&lt;&gt;"PRC_RESID","",IF(AA$7=2005+OFFSET(COM_N_2012!$B$60,$AW67,SUMIF($B$10:$B$16,"NCAP_TLIFE",$AX$10:$AX$16)),0,""))</f>
        <v/>
      </c>
      <c r="AB67" s="369" t="str">
        <f ca="1">IF($B67&lt;&gt;"PRC_RESID","",IF(AB$7=2005+OFFSET(COM_N_2012!$B$60,$AW67,SUMIF($B$10:$B$16,"NCAP_TLIFE",$AX$10:$AX$16)),0,""))</f>
        <v/>
      </c>
      <c r="AC67" s="369" t="str">
        <f ca="1">IF($B67&lt;&gt;"PRC_RESID","",IF(AC$7=2005+OFFSET(COM_N_2012!$B$60,$AW67,SUMIF($B$10:$B$16,"NCAP_TLIFE",$AX$10:$AX$16)),0,""))</f>
        <v/>
      </c>
      <c r="AD67" s="369" t="str">
        <f ca="1">IF($B67&lt;&gt;"PRC_RESID","",IF(AD$7=2005+OFFSET(COM_N_2012!$B$60,$AW67,SUMIF($B$10:$B$16,"NCAP_TLIFE",$AX$10:$AX$16)),0,""))</f>
        <v/>
      </c>
      <c r="AE67" s="369" t="str">
        <f ca="1">IF($B67&lt;&gt;"PRC_RESID","",IF(AE$7=2005+OFFSET(COM_N_2012!$B$60,$AW67,SUMIF($B$10:$B$16,"NCAP_TLIFE",$AX$10:$AX$16)),0,""))</f>
        <v/>
      </c>
      <c r="AF67" s="369" t="str">
        <f ca="1">IF($B67&lt;&gt;"PRC_RESID","",IF(AF$7=2005+OFFSET(COM_N_2012!$B$60,$AW67,SUMIF($B$10:$B$16,"NCAP_TLIFE",$AX$10:$AX$16)),0,""))</f>
        <v/>
      </c>
      <c r="AG67" s="369" t="str">
        <f ca="1">IF($B67&lt;&gt;"PRC_RESID","",IF(AG$7=2005+OFFSET(COM_N_2012!$B$60,$AW67,SUMIF($B$10:$B$16,"NCAP_TLIFE",$AX$10:$AX$16)),0,""))</f>
        <v/>
      </c>
      <c r="AH67" s="369" t="str">
        <f ca="1">IF($B67&lt;&gt;"PRC_RESID","",IF(AH$7=2005+OFFSET(COM_N_2012!$B$60,$AW67,SUMIF($B$10:$B$16,"NCAP_TLIFE",$AX$10:$AX$16)),0,""))</f>
        <v/>
      </c>
      <c r="AI67" s="369" t="str">
        <f ca="1">IF($B67&lt;&gt;"PRC_RESID","",IF(AI$7=2005+OFFSET(COM_N_2012!$B$60,$AW67,SUMIF($B$10:$B$16,"NCAP_TLIFE",$AX$10:$AX$16)),0,""))</f>
        <v/>
      </c>
      <c r="AJ67" s="369" t="str">
        <f ca="1">IF($B67&lt;&gt;"PRC_RESID","",IF(AJ$7=2005+OFFSET(COM_N_2012!$B$60,$AW67,SUMIF($B$10:$B$16,"NCAP_TLIFE",$AX$10:$AX$16)),0,""))</f>
        <v/>
      </c>
      <c r="AK67" s="369" t="str">
        <f ca="1">IF($B67&lt;&gt;"PRC_RESID","",IF(AK$7=2005+OFFSET(COM_N_2012!$B$60,$AW67,SUMIF($B$10:$B$16,"NCAP_TLIFE",$AX$10:$AX$16)),0,""))</f>
        <v/>
      </c>
      <c r="AL67" s="369" t="str">
        <f ca="1">IF($B67&lt;&gt;"PRC_RESID","",IF(AL$7=2005+OFFSET(COM_N_2012!$B$60,$AW67,SUMIF($B$10:$B$16,"NCAP_TLIFE",$AX$10:$AX$16)),0,""))</f>
        <v/>
      </c>
      <c r="AM67" s="369" t="str">
        <f ca="1">IF($B67&lt;&gt;"PRC_RESID","",IF(AM$7=2005+OFFSET(COM_N_2012!$B$60,$AW67,SUMIF($B$10:$B$16,"NCAP_TLIFE",$AX$10:$AX$16)),0,""))</f>
        <v/>
      </c>
      <c r="AN67" s="369" t="str">
        <f ca="1">IF($B67&lt;&gt;"PRC_RESID","",IF(AN$7=2005+OFFSET(COM_N_2012!$B$60,$AW67,SUMIF($B$10:$B$16,"NCAP_TLIFE",$AX$10:$AX$16)),0,""))</f>
        <v/>
      </c>
      <c r="AO67" s="369" t="str">
        <f ca="1">IF($B67&lt;&gt;"PRC_RESID","",IF(AO$7=2005+OFFSET(COM_N_2012!$B$60,$AW67,SUMIF($B$10:$B$16,"NCAP_TLIFE",$AX$10:$AX$16)),0,""))</f>
        <v/>
      </c>
      <c r="AP67" s="369" t="str">
        <f ca="1">IF($B67&lt;&gt;"PRC_RESID","",IF(AP$7=2005+OFFSET(COM_N_2012!$B$60,$AW67,SUMIF($B$10:$B$16,"NCAP_TLIFE",$AX$10:$AX$16)),0,""))</f>
        <v/>
      </c>
      <c r="AQ67" s="369" t="str">
        <f ca="1">IF($B67&lt;&gt;"PRC_RESID","",IF(AQ$7=2005+OFFSET(COM_N_2012!$B$60,$AW67,SUMIF($B$10:$B$16,"NCAP_TLIFE",$AX$10:$AX$16)),0,""))</f>
        <v/>
      </c>
      <c r="AR67" s="369" t="str">
        <f ca="1">IF($B67&lt;&gt;"PRC_RESID","",IF(AR$7=2005+OFFSET(COM_N_2012!$B$60,$AW67,SUMIF($B$10:$B$16,"NCAP_TLIFE",$AX$10:$AX$16)),0,""))</f>
        <v/>
      </c>
      <c r="AS67" s="369" t="str">
        <f ca="1">IF($B67&lt;&gt;"PRC_RESID","",IF(AS$7=2005+OFFSET(COM_N_2012!$B$60,$AW67,SUMIF($B$10:$B$16,"NCAP_TLIFE",$AX$10:$AX$16)),0,""))</f>
        <v/>
      </c>
      <c r="AT67" s="369" t="str">
        <f ca="1">IF($B67&lt;&gt;"PRC_RESID","",IF(AT$7=2005+OFFSET(COM_N_2012!$B$60,$AW67,SUMIF($B$10:$B$16,"NCAP_TLIFE",$AX$10:$AX$16)),0,""))</f>
        <v/>
      </c>
      <c r="AU67" s="369" t="str">
        <f ca="1">IF($B67&lt;&gt;"PRC_RESID","",IF(AU$7=2005+OFFSET(COM_N_2012!$B$60,$AW67,SUMIF($B$10:$B$16,"NCAP_TLIFE",$AX$10:$AX$16)),0,""))</f>
        <v/>
      </c>
      <c r="AV67" s="304">
        <f>IF(AW66=COM_N_2012!$AK$121,AV66+1,AV66)</f>
        <v>1</v>
      </c>
      <c r="AW67" s="304">
        <f t="shared" si="4"/>
        <v>50</v>
      </c>
    </row>
    <row r="68" spans="1:49">
      <c r="A68" s="304" t="str">
        <f ca="1">IF(LEFT(OFFSET(COM_N_2012!$A$60,AW68,0),2)="\I","*","")</f>
        <v>*</v>
      </c>
      <c r="B68" s="369" t="str">
        <f t="shared" ca="1" si="2"/>
        <v/>
      </c>
      <c r="C68" s="369" t="str">
        <f ca="1">IF($A68="*","",OFFSET(COM_N_2012!$B$60,AW68,0))</f>
        <v/>
      </c>
      <c r="D68" s="369" t="str">
        <f t="shared" ref="D68:I77" ca="1" si="9">IF($A68="*","",VLOOKUP($B68,$B$10:$I$16,D$9,FALSE))</f>
        <v/>
      </c>
      <c r="E68" s="369" t="str">
        <f t="shared" ca="1" si="9"/>
        <v/>
      </c>
      <c r="F68" s="369" t="str">
        <f t="shared" ca="1" si="9"/>
        <v/>
      </c>
      <c r="G68" s="369" t="str">
        <f t="shared" ca="1" si="9"/>
        <v/>
      </c>
      <c r="H68" s="369" t="str">
        <f t="shared" ca="1" si="9"/>
        <v/>
      </c>
      <c r="I68" s="370" t="str">
        <f t="shared" ca="1" si="9"/>
        <v/>
      </c>
      <c r="J68" s="391" t="str">
        <f ca="1">IF($A68="*","",OFFSET(COM_N_2012!$B$60,AW68,SUMIF($B$10:$B$16,B68,$AX$10:$AX$16)))</f>
        <v/>
      </c>
      <c r="K68" s="369" t="str">
        <f ca="1">IF($B68&lt;&gt;"PRC_RESID","",IF(K$7=2005+OFFSET(COM_N_2012!$B$60,$AW68,SUMIF($B$10:$B$16,"NCAP_TLIFE",$AX$10:$AX$16)),0,""))</f>
        <v/>
      </c>
      <c r="L68" s="369" t="str">
        <f ca="1">IF($B68&lt;&gt;"PRC_RESID","",IF(L$7=2005+OFFSET(COM_N_2012!$B$60,$AW68,SUMIF($B$10:$B$16,"NCAP_TLIFE",$AX$10:$AX$16)),0,""))</f>
        <v/>
      </c>
      <c r="M68" s="369" t="str">
        <f ca="1">IF($B68&lt;&gt;"PRC_RESID","",IF(M$7=2005+OFFSET(COM_N_2012!$B$60,$AW68,SUMIF($B$10:$B$16,"NCAP_TLIFE",$AX$10:$AX$16)),0,""))</f>
        <v/>
      </c>
      <c r="N68" s="369" t="str">
        <f ca="1">IF($B68&lt;&gt;"PRC_RESID","",IF(N$7=2005+OFFSET(COM_N_2012!$B$60,$AW68,SUMIF($B$10:$B$16,"NCAP_TLIFE",$AX$10:$AX$16)),0,""))</f>
        <v/>
      </c>
      <c r="O68" s="369" t="str">
        <f ca="1">IF($B68&lt;&gt;"PRC_RESID","",IF(O$7=2005+OFFSET(COM_N_2012!$B$60,$AW68,SUMIF($B$10:$B$16,"NCAP_TLIFE",$AX$10:$AX$16)),0,""))</f>
        <v/>
      </c>
      <c r="P68" s="369" t="str">
        <f ca="1">IF($B68&lt;&gt;"PRC_RESID","",IF(P$7=2005+OFFSET(COM_N_2012!$B$60,$AW68,SUMIF($B$10:$B$16,"NCAP_TLIFE",$AX$10:$AX$16)),0,""))</f>
        <v/>
      </c>
      <c r="Q68" s="369" t="str">
        <f ca="1">IF($B68&lt;&gt;"PRC_RESID","",IF(Q$7=2005+OFFSET(COM_N_2012!$B$60,$AW68,SUMIF($B$10:$B$16,"NCAP_TLIFE",$AX$10:$AX$16)),0,""))</f>
        <v/>
      </c>
      <c r="R68" s="369" t="str">
        <f ca="1">IF($B68&lt;&gt;"PRC_RESID","",IF(R$7=2005+OFFSET(COM_N_2012!$B$60,$AW68,SUMIF($B$10:$B$16,"NCAP_TLIFE",$AX$10:$AX$16)),0,""))</f>
        <v/>
      </c>
      <c r="S68" s="369" t="str">
        <f ca="1">IF($B68&lt;&gt;"PRC_RESID","",IF(S$7=2005+OFFSET(COM_N_2012!$B$60,$AW68,SUMIF($B$10:$B$16,"NCAP_TLIFE",$AX$10:$AX$16)),0,""))</f>
        <v/>
      </c>
      <c r="T68" s="369" t="str">
        <f ca="1">IF($B68&lt;&gt;"PRC_RESID","",IF(T$7=2005+OFFSET(COM_N_2012!$B$60,$AW68,SUMIF($B$10:$B$16,"NCAP_TLIFE",$AX$10:$AX$16)),0,""))</f>
        <v/>
      </c>
      <c r="U68" s="369" t="str">
        <f ca="1">IF($B68&lt;&gt;"PRC_RESID","",IF(U$7=2005+OFFSET(COM_N_2012!$B$60,$AW68,SUMIF($B$10:$B$16,"NCAP_TLIFE",$AX$10:$AX$16)),0,""))</f>
        <v/>
      </c>
      <c r="V68" s="369" t="str">
        <f ca="1">IF($B68&lt;&gt;"PRC_RESID","",IF(V$7=2005+OFFSET(COM_N_2012!$B$60,$AW68,SUMIF($B$10:$B$16,"NCAP_TLIFE",$AX$10:$AX$16)),0,""))</f>
        <v/>
      </c>
      <c r="W68" s="369" t="str">
        <f ca="1">IF($B68&lt;&gt;"PRC_RESID","",IF(W$7=2005+OFFSET(COM_N_2012!$B$60,$AW68,SUMIF($B$10:$B$16,"NCAP_TLIFE",$AX$10:$AX$16)),0,""))</f>
        <v/>
      </c>
      <c r="X68" s="369" t="str">
        <f ca="1">IF($B68&lt;&gt;"PRC_RESID","",IF(X$7=2005+OFFSET(COM_N_2012!$B$60,$AW68,SUMIF($B$10:$B$16,"NCAP_TLIFE",$AX$10:$AX$16)),0,""))</f>
        <v/>
      </c>
      <c r="Y68" s="369" t="str">
        <f ca="1">IF($B68&lt;&gt;"PRC_RESID","",IF(Y$7=2005+OFFSET(COM_N_2012!$B$60,$AW68,SUMIF($B$10:$B$16,"NCAP_TLIFE",$AX$10:$AX$16)),0,""))</f>
        <v/>
      </c>
      <c r="Z68" s="369" t="str">
        <f ca="1">IF($B68&lt;&gt;"PRC_RESID","",IF(Z$7=2005+OFFSET(COM_N_2012!$B$60,$AW68,SUMIF($B$10:$B$16,"NCAP_TLIFE",$AX$10:$AX$16)),0,""))</f>
        <v/>
      </c>
      <c r="AA68" s="369" t="str">
        <f ca="1">IF($B68&lt;&gt;"PRC_RESID","",IF(AA$7=2005+OFFSET(COM_N_2012!$B$60,$AW68,SUMIF($B$10:$B$16,"NCAP_TLIFE",$AX$10:$AX$16)),0,""))</f>
        <v/>
      </c>
      <c r="AB68" s="369" t="str">
        <f ca="1">IF($B68&lt;&gt;"PRC_RESID","",IF(AB$7=2005+OFFSET(COM_N_2012!$B$60,$AW68,SUMIF($B$10:$B$16,"NCAP_TLIFE",$AX$10:$AX$16)),0,""))</f>
        <v/>
      </c>
      <c r="AC68" s="369" t="str">
        <f ca="1">IF($B68&lt;&gt;"PRC_RESID","",IF(AC$7=2005+OFFSET(COM_N_2012!$B$60,$AW68,SUMIF($B$10:$B$16,"NCAP_TLIFE",$AX$10:$AX$16)),0,""))</f>
        <v/>
      </c>
      <c r="AD68" s="369" t="str">
        <f ca="1">IF($B68&lt;&gt;"PRC_RESID","",IF(AD$7=2005+OFFSET(COM_N_2012!$B$60,$AW68,SUMIF($B$10:$B$16,"NCAP_TLIFE",$AX$10:$AX$16)),0,""))</f>
        <v/>
      </c>
      <c r="AE68" s="369" t="str">
        <f ca="1">IF($B68&lt;&gt;"PRC_RESID","",IF(AE$7=2005+OFFSET(COM_N_2012!$B$60,$AW68,SUMIF($B$10:$B$16,"NCAP_TLIFE",$AX$10:$AX$16)),0,""))</f>
        <v/>
      </c>
      <c r="AF68" s="369" t="str">
        <f ca="1">IF($B68&lt;&gt;"PRC_RESID","",IF(AF$7=2005+OFFSET(COM_N_2012!$B$60,$AW68,SUMIF($B$10:$B$16,"NCAP_TLIFE",$AX$10:$AX$16)),0,""))</f>
        <v/>
      </c>
      <c r="AG68" s="369" t="str">
        <f ca="1">IF($B68&lt;&gt;"PRC_RESID","",IF(AG$7=2005+OFFSET(COM_N_2012!$B$60,$AW68,SUMIF($B$10:$B$16,"NCAP_TLIFE",$AX$10:$AX$16)),0,""))</f>
        <v/>
      </c>
      <c r="AH68" s="369" t="str">
        <f ca="1">IF($B68&lt;&gt;"PRC_RESID","",IF(AH$7=2005+OFFSET(COM_N_2012!$B$60,$AW68,SUMIF($B$10:$B$16,"NCAP_TLIFE",$AX$10:$AX$16)),0,""))</f>
        <v/>
      </c>
      <c r="AI68" s="369" t="str">
        <f ca="1">IF($B68&lt;&gt;"PRC_RESID","",IF(AI$7=2005+OFFSET(COM_N_2012!$B$60,$AW68,SUMIF($B$10:$B$16,"NCAP_TLIFE",$AX$10:$AX$16)),0,""))</f>
        <v/>
      </c>
      <c r="AJ68" s="369" t="str">
        <f ca="1">IF($B68&lt;&gt;"PRC_RESID","",IF(AJ$7=2005+OFFSET(COM_N_2012!$B$60,$AW68,SUMIF($B$10:$B$16,"NCAP_TLIFE",$AX$10:$AX$16)),0,""))</f>
        <v/>
      </c>
      <c r="AK68" s="369" t="str">
        <f ca="1">IF($B68&lt;&gt;"PRC_RESID","",IF(AK$7=2005+OFFSET(COM_N_2012!$B$60,$AW68,SUMIF($B$10:$B$16,"NCAP_TLIFE",$AX$10:$AX$16)),0,""))</f>
        <v/>
      </c>
      <c r="AL68" s="369" t="str">
        <f ca="1">IF($B68&lt;&gt;"PRC_RESID","",IF(AL$7=2005+OFFSET(COM_N_2012!$B$60,$AW68,SUMIF($B$10:$B$16,"NCAP_TLIFE",$AX$10:$AX$16)),0,""))</f>
        <v/>
      </c>
      <c r="AM68" s="369" t="str">
        <f ca="1">IF($B68&lt;&gt;"PRC_RESID","",IF(AM$7=2005+OFFSET(COM_N_2012!$B$60,$AW68,SUMIF($B$10:$B$16,"NCAP_TLIFE",$AX$10:$AX$16)),0,""))</f>
        <v/>
      </c>
      <c r="AN68" s="369" t="str">
        <f ca="1">IF($B68&lt;&gt;"PRC_RESID","",IF(AN$7=2005+OFFSET(COM_N_2012!$B$60,$AW68,SUMIF($B$10:$B$16,"NCAP_TLIFE",$AX$10:$AX$16)),0,""))</f>
        <v/>
      </c>
      <c r="AO68" s="369" t="str">
        <f ca="1">IF($B68&lt;&gt;"PRC_RESID","",IF(AO$7=2005+OFFSET(COM_N_2012!$B$60,$AW68,SUMIF($B$10:$B$16,"NCAP_TLIFE",$AX$10:$AX$16)),0,""))</f>
        <v/>
      </c>
      <c r="AP68" s="369" t="str">
        <f ca="1">IF($B68&lt;&gt;"PRC_RESID","",IF(AP$7=2005+OFFSET(COM_N_2012!$B$60,$AW68,SUMIF($B$10:$B$16,"NCAP_TLIFE",$AX$10:$AX$16)),0,""))</f>
        <v/>
      </c>
      <c r="AQ68" s="369" t="str">
        <f ca="1">IF($B68&lt;&gt;"PRC_RESID","",IF(AQ$7=2005+OFFSET(COM_N_2012!$B$60,$AW68,SUMIF($B$10:$B$16,"NCAP_TLIFE",$AX$10:$AX$16)),0,""))</f>
        <v/>
      </c>
      <c r="AR68" s="369" t="str">
        <f ca="1">IF($B68&lt;&gt;"PRC_RESID","",IF(AR$7=2005+OFFSET(COM_N_2012!$B$60,$AW68,SUMIF($B$10:$B$16,"NCAP_TLIFE",$AX$10:$AX$16)),0,""))</f>
        <v/>
      </c>
      <c r="AS68" s="369" t="str">
        <f ca="1">IF($B68&lt;&gt;"PRC_RESID","",IF(AS$7=2005+OFFSET(COM_N_2012!$B$60,$AW68,SUMIF($B$10:$B$16,"NCAP_TLIFE",$AX$10:$AX$16)),0,""))</f>
        <v/>
      </c>
      <c r="AT68" s="369" t="str">
        <f ca="1">IF($B68&lt;&gt;"PRC_RESID","",IF(AT$7=2005+OFFSET(COM_N_2012!$B$60,$AW68,SUMIF($B$10:$B$16,"NCAP_TLIFE",$AX$10:$AX$16)),0,""))</f>
        <v/>
      </c>
      <c r="AU68" s="369" t="str">
        <f ca="1">IF($B68&lt;&gt;"PRC_RESID","",IF(AU$7=2005+OFFSET(COM_N_2012!$B$60,$AW68,SUMIF($B$10:$B$16,"NCAP_TLIFE",$AX$10:$AX$16)),0,""))</f>
        <v/>
      </c>
      <c r="AV68" s="304">
        <f>IF(AW67=COM_N_2012!$AK$121,AV67+1,AV67)</f>
        <v>1</v>
      </c>
      <c r="AW68" s="304">
        <f t="shared" si="4"/>
        <v>51</v>
      </c>
    </row>
    <row r="69" spans="1:49">
      <c r="A69" s="304" t="str">
        <f ca="1">IF(LEFT(OFFSET(COM_N_2012!$A$60,AW69,0),2)="\I","*","")</f>
        <v>*</v>
      </c>
      <c r="B69" s="369" t="str">
        <f t="shared" ca="1" si="2"/>
        <v/>
      </c>
      <c r="C69" s="369" t="str">
        <f ca="1">IF($A69="*","",OFFSET(COM_N_2012!$B$60,AW69,0))</f>
        <v/>
      </c>
      <c r="D69" s="369" t="str">
        <f t="shared" ca="1" si="9"/>
        <v/>
      </c>
      <c r="E69" s="369" t="str">
        <f t="shared" ca="1" si="9"/>
        <v/>
      </c>
      <c r="F69" s="369" t="str">
        <f t="shared" ca="1" si="9"/>
        <v/>
      </c>
      <c r="G69" s="369" t="str">
        <f t="shared" ca="1" si="9"/>
        <v/>
      </c>
      <c r="H69" s="369" t="str">
        <f t="shared" ca="1" si="9"/>
        <v/>
      </c>
      <c r="I69" s="370" t="str">
        <f t="shared" ca="1" si="9"/>
        <v/>
      </c>
      <c r="J69" s="391" t="str">
        <f ca="1">IF($A69="*","",OFFSET(COM_N_2012!$B$60,AW69,SUMIF($B$10:$B$16,B69,$AX$10:$AX$16)))</f>
        <v/>
      </c>
      <c r="K69" s="369" t="str">
        <f ca="1">IF($B69&lt;&gt;"PRC_RESID","",IF(K$7=2005+OFFSET(COM_N_2012!$B$60,$AW69,SUMIF($B$10:$B$16,"NCAP_TLIFE",$AX$10:$AX$16)),0,""))</f>
        <v/>
      </c>
      <c r="L69" s="369" t="str">
        <f ca="1">IF($B69&lt;&gt;"PRC_RESID","",IF(L$7=2005+OFFSET(COM_N_2012!$B$60,$AW69,SUMIF($B$10:$B$16,"NCAP_TLIFE",$AX$10:$AX$16)),0,""))</f>
        <v/>
      </c>
      <c r="M69" s="369" t="str">
        <f ca="1">IF($B69&lt;&gt;"PRC_RESID","",IF(M$7=2005+OFFSET(COM_N_2012!$B$60,$AW69,SUMIF($B$10:$B$16,"NCAP_TLIFE",$AX$10:$AX$16)),0,""))</f>
        <v/>
      </c>
      <c r="N69" s="369" t="str">
        <f ca="1">IF($B69&lt;&gt;"PRC_RESID","",IF(N$7=2005+OFFSET(COM_N_2012!$B$60,$AW69,SUMIF($B$10:$B$16,"NCAP_TLIFE",$AX$10:$AX$16)),0,""))</f>
        <v/>
      </c>
      <c r="O69" s="369" t="str">
        <f ca="1">IF($B69&lt;&gt;"PRC_RESID","",IF(O$7=2005+OFFSET(COM_N_2012!$B$60,$AW69,SUMIF($B$10:$B$16,"NCAP_TLIFE",$AX$10:$AX$16)),0,""))</f>
        <v/>
      </c>
      <c r="P69" s="369" t="str">
        <f ca="1">IF($B69&lt;&gt;"PRC_RESID","",IF(P$7=2005+OFFSET(COM_N_2012!$B$60,$AW69,SUMIF($B$10:$B$16,"NCAP_TLIFE",$AX$10:$AX$16)),0,""))</f>
        <v/>
      </c>
      <c r="Q69" s="369" t="str">
        <f ca="1">IF($B69&lt;&gt;"PRC_RESID","",IF(Q$7=2005+OFFSET(COM_N_2012!$B$60,$AW69,SUMIF($B$10:$B$16,"NCAP_TLIFE",$AX$10:$AX$16)),0,""))</f>
        <v/>
      </c>
      <c r="R69" s="369" t="str">
        <f ca="1">IF($B69&lt;&gt;"PRC_RESID","",IF(R$7=2005+OFFSET(COM_N_2012!$B$60,$AW69,SUMIF($B$10:$B$16,"NCAP_TLIFE",$AX$10:$AX$16)),0,""))</f>
        <v/>
      </c>
      <c r="S69" s="369" t="str">
        <f ca="1">IF($B69&lt;&gt;"PRC_RESID","",IF(S$7=2005+OFFSET(COM_N_2012!$B$60,$AW69,SUMIF($B$10:$B$16,"NCAP_TLIFE",$AX$10:$AX$16)),0,""))</f>
        <v/>
      </c>
      <c r="T69" s="369" t="str">
        <f ca="1">IF($B69&lt;&gt;"PRC_RESID","",IF(T$7=2005+OFFSET(COM_N_2012!$B$60,$AW69,SUMIF($B$10:$B$16,"NCAP_TLIFE",$AX$10:$AX$16)),0,""))</f>
        <v/>
      </c>
      <c r="U69" s="369" t="str">
        <f ca="1">IF($B69&lt;&gt;"PRC_RESID","",IF(U$7=2005+OFFSET(COM_N_2012!$B$60,$AW69,SUMIF($B$10:$B$16,"NCAP_TLIFE",$AX$10:$AX$16)),0,""))</f>
        <v/>
      </c>
      <c r="V69" s="369" t="str">
        <f ca="1">IF($B69&lt;&gt;"PRC_RESID","",IF(V$7=2005+OFFSET(COM_N_2012!$B$60,$AW69,SUMIF($B$10:$B$16,"NCAP_TLIFE",$AX$10:$AX$16)),0,""))</f>
        <v/>
      </c>
      <c r="W69" s="369" t="str">
        <f ca="1">IF($B69&lt;&gt;"PRC_RESID","",IF(W$7=2005+OFFSET(COM_N_2012!$B$60,$AW69,SUMIF($B$10:$B$16,"NCAP_TLIFE",$AX$10:$AX$16)),0,""))</f>
        <v/>
      </c>
      <c r="X69" s="369" t="str">
        <f ca="1">IF($B69&lt;&gt;"PRC_RESID","",IF(X$7=2005+OFFSET(COM_N_2012!$B$60,$AW69,SUMIF($B$10:$B$16,"NCAP_TLIFE",$AX$10:$AX$16)),0,""))</f>
        <v/>
      </c>
      <c r="Y69" s="369" t="str">
        <f ca="1">IF($B69&lt;&gt;"PRC_RESID","",IF(Y$7=2005+OFFSET(COM_N_2012!$B$60,$AW69,SUMIF($B$10:$B$16,"NCAP_TLIFE",$AX$10:$AX$16)),0,""))</f>
        <v/>
      </c>
      <c r="Z69" s="369" t="str">
        <f ca="1">IF($B69&lt;&gt;"PRC_RESID","",IF(Z$7=2005+OFFSET(COM_N_2012!$B$60,$AW69,SUMIF($B$10:$B$16,"NCAP_TLIFE",$AX$10:$AX$16)),0,""))</f>
        <v/>
      </c>
      <c r="AA69" s="369" t="str">
        <f ca="1">IF($B69&lt;&gt;"PRC_RESID","",IF(AA$7=2005+OFFSET(COM_N_2012!$B$60,$AW69,SUMIF($B$10:$B$16,"NCAP_TLIFE",$AX$10:$AX$16)),0,""))</f>
        <v/>
      </c>
      <c r="AB69" s="369" t="str">
        <f ca="1">IF($B69&lt;&gt;"PRC_RESID","",IF(AB$7=2005+OFFSET(COM_N_2012!$B$60,$AW69,SUMIF($B$10:$B$16,"NCAP_TLIFE",$AX$10:$AX$16)),0,""))</f>
        <v/>
      </c>
      <c r="AC69" s="369" t="str">
        <f ca="1">IF($B69&lt;&gt;"PRC_RESID","",IF(AC$7=2005+OFFSET(COM_N_2012!$B$60,$AW69,SUMIF($B$10:$B$16,"NCAP_TLIFE",$AX$10:$AX$16)),0,""))</f>
        <v/>
      </c>
      <c r="AD69" s="369" t="str">
        <f ca="1">IF($B69&lt;&gt;"PRC_RESID","",IF(AD$7=2005+OFFSET(COM_N_2012!$B$60,$AW69,SUMIF($B$10:$B$16,"NCAP_TLIFE",$AX$10:$AX$16)),0,""))</f>
        <v/>
      </c>
      <c r="AE69" s="369" t="str">
        <f ca="1">IF($B69&lt;&gt;"PRC_RESID","",IF(AE$7=2005+OFFSET(COM_N_2012!$B$60,$AW69,SUMIF($B$10:$B$16,"NCAP_TLIFE",$AX$10:$AX$16)),0,""))</f>
        <v/>
      </c>
      <c r="AF69" s="369" t="str">
        <f ca="1">IF($B69&lt;&gt;"PRC_RESID","",IF(AF$7=2005+OFFSET(COM_N_2012!$B$60,$AW69,SUMIF($B$10:$B$16,"NCAP_TLIFE",$AX$10:$AX$16)),0,""))</f>
        <v/>
      </c>
      <c r="AG69" s="369" t="str">
        <f ca="1">IF($B69&lt;&gt;"PRC_RESID","",IF(AG$7=2005+OFFSET(COM_N_2012!$B$60,$AW69,SUMIF($B$10:$B$16,"NCAP_TLIFE",$AX$10:$AX$16)),0,""))</f>
        <v/>
      </c>
      <c r="AH69" s="369" t="str">
        <f ca="1">IF($B69&lt;&gt;"PRC_RESID","",IF(AH$7=2005+OFFSET(COM_N_2012!$B$60,$AW69,SUMIF($B$10:$B$16,"NCAP_TLIFE",$AX$10:$AX$16)),0,""))</f>
        <v/>
      </c>
      <c r="AI69" s="369" t="str">
        <f ca="1">IF($B69&lt;&gt;"PRC_RESID","",IF(AI$7=2005+OFFSET(COM_N_2012!$B$60,$AW69,SUMIF($B$10:$B$16,"NCAP_TLIFE",$AX$10:$AX$16)),0,""))</f>
        <v/>
      </c>
      <c r="AJ69" s="369" t="str">
        <f ca="1">IF($B69&lt;&gt;"PRC_RESID","",IF(AJ$7=2005+OFFSET(COM_N_2012!$B$60,$AW69,SUMIF($B$10:$B$16,"NCAP_TLIFE",$AX$10:$AX$16)),0,""))</f>
        <v/>
      </c>
      <c r="AK69" s="369" t="str">
        <f ca="1">IF($B69&lt;&gt;"PRC_RESID","",IF(AK$7=2005+OFFSET(COM_N_2012!$B$60,$AW69,SUMIF($B$10:$B$16,"NCAP_TLIFE",$AX$10:$AX$16)),0,""))</f>
        <v/>
      </c>
      <c r="AL69" s="369" t="str">
        <f ca="1">IF($B69&lt;&gt;"PRC_RESID","",IF(AL$7=2005+OFFSET(COM_N_2012!$B$60,$AW69,SUMIF($B$10:$B$16,"NCAP_TLIFE",$AX$10:$AX$16)),0,""))</f>
        <v/>
      </c>
      <c r="AM69" s="369" t="str">
        <f ca="1">IF($B69&lt;&gt;"PRC_RESID","",IF(AM$7=2005+OFFSET(COM_N_2012!$B$60,$AW69,SUMIF($B$10:$B$16,"NCAP_TLIFE",$AX$10:$AX$16)),0,""))</f>
        <v/>
      </c>
      <c r="AN69" s="369" t="str">
        <f ca="1">IF($B69&lt;&gt;"PRC_RESID","",IF(AN$7=2005+OFFSET(COM_N_2012!$B$60,$AW69,SUMIF($B$10:$B$16,"NCAP_TLIFE",$AX$10:$AX$16)),0,""))</f>
        <v/>
      </c>
      <c r="AO69" s="369" t="str">
        <f ca="1">IF($B69&lt;&gt;"PRC_RESID","",IF(AO$7=2005+OFFSET(COM_N_2012!$B$60,$AW69,SUMIF($B$10:$B$16,"NCAP_TLIFE",$AX$10:$AX$16)),0,""))</f>
        <v/>
      </c>
      <c r="AP69" s="369" t="str">
        <f ca="1">IF($B69&lt;&gt;"PRC_RESID","",IF(AP$7=2005+OFFSET(COM_N_2012!$B$60,$AW69,SUMIF($B$10:$B$16,"NCAP_TLIFE",$AX$10:$AX$16)),0,""))</f>
        <v/>
      </c>
      <c r="AQ69" s="369" t="str">
        <f ca="1">IF($B69&lt;&gt;"PRC_RESID","",IF(AQ$7=2005+OFFSET(COM_N_2012!$B$60,$AW69,SUMIF($B$10:$B$16,"NCAP_TLIFE",$AX$10:$AX$16)),0,""))</f>
        <v/>
      </c>
      <c r="AR69" s="369" t="str">
        <f ca="1">IF($B69&lt;&gt;"PRC_RESID","",IF(AR$7=2005+OFFSET(COM_N_2012!$B$60,$AW69,SUMIF($B$10:$B$16,"NCAP_TLIFE",$AX$10:$AX$16)),0,""))</f>
        <v/>
      </c>
      <c r="AS69" s="369" t="str">
        <f ca="1">IF($B69&lt;&gt;"PRC_RESID","",IF(AS$7=2005+OFFSET(COM_N_2012!$B$60,$AW69,SUMIF($B$10:$B$16,"NCAP_TLIFE",$AX$10:$AX$16)),0,""))</f>
        <v/>
      </c>
      <c r="AT69" s="369" t="str">
        <f ca="1">IF($B69&lt;&gt;"PRC_RESID","",IF(AT$7=2005+OFFSET(COM_N_2012!$B$60,$AW69,SUMIF($B$10:$B$16,"NCAP_TLIFE",$AX$10:$AX$16)),0,""))</f>
        <v/>
      </c>
      <c r="AU69" s="369" t="str">
        <f ca="1">IF($B69&lt;&gt;"PRC_RESID","",IF(AU$7=2005+OFFSET(COM_N_2012!$B$60,$AW69,SUMIF($B$10:$B$16,"NCAP_TLIFE",$AX$10:$AX$16)),0,""))</f>
        <v/>
      </c>
      <c r="AV69" s="304">
        <f>IF(AW68=COM_N_2012!$AK$121,AV68+1,AV68)</f>
        <v>1</v>
      </c>
      <c r="AW69" s="304">
        <f t="shared" si="4"/>
        <v>52</v>
      </c>
    </row>
    <row r="70" spans="1:49">
      <c r="A70" s="304" t="str">
        <f ca="1">IF(LEFT(OFFSET(COM_N_2012!$A$60,AW70,0),2)="\I","*","")</f>
        <v/>
      </c>
      <c r="B70" s="369" t="str">
        <f t="shared" ca="1" si="2"/>
        <v>ACT_EFF</v>
      </c>
      <c r="C70" s="369" t="str">
        <f ca="1">IF($A70="*","",OFFSET(COM_N_2012!$B$60,AW70,0))</f>
        <v>CNOCOA-E</v>
      </c>
      <c r="D70" s="369" t="str">
        <f t="shared" ca="1" si="9"/>
        <v>-</v>
      </c>
      <c r="E70" s="369" t="str">
        <f t="shared" ca="1" si="9"/>
        <v>ACTGRP</v>
      </c>
      <c r="F70" s="369" t="str">
        <f t="shared" ca="1" si="9"/>
        <v>-</v>
      </c>
      <c r="G70" s="369" t="str">
        <f t="shared" ca="1" si="9"/>
        <v>ANNUAL</v>
      </c>
      <c r="H70" s="369" t="str">
        <f t="shared" ca="1" si="9"/>
        <v>-</v>
      </c>
      <c r="I70" s="370">
        <f t="shared" ca="1" si="9"/>
        <v>0</v>
      </c>
      <c r="J70" s="391">
        <f ca="1">IF($A70="*","",OFFSET(COM_N_2012!$B$60,AW70,SUMIF($B$10:$B$16,B70,$AX$10:$AX$16)))</f>
        <v>1</v>
      </c>
      <c r="K70" s="369" t="str">
        <f ca="1">IF($B70&lt;&gt;"PRC_RESID","",IF(K$7=2005+OFFSET(COM_N_2012!$B$60,$AW70,SUMIF($B$10:$B$16,"NCAP_TLIFE",$AX$10:$AX$16)),0,""))</f>
        <v/>
      </c>
      <c r="L70" s="369" t="str">
        <f ca="1">IF($B70&lt;&gt;"PRC_RESID","",IF(L$7=2005+OFFSET(COM_N_2012!$B$60,$AW70,SUMIF($B$10:$B$16,"NCAP_TLIFE",$AX$10:$AX$16)),0,""))</f>
        <v/>
      </c>
      <c r="M70" s="369" t="str">
        <f ca="1">IF($B70&lt;&gt;"PRC_RESID","",IF(M$7=2005+OFFSET(COM_N_2012!$B$60,$AW70,SUMIF($B$10:$B$16,"NCAP_TLIFE",$AX$10:$AX$16)),0,""))</f>
        <v/>
      </c>
      <c r="N70" s="369" t="str">
        <f ca="1">IF($B70&lt;&gt;"PRC_RESID","",IF(N$7=2005+OFFSET(COM_N_2012!$B$60,$AW70,SUMIF($B$10:$B$16,"NCAP_TLIFE",$AX$10:$AX$16)),0,""))</f>
        <v/>
      </c>
      <c r="O70" s="369" t="str">
        <f ca="1">IF($B70&lt;&gt;"PRC_RESID","",IF(O$7=2005+OFFSET(COM_N_2012!$B$60,$AW70,SUMIF($B$10:$B$16,"NCAP_TLIFE",$AX$10:$AX$16)),0,""))</f>
        <v/>
      </c>
      <c r="P70" s="369" t="str">
        <f ca="1">IF($B70&lt;&gt;"PRC_RESID","",IF(P$7=2005+OFFSET(COM_N_2012!$B$60,$AW70,SUMIF($B$10:$B$16,"NCAP_TLIFE",$AX$10:$AX$16)),0,""))</f>
        <v/>
      </c>
      <c r="Q70" s="369" t="str">
        <f ca="1">IF($B70&lt;&gt;"PRC_RESID","",IF(Q$7=2005+OFFSET(COM_N_2012!$B$60,$AW70,SUMIF($B$10:$B$16,"NCAP_TLIFE",$AX$10:$AX$16)),0,""))</f>
        <v/>
      </c>
      <c r="R70" s="369" t="str">
        <f ca="1">IF($B70&lt;&gt;"PRC_RESID","",IF(R$7=2005+OFFSET(COM_N_2012!$B$60,$AW70,SUMIF($B$10:$B$16,"NCAP_TLIFE",$AX$10:$AX$16)),0,""))</f>
        <v/>
      </c>
      <c r="S70" s="369" t="str">
        <f ca="1">IF($B70&lt;&gt;"PRC_RESID","",IF(S$7=2005+OFFSET(COM_N_2012!$B$60,$AW70,SUMIF($B$10:$B$16,"NCAP_TLIFE",$AX$10:$AX$16)),0,""))</f>
        <v/>
      </c>
      <c r="T70" s="369" t="str">
        <f ca="1">IF($B70&lt;&gt;"PRC_RESID","",IF(T$7=2005+OFFSET(COM_N_2012!$B$60,$AW70,SUMIF($B$10:$B$16,"NCAP_TLIFE",$AX$10:$AX$16)),0,""))</f>
        <v/>
      </c>
      <c r="U70" s="369" t="str">
        <f ca="1">IF($B70&lt;&gt;"PRC_RESID","",IF(U$7=2005+OFFSET(COM_N_2012!$B$60,$AW70,SUMIF($B$10:$B$16,"NCAP_TLIFE",$AX$10:$AX$16)),0,""))</f>
        <v/>
      </c>
      <c r="V70" s="369" t="str">
        <f ca="1">IF($B70&lt;&gt;"PRC_RESID","",IF(V$7=2005+OFFSET(COM_N_2012!$B$60,$AW70,SUMIF($B$10:$B$16,"NCAP_TLIFE",$AX$10:$AX$16)),0,""))</f>
        <v/>
      </c>
      <c r="W70" s="369" t="str">
        <f ca="1">IF($B70&lt;&gt;"PRC_RESID","",IF(W$7=2005+OFFSET(COM_N_2012!$B$60,$AW70,SUMIF($B$10:$B$16,"NCAP_TLIFE",$AX$10:$AX$16)),0,""))</f>
        <v/>
      </c>
      <c r="X70" s="369" t="str">
        <f ca="1">IF($B70&lt;&gt;"PRC_RESID","",IF(X$7=2005+OFFSET(COM_N_2012!$B$60,$AW70,SUMIF($B$10:$B$16,"NCAP_TLIFE",$AX$10:$AX$16)),0,""))</f>
        <v/>
      </c>
      <c r="Y70" s="369" t="str">
        <f ca="1">IF($B70&lt;&gt;"PRC_RESID","",IF(Y$7=2005+OFFSET(COM_N_2012!$B$60,$AW70,SUMIF($B$10:$B$16,"NCAP_TLIFE",$AX$10:$AX$16)),0,""))</f>
        <v/>
      </c>
      <c r="Z70" s="369" t="str">
        <f ca="1">IF($B70&lt;&gt;"PRC_RESID","",IF(Z$7=2005+OFFSET(COM_N_2012!$B$60,$AW70,SUMIF($B$10:$B$16,"NCAP_TLIFE",$AX$10:$AX$16)),0,""))</f>
        <v/>
      </c>
      <c r="AA70" s="369" t="str">
        <f ca="1">IF($B70&lt;&gt;"PRC_RESID","",IF(AA$7=2005+OFFSET(COM_N_2012!$B$60,$AW70,SUMIF($B$10:$B$16,"NCAP_TLIFE",$AX$10:$AX$16)),0,""))</f>
        <v/>
      </c>
      <c r="AB70" s="369" t="str">
        <f ca="1">IF($B70&lt;&gt;"PRC_RESID","",IF(AB$7=2005+OFFSET(COM_N_2012!$B$60,$AW70,SUMIF($B$10:$B$16,"NCAP_TLIFE",$AX$10:$AX$16)),0,""))</f>
        <v/>
      </c>
      <c r="AC70" s="369" t="str">
        <f ca="1">IF($B70&lt;&gt;"PRC_RESID","",IF(AC$7=2005+OFFSET(COM_N_2012!$B$60,$AW70,SUMIF($B$10:$B$16,"NCAP_TLIFE",$AX$10:$AX$16)),0,""))</f>
        <v/>
      </c>
      <c r="AD70" s="369" t="str">
        <f ca="1">IF($B70&lt;&gt;"PRC_RESID","",IF(AD$7=2005+OFFSET(COM_N_2012!$B$60,$AW70,SUMIF($B$10:$B$16,"NCAP_TLIFE",$AX$10:$AX$16)),0,""))</f>
        <v/>
      </c>
      <c r="AE70" s="369" t="str">
        <f ca="1">IF($B70&lt;&gt;"PRC_RESID","",IF(AE$7=2005+OFFSET(COM_N_2012!$B$60,$AW70,SUMIF($B$10:$B$16,"NCAP_TLIFE",$AX$10:$AX$16)),0,""))</f>
        <v/>
      </c>
      <c r="AF70" s="369" t="str">
        <f ca="1">IF($B70&lt;&gt;"PRC_RESID","",IF(AF$7=2005+OFFSET(COM_N_2012!$B$60,$AW70,SUMIF($B$10:$B$16,"NCAP_TLIFE",$AX$10:$AX$16)),0,""))</f>
        <v/>
      </c>
      <c r="AG70" s="369" t="str">
        <f ca="1">IF($B70&lt;&gt;"PRC_RESID","",IF(AG$7=2005+OFFSET(COM_N_2012!$B$60,$AW70,SUMIF($B$10:$B$16,"NCAP_TLIFE",$AX$10:$AX$16)),0,""))</f>
        <v/>
      </c>
      <c r="AH70" s="369" t="str">
        <f ca="1">IF($B70&lt;&gt;"PRC_RESID","",IF(AH$7=2005+OFFSET(COM_N_2012!$B$60,$AW70,SUMIF($B$10:$B$16,"NCAP_TLIFE",$AX$10:$AX$16)),0,""))</f>
        <v/>
      </c>
      <c r="AI70" s="369" t="str">
        <f ca="1">IF($B70&lt;&gt;"PRC_RESID","",IF(AI$7=2005+OFFSET(COM_N_2012!$B$60,$AW70,SUMIF($B$10:$B$16,"NCAP_TLIFE",$AX$10:$AX$16)),0,""))</f>
        <v/>
      </c>
      <c r="AJ70" s="369" t="str">
        <f ca="1">IF($B70&lt;&gt;"PRC_RESID","",IF(AJ$7=2005+OFFSET(COM_N_2012!$B$60,$AW70,SUMIF($B$10:$B$16,"NCAP_TLIFE",$AX$10:$AX$16)),0,""))</f>
        <v/>
      </c>
      <c r="AK70" s="369" t="str">
        <f ca="1">IF($B70&lt;&gt;"PRC_RESID","",IF(AK$7=2005+OFFSET(COM_N_2012!$B$60,$AW70,SUMIF($B$10:$B$16,"NCAP_TLIFE",$AX$10:$AX$16)),0,""))</f>
        <v/>
      </c>
      <c r="AL70" s="369" t="str">
        <f ca="1">IF($B70&lt;&gt;"PRC_RESID","",IF(AL$7=2005+OFFSET(COM_N_2012!$B$60,$AW70,SUMIF($B$10:$B$16,"NCAP_TLIFE",$AX$10:$AX$16)),0,""))</f>
        <v/>
      </c>
      <c r="AM70" s="369" t="str">
        <f ca="1">IF($B70&lt;&gt;"PRC_RESID","",IF(AM$7=2005+OFFSET(COM_N_2012!$B$60,$AW70,SUMIF($B$10:$B$16,"NCAP_TLIFE",$AX$10:$AX$16)),0,""))</f>
        <v/>
      </c>
      <c r="AN70" s="369" t="str">
        <f ca="1">IF($B70&lt;&gt;"PRC_RESID","",IF(AN$7=2005+OFFSET(COM_N_2012!$B$60,$AW70,SUMIF($B$10:$B$16,"NCAP_TLIFE",$AX$10:$AX$16)),0,""))</f>
        <v/>
      </c>
      <c r="AO70" s="369" t="str">
        <f ca="1">IF($B70&lt;&gt;"PRC_RESID","",IF(AO$7=2005+OFFSET(COM_N_2012!$B$60,$AW70,SUMIF($B$10:$B$16,"NCAP_TLIFE",$AX$10:$AX$16)),0,""))</f>
        <v/>
      </c>
      <c r="AP70" s="369" t="str">
        <f ca="1">IF($B70&lt;&gt;"PRC_RESID","",IF(AP$7=2005+OFFSET(COM_N_2012!$B$60,$AW70,SUMIF($B$10:$B$16,"NCAP_TLIFE",$AX$10:$AX$16)),0,""))</f>
        <v/>
      </c>
      <c r="AQ70" s="369" t="str">
        <f ca="1">IF($B70&lt;&gt;"PRC_RESID","",IF(AQ$7=2005+OFFSET(COM_N_2012!$B$60,$AW70,SUMIF($B$10:$B$16,"NCAP_TLIFE",$AX$10:$AX$16)),0,""))</f>
        <v/>
      </c>
      <c r="AR70" s="369" t="str">
        <f ca="1">IF($B70&lt;&gt;"PRC_RESID","",IF(AR$7=2005+OFFSET(COM_N_2012!$B$60,$AW70,SUMIF($B$10:$B$16,"NCAP_TLIFE",$AX$10:$AX$16)),0,""))</f>
        <v/>
      </c>
      <c r="AS70" s="369" t="str">
        <f ca="1">IF($B70&lt;&gt;"PRC_RESID","",IF(AS$7=2005+OFFSET(COM_N_2012!$B$60,$AW70,SUMIF($B$10:$B$16,"NCAP_TLIFE",$AX$10:$AX$16)),0,""))</f>
        <v/>
      </c>
      <c r="AT70" s="369" t="str">
        <f ca="1">IF($B70&lt;&gt;"PRC_RESID","",IF(AT$7=2005+OFFSET(COM_N_2012!$B$60,$AW70,SUMIF($B$10:$B$16,"NCAP_TLIFE",$AX$10:$AX$16)),0,""))</f>
        <v/>
      </c>
      <c r="AU70" s="369" t="str">
        <f ca="1">IF($B70&lt;&gt;"PRC_RESID","",IF(AU$7=2005+OFFSET(COM_N_2012!$B$60,$AW70,SUMIF($B$10:$B$16,"NCAP_TLIFE",$AX$10:$AX$16)),0,""))</f>
        <v/>
      </c>
      <c r="AV70" s="304">
        <f>IF(AW69=COM_N_2012!$AK$121,AV69+1,AV69)</f>
        <v>1</v>
      </c>
      <c r="AW70" s="304">
        <f t="shared" si="4"/>
        <v>53</v>
      </c>
    </row>
    <row r="71" spans="1:49">
      <c r="A71" s="304" t="str">
        <f ca="1">IF(LEFT(OFFSET(COM_N_2012!$A$60,AW71,0),2)="\I","*","")</f>
        <v/>
      </c>
      <c r="B71" s="369" t="str">
        <f t="shared" ca="1" si="2"/>
        <v>ACT_EFF</v>
      </c>
      <c r="C71" s="369" t="str">
        <f ca="1">IF($A71="*","",OFFSET(COM_N_2012!$B$60,AW71,0))</f>
        <v>CNOODS-E</v>
      </c>
      <c r="D71" s="369" t="str">
        <f t="shared" ca="1" si="9"/>
        <v>-</v>
      </c>
      <c r="E71" s="369" t="str">
        <f t="shared" ca="1" si="9"/>
        <v>ACTGRP</v>
      </c>
      <c r="F71" s="369" t="str">
        <f t="shared" ca="1" si="9"/>
        <v>-</v>
      </c>
      <c r="G71" s="369" t="str">
        <f t="shared" ca="1" si="9"/>
        <v>ANNUAL</v>
      </c>
      <c r="H71" s="369" t="str">
        <f t="shared" ca="1" si="9"/>
        <v>-</v>
      </c>
      <c r="I71" s="370">
        <f t="shared" ca="1" si="9"/>
        <v>0</v>
      </c>
      <c r="J71" s="391">
        <f ca="1">IF($A71="*","",OFFSET(COM_N_2012!$B$60,AW71,SUMIF($B$10:$B$16,B71,$AX$10:$AX$16)))</f>
        <v>0.9</v>
      </c>
      <c r="K71" s="369" t="str">
        <f ca="1">IF($B71&lt;&gt;"PRC_RESID","",IF(K$7=2005+OFFSET(COM_N_2012!$B$60,$AW71,SUMIF($B$10:$B$16,"NCAP_TLIFE",$AX$10:$AX$16)),0,""))</f>
        <v/>
      </c>
      <c r="L71" s="369" t="str">
        <f ca="1">IF($B71&lt;&gt;"PRC_RESID","",IF(L$7=2005+OFFSET(COM_N_2012!$B$60,$AW71,SUMIF($B$10:$B$16,"NCAP_TLIFE",$AX$10:$AX$16)),0,""))</f>
        <v/>
      </c>
      <c r="M71" s="369" t="str">
        <f ca="1">IF($B71&lt;&gt;"PRC_RESID","",IF(M$7=2005+OFFSET(COM_N_2012!$B$60,$AW71,SUMIF($B$10:$B$16,"NCAP_TLIFE",$AX$10:$AX$16)),0,""))</f>
        <v/>
      </c>
      <c r="N71" s="369" t="str">
        <f ca="1">IF($B71&lt;&gt;"PRC_RESID","",IF(N$7=2005+OFFSET(COM_N_2012!$B$60,$AW71,SUMIF($B$10:$B$16,"NCAP_TLIFE",$AX$10:$AX$16)),0,""))</f>
        <v/>
      </c>
      <c r="O71" s="369" t="str">
        <f ca="1">IF($B71&lt;&gt;"PRC_RESID","",IF(O$7=2005+OFFSET(COM_N_2012!$B$60,$AW71,SUMIF($B$10:$B$16,"NCAP_TLIFE",$AX$10:$AX$16)),0,""))</f>
        <v/>
      </c>
      <c r="P71" s="369" t="str">
        <f ca="1">IF($B71&lt;&gt;"PRC_RESID","",IF(P$7=2005+OFFSET(COM_N_2012!$B$60,$AW71,SUMIF($B$10:$B$16,"NCAP_TLIFE",$AX$10:$AX$16)),0,""))</f>
        <v/>
      </c>
      <c r="Q71" s="369" t="str">
        <f ca="1">IF($B71&lt;&gt;"PRC_RESID","",IF(Q$7=2005+OFFSET(COM_N_2012!$B$60,$AW71,SUMIF($B$10:$B$16,"NCAP_TLIFE",$AX$10:$AX$16)),0,""))</f>
        <v/>
      </c>
      <c r="R71" s="369" t="str">
        <f ca="1">IF($B71&lt;&gt;"PRC_RESID","",IF(R$7=2005+OFFSET(COM_N_2012!$B$60,$AW71,SUMIF($B$10:$B$16,"NCAP_TLIFE",$AX$10:$AX$16)),0,""))</f>
        <v/>
      </c>
      <c r="S71" s="369" t="str">
        <f ca="1">IF($B71&lt;&gt;"PRC_RESID","",IF(S$7=2005+OFFSET(COM_N_2012!$B$60,$AW71,SUMIF($B$10:$B$16,"NCAP_TLIFE",$AX$10:$AX$16)),0,""))</f>
        <v/>
      </c>
      <c r="T71" s="369" t="str">
        <f ca="1">IF($B71&lt;&gt;"PRC_RESID","",IF(T$7=2005+OFFSET(COM_N_2012!$B$60,$AW71,SUMIF($B$10:$B$16,"NCAP_TLIFE",$AX$10:$AX$16)),0,""))</f>
        <v/>
      </c>
      <c r="U71" s="369" t="str">
        <f ca="1">IF($B71&lt;&gt;"PRC_RESID","",IF(U$7=2005+OFFSET(COM_N_2012!$B$60,$AW71,SUMIF($B$10:$B$16,"NCAP_TLIFE",$AX$10:$AX$16)),0,""))</f>
        <v/>
      </c>
      <c r="V71" s="369" t="str">
        <f ca="1">IF($B71&lt;&gt;"PRC_RESID","",IF(V$7=2005+OFFSET(COM_N_2012!$B$60,$AW71,SUMIF($B$10:$B$16,"NCAP_TLIFE",$AX$10:$AX$16)),0,""))</f>
        <v/>
      </c>
      <c r="W71" s="369" t="str">
        <f ca="1">IF($B71&lt;&gt;"PRC_RESID","",IF(W$7=2005+OFFSET(COM_N_2012!$B$60,$AW71,SUMIF($B$10:$B$16,"NCAP_TLIFE",$AX$10:$AX$16)),0,""))</f>
        <v/>
      </c>
      <c r="X71" s="369" t="str">
        <f ca="1">IF($B71&lt;&gt;"PRC_RESID","",IF(X$7=2005+OFFSET(COM_N_2012!$B$60,$AW71,SUMIF($B$10:$B$16,"NCAP_TLIFE",$AX$10:$AX$16)),0,""))</f>
        <v/>
      </c>
      <c r="Y71" s="369" t="str">
        <f ca="1">IF($B71&lt;&gt;"PRC_RESID","",IF(Y$7=2005+OFFSET(COM_N_2012!$B$60,$AW71,SUMIF($B$10:$B$16,"NCAP_TLIFE",$AX$10:$AX$16)),0,""))</f>
        <v/>
      </c>
      <c r="Z71" s="369" t="str">
        <f ca="1">IF($B71&lt;&gt;"PRC_RESID","",IF(Z$7=2005+OFFSET(COM_N_2012!$B$60,$AW71,SUMIF($B$10:$B$16,"NCAP_TLIFE",$AX$10:$AX$16)),0,""))</f>
        <v/>
      </c>
      <c r="AA71" s="369" t="str">
        <f ca="1">IF($B71&lt;&gt;"PRC_RESID","",IF(AA$7=2005+OFFSET(COM_N_2012!$B$60,$AW71,SUMIF($B$10:$B$16,"NCAP_TLIFE",$AX$10:$AX$16)),0,""))</f>
        <v/>
      </c>
      <c r="AB71" s="369" t="str">
        <f ca="1">IF($B71&lt;&gt;"PRC_RESID","",IF(AB$7=2005+OFFSET(COM_N_2012!$B$60,$AW71,SUMIF($B$10:$B$16,"NCAP_TLIFE",$AX$10:$AX$16)),0,""))</f>
        <v/>
      </c>
      <c r="AC71" s="369" t="str">
        <f ca="1">IF($B71&lt;&gt;"PRC_RESID","",IF(AC$7=2005+OFFSET(COM_N_2012!$B$60,$AW71,SUMIF($B$10:$B$16,"NCAP_TLIFE",$AX$10:$AX$16)),0,""))</f>
        <v/>
      </c>
      <c r="AD71" s="369" t="str">
        <f ca="1">IF($B71&lt;&gt;"PRC_RESID","",IF(AD$7=2005+OFFSET(COM_N_2012!$B$60,$AW71,SUMIF($B$10:$B$16,"NCAP_TLIFE",$AX$10:$AX$16)),0,""))</f>
        <v/>
      </c>
      <c r="AE71" s="369" t="str">
        <f ca="1">IF($B71&lt;&gt;"PRC_RESID","",IF(AE$7=2005+OFFSET(COM_N_2012!$B$60,$AW71,SUMIF($B$10:$B$16,"NCAP_TLIFE",$AX$10:$AX$16)),0,""))</f>
        <v/>
      </c>
      <c r="AF71" s="369" t="str">
        <f ca="1">IF($B71&lt;&gt;"PRC_RESID","",IF(AF$7=2005+OFFSET(COM_N_2012!$B$60,$AW71,SUMIF($B$10:$B$16,"NCAP_TLIFE",$AX$10:$AX$16)),0,""))</f>
        <v/>
      </c>
      <c r="AG71" s="369" t="str">
        <f ca="1">IF($B71&lt;&gt;"PRC_RESID","",IF(AG$7=2005+OFFSET(COM_N_2012!$B$60,$AW71,SUMIF($B$10:$B$16,"NCAP_TLIFE",$AX$10:$AX$16)),0,""))</f>
        <v/>
      </c>
      <c r="AH71" s="369" t="str">
        <f ca="1">IF($B71&lt;&gt;"PRC_RESID","",IF(AH$7=2005+OFFSET(COM_N_2012!$B$60,$AW71,SUMIF($B$10:$B$16,"NCAP_TLIFE",$AX$10:$AX$16)),0,""))</f>
        <v/>
      </c>
      <c r="AI71" s="369" t="str">
        <f ca="1">IF($B71&lt;&gt;"PRC_RESID","",IF(AI$7=2005+OFFSET(COM_N_2012!$B$60,$AW71,SUMIF($B$10:$B$16,"NCAP_TLIFE",$AX$10:$AX$16)),0,""))</f>
        <v/>
      </c>
      <c r="AJ71" s="369" t="str">
        <f ca="1">IF($B71&lt;&gt;"PRC_RESID","",IF(AJ$7=2005+OFFSET(COM_N_2012!$B$60,$AW71,SUMIF($B$10:$B$16,"NCAP_TLIFE",$AX$10:$AX$16)),0,""))</f>
        <v/>
      </c>
      <c r="AK71" s="369" t="str">
        <f ca="1">IF($B71&lt;&gt;"PRC_RESID","",IF(AK$7=2005+OFFSET(COM_N_2012!$B$60,$AW71,SUMIF($B$10:$B$16,"NCAP_TLIFE",$AX$10:$AX$16)),0,""))</f>
        <v/>
      </c>
      <c r="AL71" s="369" t="str">
        <f ca="1">IF($B71&lt;&gt;"PRC_RESID","",IF(AL$7=2005+OFFSET(COM_N_2012!$B$60,$AW71,SUMIF($B$10:$B$16,"NCAP_TLIFE",$AX$10:$AX$16)),0,""))</f>
        <v/>
      </c>
      <c r="AM71" s="369" t="str">
        <f ca="1">IF($B71&lt;&gt;"PRC_RESID","",IF(AM$7=2005+OFFSET(COM_N_2012!$B$60,$AW71,SUMIF($B$10:$B$16,"NCAP_TLIFE",$AX$10:$AX$16)),0,""))</f>
        <v/>
      </c>
      <c r="AN71" s="369" t="str">
        <f ca="1">IF($B71&lt;&gt;"PRC_RESID","",IF(AN$7=2005+OFFSET(COM_N_2012!$B$60,$AW71,SUMIF($B$10:$B$16,"NCAP_TLIFE",$AX$10:$AX$16)),0,""))</f>
        <v/>
      </c>
      <c r="AO71" s="369" t="str">
        <f ca="1">IF($B71&lt;&gt;"PRC_RESID","",IF(AO$7=2005+OFFSET(COM_N_2012!$B$60,$AW71,SUMIF($B$10:$B$16,"NCAP_TLIFE",$AX$10:$AX$16)),0,""))</f>
        <v/>
      </c>
      <c r="AP71" s="369" t="str">
        <f ca="1">IF($B71&lt;&gt;"PRC_RESID","",IF(AP$7=2005+OFFSET(COM_N_2012!$B$60,$AW71,SUMIF($B$10:$B$16,"NCAP_TLIFE",$AX$10:$AX$16)),0,""))</f>
        <v/>
      </c>
      <c r="AQ71" s="369" t="str">
        <f ca="1">IF($B71&lt;&gt;"PRC_RESID","",IF(AQ$7=2005+OFFSET(COM_N_2012!$B$60,$AW71,SUMIF($B$10:$B$16,"NCAP_TLIFE",$AX$10:$AX$16)),0,""))</f>
        <v/>
      </c>
      <c r="AR71" s="369" t="str">
        <f ca="1">IF($B71&lt;&gt;"PRC_RESID","",IF(AR$7=2005+OFFSET(COM_N_2012!$B$60,$AW71,SUMIF($B$10:$B$16,"NCAP_TLIFE",$AX$10:$AX$16)),0,""))</f>
        <v/>
      </c>
      <c r="AS71" s="369" t="str">
        <f ca="1">IF($B71&lt;&gt;"PRC_RESID","",IF(AS$7=2005+OFFSET(COM_N_2012!$B$60,$AW71,SUMIF($B$10:$B$16,"NCAP_TLIFE",$AX$10:$AX$16)),0,""))</f>
        <v/>
      </c>
      <c r="AT71" s="369" t="str">
        <f ca="1">IF($B71&lt;&gt;"PRC_RESID","",IF(AT$7=2005+OFFSET(COM_N_2012!$B$60,$AW71,SUMIF($B$10:$B$16,"NCAP_TLIFE",$AX$10:$AX$16)),0,""))</f>
        <v/>
      </c>
      <c r="AU71" s="369" t="str">
        <f ca="1">IF($B71&lt;&gt;"PRC_RESID","",IF(AU$7=2005+OFFSET(COM_N_2012!$B$60,$AW71,SUMIF($B$10:$B$16,"NCAP_TLIFE",$AX$10:$AX$16)),0,""))</f>
        <v/>
      </c>
      <c r="AV71" s="304">
        <f>IF(AW70=COM_N_2012!$AK$121,AV70+1,AV70)</f>
        <v>1</v>
      </c>
      <c r="AW71" s="304">
        <f t="shared" si="4"/>
        <v>54</v>
      </c>
    </row>
    <row r="72" spans="1:49">
      <c r="A72" s="304" t="str">
        <f ca="1">IF(LEFT(OFFSET(COM_N_2012!$A$60,AW72,0),2)="\I","*","")</f>
        <v/>
      </c>
      <c r="B72" s="369" t="str">
        <f t="shared" ca="1" si="2"/>
        <v>ACT_EFF</v>
      </c>
      <c r="C72" s="369" t="str">
        <f ca="1">IF($A72="*","",OFFSET(COM_N_2012!$B$60,AW72,0))</f>
        <v>CNOELC-E</v>
      </c>
      <c r="D72" s="369" t="str">
        <f t="shared" ca="1" si="9"/>
        <v>-</v>
      </c>
      <c r="E72" s="369" t="str">
        <f t="shared" ca="1" si="9"/>
        <v>ACTGRP</v>
      </c>
      <c r="F72" s="369" t="str">
        <f t="shared" ca="1" si="9"/>
        <v>-</v>
      </c>
      <c r="G72" s="369" t="str">
        <f t="shared" ca="1" si="9"/>
        <v>ANNUAL</v>
      </c>
      <c r="H72" s="369" t="str">
        <f t="shared" ca="1" si="9"/>
        <v>-</v>
      </c>
      <c r="I72" s="370">
        <f t="shared" ca="1" si="9"/>
        <v>0</v>
      </c>
      <c r="J72" s="391">
        <f ca="1">IF($A72="*","",OFFSET(COM_N_2012!$B$60,AW72,SUMIF($B$10:$B$16,B72,$AX$10:$AX$16)))</f>
        <v>0.75</v>
      </c>
      <c r="K72" s="369" t="str">
        <f ca="1">IF($B72&lt;&gt;"PRC_RESID","",IF(K$7=2005+OFFSET(COM_N_2012!$B$60,$AW72,SUMIF($B$10:$B$16,"NCAP_TLIFE",$AX$10:$AX$16)),0,""))</f>
        <v/>
      </c>
      <c r="L72" s="369" t="str">
        <f ca="1">IF($B72&lt;&gt;"PRC_RESID","",IF(L$7=2005+OFFSET(COM_N_2012!$B$60,$AW72,SUMIF($B$10:$B$16,"NCAP_TLIFE",$AX$10:$AX$16)),0,""))</f>
        <v/>
      </c>
      <c r="M72" s="369" t="str">
        <f ca="1">IF($B72&lt;&gt;"PRC_RESID","",IF(M$7=2005+OFFSET(COM_N_2012!$B$60,$AW72,SUMIF($B$10:$B$16,"NCAP_TLIFE",$AX$10:$AX$16)),0,""))</f>
        <v/>
      </c>
      <c r="N72" s="369" t="str">
        <f ca="1">IF($B72&lt;&gt;"PRC_RESID","",IF(N$7=2005+OFFSET(COM_N_2012!$B$60,$AW72,SUMIF($B$10:$B$16,"NCAP_TLIFE",$AX$10:$AX$16)),0,""))</f>
        <v/>
      </c>
      <c r="O72" s="369" t="str">
        <f ca="1">IF($B72&lt;&gt;"PRC_RESID","",IF(O$7=2005+OFFSET(COM_N_2012!$B$60,$AW72,SUMIF($B$10:$B$16,"NCAP_TLIFE",$AX$10:$AX$16)),0,""))</f>
        <v/>
      </c>
      <c r="P72" s="369" t="str">
        <f ca="1">IF($B72&lt;&gt;"PRC_RESID","",IF(P$7=2005+OFFSET(COM_N_2012!$B$60,$AW72,SUMIF($B$10:$B$16,"NCAP_TLIFE",$AX$10:$AX$16)),0,""))</f>
        <v/>
      </c>
      <c r="Q72" s="369" t="str">
        <f ca="1">IF($B72&lt;&gt;"PRC_RESID","",IF(Q$7=2005+OFFSET(COM_N_2012!$B$60,$AW72,SUMIF($B$10:$B$16,"NCAP_TLIFE",$AX$10:$AX$16)),0,""))</f>
        <v/>
      </c>
      <c r="R72" s="369" t="str">
        <f ca="1">IF($B72&lt;&gt;"PRC_RESID","",IF(R$7=2005+OFFSET(COM_N_2012!$B$60,$AW72,SUMIF($B$10:$B$16,"NCAP_TLIFE",$AX$10:$AX$16)),0,""))</f>
        <v/>
      </c>
      <c r="S72" s="369" t="str">
        <f ca="1">IF($B72&lt;&gt;"PRC_RESID","",IF(S$7=2005+OFFSET(COM_N_2012!$B$60,$AW72,SUMIF($B$10:$B$16,"NCAP_TLIFE",$AX$10:$AX$16)),0,""))</f>
        <v/>
      </c>
      <c r="T72" s="369" t="str">
        <f ca="1">IF($B72&lt;&gt;"PRC_RESID","",IF(T$7=2005+OFFSET(COM_N_2012!$B$60,$AW72,SUMIF($B$10:$B$16,"NCAP_TLIFE",$AX$10:$AX$16)),0,""))</f>
        <v/>
      </c>
      <c r="U72" s="369" t="str">
        <f ca="1">IF($B72&lt;&gt;"PRC_RESID","",IF(U$7=2005+OFFSET(COM_N_2012!$B$60,$AW72,SUMIF($B$10:$B$16,"NCAP_TLIFE",$AX$10:$AX$16)),0,""))</f>
        <v/>
      </c>
      <c r="V72" s="369" t="str">
        <f ca="1">IF($B72&lt;&gt;"PRC_RESID","",IF(V$7=2005+OFFSET(COM_N_2012!$B$60,$AW72,SUMIF($B$10:$B$16,"NCAP_TLIFE",$AX$10:$AX$16)),0,""))</f>
        <v/>
      </c>
      <c r="W72" s="369" t="str">
        <f ca="1">IF($B72&lt;&gt;"PRC_RESID","",IF(W$7=2005+OFFSET(COM_N_2012!$B$60,$AW72,SUMIF($B$10:$B$16,"NCAP_TLIFE",$AX$10:$AX$16)),0,""))</f>
        <v/>
      </c>
      <c r="X72" s="369" t="str">
        <f ca="1">IF($B72&lt;&gt;"PRC_RESID","",IF(X$7=2005+OFFSET(COM_N_2012!$B$60,$AW72,SUMIF($B$10:$B$16,"NCAP_TLIFE",$AX$10:$AX$16)),0,""))</f>
        <v/>
      </c>
      <c r="Y72" s="369" t="str">
        <f ca="1">IF($B72&lt;&gt;"PRC_RESID","",IF(Y$7=2005+OFFSET(COM_N_2012!$B$60,$AW72,SUMIF($B$10:$B$16,"NCAP_TLIFE",$AX$10:$AX$16)),0,""))</f>
        <v/>
      </c>
      <c r="Z72" s="369" t="str">
        <f ca="1">IF($B72&lt;&gt;"PRC_RESID","",IF(Z$7=2005+OFFSET(COM_N_2012!$B$60,$AW72,SUMIF($B$10:$B$16,"NCAP_TLIFE",$AX$10:$AX$16)),0,""))</f>
        <v/>
      </c>
      <c r="AA72" s="369" t="str">
        <f ca="1">IF($B72&lt;&gt;"PRC_RESID","",IF(AA$7=2005+OFFSET(COM_N_2012!$B$60,$AW72,SUMIF($B$10:$B$16,"NCAP_TLIFE",$AX$10:$AX$16)),0,""))</f>
        <v/>
      </c>
      <c r="AB72" s="369" t="str">
        <f ca="1">IF($B72&lt;&gt;"PRC_RESID","",IF(AB$7=2005+OFFSET(COM_N_2012!$B$60,$AW72,SUMIF($B$10:$B$16,"NCAP_TLIFE",$AX$10:$AX$16)),0,""))</f>
        <v/>
      </c>
      <c r="AC72" s="369" t="str">
        <f ca="1">IF($B72&lt;&gt;"PRC_RESID","",IF(AC$7=2005+OFFSET(COM_N_2012!$B$60,$AW72,SUMIF($B$10:$B$16,"NCAP_TLIFE",$AX$10:$AX$16)),0,""))</f>
        <v/>
      </c>
      <c r="AD72" s="369" t="str">
        <f ca="1">IF($B72&lt;&gt;"PRC_RESID","",IF(AD$7=2005+OFFSET(COM_N_2012!$B$60,$AW72,SUMIF($B$10:$B$16,"NCAP_TLIFE",$AX$10:$AX$16)),0,""))</f>
        <v/>
      </c>
      <c r="AE72" s="369" t="str">
        <f ca="1">IF($B72&lt;&gt;"PRC_RESID","",IF(AE$7=2005+OFFSET(COM_N_2012!$B$60,$AW72,SUMIF($B$10:$B$16,"NCAP_TLIFE",$AX$10:$AX$16)),0,""))</f>
        <v/>
      </c>
      <c r="AF72" s="369" t="str">
        <f ca="1">IF($B72&lt;&gt;"PRC_RESID","",IF(AF$7=2005+OFFSET(COM_N_2012!$B$60,$AW72,SUMIF($B$10:$B$16,"NCAP_TLIFE",$AX$10:$AX$16)),0,""))</f>
        <v/>
      </c>
      <c r="AG72" s="369" t="str">
        <f ca="1">IF($B72&lt;&gt;"PRC_RESID","",IF(AG$7=2005+OFFSET(COM_N_2012!$B$60,$AW72,SUMIF($B$10:$B$16,"NCAP_TLIFE",$AX$10:$AX$16)),0,""))</f>
        <v/>
      </c>
      <c r="AH72" s="369" t="str">
        <f ca="1">IF($B72&lt;&gt;"PRC_RESID","",IF(AH$7=2005+OFFSET(COM_N_2012!$B$60,$AW72,SUMIF($B$10:$B$16,"NCAP_TLIFE",$AX$10:$AX$16)),0,""))</f>
        <v/>
      </c>
      <c r="AI72" s="369" t="str">
        <f ca="1">IF($B72&lt;&gt;"PRC_RESID","",IF(AI$7=2005+OFFSET(COM_N_2012!$B$60,$AW72,SUMIF($B$10:$B$16,"NCAP_TLIFE",$AX$10:$AX$16)),0,""))</f>
        <v/>
      </c>
      <c r="AJ72" s="369" t="str">
        <f ca="1">IF($B72&lt;&gt;"PRC_RESID","",IF(AJ$7=2005+OFFSET(COM_N_2012!$B$60,$AW72,SUMIF($B$10:$B$16,"NCAP_TLIFE",$AX$10:$AX$16)),0,""))</f>
        <v/>
      </c>
      <c r="AK72" s="369" t="str">
        <f ca="1">IF($B72&lt;&gt;"PRC_RESID","",IF(AK$7=2005+OFFSET(COM_N_2012!$B$60,$AW72,SUMIF($B$10:$B$16,"NCAP_TLIFE",$AX$10:$AX$16)),0,""))</f>
        <v/>
      </c>
      <c r="AL72" s="369" t="str">
        <f ca="1">IF($B72&lt;&gt;"PRC_RESID","",IF(AL$7=2005+OFFSET(COM_N_2012!$B$60,$AW72,SUMIF($B$10:$B$16,"NCAP_TLIFE",$AX$10:$AX$16)),0,""))</f>
        <v/>
      </c>
      <c r="AM72" s="369" t="str">
        <f ca="1">IF($B72&lt;&gt;"PRC_RESID","",IF(AM$7=2005+OFFSET(COM_N_2012!$B$60,$AW72,SUMIF($B$10:$B$16,"NCAP_TLIFE",$AX$10:$AX$16)),0,""))</f>
        <v/>
      </c>
      <c r="AN72" s="369" t="str">
        <f ca="1">IF($B72&lt;&gt;"PRC_RESID","",IF(AN$7=2005+OFFSET(COM_N_2012!$B$60,$AW72,SUMIF($B$10:$B$16,"NCAP_TLIFE",$AX$10:$AX$16)),0,""))</f>
        <v/>
      </c>
      <c r="AO72" s="369" t="str">
        <f ca="1">IF($B72&lt;&gt;"PRC_RESID","",IF(AO$7=2005+OFFSET(COM_N_2012!$B$60,$AW72,SUMIF($B$10:$B$16,"NCAP_TLIFE",$AX$10:$AX$16)),0,""))</f>
        <v/>
      </c>
      <c r="AP72" s="369" t="str">
        <f ca="1">IF($B72&lt;&gt;"PRC_RESID","",IF(AP$7=2005+OFFSET(COM_N_2012!$B$60,$AW72,SUMIF($B$10:$B$16,"NCAP_TLIFE",$AX$10:$AX$16)),0,""))</f>
        <v/>
      </c>
      <c r="AQ72" s="369" t="str">
        <f ca="1">IF($B72&lt;&gt;"PRC_RESID","",IF(AQ$7=2005+OFFSET(COM_N_2012!$B$60,$AW72,SUMIF($B$10:$B$16,"NCAP_TLIFE",$AX$10:$AX$16)),0,""))</f>
        <v/>
      </c>
      <c r="AR72" s="369" t="str">
        <f ca="1">IF($B72&lt;&gt;"PRC_RESID","",IF(AR$7=2005+OFFSET(COM_N_2012!$B$60,$AW72,SUMIF($B$10:$B$16,"NCAP_TLIFE",$AX$10:$AX$16)),0,""))</f>
        <v/>
      </c>
      <c r="AS72" s="369" t="str">
        <f ca="1">IF($B72&lt;&gt;"PRC_RESID","",IF(AS$7=2005+OFFSET(COM_N_2012!$B$60,$AW72,SUMIF($B$10:$B$16,"NCAP_TLIFE",$AX$10:$AX$16)),0,""))</f>
        <v/>
      </c>
      <c r="AT72" s="369" t="str">
        <f ca="1">IF($B72&lt;&gt;"PRC_RESID","",IF(AT$7=2005+OFFSET(COM_N_2012!$B$60,$AW72,SUMIF($B$10:$B$16,"NCAP_TLIFE",$AX$10:$AX$16)),0,""))</f>
        <v/>
      </c>
      <c r="AU72" s="369" t="str">
        <f ca="1">IF($B72&lt;&gt;"PRC_RESID","",IF(AU$7=2005+OFFSET(COM_N_2012!$B$60,$AW72,SUMIF($B$10:$B$16,"NCAP_TLIFE",$AX$10:$AX$16)),0,""))</f>
        <v/>
      </c>
      <c r="AV72" s="304">
        <f>IF(AW71=COM_N_2012!$AK$121,AV71+1,AV71)</f>
        <v>1</v>
      </c>
      <c r="AW72" s="304">
        <f t="shared" si="4"/>
        <v>55</v>
      </c>
    </row>
    <row r="73" spans="1:49">
      <c r="A73" s="304" t="str">
        <f ca="1">IF(LEFT(OFFSET(COM_N_2012!$A$60,AW73,0),2)="\I","*","")</f>
        <v/>
      </c>
      <c r="B73" s="369" t="str">
        <f t="shared" ca="1" si="2"/>
        <v>ACT_EFF</v>
      </c>
      <c r="C73" s="369" t="str">
        <f ca="1">IF($A73="*","",OFFSET(COM_N_2012!$B$60,AW73,0))</f>
        <v>CNOGAS-E</v>
      </c>
      <c r="D73" s="369" t="str">
        <f t="shared" ca="1" si="9"/>
        <v>-</v>
      </c>
      <c r="E73" s="369" t="str">
        <f t="shared" ca="1" si="9"/>
        <v>ACTGRP</v>
      </c>
      <c r="F73" s="369" t="str">
        <f t="shared" ca="1" si="9"/>
        <v>-</v>
      </c>
      <c r="G73" s="369" t="str">
        <f t="shared" ca="1" si="9"/>
        <v>ANNUAL</v>
      </c>
      <c r="H73" s="369" t="str">
        <f t="shared" ca="1" si="9"/>
        <v>-</v>
      </c>
      <c r="I73" s="370">
        <f t="shared" ca="1" si="9"/>
        <v>0</v>
      </c>
      <c r="J73" s="391">
        <f ca="1">IF($A73="*","",OFFSET(COM_N_2012!$B$60,AW73,SUMIF($B$10:$B$16,B73,$AX$10:$AX$16)))</f>
        <v>1</v>
      </c>
      <c r="K73" s="369" t="str">
        <f ca="1">IF($B73&lt;&gt;"PRC_RESID","",IF(K$7=2005+OFFSET(COM_N_2012!$B$60,$AW73,SUMIF($B$10:$B$16,"NCAP_TLIFE",$AX$10:$AX$16)),0,""))</f>
        <v/>
      </c>
      <c r="L73" s="369" t="str">
        <f ca="1">IF($B73&lt;&gt;"PRC_RESID","",IF(L$7=2005+OFFSET(COM_N_2012!$B$60,$AW73,SUMIF($B$10:$B$16,"NCAP_TLIFE",$AX$10:$AX$16)),0,""))</f>
        <v/>
      </c>
      <c r="M73" s="369" t="str">
        <f ca="1">IF($B73&lt;&gt;"PRC_RESID","",IF(M$7=2005+OFFSET(COM_N_2012!$B$60,$AW73,SUMIF($B$10:$B$16,"NCAP_TLIFE",$AX$10:$AX$16)),0,""))</f>
        <v/>
      </c>
      <c r="N73" s="369" t="str">
        <f ca="1">IF($B73&lt;&gt;"PRC_RESID","",IF(N$7=2005+OFFSET(COM_N_2012!$B$60,$AW73,SUMIF($B$10:$B$16,"NCAP_TLIFE",$AX$10:$AX$16)),0,""))</f>
        <v/>
      </c>
      <c r="O73" s="369" t="str">
        <f ca="1">IF($B73&lt;&gt;"PRC_RESID","",IF(O$7=2005+OFFSET(COM_N_2012!$B$60,$AW73,SUMIF($B$10:$B$16,"NCAP_TLIFE",$AX$10:$AX$16)),0,""))</f>
        <v/>
      </c>
      <c r="P73" s="369" t="str">
        <f ca="1">IF($B73&lt;&gt;"PRC_RESID","",IF(P$7=2005+OFFSET(COM_N_2012!$B$60,$AW73,SUMIF($B$10:$B$16,"NCAP_TLIFE",$AX$10:$AX$16)),0,""))</f>
        <v/>
      </c>
      <c r="Q73" s="369" t="str">
        <f ca="1">IF($B73&lt;&gt;"PRC_RESID","",IF(Q$7=2005+OFFSET(COM_N_2012!$B$60,$AW73,SUMIF($B$10:$B$16,"NCAP_TLIFE",$AX$10:$AX$16)),0,""))</f>
        <v/>
      </c>
      <c r="R73" s="369" t="str">
        <f ca="1">IF($B73&lt;&gt;"PRC_RESID","",IF(R$7=2005+OFFSET(COM_N_2012!$B$60,$AW73,SUMIF($B$10:$B$16,"NCAP_TLIFE",$AX$10:$AX$16)),0,""))</f>
        <v/>
      </c>
      <c r="S73" s="369" t="str">
        <f ca="1">IF($B73&lt;&gt;"PRC_RESID","",IF(S$7=2005+OFFSET(COM_N_2012!$B$60,$AW73,SUMIF($B$10:$B$16,"NCAP_TLIFE",$AX$10:$AX$16)),0,""))</f>
        <v/>
      </c>
      <c r="T73" s="369" t="str">
        <f ca="1">IF($B73&lt;&gt;"PRC_RESID","",IF(T$7=2005+OFFSET(COM_N_2012!$B$60,$AW73,SUMIF($B$10:$B$16,"NCAP_TLIFE",$AX$10:$AX$16)),0,""))</f>
        <v/>
      </c>
      <c r="U73" s="369" t="str">
        <f ca="1">IF($B73&lt;&gt;"PRC_RESID","",IF(U$7=2005+OFFSET(COM_N_2012!$B$60,$AW73,SUMIF($B$10:$B$16,"NCAP_TLIFE",$AX$10:$AX$16)),0,""))</f>
        <v/>
      </c>
      <c r="V73" s="369" t="str">
        <f ca="1">IF($B73&lt;&gt;"PRC_RESID","",IF(V$7=2005+OFFSET(COM_N_2012!$B$60,$AW73,SUMIF($B$10:$B$16,"NCAP_TLIFE",$AX$10:$AX$16)),0,""))</f>
        <v/>
      </c>
      <c r="W73" s="369" t="str">
        <f ca="1">IF($B73&lt;&gt;"PRC_RESID","",IF(W$7=2005+OFFSET(COM_N_2012!$B$60,$AW73,SUMIF($B$10:$B$16,"NCAP_TLIFE",$AX$10:$AX$16)),0,""))</f>
        <v/>
      </c>
      <c r="X73" s="369" t="str">
        <f ca="1">IF($B73&lt;&gt;"PRC_RESID","",IF(X$7=2005+OFFSET(COM_N_2012!$B$60,$AW73,SUMIF($B$10:$B$16,"NCAP_TLIFE",$AX$10:$AX$16)),0,""))</f>
        <v/>
      </c>
      <c r="Y73" s="369" t="str">
        <f ca="1">IF($B73&lt;&gt;"PRC_RESID","",IF(Y$7=2005+OFFSET(COM_N_2012!$B$60,$AW73,SUMIF($B$10:$B$16,"NCAP_TLIFE",$AX$10:$AX$16)),0,""))</f>
        <v/>
      </c>
      <c r="Z73" s="369" t="str">
        <f ca="1">IF($B73&lt;&gt;"PRC_RESID","",IF(Z$7=2005+OFFSET(COM_N_2012!$B$60,$AW73,SUMIF($B$10:$B$16,"NCAP_TLIFE",$AX$10:$AX$16)),0,""))</f>
        <v/>
      </c>
      <c r="AA73" s="369" t="str">
        <f ca="1">IF($B73&lt;&gt;"PRC_RESID","",IF(AA$7=2005+OFFSET(COM_N_2012!$B$60,$AW73,SUMIF($B$10:$B$16,"NCAP_TLIFE",$AX$10:$AX$16)),0,""))</f>
        <v/>
      </c>
      <c r="AB73" s="369" t="str">
        <f ca="1">IF($B73&lt;&gt;"PRC_RESID","",IF(AB$7=2005+OFFSET(COM_N_2012!$B$60,$AW73,SUMIF($B$10:$B$16,"NCAP_TLIFE",$AX$10:$AX$16)),0,""))</f>
        <v/>
      </c>
      <c r="AC73" s="369" t="str">
        <f ca="1">IF($B73&lt;&gt;"PRC_RESID","",IF(AC$7=2005+OFFSET(COM_N_2012!$B$60,$AW73,SUMIF($B$10:$B$16,"NCAP_TLIFE",$AX$10:$AX$16)),0,""))</f>
        <v/>
      </c>
      <c r="AD73" s="369" t="str">
        <f ca="1">IF($B73&lt;&gt;"PRC_RESID","",IF(AD$7=2005+OFFSET(COM_N_2012!$B$60,$AW73,SUMIF($B$10:$B$16,"NCAP_TLIFE",$AX$10:$AX$16)),0,""))</f>
        <v/>
      </c>
      <c r="AE73" s="369" t="str">
        <f ca="1">IF($B73&lt;&gt;"PRC_RESID","",IF(AE$7=2005+OFFSET(COM_N_2012!$B$60,$AW73,SUMIF($B$10:$B$16,"NCAP_TLIFE",$AX$10:$AX$16)),0,""))</f>
        <v/>
      </c>
      <c r="AF73" s="369" t="str">
        <f ca="1">IF($B73&lt;&gt;"PRC_RESID","",IF(AF$7=2005+OFFSET(COM_N_2012!$B$60,$AW73,SUMIF($B$10:$B$16,"NCAP_TLIFE",$AX$10:$AX$16)),0,""))</f>
        <v/>
      </c>
      <c r="AG73" s="369" t="str">
        <f ca="1">IF($B73&lt;&gt;"PRC_RESID","",IF(AG$7=2005+OFFSET(COM_N_2012!$B$60,$AW73,SUMIF($B$10:$B$16,"NCAP_TLIFE",$AX$10:$AX$16)),0,""))</f>
        <v/>
      </c>
      <c r="AH73" s="369" t="str">
        <f ca="1">IF($B73&lt;&gt;"PRC_RESID","",IF(AH$7=2005+OFFSET(COM_N_2012!$B$60,$AW73,SUMIF($B$10:$B$16,"NCAP_TLIFE",$AX$10:$AX$16)),0,""))</f>
        <v/>
      </c>
      <c r="AI73" s="369" t="str">
        <f ca="1">IF($B73&lt;&gt;"PRC_RESID","",IF(AI$7=2005+OFFSET(COM_N_2012!$B$60,$AW73,SUMIF($B$10:$B$16,"NCAP_TLIFE",$AX$10:$AX$16)),0,""))</f>
        <v/>
      </c>
      <c r="AJ73" s="369" t="str">
        <f ca="1">IF($B73&lt;&gt;"PRC_RESID","",IF(AJ$7=2005+OFFSET(COM_N_2012!$B$60,$AW73,SUMIF($B$10:$B$16,"NCAP_TLIFE",$AX$10:$AX$16)),0,""))</f>
        <v/>
      </c>
      <c r="AK73" s="369" t="str">
        <f ca="1">IF($B73&lt;&gt;"PRC_RESID","",IF(AK$7=2005+OFFSET(COM_N_2012!$B$60,$AW73,SUMIF($B$10:$B$16,"NCAP_TLIFE",$AX$10:$AX$16)),0,""))</f>
        <v/>
      </c>
      <c r="AL73" s="369" t="str">
        <f ca="1">IF($B73&lt;&gt;"PRC_RESID","",IF(AL$7=2005+OFFSET(COM_N_2012!$B$60,$AW73,SUMIF($B$10:$B$16,"NCAP_TLIFE",$AX$10:$AX$16)),0,""))</f>
        <v/>
      </c>
      <c r="AM73" s="369" t="str">
        <f ca="1">IF($B73&lt;&gt;"PRC_RESID","",IF(AM$7=2005+OFFSET(COM_N_2012!$B$60,$AW73,SUMIF($B$10:$B$16,"NCAP_TLIFE",$AX$10:$AX$16)),0,""))</f>
        <v/>
      </c>
      <c r="AN73" s="369" t="str">
        <f ca="1">IF($B73&lt;&gt;"PRC_RESID","",IF(AN$7=2005+OFFSET(COM_N_2012!$B$60,$AW73,SUMIF($B$10:$B$16,"NCAP_TLIFE",$AX$10:$AX$16)),0,""))</f>
        <v/>
      </c>
      <c r="AO73" s="369" t="str">
        <f ca="1">IF($B73&lt;&gt;"PRC_RESID","",IF(AO$7=2005+OFFSET(COM_N_2012!$B$60,$AW73,SUMIF($B$10:$B$16,"NCAP_TLIFE",$AX$10:$AX$16)),0,""))</f>
        <v/>
      </c>
      <c r="AP73" s="369" t="str">
        <f ca="1">IF($B73&lt;&gt;"PRC_RESID","",IF(AP$7=2005+OFFSET(COM_N_2012!$B$60,$AW73,SUMIF($B$10:$B$16,"NCAP_TLIFE",$AX$10:$AX$16)),0,""))</f>
        <v/>
      </c>
      <c r="AQ73" s="369" t="str">
        <f ca="1">IF($B73&lt;&gt;"PRC_RESID","",IF(AQ$7=2005+OFFSET(COM_N_2012!$B$60,$AW73,SUMIF($B$10:$B$16,"NCAP_TLIFE",$AX$10:$AX$16)),0,""))</f>
        <v/>
      </c>
      <c r="AR73" s="369" t="str">
        <f ca="1">IF($B73&lt;&gt;"PRC_RESID","",IF(AR$7=2005+OFFSET(COM_N_2012!$B$60,$AW73,SUMIF($B$10:$B$16,"NCAP_TLIFE",$AX$10:$AX$16)),0,""))</f>
        <v/>
      </c>
      <c r="AS73" s="369" t="str">
        <f ca="1">IF($B73&lt;&gt;"PRC_RESID","",IF(AS$7=2005+OFFSET(COM_N_2012!$B$60,$AW73,SUMIF($B$10:$B$16,"NCAP_TLIFE",$AX$10:$AX$16)),0,""))</f>
        <v/>
      </c>
      <c r="AT73" s="369" t="str">
        <f ca="1">IF($B73&lt;&gt;"PRC_RESID","",IF(AT$7=2005+OFFSET(COM_N_2012!$B$60,$AW73,SUMIF($B$10:$B$16,"NCAP_TLIFE",$AX$10:$AX$16)),0,""))</f>
        <v/>
      </c>
      <c r="AU73" s="369" t="str">
        <f ca="1">IF($B73&lt;&gt;"PRC_RESID","",IF(AU$7=2005+OFFSET(COM_N_2012!$B$60,$AW73,SUMIF($B$10:$B$16,"NCAP_TLIFE",$AX$10:$AX$16)),0,""))</f>
        <v/>
      </c>
      <c r="AV73" s="304">
        <f>IF(AW72=COM_N_2012!$AK$121,AV72+1,AV72)</f>
        <v>1</v>
      </c>
      <c r="AW73" s="304">
        <f t="shared" si="4"/>
        <v>56</v>
      </c>
    </row>
    <row r="74" spans="1:49">
      <c r="A74" s="304" t="str">
        <f ca="1">IF(LEFT(OFFSET(COM_N_2012!$A$60,AW74,0),2)="\I","*","")</f>
        <v/>
      </c>
      <c r="B74" s="369" t="str">
        <f t="shared" ca="1" si="2"/>
        <v>ACT_EFF</v>
      </c>
      <c r="C74" s="369" t="str">
        <f ca="1">IF($A74="*","",OFFSET(COM_N_2012!$B$60,AW74,0))</f>
        <v>CNOOGS-E</v>
      </c>
      <c r="D74" s="369" t="str">
        <f t="shared" ca="1" si="9"/>
        <v>-</v>
      </c>
      <c r="E74" s="369" t="str">
        <f t="shared" ca="1" si="9"/>
        <v>ACTGRP</v>
      </c>
      <c r="F74" s="369" t="str">
        <f t="shared" ca="1" si="9"/>
        <v>-</v>
      </c>
      <c r="G74" s="369" t="str">
        <f t="shared" ca="1" si="9"/>
        <v>ANNUAL</v>
      </c>
      <c r="H74" s="369" t="str">
        <f t="shared" ca="1" si="9"/>
        <v>-</v>
      </c>
      <c r="I74" s="370">
        <f t="shared" ca="1" si="9"/>
        <v>0</v>
      </c>
      <c r="J74" s="391">
        <f ca="1">IF($A74="*","",OFFSET(COM_N_2012!$B$60,AW74,SUMIF($B$10:$B$16,B74,$AX$10:$AX$16)))</f>
        <v>1</v>
      </c>
      <c r="K74" s="369" t="str">
        <f ca="1">IF($B74&lt;&gt;"PRC_RESID","",IF(K$7=2005+OFFSET(COM_N_2012!$B$60,$AW74,SUMIF($B$10:$B$16,"NCAP_TLIFE",$AX$10:$AX$16)),0,""))</f>
        <v/>
      </c>
      <c r="L74" s="369" t="str">
        <f ca="1">IF($B74&lt;&gt;"PRC_RESID","",IF(L$7=2005+OFFSET(COM_N_2012!$B$60,$AW74,SUMIF($B$10:$B$16,"NCAP_TLIFE",$AX$10:$AX$16)),0,""))</f>
        <v/>
      </c>
      <c r="M74" s="369" t="str">
        <f ca="1">IF($B74&lt;&gt;"PRC_RESID","",IF(M$7=2005+OFFSET(COM_N_2012!$B$60,$AW74,SUMIF($B$10:$B$16,"NCAP_TLIFE",$AX$10:$AX$16)),0,""))</f>
        <v/>
      </c>
      <c r="N74" s="369" t="str">
        <f ca="1">IF($B74&lt;&gt;"PRC_RESID","",IF(N$7=2005+OFFSET(COM_N_2012!$B$60,$AW74,SUMIF($B$10:$B$16,"NCAP_TLIFE",$AX$10:$AX$16)),0,""))</f>
        <v/>
      </c>
      <c r="O74" s="369" t="str">
        <f ca="1">IF($B74&lt;&gt;"PRC_RESID","",IF(O$7=2005+OFFSET(COM_N_2012!$B$60,$AW74,SUMIF($B$10:$B$16,"NCAP_TLIFE",$AX$10:$AX$16)),0,""))</f>
        <v/>
      </c>
      <c r="P74" s="369" t="str">
        <f ca="1">IF($B74&lt;&gt;"PRC_RESID","",IF(P$7=2005+OFFSET(COM_N_2012!$B$60,$AW74,SUMIF($B$10:$B$16,"NCAP_TLIFE",$AX$10:$AX$16)),0,""))</f>
        <v/>
      </c>
      <c r="Q74" s="369" t="str">
        <f ca="1">IF($B74&lt;&gt;"PRC_RESID","",IF(Q$7=2005+OFFSET(COM_N_2012!$B$60,$AW74,SUMIF($B$10:$B$16,"NCAP_TLIFE",$AX$10:$AX$16)),0,""))</f>
        <v/>
      </c>
      <c r="R74" s="369" t="str">
        <f ca="1">IF($B74&lt;&gt;"PRC_RESID","",IF(R$7=2005+OFFSET(COM_N_2012!$B$60,$AW74,SUMIF($B$10:$B$16,"NCAP_TLIFE",$AX$10:$AX$16)),0,""))</f>
        <v/>
      </c>
      <c r="S74" s="369" t="str">
        <f ca="1">IF($B74&lt;&gt;"PRC_RESID","",IF(S$7=2005+OFFSET(COM_N_2012!$B$60,$AW74,SUMIF($B$10:$B$16,"NCAP_TLIFE",$AX$10:$AX$16)),0,""))</f>
        <v/>
      </c>
      <c r="T74" s="369" t="str">
        <f ca="1">IF($B74&lt;&gt;"PRC_RESID","",IF(T$7=2005+OFFSET(COM_N_2012!$B$60,$AW74,SUMIF($B$10:$B$16,"NCAP_TLIFE",$AX$10:$AX$16)),0,""))</f>
        <v/>
      </c>
      <c r="U74" s="369" t="str">
        <f ca="1">IF($B74&lt;&gt;"PRC_RESID","",IF(U$7=2005+OFFSET(COM_N_2012!$B$60,$AW74,SUMIF($B$10:$B$16,"NCAP_TLIFE",$AX$10:$AX$16)),0,""))</f>
        <v/>
      </c>
      <c r="V74" s="369" t="str">
        <f ca="1">IF($B74&lt;&gt;"PRC_RESID","",IF(V$7=2005+OFFSET(COM_N_2012!$B$60,$AW74,SUMIF($B$10:$B$16,"NCAP_TLIFE",$AX$10:$AX$16)),0,""))</f>
        <v/>
      </c>
      <c r="W74" s="369" t="str">
        <f ca="1">IF($B74&lt;&gt;"PRC_RESID","",IF(W$7=2005+OFFSET(COM_N_2012!$B$60,$AW74,SUMIF($B$10:$B$16,"NCAP_TLIFE",$AX$10:$AX$16)),0,""))</f>
        <v/>
      </c>
      <c r="X74" s="369" t="str">
        <f ca="1">IF($B74&lt;&gt;"PRC_RESID","",IF(X$7=2005+OFFSET(COM_N_2012!$B$60,$AW74,SUMIF($B$10:$B$16,"NCAP_TLIFE",$AX$10:$AX$16)),0,""))</f>
        <v/>
      </c>
      <c r="Y74" s="369" t="str">
        <f ca="1">IF($B74&lt;&gt;"PRC_RESID","",IF(Y$7=2005+OFFSET(COM_N_2012!$B$60,$AW74,SUMIF($B$10:$B$16,"NCAP_TLIFE",$AX$10:$AX$16)),0,""))</f>
        <v/>
      </c>
      <c r="Z74" s="369" t="str">
        <f ca="1">IF($B74&lt;&gt;"PRC_RESID","",IF(Z$7=2005+OFFSET(COM_N_2012!$B$60,$AW74,SUMIF($B$10:$B$16,"NCAP_TLIFE",$AX$10:$AX$16)),0,""))</f>
        <v/>
      </c>
      <c r="AA74" s="369" t="str">
        <f ca="1">IF($B74&lt;&gt;"PRC_RESID","",IF(AA$7=2005+OFFSET(COM_N_2012!$B$60,$AW74,SUMIF($B$10:$B$16,"NCAP_TLIFE",$AX$10:$AX$16)),0,""))</f>
        <v/>
      </c>
      <c r="AB74" s="369" t="str">
        <f ca="1">IF($B74&lt;&gt;"PRC_RESID","",IF(AB$7=2005+OFFSET(COM_N_2012!$B$60,$AW74,SUMIF($B$10:$B$16,"NCAP_TLIFE",$AX$10:$AX$16)),0,""))</f>
        <v/>
      </c>
      <c r="AC74" s="369" t="str">
        <f ca="1">IF($B74&lt;&gt;"PRC_RESID","",IF(AC$7=2005+OFFSET(COM_N_2012!$B$60,$AW74,SUMIF($B$10:$B$16,"NCAP_TLIFE",$AX$10:$AX$16)),0,""))</f>
        <v/>
      </c>
      <c r="AD74" s="369" t="str">
        <f ca="1">IF($B74&lt;&gt;"PRC_RESID","",IF(AD$7=2005+OFFSET(COM_N_2012!$B$60,$AW74,SUMIF($B$10:$B$16,"NCAP_TLIFE",$AX$10:$AX$16)),0,""))</f>
        <v/>
      </c>
      <c r="AE74" s="369" t="str">
        <f ca="1">IF($B74&lt;&gt;"PRC_RESID","",IF(AE$7=2005+OFFSET(COM_N_2012!$B$60,$AW74,SUMIF($B$10:$B$16,"NCAP_TLIFE",$AX$10:$AX$16)),0,""))</f>
        <v/>
      </c>
      <c r="AF74" s="369" t="str">
        <f ca="1">IF($B74&lt;&gt;"PRC_RESID","",IF(AF$7=2005+OFFSET(COM_N_2012!$B$60,$AW74,SUMIF($B$10:$B$16,"NCAP_TLIFE",$AX$10:$AX$16)),0,""))</f>
        <v/>
      </c>
      <c r="AG74" s="369" t="str">
        <f ca="1">IF($B74&lt;&gt;"PRC_RESID","",IF(AG$7=2005+OFFSET(COM_N_2012!$B$60,$AW74,SUMIF($B$10:$B$16,"NCAP_TLIFE",$AX$10:$AX$16)),0,""))</f>
        <v/>
      </c>
      <c r="AH74" s="369" t="str">
        <f ca="1">IF($B74&lt;&gt;"PRC_RESID","",IF(AH$7=2005+OFFSET(COM_N_2012!$B$60,$AW74,SUMIF($B$10:$B$16,"NCAP_TLIFE",$AX$10:$AX$16)),0,""))</f>
        <v/>
      </c>
      <c r="AI74" s="369" t="str">
        <f ca="1">IF($B74&lt;&gt;"PRC_RESID","",IF(AI$7=2005+OFFSET(COM_N_2012!$B$60,$AW74,SUMIF($B$10:$B$16,"NCAP_TLIFE",$AX$10:$AX$16)),0,""))</f>
        <v/>
      </c>
      <c r="AJ74" s="369" t="str">
        <f ca="1">IF($B74&lt;&gt;"PRC_RESID","",IF(AJ$7=2005+OFFSET(COM_N_2012!$B$60,$AW74,SUMIF($B$10:$B$16,"NCAP_TLIFE",$AX$10:$AX$16)),0,""))</f>
        <v/>
      </c>
      <c r="AK74" s="369" t="str">
        <f ca="1">IF($B74&lt;&gt;"PRC_RESID","",IF(AK$7=2005+OFFSET(COM_N_2012!$B$60,$AW74,SUMIF($B$10:$B$16,"NCAP_TLIFE",$AX$10:$AX$16)),0,""))</f>
        <v/>
      </c>
      <c r="AL74" s="369" t="str">
        <f ca="1">IF($B74&lt;&gt;"PRC_RESID","",IF(AL$7=2005+OFFSET(COM_N_2012!$B$60,$AW74,SUMIF($B$10:$B$16,"NCAP_TLIFE",$AX$10:$AX$16)),0,""))</f>
        <v/>
      </c>
      <c r="AM74" s="369" t="str">
        <f ca="1">IF($B74&lt;&gt;"PRC_RESID","",IF(AM$7=2005+OFFSET(COM_N_2012!$B$60,$AW74,SUMIF($B$10:$B$16,"NCAP_TLIFE",$AX$10:$AX$16)),0,""))</f>
        <v/>
      </c>
      <c r="AN74" s="369" t="str">
        <f ca="1">IF($B74&lt;&gt;"PRC_RESID","",IF(AN$7=2005+OFFSET(COM_N_2012!$B$60,$AW74,SUMIF($B$10:$B$16,"NCAP_TLIFE",$AX$10:$AX$16)),0,""))</f>
        <v/>
      </c>
      <c r="AO74" s="369" t="str">
        <f ca="1">IF($B74&lt;&gt;"PRC_RESID","",IF(AO$7=2005+OFFSET(COM_N_2012!$B$60,$AW74,SUMIF($B$10:$B$16,"NCAP_TLIFE",$AX$10:$AX$16)),0,""))</f>
        <v/>
      </c>
      <c r="AP74" s="369" t="str">
        <f ca="1">IF($B74&lt;&gt;"PRC_RESID","",IF(AP$7=2005+OFFSET(COM_N_2012!$B$60,$AW74,SUMIF($B$10:$B$16,"NCAP_TLIFE",$AX$10:$AX$16)),0,""))</f>
        <v/>
      </c>
      <c r="AQ74" s="369" t="str">
        <f ca="1">IF($B74&lt;&gt;"PRC_RESID","",IF(AQ$7=2005+OFFSET(COM_N_2012!$B$60,$AW74,SUMIF($B$10:$B$16,"NCAP_TLIFE",$AX$10:$AX$16)),0,""))</f>
        <v/>
      </c>
      <c r="AR74" s="369" t="str">
        <f ca="1">IF($B74&lt;&gt;"PRC_RESID","",IF(AR$7=2005+OFFSET(COM_N_2012!$B$60,$AW74,SUMIF($B$10:$B$16,"NCAP_TLIFE",$AX$10:$AX$16)),0,""))</f>
        <v/>
      </c>
      <c r="AS74" s="369" t="str">
        <f ca="1">IF($B74&lt;&gt;"PRC_RESID","",IF(AS$7=2005+OFFSET(COM_N_2012!$B$60,$AW74,SUMIF($B$10:$B$16,"NCAP_TLIFE",$AX$10:$AX$16)),0,""))</f>
        <v/>
      </c>
      <c r="AT74" s="369" t="str">
        <f ca="1">IF($B74&lt;&gt;"PRC_RESID","",IF(AT$7=2005+OFFSET(COM_N_2012!$B$60,$AW74,SUMIF($B$10:$B$16,"NCAP_TLIFE",$AX$10:$AX$16)),0,""))</f>
        <v/>
      </c>
      <c r="AU74" s="369" t="str">
        <f ca="1">IF($B74&lt;&gt;"PRC_RESID","",IF(AU$7=2005+OFFSET(COM_N_2012!$B$60,$AW74,SUMIF($B$10:$B$16,"NCAP_TLIFE",$AX$10:$AX$16)),0,""))</f>
        <v/>
      </c>
      <c r="AV74" s="304">
        <f>IF(AW73=COM_N_2012!$AK$121,AV73+1,AV73)</f>
        <v>1</v>
      </c>
      <c r="AW74" s="304">
        <f t="shared" si="4"/>
        <v>57</v>
      </c>
    </row>
    <row r="75" spans="1:49">
      <c r="A75" s="304" t="str">
        <f ca="1">IF(LEFT(OFFSET(COM_N_2012!$A$60,AW75,0),2)="\I","*","")</f>
        <v/>
      </c>
      <c r="B75" s="369" t="str">
        <f t="shared" ca="1" si="2"/>
        <v>ACT_EFF</v>
      </c>
      <c r="C75" s="369" t="str">
        <f ca="1">IF($A75="*","",OFFSET(COM_N_2012!$B$60,AW75,0))</f>
        <v>CNOOHF-E</v>
      </c>
      <c r="D75" s="369" t="str">
        <f t="shared" ca="1" si="9"/>
        <v>-</v>
      </c>
      <c r="E75" s="369" t="str">
        <f t="shared" ca="1" si="9"/>
        <v>ACTGRP</v>
      </c>
      <c r="F75" s="369" t="str">
        <f t="shared" ca="1" si="9"/>
        <v>-</v>
      </c>
      <c r="G75" s="369" t="str">
        <f t="shared" ca="1" si="9"/>
        <v>ANNUAL</v>
      </c>
      <c r="H75" s="369" t="str">
        <f t="shared" ca="1" si="9"/>
        <v>-</v>
      </c>
      <c r="I75" s="370">
        <f t="shared" ca="1" si="9"/>
        <v>0</v>
      </c>
      <c r="J75" s="391">
        <f ca="1">IF($A75="*","",OFFSET(COM_N_2012!$B$60,AW75,SUMIF($B$10:$B$16,B75,$AX$10:$AX$16)))</f>
        <v>1</v>
      </c>
      <c r="K75" s="369" t="str">
        <f ca="1">IF($B75&lt;&gt;"PRC_RESID","",IF(K$7=2005+OFFSET(COM_N_2012!$B$60,$AW75,SUMIF($B$10:$B$16,"NCAP_TLIFE",$AX$10:$AX$16)),0,""))</f>
        <v/>
      </c>
      <c r="L75" s="369" t="str">
        <f ca="1">IF($B75&lt;&gt;"PRC_RESID","",IF(L$7=2005+OFFSET(COM_N_2012!$B$60,$AW75,SUMIF($B$10:$B$16,"NCAP_TLIFE",$AX$10:$AX$16)),0,""))</f>
        <v/>
      </c>
      <c r="M75" s="369" t="str">
        <f ca="1">IF($B75&lt;&gt;"PRC_RESID","",IF(M$7=2005+OFFSET(COM_N_2012!$B$60,$AW75,SUMIF($B$10:$B$16,"NCAP_TLIFE",$AX$10:$AX$16)),0,""))</f>
        <v/>
      </c>
      <c r="N75" s="369" t="str">
        <f ca="1">IF($B75&lt;&gt;"PRC_RESID","",IF(N$7=2005+OFFSET(COM_N_2012!$B$60,$AW75,SUMIF($B$10:$B$16,"NCAP_TLIFE",$AX$10:$AX$16)),0,""))</f>
        <v/>
      </c>
      <c r="O75" s="369" t="str">
        <f ca="1">IF($B75&lt;&gt;"PRC_RESID","",IF(O$7=2005+OFFSET(COM_N_2012!$B$60,$AW75,SUMIF($B$10:$B$16,"NCAP_TLIFE",$AX$10:$AX$16)),0,""))</f>
        <v/>
      </c>
      <c r="P75" s="369" t="str">
        <f ca="1">IF($B75&lt;&gt;"PRC_RESID","",IF(P$7=2005+OFFSET(COM_N_2012!$B$60,$AW75,SUMIF($B$10:$B$16,"NCAP_TLIFE",$AX$10:$AX$16)),0,""))</f>
        <v/>
      </c>
      <c r="Q75" s="369" t="str">
        <f ca="1">IF($B75&lt;&gt;"PRC_RESID","",IF(Q$7=2005+OFFSET(COM_N_2012!$B$60,$AW75,SUMIF($B$10:$B$16,"NCAP_TLIFE",$AX$10:$AX$16)),0,""))</f>
        <v/>
      </c>
      <c r="R75" s="369" t="str">
        <f ca="1">IF($B75&lt;&gt;"PRC_RESID","",IF(R$7=2005+OFFSET(COM_N_2012!$B$60,$AW75,SUMIF($B$10:$B$16,"NCAP_TLIFE",$AX$10:$AX$16)),0,""))</f>
        <v/>
      </c>
      <c r="S75" s="369" t="str">
        <f ca="1">IF($B75&lt;&gt;"PRC_RESID","",IF(S$7=2005+OFFSET(COM_N_2012!$B$60,$AW75,SUMIF($B$10:$B$16,"NCAP_TLIFE",$AX$10:$AX$16)),0,""))</f>
        <v/>
      </c>
      <c r="T75" s="369" t="str">
        <f ca="1">IF($B75&lt;&gt;"PRC_RESID","",IF(T$7=2005+OFFSET(COM_N_2012!$B$60,$AW75,SUMIF($B$10:$B$16,"NCAP_TLIFE",$AX$10:$AX$16)),0,""))</f>
        <v/>
      </c>
      <c r="U75" s="369" t="str">
        <f ca="1">IF($B75&lt;&gt;"PRC_RESID","",IF(U$7=2005+OFFSET(COM_N_2012!$B$60,$AW75,SUMIF($B$10:$B$16,"NCAP_TLIFE",$AX$10:$AX$16)),0,""))</f>
        <v/>
      </c>
      <c r="V75" s="369" t="str">
        <f ca="1">IF($B75&lt;&gt;"PRC_RESID","",IF(V$7=2005+OFFSET(COM_N_2012!$B$60,$AW75,SUMIF($B$10:$B$16,"NCAP_TLIFE",$AX$10:$AX$16)),0,""))</f>
        <v/>
      </c>
      <c r="W75" s="369" t="str">
        <f ca="1">IF($B75&lt;&gt;"PRC_RESID","",IF(W$7=2005+OFFSET(COM_N_2012!$B$60,$AW75,SUMIF($B$10:$B$16,"NCAP_TLIFE",$AX$10:$AX$16)),0,""))</f>
        <v/>
      </c>
      <c r="X75" s="369" t="str">
        <f ca="1">IF($B75&lt;&gt;"PRC_RESID","",IF(X$7=2005+OFFSET(COM_N_2012!$B$60,$AW75,SUMIF($B$10:$B$16,"NCAP_TLIFE",$AX$10:$AX$16)),0,""))</f>
        <v/>
      </c>
      <c r="Y75" s="369" t="str">
        <f ca="1">IF($B75&lt;&gt;"PRC_RESID","",IF(Y$7=2005+OFFSET(COM_N_2012!$B$60,$AW75,SUMIF($B$10:$B$16,"NCAP_TLIFE",$AX$10:$AX$16)),0,""))</f>
        <v/>
      </c>
      <c r="Z75" s="369" t="str">
        <f ca="1">IF($B75&lt;&gt;"PRC_RESID","",IF(Z$7=2005+OFFSET(COM_N_2012!$B$60,$AW75,SUMIF($B$10:$B$16,"NCAP_TLIFE",$AX$10:$AX$16)),0,""))</f>
        <v/>
      </c>
      <c r="AA75" s="369" t="str">
        <f ca="1">IF($B75&lt;&gt;"PRC_RESID","",IF(AA$7=2005+OFFSET(COM_N_2012!$B$60,$AW75,SUMIF($B$10:$B$16,"NCAP_TLIFE",$AX$10:$AX$16)),0,""))</f>
        <v/>
      </c>
      <c r="AB75" s="369" t="str">
        <f ca="1">IF($B75&lt;&gt;"PRC_RESID","",IF(AB$7=2005+OFFSET(COM_N_2012!$B$60,$AW75,SUMIF($B$10:$B$16,"NCAP_TLIFE",$AX$10:$AX$16)),0,""))</f>
        <v/>
      </c>
      <c r="AC75" s="369" t="str">
        <f ca="1">IF($B75&lt;&gt;"PRC_RESID","",IF(AC$7=2005+OFFSET(COM_N_2012!$B$60,$AW75,SUMIF($B$10:$B$16,"NCAP_TLIFE",$AX$10:$AX$16)),0,""))</f>
        <v/>
      </c>
      <c r="AD75" s="369" t="str">
        <f ca="1">IF($B75&lt;&gt;"PRC_RESID","",IF(AD$7=2005+OFFSET(COM_N_2012!$B$60,$AW75,SUMIF($B$10:$B$16,"NCAP_TLIFE",$AX$10:$AX$16)),0,""))</f>
        <v/>
      </c>
      <c r="AE75" s="369" t="str">
        <f ca="1">IF($B75&lt;&gt;"PRC_RESID","",IF(AE$7=2005+OFFSET(COM_N_2012!$B$60,$AW75,SUMIF($B$10:$B$16,"NCAP_TLIFE",$AX$10:$AX$16)),0,""))</f>
        <v/>
      </c>
      <c r="AF75" s="369" t="str">
        <f ca="1">IF($B75&lt;&gt;"PRC_RESID","",IF(AF$7=2005+OFFSET(COM_N_2012!$B$60,$AW75,SUMIF($B$10:$B$16,"NCAP_TLIFE",$AX$10:$AX$16)),0,""))</f>
        <v/>
      </c>
      <c r="AG75" s="369" t="str">
        <f ca="1">IF($B75&lt;&gt;"PRC_RESID","",IF(AG$7=2005+OFFSET(COM_N_2012!$B$60,$AW75,SUMIF($B$10:$B$16,"NCAP_TLIFE",$AX$10:$AX$16)),0,""))</f>
        <v/>
      </c>
      <c r="AH75" s="369" t="str">
        <f ca="1">IF($B75&lt;&gt;"PRC_RESID","",IF(AH$7=2005+OFFSET(COM_N_2012!$B$60,$AW75,SUMIF($B$10:$B$16,"NCAP_TLIFE",$AX$10:$AX$16)),0,""))</f>
        <v/>
      </c>
      <c r="AI75" s="369" t="str">
        <f ca="1">IF($B75&lt;&gt;"PRC_RESID","",IF(AI$7=2005+OFFSET(COM_N_2012!$B$60,$AW75,SUMIF($B$10:$B$16,"NCAP_TLIFE",$AX$10:$AX$16)),0,""))</f>
        <v/>
      </c>
      <c r="AJ75" s="369" t="str">
        <f ca="1">IF($B75&lt;&gt;"PRC_RESID","",IF(AJ$7=2005+OFFSET(COM_N_2012!$B$60,$AW75,SUMIF($B$10:$B$16,"NCAP_TLIFE",$AX$10:$AX$16)),0,""))</f>
        <v/>
      </c>
      <c r="AK75" s="369" t="str">
        <f ca="1">IF($B75&lt;&gt;"PRC_RESID","",IF(AK$7=2005+OFFSET(COM_N_2012!$B$60,$AW75,SUMIF($B$10:$B$16,"NCAP_TLIFE",$AX$10:$AX$16)),0,""))</f>
        <v/>
      </c>
      <c r="AL75" s="369" t="str">
        <f ca="1">IF($B75&lt;&gt;"PRC_RESID","",IF(AL$7=2005+OFFSET(COM_N_2012!$B$60,$AW75,SUMIF($B$10:$B$16,"NCAP_TLIFE",$AX$10:$AX$16)),0,""))</f>
        <v/>
      </c>
      <c r="AM75" s="369" t="str">
        <f ca="1">IF($B75&lt;&gt;"PRC_RESID","",IF(AM$7=2005+OFFSET(COM_N_2012!$B$60,$AW75,SUMIF($B$10:$B$16,"NCAP_TLIFE",$AX$10:$AX$16)),0,""))</f>
        <v/>
      </c>
      <c r="AN75" s="369" t="str">
        <f ca="1">IF($B75&lt;&gt;"PRC_RESID","",IF(AN$7=2005+OFFSET(COM_N_2012!$B$60,$AW75,SUMIF($B$10:$B$16,"NCAP_TLIFE",$AX$10:$AX$16)),0,""))</f>
        <v/>
      </c>
      <c r="AO75" s="369" t="str">
        <f ca="1">IF($B75&lt;&gt;"PRC_RESID","",IF(AO$7=2005+OFFSET(COM_N_2012!$B$60,$AW75,SUMIF($B$10:$B$16,"NCAP_TLIFE",$AX$10:$AX$16)),0,""))</f>
        <v/>
      </c>
      <c r="AP75" s="369" t="str">
        <f ca="1">IF($B75&lt;&gt;"PRC_RESID","",IF(AP$7=2005+OFFSET(COM_N_2012!$B$60,$AW75,SUMIF($B$10:$B$16,"NCAP_TLIFE",$AX$10:$AX$16)),0,""))</f>
        <v/>
      </c>
      <c r="AQ75" s="369" t="str">
        <f ca="1">IF($B75&lt;&gt;"PRC_RESID","",IF(AQ$7=2005+OFFSET(COM_N_2012!$B$60,$AW75,SUMIF($B$10:$B$16,"NCAP_TLIFE",$AX$10:$AX$16)),0,""))</f>
        <v/>
      </c>
      <c r="AR75" s="369" t="str">
        <f ca="1">IF($B75&lt;&gt;"PRC_RESID","",IF(AR$7=2005+OFFSET(COM_N_2012!$B$60,$AW75,SUMIF($B$10:$B$16,"NCAP_TLIFE",$AX$10:$AX$16)),0,""))</f>
        <v/>
      </c>
      <c r="AS75" s="369" t="str">
        <f ca="1">IF($B75&lt;&gt;"PRC_RESID","",IF(AS$7=2005+OFFSET(COM_N_2012!$B$60,$AW75,SUMIF($B$10:$B$16,"NCAP_TLIFE",$AX$10:$AX$16)),0,""))</f>
        <v/>
      </c>
      <c r="AT75" s="369" t="str">
        <f ca="1">IF($B75&lt;&gt;"PRC_RESID","",IF(AT$7=2005+OFFSET(COM_N_2012!$B$60,$AW75,SUMIF($B$10:$B$16,"NCAP_TLIFE",$AX$10:$AX$16)),0,""))</f>
        <v/>
      </c>
      <c r="AU75" s="369" t="str">
        <f ca="1">IF($B75&lt;&gt;"PRC_RESID","",IF(AU$7=2005+OFFSET(COM_N_2012!$B$60,$AW75,SUMIF($B$10:$B$16,"NCAP_TLIFE",$AX$10:$AX$16)),0,""))</f>
        <v/>
      </c>
      <c r="AV75" s="304">
        <f>IF(AW74=COM_N_2012!$AK$121,AV74+1,AV74)</f>
        <v>1</v>
      </c>
      <c r="AW75" s="304">
        <f t="shared" si="4"/>
        <v>58</v>
      </c>
    </row>
    <row r="76" spans="1:49">
      <c r="A76" s="304" t="str">
        <f ca="1">IF(LEFT(OFFSET(COM_N_2012!$A$60,AW76,0),2)="\I","*","")</f>
        <v/>
      </c>
      <c r="B76" s="369" t="str">
        <f t="shared" ca="1" si="2"/>
        <v>ACT_EFF</v>
      </c>
      <c r="C76" s="369" t="str">
        <f ca="1">IF($A76="*","",OFFSET(COM_N_2012!$B$60,AW76,0))</f>
        <v>CNOOKE-E</v>
      </c>
      <c r="D76" s="369" t="str">
        <f t="shared" ca="1" si="9"/>
        <v>-</v>
      </c>
      <c r="E76" s="369" t="str">
        <f t="shared" ca="1" si="9"/>
        <v>ACTGRP</v>
      </c>
      <c r="F76" s="369" t="str">
        <f t="shared" ca="1" si="9"/>
        <v>-</v>
      </c>
      <c r="G76" s="369" t="str">
        <f t="shared" ca="1" si="9"/>
        <v>ANNUAL</v>
      </c>
      <c r="H76" s="369" t="str">
        <f t="shared" ca="1" si="9"/>
        <v>-</v>
      </c>
      <c r="I76" s="370">
        <f t="shared" ca="1" si="9"/>
        <v>0</v>
      </c>
      <c r="J76" s="391">
        <f ca="1">IF($A76="*","",OFFSET(COM_N_2012!$B$60,AW76,SUMIF($B$10:$B$16,B76,$AX$10:$AX$16)))</f>
        <v>1</v>
      </c>
      <c r="K76" s="369" t="str">
        <f ca="1">IF($B76&lt;&gt;"PRC_RESID","",IF(K$7=2005+OFFSET(COM_N_2012!$B$60,$AW76,SUMIF($B$10:$B$16,"NCAP_TLIFE",$AX$10:$AX$16)),0,""))</f>
        <v/>
      </c>
      <c r="L76" s="369" t="str">
        <f ca="1">IF($B76&lt;&gt;"PRC_RESID","",IF(L$7=2005+OFFSET(COM_N_2012!$B$60,$AW76,SUMIF($B$10:$B$16,"NCAP_TLIFE",$AX$10:$AX$16)),0,""))</f>
        <v/>
      </c>
      <c r="M76" s="369" t="str">
        <f ca="1">IF($B76&lt;&gt;"PRC_RESID","",IF(M$7=2005+OFFSET(COM_N_2012!$B$60,$AW76,SUMIF($B$10:$B$16,"NCAP_TLIFE",$AX$10:$AX$16)),0,""))</f>
        <v/>
      </c>
      <c r="N76" s="369" t="str">
        <f ca="1">IF($B76&lt;&gt;"PRC_RESID","",IF(N$7=2005+OFFSET(COM_N_2012!$B$60,$AW76,SUMIF($B$10:$B$16,"NCAP_TLIFE",$AX$10:$AX$16)),0,""))</f>
        <v/>
      </c>
      <c r="O76" s="369" t="str">
        <f ca="1">IF($B76&lt;&gt;"PRC_RESID","",IF(O$7=2005+OFFSET(COM_N_2012!$B$60,$AW76,SUMIF($B$10:$B$16,"NCAP_TLIFE",$AX$10:$AX$16)),0,""))</f>
        <v/>
      </c>
      <c r="P76" s="369" t="str">
        <f ca="1">IF($B76&lt;&gt;"PRC_RESID","",IF(P$7=2005+OFFSET(COM_N_2012!$B$60,$AW76,SUMIF($B$10:$B$16,"NCAP_TLIFE",$AX$10:$AX$16)),0,""))</f>
        <v/>
      </c>
      <c r="Q76" s="369" t="str">
        <f ca="1">IF($B76&lt;&gt;"PRC_RESID","",IF(Q$7=2005+OFFSET(COM_N_2012!$B$60,$AW76,SUMIF($B$10:$B$16,"NCAP_TLIFE",$AX$10:$AX$16)),0,""))</f>
        <v/>
      </c>
      <c r="R76" s="369" t="str">
        <f ca="1">IF($B76&lt;&gt;"PRC_RESID","",IF(R$7=2005+OFFSET(COM_N_2012!$B$60,$AW76,SUMIF($B$10:$B$16,"NCAP_TLIFE",$AX$10:$AX$16)),0,""))</f>
        <v/>
      </c>
      <c r="S76" s="369" t="str">
        <f ca="1">IF($B76&lt;&gt;"PRC_RESID","",IF(S$7=2005+OFFSET(COM_N_2012!$B$60,$AW76,SUMIF($B$10:$B$16,"NCAP_TLIFE",$AX$10:$AX$16)),0,""))</f>
        <v/>
      </c>
      <c r="T76" s="369" t="str">
        <f ca="1">IF($B76&lt;&gt;"PRC_RESID","",IF(T$7=2005+OFFSET(COM_N_2012!$B$60,$AW76,SUMIF($B$10:$B$16,"NCAP_TLIFE",$AX$10:$AX$16)),0,""))</f>
        <v/>
      </c>
      <c r="U76" s="369" t="str">
        <f ca="1">IF($B76&lt;&gt;"PRC_RESID","",IF(U$7=2005+OFFSET(COM_N_2012!$B$60,$AW76,SUMIF($B$10:$B$16,"NCAP_TLIFE",$AX$10:$AX$16)),0,""))</f>
        <v/>
      </c>
      <c r="V76" s="369" t="str">
        <f ca="1">IF($B76&lt;&gt;"PRC_RESID","",IF(V$7=2005+OFFSET(COM_N_2012!$B$60,$AW76,SUMIF($B$10:$B$16,"NCAP_TLIFE",$AX$10:$AX$16)),0,""))</f>
        <v/>
      </c>
      <c r="W76" s="369" t="str">
        <f ca="1">IF($B76&lt;&gt;"PRC_RESID","",IF(W$7=2005+OFFSET(COM_N_2012!$B$60,$AW76,SUMIF($B$10:$B$16,"NCAP_TLIFE",$AX$10:$AX$16)),0,""))</f>
        <v/>
      </c>
      <c r="X76" s="369" t="str">
        <f ca="1">IF($B76&lt;&gt;"PRC_RESID","",IF(X$7=2005+OFFSET(COM_N_2012!$B$60,$AW76,SUMIF($B$10:$B$16,"NCAP_TLIFE",$AX$10:$AX$16)),0,""))</f>
        <v/>
      </c>
      <c r="Y76" s="369" t="str">
        <f ca="1">IF($B76&lt;&gt;"PRC_RESID","",IF(Y$7=2005+OFFSET(COM_N_2012!$B$60,$AW76,SUMIF($B$10:$B$16,"NCAP_TLIFE",$AX$10:$AX$16)),0,""))</f>
        <v/>
      </c>
      <c r="Z76" s="369" t="str">
        <f ca="1">IF($B76&lt;&gt;"PRC_RESID","",IF(Z$7=2005+OFFSET(COM_N_2012!$B$60,$AW76,SUMIF($B$10:$B$16,"NCAP_TLIFE",$AX$10:$AX$16)),0,""))</f>
        <v/>
      </c>
      <c r="AA76" s="369" t="str">
        <f ca="1">IF($B76&lt;&gt;"PRC_RESID","",IF(AA$7=2005+OFFSET(COM_N_2012!$B$60,$AW76,SUMIF($B$10:$B$16,"NCAP_TLIFE",$AX$10:$AX$16)),0,""))</f>
        <v/>
      </c>
      <c r="AB76" s="369" t="str">
        <f ca="1">IF($B76&lt;&gt;"PRC_RESID","",IF(AB$7=2005+OFFSET(COM_N_2012!$B$60,$AW76,SUMIF($B$10:$B$16,"NCAP_TLIFE",$AX$10:$AX$16)),0,""))</f>
        <v/>
      </c>
      <c r="AC76" s="369" t="str">
        <f ca="1">IF($B76&lt;&gt;"PRC_RESID","",IF(AC$7=2005+OFFSET(COM_N_2012!$B$60,$AW76,SUMIF($B$10:$B$16,"NCAP_TLIFE",$AX$10:$AX$16)),0,""))</f>
        <v/>
      </c>
      <c r="AD76" s="369" t="str">
        <f ca="1">IF($B76&lt;&gt;"PRC_RESID","",IF(AD$7=2005+OFFSET(COM_N_2012!$B$60,$AW76,SUMIF($B$10:$B$16,"NCAP_TLIFE",$AX$10:$AX$16)),0,""))</f>
        <v/>
      </c>
      <c r="AE76" s="369" t="str">
        <f ca="1">IF($B76&lt;&gt;"PRC_RESID","",IF(AE$7=2005+OFFSET(COM_N_2012!$B$60,$AW76,SUMIF($B$10:$B$16,"NCAP_TLIFE",$AX$10:$AX$16)),0,""))</f>
        <v/>
      </c>
      <c r="AF76" s="369" t="str">
        <f ca="1">IF($B76&lt;&gt;"PRC_RESID","",IF(AF$7=2005+OFFSET(COM_N_2012!$B$60,$AW76,SUMIF($B$10:$B$16,"NCAP_TLIFE",$AX$10:$AX$16)),0,""))</f>
        <v/>
      </c>
      <c r="AG76" s="369" t="str">
        <f ca="1">IF($B76&lt;&gt;"PRC_RESID","",IF(AG$7=2005+OFFSET(COM_N_2012!$B$60,$AW76,SUMIF($B$10:$B$16,"NCAP_TLIFE",$AX$10:$AX$16)),0,""))</f>
        <v/>
      </c>
      <c r="AH76" s="369" t="str">
        <f ca="1">IF($B76&lt;&gt;"PRC_RESID","",IF(AH$7=2005+OFFSET(COM_N_2012!$B$60,$AW76,SUMIF($B$10:$B$16,"NCAP_TLIFE",$AX$10:$AX$16)),0,""))</f>
        <v/>
      </c>
      <c r="AI76" s="369" t="str">
        <f ca="1">IF($B76&lt;&gt;"PRC_RESID","",IF(AI$7=2005+OFFSET(COM_N_2012!$B$60,$AW76,SUMIF($B$10:$B$16,"NCAP_TLIFE",$AX$10:$AX$16)),0,""))</f>
        <v/>
      </c>
      <c r="AJ76" s="369" t="str">
        <f ca="1">IF($B76&lt;&gt;"PRC_RESID","",IF(AJ$7=2005+OFFSET(COM_N_2012!$B$60,$AW76,SUMIF($B$10:$B$16,"NCAP_TLIFE",$AX$10:$AX$16)),0,""))</f>
        <v/>
      </c>
      <c r="AK76" s="369" t="str">
        <f ca="1">IF($B76&lt;&gt;"PRC_RESID","",IF(AK$7=2005+OFFSET(COM_N_2012!$B$60,$AW76,SUMIF($B$10:$B$16,"NCAP_TLIFE",$AX$10:$AX$16)),0,""))</f>
        <v/>
      </c>
      <c r="AL76" s="369" t="str">
        <f ca="1">IF($B76&lt;&gt;"PRC_RESID","",IF(AL$7=2005+OFFSET(COM_N_2012!$B$60,$AW76,SUMIF($B$10:$B$16,"NCAP_TLIFE",$AX$10:$AX$16)),0,""))</f>
        <v/>
      </c>
      <c r="AM76" s="369" t="str">
        <f ca="1">IF($B76&lt;&gt;"PRC_RESID","",IF(AM$7=2005+OFFSET(COM_N_2012!$B$60,$AW76,SUMIF($B$10:$B$16,"NCAP_TLIFE",$AX$10:$AX$16)),0,""))</f>
        <v/>
      </c>
      <c r="AN76" s="369" t="str">
        <f ca="1">IF($B76&lt;&gt;"PRC_RESID","",IF(AN$7=2005+OFFSET(COM_N_2012!$B$60,$AW76,SUMIF($B$10:$B$16,"NCAP_TLIFE",$AX$10:$AX$16)),0,""))</f>
        <v/>
      </c>
      <c r="AO76" s="369" t="str">
        <f ca="1">IF($B76&lt;&gt;"PRC_RESID","",IF(AO$7=2005+OFFSET(COM_N_2012!$B$60,$AW76,SUMIF($B$10:$B$16,"NCAP_TLIFE",$AX$10:$AX$16)),0,""))</f>
        <v/>
      </c>
      <c r="AP76" s="369" t="str">
        <f ca="1">IF($B76&lt;&gt;"PRC_RESID","",IF(AP$7=2005+OFFSET(COM_N_2012!$B$60,$AW76,SUMIF($B$10:$B$16,"NCAP_TLIFE",$AX$10:$AX$16)),0,""))</f>
        <v/>
      </c>
      <c r="AQ76" s="369" t="str">
        <f ca="1">IF($B76&lt;&gt;"PRC_RESID","",IF(AQ$7=2005+OFFSET(COM_N_2012!$B$60,$AW76,SUMIF($B$10:$B$16,"NCAP_TLIFE",$AX$10:$AX$16)),0,""))</f>
        <v/>
      </c>
      <c r="AR76" s="369" t="str">
        <f ca="1">IF($B76&lt;&gt;"PRC_RESID","",IF(AR$7=2005+OFFSET(COM_N_2012!$B$60,$AW76,SUMIF($B$10:$B$16,"NCAP_TLIFE",$AX$10:$AX$16)),0,""))</f>
        <v/>
      </c>
      <c r="AS76" s="369" t="str">
        <f ca="1">IF($B76&lt;&gt;"PRC_RESID","",IF(AS$7=2005+OFFSET(COM_N_2012!$B$60,$AW76,SUMIF($B$10:$B$16,"NCAP_TLIFE",$AX$10:$AX$16)),0,""))</f>
        <v/>
      </c>
      <c r="AT76" s="369" t="str">
        <f ca="1">IF($B76&lt;&gt;"PRC_RESID","",IF(AT$7=2005+OFFSET(COM_N_2012!$B$60,$AW76,SUMIF($B$10:$B$16,"NCAP_TLIFE",$AX$10:$AX$16)),0,""))</f>
        <v/>
      </c>
      <c r="AU76" s="369" t="str">
        <f ca="1">IF($B76&lt;&gt;"PRC_RESID","",IF(AU$7=2005+OFFSET(COM_N_2012!$B$60,$AW76,SUMIF($B$10:$B$16,"NCAP_TLIFE",$AX$10:$AX$16)),0,""))</f>
        <v/>
      </c>
      <c r="AV76" s="304">
        <f>IF(AW75=COM_N_2012!$AK$121,AV75+1,AV75)</f>
        <v>1</v>
      </c>
      <c r="AW76" s="304">
        <f t="shared" si="4"/>
        <v>59</v>
      </c>
    </row>
    <row r="77" spans="1:49">
      <c r="A77" s="304" t="str">
        <f ca="1">IF(LEFT(OFFSET(COM_N_2012!$A$60,AW77,0),2)="\I","*","")</f>
        <v>*</v>
      </c>
      <c r="B77" s="369" t="str">
        <f t="shared" ca="1" si="2"/>
        <v/>
      </c>
      <c r="C77" s="369" t="str">
        <f ca="1">IF($A77="*","",OFFSET(COM_N_2012!$B$60,AW77,0))</f>
        <v/>
      </c>
      <c r="D77" s="369" t="str">
        <f t="shared" ca="1" si="9"/>
        <v/>
      </c>
      <c r="E77" s="369" t="str">
        <f t="shared" ca="1" si="9"/>
        <v/>
      </c>
      <c r="F77" s="369" t="str">
        <f t="shared" ca="1" si="9"/>
        <v/>
      </c>
      <c r="G77" s="369" t="str">
        <f t="shared" ca="1" si="9"/>
        <v/>
      </c>
      <c r="H77" s="369" t="str">
        <f t="shared" ca="1" si="9"/>
        <v/>
      </c>
      <c r="I77" s="370" t="str">
        <f t="shared" ca="1" si="9"/>
        <v/>
      </c>
      <c r="J77" s="391" t="str">
        <f ca="1">IF($A77="*","",OFFSET(COM_N_2012!$B$60,AW77,SUMIF($B$10:$B$16,B77,$AX$10:$AX$16)))</f>
        <v/>
      </c>
      <c r="K77" s="369" t="str">
        <f ca="1">IF($B77&lt;&gt;"PRC_RESID","",IF(K$7=2005+OFFSET(COM_N_2012!$B$60,$AW77,SUMIF($B$10:$B$16,"NCAP_TLIFE",$AX$10:$AX$16)),0,""))</f>
        <v/>
      </c>
      <c r="L77" s="369" t="str">
        <f ca="1">IF($B77&lt;&gt;"PRC_RESID","",IF(L$7=2005+OFFSET(COM_N_2012!$B$60,$AW77,SUMIF($B$10:$B$16,"NCAP_TLIFE",$AX$10:$AX$16)),0,""))</f>
        <v/>
      </c>
      <c r="M77" s="369" t="str">
        <f ca="1">IF($B77&lt;&gt;"PRC_RESID","",IF(M$7=2005+OFFSET(COM_N_2012!$B$60,$AW77,SUMIF($B$10:$B$16,"NCAP_TLIFE",$AX$10:$AX$16)),0,""))</f>
        <v/>
      </c>
      <c r="N77" s="369" t="str">
        <f ca="1">IF($B77&lt;&gt;"PRC_RESID","",IF(N$7=2005+OFFSET(COM_N_2012!$B$60,$AW77,SUMIF($B$10:$B$16,"NCAP_TLIFE",$AX$10:$AX$16)),0,""))</f>
        <v/>
      </c>
      <c r="O77" s="369" t="str">
        <f ca="1">IF($B77&lt;&gt;"PRC_RESID","",IF(O$7=2005+OFFSET(COM_N_2012!$B$60,$AW77,SUMIF($B$10:$B$16,"NCAP_TLIFE",$AX$10:$AX$16)),0,""))</f>
        <v/>
      </c>
      <c r="P77" s="369" t="str">
        <f ca="1">IF($B77&lt;&gt;"PRC_RESID","",IF(P$7=2005+OFFSET(COM_N_2012!$B$60,$AW77,SUMIF($B$10:$B$16,"NCAP_TLIFE",$AX$10:$AX$16)),0,""))</f>
        <v/>
      </c>
      <c r="Q77" s="369" t="str">
        <f ca="1">IF($B77&lt;&gt;"PRC_RESID","",IF(Q$7=2005+OFFSET(COM_N_2012!$B$60,$AW77,SUMIF($B$10:$B$16,"NCAP_TLIFE",$AX$10:$AX$16)),0,""))</f>
        <v/>
      </c>
      <c r="R77" s="369" t="str">
        <f ca="1">IF($B77&lt;&gt;"PRC_RESID","",IF(R$7=2005+OFFSET(COM_N_2012!$B$60,$AW77,SUMIF($B$10:$B$16,"NCAP_TLIFE",$AX$10:$AX$16)),0,""))</f>
        <v/>
      </c>
      <c r="S77" s="369" t="str">
        <f ca="1">IF($B77&lt;&gt;"PRC_RESID","",IF(S$7=2005+OFFSET(COM_N_2012!$B$60,$AW77,SUMIF($B$10:$B$16,"NCAP_TLIFE",$AX$10:$AX$16)),0,""))</f>
        <v/>
      </c>
      <c r="T77" s="369" t="str">
        <f ca="1">IF($B77&lt;&gt;"PRC_RESID","",IF(T$7=2005+OFFSET(COM_N_2012!$B$60,$AW77,SUMIF($B$10:$B$16,"NCAP_TLIFE",$AX$10:$AX$16)),0,""))</f>
        <v/>
      </c>
      <c r="U77" s="369" t="str">
        <f ca="1">IF($B77&lt;&gt;"PRC_RESID","",IF(U$7=2005+OFFSET(COM_N_2012!$B$60,$AW77,SUMIF($B$10:$B$16,"NCAP_TLIFE",$AX$10:$AX$16)),0,""))</f>
        <v/>
      </c>
      <c r="V77" s="369" t="str">
        <f ca="1">IF($B77&lt;&gt;"PRC_RESID","",IF(V$7=2005+OFFSET(COM_N_2012!$B$60,$AW77,SUMIF($B$10:$B$16,"NCAP_TLIFE",$AX$10:$AX$16)),0,""))</f>
        <v/>
      </c>
      <c r="W77" s="369" t="str">
        <f ca="1">IF($B77&lt;&gt;"PRC_RESID","",IF(W$7=2005+OFFSET(COM_N_2012!$B$60,$AW77,SUMIF($B$10:$B$16,"NCAP_TLIFE",$AX$10:$AX$16)),0,""))</f>
        <v/>
      </c>
      <c r="X77" s="369" t="str">
        <f ca="1">IF($B77&lt;&gt;"PRC_RESID","",IF(X$7=2005+OFFSET(COM_N_2012!$B$60,$AW77,SUMIF($B$10:$B$16,"NCAP_TLIFE",$AX$10:$AX$16)),0,""))</f>
        <v/>
      </c>
      <c r="Y77" s="369" t="str">
        <f ca="1">IF($B77&lt;&gt;"PRC_RESID","",IF(Y$7=2005+OFFSET(COM_N_2012!$B$60,$AW77,SUMIF($B$10:$B$16,"NCAP_TLIFE",$AX$10:$AX$16)),0,""))</f>
        <v/>
      </c>
      <c r="Z77" s="369" t="str">
        <f ca="1">IF($B77&lt;&gt;"PRC_RESID","",IF(Z$7=2005+OFFSET(COM_N_2012!$B$60,$AW77,SUMIF($B$10:$B$16,"NCAP_TLIFE",$AX$10:$AX$16)),0,""))</f>
        <v/>
      </c>
      <c r="AA77" s="369" t="str">
        <f ca="1">IF($B77&lt;&gt;"PRC_RESID","",IF(AA$7=2005+OFFSET(COM_N_2012!$B$60,$AW77,SUMIF($B$10:$B$16,"NCAP_TLIFE",$AX$10:$AX$16)),0,""))</f>
        <v/>
      </c>
      <c r="AB77" s="369" t="str">
        <f ca="1">IF($B77&lt;&gt;"PRC_RESID","",IF(AB$7=2005+OFFSET(COM_N_2012!$B$60,$AW77,SUMIF($B$10:$B$16,"NCAP_TLIFE",$AX$10:$AX$16)),0,""))</f>
        <v/>
      </c>
      <c r="AC77" s="369" t="str">
        <f ca="1">IF($B77&lt;&gt;"PRC_RESID","",IF(AC$7=2005+OFFSET(COM_N_2012!$B$60,$AW77,SUMIF($B$10:$B$16,"NCAP_TLIFE",$AX$10:$AX$16)),0,""))</f>
        <v/>
      </c>
      <c r="AD77" s="369" t="str">
        <f ca="1">IF($B77&lt;&gt;"PRC_RESID","",IF(AD$7=2005+OFFSET(COM_N_2012!$B$60,$AW77,SUMIF($B$10:$B$16,"NCAP_TLIFE",$AX$10:$AX$16)),0,""))</f>
        <v/>
      </c>
      <c r="AE77" s="369" t="str">
        <f ca="1">IF($B77&lt;&gt;"PRC_RESID","",IF(AE$7=2005+OFFSET(COM_N_2012!$B$60,$AW77,SUMIF($B$10:$B$16,"NCAP_TLIFE",$AX$10:$AX$16)),0,""))</f>
        <v/>
      </c>
      <c r="AF77" s="369" t="str">
        <f ca="1">IF($B77&lt;&gt;"PRC_RESID","",IF(AF$7=2005+OFFSET(COM_N_2012!$B$60,$AW77,SUMIF($B$10:$B$16,"NCAP_TLIFE",$AX$10:$AX$16)),0,""))</f>
        <v/>
      </c>
      <c r="AG77" s="369" t="str">
        <f ca="1">IF($B77&lt;&gt;"PRC_RESID","",IF(AG$7=2005+OFFSET(COM_N_2012!$B$60,$AW77,SUMIF($B$10:$B$16,"NCAP_TLIFE",$AX$10:$AX$16)),0,""))</f>
        <v/>
      </c>
      <c r="AH77" s="369" t="str">
        <f ca="1">IF($B77&lt;&gt;"PRC_RESID","",IF(AH$7=2005+OFFSET(COM_N_2012!$B$60,$AW77,SUMIF($B$10:$B$16,"NCAP_TLIFE",$AX$10:$AX$16)),0,""))</f>
        <v/>
      </c>
      <c r="AI77" s="369" t="str">
        <f ca="1">IF($B77&lt;&gt;"PRC_RESID","",IF(AI$7=2005+OFFSET(COM_N_2012!$B$60,$AW77,SUMIF($B$10:$B$16,"NCAP_TLIFE",$AX$10:$AX$16)),0,""))</f>
        <v/>
      </c>
      <c r="AJ77" s="369" t="str">
        <f ca="1">IF($B77&lt;&gt;"PRC_RESID","",IF(AJ$7=2005+OFFSET(COM_N_2012!$B$60,$AW77,SUMIF($B$10:$B$16,"NCAP_TLIFE",$AX$10:$AX$16)),0,""))</f>
        <v/>
      </c>
      <c r="AK77" s="369" t="str">
        <f ca="1">IF($B77&lt;&gt;"PRC_RESID","",IF(AK$7=2005+OFFSET(COM_N_2012!$B$60,$AW77,SUMIF($B$10:$B$16,"NCAP_TLIFE",$AX$10:$AX$16)),0,""))</f>
        <v/>
      </c>
      <c r="AL77" s="369" t="str">
        <f ca="1">IF($B77&lt;&gt;"PRC_RESID","",IF(AL$7=2005+OFFSET(COM_N_2012!$B$60,$AW77,SUMIF($B$10:$B$16,"NCAP_TLIFE",$AX$10:$AX$16)),0,""))</f>
        <v/>
      </c>
      <c r="AM77" s="369" t="str">
        <f ca="1">IF($B77&lt;&gt;"PRC_RESID","",IF(AM$7=2005+OFFSET(COM_N_2012!$B$60,$AW77,SUMIF($B$10:$B$16,"NCAP_TLIFE",$AX$10:$AX$16)),0,""))</f>
        <v/>
      </c>
      <c r="AN77" s="369" t="str">
        <f ca="1">IF($B77&lt;&gt;"PRC_RESID","",IF(AN$7=2005+OFFSET(COM_N_2012!$B$60,$AW77,SUMIF($B$10:$B$16,"NCAP_TLIFE",$AX$10:$AX$16)),0,""))</f>
        <v/>
      </c>
      <c r="AO77" s="369" t="str">
        <f ca="1">IF($B77&lt;&gt;"PRC_RESID","",IF(AO$7=2005+OFFSET(COM_N_2012!$B$60,$AW77,SUMIF($B$10:$B$16,"NCAP_TLIFE",$AX$10:$AX$16)),0,""))</f>
        <v/>
      </c>
      <c r="AP77" s="369" t="str">
        <f ca="1">IF($B77&lt;&gt;"PRC_RESID","",IF(AP$7=2005+OFFSET(COM_N_2012!$B$60,$AW77,SUMIF($B$10:$B$16,"NCAP_TLIFE",$AX$10:$AX$16)),0,""))</f>
        <v/>
      </c>
      <c r="AQ77" s="369" t="str">
        <f ca="1">IF($B77&lt;&gt;"PRC_RESID","",IF(AQ$7=2005+OFFSET(COM_N_2012!$B$60,$AW77,SUMIF($B$10:$B$16,"NCAP_TLIFE",$AX$10:$AX$16)),0,""))</f>
        <v/>
      </c>
      <c r="AR77" s="369" t="str">
        <f ca="1">IF($B77&lt;&gt;"PRC_RESID","",IF(AR$7=2005+OFFSET(COM_N_2012!$B$60,$AW77,SUMIF($B$10:$B$16,"NCAP_TLIFE",$AX$10:$AX$16)),0,""))</f>
        <v/>
      </c>
      <c r="AS77" s="369" t="str">
        <f ca="1">IF($B77&lt;&gt;"PRC_RESID","",IF(AS$7=2005+OFFSET(COM_N_2012!$B$60,$AW77,SUMIF($B$10:$B$16,"NCAP_TLIFE",$AX$10:$AX$16)),0,""))</f>
        <v/>
      </c>
      <c r="AT77" s="369" t="str">
        <f ca="1">IF($B77&lt;&gt;"PRC_RESID","",IF(AT$7=2005+OFFSET(COM_N_2012!$B$60,$AW77,SUMIF($B$10:$B$16,"NCAP_TLIFE",$AX$10:$AX$16)),0,""))</f>
        <v/>
      </c>
      <c r="AU77" s="369" t="str">
        <f ca="1">IF($B77&lt;&gt;"PRC_RESID","",IF(AU$7=2005+OFFSET(COM_N_2012!$B$60,$AW77,SUMIF($B$10:$B$16,"NCAP_TLIFE",$AX$10:$AX$16)),0,""))</f>
        <v/>
      </c>
      <c r="AV77" s="304">
        <f>IF(AW76=COM_N_2012!$AK$121,AV76+1,AV76)</f>
        <v>1</v>
      </c>
      <c r="AW77" s="304">
        <f t="shared" si="4"/>
        <v>60</v>
      </c>
    </row>
    <row r="78" spans="1:49">
      <c r="A78" s="304" t="str">
        <f ca="1">IF(LEFT(OFFSET(COM_N_2012!$A$60,AW78,0),2)="\I","*","")</f>
        <v>*</v>
      </c>
      <c r="B78" s="369" t="str">
        <f t="shared" ca="1" si="2"/>
        <v/>
      </c>
      <c r="C78" s="369" t="str">
        <f ca="1">IF($A78="*","",OFFSET(COM_N_2012!$B$60,AW78,0))</f>
        <v/>
      </c>
      <c r="D78" s="369" t="str">
        <f t="shared" ref="D78:I87" ca="1" si="10">IF($A78="*","",VLOOKUP($B78,$B$10:$I$16,D$9,FALSE))</f>
        <v/>
      </c>
      <c r="E78" s="369" t="str">
        <f t="shared" ca="1" si="10"/>
        <v/>
      </c>
      <c r="F78" s="369" t="str">
        <f t="shared" ca="1" si="10"/>
        <v/>
      </c>
      <c r="G78" s="369" t="str">
        <f t="shared" ca="1" si="10"/>
        <v/>
      </c>
      <c r="H78" s="369" t="str">
        <f t="shared" ca="1" si="10"/>
        <v/>
      </c>
      <c r="I78" s="370" t="str">
        <f t="shared" ca="1" si="10"/>
        <v/>
      </c>
      <c r="J78" s="391" t="str">
        <f ca="1">IF($A78="*","",OFFSET(COM_N_2012!$B$60,AW78,SUMIF($B$10:$B$16,B78,$AX$10:$AX$16)))</f>
        <v/>
      </c>
      <c r="K78" s="369" t="str">
        <f ca="1">IF($B78&lt;&gt;"PRC_RESID","",IF(K$7=2005+OFFSET(COM_N_2012!$B$60,$AW78,SUMIF($B$10:$B$16,"NCAP_TLIFE",$AX$10:$AX$16)),0,""))</f>
        <v/>
      </c>
      <c r="L78" s="369" t="str">
        <f ca="1">IF($B78&lt;&gt;"PRC_RESID","",IF(L$7=2005+OFFSET(COM_N_2012!$B$60,$AW78,SUMIF($B$10:$B$16,"NCAP_TLIFE",$AX$10:$AX$16)),0,""))</f>
        <v/>
      </c>
      <c r="M78" s="369" t="str">
        <f ca="1">IF($B78&lt;&gt;"PRC_RESID","",IF(M$7=2005+OFFSET(COM_N_2012!$B$60,$AW78,SUMIF($B$10:$B$16,"NCAP_TLIFE",$AX$10:$AX$16)),0,""))</f>
        <v/>
      </c>
      <c r="N78" s="369" t="str">
        <f ca="1">IF($B78&lt;&gt;"PRC_RESID","",IF(N$7=2005+OFFSET(COM_N_2012!$B$60,$AW78,SUMIF($B$10:$B$16,"NCAP_TLIFE",$AX$10:$AX$16)),0,""))</f>
        <v/>
      </c>
      <c r="O78" s="369" t="str">
        <f ca="1">IF($B78&lt;&gt;"PRC_RESID","",IF(O$7=2005+OFFSET(COM_N_2012!$B$60,$AW78,SUMIF($B$10:$B$16,"NCAP_TLIFE",$AX$10:$AX$16)),0,""))</f>
        <v/>
      </c>
      <c r="P78" s="369" t="str">
        <f ca="1">IF($B78&lt;&gt;"PRC_RESID","",IF(P$7=2005+OFFSET(COM_N_2012!$B$60,$AW78,SUMIF($B$10:$B$16,"NCAP_TLIFE",$AX$10:$AX$16)),0,""))</f>
        <v/>
      </c>
      <c r="Q78" s="369" t="str">
        <f ca="1">IF($B78&lt;&gt;"PRC_RESID","",IF(Q$7=2005+OFFSET(COM_N_2012!$B$60,$AW78,SUMIF($B$10:$B$16,"NCAP_TLIFE",$AX$10:$AX$16)),0,""))</f>
        <v/>
      </c>
      <c r="R78" s="369" t="str">
        <f ca="1">IF($B78&lt;&gt;"PRC_RESID","",IF(R$7=2005+OFFSET(COM_N_2012!$B$60,$AW78,SUMIF($B$10:$B$16,"NCAP_TLIFE",$AX$10:$AX$16)),0,""))</f>
        <v/>
      </c>
      <c r="S78" s="369" t="str">
        <f ca="1">IF($B78&lt;&gt;"PRC_RESID","",IF(S$7=2005+OFFSET(COM_N_2012!$B$60,$AW78,SUMIF($B$10:$B$16,"NCAP_TLIFE",$AX$10:$AX$16)),0,""))</f>
        <v/>
      </c>
      <c r="T78" s="369" t="str">
        <f ca="1">IF($B78&lt;&gt;"PRC_RESID","",IF(T$7=2005+OFFSET(COM_N_2012!$B$60,$AW78,SUMIF($B$10:$B$16,"NCAP_TLIFE",$AX$10:$AX$16)),0,""))</f>
        <v/>
      </c>
      <c r="U78" s="369" t="str">
        <f ca="1">IF($B78&lt;&gt;"PRC_RESID","",IF(U$7=2005+OFFSET(COM_N_2012!$B$60,$AW78,SUMIF($B$10:$B$16,"NCAP_TLIFE",$AX$10:$AX$16)),0,""))</f>
        <v/>
      </c>
      <c r="V78" s="369" t="str">
        <f ca="1">IF($B78&lt;&gt;"PRC_RESID","",IF(V$7=2005+OFFSET(COM_N_2012!$B$60,$AW78,SUMIF($B$10:$B$16,"NCAP_TLIFE",$AX$10:$AX$16)),0,""))</f>
        <v/>
      </c>
      <c r="W78" s="369" t="str">
        <f ca="1">IF($B78&lt;&gt;"PRC_RESID","",IF(W$7=2005+OFFSET(COM_N_2012!$B$60,$AW78,SUMIF($B$10:$B$16,"NCAP_TLIFE",$AX$10:$AX$16)),0,""))</f>
        <v/>
      </c>
      <c r="X78" s="369" t="str">
        <f ca="1">IF($B78&lt;&gt;"PRC_RESID","",IF(X$7=2005+OFFSET(COM_N_2012!$B$60,$AW78,SUMIF($B$10:$B$16,"NCAP_TLIFE",$AX$10:$AX$16)),0,""))</f>
        <v/>
      </c>
      <c r="Y78" s="369" t="str">
        <f ca="1">IF($B78&lt;&gt;"PRC_RESID","",IF(Y$7=2005+OFFSET(COM_N_2012!$B$60,$AW78,SUMIF($B$10:$B$16,"NCAP_TLIFE",$AX$10:$AX$16)),0,""))</f>
        <v/>
      </c>
      <c r="Z78" s="369" t="str">
        <f ca="1">IF($B78&lt;&gt;"PRC_RESID","",IF(Z$7=2005+OFFSET(COM_N_2012!$B$60,$AW78,SUMIF($B$10:$B$16,"NCAP_TLIFE",$AX$10:$AX$16)),0,""))</f>
        <v/>
      </c>
      <c r="AA78" s="369" t="str">
        <f ca="1">IF($B78&lt;&gt;"PRC_RESID","",IF(AA$7=2005+OFFSET(COM_N_2012!$B$60,$AW78,SUMIF($B$10:$B$16,"NCAP_TLIFE",$AX$10:$AX$16)),0,""))</f>
        <v/>
      </c>
      <c r="AB78" s="369" t="str">
        <f ca="1">IF($B78&lt;&gt;"PRC_RESID","",IF(AB$7=2005+OFFSET(COM_N_2012!$B$60,$AW78,SUMIF($B$10:$B$16,"NCAP_TLIFE",$AX$10:$AX$16)),0,""))</f>
        <v/>
      </c>
      <c r="AC78" s="369" t="str">
        <f ca="1">IF($B78&lt;&gt;"PRC_RESID","",IF(AC$7=2005+OFFSET(COM_N_2012!$B$60,$AW78,SUMIF($B$10:$B$16,"NCAP_TLIFE",$AX$10:$AX$16)),0,""))</f>
        <v/>
      </c>
      <c r="AD78" s="369" t="str">
        <f ca="1">IF($B78&lt;&gt;"PRC_RESID","",IF(AD$7=2005+OFFSET(COM_N_2012!$B$60,$AW78,SUMIF($B$10:$B$16,"NCAP_TLIFE",$AX$10:$AX$16)),0,""))</f>
        <v/>
      </c>
      <c r="AE78" s="369" t="str">
        <f ca="1">IF($B78&lt;&gt;"PRC_RESID","",IF(AE$7=2005+OFFSET(COM_N_2012!$B$60,$AW78,SUMIF($B$10:$B$16,"NCAP_TLIFE",$AX$10:$AX$16)),0,""))</f>
        <v/>
      </c>
      <c r="AF78" s="369" t="str">
        <f ca="1">IF($B78&lt;&gt;"PRC_RESID","",IF(AF$7=2005+OFFSET(COM_N_2012!$B$60,$AW78,SUMIF($B$10:$B$16,"NCAP_TLIFE",$AX$10:$AX$16)),0,""))</f>
        <v/>
      </c>
      <c r="AG78" s="369" t="str">
        <f ca="1">IF($B78&lt;&gt;"PRC_RESID","",IF(AG$7=2005+OFFSET(COM_N_2012!$B$60,$AW78,SUMIF($B$10:$B$16,"NCAP_TLIFE",$AX$10:$AX$16)),0,""))</f>
        <v/>
      </c>
      <c r="AH78" s="369" t="str">
        <f ca="1">IF($B78&lt;&gt;"PRC_RESID","",IF(AH$7=2005+OFFSET(COM_N_2012!$B$60,$AW78,SUMIF($B$10:$B$16,"NCAP_TLIFE",$AX$10:$AX$16)),0,""))</f>
        <v/>
      </c>
      <c r="AI78" s="369" t="str">
        <f ca="1">IF($B78&lt;&gt;"PRC_RESID","",IF(AI$7=2005+OFFSET(COM_N_2012!$B$60,$AW78,SUMIF($B$10:$B$16,"NCAP_TLIFE",$AX$10:$AX$16)),0,""))</f>
        <v/>
      </c>
      <c r="AJ78" s="369" t="str">
        <f ca="1">IF($B78&lt;&gt;"PRC_RESID","",IF(AJ$7=2005+OFFSET(COM_N_2012!$B$60,$AW78,SUMIF($B$10:$B$16,"NCAP_TLIFE",$AX$10:$AX$16)),0,""))</f>
        <v/>
      </c>
      <c r="AK78" s="369" t="str">
        <f ca="1">IF($B78&lt;&gt;"PRC_RESID","",IF(AK$7=2005+OFFSET(COM_N_2012!$B$60,$AW78,SUMIF($B$10:$B$16,"NCAP_TLIFE",$AX$10:$AX$16)),0,""))</f>
        <v/>
      </c>
      <c r="AL78" s="369" t="str">
        <f ca="1">IF($B78&lt;&gt;"PRC_RESID","",IF(AL$7=2005+OFFSET(COM_N_2012!$B$60,$AW78,SUMIF($B$10:$B$16,"NCAP_TLIFE",$AX$10:$AX$16)),0,""))</f>
        <v/>
      </c>
      <c r="AM78" s="369" t="str">
        <f ca="1">IF($B78&lt;&gt;"PRC_RESID","",IF(AM$7=2005+OFFSET(COM_N_2012!$B$60,$AW78,SUMIF($B$10:$B$16,"NCAP_TLIFE",$AX$10:$AX$16)),0,""))</f>
        <v/>
      </c>
      <c r="AN78" s="369" t="str">
        <f ca="1">IF($B78&lt;&gt;"PRC_RESID","",IF(AN$7=2005+OFFSET(COM_N_2012!$B$60,$AW78,SUMIF($B$10:$B$16,"NCAP_TLIFE",$AX$10:$AX$16)),0,""))</f>
        <v/>
      </c>
      <c r="AO78" s="369" t="str">
        <f ca="1">IF($B78&lt;&gt;"PRC_RESID","",IF(AO$7=2005+OFFSET(COM_N_2012!$B$60,$AW78,SUMIF($B$10:$B$16,"NCAP_TLIFE",$AX$10:$AX$16)),0,""))</f>
        <v/>
      </c>
      <c r="AP78" s="369" t="str">
        <f ca="1">IF($B78&lt;&gt;"PRC_RESID","",IF(AP$7=2005+OFFSET(COM_N_2012!$B$60,$AW78,SUMIF($B$10:$B$16,"NCAP_TLIFE",$AX$10:$AX$16)),0,""))</f>
        <v/>
      </c>
      <c r="AQ78" s="369" t="str">
        <f ca="1">IF($B78&lt;&gt;"PRC_RESID","",IF(AQ$7=2005+OFFSET(COM_N_2012!$B$60,$AW78,SUMIF($B$10:$B$16,"NCAP_TLIFE",$AX$10:$AX$16)),0,""))</f>
        <v/>
      </c>
      <c r="AR78" s="369" t="str">
        <f ca="1">IF($B78&lt;&gt;"PRC_RESID","",IF(AR$7=2005+OFFSET(COM_N_2012!$B$60,$AW78,SUMIF($B$10:$B$16,"NCAP_TLIFE",$AX$10:$AX$16)),0,""))</f>
        <v/>
      </c>
      <c r="AS78" s="369" t="str">
        <f ca="1">IF($B78&lt;&gt;"PRC_RESID","",IF(AS$7=2005+OFFSET(COM_N_2012!$B$60,$AW78,SUMIF($B$10:$B$16,"NCAP_TLIFE",$AX$10:$AX$16)),0,""))</f>
        <v/>
      </c>
      <c r="AT78" s="369" t="str">
        <f ca="1">IF($B78&lt;&gt;"PRC_RESID","",IF(AT$7=2005+OFFSET(COM_N_2012!$B$60,$AW78,SUMIF($B$10:$B$16,"NCAP_TLIFE",$AX$10:$AX$16)),0,""))</f>
        <v/>
      </c>
      <c r="AU78" s="369" t="str">
        <f ca="1">IF($B78&lt;&gt;"PRC_RESID","",IF(AU$7=2005+OFFSET(COM_N_2012!$B$60,$AW78,SUMIF($B$10:$B$16,"NCAP_TLIFE",$AX$10:$AX$16)),0,""))</f>
        <v/>
      </c>
      <c r="AV78" s="304">
        <f>IF(AW77=COM_N_2012!$AK$121,AV77+1,AV77)</f>
        <v>1</v>
      </c>
      <c r="AW78" s="304">
        <f t="shared" si="4"/>
        <v>61</v>
      </c>
    </row>
    <row r="79" spans="1:49">
      <c r="A79" s="304" t="str">
        <f ca="1">IF(LEFT(OFFSET(COM_N_2012!$A$60,AW79,0),2)="\I","*","")</f>
        <v/>
      </c>
      <c r="B79" s="369" t="str">
        <f t="shared" ca="1" si="2"/>
        <v>NCAP_BND</v>
      </c>
      <c r="C79" s="369" t="str">
        <f ca="1">IF($A79="*","",OFFSET(COM_N_2012!$B$60,AW79,0))</f>
        <v>CNCELCCHIL-E</v>
      </c>
      <c r="D79" s="369" t="str">
        <f t="shared" ca="1" si="10"/>
        <v>-</v>
      </c>
      <c r="E79" s="369" t="str">
        <f t="shared" ca="1" si="10"/>
        <v>-</v>
      </c>
      <c r="F79" s="369" t="str">
        <f t="shared" ca="1" si="10"/>
        <v>-</v>
      </c>
      <c r="G79" s="369" t="str">
        <f t="shared" ca="1" si="10"/>
        <v>-</v>
      </c>
      <c r="H79" s="369" t="str">
        <f t="shared" ca="1" si="10"/>
        <v>UP</v>
      </c>
      <c r="I79" s="370">
        <f t="shared" ca="1" si="10"/>
        <v>0</v>
      </c>
      <c r="J79" s="391">
        <f ca="1">IF($A79="*","",OFFSET(COM_N_2012!$B$60,AW79,SUMIF($B$10:$B$16,B79,$AX$10:$AX$16)))</f>
        <v>0</v>
      </c>
      <c r="K79" s="369" t="str">
        <f ca="1">IF($B79&lt;&gt;"PRC_RESID","",IF(K$7=2005+OFFSET(COM_N_2012!$B$60,$AW79,SUMIF($B$10:$B$16,"NCAP_TLIFE",$AX$10:$AX$16)),0,""))</f>
        <v/>
      </c>
      <c r="L79" s="369" t="str">
        <f ca="1">IF($B79&lt;&gt;"PRC_RESID","",IF(L$7=2005+OFFSET(COM_N_2012!$B$60,$AW79,SUMIF($B$10:$B$16,"NCAP_TLIFE",$AX$10:$AX$16)),0,""))</f>
        <v/>
      </c>
      <c r="M79" s="369" t="str">
        <f ca="1">IF($B79&lt;&gt;"PRC_RESID","",IF(M$7=2005+OFFSET(COM_N_2012!$B$60,$AW79,SUMIF($B$10:$B$16,"NCAP_TLIFE",$AX$10:$AX$16)),0,""))</f>
        <v/>
      </c>
      <c r="N79" s="369" t="str">
        <f ca="1">IF($B79&lt;&gt;"PRC_RESID","",IF(N$7=2005+OFFSET(COM_N_2012!$B$60,$AW79,SUMIF($B$10:$B$16,"NCAP_TLIFE",$AX$10:$AX$16)),0,""))</f>
        <v/>
      </c>
      <c r="O79" s="369" t="str">
        <f ca="1">IF($B79&lt;&gt;"PRC_RESID","",IF(O$7=2005+OFFSET(COM_N_2012!$B$60,$AW79,SUMIF($B$10:$B$16,"NCAP_TLIFE",$AX$10:$AX$16)),0,""))</f>
        <v/>
      </c>
      <c r="P79" s="369" t="str">
        <f ca="1">IF($B79&lt;&gt;"PRC_RESID","",IF(P$7=2005+OFFSET(COM_N_2012!$B$60,$AW79,SUMIF($B$10:$B$16,"NCAP_TLIFE",$AX$10:$AX$16)),0,""))</f>
        <v/>
      </c>
      <c r="Q79" s="369" t="str">
        <f ca="1">IF($B79&lt;&gt;"PRC_RESID","",IF(Q$7=2005+OFFSET(COM_N_2012!$B$60,$AW79,SUMIF($B$10:$B$16,"NCAP_TLIFE",$AX$10:$AX$16)),0,""))</f>
        <v/>
      </c>
      <c r="R79" s="369" t="str">
        <f ca="1">IF($B79&lt;&gt;"PRC_RESID","",IF(R$7=2005+OFFSET(COM_N_2012!$B$60,$AW79,SUMIF($B$10:$B$16,"NCAP_TLIFE",$AX$10:$AX$16)),0,""))</f>
        <v/>
      </c>
      <c r="S79" s="369" t="str">
        <f ca="1">IF($B79&lt;&gt;"PRC_RESID","",IF(S$7=2005+OFFSET(COM_N_2012!$B$60,$AW79,SUMIF($B$10:$B$16,"NCAP_TLIFE",$AX$10:$AX$16)),0,""))</f>
        <v/>
      </c>
      <c r="T79" s="369" t="str">
        <f ca="1">IF($B79&lt;&gt;"PRC_RESID","",IF(T$7=2005+OFFSET(COM_N_2012!$B$60,$AW79,SUMIF($B$10:$B$16,"NCAP_TLIFE",$AX$10:$AX$16)),0,""))</f>
        <v/>
      </c>
      <c r="U79" s="369" t="str">
        <f ca="1">IF($B79&lt;&gt;"PRC_RESID","",IF(U$7=2005+OFFSET(COM_N_2012!$B$60,$AW79,SUMIF($B$10:$B$16,"NCAP_TLIFE",$AX$10:$AX$16)),0,""))</f>
        <v/>
      </c>
      <c r="V79" s="369" t="str">
        <f ca="1">IF($B79&lt;&gt;"PRC_RESID","",IF(V$7=2005+OFFSET(COM_N_2012!$B$60,$AW79,SUMIF($B$10:$B$16,"NCAP_TLIFE",$AX$10:$AX$16)),0,""))</f>
        <v/>
      </c>
      <c r="W79" s="369" t="str">
        <f ca="1">IF($B79&lt;&gt;"PRC_RESID","",IF(W$7=2005+OFFSET(COM_N_2012!$B$60,$AW79,SUMIF($B$10:$B$16,"NCAP_TLIFE",$AX$10:$AX$16)),0,""))</f>
        <v/>
      </c>
      <c r="X79" s="369" t="str">
        <f ca="1">IF($B79&lt;&gt;"PRC_RESID","",IF(X$7=2005+OFFSET(COM_N_2012!$B$60,$AW79,SUMIF($B$10:$B$16,"NCAP_TLIFE",$AX$10:$AX$16)),0,""))</f>
        <v/>
      </c>
      <c r="Y79" s="369" t="str">
        <f ca="1">IF($B79&lt;&gt;"PRC_RESID","",IF(Y$7=2005+OFFSET(COM_N_2012!$B$60,$AW79,SUMIF($B$10:$B$16,"NCAP_TLIFE",$AX$10:$AX$16)),0,""))</f>
        <v/>
      </c>
      <c r="Z79" s="369" t="str">
        <f ca="1">IF($B79&lt;&gt;"PRC_RESID","",IF(Z$7=2005+OFFSET(COM_N_2012!$B$60,$AW79,SUMIF($B$10:$B$16,"NCAP_TLIFE",$AX$10:$AX$16)),0,""))</f>
        <v/>
      </c>
      <c r="AA79" s="369" t="str">
        <f ca="1">IF($B79&lt;&gt;"PRC_RESID","",IF(AA$7=2005+OFFSET(COM_N_2012!$B$60,$AW79,SUMIF($B$10:$B$16,"NCAP_TLIFE",$AX$10:$AX$16)),0,""))</f>
        <v/>
      </c>
      <c r="AB79" s="369" t="str">
        <f ca="1">IF($B79&lt;&gt;"PRC_RESID","",IF(AB$7=2005+OFFSET(COM_N_2012!$B$60,$AW79,SUMIF($B$10:$B$16,"NCAP_TLIFE",$AX$10:$AX$16)),0,""))</f>
        <v/>
      </c>
      <c r="AC79" s="369" t="str">
        <f ca="1">IF($B79&lt;&gt;"PRC_RESID","",IF(AC$7=2005+OFFSET(COM_N_2012!$B$60,$AW79,SUMIF($B$10:$B$16,"NCAP_TLIFE",$AX$10:$AX$16)),0,""))</f>
        <v/>
      </c>
      <c r="AD79" s="369" t="str">
        <f ca="1">IF($B79&lt;&gt;"PRC_RESID","",IF(AD$7=2005+OFFSET(COM_N_2012!$B$60,$AW79,SUMIF($B$10:$B$16,"NCAP_TLIFE",$AX$10:$AX$16)),0,""))</f>
        <v/>
      </c>
      <c r="AE79" s="369" t="str">
        <f ca="1">IF($B79&lt;&gt;"PRC_RESID","",IF(AE$7=2005+OFFSET(COM_N_2012!$B$60,$AW79,SUMIF($B$10:$B$16,"NCAP_TLIFE",$AX$10:$AX$16)),0,""))</f>
        <v/>
      </c>
      <c r="AF79" s="369" t="str">
        <f ca="1">IF($B79&lt;&gt;"PRC_RESID","",IF(AF$7=2005+OFFSET(COM_N_2012!$B$60,$AW79,SUMIF($B$10:$B$16,"NCAP_TLIFE",$AX$10:$AX$16)),0,""))</f>
        <v/>
      </c>
      <c r="AG79" s="369" t="str">
        <f ca="1">IF($B79&lt;&gt;"PRC_RESID","",IF(AG$7=2005+OFFSET(COM_N_2012!$B$60,$AW79,SUMIF($B$10:$B$16,"NCAP_TLIFE",$AX$10:$AX$16)),0,""))</f>
        <v/>
      </c>
      <c r="AH79" s="369" t="str">
        <f ca="1">IF($B79&lt;&gt;"PRC_RESID","",IF(AH$7=2005+OFFSET(COM_N_2012!$B$60,$AW79,SUMIF($B$10:$B$16,"NCAP_TLIFE",$AX$10:$AX$16)),0,""))</f>
        <v/>
      </c>
      <c r="AI79" s="369" t="str">
        <f ca="1">IF($B79&lt;&gt;"PRC_RESID","",IF(AI$7=2005+OFFSET(COM_N_2012!$B$60,$AW79,SUMIF($B$10:$B$16,"NCAP_TLIFE",$AX$10:$AX$16)),0,""))</f>
        <v/>
      </c>
      <c r="AJ79" s="369" t="str">
        <f ca="1">IF($B79&lt;&gt;"PRC_RESID","",IF(AJ$7=2005+OFFSET(COM_N_2012!$B$60,$AW79,SUMIF($B$10:$B$16,"NCAP_TLIFE",$AX$10:$AX$16)),0,""))</f>
        <v/>
      </c>
      <c r="AK79" s="369" t="str">
        <f ca="1">IF($B79&lt;&gt;"PRC_RESID","",IF(AK$7=2005+OFFSET(COM_N_2012!$B$60,$AW79,SUMIF($B$10:$B$16,"NCAP_TLIFE",$AX$10:$AX$16)),0,""))</f>
        <v/>
      </c>
      <c r="AL79" s="369" t="str">
        <f ca="1">IF($B79&lt;&gt;"PRC_RESID","",IF(AL$7=2005+OFFSET(COM_N_2012!$B$60,$AW79,SUMIF($B$10:$B$16,"NCAP_TLIFE",$AX$10:$AX$16)),0,""))</f>
        <v/>
      </c>
      <c r="AM79" s="369" t="str">
        <f ca="1">IF($B79&lt;&gt;"PRC_RESID","",IF(AM$7=2005+OFFSET(COM_N_2012!$B$60,$AW79,SUMIF($B$10:$B$16,"NCAP_TLIFE",$AX$10:$AX$16)),0,""))</f>
        <v/>
      </c>
      <c r="AN79" s="369" t="str">
        <f ca="1">IF($B79&lt;&gt;"PRC_RESID","",IF(AN$7=2005+OFFSET(COM_N_2012!$B$60,$AW79,SUMIF($B$10:$B$16,"NCAP_TLIFE",$AX$10:$AX$16)),0,""))</f>
        <v/>
      </c>
      <c r="AO79" s="369" t="str">
        <f ca="1">IF($B79&lt;&gt;"PRC_RESID","",IF(AO$7=2005+OFFSET(COM_N_2012!$B$60,$AW79,SUMIF($B$10:$B$16,"NCAP_TLIFE",$AX$10:$AX$16)),0,""))</f>
        <v/>
      </c>
      <c r="AP79" s="369" t="str">
        <f ca="1">IF($B79&lt;&gt;"PRC_RESID","",IF(AP$7=2005+OFFSET(COM_N_2012!$B$60,$AW79,SUMIF($B$10:$B$16,"NCAP_TLIFE",$AX$10:$AX$16)),0,""))</f>
        <v/>
      </c>
      <c r="AQ79" s="369" t="str">
        <f ca="1">IF($B79&lt;&gt;"PRC_RESID","",IF(AQ$7=2005+OFFSET(COM_N_2012!$B$60,$AW79,SUMIF($B$10:$B$16,"NCAP_TLIFE",$AX$10:$AX$16)),0,""))</f>
        <v/>
      </c>
      <c r="AR79" s="369" t="str">
        <f ca="1">IF($B79&lt;&gt;"PRC_RESID","",IF(AR$7=2005+OFFSET(COM_N_2012!$B$60,$AW79,SUMIF($B$10:$B$16,"NCAP_TLIFE",$AX$10:$AX$16)),0,""))</f>
        <v/>
      </c>
      <c r="AS79" s="369" t="str">
        <f ca="1">IF($B79&lt;&gt;"PRC_RESID","",IF(AS$7=2005+OFFSET(COM_N_2012!$B$60,$AW79,SUMIF($B$10:$B$16,"NCAP_TLIFE",$AX$10:$AX$16)),0,""))</f>
        <v/>
      </c>
      <c r="AT79" s="369" t="str">
        <f ca="1">IF($B79&lt;&gt;"PRC_RESID","",IF(AT$7=2005+OFFSET(COM_N_2012!$B$60,$AW79,SUMIF($B$10:$B$16,"NCAP_TLIFE",$AX$10:$AX$16)),0,""))</f>
        <v/>
      </c>
      <c r="AU79" s="369" t="str">
        <f ca="1">IF($B79&lt;&gt;"PRC_RESID","",IF(AU$7=2005+OFFSET(COM_N_2012!$B$60,$AW79,SUMIF($B$10:$B$16,"NCAP_TLIFE",$AX$10:$AX$16)),0,""))</f>
        <v/>
      </c>
      <c r="AV79" s="304">
        <f>IF(AW78=COM_N_2012!$AK$121,AV78+1,AV78)</f>
        <v>2</v>
      </c>
      <c r="AW79" s="304">
        <f t="shared" si="4"/>
        <v>1</v>
      </c>
    </row>
    <row r="80" spans="1:49">
      <c r="A80" s="304" t="str">
        <f ca="1">IF(LEFT(OFFSET(COM_N_2012!$A$60,AW80,0),2)="\I","*","")</f>
        <v/>
      </c>
      <c r="B80" s="369" t="str">
        <f t="shared" ca="1" si="2"/>
        <v>NCAP_BND</v>
      </c>
      <c r="C80" s="369" t="str">
        <f ca="1">IF($A80="*","",OFFSET(COM_N_2012!$B$60,AW80,0))</f>
        <v>CNCELCCEN-E</v>
      </c>
      <c r="D80" s="369" t="str">
        <f t="shared" ca="1" si="10"/>
        <v>-</v>
      </c>
      <c r="E80" s="369" t="str">
        <f t="shared" ca="1" si="10"/>
        <v>-</v>
      </c>
      <c r="F80" s="369" t="str">
        <f t="shared" ca="1" si="10"/>
        <v>-</v>
      </c>
      <c r="G80" s="369" t="str">
        <f t="shared" ca="1" si="10"/>
        <v>-</v>
      </c>
      <c r="H80" s="369" t="str">
        <f t="shared" ca="1" si="10"/>
        <v>UP</v>
      </c>
      <c r="I80" s="370">
        <f t="shared" ca="1" si="10"/>
        <v>0</v>
      </c>
      <c r="J80" s="391">
        <f ca="1">IF($A80="*","",OFFSET(COM_N_2012!$B$60,AW80,SUMIF($B$10:$B$16,B80,$AX$10:$AX$16)))</f>
        <v>0</v>
      </c>
      <c r="K80" s="369" t="str">
        <f ca="1">IF($B80&lt;&gt;"PRC_RESID","",IF(K$7=2005+OFFSET(COM_N_2012!$B$60,$AW80,SUMIF($B$10:$B$16,"NCAP_TLIFE",$AX$10:$AX$16)),0,""))</f>
        <v/>
      </c>
      <c r="L80" s="369" t="str">
        <f ca="1">IF($B80&lt;&gt;"PRC_RESID","",IF(L$7=2005+OFFSET(COM_N_2012!$B$60,$AW80,SUMIF($B$10:$B$16,"NCAP_TLIFE",$AX$10:$AX$16)),0,""))</f>
        <v/>
      </c>
      <c r="M80" s="369" t="str">
        <f ca="1">IF($B80&lt;&gt;"PRC_RESID","",IF(M$7=2005+OFFSET(COM_N_2012!$B$60,$AW80,SUMIF($B$10:$B$16,"NCAP_TLIFE",$AX$10:$AX$16)),0,""))</f>
        <v/>
      </c>
      <c r="N80" s="369" t="str">
        <f ca="1">IF($B80&lt;&gt;"PRC_RESID","",IF(N$7=2005+OFFSET(COM_N_2012!$B$60,$AW80,SUMIF($B$10:$B$16,"NCAP_TLIFE",$AX$10:$AX$16)),0,""))</f>
        <v/>
      </c>
      <c r="O80" s="369" t="str">
        <f ca="1">IF($B80&lt;&gt;"PRC_RESID","",IF(O$7=2005+OFFSET(COM_N_2012!$B$60,$AW80,SUMIF($B$10:$B$16,"NCAP_TLIFE",$AX$10:$AX$16)),0,""))</f>
        <v/>
      </c>
      <c r="P80" s="369" t="str">
        <f ca="1">IF($B80&lt;&gt;"PRC_RESID","",IF(P$7=2005+OFFSET(COM_N_2012!$B$60,$AW80,SUMIF($B$10:$B$16,"NCAP_TLIFE",$AX$10:$AX$16)),0,""))</f>
        <v/>
      </c>
      <c r="Q80" s="369" t="str">
        <f ca="1">IF($B80&lt;&gt;"PRC_RESID","",IF(Q$7=2005+OFFSET(COM_N_2012!$B$60,$AW80,SUMIF($B$10:$B$16,"NCAP_TLIFE",$AX$10:$AX$16)),0,""))</f>
        <v/>
      </c>
      <c r="R80" s="369" t="str">
        <f ca="1">IF($B80&lt;&gt;"PRC_RESID","",IF(R$7=2005+OFFSET(COM_N_2012!$B$60,$AW80,SUMIF($B$10:$B$16,"NCAP_TLIFE",$AX$10:$AX$16)),0,""))</f>
        <v/>
      </c>
      <c r="S80" s="369" t="str">
        <f ca="1">IF($B80&lt;&gt;"PRC_RESID","",IF(S$7=2005+OFFSET(COM_N_2012!$B$60,$AW80,SUMIF($B$10:$B$16,"NCAP_TLIFE",$AX$10:$AX$16)),0,""))</f>
        <v/>
      </c>
      <c r="T80" s="369" t="str">
        <f ca="1">IF($B80&lt;&gt;"PRC_RESID","",IF(T$7=2005+OFFSET(COM_N_2012!$B$60,$AW80,SUMIF($B$10:$B$16,"NCAP_TLIFE",$AX$10:$AX$16)),0,""))</f>
        <v/>
      </c>
      <c r="U80" s="369" t="str">
        <f ca="1">IF($B80&lt;&gt;"PRC_RESID","",IF(U$7=2005+OFFSET(COM_N_2012!$B$60,$AW80,SUMIF($B$10:$B$16,"NCAP_TLIFE",$AX$10:$AX$16)),0,""))</f>
        <v/>
      </c>
      <c r="V80" s="369" t="str">
        <f ca="1">IF($B80&lt;&gt;"PRC_RESID","",IF(V$7=2005+OFFSET(COM_N_2012!$B$60,$AW80,SUMIF($B$10:$B$16,"NCAP_TLIFE",$AX$10:$AX$16)),0,""))</f>
        <v/>
      </c>
      <c r="W80" s="369" t="str">
        <f ca="1">IF($B80&lt;&gt;"PRC_RESID","",IF(W$7=2005+OFFSET(COM_N_2012!$B$60,$AW80,SUMIF($B$10:$B$16,"NCAP_TLIFE",$AX$10:$AX$16)),0,""))</f>
        <v/>
      </c>
      <c r="X80" s="369" t="str">
        <f ca="1">IF($B80&lt;&gt;"PRC_RESID","",IF(X$7=2005+OFFSET(COM_N_2012!$B$60,$AW80,SUMIF($B$10:$B$16,"NCAP_TLIFE",$AX$10:$AX$16)),0,""))</f>
        <v/>
      </c>
      <c r="Y80" s="369" t="str">
        <f ca="1">IF($B80&lt;&gt;"PRC_RESID","",IF(Y$7=2005+OFFSET(COM_N_2012!$B$60,$AW80,SUMIF($B$10:$B$16,"NCAP_TLIFE",$AX$10:$AX$16)),0,""))</f>
        <v/>
      </c>
      <c r="Z80" s="369" t="str">
        <f ca="1">IF($B80&lt;&gt;"PRC_RESID","",IF(Z$7=2005+OFFSET(COM_N_2012!$B$60,$AW80,SUMIF($B$10:$B$16,"NCAP_TLIFE",$AX$10:$AX$16)),0,""))</f>
        <v/>
      </c>
      <c r="AA80" s="369" t="str">
        <f ca="1">IF($B80&lt;&gt;"PRC_RESID","",IF(AA$7=2005+OFFSET(COM_N_2012!$B$60,$AW80,SUMIF($B$10:$B$16,"NCAP_TLIFE",$AX$10:$AX$16)),0,""))</f>
        <v/>
      </c>
      <c r="AB80" s="369" t="str">
        <f ca="1">IF($B80&lt;&gt;"PRC_RESID","",IF(AB$7=2005+OFFSET(COM_N_2012!$B$60,$AW80,SUMIF($B$10:$B$16,"NCAP_TLIFE",$AX$10:$AX$16)),0,""))</f>
        <v/>
      </c>
      <c r="AC80" s="369" t="str">
        <f ca="1">IF($B80&lt;&gt;"PRC_RESID","",IF(AC$7=2005+OFFSET(COM_N_2012!$B$60,$AW80,SUMIF($B$10:$B$16,"NCAP_TLIFE",$AX$10:$AX$16)),0,""))</f>
        <v/>
      </c>
      <c r="AD80" s="369" t="str">
        <f ca="1">IF($B80&lt;&gt;"PRC_RESID","",IF(AD$7=2005+OFFSET(COM_N_2012!$B$60,$AW80,SUMIF($B$10:$B$16,"NCAP_TLIFE",$AX$10:$AX$16)),0,""))</f>
        <v/>
      </c>
      <c r="AE80" s="369" t="str">
        <f ca="1">IF($B80&lt;&gt;"PRC_RESID","",IF(AE$7=2005+OFFSET(COM_N_2012!$B$60,$AW80,SUMIF($B$10:$B$16,"NCAP_TLIFE",$AX$10:$AX$16)),0,""))</f>
        <v/>
      </c>
      <c r="AF80" s="369" t="str">
        <f ca="1">IF($B80&lt;&gt;"PRC_RESID","",IF(AF$7=2005+OFFSET(COM_N_2012!$B$60,$AW80,SUMIF($B$10:$B$16,"NCAP_TLIFE",$AX$10:$AX$16)),0,""))</f>
        <v/>
      </c>
      <c r="AG80" s="369" t="str">
        <f ca="1">IF($B80&lt;&gt;"PRC_RESID","",IF(AG$7=2005+OFFSET(COM_N_2012!$B$60,$AW80,SUMIF($B$10:$B$16,"NCAP_TLIFE",$AX$10:$AX$16)),0,""))</f>
        <v/>
      </c>
      <c r="AH80" s="369" t="str">
        <f ca="1">IF($B80&lt;&gt;"PRC_RESID","",IF(AH$7=2005+OFFSET(COM_N_2012!$B$60,$AW80,SUMIF($B$10:$B$16,"NCAP_TLIFE",$AX$10:$AX$16)),0,""))</f>
        <v/>
      </c>
      <c r="AI80" s="369" t="str">
        <f ca="1">IF($B80&lt;&gt;"PRC_RESID","",IF(AI$7=2005+OFFSET(COM_N_2012!$B$60,$AW80,SUMIF($B$10:$B$16,"NCAP_TLIFE",$AX$10:$AX$16)),0,""))</f>
        <v/>
      </c>
      <c r="AJ80" s="369" t="str">
        <f ca="1">IF($B80&lt;&gt;"PRC_RESID","",IF(AJ$7=2005+OFFSET(COM_N_2012!$B$60,$AW80,SUMIF($B$10:$B$16,"NCAP_TLIFE",$AX$10:$AX$16)),0,""))</f>
        <v/>
      </c>
      <c r="AK80" s="369" t="str">
        <f ca="1">IF($B80&lt;&gt;"PRC_RESID","",IF(AK$7=2005+OFFSET(COM_N_2012!$B$60,$AW80,SUMIF($B$10:$B$16,"NCAP_TLIFE",$AX$10:$AX$16)),0,""))</f>
        <v/>
      </c>
      <c r="AL80" s="369" t="str">
        <f ca="1">IF($B80&lt;&gt;"PRC_RESID","",IF(AL$7=2005+OFFSET(COM_N_2012!$B$60,$AW80,SUMIF($B$10:$B$16,"NCAP_TLIFE",$AX$10:$AX$16)),0,""))</f>
        <v/>
      </c>
      <c r="AM80" s="369" t="str">
        <f ca="1">IF($B80&lt;&gt;"PRC_RESID","",IF(AM$7=2005+OFFSET(COM_N_2012!$B$60,$AW80,SUMIF($B$10:$B$16,"NCAP_TLIFE",$AX$10:$AX$16)),0,""))</f>
        <v/>
      </c>
      <c r="AN80" s="369" t="str">
        <f ca="1">IF($B80&lt;&gt;"PRC_RESID","",IF(AN$7=2005+OFFSET(COM_N_2012!$B$60,$AW80,SUMIF($B$10:$B$16,"NCAP_TLIFE",$AX$10:$AX$16)),0,""))</f>
        <v/>
      </c>
      <c r="AO80" s="369" t="str">
        <f ca="1">IF($B80&lt;&gt;"PRC_RESID","",IF(AO$7=2005+OFFSET(COM_N_2012!$B$60,$AW80,SUMIF($B$10:$B$16,"NCAP_TLIFE",$AX$10:$AX$16)),0,""))</f>
        <v/>
      </c>
      <c r="AP80" s="369" t="str">
        <f ca="1">IF($B80&lt;&gt;"PRC_RESID","",IF(AP$7=2005+OFFSET(COM_N_2012!$B$60,$AW80,SUMIF($B$10:$B$16,"NCAP_TLIFE",$AX$10:$AX$16)),0,""))</f>
        <v/>
      </c>
      <c r="AQ80" s="369" t="str">
        <f ca="1">IF($B80&lt;&gt;"PRC_RESID","",IF(AQ$7=2005+OFFSET(COM_N_2012!$B$60,$AW80,SUMIF($B$10:$B$16,"NCAP_TLIFE",$AX$10:$AX$16)),0,""))</f>
        <v/>
      </c>
      <c r="AR80" s="369" t="str">
        <f ca="1">IF($B80&lt;&gt;"PRC_RESID","",IF(AR$7=2005+OFFSET(COM_N_2012!$B$60,$AW80,SUMIF($B$10:$B$16,"NCAP_TLIFE",$AX$10:$AX$16)),0,""))</f>
        <v/>
      </c>
      <c r="AS80" s="369" t="str">
        <f ca="1">IF($B80&lt;&gt;"PRC_RESID","",IF(AS$7=2005+OFFSET(COM_N_2012!$B$60,$AW80,SUMIF($B$10:$B$16,"NCAP_TLIFE",$AX$10:$AX$16)),0,""))</f>
        <v/>
      </c>
      <c r="AT80" s="369" t="str">
        <f ca="1">IF($B80&lt;&gt;"PRC_RESID","",IF(AT$7=2005+OFFSET(COM_N_2012!$B$60,$AW80,SUMIF($B$10:$B$16,"NCAP_TLIFE",$AX$10:$AX$16)),0,""))</f>
        <v/>
      </c>
      <c r="AU80" s="369" t="str">
        <f ca="1">IF($B80&lt;&gt;"PRC_RESID","",IF(AU$7=2005+OFFSET(COM_N_2012!$B$60,$AW80,SUMIF($B$10:$B$16,"NCAP_TLIFE",$AX$10:$AX$16)),0,""))</f>
        <v/>
      </c>
      <c r="AV80" s="304">
        <f>IF(AW79=COM_N_2012!$AK$121,AV79+1,AV79)</f>
        <v>2</v>
      </c>
      <c r="AW80" s="304">
        <f t="shared" si="4"/>
        <v>2</v>
      </c>
    </row>
    <row r="81" spans="1:49">
      <c r="A81" s="304" t="str">
        <f ca="1">IF(LEFT(OFFSET(COM_N_2012!$A$60,AW81,0),2)="\I","*","")</f>
        <v/>
      </c>
      <c r="B81" s="369" t="str">
        <f t="shared" ca="1" si="2"/>
        <v>NCAP_BND</v>
      </c>
      <c r="C81" s="369" t="str">
        <f ca="1">IF($A81="*","",OFFSET(COM_N_2012!$B$60,AW81,0))</f>
        <v>CNCELCHP-E</v>
      </c>
      <c r="D81" s="369" t="str">
        <f t="shared" ca="1" si="10"/>
        <v>-</v>
      </c>
      <c r="E81" s="369" t="str">
        <f t="shared" ca="1" si="10"/>
        <v>-</v>
      </c>
      <c r="F81" s="369" t="str">
        <f t="shared" ca="1" si="10"/>
        <v>-</v>
      </c>
      <c r="G81" s="369" t="str">
        <f t="shared" ca="1" si="10"/>
        <v>-</v>
      </c>
      <c r="H81" s="369" t="str">
        <f t="shared" ca="1" si="10"/>
        <v>UP</v>
      </c>
      <c r="I81" s="370">
        <f t="shared" ca="1" si="10"/>
        <v>0</v>
      </c>
      <c r="J81" s="391">
        <f ca="1">IF($A81="*","",OFFSET(COM_N_2012!$B$60,AW81,SUMIF($B$10:$B$16,B81,$AX$10:$AX$16)))</f>
        <v>0</v>
      </c>
      <c r="K81" s="369" t="str">
        <f ca="1">IF($B81&lt;&gt;"PRC_RESID","",IF(K$7=2005+OFFSET(COM_N_2012!$B$60,$AW81,SUMIF($B$10:$B$16,"NCAP_TLIFE",$AX$10:$AX$16)),0,""))</f>
        <v/>
      </c>
      <c r="L81" s="369" t="str">
        <f ca="1">IF($B81&lt;&gt;"PRC_RESID","",IF(L$7=2005+OFFSET(COM_N_2012!$B$60,$AW81,SUMIF($B$10:$B$16,"NCAP_TLIFE",$AX$10:$AX$16)),0,""))</f>
        <v/>
      </c>
      <c r="M81" s="369" t="str">
        <f ca="1">IF($B81&lt;&gt;"PRC_RESID","",IF(M$7=2005+OFFSET(COM_N_2012!$B$60,$AW81,SUMIF($B$10:$B$16,"NCAP_TLIFE",$AX$10:$AX$16)),0,""))</f>
        <v/>
      </c>
      <c r="N81" s="369" t="str">
        <f ca="1">IF($B81&lt;&gt;"PRC_RESID","",IF(N$7=2005+OFFSET(COM_N_2012!$B$60,$AW81,SUMIF($B$10:$B$16,"NCAP_TLIFE",$AX$10:$AX$16)),0,""))</f>
        <v/>
      </c>
      <c r="O81" s="369" t="str">
        <f ca="1">IF($B81&lt;&gt;"PRC_RESID","",IF(O$7=2005+OFFSET(COM_N_2012!$B$60,$AW81,SUMIF($B$10:$B$16,"NCAP_TLIFE",$AX$10:$AX$16)),0,""))</f>
        <v/>
      </c>
      <c r="P81" s="369" t="str">
        <f ca="1">IF($B81&lt;&gt;"PRC_RESID","",IF(P$7=2005+OFFSET(COM_N_2012!$B$60,$AW81,SUMIF($B$10:$B$16,"NCAP_TLIFE",$AX$10:$AX$16)),0,""))</f>
        <v/>
      </c>
      <c r="Q81" s="369" t="str">
        <f ca="1">IF($B81&lt;&gt;"PRC_RESID","",IF(Q$7=2005+OFFSET(COM_N_2012!$B$60,$AW81,SUMIF($B$10:$B$16,"NCAP_TLIFE",$AX$10:$AX$16)),0,""))</f>
        <v/>
      </c>
      <c r="R81" s="369" t="str">
        <f ca="1">IF($B81&lt;&gt;"PRC_RESID","",IF(R$7=2005+OFFSET(COM_N_2012!$B$60,$AW81,SUMIF($B$10:$B$16,"NCAP_TLIFE",$AX$10:$AX$16)),0,""))</f>
        <v/>
      </c>
      <c r="S81" s="369" t="str">
        <f ca="1">IF($B81&lt;&gt;"PRC_RESID","",IF(S$7=2005+OFFSET(COM_N_2012!$B$60,$AW81,SUMIF($B$10:$B$16,"NCAP_TLIFE",$AX$10:$AX$16)),0,""))</f>
        <v/>
      </c>
      <c r="T81" s="369" t="str">
        <f ca="1">IF($B81&lt;&gt;"PRC_RESID","",IF(T$7=2005+OFFSET(COM_N_2012!$B$60,$AW81,SUMIF($B$10:$B$16,"NCAP_TLIFE",$AX$10:$AX$16)),0,""))</f>
        <v/>
      </c>
      <c r="U81" s="369" t="str">
        <f ca="1">IF($B81&lt;&gt;"PRC_RESID","",IF(U$7=2005+OFFSET(COM_N_2012!$B$60,$AW81,SUMIF($B$10:$B$16,"NCAP_TLIFE",$AX$10:$AX$16)),0,""))</f>
        <v/>
      </c>
      <c r="V81" s="369" t="str">
        <f ca="1">IF($B81&lt;&gt;"PRC_RESID","",IF(V$7=2005+OFFSET(COM_N_2012!$B$60,$AW81,SUMIF($B$10:$B$16,"NCAP_TLIFE",$AX$10:$AX$16)),0,""))</f>
        <v/>
      </c>
      <c r="W81" s="369" t="str">
        <f ca="1">IF($B81&lt;&gt;"PRC_RESID","",IF(W$7=2005+OFFSET(COM_N_2012!$B$60,$AW81,SUMIF($B$10:$B$16,"NCAP_TLIFE",$AX$10:$AX$16)),0,""))</f>
        <v/>
      </c>
      <c r="X81" s="369" t="str">
        <f ca="1">IF($B81&lt;&gt;"PRC_RESID","",IF(X$7=2005+OFFSET(COM_N_2012!$B$60,$AW81,SUMIF($B$10:$B$16,"NCAP_TLIFE",$AX$10:$AX$16)),0,""))</f>
        <v/>
      </c>
      <c r="Y81" s="369" t="str">
        <f ca="1">IF($B81&lt;&gt;"PRC_RESID","",IF(Y$7=2005+OFFSET(COM_N_2012!$B$60,$AW81,SUMIF($B$10:$B$16,"NCAP_TLIFE",$AX$10:$AX$16)),0,""))</f>
        <v/>
      </c>
      <c r="Z81" s="369" t="str">
        <f ca="1">IF($B81&lt;&gt;"PRC_RESID","",IF(Z$7=2005+OFFSET(COM_N_2012!$B$60,$AW81,SUMIF($B$10:$B$16,"NCAP_TLIFE",$AX$10:$AX$16)),0,""))</f>
        <v/>
      </c>
      <c r="AA81" s="369" t="str">
        <f ca="1">IF($B81&lt;&gt;"PRC_RESID","",IF(AA$7=2005+OFFSET(COM_N_2012!$B$60,$AW81,SUMIF($B$10:$B$16,"NCAP_TLIFE",$AX$10:$AX$16)),0,""))</f>
        <v/>
      </c>
      <c r="AB81" s="369" t="str">
        <f ca="1">IF($B81&lt;&gt;"PRC_RESID","",IF(AB$7=2005+OFFSET(COM_N_2012!$B$60,$AW81,SUMIF($B$10:$B$16,"NCAP_TLIFE",$AX$10:$AX$16)),0,""))</f>
        <v/>
      </c>
      <c r="AC81" s="369" t="str">
        <f ca="1">IF($B81&lt;&gt;"PRC_RESID","",IF(AC$7=2005+OFFSET(COM_N_2012!$B$60,$AW81,SUMIF($B$10:$B$16,"NCAP_TLIFE",$AX$10:$AX$16)),0,""))</f>
        <v/>
      </c>
      <c r="AD81" s="369" t="str">
        <f ca="1">IF($B81&lt;&gt;"PRC_RESID","",IF(AD$7=2005+OFFSET(COM_N_2012!$B$60,$AW81,SUMIF($B$10:$B$16,"NCAP_TLIFE",$AX$10:$AX$16)),0,""))</f>
        <v/>
      </c>
      <c r="AE81" s="369" t="str">
        <f ca="1">IF($B81&lt;&gt;"PRC_RESID","",IF(AE$7=2005+OFFSET(COM_N_2012!$B$60,$AW81,SUMIF($B$10:$B$16,"NCAP_TLIFE",$AX$10:$AX$16)),0,""))</f>
        <v/>
      </c>
      <c r="AF81" s="369" t="str">
        <f ca="1">IF($B81&lt;&gt;"PRC_RESID","",IF(AF$7=2005+OFFSET(COM_N_2012!$B$60,$AW81,SUMIF($B$10:$B$16,"NCAP_TLIFE",$AX$10:$AX$16)),0,""))</f>
        <v/>
      </c>
      <c r="AG81" s="369" t="str">
        <f ca="1">IF($B81&lt;&gt;"PRC_RESID","",IF(AG$7=2005+OFFSET(COM_N_2012!$B$60,$AW81,SUMIF($B$10:$B$16,"NCAP_TLIFE",$AX$10:$AX$16)),0,""))</f>
        <v/>
      </c>
      <c r="AH81" s="369" t="str">
        <f ca="1">IF($B81&lt;&gt;"PRC_RESID","",IF(AH$7=2005+OFFSET(COM_N_2012!$B$60,$AW81,SUMIF($B$10:$B$16,"NCAP_TLIFE",$AX$10:$AX$16)),0,""))</f>
        <v/>
      </c>
      <c r="AI81" s="369" t="str">
        <f ca="1">IF($B81&lt;&gt;"PRC_RESID","",IF(AI$7=2005+OFFSET(COM_N_2012!$B$60,$AW81,SUMIF($B$10:$B$16,"NCAP_TLIFE",$AX$10:$AX$16)),0,""))</f>
        <v/>
      </c>
      <c r="AJ81" s="369" t="str">
        <f ca="1">IF($B81&lt;&gt;"PRC_RESID","",IF(AJ$7=2005+OFFSET(COM_N_2012!$B$60,$AW81,SUMIF($B$10:$B$16,"NCAP_TLIFE",$AX$10:$AX$16)),0,""))</f>
        <v/>
      </c>
      <c r="AK81" s="369" t="str">
        <f ca="1">IF($B81&lt;&gt;"PRC_RESID","",IF(AK$7=2005+OFFSET(COM_N_2012!$B$60,$AW81,SUMIF($B$10:$B$16,"NCAP_TLIFE",$AX$10:$AX$16)),0,""))</f>
        <v/>
      </c>
      <c r="AL81" s="369" t="str">
        <f ca="1">IF($B81&lt;&gt;"PRC_RESID","",IF(AL$7=2005+OFFSET(COM_N_2012!$B$60,$AW81,SUMIF($B$10:$B$16,"NCAP_TLIFE",$AX$10:$AX$16)),0,""))</f>
        <v/>
      </c>
      <c r="AM81" s="369" t="str">
        <f ca="1">IF($B81&lt;&gt;"PRC_RESID","",IF(AM$7=2005+OFFSET(COM_N_2012!$B$60,$AW81,SUMIF($B$10:$B$16,"NCAP_TLIFE",$AX$10:$AX$16)),0,""))</f>
        <v/>
      </c>
      <c r="AN81" s="369" t="str">
        <f ca="1">IF($B81&lt;&gt;"PRC_RESID","",IF(AN$7=2005+OFFSET(COM_N_2012!$B$60,$AW81,SUMIF($B$10:$B$16,"NCAP_TLIFE",$AX$10:$AX$16)),0,""))</f>
        <v/>
      </c>
      <c r="AO81" s="369" t="str">
        <f ca="1">IF($B81&lt;&gt;"PRC_RESID","",IF(AO$7=2005+OFFSET(COM_N_2012!$B$60,$AW81,SUMIF($B$10:$B$16,"NCAP_TLIFE",$AX$10:$AX$16)),0,""))</f>
        <v/>
      </c>
      <c r="AP81" s="369" t="str">
        <f ca="1">IF($B81&lt;&gt;"PRC_RESID","",IF(AP$7=2005+OFFSET(COM_N_2012!$B$60,$AW81,SUMIF($B$10:$B$16,"NCAP_TLIFE",$AX$10:$AX$16)),0,""))</f>
        <v/>
      </c>
      <c r="AQ81" s="369" t="str">
        <f ca="1">IF($B81&lt;&gt;"PRC_RESID","",IF(AQ$7=2005+OFFSET(COM_N_2012!$B$60,$AW81,SUMIF($B$10:$B$16,"NCAP_TLIFE",$AX$10:$AX$16)),0,""))</f>
        <v/>
      </c>
      <c r="AR81" s="369" t="str">
        <f ca="1">IF($B81&lt;&gt;"PRC_RESID","",IF(AR$7=2005+OFFSET(COM_N_2012!$B$60,$AW81,SUMIF($B$10:$B$16,"NCAP_TLIFE",$AX$10:$AX$16)),0,""))</f>
        <v/>
      </c>
      <c r="AS81" s="369" t="str">
        <f ca="1">IF($B81&lt;&gt;"PRC_RESID","",IF(AS$7=2005+OFFSET(COM_N_2012!$B$60,$AW81,SUMIF($B$10:$B$16,"NCAP_TLIFE",$AX$10:$AX$16)),0,""))</f>
        <v/>
      </c>
      <c r="AT81" s="369" t="str">
        <f ca="1">IF($B81&lt;&gt;"PRC_RESID","",IF(AT$7=2005+OFFSET(COM_N_2012!$B$60,$AW81,SUMIF($B$10:$B$16,"NCAP_TLIFE",$AX$10:$AX$16)),0,""))</f>
        <v/>
      </c>
      <c r="AU81" s="369" t="str">
        <f ca="1">IF($B81&lt;&gt;"PRC_RESID","",IF(AU$7=2005+OFFSET(COM_N_2012!$B$60,$AW81,SUMIF($B$10:$B$16,"NCAP_TLIFE",$AX$10:$AX$16)),0,""))</f>
        <v/>
      </c>
      <c r="AV81" s="304">
        <f>IF(AW80=COM_N_2012!$AK$121,AV80+1,AV80)</f>
        <v>2</v>
      </c>
      <c r="AW81" s="304">
        <f t="shared" si="4"/>
        <v>3</v>
      </c>
    </row>
    <row r="82" spans="1:49">
      <c r="A82" s="304" t="str">
        <f ca="1">IF(LEFT(OFFSET(COM_N_2012!$A$60,AW82,0),2)="\I","*","")</f>
        <v/>
      </c>
      <c r="B82" s="369" t="str">
        <f t="shared" ref="B82:B145" ca="1" si="11">IF(A82="*","",VLOOKUP("*"&amp;AV82,$A$9:$B$16,2,FALSE))</f>
        <v>NCAP_BND</v>
      </c>
      <c r="C82" s="369" t="str">
        <f ca="1">IF($A82="*","",OFFSET(COM_N_2012!$B$60,AW82,0))</f>
        <v>CNCELCROOM-E</v>
      </c>
      <c r="D82" s="369" t="str">
        <f t="shared" ca="1" si="10"/>
        <v>-</v>
      </c>
      <c r="E82" s="369" t="str">
        <f t="shared" ca="1" si="10"/>
        <v>-</v>
      </c>
      <c r="F82" s="369" t="str">
        <f t="shared" ca="1" si="10"/>
        <v>-</v>
      </c>
      <c r="G82" s="369" t="str">
        <f t="shared" ca="1" si="10"/>
        <v>-</v>
      </c>
      <c r="H82" s="369" t="str">
        <f t="shared" ca="1" si="10"/>
        <v>UP</v>
      </c>
      <c r="I82" s="370">
        <f t="shared" ca="1" si="10"/>
        <v>0</v>
      </c>
      <c r="J82" s="391">
        <f ca="1">IF($A82="*","",OFFSET(COM_N_2012!$B$60,AW82,SUMIF($B$10:$B$16,B82,$AX$10:$AX$16)))</f>
        <v>0</v>
      </c>
      <c r="K82" s="369" t="str">
        <f ca="1">IF($B82&lt;&gt;"PRC_RESID","",IF(K$7=2005+OFFSET(COM_N_2012!$B$60,$AW82,SUMIF($B$10:$B$16,"NCAP_TLIFE",$AX$10:$AX$16)),0,""))</f>
        <v/>
      </c>
      <c r="L82" s="369" t="str">
        <f ca="1">IF($B82&lt;&gt;"PRC_RESID","",IF(L$7=2005+OFFSET(COM_N_2012!$B$60,$AW82,SUMIF($B$10:$B$16,"NCAP_TLIFE",$AX$10:$AX$16)),0,""))</f>
        <v/>
      </c>
      <c r="M82" s="369" t="str">
        <f ca="1">IF($B82&lt;&gt;"PRC_RESID","",IF(M$7=2005+OFFSET(COM_N_2012!$B$60,$AW82,SUMIF($B$10:$B$16,"NCAP_TLIFE",$AX$10:$AX$16)),0,""))</f>
        <v/>
      </c>
      <c r="N82" s="369" t="str">
        <f ca="1">IF($B82&lt;&gt;"PRC_RESID","",IF(N$7=2005+OFFSET(COM_N_2012!$B$60,$AW82,SUMIF($B$10:$B$16,"NCAP_TLIFE",$AX$10:$AX$16)),0,""))</f>
        <v/>
      </c>
      <c r="O82" s="369" t="str">
        <f ca="1">IF($B82&lt;&gt;"PRC_RESID","",IF(O$7=2005+OFFSET(COM_N_2012!$B$60,$AW82,SUMIF($B$10:$B$16,"NCAP_TLIFE",$AX$10:$AX$16)),0,""))</f>
        <v/>
      </c>
      <c r="P82" s="369" t="str">
        <f ca="1">IF($B82&lt;&gt;"PRC_RESID","",IF(P$7=2005+OFFSET(COM_N_2012!$B$60,$AW82,SUMIF($B$10:$B$16,"NCAP_TLIFE",$AX$10:$AX$16)),0,""))</f>
        <v/>
      </c>
      <c r="Q82" s="369" t="str">
        <f ca="1">IF($B82&lt;&gt;"PRC_RESID","",IF(Q$7=2005+OFFSET(COM_N_2012!$B$60,$AW82,SUMIF($B$10:$B$16,"NCAP_TLIFE",$AX$10:$AX$16)),0,""))</f>
        <v/>
      </c>
      <c r="R82" s="369" t="str">
        <f ca="1">IF($B82&lt;&gt;"PRC_RESID","",IF(R$7=2005+OFFSET(COM_N_2012!$B$60,$AW82,SUMIF($B$10:$B$16,"NCAP_TLIFE",$AX$10:$AX$16)),0,""))</f>
        <v/>
      </c>
      <c r="S82" s="369" t="str">
        <f ca="1">IF($B82&lt;&gt;"PRC_RESID","",IF(S$7=2005+OFFSET(COM_N_2012!$B$60,$AW82,SUMIF($B$10:$B$16,"NCAP_TLIFE",$AX$10:$AX$16)),0,""))</f>
        <v/>
      </c>
      <c r="T82" s="369" t="str">
        <f ca="1">IF($B82&lt;&gt;"PRC_RESID","",IF(T$7=2005+OFFSET(COM_N_2012!$B$60,$AW82,SUMIF($B$10:$B$16,"NCAP_TLIFE",$AX$10:$AX$16)),0,""))</f>
        <v/>
      </c>
      <c r="U82" s="369" t="str">
        <f ca="1">IF($B82&lt;&gt;"PRC_RESID","",IF(U$7=2005+OFFSET(COM_N_2012!$B$60,$AW82,SUMIF($B$10:$B$16,"NCAP_TLIFE",$AX$10:$AX$16)),0,""))</f>
        <v/>
      </c>
      <c r="V82" s="369" t="str">
        <f ca="1">IF($B82&lt;&gt;"PRC_RESID","",IF(V$7=2005+OFFSET(COM_N_2012!$B$60,$AW82,SUMIF($B$10:$B$16,"NCAP_TLIFE",$AX$10:$AX$16)),0,""))</f>
        <v/>
      </c>
      <c r="W82" s="369" t="str">
        <f ca="1">IF($B82&lt;&gt;"PRC_RESID","",IF(W$7=2005+OFFSET(COM_N_2012!$B$60,$AW82,SUMIF($B$10:$B$16,"NCAP_TLIFE",$AX$10:$AX$16)),0,""))</f>
        <v/>
      </c>
      <c r="X82" s="369" t="str">
        <f ca="1">IF($B82&lt;&gt;"PRC_RESID","",IF(X$7=2005+OFFSET(COM_N_2012!$B$60,$AW82,SUMIF($B$10:$B$16,"NCAP_TLIFE",$AX$10:$AX$16)),0,""))</f>
        <v/>
      </c>
      <c r="Y82" s="369" t="str">
        <f ca="1">IF($B82&lt;&gt;"PRC_RESID","",IF(Y$7=2005+OFFSET(COM_N_2012!$B$60,$AW82,SUMIF($B$10:$B$16,"NCAP_TLIFE",$AX$10:$AX$16)),0,""))</f>
        <v/>
      </c>
      <c r="Z82" s="369" t="str">
        <f ca="1">IF($B82&lt;&gt;"PRC_RESID","",IF(Z$7=2005+OFFSET(COM_N_2012!$B$60,$AW82,SUMIF($B$10:$B$16,"NCAP_TLIFE",$AX$10:$AX$16)),0,""))</f>
        <v/>
      </c>
      <c r="AA82" s="369" t="str">
        <f ca="1">IF($B82&lt;&gt;"PRC_RESID","",IF(AA$7=2005+OFFSET(COM_N_2012!$B$60,$AW82,SUMIF($B$10:$B$16,"NCAP_TLIFE",$AX$10:$AX$16)),0,""))</f>
        <v/>
      </c>
      <c r="AB82" s="369" t="str">
        <f ca="1">IF($B82&lt;&gt;"PRC_RESID","",IF(AB$7=2005+OFFSET(COM_N_2012!$B$60,$AW82,SUMIF($B$10:$B$16,"NCAP_TLIFE",$AX$10:$AX$16)),0,""))</f>
        <v/>
      </c>
      <c r="AC82" s="369" t="str">
        <f ca="1">IF($B82&lt;&gt;"PRC_RESID","",IF(AC$7=2005+OFFSET(COM_N_2012!$B$60,$AW82,SUMIF($B$10:$B$16,"NCAP_TLIFE",$AX$10:$AX$16)),0,""))</f>
        <v/>
      </c>
      <c r="AD82" s="369" t="str">
        <f ca="1">IF($B82&lt;&gt;"PRC_RESID","",IF(AD$7=2005+OFFSET(COM_N_2012!$B$60,$AW82,SUMIF($B$10:$B$16,"NCAP_TLIFE",$AX$10:$AX$16)),0,""))</f>
        <v/>
      </c>
      <c r="AE82" s="369" t="str">
        <f ca="1">IF($B82&lt;&gt;"PRC_RESID","",IF(AE$7=2005+OFFSET(COM_N_2012!$B$60,$AW82,SUMIF($B$10:$B$16,"NCAP_TLIFE",$AX$10:$AX$16)),0,""))</f>
        <v/>
      </c>
      <c r="AF82" s="369" t="str">
        <f ca="1">IF($B82&lt;&gt;"PRC_RESID","",IF(AF$7=2005+OFFSET(COM_N_2012!$B$60,$AW82,SUMIF($B$10:$B$16,"NCAP_TLIFE",$AX$10:$AX$16)),0,""))</f>
        <v/>
      </c>
      <c r="AG82" s="369" t="str">
        <f ca="1">IF($B82&lt;&gt;"PRC_RESID","",IF(AG$7=2005+OFFSET(COM_N_2012!$B$60,$AW82,SUMIF($B$10:$B$16,"NCAP_TLIFE",$AX$10:$AX$16)),0,""))</f>
        <v/>
      </c>
      <c r="AH82" s="369" t="str">
        <f ca="1">IF($B82&lt;&gt;"PRC_RESID","",IF(AH$7=2005+OFFSET(COM_N_2012!$B$60,$AW82,SUMIF($B$10:$B$16,"NCAP_TLIFE",$AX$10:$AX$16)),0,""))</f>
        <v/>
      </c>
      <c r="AI82" s="369" t="str">
        <f ca="1">IF($B82&lt;&gt;"PRC_RESID","",IF(AI$7=2005+OFFSET(COM_N_2012!$B$60,$AW82,SUMIF($B$10:$B$16,"NCAP_TLIFE",$AX$10:$AX$16)),0,""))</f>
        <v/>
      </c>
      <c r="AJ82" s="369" t="str">
        <f ca="1">IF($B82&lt;&gt;"PRC_RESID","",IF(AJ$7=2005+OFFSET(COM_N_2012!$B$60,$AW82,SUMIF($B$10:$B$16,"NCAP_TLIFE",$AX$10:$AX$16)),0,""))</f>
        <v/>
      </c>
      <c r="AK82" s="369" t="str">
        <f ca="1">IF($B82&lt;&gt;"PRC_RESID","",IF(AK$7=2005+OFFSET(COM_N_2012!$B$60,$AW82,SUMIF($B$10:$B$16,"NCAP_TLIFE",$AX$10:$AX$16)),0,""))</f>
        <v/>
      </c>
      <c r="AL82" s="369" t="str">
        <f ca="1">IF($B82&lt;&gt;"PRC_RESID","",IF(AL$7=2005+OFFSET(COM_N_2012!$B$60,$AW82,SUMIF($B$10:$B$16,"NCAP_TLIFE",$AX$10:$AX$16)),0,""))</f>
        <v/>
      </c>
      <c r="AM82" s="369" t="str">
        <f ca="1">IF($B82&lt;&gt;"PRC_RESID","",IF(AM$7=2005+OFFSET(COM_N_2012!$B$60,$AW82,SUMIF($B$10:$B$16,"NCAP_TLIFE",$AX$10:$AX$16)),0,""))</f>
        <v/>
      </c>
      <c r="AN82" s="369" t="str">
        <f ca="1">IF($B82&lt;&gt;"PRC_RESID","",IF(AN$7=2005+OFFSET(COM_N_2012!$B$60,$AW82,SUMIF($B$10:$B$16,"NCAP_TLIFE",$AX$10:$AX$16)),0,""))</f>
        <v/>
      </c>
      <c r="AO82" s="369" t="str">
        <f ca="1">IF($B82&lt;&gt;"PRC_RESID","",IF(AO$7=2005+OFFSET(COM_N_2012!$B$60,$AW82,SUMIF($B$10:$B$16,"NCAP_TLIFE",$AX$10:$AX$16)),0,""))</f>
        <v/>
      </c>
      <c r="AP82" s="369" t="str">
        <f ca="1">IF($B82&lt;&gt;"PRC_RESID","",IF(AP$7=2005+OFFSET(COM_N_2012!$B$60,$AW82,SUMIF($B$10:$B$16,"NCAP_TLIFE",$AX$10:$AX$16)),0,""))</f>
        <v/>
      </c>
      <c r="AQ82" s="369" t="str">
        <f ca="1">IF($B82&lt;&gt;"PRC_RESID","",IF(AQ$7=2005+OFFSET(COM_N_2012!$B$60,$AW82,SUMIF($B$10:$B$16,"NCAP_TLIFE",$AX$10:$AX$16)),0,""))</f>
        <v/>
      </c>
      <c r="AR82" s="369" t="str">
        <f ca="1">IF($B82&lt;&gt;"PRC_RESID","",IF(AR$7=2005+OFFSET(COM_N_2012!$B$60,$AW82,SUMIF($B$10:$B$16,"NCAP_TLIFE",$AX$10:$AX$16)),0,""))</f>
        <v/>
      </c>
      <c r="AS82" s="369" t="str">
        <f ca="1">IF($B82&lt;&gt;"PRC_RESID","",IF(AS$7=2005+OFFSET(COM_N_2012!$B$60,$AW82,SUMIF($B$10:$B$16,"NCAP_TLIFE",$AX$10:$AX$16)),0,""))</f>
        <v/>
      </c>
      <c r="AT82" s="369" t="str">
        <f ca="1">IF($B82&lt;&gt;"PRC_RESID","",IF(AT$7=2005+OFFSET(COM_N_2012!$B$60,$AW82,SUMIF($B$10:$B$16,"NCAP_TLIFE",$AX$10:$AX$16)),0,""))</f>
        <v/>
      </c>
      <c r="AU82" s="369" t="str">
        <f ca="1">IF($B82&lt;&gt;"PRC_RESID","",IF(AU$7=2005+OFFSET(COM_N_2012!$B$60,$AW82,SUMIF($B$10:$B$16,"NCAP_TLIFE",$AX$10:$AX$16)),0,""))</f>
        <v/>
      </c>
      <c r="AV82" s="304">
        <f>IF(AW81=COM_N_2012!$AK$121,AV81+1,AV81)</f>
        <v>2</v>
      </c>
      <c r="AW82" s="304">
        <f t="shared" si="4"/>
        <v>4</v>
      </c>
    </row>
    <row r="83" spans="1:49">
      <c r="A83" s="304" t="str">
        <f ca="1">IF(LEFT(OFFSET(COM_N_2012!$A$60,AW83,0),2)="\I","*","")</f>
        <v/>
      </c>
      <c r="B83" s="369" t="str">
        <f t="shared" ca="1" si="11"/>
        <v>NCAP_BND</v>
      </c>
      <c r="C83" s="369" t="str">
        <f ca="1">IF($A83="*","",OFFSET(COM_N_2012!$B$60,AW83,0))</f>
        <v>CNCELCCEN-N</v>
      </c>
      <c r="D83" s="369" t="str">
        <f t="shared" ca="1" si="10"/>
        <v>-</v>
      </c>
      <c r="E83" s="369" t="str">
        <f t="shared" ca="1" si="10"/>
        <v>-</v>
      </c>
      <c r="F83" s="369" t="str">
        <f t="shared" ca="1" si="10"/>
        <v>-</v>
      </c>
      <c r="G83" s="369" t="str">
        <f t="shared" ca="1" si="10"/>
        <v>-</v>
      </c>
      <c r="H83" s="369" t="str">
        <f t="shared" ca="1" si="10"/>
        <v>UP</v>
      </c>
      <c r="I83" s="370">
        <f t="shared" ca="1" si="10"/>
        <v>0</v>
      </c>
      <c r="J83" s="391">
        <f ca="1">IF($A83="*","",OFFSET(COM_N_2012!$B$60,AW83,SUMIF($B$10:$B$16,B83,$AX$10:$AX$16)))</f>
        <v>0</v>
      </c>
      <c r="K83" s="369" t="str">
        <f ca="1">IF($B83&lt;&gt;"PRC_RESID","",IF(K$7=2005+OFFSET(COM_N_2012!$B$60,$AW83,SUMIF($B$10:$B$16,"NCAP_TLIFE",$AX$10:$AX$16)),0,""))</f>
        <v/>
      </c>
      <c r="L83" s="369" t="str">
        <f ca="1">IF($B83&lt;&gt;"PRC_RESID","",IF(L$7=2005+OFFSET(COM_N_2012!$B$60,$AW83,SUMIF($B$10:$B$16,"NCAP_TLIFE",$AX$10:$AX$16)),0,""))</f>
        <v/>
      </c>
      <c r="M83" s="369" t="str">
        <f ca="1">IF($B83&lt;&gt;"PRC_RESID","",IF(M$7=2005+OFFSET(COM_N_2012!$B$60,$AW83,SUMIF($B$10:$B$16,"NCAP_TLIFE",$AX$10:$AX$16)),0,""))</f>
        <v/>
      </c>
      <c r="N83" s="369" t="str">
        <f ca="1">IF($B83&lt;&gt;"PRC_RESID","",IF(N$7=2005+OFFSET(COM_N_2012!$B$60,$AW83,SUMIF($B$10:$B$16,"NCAP_TLIFE",$AX$10:$AX$16)),0,""))</f>
        <v/>
      </c>
      <c r="O83" s="369" t="str">
        <f ca="1">IF($B83&lt;&gt;"PRC_RESID","",IF(O$7=2005+OFFSET(COM_N_2012!$B$60,$AW83,SUMIF($B$10:$B$16,"NCAP_TLIFE",$AX$10:$AX$16)),0,""))</f>
        <v/>
      </c>
      <c r="P83" s="369" t="str">
        <f ca="1">IF($B83&lt;&gt;"PRC_RESID","",IF(P$7=2005+OFFSET(COM_N_2012!$B$60,$AW83,SUMIF($B$10:$B$16,"NCAP_TLIFE",$AX$10:$AX$16)),0,""))</f>
        <v/>
      </c>
      <c r="Q83" s="369" t="str">
        <f ca="1">IF($B83&lt;&gt;"PRC_RESID","",IF(Q$7=2005+OFFSET(COM_N_2012!$B$60,$AW83,SUMIF($B$10:$B$16,"NCAP_TLIFE",$AX$10:$AX$16)),0,""))</f>
        <v/>
      </c>
      <c r="R83" s="369" t="str">
        <f ca="1">IF($B83&lt;&gt;"PRC_RESID","",IF(R$7=2005+OFFSET(COM_N_2012!$B$60,$AW83,SUMIF($B$10:$B$16,"NCAP_TLIFE",$AX$10:$AX$16)),0,""))</f>
        <v/>
      </c>
      <c r="S83" s="369" t="str">
        <f ca="1">IF($B83&lt;&gt;"PRC_RESID","",IF(S$7=2005+OFFSET(COM_N_2012!$B$60,$AW83,SUMIF($B$10:$B$16,"NCAP_TLIFE",$AX$10:$AX$16)),0,""))</f>
        <v/>
      </c>
      <c r="T83" s="369" t="str">
        <f ca="1">IF($B83&lt;&gt;"PRC_RESID","",IF(T$7=2005+OFFSET(COM_N_2012!$B$60,$AW83,SUMIF($B$10:$B$16,"NCAP_TLIFE",$AX$10:$AX$16)),0,""))</f>
        <v/>
      </c>
      <c r="U83" s="369" t="str">
        <f ca="1">IF($B83&lt;&gt;"PRC_RESID","",IF(U$7=2005+OFFSET(COM_N_2012!$B$60,$AW83,SUMIF($B$10:$B$16,"NCAP_TLIFE",$AX$10:$AX$16)),0,""))</f>
        <v/>
      </c>
      <c r="V83" s="369" t="str">
        <f ca="1">IF($B83&lt;&gt;"PRC_RESID","",IF(V$7=2005+OFFSET(COM_N_2012!$B$60,$AW83,SUMIF($B$10:$B$16,"NCAP_TLIFE",$AX$10:$AX$16)),0,""))</f>
        <v/>
      </c>
      <c r="W83" s="369" t="str">
        <f ca="1">IF($B83&lt;&gt;"PRC_RESID","",IF(W$7=2005+OFFSET(COM_N_2012!$B$60,$AW83,SUMIF($B$10:$B$16,"NCAP_TLIFE",$AX$10:$AX$16)),0,""))</f>
        <v/>
      </c>
      <c r="X83" s="369" t="str">
        <f ca="1">IF($B83&lt;&gt;"PRC_RESID","",IF(X$7=2005+OFFSET(COM_N_2012!$B$60,$AW83,SUMIF($B$10:$B$16,"NCAP_TLIFE",$AX$10:$AX$16)),0,""))</f>
        <v/>
      </c>
      <c r="Y83" s="369" t="str">
        <f ca="1">IF($B83&lt;&gt;"PRC_RESID","",IF(Y$7=2005+OFFSET(COM_N_2012!$B$60,$AW83,SUMIF($B$10:$B$16,"NCAP_TLIFE",$AX$10:$AX$16)),0,""))</f>
        <v/>
      </c>
      <c r="Z83" s="369" t="str">
        <f ca="1">IF($B83&lt;&gt;"PRC_RESID","",IF(Z$7=2005+OFFSET(COM_N_2012!$B$60,$AW83,SUMIF($B$10:$B$16,"NCAP_TLIFE",$AX$10:$AX$16)),0,""))</f>
        <v/>
      </c>
      <c r="AA83" s="369" t="str">
        <f ca="1">IF($B83&lt;&gt;"PRC_RESID","",IF(AA$7=2005+OFFSET(COM_N_2012!$B$60,$AW83,SUMIF($B$10:$B$16,"NCAP_TLIFE",$AX$10:$AX$16)),0,""))</f>
        <v/>
      </c>
      <c r="AB83" s="369" t="str">
        <f ca="1">IF($B83&lt;&gt;"PRC_RESID","",IF(AB$7=2005+OFFSET(COM_N_2012!$B$60,$AW83,SUMIF($B$10:$B$16,"NCAP_TLIFE",$AX$10:$AX$16)),0,""))</f>
        <v/>
      </c>
      <c r="AC83" s="369" t="str">
        <f ca="1">IF($B83&lt;&gt;"PRC_RESID","",IF(AC$7=2005+OFFSET(COM_N_2012!$B$60,$AW83,SUMIF($B$10:$B$16,"NCAP_TLIFE",$AX$10:$AX$16)),0,""))</f>
        <v/>
      </c>
      <c r="AD83" s="369" t="str">
        <f ca="1">IF($B83&lt;&gt;"PRC_RESID","",IF(AD$7=2005+OFFSET(COM_N_2012!$B$60,$AW83,SUMIF($B$10:$B$16,"NCAP_TLIFE",$AX$10:$AX$16)),0,""))</f>
        <v/>
      </c>
      <c r="AE83" s="369" t="str">
        <f ca="1">IF($B83&lt;&gt;"PRC_RESID","",IF(AE$7=2005+OFFSET(COM_N_2012!$B$60,$AW83,SUMIF($B$10:$B$16,"NCAP_TLIFE",$AX$10:$AX$16)),0,""))</f>
        <v/>
      </c>
      <c r="AF83" s="369" t="str">
        <f ca="1">IF($B83&lt;&gt;"PRC_RESID","",IF(AF$7=2005+OFFSET(COM_N_2012!$B$60,$AW83,SUMIF($B$10:$B$16,"NCAP_TLIFE",$AX$10:$AX$16)),0,""))</f>
        <v/>
      </c>
      <c r="AG83" s="369" t="str">
        <f ca="1">IF($B83&lt;&gt;"PRC_RESID","",IF(AG$7=2005+OFFSET(COM_N_2012!$B$60,$AW83,SUMIF($B$10:$B$16,"NCAP_TLIFE",$AX$10:$AX$16)),0,""))</f>
        <v/>
      </c>
      <c r="AH83" s="369" t="str">
        <f ca="1">IF($B83&lt;&gt;"PRC_RESID","",IF(AH$7=2005+OFFSET(COM_N_2012!$B$60,$AW83,SUMIF($B$10:$B$16,"NCAP_TLIFE",$AX$10:$AX$16)),0,""))</f>
        <v/>
      </c>
      <c r="AI83" s="369" t="str">
        <f ca="1">IF($B83&lt;&gt;"PRC_RESID","",IF(AI$7=2005+OFFSET(COM_N_2012!$B$60,$AW83,SUMIF($B$10:$B$16,"NCAP_TLIFE",$AX$10:$AX$16)),0,""))</f>
        <v/>
      </c>
      <c r="AJ83" s="369" t="str">
        <f ca="1">IF($B83&lt;&gt;"PRC_RESID","",IF(AJ$7=2005+OFFSET(COM_N_2012!$B$60,$AW83,SUMIF($B$10:$B$16,"NCAP_TLIFE",$AX$10:$AX$16)),0,""))</f>
        <v/>
      </c>
      <c r="AK83" s="369" t="str">
        <f ca="1">IF($B83&lt;&gt;"PRC_RESID","",IF(AK$7=2005+OFFSET(COM_N_2012!$B$60,$AW83,SUMIF($B$10:$B$16,"NCAP_TLIFE",$AX$10:$AX$16)),0,""))</f>
        <v/>
      </c>
      <c r="AL83" s="369" t="str">
        <f ca="1">IF($B83&lt;&gt;"PRC_RESID","",IF(AL$7=2005+OFFSET(COM_N_2012!$B$60,$AW83,SUMIF($B$10:$B$16,"NCAP_TLIFE",$AX$10:$AX$16)),0,""))</f>
        <v/>
      </c>
      <c r="AM83" s="369" t="str">
        <f ca="1">IF($B83&lt;&gt;"PRC_RESID","",IF(AM$7=2005+OFFSET(COM_N_2012!$B$60,$AW83,SUMIF($B$10:$B$16,"NCAP_TLIFE",$AX$10:$AX$16)),0,""))</f>
        <v/>
      </c>
      <c r="AN83" s="369" t="str">
        <f ca="1">IF($B83&lt;&gt;"PRC_RESID","",IF(AN$7=2005+OFFSET(COM_N_2012!$B$60,$AW83,SUMIF($B$10:$B$16,"NCAP_TLIFE",$AX$10:$AX$16)),0,""))</f>
        <v/>
      </c>
      <c r="AO83" s="369" t="str">
        <f ca="1">IF($B83&lt;&gt;"PRC_RESID","",IF(AO$7=2005+OFFSET(COM_N_2012!$B$60,$AW83,SUMIF($B$10:$B$16,"NCAP_TLIFE",$AX$10:$AX$16)),0,""))</f>
        <v/>
      </c>
      <c r="AP83" s="369" t="str">
        <f ca="1">IF($B83&lt;&gt;"PRC_RESID","",IF(AP$7=2005+OFFSET(COM_N_2012!$B$60,$AW83,SUMIF($B$10:$B$16,"NCAP_TLIFE",$AX$10:$AX$16)),0,""))</f>
        <v/>
      </c>
      <c r="AQ83" s="369" t="str">
        <f ca="1">IF($B83&lt;&gt;"PRC_RESID","",IF(AQ$7=2005+OFFSET(COM_N_2012!$B$60,$AW83,SUMIF($B$10:$B$16,"NCAP_TLIFE",$AX$10:$AX$16)),0,""))</f>
        <v/>
      </c>
      <c r="AR83" s="369" t="str">
        <f ca="1">IF($B83&lt;&gt;"PRC_RESID","",IF(AR$7=2005+OFFSET(COM_N_2012!$B$60,$AW83,SUMIF($B$10:$B$16,"NCAP_TLIFE",$AX$10:$AX$16)),0,""))</f>
        <v/>
      </c>
      <c r="AS83" s="369" t="str">
        <f ca="1">IF($B83&lt;&gt;"PRC_RESID","",IF(AS$7=2005+OFFSET(COM_N_2012!$B$60,$AW83,SUMIF($B$10:$B$16,"NCAP_TLIFE",$AX$10:$AX$16)),0,""))</f>
        <v/>
      </c>
      <c r="AT83" s="369" t="str">
        <f ca="1">IF($B83&lt;&gt;"PRC_RESID","",IF(AT$7=2005+OFFSET(COM_N_2012!$B$60,$AW83,SUMIF($B$10:$B$16,"NCAP_TLIFE",$AX$10:$AX$16)),0,""))</f>
        <v/>
      </c>
      <c r="AU83" s="369" t="str">
        <f ca="1">IF($B83&lt;&gt;"PRC_RESID","",IF(AU$7=2005+OFFSET(COM_N_2012!$B$60,$AW83,SUMIF($B$10:$B$16,"NCAP_TLIFE",$AX$10:$AX$16)),0,""))</f>
        <v/>
      </c>
      <c r="AV83" s="304">
        <f>IF(AW82=COM_N_2012!$AK$121,AV82+1,AV82)</f>
        <v>2</v>
      </c>
      <c r="AW83" s="304">
        <f t="shared" ref="AW83:AW146" si="12">IF(AV83=AV82,AW82+1,1)</f>
        <v>5</v>
      </c>
    </row>
    <row r="84" spans="1:49">
      <c r="A84" s="304" t="str">
        <f ca="1">IF(LEFT(OFFSET(COM_N_2012!$A$60,AW84,0),2)="\I","*","")</f>
        <v/>
      </c>
      <c r="B84" s="369" t="str">
        <f t="shared" ca="1" si="11"/>
        <v>NCAP_BND</v>
      </c>
      <c r="C84" s="369" t="str">
        <f ca="1">IF($A84="*","",OFFSET(COM_N_2012!$B$60,AW84,0))</f>
        <v>CNCELCHP-N</v>
      </c>
      <c r="D84" s="369" t="str">
        <f t="shared" ca="1" si="10"/>
        <v>-</v>
      </c>
      <c r="E84" s="369" t="str">
        <f t="shared" ca="1" si="10"/>
        <v>-</v>
      </c>
      <c r="F84" s="369" t="str">
        <f t="shared" ca="1" si="10"/>
        <v>-</v>
      </c>
      <c r="G84" s="369" t="str">
        <f t="shared" ca="1" si="10"/>
        <v>-</v>
      </c>
      <c r="H84" s="369" t="str">
        <f t="shared" ca="1" si="10"/>
        <v>UP</v>
      </c>
      <c r="I84" s="370">
        <f t="shared" ca="1" si="10"/>
        <v>0</v>
      </c>
      <c r="J84" s="391">
        <f ca="1">IF($A84="*","",OFFSET(COM_N_2012!$B$60,AW84,SUMIF($B$10:$B$16,B84,$AX$10:$AX$16)))</f>
        <v>0</v>
      </c>
      <c r="K84" s="369" t="str">
        <f ca="1">IF($B84&lt;&gt;"PRC_RESID","",IF(K$7=2005+OFFSET(COM_N_2012!$B$60,$AW84,SUMIF($B$10:$B$16,"NCAP_TLIFE",$AX$10:$AX$16)),0,""))</f>
        <v/>
      </c>
      <c r="L84" s="369" t="str">
        <f ca="1">IF($B84&lt;&gt;"PRC_RESID","",IF(L$7=2005+OFFSET(COM_N_2012!$B$60,$AW84,SUMIF($B$10:$B$16,"NCAP_TLIFE",$AX$10:$AX$16)),0,""))</f>
        <v/>
      </c>
      <c r="M84" s="369" t="str">
        <f ca="1">IF($B84&lt;&gt;"PRC_RESID","",IF(M$7=2005+OFFSET(COM_N_2012!$B$60,$AW84,SUMIF($B$10:$B$16,"NCAP_TLIFE",$AX$10:$AX$16)),0,""))</f>
        <v/>
      </c>
      <c r="N84" s="369" t="str">
        <f ca="1">IF($B84&lt;&gt;"PRC_RESID","",IF(N$7=2005+OFFSET(COM_N_2012!$B$60,$AW84,SUMIF($B$10:$B$16,"NCAP_TLIFE",$AX$10:$AX$16)),0,""))</f>
        <v/>
      </c>
      <c r="O84" s="369" t="str">
        <f ca="1">IF($B84&lt;&gt;"PRC_RESID","",IF(O$7=2005+OFFSET(COM_N_2012!$B$60,$AW84,SUMIF($B$10:$B$16,"NCAP_TLIFE",$AX$10:$AX$16)),0,""))</f>
        <v/>
      </c>
      <c r="P84" s="369" t="str">
        <f ca="1">IF($B84&lt;&gt;"PRC_RESID","",IF(P$7=2005+OFFSET(COM_N_2012!$B$60,$AW84,SUMIF($B$10:$B$16,"NCAP_TLIFE",$AX$10:$AX$16)),0,""))</f>
        <v/>
      </c>
      <c r="Q84" s="369" t="str">
        <f ca="1">IF($B84&lt;&gt;"PRC_RESID","",IF(Q$7=2005+OFFSET(COM_N_2012!$B$60,$AW84,SUMIF($B$10:$B$16,"NCAP_TLIFE",$AX$10:$AX$16)),0,""))</f>
        <v/>
      </c>
      <c r="R84" s="369" t="str">
        <f ca="1">IF($B84&lt;&gt;"PRC_RESID","",IF(R$7=2005+OFFSET(COM_N_2012!$B$60,$AW84,SUMIF($B$10:$B$16,"NCAP_TLIFE",$AX$10:$AX$16)),0,""))</f>
        <v/>
      </c>
      <c r="S84" s="369" t="str">
        <f ca="1">IF($B84&lt;&gt;"PRC_RESID","",IF(S$7=2005+OFFSET(COM_N_2012!$B$60,$AW84,SUMIF($B$10:$B$16,"NCAP_TLIFE",$AX$10:$AX$16)),0,""))</f>
        <v/>
      </c>
      <c r="T84" s="369" t="str">
        <f ca="1">IF($B84&lt;&gt;"PRC_RESID","",IF(T$7=2005+OFFSET(COM_N_2012!$B$60,$AW84,SUMIF($B$10:$B$16,"NCAP_TLIFE",$AX$10:$AX$16)),0,""))</f>
        <v/>
      </c>
      <c r="U84" s="369" t="str">
        <f ca="1">IF($B84&lt;&gt;"PRC_RESID","",IF(U$7=2005+OFFSET(COM_N_2012!$B$60,$AW84,SUMIF($B$10:$B$16,"NCAP_TLIFE",$AX$10:$AX$16)),0,""))</f>
        <v/>
      </c>
      <c r="V84" s="369" t="str">
        <f ca="1">IF($B84&lt;&gt;"PRC_RESID","",IF(V$7=2005+OFFSET(COM_N_2012!$B$60,$AW84,SUMIF($B$10:$B$16,"NCAP_TLIFE",$AX$10:$AX$16)),0,""))</f>
        <v/>
      </c>
      <c r="W84" s="369" t="str">
        <f ca="1">IF($B84&lt;&gt;"PRC_RESID","",IF(W$7=2005+OFFSET(COM_N_2012!$B$60,$AW84,SUMIF($B$10:$B$16,"NCAP_TLIFE",$AX$10:$AX$16)),0,""))</f>
        <v/>
      </c>
      <c r="X84" s="369" t="str">
        <f ca="1">IF($B84&lt;&gt;"PRC_RESID","",IF(X$7=2005+OFFSET(COM_N_2012!$B$60,$AW84,SUMIF($B$10:$B$16,"NCAP_TLIFE",$AX$10:$AX$16)),0,""))</f>
        <v/>
      </c>
      <c r="Y84" s="369" t="str">
        <f ca="1">IF($B84&lt;&gt;"PRC_RESID","",IF(Y$7=2005+OFFSET(COM_N_2012!$B$60,$AW84,SUMIF($B$10:$B$16,"NCAP_TLIFE",$AX$10:$AX$16)),0,""))</f>
        <v/>
      </c>
      <c r="Z84" s="369" t="str">
        <f ca="1">IF($B84&lt;&gt;"PRC_RESID","",IF(Z$7=2005+OFFSET(COM_N_2012!$B$60,$AW84,SUMIF($B$10:$B$16,"NCAP_TLIFE",$AX$10:$AX$16)),0,""))</f>
        <v/>
      </c>
      <c r="AA84" s="369" t="str">
        <f ca="1">IF($B84&lt;&gt;"PRC_RESID","",IF(AA$7=2005+OFFSET(COM_N_2012!$B$60,$AW84,SUMIF($B$10:$B$16,"NCAP_TLIFE",$AX$10:$AX$16)),0,""))</f>
        <v/>
      </c>
      <c r="AB84" s="369" t="str">
        <f ca="1">IF($B84&lt;&gt;"PRC_RESID","",IF(AB$7=2005+OFFSET(COM_N_2012!$B$60,$AW84,SUMIF($B$10:$B$16,"NCAP_TLIFE",$AX$10:$AX$16)),0,""))</f>
        <v/>
      </c>
      <c r="AC84" s="369" t="str">
        <f ca="1">IF($B84&lt;&gt;"PRC_RESID","",IF(AC$7=2005+OFFSET(COM_N_2012!$B$60,$AW84,SUMIF($B$10:$B$16,"NCAP_TLIFE",$AX$10:$AX$16)),0,""))</f>
        <v/>
      </c>
      <c r="AD84" s="369" t="str">
        <f ca="1">IF($B84&lt;&gt;"PRC_RESID","",IF(AD$7=2005+OFFSET(COM_N_2012!$B$60,$AW84,SUMIF($B$10:$B$16,"NCAP_TLIFE",$AX$10:$AX$16)),0,""))</f>
        <v/>
      </c>
      <c r="AE84" s="369" t="str">
        <f ca="1">IF($B84&lt;&gt;"PRC_RESID","",IF(AE$7=2005+OFFSET(COM_N_2012!$B$60,$AW84,SUMIF($B$10:$B$16,"NCAP_TLIFE",$AX$10:$AX$16)),0,""))</f>
        <v/>
      </c>
      <c r="AF84" s="369" t="str">
        <f ca="1">IF($B84&lt;&gt;"PRC_RESID","",IF(AF$7=2005+OFFSET(COM_N_2012!$B$60,$AW84,SUMIF($B$10:$B$16,"NCAP_TLIFE",$AX$10:$AX$16)),0,""))</f>
        <v/>
      </c>
      <c r="AG84" s="369" t="str">
        <f ca="1">IF($B84&lt;&gt;"PRC_RESID","",IF(AG$7=2005+OFFSET(COM_N_2012!$B$60,$AW84,SUMIF($B$10:$B$16,"NCAP_TLIFE",$AX$10:$AX$16)),0,""))</f>
        <v/>
      </c>
      <c r="AH84" s="369" t="str">
        <f ca="1">IF($B84&lt;&gt;"PRC_RESID","",IF(AH$7=2005+OFFSET(COM_N_2012!$B$60,$AW84,SUMIF($B$10:$B$16,"NCAP_TLIFE",$AX$10:$AX$16)),0,""))</f>
        <v/>
      </c>
      <c r="AI84" s="369" t="str">
        <f ca="1">IF($B84&lt;&gt;"PRC_RESID","",IF(AI$7=2005+OFFSET(COM_N_2012!$B$60,$AW84,SUMIF($B$10:$B$16,"NCAP_TLIFE",$AX$10:$AX$16)),0,""))</f>
        <v/>
      </c>
      <c r="AJ84" s="369" t="str">
        <f ca="1">IF($B84&lt;&gt;"PRC_RESID","",IF(AJ$7=2005+OFFSET(COM_N_2012!$B$60,$AW84,SUMIF($B$10:$B$16,"NCAP_TLIFE",$AX$10:$AX$16)),0,""))</f>
        <v/>
      </c>
      <c r="AK84" s="369" t="str">
        <f ca="1">IF($B84&lt;&gt;"PRC_RESID","",IF(AK$7=2005+OFFSET(COM_N_2012!$B$60,$AW84,SUMIF($B$10:$B$16,"NCAP_TLIFE",$AX$10:$AX$16)),0,""))</f>
        <v/>
      </c>
      <c r="AL84" s="369" t="str">
        <f ca="1">IF($B84&lt;&gt;"PRC_RESID","",IF(AL$7=2005+OFFSET(COM_N_2012!$B$60,$AW84,SUMIF($B$10:$B$16,"NCAP_TLIFE",$AX$10:$AX$16)),0,""))</f>
        <v/>
      </c>
      <c r="AM84" s="369" t="str">
        <f ca="1">IF($B84&lt;&gt;"PRC_RESID","",IF(AM$7=2005+OFFSET(COM_N_2012!$B$60,$AW84,SUMIF($B$10:$B$16,"NCAP_TLIFE",$AX$10:$AX$16)),0,""))</f>
        <v/>
      </c>
      <c r="AN84" s="369" t="str">
        <f ca="1">IF($B84&lt;&gt;"PRC_RESID","",IF(AN$7=2005+OFFSET(COM_N_2012!$B$60,$AW84,SUMIF($B$10:$B$16,"NCAP_TLIFE",$AX$10:$AX$16)),0,""))</f>
        <v/>
      </c>
      <c r="AO84" s="369" t="str">
        <f ca="1">IF($B84&lt;&gt;"PRC_RESID","",IF(AO$7=2005+OFFSET(COM_N_2012!$B$60,$AW84,SUMIF($B$10:$B$16,"NCAP_TLIFE",$AX$10:$AX$16)),0,""))</f>
        <v/>
      </c>
      <c r="AP84" s="369" t="str">
        <f ca="1">IF($B84&lt;&gt;"PRC_RESID","",IF(AP$7=2005+OFFSET(COM_N_2012!$B$60,$AW84,SUMIF($B$10:$B$16,"NCAP_TLIFE",$AX$10:$AX$16)),0,""))</f>
        <v/>
      </c>
      <c r="AQ84" s="369" t="str">
        <f ca="1">IF($B84&lt;&gt;"PRC_RESID","",IF(AQ$7=2005+OFFSET(COM_N_2012!$B$60,$AW84,SUMIF($B$10:$B$16,"NCAP_TLIFE",$AX$10:$AX$16)),0,""))</f>
        <v/>
      </c>
      <c r="AR84" s="369" t="str">
        <f ca="1">IF($B84&lt;&gt;"PRC_RESID","",IF(AR$7=2005+OFFSET(COM_N_2012!$B$60,$AW84,SUMIF($B$10:$B$16,"NCAP_TLIFE",$AX$10:$AX$16)),0,""))</f>
        <v/>
      </c>
      <c r="AS84" s="369" t="str">
        <f ca="1">IF($B84&lt;&gt;"PRC_RESID","",IF(AS$7=2005+OFFSET(COM_N_2012!$B$60,$AW84,SUMIF($B$10:$B$16,"NCAP_TLIFE",$AX$10:$AX$16)),0,""))</f>
        <v/>
      </c>
      <c r="AT84" s="369" t="str">
        <f ca="1">IF($B84&lt;&gt;"PRC_RESID","",IF(AT$7=2005+OFFSET(COM_N_2012!$B$60,$AW84,SUMIF($B$10:$B$16,"NCAP_TLIFE",$AX$10:$AX$16)),0,""))</f>
        <v/>
      </c>
      <c r="AU84" s="369" t="str">
        <f ca="1">IF($B84&lt;&gt;"PRC_RESID","",IF(AU$7=2005+OFFSET(COM_N_2012!$B$60,$AW84,SUMIF($B$10:$B$16,"NCAP_TLIFE",$AX$10:$AX$16)),0,""))</f>
        <v/>
      </c>
      <c r="AV84" s="304">
        <f>IF(AW83=COM_N_2012!$AK$121,AV83+1,AV83)</f>
        <v>2</v>
      </c>
      <c r="AW84" s="304">
        <f t="shared" si="12"/>
        <v>6</v>
      </c>
    </row>
    <row r="85" spans="1:49">
      <c r="A85" s="304" t="str">
        <f ca="1">IF(LEFT(OFFSET(COM_N_2012!$A$60,AW85,0),2)="\I","*","")</f>
        <v>*</v>
      </c>
      <c r="B85" s="369" t="str">
        <f t="shared" ca="1" si="11"/>
        <v/>
      </c>
      <c r="C85" s="369" t="str">
        <f ca="1">IF($A85="*","",OFFSET(COM_N_2012!$B$60,AW85,0))</f>
        <v/>
      </c>
      <c r="D85" s="369" t="str">
        <f t="shared" ca="1" si="10"/>
        <v/>
      </c>
      <c r="E85" s="369" t="str">
        <f t="shared" ca="1" si="10"/>
        <v/>
      </c>
      <c r="F85" s="369" t="str">
        <f t="shared" ca="1" si="10"/>
        <v/>
      </c>
      <c r="G85" s="369" t="str">
        <f t="shared" ca="1" si="10"/>
        <v/>
      </c>
      <c r="H85" s="369" t="str">
        <f t="shared" ca="1" si="10"/>
        <v/>
      </c>
      <c r="I85" s="370" t="str">
        <f t="shared" ca="1" si="10"/>
        <v/>
      </c>
      <c r="J85" s="391" t="str">
        <f ca="1">IF($A85="*","",OFFSET(COM_N_2012!$B$60,AW85,SUMIF($B$10:$B$16,B85,$AX$10:$AX$16)))</f>
        <v/>
      </c>
      <c r="K85" s="369" t="str">
        <f ca="1">IF($B85&lt;&gt;"PRC_RESID","",IF(K$7=2005+OFFSET(COM_N_2012!$B$60,$AW85,SUMIF($B$10:$B$16,"NCAP_TLIFE",$AX$10:$AX$16)),0,""))</f>
        <v/>
      </c>
      <c r="L85" s="369" t="str">
        <f ca="1">IF($B85&lt;&gt;"PRC_RESID","",IF(L$7=2005+OFFSET(COM_N_2012!$B$60,$AW85,SUMIF($B$10:$B$16,"NCAP_TLIFE",$AX$10:$AX$16)),0,""))</f>
        <v/>
      </c>
      <c r="M85" s="369" t="str">
        <f ca="1">IF($B85&lt;&gt;"PRC_RESID","",IF(M$7=2005+OFFSET(COM_N_2012!$B$60,$AW85,SUMIF($B$10:$B$16,"NCAP_TLIFE",$AX$10:$AX$16)),0,""))</f>
        <v/>
      </c>
      <c r="N85" s="369" t="str">
        <f ca="1">IF($B85&lt;&gt;"PRC_RESID","",IF(N$7=2005+OFFSET(COM_N_2012!$B$60,$AW85,SUMIF($B$10:$B$16,"NCAP_TLIFE",$AX$10:$AX$16)),0,""))</f>
        <v/>
      </c>
      <c r="O85" s="369" t="str">
        <f ca="1">IF($B85&lt;&gt;"PRC_RESID","",IF(O$7=2005+OFFSET(COM_N_2012!$B$60,$AW85,SUMIF($B$10:$B$16,"NCAP_TLIFE",$AX$10:$AX$16)),0,""))</f>
        <v/>
      </c>
      <c r="P85" s="369" t="str">
        <f ca="1">IF($B85&lt;&gt;"PRC_RESID","",IF(P$7=2005+OFFSET(COM_N_2012!$B$60,$AW85,SUMIF($B$10:$B$16,"NCAP_TLIFE",$AX$10:$AX$16)),0,""))</f>
        <v/>
      </c>
      <c r="Q85" s="369" t="str">
        <f ca="1">IF($B85&lt;&gt;"PRC_RESID","",IF(Q$7=2005+OFFSET(COM_N_2012!$B$60,$AW85,SUMIF($B$10:$B$16,"NCAP_TLIFE",$AX$10:$AX$16)),0,""))</f>
        <v/>
      </c>
      <c r="R85" s="369" t="str">
        <f ca="1">IF($B85&lt;&gt;"PRC_RESID","",IF(R$7=2005+OFFSET(COM_N_2012!$B$60,$AW85,SUMIF($B$10:$B$16,"NCAP_TLIFE",$AX$10:$AX$16)),0,""))</f>
        <v/>
      </c>
      <c r="S85" s="369" t="str">
        <f ca="1">IF($B85&lt;&gt;"PRC_RESID","",IF(S$7=2005+OFFSET(COM_N_2012!$B$60,$AW85,SUMIF($B$10:$B$16,"NCAP_TLIFE",$AX$10:$AX$16)),0,""))</f>
        <v/>
      </c>
      <c r="T85" s="369" t="str">
        <f ca="1">IF($B85&lt;&gt;"PRC_RESID","",IF(T$7=2005+OFFSET(COM_N_2012!$B$60,$AW85,SUMIF($B$10:$B$16,"NCAP_TLIFE",$AX$10:$AX$16)),0,""))</f>
        <v/>
      </c>
      <c r="U85" s="369" t="str">
        <f ca="1">IF($B85&lt;&gt;"PRC_RESID","",IF(U$7=2005+OFFSET(COM_N_2012!$B$60,$AW85,SUMIF($B$10:$B$16,"NCAP_TLIFE",$AX$10:$AX$16)),0,""))</f>
        <v/>
      </c>
      <c r="V85" s="369" t="str">
        <f ca="1">IF($B85&lt;&gt;"PRC_RESID","",IF(V$7=2005+OFFSET(COM_N_2012!$B$60,$AW85,SUMIF($B$10:$B$16,"NCAP_TLIFE",$AX$10:$AX$16)),0,""))</f>
        <v/>
      </c>
      <c r="W85" s="369" t="str">
        <f ca="1">IF($B85&lt;&gt;"PRC_RESID","",IF(W$7=2005+OFFSET(COM_N_2012!$B$60,$AW85,SUMIF($B$10:$B$16,"NCAP_TLIFE",$AX$10:$AX$16)),0,""))</f>
        <v/>
      </c>
      <c r="X85" s="369" t="str">
        <f ca="1">IF($B85&lt;&gt;"PRC_RESID","",IF(X$7=2005+OFFSET(COM_N_2012!$B$60,$AW85,SUMIF($B$10:$B$16,"NCAP_TLIFE",$AX$10:$AX$16)),0,""))</f>
        <v/>
      </c>
      <c r="Y85" s="369" t="str">
        <f ca="1">IF($B85&lt;&gt;"PRC_RESID","",IF(Y$7=2005+OFFSET(COM_N_2012!$B$60,$AW85,SUMIF($B$10:$B$16,"NCAP_TLIFE",$AX$10:$AX$16)),0,""))</f>
        <v/>
      </c>
      <c r="Z85" s="369" t="str">
        <f ca="1">IF($B85&lt;&gt;"PRC_RESID","",IF(Z$7=2005+OFFSET(COM_N_2012!$B$60,$AW85,SUMIF($B$10:$B$16,"NCAP_TLIFE",$AX$10:$AX$16)),0,""))</f>
        <v/>
      </c>
      <c r="AA85" s="369" t="str">
        <f ca="1">IF($B85&lt;&gt;"PRC_RESID","",IF(AA$7=2005+OFFSET(COM_N_2012!$B$60,$AW85,SUMIF($B$10:$B$16,"NCAP_TLIFE",$AX$10:$AX$16)),0,""))</f>
        <v/>
      </c>
      <c r="AB85" s="369" t="str">
        <f ca="1">IF($B85&lt;&gt;"PRC_RESID","",IF(AB$7=2005+OFFSET(COM_N_2012!$B$60,$AW85,SUMIF($B$10:$B$16,"NCAP_TLIFE",$AX$10:$AX$16)),0,""))</f>
        <v/>
      </c>
      <c r="AC85" s="369" t="str">
        <f ca="1">IF($B85&lt;&gt;"PRC_RESID","",IF(AC$7=2005+OFFSET(COM_N_2012!$B$60,$AW85,SUMIF($B$10:$B$16,"NCAP_TLIFE",$AX$10:$AX$16)),0,""))</f>
        <v/>
      </c>
      <c r="AD85" s="369" t="str">
        <f ca="1">IF($B85&lt;&gt;"PRC_RESID","",IF(AD$7=2005+OFFSET(COM_N_2012!$B$60,$AW85,SUMIF($B$10:$B$16,"NCAP_TLIFE",$AX$10:$AX$16)),0,""))</f>
        <v/>
      </c>
      <c r="AE85" s="369" t="str">
        <f ca="1">IF($B85&lt;&gt;"PRC_RESID","",IF(AE$7=2005+OFFSET(COM_N_2012!$B$60,$AW85,SUMIF($B$10:$B$16,"NCAP_TLIFE",$AX$10:$AX$16)),0,""))</f>
        <v/>
      </c>
      <c r="AF85" s="369" t="str">
        <f ca="1">IF($B85&lt;&gt;"PRC_RESID","",IF(AF$7=2005+OFFSET(COM_N_2012!$B$60,$AW85,SUMIF($B$10:$B$16,"NCAP_TLIFE",$AX$10:$AX$16)),0,""))</f>
        <v/>
      </c>
      <c r="AG85" s="369" t="str">
        <f ca="1">IF($B85&lt;&gt;"PRC_RESID","",IF(AG$7=2005+OFFSET(COM_N_2012!$B$60,$AW85,SUMIF($B$10:$B$16,"NCAP_TLIFE",$AX$10:$AX$16)),0,""))</f>
        <v/>
      </c>
      <c r="AH85" s="369" t="str">
        <f ca="1">IF($B85&lt;&gt;"PRC_RESID","",IF(AH$7=2005+OFFSET(COM_N_2012!$B$60,$AW85,SUMIF($B$10:$B$16,"NCAP_TLIFE",$AX$10:$AX$16)),0,""))</f>
        <v/>
      </c>
      <c r="AI85" s="369" t="str">
        <f ca="1">IF($B85&lt;&gt;"PRC_RESID","",IF(AI$7=2005+OFFSET(COM_N_2012!$B$60,$AW85,SUMIF($B$10:$B$16,"NCAP_TLIFE",$AX$10:$AX$16)),0,""))</f>
        <v/>
      </c>
      <c r="AJ85" s="369" t="str">
        <f ca="1">IF($B85&lt;&gt;"PRC_RESID","",IF(AJ$7=2005+OFFSET(COM_N_2012!$B$60,$AW85,SUMIF($B$10:$B$16,"NCAP_TLIFE",$AX$10:$AX$16)),0,""))</f>
        <v/>
      </c>
      <c r="AK85" s="369" t="str">
        <f ca="1">IF($B85&lt;&gt;"PRC_RESID","",IF(AK$7=2005+OFFSET(COM_N_2012!$B$60,$AW85,SUMIF($B$10:$B$16,"NCAP_TLIFE",$AX$10:$AX$16)),0,""))</f>
        <v/>
      </c>
      <c r="AL85" s="369" t="str">
        <f ca="1">IF($B85&lt;&gt;"PRC_RESID","",IF(AL$7=2005+OFFSET(COM_N_2012!$B$60,$AW85,SUMIF($B$10:$B$16,"NCAP_TLIFE",$AX$10:$AX$16)),0,""))</f>
        <v/>
      </c>
      <c r="AM85" s="369" t="str">
        <f ca="1">IF($B85&lt;&gt;"PRC_RESID","",IF(AM$7=2005+OFFSET(COM_N_2012!$B$60,$AW85,SUMIF($B$10:$B$16,"NCAP_TLIFE",$AX$10:$AX$16)),0,""))</f>
        <v/>
      </c>
      <c r="AN85" s="369" t="str">
        <f ca="1">IF($B85&lt;&gt;"PRC_RESID","",IF(AN$7=2005+OFFSET(COM_N_2012!$B$60,$AW85,SUMIF($B$10:$B$16,"NCAP_TLIFE",$AX$10:$AX$16)),0,""))</f>
        <v/>
      </c>
      <c r="AO85" s="369" t="str">
        <f ca="1">IF($B85&lt;&gt;"PRC_RESID","",IF(AO$7=2005+OFFSET(COM_N_2012!$B$60,$AW85,SUMIF($B$10:$B$16,"NCAP_TLIFE",$AX$10:$AX$16)),0,""))</f>
        <v/>
      </c>
      <c r="AP85" s="369" t="str">
        <f ca="1">IF($B85&lt;&gt;"PRC_RESID","",IF(AP$7=2005+OFFSET(COM_N_2012!$B$60,$AW85,SUMIF($B$10:$B$16,"NCAP_TLIFE",$AX$10:$AX$16)),0,""))</f>
        <v/>
      </c>
      <c r="AQ85" s="369" t="str">
        <f ca="1">IF($B85&lt;&gt;"PRC_RESID","",IF(AQ$7=2005+OFFSET(COM_N_2012!$B$60,$AW85,SUMIF($B$10:$B$16,"NCAP_TLIFE",$AX$10:$AX$16)),0,""))</f>
        <v/>
      </c>
      <c r="AR85" s="369" t="str">
        <f ca="1">IF($B85&lt;&gt;"PRC_RESID","",IF(AR$7=2005+OFFSET(COM_N_2012!$B$60,$AW85,SUMIF($B$10:$B$16,"NCAP_TLIFE",$AX$10:$AX$16)),0,""))</f>
        <v/>
      </c>
      <c r="AS85" s="369" t="str">
        <f ca="1">IF($B85&lt;&gt;"PRC_RESID","",IF(AS$7=2005+OFFSET(COM_N_2012!$B$60,$AW85,SUMIF($B$10:$B$16,"NCAP_TLIFE",$AX$10:$AX$16)),0,""))</f>
        <v/>
      </c>
      <c r="AT85" s="369" t="str">
        <f ca="1">IF($B85&lt;&gt;"PRC_RESID","",IF(AT$7=2005+OFFSET(COM_N_2012!$B$60,$AW85,SUMIF($B$10:$B$16,"NCAP_TLIFE",$AX$10:$AX$16)),0,""))</f>
        <v/>
      </c>
      <c r="AU85" s="369" t="str">
        <f ca="1">IF($B85&lt;&gt;"PRC_RESID","",IF(AU$7=2005+OFFSET(COM_N_2012!$B$60,$AW85,SUMIF($B$10:$B$16,"NCAP_TLIFE",$AX$10:$AX$16)),0,""))</f>
        <v/>
      </c>
      <c r="AV85" s="304">
        <f>IF(AW84=COM_N_2012!$AK$121,AV84+1,AV84)</f>
        <v>2</v>
      </c>
      <c r="AW85" s="304">
        <f t="shared" si="12"/>
        <v>7</v>
      </c>
    </row>
    <row r="86" spans="1:49">
      <c r="A86" s="304" t="str">
        <f ca="1">IF(LEFT(OFFSET(COM_N_2012!$A$60,AW86,0),2)="\I","*","")</f>
        <v>*</v>
      </c>
      <c r="B86" s="369" t="str">
        <f t="shared" ca="1" si="11"/>
        <v/>
      </c>
      <c r="C86" s="369" t="str">
        <f ca="1">IF($A86="*","",OFFSET(COM_N_2012!$B$60,AW86,0))</f>
        <v/>
      </c>
      <c r="D86" s="369" t="str">
        <f t="shared" ca="1" si="10"/>
        <v/>
      </c>
      <c r="E86" s="369" t="str">
        <f t="shared" ca="1" si="10"/>
        <v/>
      </c>
      <c r="F86" s="369" t="str">
        <f t="shared" ca="1" si="10"/>
        <v/>
      </c>
      <c r="G86" s="369" t="str">
        <f t="shared" ca="1" si="10"/>
        <v/>
      </c>
      <c r="H86" s="369" t="str">
        <f t="shared" ca="1" si="10"/>
        <v/>
      </c>
      <c r="I86" s="370" t="str">
        <f t="shared" ca="1" si="10"/>
        <v/>
      </c>
      <c r="J86" s="391" t="str">
        <f ca="1">IF($A86="*","",OFFSET(COM_N_2012!$B$60,AW86,SUMIF($B$10:$B$16,B86,$AX$10:$AX$16)))</f>
        <v/>
      </c>
      <c r="K86" s="369" t="str">
        <f ca="1">IF($B86&lt;&gt;"PRC_RESID","",IF(K$7=2005+OFFSET(COM_N_2012!$B$60,$AW86,SUMIF($B$10:$B$16,"NCAP_TLIFE",$AX$10:$AX$16)),0,""))</f>
        <v/>
      </c>
      <c r="L86" s="369" t="str">
        <f ca="1">IF($B86&lt;&gt;"PRC_RESID","",IF(L$7=2005+OFFSET(COM_N_2012!$B$60,$AW86,SUMIF($B$10:$B$16,"NCAP_TLIFE",$AX$10:$AX$16)),0,""))</f>
        <v/>
      </c>
      <c r="M86" s="369" t="str">
        <f ca="1">IF($B86&lt;&gt;"PRC_RESID","",IF(M$7=2005+OFFSET(COM_N_2012!$B$60,$AW86,SUMIF($B$10:$B$16,"NCAP_TLIFE",$AX$10:$AX$16)),0,""))</f>
        <v/>
      </c>
      <c r="N86" s="369" t="str">
        <f ca="1">IF($B86&lt;&gt;"PRC_RESID","",IF(N$7=2005+OFFSET(COM_N_2012!$B$60,$AW86,SUMIF($B$10:$B$16,"NCAP_TLIFE",$AX$10:$AX$16)),0,""))</f>
        <v/>
      </c>
      <c r="O86" s="369" t="str">
        <f ca="1">IF($B86&lt;&gt;"PRC_RESID","",IF(O$7=2005+OFFSET(COM_N_2012!$B$60,$AW86,SUMIF($B$10:$B$16,"NCAP_TLIFE",$AX$10:$AX$16)),0,""))</f>
        <v/>
      </c>
      <c r="P86" s="369" t="str">
        <f ca="1">IF($B86&lt;&gt;"PRC_RESID","",IF(P$7=2005+OFFSET(COM_N_2012!$B$60,$AW86,SUMIF($B$10:$B$16,"NCAP_TLIFE",$AX$10:$AX$16)),0,""))</f>
        <v/>
      </c>
      <c r="Q86" s="369" t="str">
        <f ca="1">IF($B86&lt;&gt;"PRC_RESID","",IF(Q$7=2005+OFFSET(COM_N_2012!$B$60,$AW86,SUMIF($B$10:$B$16,"NCAP_TLIFE",$AX$10:$AX$16)),0,""))</f>
        <v/>
      </c>
      <c r="R86" s="369" t="str">
        <f ca="1">IF($B86&lt;&gt;"PRC_RESID","",IF(R$7=2005+OFFSET(COM_N_2012!$B$60,$AW86,SUMIF($B$10:$B$16,"NCAP_TLIFE",$AX$10:$AX$16)),0,""))</f>
        <v/>
      </c>
      <c r="S86" s="369" t="str">
        <f ca="1">IF($B86&lt;&gt;"PRC_RESID","",IF(S$7=2005+OFFSET(COM_N_2012!$B$60,$AW86,SUMIF($B$10:$B$16,"NCAP_TLIFE",$AX$10:$AX$16)),0,""))</f>
        <v/>
      </c>
      <c r="T86" s="369" t="str">
        <f ca="1">IF($B86&lt;&gt;"PRC_RESID","",IF(T$7=2005+OFFSET(COM_N_2012!$B$60,$AW86,SUMIF($B$10:$B$16,"NCAP_TLIFE",$AX$10:$AX$16)),0,""))</f>
        <v/>
      </c>
      <c r="U86" s="369" t="str">
        <f ca="1">IF($B86&lt;&gt;"PRC_RESID","",IF(U$7=2005+OFFSET(COM_N_2012!$B$60,$AW86,SUMIF($B$10:$B$16,"NCAP_TLIFE",$AX$10:$AX$16)),0,""))</f>
        <v/>
      </c>
      <c r="V86" s="369" t="str">
        <f ca="1">IF($B86&lt;&gt;"PRC_RESID","",IF(V$7=2005+OFFSET(COM_N_2012!$B$60,$AW86,SUMIF($B$10:$B$16,"NCAP_TLIFE",$AX$10:$AX$16)),0,""))</f>
        <v/>
      </c>
      <c r="W86" s="369" t="str">
        <f ca="1">IF($B86&lt;&gt;"PRC_RESID","",IF(W$7=2005+OFFSET(COM_N_2012!$B$60,$AW86,SUMIF($B$10:$B$16,"NCAP_TLIFE",$AX$10:$AX$16)),0,""))</f>
        <v/>
      </c>
      <c r="X86" s="369" t="str">
        <f ca="1">IF($B86&lt;&gt;"PRC_RESID","",IF(X$7=2005+OFFSET(COM_N_2012!$B$60,$AW86,SUMIF($B$10:$B$16,"NCAP_TLIFE",$AX$10:$AX$16)),0,""))</f>
        <v/>
      </c>
      <c r="Y86" s="369" t="str">
        <f ca="1">IF($B86&lt;&gt;"PRC_RESID","",IF(Y$7=2005+OFFSET(COM_N_2012!$B$60,$AW86,SUMIF($B$10:$B$16,"NCAP_TLIFE",$AX$10:$AX$16)),0,""))</f>
        <v/>
      </c>
      <c r="Z86" s="369" t="str">
        <f ca="1">IF($B86&lt;&gt;"PRC_RESID","",IF(Z$7=2005+OFFSET(COM_N_2012!$B$60,$AW86,SUMIF($B$10:$B$16,"NCAP_TLIFE",$AX$10:$AX$16)),0,""))</f>
        <v/>
      </c>
      <c r="AA86" s="369" t="str">
        <f ca="1">IF($B86&lt;&gt;"PRC_RESID","",IF(AA$7=2005+OFFSET(COM_N_2012!$B$60,$AW86,SUMIF($B$10:$B$16,"NCAP_TLIFE",$AX$10:$AX$16)),0,""))</f>
        <v/>
      </c>
      <c r="AB86" s="369" t="str">
        <f ca="1">IF($B86&lt;&gt;"PRC_RESID","",IF(AB$7=2005+OFFSET(COM_N_2012!$B$60,$AW86,SUMIF($B$10:$B$16,"NCAP_TLIFE",$AX$10:$AX$16)),0,""))</f>
        <v/>
      </c>
      <c r="AC86" s="369" t="str">
        <f ca="1">IF($B86&lt;&gt;"PRC_RESID","",IF(AC$7=2005+OFFSET(COM_N_2012!$B$60,$AW86,SUMIF($B$10:$B$16,"NCAP_TLIFE",$AX$10:$AX$16)),0,""))</f>
        <v/>
      </c>
      <c r="AD86" s="369" t="str">
        <f ca="1">IF($B86&lt;&gt;"PRC_RESID","",IF(AD$7=2005+OFFSET(COM_N_2012!$B$60,$AW86,SUMIF($B$10:$B$16,"NCAP_TLIFE",$AX$10:$AX$16)),0,""))</f>
        <v/>
      </c>
      <c r="AE86" s="369" t="str">
        <f ca="1">IF($B86&lt;&gt;"PRC_RESID","",IF(AE$7=2005+OFFSET(COM_N_2012!$B$60,$AW86,SUMIF($B$10:$B$16,"NCAP_TLIFE",$AX$10:$AX$16)),0,""))</f>
        <v/>
      </c>
      <c r="AF86" s="369" t="str">
        <f ca="1">IF($B86&lt;&gt;"PRC_RESID","",IF(AF$7=2005+OFFSET(COM_N_2012!$B$60,$AW86,SUMIF($B$10:$B$16,"NCAP_TLIFE",$AX$10:$AX$16)),0,""))</f>
        <v/>
      </c>
      <c r="AG86" s="369" t="str">
        <f ca="1">IF($B86&lt;&gt;"PRC_RESID","",IF(AG$7=2005+OFFSET(COM_N_2012!$B$60,$AW86,SUMIF($B$10:$B$16,"NCAP_TLIFE",$AX$10:$AX$16)),0,""))</f>
        <v/>
      </c>
      <c r="AH86" s="369" t="str">
        <f ca="1">IF($B86&lt;&gt;"PRC_RESID","",IF(AH$7=2005+OFFSET(COM_N_2012!$B$60,$AW86,SUMIF($B$10:$B$16,"NCAP_TLIFE",$AX$10:$AX$16)),0,""))</f>
        <v/>
      </c>
      <c r="AI86" s="369" t="str">
        <f ca="1">IF($B86&lt;&gt;"PRC_RESID","",IF(AI$7=2005+OFFSET(COM_N_2012!$B$60,$AW86,SUMIF($B$10:$B$16,"NCAP_TLIFE",$AX$10:$AX$16)),0,""))</f>
        <v/>
      </c>
      <c r="AJ86" s="369" t="str">
        <f ca="1">IF($B86&lt;&gt;"PRC_RESID","",IF(AJ$7=2005+OFFSET(COM_N_2012!$B$60,$AW86,SUMIF($B$10:$B$16,"NCAP_TLIFE",$AX$10:$AX$16)),0,""))</f>
        <v/>
      </c>
      <c r="AK86" s="369" t="str">
        <f ca="1">IF($B86&lt;&gt;"PRC_RESID","",IF(AK$7=2005+OFFSET(COM_N_2012!$B$60,$AW86,SUMIF($B$10:$B$16,"NCAP_TLIFE",$AX$10:$AX$16)),0,""))</f>
        <v/>
      </c>
      <c r="AL86" s="369" t="str">
        <f ca="1">IF($B86&lt;&gt;"PRC_RESID","",IF(AL$7=2005+OFFSET(COM_N_2012!$B$60,$AW86,SUMIF($B$10:$B$16,"NCAP_TLIFE",$AX$10:$AX$16)),0,""))</f>
        <v/>
      </c>
      <c r="AM86" s="369" t="str">
        <f ca="1">IF($B86&lt;&gt;"PRC_RESID","",IF(AM$7=2005+OFFSET(COM_N_2012!$B$60,$AW86,SUMIF($B$10:$B$16,"NCAP_TLIFE",$AX$10:$AX$16)),0,""))</f>
        <v/>
      </c>
      <c r="AN86" s="369" t="str">
        <f ca="1">IF($B86&lt;&gt;"PRC_RESID","",IF(AN$7=2005+OFFSET(COM_N_2012!$B$60,$AW86,SUMIF($B$10:$B$16,"NCAP_TLIFE",$AX$10:$AX$16)),0,""))</f>
        <v/>
      </c>
      <c r="AO86" s="369" t="str">
        <f ca="1">IF($B86&lt;&gt;"PRC_RESID","",IF(AO$7=2005+OFFSET(COM_N_2012!$B$60,$AW86,SUMIF($B$10:$B$16,"NCAP_TLIFE",$AX$10:$AX$16)),0,""))</f>
        <v/>
      </c>
      <c r="AP86" s="369" t="str">
        <f ca="1">IF($B86&lt;&gt;"PRC_RESID","",IF(AP$7=2005+OFFSET(COM_N_2012!$B$60,$AW86,SUMIF($B$10:$B$16,"NCAP_TLIFE",$AX$10:$AX$16)),0,""))</f>
        <v/>
      </c>
      <c r="AQ86" s="369" t="str">
        <f ca="1">IF($B86&lt;&gt;"PRC_RESID","",IF(AQ$7=2005+OFFSET(COM_N_2012!$B$60,$AW86,SUMIF($B$10:$B$16,"NCAP_TLIFE",$AX$10:$AX$16)),0,""))</f>
        <v/>
      </c>
      <c r="AR86" s="369" t="str">
        <f ca="1">IF($B86&lt;&gt;"PRC_RESID","",IF(AR$7=2005+OFFSET(COM_N_2012!$B$60,$AW86,SUMIF($B$10:$B$16,"NCAP_TLIFE",$AX$10:$AX$16)),0,""))</f>
        <v/>
      </c>
      <c r="AS86" s="369" t="str">
        <f ca="1">IF($B86&lt;&gt;"PRC_RESID","",IF(AS$7=2005+OFFSET(COM_N_2012!$B$60,$AW86,SUMIF($B$10:$B$16,"NCAP_TLIFE",$AX$10:$AX$16)),0,""))</f>
        <v/>
      </c>
      <c r="AT86" s="369" t="str">
        <f ca="1">IF($B86&lt;&gt;"PRC_RESID","",IF(AT$7=2005+OFFSET(COM_N_2012!$B$60,$AW86,SUMIF($B$10:$B$16,"NCAP_TLIFE",$AX$10:$AX$16)),0,""))</f>
        <v/>
      </c>
      <c r="AU86" s="369" t="str">
        <f ca="1">IF($B86&lt;&gt;"PRC_RESID","",IF(AU$7=2005+OFFSET(COM_N_2012!$B$60,$AW86,SUMIF($B$10:$B$16,"NCAP_TLIFE",$AX$10:$AX$16)),0,""))</f>
        <v/>
      </c>
      <c r="AV86" s="304">
        <f>IF(AW85=COM_N_2012!$AK$121,AV85+1,AV85)</f>
        <v>2</v>
      </c>
      <c r="AW86" s="304">
        <f t="shared" si="12"/>
        <v>8</v>
      </c>
    </row>
    <row r="87" spans="1:49">
      <c r="A87" s="304" t="str">
        <f ca="1">IF(LEFT(OFFSET(COM_N_2012!$A$60,AW87,0),2)="\I","*","")</f>
        <v/>
      </c>
      <c r="B87" s="369" t="str">
        <f t="shared" ca="1" si="11"/>
        <v>NCAP_BND</v>
      </c>
      <c r="C87" s="369" t="str">
        <f ca="1">IF($A87="*","",OFFSET(COM_N_2012!$B$60,AW87,0))</f>
        <v>CNHCOA-E</v>
      </c>
      <c r="D87" s="369" t="str">
        <f t="shared" ca="1" si="10"/>
        <v>-</v>
      </c>
      <c r="E87" s="369" t="str">
        <f t="shared" ca="1" si="10"/>
        <v>-</v>
      </c>
      <c r="F87" s="369" t="str">
        <f t="shared" ca="1" si="10"/>
        <v>-</v>
      </c>
      <c r="G87" s="369" t="str">
        <f t="shared" ca="1" si="10"/>
        <v>-</v>
      </c>
      <c r="H87" s="369" t="str">
        <f t="shared" ca="1" si="10"/>
        <v>UP</v>
      </c>
      <c r="I87" s="370">
        <f t="shared" ca="1" si="10"/>
        <v>0</v>
      </c>
      <c r="J87" s="391">
        <f ca="1">IF($A87="*","",OFFSET(COM_N_2012!$B$60,AW87,SUMIF($B$10:$B$16,B87,$AX$10:$AX$16)))</f>
        <v>0</v>
      </c>
      <c r="K87" s="369" t="str">
        <f ca="1">IF($B87&lt;&gt;"PRC_RESID","",IF(K$7=2005+OFFSET(COM_N_2012!$B$60,$AW87,SUMIF($B$10:$B$16,"NCAP_TLIFE",$AX$10:$AX$16)),0,""))</f>
        <v/>
      </c>
      <c r="L87" s="369" t="str">
        <f ca="1">IF($B87&lt;&gt;"PRC_RESID","",IF(L$7=2005+OFFSET(COM_N_2012!$B$60,$AW87,SUMIF($B$10:$B$16,"NCAP_TLIFE",$AX$10:$AX$16)),0,""))</f>
        <v/>
      </c>
      <c r="M87" s="369" t="str">
        <f ca="1">IF($B87&lt;&gt;"PRC_RESID","",IF(M$7=2005+OFFSET(COM_N_2012!$B$60,$AW87,SUMIF($B$10:$B$16,"NCAP_TLIFE",$AX$10:$AX$16)),0,""))</f>
        <v/>
      </c>
      <c r="N87" s="369" t="str">
        <f ca="1">IF($B87&lt;&gt;"PRC_RESID","",IF(N$7=2005+OFFSET(COM_N_2012!$B$60,$AW87,SUMIF($B$10:$B$16,"NCAP_TLIFE",$AX$10:$AX$16)),0,""))</f>
        <v/>
      </c>
      <c r="O87" s="369" t="str">
        <f ca="1">IF($B87&lt;&gt;"PRC_RESID","",IF(O$7=2005+OFFSET(COM_N_2012!$B$60,$AW87,SUMIF($B$10:$B$16,"NCAP_TLIFE",$AX$10:$AX$16)),0,""))</f>
        <v/>
      </c>
      <c r="P87" s="369" t="str">
        <f ca="1">IF($B87&lt;&gt;"PRC_RESID","",IF(P$7=2005+OFFSET(COM_N_2012!$B$60,$AW87,SUMIF($B$10:$B$16,"NCAP_TLIFE",$AX$10:$AX$16)),0,""))</f>
        <v/>
      </c>
      <c r="Q87" s="369" t="str">
        <f ca="1">IF($B87&lt;&gt;"PRC_RESID","",IF(Q$7=2005+OFFSET(COM_N_2012!$B$60,$AW87,SUMIF($B$10:$B$16,"NCAP_TLIFE",$AX$10:$AX$16)),0,""))</f>
        <v/>
      </c>
      <c r="R87" s="369" t="str">
        <f ca="1">IF($B87&lt;&gt;"PRC_RESID","",IF(R$7=2005+OFFSET(COM_N_2012!$B$60,$AW87,SUMIF($B$10:$B$16,"NCAP_TLIFE",$AX$10:$AX$16)),0,""))</f>
        <v/>
      </c>
      <c r="S87" s="369" t="str">
        <f ca="1">IF($B87&lt;&gt;"PRC_RESID","",IF(S$7=2005+OFFSET(COM_N_2012!$B$60,$AW87,SUMIF($B$10:$B$16,"NCAP_TLIFE",$AX$10:$AX$16)),0,""))</f>
        <v/>
      </c>
      <c r="T87" s="369" t="str">
        <f ca="1">IF($B87&lt;&gt;"PRC_RESID","",IF(T$7=2005+OFFSET(COM_N_2012!$B$60,$AW87,SUMIF($B$10:$B$16,"NCAP_TLIFE",$AX$10:$AX$16)),0,""))</f>
        <v/>
      </c>
      <c r="U87" s="369" t="str">
        <f ca="1">IF($B87&lt;&gt;"PRC_RESID","",IF(U$7=2005+OFFSET(COM_N_2012!$B$60,$AW87,SUMIF($B$10:$B$16,"NCAP_TLIFE",$AX$10:$AX$16)),0,""))</f>
        <v/>
      </c>
      <c r="V87" s="369" t="str">
        <f ca="1">IF($B87&lt;&gt;"PRC_RESID","",IF(V$7=2005+OFFSET(COM_N_2012!$B$60,$AW87,SUMIF($B$10:$B$16,"NCAP_TLIFE",$AX$10:$AX$16)),0,""))</f>
        <v/>
      </c>
      <c r="W87" s="369" t="str">
        <f ca="1">IF($B87&lt;&gt;"PRC_RESID","",IF(W$7=2005+OFFSET(COM_N_2012!$B$60,$AW87,SUMIF($B$10:$B$16,"NCAP_TLIFE",$AX$10:$AX$16)),0,""))</f>
        <v/>
      </c>
      <c r="X87" s="369" t="str">
        <f ca="1">IF($B87&lt;&gt;"PRC_RESID","",IF(X$7=2005+OFFSET(COM_N_2012!$B$60,$AW87,SUMIF($B$10:$B$16,"NCAP_TLIFE",$AX$10:$AX$16)),0,""))</f>
        <v/>
      </c>
      <c r="Y87" s="369" t="str">
        <f ca="1">IF($B87&lt;&gt;"PRC_RESID","",IF(Y$7=2005+OFFSET(COM_N_2012!$B$60,$AW87,SUMIF($B$10:$B$16,"NCAP_TLIFE",$AX$10:$AX$16)),0,""))</f>
        <v/>
      </c>
      <c r="Z87" s="369" t="str">
        <f ca="1">IF($B87&lt;&gt;"PRC_RESID","",IF(Z$7=2005+OFFSET(COM_N_2012!$B$60,$AW87,SUMIF($B$10:$B$16,"NCAP_TLIFE",$AX$10:$AX$16)),0,""))</f>
        <v/>
      </c>
      <c r="AA87" s="369" t="str">
        <f ca="1">IF($B87&lt;&gt;"PRC_RESID","",IF(AA$7=2005+OFFSET(COM_N_2012!$B$60,$AW87,SUMIF($B$10:$B$16,"NCAP_TLIFE",$AX$10:$AX$16)),0,""))</f>
        <v/>
      </c>
      <c r="AB87" s="369" t="str">
        <f ca="1">IF($B87&lt;&gt;"PRC_RESID","",IF(AB$7=2005+OFFSET(COM_N_2012!$B$60,$AW87,SUMIF($B$10:$B$16,"NCAP_TLIFE",$AX$10:$AX$16)),0,""))</f>
        <v/>
      </c>
      <c r="AC87" s="369" t="str">
        <f ca="1">IF($B87&lt;&gt;"PRC_RESID","",IF(AC$7=2005+OFFSET(COM_N_2012!$B$60,$AW87,SUMIF($B$10:$B$16,"NCAP_TLIFE",$AX$10:$AX$16)),0,""))</f>
        <v/>
      </c>
      <c r="AD87" s="369" t="str">
        <f ca="1">IF($B87&lt;&gt;"PRC_RESID","",IF(AD$7=2005+OFFSET(COM_N_2012!$B$60,$AW87,SUMIF($B$10:$B$16,"NCAP_TLIFE",$AX$10:$AX$16)),0,""))</f>
        <v/>
      </c>
      <c r="AE87" s="369" t="str">
        <f ca="1">IF($B87&lt;&gt;"PRC_RESID","",IF(AE$7=2005+OFFSET(COM_N_2012!$B$60,$AW87,SUMIF($B$10:$B$16,"NCAP_TLIFE",$AX$10:$AX$16)),0,""))</f>
        <v/>
      </c>
      <c r="AF87" s="369" t="str">
        <f ca="1">IF($B87&lt;&gt;"PRC_RESID","",IF(AF$7=2005+OFFSET(COM_N_2012!$B$60,$AW87,SUMIF($B$10:$B$16,"NCAP_TLIFE",$AX$10:$AX$16)),0,""))</f>
        <v/>
      </c>
      <c r="AG87" s="369" t="str">
        <f ca="1">IF($B87&lt;&gt;"PRC_RESID","",IF(AG$7=2005+OFFSET(COM_N_2012!$B$60,$AW87,SUMIF($B$10:$B$16,"NCAP_TLIFE",$AX$10:$AX$16)),0,""))</f>
        <v/>
      </c>
      <c r="AH87" s="369" t="str">
        <f ca="1">IF($B87&lt;&gt;"PRC_RESID","",IF(AH$7=2005+OFFSET(COM_N_2012!$B$60,$AW87,SUMIF($B$10:$B$16,"NCAP_TLIFE",$AX$10:$AX$16)),0,""))</f>
        <v/>
      </c>
      <c r="AI87" s="369" t="str">
        <f ca="1">IF($B87&lt;&gt;"PRC_RESID","",IF(AI$7=2005+OFFSET(COM_N_2012!$B$60,$AW87,SUMIF($B$10:$B$16,"NCAP_TLIFE",$AX$10:$AX$16)),0,""))</f>
        <v/>
      </c>
      <c r="AJ87" s="369" t="str">
        <f ca="1">IF($B87&lt;&gt;"PRC_RESID","",IF(AJ$7=2005+OFFSET(COM_N_2012!$B$60,$AW87,SUMIF($B$10:$B$16,"NCAP_TLIFE",$AX$10:$AX$16)),0,""))</f>
        <v/>
      </c>
      <c r="AK87" s="369" t="str">
        <f ca="1">IF($B87&lt;&gt;"PRC_RESID","",IF(AK$7=2005+OFFSET(COM_N_2012!$B$60,$AW87,SUMIF($B$10:$B$16,"NCAP_TLIFE",$AX$10:$AX$16)),0,""))</f>
        <v/>
      </c>
      <c r="AL87" s="369" t="str">
        <f ca="1">IF($B87&lt;&gt;"PRC_RESID","",IF(AL$7=2005+OFFSET(COM_N_2012!$B$60,$AW87,SUMIF($B$10:$B$16,"NCAP_TLIFE",$AX$10:$AX$16)),0,""))</f>
        <v/>
      </c>
      <c r="AM87" s="369" t="str">
        <f ca="1">IF($B87&lt;&gt;"PRC_RESID","",IF(AM$7=2005+OFFSET(COM_N_2012!$B$60,$AW87,SUMIF($B$10:$B$16,"NCAP_TLIFE",$AX$10:$AX$16)),0,""))</f>
        <v/>
      </c>
      <c r="AN87" s="369" t="str">
        <f ca="1">IF($B87&lt;&gt;"PRC_RESID","",IF(AN$7=2005+OFFSET(COM_N_2012!$B$60,$AW87,SUMIF($B$10:$B$16,"NCAP_TLIFE",$AX$10:$AX$16)),0,""))</f>
        <v/>
      </c>
      <c r="AO87" s="369" t="str">
        <f ca="1">IF($B87&lt;&gt;"PRC_RESID","",IF(AO$7=2005+OFFSET(COM_N_2012!$B$60,$AW87,SUMIF($B$10:$B$16,"NCAP_TLIFE",$AX$10:$AX$16)),0,""))</f>
        <v/>
      </c>
      <c r="AP87" s="369" t="str">
        <f ca="1">IF($B87&lt;&gt;"PRC_RESID","",IF(AP$7=2005+OFFSET(COM_N_2012!$B$60,$AW87,SUMIF($B$10:$B$16,"NCAP_TLIFE",$AX$10:$AX$16)),0,""))</f>
        <v/>
      </c>
      <c r="AQ87" s="369" t="str">
        <f ca="1">IF($B87&lt;&gt;"PRC_RESID","",IF(AQ$7=2005+OFFSET(COM_N_2012!$B$60,$AW87,SUMIF($B$10:$B$16,"NCAP_TLIFE",$AX$10:$AX$16)),0,""))</f>
        <v/>
      </c>
      <c r="AR87" s="369" t="str">
        <f ca="1">IF($B87&lt;&gt;"PRC_RESID","",IF(AR$7=2005+OFFSET(COM_N_2012!$B$60,$AW87,SUMIF($B$10:$B$16,"NCAP_TLIFE",$AX$10:$AX$16)),0,""))</f>
        <v/>
      </c>
      <c r="AS87" s="369" t="str">
        <f ca="1">IF($B87&lt;&gt;"PRC_RESID","",IF(AS$7=2005+OFFSET(COM_N_2012!$B$60,$AW87,SUMIF($B$10:$B$16,"NCAP_TLIFE",$AX$10:$AX$16)),0,""))</f>
        <v/>
      </c>
      <c r="AT87" s="369" t="str">
        <f ca="1">IF($B87&lt;&gt;"PRC_RESID","",IF(AT$7=2005+OFFSET(COM_N_2012!$B$60,$AW87,SUMIF($B$10:$B$16,"NCAP_TLIFE",$AX$10:$AX$16)),0,""))</f>
        <v/>
      </c>
      <c r="AU87" s="369" t="str">
        <f ca="1">IF($B87&lt;&gt;"PRC_RESID","",IF(AU$7=2005+OFFSET(COM_N_2012!$B$60,$AW87,SUMIF($B$10:$B$16,"NCAP_TLIFE",$AX$10:$AX$16)),0,""))</f>
        <v/>
      </c>
      <c r="AV87" s="304">
        <f>IF(AW86=COM_N_2012!$AK$121,AV86+1,AV86)</f>
        <v>2</v>
      </c>
      <c r="AW87" s="304">
        <f t="shared" si="12"/>
        <v>9</v>
      </c>
    </row>
    <row r="88" spans="1:49">
      <c r="A88" s="304" t="str">
        <f ca="1">IF(LEFT(OFFSET(COM_N_2012!$A$60,AW88,0),2)="\I","*","")</f>
        <v/>
      </c>
      <c r="B88" s="369" t="str">
        <f t="shared" ca="1" si="11"/>
        <v>NCAP_BND</v>
      </c>
      <c r="C88" s="369" t="str">
        <f ca="1">IF($A88="*","",OFFSET(COM_N_2012!$B$60,AW88,0))</f>
        <v>CNHELC-E</v>
      </c>
      <c r="D88" s="369" t="str">
        <f t="shared" ref="D88:I97" ca="1" si="13">IF($A88="*","",VLOOKUP($B88,$B$10:$I$16,D$9,FALSE))</f>
        <v>-</v>
      </c>
      <c r="E88" s="369" t="str">
        <f t="shared" ca="1" si="13"/>
        <v>-</v>
      </c>
      <c r="F88" s="369" t="str">
        <f t="shared" ca="1" si="13"/>
        <v>-</v>
      </c>
      <c r="G88" s="369" t="str">
        <f t="shared" ca="1" si="13"/>
        <v>-</v>
      </c>
      <c r="H88" s="369" t="str">
        <f t="shared" ca="1" si="13"/>
        <v>UP</v>
      </c>
      <c r="I88" s="370">
        <f t="shared" ca="1" si="13"/>
        <v>0</v>
      </c>
      <c r="J88" s="391">
        <f ca="1">IF($A88="*","",OFFSET(COM_N_2012!$B$60,AW88,SUMIF($B$10:$B$16,B88,$AX$10:$AX$16)))</f>
        <v>0</v>
      </c>
      <c r="K88" s="369" t="str">
        <f ca="1">IF($B88&lt;&gt;"PRC_RESID","",IF(K$7=2005+OFFSET(COM_N_2012!$B$60,$AW88,SUMIF($B$10:$B$16,"NCAP_TLIFE",$AX$10:$AX$16)),0,""))</f>
        <v/>
      </c>
      <c r="L88" s="369" t="str">
        <f ca="1">IF($B88&lt;&gt;"PRC_RESID","",IF(L$7=2005+OFFSET(COM_N_2012!$B$60,$AW88,SUMIF($B$10:$B$16,"NCAP_TLIFE",$AX$10:$AX$16)),0,""))</f>
        <v/>
      </c>
      <c r="M88" s="369" t="str">
        <f ca="1">IF($B88&lt;&gt;"PRC_RESID","",IF(M$7=2005+OFFSET(COM_N_2012!$B$60,$AW88,SUMIF($B$10:$B$16,"NCAP_TLIFE",$AX$10:$AX$16)),0,""))</f>
        <v/>
      </c>
      <c r="N88" s="369" t="str">
        <f ca="1">IF($B88&lt;&gt;"PRC_RESID","",IF(N$7=2005+OFFSET(COM_N_2012!$B$60,$AW88,SUMIF($B$10:$B$16,"NCAP_TLIFE",$AX$10:$AX$16)),0,""))</f>
        <v/>
      </c>
      <c r="O88" s="369" t="str">
        <f ca="1">IF($B88&lt;&gt;"PRC_RESID","",IF(O$7=2005+OFFSET(COM_N_2012!$B$60,$AW88,SUMIF($B$10:$B$16,"NCAP_TLIFE",$AX$10:$AX$16)),0,""))</f>
        <v/>
      </c>
      <c r="P88" s="369" t="str">
        <f ca="1">IF($B88&lt;&gt;"PRC_RESID","",IF(P$7=2005+OFFSET(COM_N_2012!$B$60,$AW88,SUMIF($B$10:$B$16,"NCAP_TLIFE",$AX$10:$AX$16)),0,""))</f>
        <v/>
      </c>
      <c r="Q88" s="369" t="str">
        <f ca="1">IF($B88&lt;&gt;"PRC_RESID","",IF(Q$7=2005+OFFSET(COM_N_2012!$B$60,$AW88,SUMIF($B$10:$B$16,"NCAP_TLIFE",$AX$10:$AX$16)),0,""))</f>
        <v/>
      </c>
      <c r="R88" s="369" t="str">
        <f ca="1">IF($B88&lt;&gt;"PRC_RESID","",IF(R$7=2005+OFFSET(COM_N_2012!$B$60,$AW88,SUMIF($B$10:$B$16,"NCAP_TLIFE",$AX$10:$AX$16)),0,""))</f>
        <v/>
      </c>
      <c r="S88" s="369" t="str">
        <f ca="1">IF($B88&lt;&gt;"PRC_RESID","",IF(S$7=2005+OFFSET(COM_N_2012!$B$60,$AW88,SUMIF($B$10:$B$16,"NCAP_TLIFE",$AX$10:$AX$16)),0,""))</f>
        <v/>
      </c>
      <c r="T88" s="369" t="str">
        <f ca="1">IF($B88&lt;&gt;"PRC_RESID","",IF(T$7=2005+OFFSET(COM_N_2012!$B$60,$AW88,SUMIF($B$10:$B$16,"NCAP_TLIFE",$AX$10:$AX$16)),0,""))</f>
        <v/>
      </c>
      <c r="U88" s="369" t="str">
        <f ca="1">IF($B88&lt;&gt;"PRC_RESID","",IF(U$7=2005+OFFSET(COM_N_2012!$B$60,$AW88,SUMIF($B$10:$B$16,"NCAP_TLIFE",$AX$10:$AX$16)),0,""))</f>
        <v/>
      </c>
      <c r="V88" s="369" t="str">
        <f ca="1">IF($B88&lt;&gt;"PRC_RESID","",IF(V$7=2005+OFFSET(COM_N_2012!$B$60,$AW88,SUMIF($B$10:$B$16,"NCAP_TLIFE",$AX$10:$AX$16)),0,""))</f>
        <v/>
      </c>
      <c r="W88" s="369" t="str">
        <f ca="1">IF($B88&lt;&gt;"PRC_RESID","",IF(W$7=2005+OFFSET(COM_N_2012!$B$60,$AW88,SUMIF($B$10:$B$16,"NCAP_TLIFE",$AX$10:$AX$16)),0,""))</f>
        <v/>
      </c>
      <c r="X88" s="369" t="str">
        <f ca="1">IF($B88&lt;&gt;"PRC_RESID","",IF(X$7=2005+OFFSET(COM_N_2012!$B$60,$AW88,SUMIF($B$10:$B$16,"NCAP_TLIFE",$AX$10:$AX$16)),0,""))</f>
        <v/>
      </c>
      <c r="Y88" s="369" t="str">
        <f ca="1">IF($B88&lt;&gt;"PRC_RESID","",IF(Y$7=2005+OFFSET(COM_N_2012!$B$60,$AW88,SUMIF($B$10:$B$16,"NCAP_TLIFE",$AX$10:$AX$16)),0,""))</f>
        <v/>
      </c>
      <c r="Z88" s="369" t="str">
        <f ca="1">IF($B88&lt;&gt;"PRC_RESID","",IF(Z$7=2005+OFFSET(COM_N_2012!$B$60,$AW88,SUMIF($B$10:$B$16,"NCAP_TLIFE",$AX$10:$AX$16)),0,""))</f>
        <v/>
      </c>
      <c r="AA88" s="369" t="str">
        <f ca="1">IF($B88&lt;&gt;"PRC_RESID","",IF(AA$7=2005+OFFSET(COM_N_2012!$B$60,$AW88,SUMIF($B$10:$B$16,"NCAP_TLIFE",$AX$10:$AX$16)),0,""))</f>
        <v/>
      </c>
      <c r="AB88" s="369" t="str">
        <f ca="1">IF($B88&lt;&gt;"PRC_RESID","",IF(AB$7=2005+OFFSET(COM_N_2012!$B$60,$AW88,SUMIF($B$10:$B$16,"NCAP_TLIFE",$AX$10:$AX$16)),0,""))</f>
        <v/>
      </c>
      <c r="AC88" s="369" t="str">
        <f ca="1">IF($B88&lt;&gt;"PRC_RESID","",IF(AC$7=2005+OFFSET(COM_N_2012!$B$60,$AW88,SUMIF($B$10:$B$16,"NCAP_TLIFE",$AX$10:$AX$16)),0,""))</f>
        <v/>
      </c>
      <c r="AD88" s="369" t="str">
        <f ca="1">IF($B88&lt;&gt;"PRC_RESID","",IF(AD$7=2005+OFFSET(COM_N_2012!$B$60,$AW88,SUMIF($B$10:$B$16,"NCAP_TLIFE",$AX$10:$AX$16)),0,""))</f>
        <v/>
      </c>
      <c r="AE88" s="369" t="str">
        <f ca="1">IF($B88&lt;&gt;"PRC_RESID","",IF(AE$7=2005+OFFSET(COM_N_2012!$B$60,$AW88,SUMIF($B$10:$B$16,"NCAP_TLIFE",$AX$10:$AX$16)),0,""))</f>
        <v/>
      </c>
      <c r="AF88" s="369" t="str">
        <f ca="1">IF($B88&lt;&gt;"PRC_RESID","",IF(AF$7=2005+OFFSET(COM_N_2012!$B$60,$AW88,SUMIF($B$10:$B$16,"NCAP_TLIFE",$AX$10:$AX$16)),0,""))</f>
        <v/>
      </c>
      <c r="AG88" s="369" t="str">
        <f ca="1">IF($B88&lt;&gt;"PRC_RESID","",IF(AG$7=2005+OFFSET(COM_N_2012!$B$60,$AW88,SUMIF($B$10:$B$16,"NCAP_TLIFE",$AX$10:$AX$16)),0,""))</f>
        <v/>
      </c>
      <c r="AH88" s="369" t="str">
        <f ca="1">IF($B88&lt;&gt;"PRC_RESID","",IF(AH$7=2005+OFFSET(COM_N_2012!$B$60,$AW88,SUMIF($B$10:$B$16,"NCAP_TLIFE",$AX$10:$AX$16)),0,""))</f>
        <v/>
      </c>
      <c r="AI88" s="369" t="str">
        <f ca="1">IF($B88&lt;&gt;"PRC_RESID","",IF(AI$7=2005+OFFSET(COM_N_2012!$B$60,$AW88,SUMIF($B$10:$B$16,"NCAP_TLIFE",$AX$10:$AX$16)),0,""))</f>
        <v/>
      </c>
      <c r="AJ88" s="369" t="str">
        <f ca="1">IF($B88&lt;&gt;"PRC_RESID","",IF(AJ$7=2005+OFFSET(COM_N_2012!$B$60,$AW88,SUMIF($B$10:$B$16,"NCAP_TLIFE",$AX$10:$AX$16)),0,""))</f>
        <v/>
      </c>
      <c r="AK88" s="369" t="str">
        <f ca="1">IF($B88&lt;&gt;"PRC_RESID","",IF(AK$7=2005+OFFSET(COM_N_2012!$B$60,$AW88,SUMIF($B$10:$B$16,"NCAP_TLIFE",$AX$10:$AX$16)),0,""))</f>
        <v/>
      </c>
      <c r="AL88" s="369" t="str">
        <f ca="1">IF($B88&lt;&gt;"PRC_RESID","",IF(AL$7=2005+OFFSET(COM_N_2012!$B$60,$AW88,SUMIF($B$10:$B$16,"NCAP_TLIFE",$AX$10:$AX$16)),0,""))</f>
        <v/>
      </c>
      <c r="AM88" s="369" t="str">
        <f ca="1">IF($B88&lt;&gt;"PRC_RESID","",IF(AM$7=2005+OFFSET(COM_N_2012!$B$60,$AW88,SUMIF($B$10:$B$16,"NCAP_TLIFE",$AX$10:$AX$16)),0,""))</f>
        <v/>
      </c>
      <c r="AN88" s="369" t="str">
        <f ca="1">IF($B88&lt;&gt;"PRC_RESID","",IF(AN$7=2005+OFFSET(COM_N_2012!$B$60,$AW88,SUMIF($B$10:$B$16,"NCAP_TLIFE",$AX$10:$AX$16)),0,""))</f>
        <v/>
      </c>
      <c r="AO88" s="369" t="str">
        <f ca="1">IF($B88&lt;&gt;"PRC_RESID","",IF(AO$7=2005+OFFSET(COM_N_2012!$B$60,$AW88,SUMIF($B$10:$B$16,"NCAP_TLIFE",$AX$10:$AX$16)),0,""))</f>
        <v/>
      </c>
      <c r="AP88" s="369" t="str">
        <f ca="1">IF($B88&lt;&gt;"PRC_RESID","",IF(AP$7=2005+OFFSET(COM_N_2012!$B$60,$AW88,SUMIF($B$10:$B$16,"NCAP_TLIFE",$AX$10:$AX$16)),0,""))</f>
        <v/>
      </c>
      <c r="AQ88" s="369" t="str">
        <f ca="1">IF($B88&lt;&gt;"PRC_RESID","",IF(AQ$7=2005+OFFSET(COM_N_2012!$B$60,$AW88,SUMIF($B$10:$B$16,"NCAP_TLIFE",$AX$10:$AX$16)),0,""))</f>
        <v/>
      </c>
      <c r="AR88" s="369" t="str">
        <f ca="1">IF($B88&lt;&gt;"PRC_RESID","",IF(AR$7=2005+OFFSET(COM_N_2012!$B$60,$AW88,SUMIF($B$10:$B$16,"NCAP_TLIFE",$AX$10:$AX$16)),0,""))</f>
        <v/>
      </c>
      <c r="AS88" s="369" t="str">
        <f ca="1">IF($B88&lt;&gt;"PRC_RESID","",IF(AS$7=2005+OFFSET(COM_N_2012!$B$60,$AW88,SUMIF($B$10:$B$16,"NCAP_TLIFE",$AX$10:$AX$16)),0,""))</f>
        <v/>
      </c>
      <c r="AT88" s="369" t="str">
        <f ca="1">IF($B88&lt;&gt;"PRC_RESID","",IF(AT$7=2005+OFFSET(COM_N_2012!$B$60,$AW88,SUMIF($B$10:$B$16,"NCAP_TLIFE",$AX$10:$AX$16)),0,""))</f>
        <v/>
      </c>
      <c r="AU88" s="369" t="str">
        <f ca="1">IF($B88&lt;&gt;"PRC_RESID","",IF(AU$7=2005+OFFSET(COM_N_2012!$B$60,$AW88,SUMIF($B$10:$B$16,"NCAP_TLIFE",$AX$10:$AX$16)),0,""))</f>
        <v/>
      </c>
      <c r="AV88" s="304">
        <f>IF(AW87=COM_N_2012!$AK$121,AV87+1,AV87)</f>
        <v>2</v>
      </c>
      <c r="AW88" s="304">
        <f t="shared" si="12"/>
        <v>10</v>
      </c>
    </row>
    <row r="89" spans="1:49">
      <c r="A89" s="304" t="str">
        <f ca="1">IF(LEFT(OFFSET(COM_N_2012!$A$60,AW89,0),2)="\I","*","")</f>
        <v/>
      </c>
      <c r="B89" s="369" t="str">
        <f t="shared" ca="1" si="11"/>
        <v>NCAP_BND</v>
      </c>
      <c r="C89" s="369" t="str">
        <f ca="1">IF($A89="*","",OFFSET(COM_N_2012!$B$60,AW89,0))</f>
        <v>CNHGAS-E</v>
      </c>
      <c r="D89" s="369" t="str">
        <f t="shared" ca="1" si="13"/>
        <v>-</v>
      </c>
      <c r="E89" s="369" t="str">
        <f t="shared" ca="1" si="13"/>
        <v>-</v>
      </c>
      <c r="F89" s="369" t="str">
        <f t="shared" ca="1" si="13"/>
        <v>-</v>
      </c>
      <c r="G89" s="369" t="str">
        <f t="shared" ca="1" si="13"/>
        <v>-</v>
      </c>
      <c r="H89" s="369" t="str">
        <f t="shared" ca="1" si="13"/>
        <v>UP</v>
      </c>
      <c r="I89" s="370">
        <f t="shared" ca="1" si="13"/>
        <v>0</v>
      </c>
      <c r="J89" s="391">
        <f ca="1">IF($A89="*","",OFFSET(COM_N_2012!$B$60,AW89,SUMIF($B$10:$B$16,B89,$AX$10:$AX$16)))</f>
        <v>0</v>
      </c>
      <c r="K89" s="369" t="str">
        <f ca="1">IF($B89&lt;&gt;"PRC_RESID","",IF(K$7=2005+OFFSET(COM_N_2012!$B$60,$AW89,SUMIF($B$10:$B$16,"NCAP_TLIFE",$AX$10:$AX$16)),0,""))</f>
        <v/>
      </c>
      <c r="L89" s="369" t="str">
        <f ca="1">IF($B89&lt;&gt;"PRC_RESID","",IF(L$7=2005+OFFSET(COM_N_2012!$B$60,$AW89,SUMIF($B$10:$B$16,"NCAP_TLIFE",$AX$10:$AX$16)),0,""))</f>
        <v/>
      </c>
      <c r="M89" s="369" t="str">
        <f ca="1">IF($B89&lt;&gt;"PRC_RESID","",IF(M$7=2005+OFFSET(COM_N_2012!$B$60,$AW89,SUMIF($B$10:$B$16,"NCAP_TLIFE",$AX$10:$AX$16)),0,""))</f>
        <v/>
      </c>
      <c r="N89" s="369" t="str">
        <f ca="1">IF($B89&lt;&gt;"PRC_RESID","",IF(N$7=2005+OFFSET(COM_N_2012!$B$60,$AW89,SUMIF($B$10:$B$16,"NCAP_TLIFE",$AX$10:$AX$16)),0,""))</f>
        <v/>
      </c>
      <c r="O89" s="369" t="str">
        <f ca="1">IF($B89&lt;&gt;"PRC_RESID","",IF(O$7=2005+OFFSET(COM_N_2012!$B$60,$AW89,SUMIF($B$10:$B$16,"NCAP_TLIFE",$AX$10:$AX$16)),0,""))</f>
        <v/>
      </c>
      <c r="P89" s="369" t="str">
        <f ca="1">IF($B89&lt;&gt;"PRC_RESID","",IF(P$7=2005+OFFSET(COM_N_2012!$B$60,$AW89,SUMIF($B$10:$B$16,"NCAP_TLIFE",$AX$10:$AX$16)),0,""))</f>
        <v/>
      </c>
      <c r="Q89" s="369" t="str">
        <f ca="1">IF($B89&lt;&gt;"PRC_RESID","",IF(Q$7=2005+OFFSET(COM_N_2012!$B$60,$AW89,SUMIF($B$10:$B$16,"NCAP_TLIFE",$AX$10:$AX$16)),0,""))</f>
        <v/>
      </c>
      <c r="R89" s="369" t="str">
        <f ca="1">IF($B89&lt;&gt;"PRC_RESID","",IF(R$7=2005+OFFSET(COM_N_2012!$B$60,$AW89,SUMIF($B$10:$B$16,"NCAP_TLIFE",$AX$10:$AX$16)),0,""))</f>
        <v/>
      </c>
      <c r="S89" s="369" t="str">
        <f ca="1">IF($B89&lt;&gt;"PRC_RESID","",IF(S$7=2005+OFFSET(COM_N_2012!$B$60,$AW89,SUMIF($B$10:$B$16,"NCAP_TLIFE",$AX$10:$AX$16)),0,""))</f>
        <v/>
      </c>
      <c r="T89" s="369" t="str">
        <f ca="1">IF($B89&lt;&gt;"PRC_RESID","",IF(T$7=2005+OFFSET(COM_N_2012!$B$60,$AW89,SUMIF($B$10:$B$16,"NCAP_TLIFE",$AX$10:$AX$16)),0,""))</f>
        <v/>
      </c>
      <c r="U89" s="369" t="str">
        <f ca="1">IF($B89&lt;&gt;"PRC_RESID","",IF(U$7=2005+OFFSET(COM_N_2012!$B$60,$AW89,SUMIF($B$10:$B$16,"NCAP_TLIFE",$AX$10:$AX$16)),0,""))</f>
        <v/>
      </c>
      <c r="V89" s="369" t="str">
        <f ca="1">IF($B89&lt;&gt;"PRC_RESID","",IF(V$7=2005+OFFSET(COM_N_2012!$B$60,$AW89,SUMIF($B$10:$B$16,"NCAP_TLIFE",$AX$10:$AX$16)),0,""))</f>
        <v/>
      </c>
      <c r="W89" s="369" t="str">
        <f ca="1">IF($B89&lt;&gt;"PRC_RESID","",IF(W$7=2005+OFFSET(COM_N_2012!$B$60,$AW89,SUMIF($B$10:$B$16,"NCAP_TLIFE",$AX$10:$AX$16)),0,""))</f>
        <v/>
      </c>
      <c r="X89" s="369" t="str">
        <f ca="1">IF($B89&lt;&gt;"PRC_RESID","",IF(X$7=2005+OFFSET(COM_N_2012!$B$60,$AW89,SUMIF($B$10:$B$16,"NCAP_TLIFE",$AX$10:$AX$16)),0,""))</f>
        <v/>
      </c>
      <c r="Y89" s="369" t="str">
        <f ca="1">IF($B89&lt;&gt;"PRC_RESID","",IF(Y$7=2005+OFFSET(COM_N_2012!$B$60,$AW89,SUMIF($B$10:$B$16,"NCAP_TLIFE",$AX$10:$AX$16)),0,""))</f>
        <v/>
      </c>
      <c r="Z89" s="369" t="str">
        <f ca="1">IF($B89&lt;&gt;"PRC_RESID","",IF(Z$7=2005+OFFSET(COM_N_2012!$B$60,$AW89,SUMIF($B$10:$B$16,"NCAP_TLIFE",$AX$10:$AX$16)),0,""))</f>
        <v/>
      </c>
      <c r="AA89" s="369" t="str">
        <f ca="1">IF($B89&lt;&gt;"PRC_RESID","",IF(AA$7=2005+OFFSET(COM_N_2012!$B$60,$AW89,SUMIF($B$10:$B$16,"NCAP_TLIFE",$AX$10:$AX$16)),0,""))</f>
        <v/>
      </c>
      <c r="AB89" s="369" t="str">
        <f ca="1">IF($B89&lt;&gt;"PRC_RESID","",IF(AB$7=2005+OFFSET(COM_N_2012!$B$60,$AW89,SUMIF($B$10:$B$16,"NCAP_TLIFE",$AX$10:$AX$16)),0,""))</f>
        <v/>
      </c>
      <c r="AC89" s="369" t="str">
        <f ca="1">IF($B89&lt;&gt;"PRC_RESID","",IF(AC$7=2005+OFFSET(COM_N_2012!$B$60,$AW89,SUMIF($B$10:$B$16,"NCAP_TLIFE",$AX$10:$AX$16)),0,""))</f>
        <v/>
      </c>
      <c r="AD89" s="369" t="str">
        <f ca="1">IF($B89&lt;&gt;"PRC_RESID","",IF(AD$7=2005+OFFSET(COM_N_2012!$B$60,$AW89,SUMIF($B$10:$B$16,"NCAP_TLIFE",$AX$10:$AX$16)),0,""))</f>
        <v/>
      </c>
      <c r="AE89" s="369" t="str">
        <f ca="1">IF($B89&lt;&gt;"PRC_RESID","",IF(AE$7=2005+OFFSET(COM_N_2012!$B$60,$AW89,SUMIF($B$10:$B$16,"NCAP_TLIFE",$AX$10:$AX$16)),0,""))</f>
        <v/>
      </c>
      <c r="AF89" s="369" t="str">
        <f ca="1">IF($B89&lt;&gt;"PRC_RESID","",IF(AF$7=2005+OFFSET(COM_N_2012!$B$60,$AW89,SUMIF($B$10:$B$16,"NCAP_TLIFE",$AX$10:$AX$16)),0,""))</f>
        <v/>
      </c>
      <c r="AG89" s="369" t="str">
        <f ca="1">IF($B89&lt;&gt;"PRC_RESID","",IF(AG$7=2005+OFFSET(COM_N_2012!$B$60,$AW89,SUMIF($B$10:$B$16,"NCAP_TLIFE",$AX$10:$AX$16)),0,""))</f>
        <v/>
      </c>
      <c r="AH89" s="369" t="str">
        <f ca="1">IF($B89&lt;&gt;"PRC_RESID","",IF(AH$7=2005+OFFSET(COM_N_2012!$B$60,$AW89,SUMIF($B$10:$B$16,"NCAP_TLIFE",$AX$10:$AX$16)),0,""))</f>
        <v/>
      </c>
      <c r="AI89" s="369" t="str">
        <f ca="1">IF($B89&lt;&gt;"PRC_RESID","",IF(AI$7=2005+OFFSET(COM_N_2012!$B$60,$AW89,SUMIF($B$10:$B$16,"NCAP_TLIFE",$AX$10:$AX$16)),0,""))</f>
        <v/>
      </c>
      <c r="AJ89" s="369" t="str">
        <f ca="1">IF($B89&lt;&gt;"PRC_RESID","",IF(AJ$7=2005+OFFSET(COM_N_2012!$B$60,$AW89,SUMIF($B$10:$B$16,"NCAP_TLIFE",$AX$10:$AX$16)),0,""))</f>
        <v/>
      </c>
      <c r="AK89" s="369" t="str">
        <f ca="1">IF($B89&lt;&gt;"PRC_RESID","",IF(AK$7=2005+OFFSET(COM_N_2012!$B$60,$AW89,SUMIF($B$10:$B$16,"NCAP_TLIFE",$AX$10:$AX$16)),0,""))</f>
        <v/>
      </c>
      <c r="AL89" s="369" t="str">
        <f ca="1">IF($B89&lt;&gt;"PRC_RESID","",IF(AL$7=2005+OFFSET(COM_N_2012!$B$60,$AW89,SUMIF($B$10:$B$16,"NCAP_TLIFE",$AX$10:$AX$16)),0,""))</f>
        <v/>
      </c>
      <c r="AM89" s="369" t="str">
        <f ca="1">IF($B89&lt;&gt;"PRC_RESID","",IF(AM$7=2005+OFFSET(COM_N_2012!$B$60,$AW89,SUMIF($B$10:$B$16,"NCAP_TLIFE",$AX$10:$AX$16)),0,""))</f>
        <v/>
      </c>
      <c r="AN89" s="369" t="str">
        <f ca="1">IF($B89&lt;&gt;"PRC_RESID","",IF(AN$7=2005+OFFSET(COM_N_2012!$B$60,$AW89,SUMIF($B$10:$B$16,"NCAP_TLIFE",$AX$10:$AX$16)),0,""))</f>
        <v/>
      </c>
      <c r="AO89" s="369" t="str">
        <f ca="1">IF($B89&lt;&gt;"PRC_RESID","",IF(AO$7=2005+OFFSET(COM_N_2012!$B$60,$AW89,SUMIF($B$10:$B$16,"NCAP_TLIFE",$AX$10:$AX$16)),0,""))</f>
        <v/>
      </c>
      <c r="AP89" s="369" t="str">
        <f ca="1">IF($B89&lt;&gt;"PRC_RESID","",IF(AP$7=2005+OFFSET(COM_N_2012!$B$60,$AW89,SUMIF($B$10:$B$16,"NCAP_TLIFE",$AX$10:$AX$16)),0,""))</f>
        <v/>
      </c>
      <c r="AQ89" s="369" t="str">
        <f ca="1">IF($B89&lt;&gt;"PRC_RESID","",IF(AQ$7=2005+OFFSET(COM_N_2012!$B$60,$AW89,SUMIF($B$10:$B$16,"NCAP_TLIFE",$AX$10:$AX$16)),0,""))</f>
        <v/>
      </c>
      <c r="AR89" s="369" t="str">
        <f ca="1">IF($B89&lt;&gt;"PRC_RESID","",IF(AR$7=2005+OFFSET(COM_N_2012!$B$60,$AW89,SUMIF($B$10:$B$16,"NCAP_TLIFE",$AX$10:$AX$16)),0,""))</f>
        <v/>
      </c>
      <c r="AS89" s="369" t="str">
        <f ca="1">IF($B89&lt;&gt;"PRC_RESID","",IF(AS$7=2005+OFFSET(COM_N_2012!$B$60,$AW89,SUMIF($B$10:$B$16,"NCAP_TLIFE",$AX$10:$AX$16)),0,""))</f>
        <v/>
      </c>
      <c r="AT89" s="369" t="str">
        <f ca="1">IF($B89&lt;&gt;"PRC_RESID","",IF(AT$7=2005+OFFSET(COM_N_2012!$B$60,$AW89,SUMIF($B$10:$B$16,"NCAP_TLIFE",$AX$10:$AX$16)),0,""))</f>
        <v/>
      </c>
      <c r="AU89" s="369" t="str">
        <f ca="1">IF($B89&lt;&gt;"PRC_RESID","",IF(AU$7=2005+OFFSET(COM_N_2012!$B$60,$AW89,SUMIF($B$10:$B$16,"NCAP_TLIFE",$AX$10:$AX$16)),0,""))</f>
        <v/>
      </c>
      <c r="AV89" s="304">
        <f>IF(AW88=COM_N_2012!$AK$121,AV88+1,AV88)</f>
        <v>2</v>
      </c>
      <c r="AW89" s="304">
        <f t="shared" si="12"/>
        <v>11</v>
      </c>
    </row>
    <row r="90" spans="1:49">
      <c r="A90" s="304" t="str">
        <f ca="1">IF(LEFT(OFFSET(COM_N_2012!$A$60,AW90,0),2)="\I","*","")</f>
        <v/>
      </c>
      <c r="B90" s="369" t="str">
        <f t="shared" ca="1" si="11"/>
        <v>NCAP_BND</v>
      </c>
      <c r="C90" s="369" t="str">
        <f ca="1">IF($A90="*","",OFFSET(COM_N_2012!$B$60,AW90,0))</f>
        <v>CNHELC-N</v>
      </c>
      <c r="D90" s="369" t="str">
        <f t="shared" ca="1" si="13"/>
        <v>-</v>
      </c>
      <c r="E90" s="369" t="str">
        <f t="shared" ca="1" si="13"/>
        <v>-</v>
      </c>
      <c r="F90" s="369" t="str">
        <f t="shared" ca="1" si="13"/>
        <v>-</v>
      </c>
      <c r="G90" s="369" t="str">
        <f t="shared" ca="1" si="13"/>
        <v>-</v>
      </c>
      <c r="H90" s="369" t="str">
        <f t="shared" ca="1" si="13"/>
        <v>UP</v>
      </c>
      <c r="I90" s="370">
        <f t="shared" ca="1" si="13"/>
        <v>0</v>
      </c>
      <c r="J90" s="391">
        <f ca="1">IF($A90="*","",OFFSET(COM_N_2012!$B$60,AW90,SUMIF($B$10:$B$16,B90,$AX$10:$AX$16)))</f>
        <v>0</v>
      </c>
      <c r="K90" s="369" t="str">
        <f ca="1">IF($B90&lt;&gt;"PRC_RESID","",IF(K$7=2005+OFFSET(COM_N_2012!$B$60,$AW90,SUMIF($B$10:$B$16,"NCAP_TLIFE",$AX$10:$AX$16)),0,""))</f>
        <v/>
      </c>
      <c r="L90" s="369" t="str">
        <f ca="1">IF($B90&lt;&gt;"PRC_RESID","",IF(L$7=2005+OFFSET(COM_N_2012!$B$60,$AW90,SUMIF($B$10:$B$16,"NCAP_TLIFE",$AX$10:$AX$16)),0,""))</f>
        <v/>
      </c>
      <c r="M90" s="369" t="str">
        <f ca="1">IF($B90&lt;&gt;"PRC_RESID","",IF(M$7=2005+OFFSET(COM_N_2012!$B$60,$AW90,SUMIF($B$10:$B$16,"NCAP_TLIFE",$AX$10:$AX$16)),0,""))</f>
        <v/>
      </c>
      <c r="N90" s="369" t="str">
        <f ca="1">IF($B90&lt;&gt;"PRC_RESID","",IF(N$7=2005+OFFSET(COM_N_2012!$B$60,$AW90,SUMIF($B$10:$B$16,"NCAP_TLIFE",$AX$10:$AX$16)),0,""))</f>
        <v/>
      </c>
      <c r="O90" s="369" t="str">
        <f ca="1">IF($B90&lt;&gt;"PRC_RESID","",IF(O$7=2005+OFFSET(COM_N_2012!$B$60,$AW90,SUMIF($B$10:$B$16,"NCAP_TLIFE",$AX$10:$AX$16)),0,""))</f>
        <v/>
      </c>
      <c r="P90" s="369" t="str">
        <f ca="1">IF($B90&lt;&gt;"PRC_RESID","",IF(P$7=2005+OFFSET(COM_N_2012!$B$60,$AW90,SUMIF($B$10:$B$16,"NCAP_TLIFE",$AX$10:$AX$16)),0,""))</f>
        <v/>
      </c>
      <c r="Q90" s="369" t="str">
        <f ca="1">IF($B90&lt;&gt;"PRC_RESID","",IF(Q$7=2005+OFFSET(COM_N_2012!$B$60,$AW90,SUMIF($B$10:$B$16,"NCAP_TLIFE",$AX$10:$AX$16)),0,""))</f>
        <v/>
      </c>
      <c r="R90" s="369" t="str">
        <f ca="1">IF($B90&lt;&gt;"PRC_RESID","",IF(R$7=2005+OFFSET(COM_N_2012!$B$60,$AW90,SUMIF($B$10:$B$16,"NCAP_TLIFE",$AX$10:$AX$16)),0,""))</f>
        <v/>
      </c>
      <c r="S90" s="369" t="str">
        <f ca="1">IF($B90&lt;&gt;"PRC_RESID","",IF(S$7=2005+OFFSET(COM_N_2012!$B$60,$AW90,SUMIF($B$10:$B$16,"NCAP_TLIFE",$AX$10:$AX$16)),0,""))</f>
        <v/>
      </c>
      <c r="T90" s="369" t="str">
        <f ca="1">IF($B90&lt;&gt;"PRC_RESID","",IF(T$7=2005+OFFSET(COM_N_2012!$B$60,$AW90,SUMIF($B$10:$B$16,"NCAP_TLIFE",$AX$10:$AX$16)),0,""))</f>
        <v/>
      </c>
      <c r="U90" s="369" t="str">
        <f ca="1">IF($B90&lt;&gt;"PRC_RESID","",IF(U$7=2005+OFFSET(COM_N_2012!$B$60,$AW90,SUMIF($B$10:$B$16,"NCAP_TLIFE",$AX$10:$AX$16)),0,""))</f>
        <v/>
      </c>
      <c r="V90" s="369" t="str">
        <f ca="1">IF($B90&lt;&gt;"PRC_RESID","",IF(V$7=2005+OFFSET(COM_N_2012!$B$60,$AW90,SUMIF($B$10:$B$16,"NCAP_TLIFE",$AX$10:$AX$16)),0,""))</f>
        <v/>
      </c>
      <c r="W90" s="369" t="str">
        <f ca="1">IF($B90&lt;&gt;"PRC_RESID","",IF(W$7=2005+OFFSET(COM_N_2012!$B$60,$AW90,SUMIF($B$10:$B$16,"NCAP_TLIFE",$AX$10:$AX$16)),0,""))</f>
        <v/>
      </c>
      <c r="X90" s="369" t="str">
        <f ca="1">IF($B90&lt;&gt;"PRC_RESID","",IF(X$7=2005+OFFSET(COM_N_2012!$B$60,$AW90,SUMIF($B$10:$B$16,"NCAP_TLIFE",$AX$10:$AX$16)),0,""))</f>
        <v/>
      </c>
      <c r="Y90" s="369" t="str">
        <f ca="1">IF($B90&lt;&gt;"PRC_RESID","",IF(Y$7=2005+OFFSET(COM_N_2012!$B$60,$AW90,SUMIF($B$10:$B$16,"NCAP_TLIFE",$AX$10:$AX$16)),0,""))</f>
        <v/>
      </c>
      <c r="Z90" s="369" t="str">
        <f ca="1">IF($B90&lt;&gt;"PRC_RESID","",IF(Z$7=2005+OFFSET(COM_N_2012!$B$60,$AW90,SUMIF($B$10:$B$16,"NCAP_TLIFE",$AX$10:$AX$16)),0,""))</f>
        <v/>
      </c>
      <c r="AA90" s="369" t="str">
        <f ca="1">IF($B90&lt;&gt;"PRC_RESID","",IF(AA$7=2005+OFFSET(COM_N_2012!$B$60,$AW90,SUMIF($B$10:$B$16,"NCAP_TLIFE",$AX$10:$AX$16)),0,""))</f>
        <v/>
      </c>
      <c r="AB90" s="369" t="str">
        <f ca="1">IF($B90&lt;&gt;"PRC_RESID","",IF(AB$7=2005+OFFSET(COM_N_2012!$B$60,$AW90,SUMIF($B$10:$B$16,"NCAP_TLIFE",$AX$10:$AX$16)),0,""))</f>
        <v/>
      </c>
      <c r="AC90" s="369" t="str">
        <f ca="1">IF($B90&lt;&gt;"PRC_RESID","",IF(AC$7=2005+OFFSET(COM_N_2012!$B$60,$AW90,SUMIF($B$10:$B$16,"NCAP_TLIFE",$AX$10:$AX$16)),0,""))</f>
        <v/>
      </c>
      <c r="AD90" s="369" t="str">
        <f ca="1">IF($B90&lt;&gt;"PRC_RESID","",IF(AD$7=2005+OFFSET(COM_N_2012!$B$60,$AW90,SUMIF($B$10:$B$16,"NCAP_TLIFE",$AX$10:$AX$16)),0,""))</f>
        <v/>
      </c>
      <c r="AE90" s="369" t="str">
        <f ca="1">IF($B90&lt;&gt;"PRC_RESID","",IF(AE$7=2005+OFFSET(COM_N_2012!$B$60,$AW90,SUMIF($B$10:$B$16,"NCAP_TLIFE",$AX$10:$AX$16)),0,""))</f>
        <v/>
      </c>
      <c r="AF90" s="369" t="str">
        <f ca="1">IF($B90&lt;&gt;"PRC_RESID","",IF(AF$7=2005+OFFSET(COM_N_2012!$B$60,$AW90,SUMIF($B$10:$B$16,"NCAP_TLIFE",$AX$10:$AX$16)),0,""))</f>
        <v/>
      </c>
      <c r="AG90" s="369" t="str">
        <f ca="1">IF($B90&lt;&gt;"PRC_RESID","",IF(AG$7=2005+OFFSET(COM_N_2012!$B$60,$AW90,SUMIF($B$10:$B$16,"NCAP_TLIFE",$AX$10:$AX$16)),0,""))</f>
        <v/>
      </c>
      <c r="AH90" s="369" t="str">
        <f ca="1">IF($B90&lt;&gt;"PRC_RESID","",IF(AH$7=2005+OFFSET(COM_N_2012!$B$60,$AW90,SUMIF($B$10:$B$16,"NCAP_TLIFE",$AX$10:$AX$16)),0,""))</f>
        <v/>
      </c>
      <c r="AI90" s="369" t="str">
        <f ca="1">IF($B90&lt;&gt;"PRC_RESID","",IF(AI$7=2005+OFFSET(COM_N_2012!$B$60,$AW90,SUMIF($B$10:$B$16,"NCAP_TLIFE",$AX$10:$AX$16)),0,""))</f>
        <v/>
      </c>
      <c r="AJ90" s="369" t="str">
        <f ca="1">IF($B90&lt;&gt;"PRC_RESID","",IF(AJ$7=2005+OFFSET(COM_N_2012!$B$60,$AW90,SUMIF($B$10:$B$16,"NCAP_TLIFE",$AX$10:$AX$16)),0,""))</f>
        <v/>
      </c>
      <c r="AK90" s="369" t="str">
        <f ca="1">IF($B90&lt;&gt;"PRC_RESID","",IF(AK$7=2005+OFFSET(COM_N_2012!$B$60,$AW90,SUMIF($B$10:$B$16,"NCAP_TLIFE",$AX$10:$AX$16)),0,""))</f>
        <v/>
      </c>
      <c r="AL90" s="369" t="str">
        <f ca="1">IF($B90&lt;&gt;"PRC_RESID","",IF(AL$7=2005+OFFSET(COM_N_2012!$B$60,$AW90,SUMIF($B$10:$B$16,"NCAP_TLIFE",$AX$10:$AX$16)),0,""))</f>
        <v/>
      </c>
      <c r="AM90" s="369" t="str">
        <f ca="1">IF($B90&lt;&gt;"PRC_RESID","",IF(AM$7=2005+OFFSET(COM_N_2012!$B$60,$AW90,SUMIF($B$10:$B$16,"NCAP_TLIFE",$AX$10:$AX$16)),0,""))</f>
        <v/>
      </c>
      <c r="AN90" s="369" t="str">
        <f ca="1">IF($B90&lt;&gt;"PRC_RESID","",IF(AN$7=2005+OFFSET(COM_N_2012!$B$60,$AW90,SUMIF($B$10:$B$16,"NCAP_TLIFE",$AX$10:$AX$16)),0,""))</f>
        <v/>
      </c>
      <c r="AO90" s="369" t="str">
        <f ca="1">IF($B90&lt;&gt;"PRC_RESID","",IF(AO$7=2005+OFFSET(COM_N_2012!$B$60,$AW90,SUMIF($B$10:$B$16,"NCAP_TLIFE",$AX$10:$AX$16)),0,""))</f>
        <v/>
      </c>
      <c r="AP90" s="369" t="str">
        <f ca="1">IF($B90&lt;&gt;"PRC_RESID","",IF(AP$7=2005+OFFSET(COM_N_2012!$B$60,$AW90,SUMIF($B$10:$B$16,"NCAP_TLIFE",$AX$10:$AX$16)),0,""))</f>
        <v/>
      </c>
      <c r="AQ90" s="369" t="str">
        <f ca="1">IF($B90&lt;&gt;"PRC_RESID","",IF(AQ$7=2005+OFFSET(COM_N_2012!$B$60,$AW90,SUMIF($B$10:$B$16,"NCAP_TLIFE",$AX$10:$AX$16)),0,""))</f>
        <v/>
      </c>
      <c r="AR90" s="369" t="str">
        <f ca="1">IF($B90&lt;&gt;"PRC_RESID","",IF(AR$7=2005+OFFSET(COM_N_2012!$B$60,$AW90,SUMIF($B$10:$B$16,"NCAP_TLIFE",$AX$10:$AX$16)),0,""))</f>
        <v/>
      </c>
      <c r="AS90" s="369" t="str">
        <f ca="1">IF($B90&lt;&gt;"PRC_RESID","",IF(AS$7=2005+OFFSET(COM_N_2012!$B$60,$AW90,SUMIF($B$10:$B$16,"NCAP_TLIFE",$AX$10:$AX$16)),0,""))</f>
        <v/>
      </c>
      <c r="AT90" s="369" t="str">
        <f ca="1">IF($B90&lt;&gt;"PRC_RESID","",IF(AT$7=2005+OFFSET(COM_N_2012!$B$60,$AW90,SUMIF($B$10:$B$16,"NCAP_TLIFE",$AX$10:$AX$16)),0,""))</f>
        <v/>
      </c>
      <c r="AU90" s="369" t="str">
        <f ca="1">IF($B90&lt;&gt;"PRC_RESID","",IF(AU$7=2005+OFFSET(COM_N_2012!$B$60,$AW90,SUMIF($B$10:$B$16,"NCAP_TLIFE",$AX$10:$AX$16)),0,""))</f>
        <v/>
      </c>
      <c r="AV90" s="304">
        <f>IF(AW89=COM_N_2012!$AK$121,AV89+1,AV89)</f>
        <v>2</v>
      </c>
      <c r="AW90" s="304">
        <f t="shared" si="12"/>
        <v>12</v>
      </c>
    </row>
    <row r="91" spans="1:49">
      <c r="A91" s="304" t="str">
        <f ca="1">IF(LEFT(OFFSET(COM_N_2012!$A$60,AW91,0),2)="\I","*","")</f>
        <v/>
      </c>
      <c r="B91" s="369" t="str">
        <f t="shared" ca="1" si="11"/>
        <v>NCAP_BND</v>
      </c>
      <c r="C91" s="369" t="str">
        <f ca="1">IF($A91="*","",OFFSET(COM_N_2012!$B$60,AW91,0))</f>
        <v>CNHGAS-N</v>
      </c>
      <c r="D91" s="369" t="str">
        <f t="shared" ca="1" si="13"/>
        <v>-</v>
      </c>
      <c r="E91" s="369" t="str">
        <f t="shared" ca="1" si="13"/>
        <v>-</v>
      </c>
      <c r="F91" s="369" t="str">
        <f t="shared" ca="1" si="13"/>
        <v>-</v>
      </c>
      <c r="G91" s="369" t="str">
        <f t="shared" ca="1" si="13"/>
        <v>-</v>
      </c>
      <c r="H91" s="369" t="str">
        <f t="shared" ca="1" si="13"/>
        <v>UP</v>
      </c>
      <c r="I91" s="370">
        <f t="shared" ca="1" si="13"/>
        <v>0</v>
      </c>
      <c r="J91" s="391">
        <f ca="1">IF($A91="*","",OFFSET(COM_N_2012!$B$60,AW91,SUMIF($B$10:$B$16,B91,$AX$10:$AX$16)))</f>
        <v>0</v>
      </c>
      <c r="K91" s="369" t="str">
        <f ca="1">IF($B91&lt;&gt;"PRC_RESID","",IF(K$7=2005+OFFSET(COM_N_2012!$B$60,$AW91,SUMIF($B$10:$B$16,"NCAP_TLIFE",$AX$10:$AX$16)),0,""))</f>
        <v/>
      </c>
      <c r="L91" s="369" t="str">
        <f ca="1">IF($B91&lt;&gt;"PRC_RESID","",IF(L$7=2005+OFFSET(COM_N_2012!$B$60,$AW91,SUMIF($B$10:$B$16,"NCAP_TLIFE",$AX$10:$AX$16)),0,""))</f>
        <v/>
      </c>
      <c r="M91" s="369" t="str">
        <f ca="1">IF($B91&lt;&gt;"PRC_RESID","",IF(M$7=2005+OFFSET(COM_N_2012!$B$60,$AW91,SUMIF($B$10:$B$16,"NCAP_TLIFE",$AX$10:$AX$16)),0,""))</f>
        <v/>
      </c>
      <c r="N91" s="369" t="str">
        <f ca="1">IF($B91&lt;&gt;"PRC_RESID","",IF(N$7=2005+OFFSET(COM_N_2012!$B$60,$AW91,SUMIF($B$10:$B$16,"NCAP_TLIFE",$AX$10:$AX$16)),0,""))</f>
        <v/>
      </c>
      <c r="O91" s="369" t="str">
        <f ca="1">IF($B91&lt;&gt;"PRC_RESID","",IF(O$7=2005+OFFSET(COM_N_2012!$B$60,$AW91,SUMIF($B$10:$B$16,"NCAP_TLIFE",$AX$10:$AX$16)),0,""))</f>
        <v/>
      </c>
      <c r="P91" s="369" t="str">
        <f ca="1">IF($B91&lt;&gt;"PRC_RESID","",IF(P$7=2005+OFFSET(COM_N_2012!$B$60,$AW91,SUMIF($B$10:$B$16,"NCAP_TLIFE",$AX$10:$AX$16)),0,""))</f>
        <v/>
      </c>
      <c r="Q91" s="369" t="str">
        <f ca="1">IF($B91&lt;&gt;"PRC_RESID","",IF(Q$7=2005+OFFSET(COM_N_2012!$B$60,$AW91,SUMIF($B$10:$B$16,"NCAP_TLIFE",$AX$10:$AX$16)),0,""))</f>
        <v/>
      </c>
      <c r="R91" s="369" t="str">
        <f ca="1">IF($B91&lt;&gt;"PRC_RESID","",IF(R$7=2005+OFFSET(COM_N_2012!$B$60,$AW91,SUMIF($B$10:$B$16,"NCAP_TLIFE",$AX$10:$AX$16)),0,""))</f>
        <v/>
      </c>
      <c r="S91" s="369" t="str">
        <f ca="1">IF($B91&lt;&gt;"PRC_RESID","",IF(S$7=2005+OFFSET(COM_N_2012!$B$60,$AW91,SUMIF($B$10:$B$16,"NCAP_TLIFE",$AX$10:$AX$16)),0,""))</f>
        <v/>
      </c>
      <c r="T91" s="369" t="str">
        <f ca="1">IF($B91&lt;&gt;"PRC_RESID","",IF(T$7=2005+OFFSET(COM_N_2012!$B$60,$AW91,SUMIF($B$10:$B$16,"NCAP_TLIFE",$AX$10:$AX$16)),0,""))</f>
        <v/>
      </c>
      <c r="U91" s="369" t="str">
        <f ca="1">IF($B91&lt;&gt;"PRC_RESID","",IF(U$7=2005+OFFSET(COM_N_2012!$B$60,$AW91,SUMIF($B$10:$B$16,"NCAP_TLIFE",$AX$10:$AX$16)),0,""))</f>
        <v/>
      </c>
      <c r="V91" s="369" t="str">
        <f ca="1">IF($B91&lt;&gt;"PRC_RESID","",IF(V$7=2005+OFFSET(COM_N_2012!$B$60,$AW91,SUMIF($B$10:$B$16,"NCAP_TLIFE",$AX$10:$AX$16)),0,""))</f>
        <v/>
      </c>
      <c r="W91" s="369" t="str">
        <f ca="1">IF($B91&lt;&gt;"PRC_RESID","",IF(W$7=2005+OFFSET(COM_N_2012!$B$60,$AW91,SUMIF($B$10:$B$16,"NCAP_TLIFE",$AX$10:$AX$16)),0,""))</f>
        <v/>
      </c>
      <c r="X91" s="369" t="str">
        <f ca="1">IF($B91&lt;&gt;"PRC_RESID","",IF(X$7=2005+OFFSET(COM_N_2012!$B$60,$AW91,SUMIF($B$10:$B$16,"NCAP_TLIFE",$AX$10:$AX$16)),0,""))</f>
        <v/>
      </c>
      <c r="Y91" s="369" t="str">
        <f ca="1">IF($B91&lt;&gt;"PRC_RESID","",IF(Y$7=2005+OFFSET(COM_N_2012!$B$60,$AW91,SUMIF($B$10:$B$16,"NCAP_TLIFE",$AX$10:$AX$16)),0,""))</f>
        <v/>
      </c>
      <c r="Z91" s="369" t="str">
        <f ca="1">IF($B91&lt;&gt;"PRC_RESID","",IF(Z$7=2005+OFFSET(COM_N_2012!$B$60,$AW91,SUMIF($B$10:$B$16,"NCAP_TLIFE",$AX$10:$AX$16)),0,""))</f>
        <v/>
      </c>
      <c r="AA91" s="369" t="str">
        <f ca="1">IF($B91&lt;&gt;"PRC_RESID","",IF(AA$7=2005+OFFSET(COM_N_2012!$B$60,$AW91,SUMIF($B$10:$B$16,"NCAP_TLIFE",$AX$10:$AX$16)),0,""))</f>
        <v/>
      </c>
      <c r="AB91" s="369" t="str">
        <f ca="1">IF($B91&lt;&gt;"PRC_RESID","",IF(AB$7=2005+OFFSET(COM_N_2012!$B$60,$AW91,SUMIF($B$10:$B$16,"NCAP_TLIFE",$AX$10:$AX$16)),0,""))</f>
        <v/>
      </c>
      <c r="AC91" s="369" t="str">
        <f ca="1">IF($B91&lt;&gt;"PRC_RESID","",IF(AC$7=2005+OFFSET(COM_N_2012!$B$60,$AW91,SUMIF($B$10:$B$16,"NCAP_TLIFE",$AX$10:$AX$16)),0,""))</f>
        <v/>
      </c>
      <c r="AD91" s="369" t="str">
        <f ca="1">IF($B91&lt;&gt;"PRC_RESID","",IF(AD$7=2005+OFFSET(COM_N_2012!$B$60,$AW91,SUMIF($B$10:$B$16,"NCAP_TLIFE",$AX$10:$AX$16)),0,""))</f>
        <v/>
      </c>
      <c r="AE91" s="369" t="str">
        <f ca="1">IF($B91&lt;&gt;"PRC_RESID","",IF(AE$7=2005+OFFSET(COM_N_2012!$B$60,$AW91,SUMIF($B$10:$B$16,"NCAP_TLIFE",$AX$10:$AX$16)),0,""))</f>
        <v/>
      </c>
      <c r="AF91" s="369" t="str">
        <f ca="1">IF($B91&lt;&gt;"PRC_RESID","",IF(AF$7=2005+OFFSET(COM_N_2012!$B$60,$AW91,SUMIF($B$10:$B$16,"NCAP_TLIFE",$AX$10:$AX$16)),0,""))</f>
        <v/>
      </c>
      <c r="AG91" s="369" t="str">
        <f ca="1">IF($B91&lt;&gt;"PRC_RESID","",IF(AG$7=2005+OFFSET(COM_N_2012!$B$60,$AW91,SUMIF($B$10:$B$16,"NCAP_TLIFE",$AX$10:$AX$16)),0,""))</f>
        <v/>
      </c>
      <c r="AH91" s="369" t="str">
        <f ca="1">IF($B91&lt;&gt;"PRC_RESID","",IF(AH$7=2005+OFFSET(COM_N_2012!$B$60,$AW91,SUMIF($B$10:$B$16,"NCAP_TLIFE",$AX$10:$AX$16)),0,""))</f>
        <v/>
      </c>
      <c r="AI91" s="369" t="str">
        <f ca="1">IF($B91&lt;&gt;"PRC_RESID","",IF(AI$7=2005+OFFSET(COM_N_2012!$B$60,$AW91,SUMIF($B$10:$B$16,"NCAP_TLIFE",$AX$10:$AX$16)),0,""))</f>
        <v/>
      </c>
      <c r="AJ91" s="369" t="str">
        <f ca="1">IF($B91&lt;&gt;"PRC_RESID","",IF(AJ$7=2005+OFFSET(COM_N_2012!$B$60,$AW91,SUMIF($B$10:$B$16,"NCAP_TLIFE",$AX$10:$AX$16)),0,""))</f>
        <v/>
      </c>
      <c r="AK91" s="369" t="str">
        <f ca="1">IF($B91&lt;&gt;"PRC_RESID","",IF(AK$7=2005+OFFSET(COM_N_2012!$B$60,$AW91,SUMIF($B$10:$B$16,"NCAP_TLIFE",$AX$10:$AX$16)),0,""))</f>
        <v/>
      </c>
      <c r="AL91" s="369" t="str">
        <f ca="1">IF($B91&lt;&gt;"PRC_RESID","",IF(AL$7=2005+OFFSET(COM_N_2012!$B$60,$AW91,SUMIF($B$10:$B$16,"NCAP_TLIFE",$AX$10:$AX$16)),0,""))</f>
        <v/>
      </c>
      <c r="AM91" s="369" t="str">
        <f ca="1">IF($B91&lt;&gt;"PRC_RESID","",IF(AM$7=2005+OFFSET(COM_N_2012!$B$60,$AW91,SUMIF($B$10:$B$16,"NCAP_TLIFE",$AX$10:$AX$16)),0,""))</f>
        <v/>
      </c>
      <c r="AN91" s="369" t="str">
        <f ca="1">IF($B91&lt;&gt;"PRC_RESID","",IF(AN$7=2005+OFFSET(COM_N_2012!$B$60,$AW91,SUMIF($B$10:$B$16,"NCAP_TLIFE",$AX$10:$AX$16)),0,""))</f>
        <v/>
      </c>
      <c r="AO91" s="369" t="str">
        <f ca="1">IF($B91&lt;&gt;"PRC_RESID","",IF(AO$7=2005+OFFSET(COM_N_2012!$B$60,$AW91,SUMIF($B$10:$B$16,"NCAP_TLIFE",$AX$10:$AX$16)),0,""))</f>
        <v/>
      </c>
      <c r="AP91" s="369" t="str">
        <f ca="1">IF($B91&lt;&gt;"PRC_RESID","",IF(AP$7=2005+OFFSET(COM_N_2012!$B$60,$AW91,SUMIF($B$10:$B$16,"NCAP_TLIFE",$AX$10:$AX$16)),0,""))</f>
        <v/>
      </c>
      <c r="AQ91" s="369" t="str">
        <f ca="1">IF($B91&lt;&gt;"PRC_RESID","",IF(AQ$7=2005+OFFSET(COM_N_2012!$B$60,$AW91,SUMIF($B$10:$B$16,"NCAP_TLIFE",$AX$10:$AX$16)),0,""))</f>
        <v/>
      </c>
      <c r="AR91" s="369" t="str">
        <f ca="1">IF($B91&lt;&gt;"PRC_RESID","",IF(AR$7=2005+OFFSET(COM_N_2012!$B$60,$AW91,SUMIF($B$10:$B$16,"NCAP_TLIFE",$AX$10:$AX$16)),0,""))</f>
        <v/>
      </c>
      <c r="AS91" s="369" t="str">
        <f ca="1">IF($B91&lt;&gt;"PRC_RESID","",IF(AS$7=2005+OFFSET(COM_N_2012!$B$60,$AW91,SUMIF($B$10:$B$16,"NCAP_TLIFE",$AX$10:$AX$16)),0,""))</f>
        <v/>
      </c>
      <c r="AT91" s="369" t="str">
        <f ca="1">IF($B91&lt;&gt;"PRC_RESID","",IF(AT$7=2005+OFFSET(COM_N_2012!$B$60,$AW91,SUMIF($B$10:$B$16,"NCAP_TLIFE",$AX$10:$AX$16)),0,""))</f>
        <v/>
      </c>
      <c r="AU91" s="369" t="str">
        <f ca="1">IF($B91&lt;&gt;"PRC_RESID","",IF(AU$7=2005+OFFSET(COM_N_2012!$B$60,$AW91,SUMIF($B$10:$B$16,"NCAP_TLIFE",$AX$10:$AX$16)),0,""))</f>
        <v/>
      </c>
      <c r="AV91" s="304">
        <f>IF(AW90=COM_N_2012!$AK$121,AV90+1,AV90)</f>
        <v>2</v>
      </c>
      <c r="AW91" s="304">
        <f t="shared" si="12"/>
        <v>13</v>
      </c>
    </row>
    <row r="92" spans="1:49">
      <c r="A92" s="304" t="str">
        <f ca="1">IF(LEFT(OFFSET(COM_N_2012!$A$60,AW92,0),2)="\I","*","")</f>
        <v>*</v>
      </c>
      <c r="B92" s="369" t="str">
        <f t="shared" ca="1" si="11"/>
        <v/>
      </c>
      <c r="C92" s="369" t="str">
        <f ca="1">IF($A92="*","",OFFSET(COM_N_2012!$B$60,AW92,0))</f>
        <v/>
      </c>
      <c r="D92" s="369" t="str">
        <f t="shared" ca="1" si="13"/>
        <v/>
      </c>
      <c r="E92" s="369" t="str">
        <f t="shared" ca="1" si="13"/>
        <v/>
      </c>
      <c r="F92" s="369" t="str">
        <f t="shared" ca="1" si="13"/>
        <v/>
      </c>
      <c r="G92" s="369" t="str">
        <f t="shared" ca="1" si="13"/>
        <v/>
      </c>
      <c r="H92" s="369" t="str">
        <f t="shared" ca="1" si="13"/>
        <v/>
      </c>
      <c r="I92" s="370" t="str">
        <f t="shared" ca="1" si="13"/>
        <v/>
      </c>
      <c r="J92" s="391" t="str">
        <f ca="1">IF($A92="*","",OFFSET(COM_N_2012!$B$60,AW92,SUMIF($B$10:$B$16,B92,$AX$10:$AX$16)))</f>
        <v/>
      </c>
      <c r="K92" s="369" t="str">
        <f ca="1">IF($B92&lt;&gt;"PRC_RESID","",IF(K$7=2005+OFFSET(COM_N_2012!$B$60,$AW92,SUMIF($B$10:$B$16,"NCAP_TLIFE",$AX$10:$AX$16)),0,""))</f>
        <v/>
      </c>
      <c r="L92" s="369" t="str">
        <f ca="1">IF($B92&lt;&gt;"PRC_RESID","",IF(L$7=2005+OFFSET(COM_N_2012!$B$60,$AW92,SUMIF($B$10:$B$16,"NCAP_TLIFE",$AX$10:$AX$16)),0,""))</f>
        <v/>
      </c>
      <c r="M92" s="369" t="str">
        <f ca="1">IF($B92&lt;&gt;"PRC_RESID","",IF(M$7=2005+OFFSET(COM_N_2012!$B$60,$AW92,SUMIF($B$10:$B$16,"NCAP_TLIFE",$AX$10:$AX$16)),0,""))</f>
        <v/>
      </c>
      <c r="N92" s="369" t="str">
        <f ca="1">IF($B92&lt;&gt;"PRC_RESID","",IF(N$7=2005+OFFSET(COM_N_2012!$B$60,$AW92,SUMIF($B$10:$B$16,"NCAP_TLIFE",$AX$10:$AX$16)),0,""))</f>
        <v/>
      </c>
      <c r="O92" s="369" t="str">
        <f ca="1">IF($B92&lt;&gt;"PRC_RESID","",IF(O$7=2005+OFFSET(COM_N_2012!$B$60,$AW92,SUMIF($B$10:$B$16,"NCAP_TLIFE",$AX$10:$AX$16)),0,""))</f>
        <v/>
      </c>
      <c r="P92" s="369" t="str">
        <f ca="1">IF($B92&lt;&gt;"PRC_RESID","",IF(P$7=2005+OFFSET(COM_N_2012!$B$60,$AW92,SUMIF($B$10:$B$16,"NCAP_TLIFE",$AX$10:$AX$16)),0,""))</f>
        <v/>
      </c>
      <c r="Q92" s="369" t="str">
        <f ca="1">IF($B92&lt;&gt;"PRC_RESID","",IF(Q$7=2005+OFFSET(COM_N_2012!$B$60,$AW92,SUMIF($B$10:$B$16,"NCAP_TLIFE",$AX$10:$AX$16)),0,""))</f>
        <v/>
      </c>
      <c r="R92" s="369" t="str">
        <f ca="1">IF($B92&lt;&gt;"PRC_RESID","",IF(R$7=2005+OFFSET(COM_N_2012!$B$60,$AW92,SUMIF($B$10:$B$16,"NCAP_TLIFE",$AX$10:$AX$16)),0,""))</f>
        <v/>
      </c>
      <c r="S92" s="369" t="str">
        <f ca="1">IF($B92&lt;&gt;"PRC_RESID","",IF(S$7=2005+OFFSET(COM_N_2012!$B$60,$AW92,SUMIF($B$10:$B$16,"NCAP_TLIFE",$AX$10:$AX$16)),0,""))</f>
        <v/>
      </c>
      <c r="T92" s="369" t="str">
        <f ca="1">IF($B92&lt;&gt;"PRC_RESID","",IF(T$7=2005+OFFSET(COM_N_2012!$B$60,$AW92,SUMIF($B$10:$B$16,"NCAP_TLIFE",$AX$10:$AX$16)),0,""))</f>
        <v/>
      </c>
      <c r="U92" s="369" t="str">
        <f ca="1">IF($B92&lt;&gt;"PRC_RESID","",IF(U$7=2005+OFFSET(COM_N_2012!$B$60,$AW92,SUMIF($B$10:$B$16,"NCAP_TLIFE",$AX$10:$AX$16)),0,""))</f>
        <v/>
      </c>
      <c r="V92" s="369" t="str">
        <f ca="1">IF($B92&lt;&gt;"PRC_RESID","",IF(V$7=2005+OFFSET(COM_N_2012!$B$60,$AW92,SUMIF($B$10:$B$16,"NCAP_TLIFE",$AX$10:$AX$16)),0,""))</f>
        <v/>
      </c>
      <c r="W92" s="369" t="str">
        <f ca="1">IF($B92&lt;&gt;"PRC_RESID","",IF(W$7=2005+OFFSET(COM_N_2012!$B$60,$AW92,SUMIF($B$10:$B$16,"NCAP_TLIFE",$AX$10:$AX$16)),0,""))</f>
        <v/>
      </c>
      <c r="X92" s="369" t="str">
        <f ca="1">IF($B92&lt;&gt;"PRC_RESID","",IF(X$7=2005+OFFSET(COM_N_2012!$B$60,$AW92,SUMIF($B$10:$B$16,"NCAP_TLIFE",$AX$10:$AX$16)),0,""))</f>
        <v/>
      </c>
      <c r="Y92" s="369" t="str">
        <f ca="1">IF($B92&lt;&gt;"PRC_RESID","",IF(Y$7=2005+OFFSET(COM_N_2012!$B$60,$AW92,SUMIF($B$10:$B$16,"NCAP_TLIFE",$AX$10:$AX$16)),0,""))</f>
        <v/>
      </c>
      <c r="Z92" s="369" t="str">
        <f ca="1">IF($B92&lt;&gt;"PRC_RESID","",IF(Z$7=2005+OFFSET(COM_N_2012!$B$60,$AW92,SUMIF($B$10:$B$16,"NCAP_TLIFE",$AX$10:$AX$16)),0,""))</f>
        <v/>
      </c>
      <c r="AA92" s="369" t="str">
        <f ca="1">IF($B92&lt;&gt;"PRC_RESID","",IF(AA$7=2005+OFFSET(COM_N_2012!$B$60,$AW92,SUMIF($B$10:$B$16,"NCAP_TLIFE",$AX$10:$AX$16)),0,""))</f>
        <v/>
      </c>
      <c r="AB92" s="369" t="str">
        <f ca="1">IF($B92&lt;&gt;"PRC_RESID","",IF(AB$7=2005+OFFSET(COM_N_2012!$B$60,$AW92,SUMIF($B$10:$B$16,"NCAP_TLIFE",$AX$10:$AX$16)),0,""))</f>
        <v/>
      </c>
      <c r="AC92" s="369" t="str">
        <f ca="1">IF($B92&lt;&gt;"PRC_RESID","",IF(AC$7=2005+OFFSET(COM_N_2012!$B$60,$AW92,SUMIF($B$10:$B$16,"NCAP_TLIFE",$AX$10:$AX$16)),0,""))</f>
        <v/>
      </c>
      <c r="AD92" s="369" t="str">
        <f ca="1">IF($B92&lt;&gt;"PRC_RESID","",IF(AD$7=2005+OFFSET(COM_N_2012!$B$60,$AW92,SUMIF($B$10:$B$16,"NCAP_TLIFE",$AX$10:$AX$16)),0,""))</f>
        <v/>
      </c>
      <c r="AE92" s="369" t="str">
        <f ca="1">IF($B92&lt;&gt;"PRC_RESID","",IF(AE$7=2005+OFFSET(COM_N_2012!$B$60,$AW92,SUMIF($B$10:$B$16,"NCAP_TLIFE",$AX$10:$AX$16)),0,""))</f>
        <v/>
      </c>
      <c r="AF92" s="369" t="str">
        <f ca="1">IF($B92&lt;&gt;"PRC_RESID","",IF(AF$7=2005+OFFSET(COM_N_2012!$B$60,$AW92,SUMIF($B$10:$B$16,"NCAP_TLIFE",$AX$10:$AX$16)),0,""))</f>
        <v/>
      </c>
      <c r="AG92" s="369" t="str">
        <f ca="1">IF($B92&lt;&gt;"PRC_RESID","",IF(AG$7=2005+OFFSET(COM_N_2012!$B$60,$AW92,SUMIF($B$10:$B$16,"NCAP_TLIFE",$AX$10:$AX$16)),0,""))</f>
        <v/>
      </c>
      <c r="AH92" s="369" t="str">
        <f ca="1">IF($B92&lt;&gt;"PRC_RESID","",IF(AH$7=2005+OFFSET(COM_N_2012!$B$60,$AW92,SUMIF($B$10:$B$16,"NCAP_TLIFE",$AX$10:$AX$16)),0,""))</f>
        <v/>
      </c>
      <c r="AI92" s="369" t="str">
        <f ca="1">IF($B92&lt;&gt;"PRC_RESID","",IF(AI$7=2005+OFFSET(COM_N_2012!$B$60,$AW92,SUMIF($B$10:$B$16,"NCAP_TLIFE",$AX$10:$AX$16)),0,""))</f>
        <v/>
      </c>
      <c r="AJ92" s="369" t="str">
        <f ca="1">IF($B92&lt;&gt;"PRC_RESID","",IF(AJ$7=2005+OFFSET(COM_N_2012!$B$60,$AW92,SUMIF($B$10:$B$16,"NCAP_TLIFE",$AX$10:$AX$16)),0,""))</f>
        <v/>
      </c>
      <c r="AK92" s="369" t="str">
        <f ca="1">IF($B92&lt;&gt;"PRC_RESID","",IF(AK$7=2005+OFFSET(COM_N_2012!$B$60,$AW92,SUMIF($B$10:$B$16,"NCAP_TLIFE",$AX$10:$AX$16)),0,""))</f>
        <v/>
      </c>
      <c r="AL92" s="369" t="str">
        <f ca="1">IF($B92&lt;&gt;"PRC_RESID","",IF(AL$7=2005+OFFSET(COM_N_2012!$B$60,$AW92,SUMIF($B$10:$B$16,"NCAP_TLIFE",$AX$10:$AX$16)),0,""))</f>
        <v/>
      </c>
      <c r="AM92" s="369" t="str">
        <f ca="1">IF($B92&lt;&gt;"PRC_RESID","",IF(AM$7=2005+OFFSET(COM_N_2012!$B$60,$AW92,SUMIF($B$10:$B$16,"NCAP_TLIFE",$AX$10:$AX$16)),0,""))</f>
        <v/>
      </c>
      <c r="AN92" s="369" t="str">
        <f ca="1">IF($B92&lt;&gt;"PRC_RESID","",IF(AN$7=2005+OFFSET(COM_N_2012!$B$60,$AW92,SUMIF($B$10:$B$16,"NCAP_TLIFE",$AX$10:$AX$16)),0,""))</f>
        <v/>
      </c>
      <c r="AO92" s="369" t="str">
        <f ca="1">IF($B92&lt;&gt;"PRC_RESID","",IF(AO$7=2005+OFFSET(COM_N_2012!$B$60,$AW92,SUMIF($B$10:$B$16,"NCAP_TLIFE",$AX$10:$AX$16)),0,""))</f>
        <v/>
      </c>
      <c r="AP92" s="369" t="str">
        <f ca="1">IF($B92&lt;&gt;"PRC_RESID","",IF(AP$7=2005+OFFSET(COM_N_2012!$B$60,$AW92,SUMIF($B$10:$B$16,"NCAP_TLIFE",$AX$10:$AX$16)),0,""))</f>
        <v/>
      </c>
      <c r="AQ92" s="369" t="str">
        <f ca="1">IF($B92&lt;&gt;"PRC_RESID","",IF(AQ$7=2005+OFFSET(COM_N_2012!$B$60,$AW92,SUMIF($B$10:$B$16,"NCAP_TLIFE",$AX$10:$AX$16)),0,""))</f>
        <v/>
      </c>
      <c r="AR92" s="369" t="str">
        <f ca="1">IF($B92&lt;&gt;"PRC_RESID","",IF(AR$7=2005+OFFSET(COM_N_2012!$B$60,$AW92,SUMIF($B$10:$B$16,"NCAP_TLIFE",$AX$10:$AX$16)),0,""))</f>
        <v/>
      </c>
      <c r="AS92" s="369" t="str">
        <f ca="1">IF($B92&lt;&gt;"PRC_RESID","",IF(AS$7=2005+OFFSET(COM_N_2012!$B$60,$AW92,SUMIF($B$10:$B$16,"NCAP_TLIFE",$AX$10:$AX$16)),0,""))</f>
        <v/>
      </c>
      <c r="AT92" s="369" t="str">
        <f ca="1">IF($B92&lt;&gt;"PRC_RESID","",IF(AT$7=2005+OFFSET(COM_N_2012!$B$60,$AW92,SUMIF($B$10:$B$16,"NCAP_TLIFE",$AX$10:$AX$16)),0,""))</f>
        <v/>
      </c>
      <c r="AU92" s="369" t="str">
        <f ca="1">IF($B92&lt;&gt;"PRC_RESID","",IF(AU$7=2005+OFFSET(COM_N_2012!$B$60,$AW92,SUMIF($B$10:$B$16,"NCAP_TLIFE",$AX$10:$AX$16)),0,""))</f>
        <v/>
      </c>
      <c r="AV92" s="304">
        <f>IF(AW91=COM_N_2012!$AK$121,AV91+1,AV91)</f>
        <v>2</v>
      </c>
      <c r="AW92" s="304">
        <f t="shared" si="12"/>
        <v>14</v>
      </c>
    </row>
    <row r="93" spans="1:49">
      <c r="A93" s="304" t="str">
        <f ca="1">IF(LEFT(OFFSET(COM_N_2012!$A$60,AW93,0),2)="\I","*","")</f>
        <v>*</v>
      </c>
      <c r="B93" s="369" t="str">
        <f t="shared" ca="1" si="11"/>
        <v/>
      </c>
      <c r="C93" s="369" t="str">
        <f ca="1">IF($A93="*","",OFFSET(COM_N_2012!$B$60,AW93,0))</f>
        <v/>
      </c>
      <c r="D93" s="369" t="str">
        <f t="shared" ca="1" si="13"/>
        <v/>
      </c>
      <c r="E93" s="369" t="str">
        <f t="shared" ca="1" si="13"/>
        <v/>
      </c>
      <c r="F93" s="369" t="str">
        <f t="shared" ca="1" si="13"/>
        <v/>
      </c>
      <c r="G93" s="369" t="str">
        <f t="shared" ca="1" si="13"/>
        <v/>
      </c>
      <c r="H93" s="369" t="str">
        <f t="shared" ca="1" si="13"/>
        <v/>
      </c>
      <c r="I93" s="370" t="str">
        <f t="shared" ca="1" si="13"/>
        <v/>
      </c>
      <c r="J93" s="391" t="str">
        <f ca="1">IF($A93="*","",OFFSET(COM_N_2012!$B$60,AW93,SUMIF($B$10:$B$16,B93,$AX$10:$AX$16)))</f>
        <v/>
      </c>
      <c r="K93" s="369" t="str">
        <f ca="1">IF($B93&lt;&gt;"PRC_RESID","",IF(K$7=2005+OFFSET(COM_N_2012!$B$60,$AW93,SUMIF($B$10:$B$16,"NCAP_TLIFE",$AX$10:$AX$16)),0,""))</f>
        <v/>
      </c>
      <c r="L93" s="369" t="str">
        <f ca="1">IF($B93&lt;&gt;"PRC_RESID","",IF(L$7=2005+OFFSET(COM_N_2012!$B$60,$AW93,SUMIF($B$10:$B$16,"NCAP_TLIFE",$AX$10:$AX$16)),0,""))</f>
        <v/>
      </c>
      <c r="M93" s="369" t="str">
        <f ca="1">IF($B93&lt;&gt;"PRC_RESID","",IF(M$7=2005+OFFSET(COM_N_2012!$B$60,$AW93,SUMIF($B$10:$B$16,"NCAP_TLIFE",$AX$10:$AX$16)),0,""))</f>
        <v/>
      </c>
      <c r="N93" s="369" t="str">
        <f ca="1">IF($B93&lt;&gt;"PRC_RESID","",IF(N$7=2005+OFFSET(COM_N_2012!$B$60,$AW93,SUMIF($B$10:$B$16,"NCAP_TLIFE",$AX$10:$AX$16)),0,""))</f>
        <v/>
      </c>
      <c r="O93" s="369" t="str">
        <f ca="1">IF($B93&lt;&gt;"PRC_RESID","",IF(O$7=2005+OFFSET(COM_N_2012!$B$60,$AW93,SUMIF($B$10:$B$16,"NCAP_TLIFE",$AX$10:$AX$16)),0,""))</f>
        <v/>
      </c>
      <c r="P93" s="369" t="str">
        <f ca="1">IF($B93&lt;&gt;"PRC_RESID","",IF(P$7=2005+OFFSET(COM_N_2012!$B$60,$AW93,SUMIF($B$10:$B$16,"NCAP_TLIFE",$AX$10:$AX$16)),0,""))</f>
        <v/>
      </c>
      <c r="Q93" s="369" t="str">
        <f ca="1">IF($B93&lt;&gt;"PRC_RESID","",IF(Q$7=2005+OFFSET(COM_N_2012!$B$60,$AW93,SUMIF($B$10:$B$16,"NCAP_TLIFE",$AX$10:$AX$16)),0,""))</f>
        <v/>
      </c>
      <c r="R93" s="369" t="str">
        <f ca="1">IF($B93&lt;&gt;"PRC_RESID","",IF(R$7=2005+OFFSET(COM_N_2012!$B$60,$AW93,SUMIF($B$10:$B$16,"NCAP_TLIFE",$AX$10:$AX$16)),0,""))</f>
        <v/>
      </c>
      <c r="S93" s="369" t="str">
        <f ca="1">IF($B93&lt;&gt;"PRC_RESID","",IF(S$7=2005+OFFSET(COM_N_2012!$B$60,$AW93,SUMIF($B$10:$B$16,"NCAP_TLIFE",$AX$10:$AX$16)),0,""))</f>
        <v/>
      </c>
      <c r="T93" s="369" t="str">
        <f ca="1">IF($B93&lt;&gt;"PRC_RESID","",IF(T$7=2005+OFFSET(COM_N_2012!$B$60,$AW93,SUMIF($B$10:$B$16,"NCAP_TLIFE",$AX$10:$AX$16)),0,""))</f>
        <v/>
      </c>
      <c r="U93" s="369" t="str">
        <f ca="1">IF($B93&lt;&gt;"PRC_RESID","",IF(U$7=2005+OFFSET(COM_N_2012!$B$60,$AW93,SUMIF($B$10:$B$16,"NCAP_TLIFE",$AX$10:$AX$16)),0,""))</f>
        <v/>
      </c>
      <c r="V93" s="369" t="str">
        <f ca="1">IF($B93&lt;&gt;"PRC_RESID","",IF(V$7=2005+OFFSET(COM_N_2012!$B$60,$AW93,SUMIF($B$10:$B$16,"NCAP_TLIFE",$AX$10:$AX$16)),0,""))</f>
        <v/>
      </c>
      <c r="W93" s="369" t="str">
        <f ca="1">IF($B93&lt;&gt;"PRC_RESID","",IF(W$7=2005+OFFSET(COM_N_2012!$B$60,$AW93,SUMIF($B$10:$B$16,"NCAP_TLIFE",$AX$10:$AX$16)),0,""))</f>
        <v/>
      </c>
      <c r="X93" s="369" t="str">
        <f ca="1">IF($B93&lt;&gt;"PRC_RESID","",IF(X$7=2005+OFFSET(COM_N_2012!$B$60,$AW93,SUMIF($B$10:$B$16,"NCAP_TLIFE",$AX$10:$AX$16)),0,""))</f>
        <v/>
      </c>
      <c r="Y93" s="369" t="str">
        <f ca="1">IF($B93&lt;&gt;"PRC_RESID","",IF(Y$7=2005+OFFSET(COM_N_2012!$B$60,$AW93,SUMIF($B$10:$B$16,"NCAP_TLIFE",$AX$10:$AX$16)),0,""))</f>
        <v/>
      </c>
      <c r="Z93" s="369" t="str">
        <f ca="1">IF($B93&lt;&gt;"PRC_RESID","",IF(Z$7=2005+OFFSET(COM_N_2012!$B$60,$AW93,SUMIF($B$10:$B$16,"NCAP_TLIFE",$AX$10:$AX$16)),0,""))</f>
        <v/>
      </c>
      <c r="AA93" s="369" t="str">
        <f ca="1">IF($B93&lt;&gt;"PRC_RESID","",IF(AA$7=2005+OFFSET(COM_N_2012!$B$60,$AW93,SUMIF($B$10:$B$16,"NCAP_TLIFE",$AX$10:$AX$16)),0,""))</f>
        <v/>
      </c>
      <c r="AB93" s="369" t="str">
        <f ca="1">IF($B93&lt;&gt;"PRC_RESID","",IF(AB$7=2005+OFFSET(COM_N_2012!$B$60,$AW93,SUMIF($B$10:$B$16,"NCAP_TLIFE",$AX$10:$AX$16)),0,""))</f>
        <v/>
      </c>
      <c r="AC93" s="369" t="str">
        <f ca="1">IF($B93&lt;&gt;"PRC_RESID","",IF(AC$7=2005+OFFSET(COM_N_2012!$B$60,$AW93,SUMIF($B$10:$B$16,"NCAP_TLIFE",$AX$10:$AX$16)),0,""))</f>
        <v/>
      </c>
      <c r="AD93" s="369" t="str">
        <f ca="1">IF($B93&lt;&gt;"PRC_RESID","",IF(AD$7=2005+OFFSET(COM_N_2012!$B$60,$AW93,SUMIF($B$10:$B$16,"NCAP_TLIFE",$AX$10:$AX$16)),0,""))</f>
        <v/>
      </c>
      <c r="AE93" s="369" t="str">
        <f ca="1">IF($B93&lt;&gt;"PRC_RESID","",IF(AE$7=2005+OFFSET(COM_N_2012!$B$60,$AW93,SUMIF($B$10:$B$16,"NCAP_TLIFE",$AX$10:$AX$16)),0,""))</f>
        <v/>
      </c>
      <c r="AF93" s="369" t="str">
        <f ca="1">IF($B93&lt;&gt;"PRC_RESID","",IF(AF$7=2005+OFFSET(COM_N_2012!$B$60,$AW93,SUMIF($B$10:$B$16,"NCAP_TLIFE",$AX$10:$AX$16)),0,""))</f>
        <v/>
      </c>
      <c r="AG93" s="369" t="str">
        <f ca="1">IF($B93&lt;&gt;"PRC_RESID","",IF(AG$7=2005+OFFSET(COM_N_2012!$B$60,$AW93,SUMIF($B$10:$B$16,"NCAP_TLIFE",$AX$10:$AX$16)),0,""))</f>
        <v/>
      </c>
      <c r="AH93" s="369" t="str">
        <f ca="1">IF($B93&lt;&gt;"PRC_RESID","",IF(AH$7=2005+OFFSET(COM_N_2012!$B$60,$AW93,SUMIF($B$10:$B$16,"NCAP_TLIFE",$AX$10:$AX$16)),0,""))</f>
        <v/>
      </c>
      <c r="AI93" s="369" t="str">
        <f ca="1">IF($B93&lt;&gt;"PRC_RESID","",IF(AI$7=2005+OFFSET(COM_N_2012!$B$60,$AW93,SUMIF($B$10:$B$16,"NCAP_TLIFE",$AX$10:$AX$16)),0,""))</f>
        <v/>
      </c>
      <c r="AJ93" s="369" t="str">
        <f ca="1">IF($B93&lt;&gt;"PRC_RESID","",IF(AJ$7=2005+OFFSET(COM_N_2012!$B$60,$AW93,SUMIF($B$10:$B$16,"NCAP_TLIFE",$AX$10:$AX$16)),0,""))</f>
        <v/>
      </c>
      <c r="AK93" s="369" t="str">
        <f ca="1">IF($B93&lt;&gt;"PRC_RESID","",IF(AK$7=2005+OFFSET(COM_N_2012!$B$60,$AW93,SUMIF($B$10:$B$16,"NCAP_TLIFE",$AX$10:$AX$16)),0,""))</f>
        <v/>
      </c>
      <c r="AL93" s="369" t="str">
        <f ca="1">IF($B93&lt;&gt;"PRC_RESID","",IF(AL$7=2005+OFFSET(COM_N_2012!$B$60,$AW93,SUMIF($B$10:$B$16,"NCAP_TLIFE",$AX$10:$AX$16)),0,""))</f>
        <v/>
      </c>
      <c r="AM93" s="369" t="str">
        <f ca="1">IF($B93&lt;&gt;"PRC_RESID","",IF(AM$7=2005+OFFSET(COM_N_2012!$B$60,$AW93,SUMIF($B$10:$B$16,"NCAP_TLIFE",$AX$10:$AX$16)),0,""))</f>
        <v/>
      </c>
      <c r="AN93" s="369" t="str">
        <f ca="1">IF($B93&lt;&gt;"PRC_RESID","",IF(AN$7=2005+OFFSET(COM_N_2012!$B$60,$AW93,SUMIF($B$10:$B$16,"NCAP_TLIFE",$AX$10:$AX$16)),0,""))</f>
        <v/>
      </c>
      <c r="AO93" s="369" t="str">
        <f ca="1">IF($B93&lt;&gt;"PRC_RESID","",IF(AO$7=2005+OFFSET(COM_N_2012!$B$60,$AW93,SUMIF($B$10:$B$16,"NCAP_TLIFE",$AX$10:$AX$16)),0,""))</f>
        <v/>
      </c>
      <c r="AP93" s="369" t="str">
        <f ca="1">IF($B93&lt;&gt;"PRC_RESID","",IF(AP$7=2005+OFFSET(COM_N_2012!$B$60,$AW93,SUMIF($B$10:$B$16,"NCAP_TLIFE",$AX$10:$AX$16)),0,""))</f>
        <v/>
      </c>
      <c r="AQ93" s="369" t="str">
        <f ca="1">IF($B93&lt;&gt;"PRC_RESID","",IF(AQ$7=2005+OFFSET(COM_N_2012!$B$60,$AW93,SUMIF($B$10:$B$16,"NCAP_TLIFE",$AX$10:$AX$16)),0,""))</f>
        <v/>
      </c>
      <c r="AR93" s="369" t="str">
        <f ca="1">IF($B93&lt;&gt;"PRC_RESID","",IF(AR$7=2005+OFFSET(COM_N_2012!$B$60,$AW93,SUMIF($B$10:$B$16,"NCAP_TLIFE",$AX$10:$AX$16)),0,""))</f>
        <v/>
      </c>
      <c r="AS93" s="369" t="str">
        <f ca="1">IF($B93&lt;&gt;"PRC_RESID","",IF(AS$7=2005+OFFSET(COM_N_2012!$B$60,$AW93,SUMIF($B$10:$B$16,"NCAP_TLIFE",$AX$10:$AX$16)),0,""))</f>
        <v/>
      </c>
      <c r="AT93" s="369" t="str">
        <f ca="1">IF($B93&lt;&gt;"PRC_RESID","",IF(AT$7=2005+OFFSET(COM_N_2012!$B$60,$AW93,SUMIF($B$10:$B$16,"NCAP_TLIFE",$AX$10:$AX$16)),0,""))</f>
        <v/>
      </c>
      <c r="AU93" s="369" t="str">
        <f ca="1">IF($B93&lt;&gt;"PRC_RESID","",IF(AU$7=2005+OFFSET(COM_N_2012!$B$60,$AW93,SUMIF($B$10:$B$16,"NCAP_TLIFE",$AX$10:$AX$16)),0,""))</f>
        <v/>
      </c>
      <c r="AV93" s="304">
        <f>IF(AW92=COM_N_2012!$AK$121,AV92+1,AV92)</f>
        <v>2</v>
      </c>
      <c r="AW93" s="304">
        <f t="shared" si="12"/>
        <v>15</v>
      </c>
    </row>
    <row r="94" spans="1:49">
      <c r="A94" s="304" t="str">
        <f ca="1">IF(LEFT(OFFSET(COM_N_2012!$A$60,AW94,0),2)="\I","*","")</f>
        <v/>
      </c>
      <c r="B94" s="369" t="str">
        <f t="shared" ca="1" si="11"/>
        <v>NCAP_BND</v>
      </c>
      <c r="C94" s="369" t="str">
        <f ca="1">IF($A94="*","",OFFSET(COM_N_2012!$B$60,AW94,0))</f>
        <v>CNKOLP-E</v>
      </c>
      <c r="D94" s="369" t="str">
        <f t="shared" ca="1" si="13"/>
        <v>-</v>
      </c>
      <c r="E94" s="369" t="str">
        <f t="shared" ca="1" si="13"/>
        <v>-</v>
      </c>
      <c r="F94" s="369" t="str">
        <f t="shared" ca="1" si="13"/>
        <v>-</v>
      </c>
      <c r="G94" s="369" t="str">
        <f t="shared" ca="1" si="13"/>
        <v>-</v>
      </c>
      <c r="H94" s="369" t="str">
        <f t="shared" ca="1" si="13"/>
        <v>UP</v>
      </c>
      <c r="I94" s="370">
        <f t="shared" ca="1" si="13"/>
        <v>0</v>
      </c>
      <c r="J94" s="391">
        <f ca="1">IF($A94="*","",OFFSET(COM_N_2012!$B$60,AW94,SUMIF($B$10:$B$16,B94,$AX$10:$AX$16)))</f>
        <v>0</v>
      </c>
      <c r="K94" s="369" t="str">
        <f ca="1">IF($B94&lt;&gt;"PRC_RESID","",IF(K$7=2005+OFFSET(COM_N_2012!$B$60,$AW94,SUMIF($B$10:$B$16,"NCAP_TLIFE",$AX$10:$AX$16)),0,""))</f>
        <v/>
      </c>
      <c r="L94" s="369" t="str">
        <f ca="1">IF($B94&lt;&gt;"PRC_RESID","",IF(L$7=2005+OFFSET(COM_N_2012!$B$60,$AW94,SUMIF($B$10:$B$16,"NCAP_TLIFE",$AX$10:$AX$16)),0,""))</f>
        <v/>
      </c>
      <c r="M94" s="369" t="str">
        <f ca="1">IF($B94&lt;&gt;"PRC_RESID","",IF(M$7=2005+OFFSET(COM_N_2012!$B$60,$AW94,SUMIF($B$10:$B$16,"NCAP_TLIFE",$AX$10:$AX$16)),0,""))</f>
        <v/>
      </c>
      <c r="N94" s="369" t="str">
        <f ca="1">IF($B94&lt;&gt;"PRC_RESID","",IF(N$7=2005+OFFSET(COM_N_2012!$B$60,$AW94,SUMIF($B$10:$B$16,"NCAP_TLIFE",$AX$10:$AX$16)),0,""))</f>
        <v/>
      </c>
      <c r="O94" s="369" t="str">
        <f ca="1">IF($B94&lt;&gt;"PRC_RESID","",IF(O$7=2005+OFFSET(COM_N_2012!$B$60,$AW94,SUMIF($B$10:$B$16,"NCAP_TLIFE",$AX$10:$AX$16)),0,""))</f>
        <v/>
      </c>
      <c r="P94" s="369" t="str">
        <f ca="1">IF($B94&lt;&gt;"PRC_RESID","",IF(P$7=2005+OFFSET(COM_N_2012!$B$60,$AW94,SUMIF($B$10:$B$16,"NCAP_TLIFE",$AX$10:$AX$16)),0,""))</f>
        <v/>
      </c>
      <c r="Q94" s="369" t="str">
        <f ca="1">IF($B94&lt;&gt;"PRC_RESID","",IF(Q$7=2005+OFFSET(COM_N_2012!$B$60,$AW94,SUMIF($B$10:$B$16,"NCAP_TLIFE",$AX$10:$AX$16)),0,""))</f>
        <v/>
      </c>
      <c r="R94" s="369" t="str">
        <f ca="1">IF($B94&lt;&gt;"PRC_RESID","",IF(R$7=2005+OFFSET(COM_N_2012!$B$60,$AW94,SUMIF($B$10:$B$16,"NCAP_TLIFE",$AX$10:$AX$16)),0,""))</f>
        <v/>
      </c>
      <c r="S94" s="369" t="str">
        <f ca="1">IF($B94&lt;&gt;"PRC_RESID","",IF(S$7=2005+OFFSET(COM_N_2012!$B$60,$AW94,SUMIF($B$10:$B$16,"NCAP_TLIFE",$AX$10:$AX$16)),0,""))</f>
        <v/>
      </c>
      <c r="T94" s="369" t="str">
        <f ca="1">IF($B94&lt;&gt;"PRC_RESID","",IF(T$7=2005+OFFSET(COM_N_2012!$B$60,$AW94,SUMIF($B$10:$B$16,"NCAP_TLIFE",$AX$10:$AX$16)),0,""))</f>
        <v/>
      </c>
      <c r="U94" s="369" t="str">
        <f ca="1">IF($B94&lt;&gt;"PRC_RESID","",IF(U$7=2005+OFFSET(COM_N_2012!$B$60,$AW94,SUMIF($B$10:$B$16,"NCAP_TLIFE",$AX$10:$AX$16)),0,""))</f>
        <v/>
      </c>
      <c r="V94" s="369" t="str">
        <f ca="1">IF($B94&lt;&gt;"PRC_RESID","",IF(V$7=2005+OFFSET(COM_N_2012!$B$60,$AW94,SUMIF($B$10:$B$16,"NCAP_TLIFE",$AX$10:$AX$16)),0,""))</f>
        <v/>
      </c>
      <c r="W94" s="369" t="str">
        <f ca="1">IF($B94&lt;&gt;"PRC_RESID","",IF(W$7=2005+OFFSET(COM_N_2012!$B$60,$AW94,SUMIF($B$10:$B$16,"NCAP_TLIFE",$AX$10:$AX$16)),0,""))</f>
        <v/>
      </c>
      <c r="X94" s="369" t="str">
        <f ca="1">IF($B94&lt;&gt;"PRC_RESID","",IF(X$7=2005+OFFSET(COM_N_2012!$B$60,$AW94,SUMIF($B$10:$B$16,"NCAP_TLIFE",$AX$10:$AX$16)),0,""))</f>
        <v/>
      </c>
      <c r="Y94" s="369" t="str">
        <f ca="1">IF($B94&lt;&gt;"PRC_RESID","",IF(Y$7=2005+OFFSET(COM_N_2012!$B$60,$AW94,SUMIF($B$10:$B$16,"NCAP_TLIFE",$AX$10:$AX$16)),0,""))</f>
        <v/>
      </c>
      <c r="Z94" s="369" t="str">
        <f ca="1">IF($B94&lt;&gt;"PRC_RESID","",IF(Z$7=2005+OFFSET(COM_N_2012!$B$60,$AW94,SUMIF($B$10:$B$16,"NCAP_TLIFE",$AX$10:$AX$16)),0,""))</f>
        <v/>
      </c>
      <c r="AA94" s="369" t="str">
        <f ca="1">IF($B94&lt;&gt;"PRC_RESID","",IF(AA$7=2005+OFFSET(COM_N_2012!$B$60,$AW94,SUMIF($B$10:$B$16,"NCAP_TLIFE",$AX$10:$AX$16)),0,""))</f>
        <v/>
      </c>
      <c r="AB94" s="369" t="str">
        <f ca="1">IF($B94&lt;&gt;"PRC_RESID","",IF(AB$7=2005+OFFSET(COM_N_2012!$B$60,$AW94,SUMIF($B$10:$B$16,"NCAP_TLIFE",$AX$10:$AX$16)),0,""))</f>
        <v/>
      </c>
      <c r="AC94" s="369" t="str">
        <f ca="1">IF($B94&lt;&gt;"PRC_RESID","",IF(AC$7=2005+OFFSET(COM_N_2012!$B$60,$AW94,SUMIF($B$10:$B$16,"NCAP_TLIFE",$AX$10:$AX$16)),0,""))</f>
        <v/>
      </c>
      <c r="AD94" s="369" t="str">
        <f ca="1">IF($B94&lt;&gt;"PRC_RESID","",IF(AD$7=2005+OFFSET(COM_N_2012!$B$60,$AW94,SUMIF($B$10:$B$16,"NCAP_TLIFE",$AX$10:$AX$16)),0,""))</f>
        <v/>
      </c>
      <c r="AE94" s="369" t="str">
        <f ca="1">IF($B94&lt;&gt;"PRC_RESID","",IF(AE$7=2005+OFFSET(COM_N_2012!$B$60,$AW94,SUMIF($B$10:$B$16,"NCAP_TLIFE",$AX$10:$AX$16)),0,""))</f>
        <v/>
      </c>
      <c r="AF94" s="369" t="str">
        <f ca="1">IF($B94&lt;&gt;"PRC_RESID","",IF(AF$7=2005+OFFSET(COM_N_2012!$B$60,$AW94,SUMIF($B$10:$B$16,"NCAP_TLIFE",$AX$10:$AX$16)),0,""))</f>
        <v/>
      </c>
      <c r="AG94" s="369" t="str">
        <f ca="1">IF($B94&lt;&gt;"PRC_RESID","",IF(AG$7=2005+OFFSET(COM_N_2012!$B$60,$AW94,SUMIF($B$10:$B$16,"NCAP_TLIFE",$AX$10:$AX$16)),0,""))</f>
        <v/>
      </c>
      <c r="AH94" s="369" t="str">
        <f ca="1">IF($B94&lt;&gt;"PRC_RESID","",IF(AH$7=2005+OFFSET(COM_N_2012!$B$60,$AW94,SUMIF($B$10:$B$16,"NCAP_TLIFE",$AX$10:$AX$16)),0,""))</f>
        <v/>
      </c>
      <c r="AI94" s="369" t="str">
        <f ca="1">IF($B94&lt;&gt;"PRC_RESID","",IF(AI$7=2005+OFFSET(COM_N_2012!$B$60,$AW94,SUMIF($B$10:$B$16,"NCAP_TLIFE",$AX$10:$AX$16)),0,""))</f>
        <v/>
      </c>
      <c r="AJ94" s="369" t="str">
        <f ca="1">IF($B94&lt;&gt;"PRC_RESID","",IF(AJ$7=2005+OFFSET(COM_N_2012!$B$60,$AW94,SUMIF($B$10:$B$16,"NCAP_TLIFE",$AX$10:$AX$16)),0,""))</f>
        <v/>
      </c>
      <c r="AK94" s="369" t="str">
        <f ca="1">IF($B94&lt;&gt;"PRC_RESID","",IF(AK$7=2005+OFFSET(COM_N_2012!$B$60,$AW94,SUMIF($B$10:$B$16,"NCAP_TLIFE",$AX$10:$AX$16)),0,""))</f>
        <v/>
      </c>
      <c r="AL94" s="369" t="str">
        <f ca="1">IF($B94&lt;&gt;"PRC_RESID","",IF(AL$7=2005+OFFSET(COM_N_2012!$B$60,$AW94,SUMIF($B$10:$B$16,"NCAP_TLIFE",$AX$10:$AX$16)),0,""))</f>
        <v/>
      </c>
      <c r="AM94" s="369" t="str">
        <f ca="1">IF($B94&lt;&gt;"PRC_RESID","",IF(AM$7=2005+OFFSET(COM_N_2012!$B$60,$AW94,SUMIF($B$10:$B$16,"NCAP_TLIFE",$AX$10:$AX$16)),0,""))</f>
        <v/>
      </c>
      <c r="AN94" s="369" t="str">
        <f ca="1">IF($B94&lt;&gt;"PRC_RESID","",IF(AN$7=2005+OFFSET(COM_N_2012!$B$60,$AW94,SUMIF($B$10:$B$16,"NCAP_TLIFE",$AX$10:$AX$16)),0,""))</f>
        <v/>
      </c>
      <c r="AO94" s="369" t="str">
        <f ca="1">IF($B94&lt;&gt;"PRC_RESID","",IF(AO$7=2005+OFFSET(COM_N_2012!$B$60,$AW94,SUMIF($B$10:$B$16,"NCAP_TLIFE",$AX$10:$AX$16)),0,""))</f>
        <v/>
      </c>
      <c r="AP94" s="369" t="str">
        <f ca="1">IF($B94&lt;&gt;"PRC_RESID","",IF(AP$7=2005+OFFSET(COM_N_2012!$B$60,$AW94,SUMIF($B$10:$B$16,"NCAP_TLIFE",$AX$10:$AX$16)),0,""))</f>
        <v/>
      </c>
      <c r="AQ94" s="369" t="str">
        <f ca="1">IF($B94&lt;&gt;"PRC_RESID","",IF(AQ$7=2005+OFFSET(COM_N_2012!$B$60,$AW94,SUMIF($B$10:$B$16,"NCAP_TLIFE",$AX$10:$AX$16)),0,""))</f>
        <v/>
      </c>
      <c r="AR94" s="369" t="str">
        <f ca="1">IF($B94&lt;&gt;"PRC_RESID","",IF(AR$7=2005+OFFSET(COM_N_2012!$B$60,$AW94,SUMIF($B$10:$B$16,"NCAP_TLIFE",$AX$10:$AX$16)),0,""))</f>
        <v/>
      </c>
      <c r="AS94" s="369" t="str">
        <f ca="1">IF($B94&lt;&gt;"PRC_RESID","",IF(AS$7=2005+OFFSET(COM_N_2012!$B$60,$AW94,SUMIF($B$10:$B$16,"NCAP_TLIFE",$AX$10:$AX$16)),0,""))</f>
        <v/>
      </c>
      <c r="AT94" s="369" t="str">
        <f ca="1">IF($B94&lt;&gt;"PRC_RESID","",IF(AT$7=2005+OFFSET(COM_N_2012!$B$60,$AW94,SUMIF($B$10:$B$16,"NCAP_TLIFE",$AX$10:$AX$16)),0,""))</f>
        <v/>
      </c>
      <c r="AU94" s="369" t="str">
        <f ca="1">IF($B94&lt;&gt;"PRC_RESID","",IF(AU$7=2005+OFFSET(COM_N_2012!$B$60,$AW94,SUMIF($B$10:$B$16,"NCAP_TLIFE",$AX$10:$AX$16)),0,""))</f>
        <v/>
      </c>
      <c r="AV94" s="304">
        <f>IF(AW93=COM_N_2012!$AK$121,AV93+1,AV93)</f>
        <v>2</v>
      </c>
      <c r="AW94" s="304">
        <f t="shared" si="12"/>
        <v>16</v>
      </c>
    </row>
    <row r="95" spans="1:49">
      <c r="A95" s="304" t="str">
        <f ca="1">IF(LEFT(OFFSET(COM_N_2012!$A$60,AW95,0),2)="\I","*","")</f>
        <v/>
      </c>
      <c r="B95" s="369" t="str">
        <f t="shared" ca="1" si="11"/>
        <v>NCAP_BND</v>
      </c>
      <c r="C95" s="369" t="str">
        <f ca="1">IF($A95="*","",OFFSET(COM_N_2012!$B$60,AW95,0))</f>
        <v>CNKELC-E</v>
      </c>
      <c r="D95" s="369" t="str">
        <f t="shared" ca="1" si="13"/>
        <v>-</v>
      </c>
      <c r="E95" s="369" t="str">
        <f t="shared" ca="1" si="13"/>
        <v>-</v>
      </c>
      <c r="F95" s="369" t="str">
        <f t="shared" ca="1" si="13"/>
        <v>-</v>
      </c>
      <c r="G95" s="369" t="str">
        <f t="shared" ca="1" si="13"/>
        <v>-</v>
      </c>
      <c r="H95" s="369" t="str">
        <f t="shared" ca="1" si="13"/>
        <v>UP</v>
      </c>
      <c r="I95" s="370">
        <f t="shared" ca="1" si="13"/>
        <v>0</v>
      </c>
      <c r="J95" s="391">
        <f ca="1">IF($A95="*","",OFFSET(COM_N_2012!$B$60,AW95,SUMIF($B$10:$B$16,B95,$AX$10:$AX$16)))</f>
        <v>0</v>
      </c>
      <c r="K95" s="369" t="str">
        <f ca="1">IF($B95&lt;&gt;"PRC_RESID","",IF(K$7=2005+OFFSET(COM_N_2012!$B$60,$AW95,SUMIF($B$10:$B$16,"NCAP_TLIFE",$AX$10:$AX$16)),0,""))</f>
        <v/>
      </c>
      <c r="L95" s="369" t="str">
        <f ca="1">IF($B95&lt;&gt;"PRC_RESID","",IF(L$7=2005+OFFSET(COM_N_2012!$B$60,$AW95,SUMIF($B$10:$B$16,"NCAP_TLIFE",$AX$10:$AX$16)),0,""))</f>
        <v/>
      </c>
      <c r="M95" s="369" t="str">
        <f ca="1">IF($B95&lt;&gt;"PRC_RESID","",IF(M$7=2005+OFFSET(COM_N_2012!$B$60,$AW95,SUMIF($B$10:$B$16,"NCAP_TLIFE",$AX$10:$AX$16)),0,""))</f>
        <v/>
      </c>
      <c r="N95" s="369" t="str">
        <f ca="1">IF($B95&lt;&gt;"PRC_RESID","",IF(N$7=2005+OFFSET(COM_N_2012!$B$60,$AW95,SUMIF($B$10:$B$16,"NCAP_TLIFE",$AX$10:$AX$16)),0,""))</f>
        <v/>
      </c>
      <c r="O95" s="369" t="str">
        <f ca="1">IF($B95&lt;&gt;"PRC_RESID","",IF(O$7=2005+OFFSET(COM_N_2012!$B$60,$AW95,SUMIF($B$10:$B$16,"NCAP_TLIFE",$AX$10:$AX$16)),0,""))</f>
        <v/>
      </c>
      <c r="P95" s="369" t="str">
        <f ca="1">IF($B95&lt;&gt;"PRC_RESID","",IF(P$7=2005+OFFSET(COM_N_2012!$B$60,$AW95,SUMIF($B$10:$B$16,"NCAP_TLIFE",$AX$10:$AX$16)),0,""))</f>
        <v/>
      </c>
      <c r="Q95" s="369" t="str">
        <f ca="1">IF($B95&lt;&gt;"PRC_RESID","",IF(Q$7=2005+OFFSET(COM_N_2012!$B$60,$AW95,SUMIF($B$10:$B$16,"NCAP_TLIFE",$AX$10:$AX$16)),0,""))</f>
        <v/>
      </c>
      <c r="R95" s="369" t="str">
        <f ca="1">IF($B95&lt;&gt;"PRC_RESID","",IF(R$7=2005+OFFSET(COM_N_2012!$B$60,$AW95,SUMIF($B$10:$B$16,"NCAP_TLIFE",$AX$10:$AX$16)),0,""))</f>
        <v/>
      </c>
      <c r="S95" s="369" t="str">
        <f ca="1">IF($B95&lt;&gt;"PRC_RESID","",IF(S$7=2005+OFFSET(COM_N_2012!$B$60,$AW95,SUMIF($B$10:$B$16,"NCAP_TLIFE",$AX$10:$AX$16)),0,""))</f>
        <v/>
      </c>
      <c r="T95" s="369" t="str">
        <f ca="1">IF($B95&lt;&gt;"PRC_RESID","",IF(T$7=2005+OFFSET(COM_N_2012!$B$60,$AW95,SUMIF($B$10:$B$16,"NCAP_TLIFE",$AX$10:$AX$16)),0,""))</f>
        <v/>
      </c>
      <c r="U95" s="369" t="str">
        <f ca="1">IF($B95&lt;&gt;"PRC_RESID","",IF(U$7=2005+OFFSET(COM_N_2012!$B$60,$AW95,SUMIF($B$10:$B$16,"NCAP_TLIFE",$AX$10:$AX$16)),0,""))</f>
        <v/>
      </c>
      <c r="V95" s="369" t="str">
        <f ca="1">IF($B95&lt;&gt;"PRC_RESID","",IF(V$7=2005+OFFSET(COM_N_2012!$B$60,$AW95,SUMIF($B$10:$B$16,"NCAP_TLIFE",$AX$10:$AX$16)),0,""))</f>
        <v/>
      </c>
      <c r="W95" s="369" t="str">
        <f ca="1">IF($B95&lt;&gt;"PRC_RESID","",IF(W$7=2005+OFFSET(COM_N_2012!$B$60,$AW95,SUMIF($B$10:$B$16,"NCAP_TLIFE",$AX$10:$AX$16)),0,""))</f>
        <v/>
      </c>
      <c r="X95" s="369" t="str">
        <f ca="1">IF($B95&lt;&gt;"PRC_RESID","",IF(X$7=2005+OFFSET(COM_N_2012!$B$60,$AW95,SUMIF($B$10:$B$16,"NCAP_TLIFE",$AX$10:$AX$16)),0,""))</f>
        <v/>
      </c>
      <c r="Y95" s="369" t="str">
        <f ca="1">IF($B95&lt;&gt;"PRC_RESID","",IF(Y$7=2005+OFFSET(COM_N_2012!$B$60,$AW95,SUMIF($B$10:$B$16,"NCAP_TLIFE",$AX$10:$AX$16)),0,""))</f>
        <v/>
      </c>
      <c r="Z95" s="369" t="str">
        <f ca="1">IF($B95&lt;&gt;"PRC_RESID","",IF(Z$7=2005+OFFSET(COM_N_2012!$B$60,$AW95,SUMIF($B$10:$B$16,"NCAP_TLIFE",$AX$10:$AX$16)),0,""))</f>
        <v/>
      </c>
      <c r="AA95" s="369" t="str">
        <f ca="1">IF($B95&lt;&gt;"PRC_RESID","",IF(AA$7=2005+OFFSET(COM_N_2012!$B$60,$AW95,SUMIF($B$10:$B$16,"NCAP_TLIFE",$AX$10:$AX$16)),0,""))</f>
        <v/>
      </c>
      <c r="AB95" s="369" t="str">
        <f ca="1">IF($B95&lt;&gt;"PRC_RESID","",IF(AB$7=2005+OFFSET(COM_N_2012!$B$60,$AW95,SUMIF($B$10:$B$16,"NCAP_TLIFE",$AX$10:$AX$16)),0,""))</f>
        <v/>
      </c>
      <c r="AC95" s="369" t="str">
        <f ca="1">IF($B95&lt;&gt;"PRC_RESID","",IF(AC$7=2005+OFFSET(COM_N_2012!$B$60,$AW95,SUMIF($B$10:$B$16,"NCAP_TLIFE",$AX$10:$AX$16)),0,""))</f>
        <v/>
      </c>
      <c r="AD95" s="369" t="str">
        <f ca="1">IF($B95&lt;&gt;"PRC_RESID","",IF(AD$7=2005+OFFSET(COM_N_2012!$B$60,$AW95,SUMIF($B$10:$B$16,"NCAP_TLIFE",$AX$10:$AX$16)),0,""))</f>
        <v/>
      </c>
      <c r="AE95" s="369" t="str">
        <f ca="1">IF($B95&lt;&gt;"PRC_RESID","",IF(AE$7=2005+OFFSET(COM_N_2012!$B$60,$AW95,SUMIF($B$10:$B$16,"NCAP_TLIFE",$AX$10:$AX$16)),0,""))</f>
        <v/>
      </c>
      <c r="AF95" s="369" t="str">
        <f ca="1">IF($B95&lt;&gt;"PRC_RESID","",IF(AF$7=2005+OFFSET(COM_N_2012!$B$60,$AW95,SUMIF($B$10:$B$16,"NCAP_TLIFE",$AX$10:$AX$16)),0,""))</f>
        <v/>
      </c>
      <c r="AG95" s="369" t="str">
        <f ca="1">IF($B95&lt;&gt;"PRC_RESID","",IF(AG$7=2005+OFFSET(COM_N_2012!$B$60,$AW95,SUMIF($B$10:$B$16,"NCAP_TLIFE",$AX$10:$AX$16)),0,""))</f>
        <v/>
      </c>
      <c r="AH95" s="369" t="str">
        <f ca="1">IF($B95&lt;&gt;"PRC_RESID","",IF(AH$7=2005+OFFSET(COM_N_2012!$B$60,$AW95,SUMIF($B$10:$B$16,"NCAP_TLIFE",$AX$10:$AX$16)),0,""))</f>
        <v/>
      </c>
      <c r="AI95" s="369" t="str">
        <f ca="1">IF($B95&lt;&gt;"PRC_RESID","",IF(AI$7=2005+OFFSET(COM_N_2012!$B$60,$AW95,SUMIF($B$10:$B$16,"NCAP_TLIFE",$AX$10:$AX$16)),0,""))</f>
        <v/>
      </c>
      <c r="AJ95" s="369" t="str">
        <f ca="1">IF($B95&lt;&gt;"PRC_RESID","",IF(AJ$7=2005+OFFSET(COM_N_2012!$B$60,$AW95,SUMIF($B$10:$B$16,"NCAP_TLIFE",$AX$10:$AX$16)),0,""))</f>
        <v/>
      </c>
      <c r="AK95" s="369" t="str">
        <f ca="1">IF($B95&lt;&gt;"PRC_RESID","",IF(AK$7=2005+OFFSET(COM_N_2012!$B$60,$AW95,SUMIF($B$10:$B$16,"NCAP_TLIFE",$AX$10:$AX$16)),0,""))</f>
        <v/>
      </c>
      <c r="AL95" s="369" t="str">
        <f ca="1">IF($B95&lt;&gt;"PRC_RESID","",IF(AL$7=2005+OFFSET(COM_N_2012!$B$60,$AW95,SUMIF($B$10:$B$16,"NCAP_TLIFE",$AX$10:$AX$16)),0,""))</f>
        <v/>
      </c>
      <c r="AM95" s="369" t="str">
        <f ca="1">IF($B95&lt;&gt;"PRC_RESID","",IF(AM$7=2005+OFFSET(COM_N_2012!$B$60,$AW95,SUMIF($B$10:$B$16,"NCAP_TLIFE",$AX$10:$AX$16)),0,""))</f>
        <v/>
      </c>
      <c r="AN95" s="369" t="str">
        <f ca="1">IF($B95&lt;&gt;"PRC_RESID","",IF(AN$7=2005+OFFSET(COM_N_2012!$B$60,$AW95,SUMIF($B$10:$B$16,"NCAP_TLIFE",$AX$10:$AX$16)),0,""))</f>
        <v/>
      </c>
      <c r="AO95" s="369" t="str">
        <f ca="1">IF($B95&lt;&gt;"PRC_RESID","",IF(AO$7=2005+OFFSET(COM_N_2012!$B$60,$AW95,SUMIF($B$10:$B$16,"NCAP_TLIFE",$AX$10:$AX$16)),0,""))</f>
        <v/>
      </c>
      <c r="AP95" s="369" t="str">
        <f ca="1">IF($B95&lt;&gt;"PRC_RESID","",IF(AP$7=2005+OFFSET(COM_N_2012!$B$60,$AW95,SUMIF($B$10:$B$16,"NCAP_TLIFE",$AX$10:$AX$16)),0,""))</f>
        <v/>
      </c>
      <c r="AQ95" s="369" t="str">
        <f ca="1">IF($B95&lt;&gt;"PRC_RESID","",IF(AQ$7=2005+OFFSET(COM_N_2012!$B$60,$AW95,SUMIF($B$10:$B$16,"NCAP_TLIFE",$AX$10:$AX$16)),0,""))</f>
        <v/>
      </c>
      <c r="AR95" s="369" t="str">
        <f ca="1">IF($B95&lt;&gt;"PRC_RESID","",IF(AR$7=2005+OFFSET(COM_N_2012!$B$60,$AW95,SUMIF($B$10:$B$16,"NCAP_TLIFE",$AX$10:$AX$16)),0,""))</f>
        <v/>
      </c>
      <c r="AS95" s="369" t="str">
        <f ca="1">IF($B95&lt;&gt;"PRC_RESID","",IF(AS$7=2005+OFFSET(COM_N_2012!$B$60,$AW95,SUMIF($B$10:$B$16,"NCAP_TLIFE",$AX$10:$AX$16)),0,""))</f>
        <v/>
      </c>
      <c r="AT95" s="369" t="str">
        <f ca="1">IF($B95&lt;&gt;"PRC_RESID","",IF(AT$7=2005+OFFSET(COM_N_2012!$B$60,$AW95,SUMIF($B$10:$B$16,"NCAP_TLIFE",$AX$10:$AX$16)),0,""))</f>
        <v/>
      </c>
      <c r="AU95" s="369" t="str">
        <f ca="1">IF($B95&lt;&gt;"PRC_RESID","",IF(AU$7=2005+OFFSET(COM_N_2012!$B$60,$AW95,SUMIF($B$10:$B$16,"NCAP_TLIFE",$AX$10:$AX$16)),0,""))</f>
        <v/>
      </c>
      <c r="AV95" s="304">
        <f>IF(AW94=COM_N_2012!$AK$121,AV94+1,AV94)</f>
        <v>2</v>
      </c>
      <c r="AW95" s="304">
        <f t="shared" si="12"/>
        <v>17</v>
      </c>
    </row>
    <row r="96" spans="1:49">
      <c r="A96" s="304" t="str">
        <f ca="1">IF(LEFT(OFFSET(COM_N_2012!$A$60,AW96,0),2)="\I","*","")</f>
        <v/>
      </c>
      <c r="B96" s="369" t="str">
        <f t="shared" ca="1" si="11"/>
        <v>NCAP_BND</v>
      </c>
      <c r="C96" s="369" t="str">
        <f ca="1">IF($A96="*","",OFFSET(COM_N_2012!$B$60,AW96,0))</f>
        <v>CNKCOA-E</v>
      </c>
      <c r="D96" s="369" t="str">
        <f t="shared" ca="1" si="13"/>
        <v>-</v>
      </c>
      <c r="E96" s="369" t="str">
        <f t="shared" ca="1" si="13"/>
        <v>-</v>
      </c>
      <c r="F96" s="369" t="str">
        <f t="shared" ca="1" si="13"/>
        <v>-</v>
      </c>
      <c r="G96" s="369" t="str">
        <f t="shared" ca="1" si="13"/>
        <v>-</v>
      </c>
      <c r="H96" s="369" t="str">
        <f t="shared" ca="1" si="13"/>
        <v>UP</v>
      </c>
      <c r="I96" s="370">
        <f t="shared" ca="1" si="13"/>
        <v>0</v>
      </c>
      <c r="J96" s="391">
        <f ca="1">IF($A96="*","",OFFSET(COM_N_2012!$B$60,AW96,SUMIF($B$10:$B$16,B96,$AX$10:$AX$16)))</f>
        <v>0</v>
      </c>
      <c r="K96" s="369" t="str">
        <f ca="1">IF($B96&lt;&gt;"PRC_RESID","",IF(K$7=2005+OFFSET(COM_N_2012!$B$60,$AW96,SUMIF($B$10:$B$16,"NCAP_TLIFE",$AX$10:$AX$16)),0,""))</f>
        <v/>
      </c>
      <c r="L96" s="369" t="str">
        <f ca="1">IF($B96&lt;&gt;"PRC_RESID","",IF(L$7=2005+OFFSET(COM_N_2012!$B$60,$AW96,SUMIF($B$10:$B$16,"NCAP_TLIFE",$AX$10:$AX$16)),0,""))</f>
        <v/>
      </c>
      <c r="M96" s="369" t="str">
        <f ca="1">IF($B96&lt;&gt;"PRC_RESID","",IF(M$7=2005+OFFSET(COM_N_2012!$B$60,$AW96,SUMIF($B$10:$B$16,"NCAP_TLIFE",$AX$10:$AX$16)),0,""))</f>
        <v/>
      </c>
      <c r="N96" s="369" t="str">
        <f ca="1">IF($B96&lt;&gt;"PRC_RESID","",IF(N$7=2005+OFFSET(COM_N_2012!$B$60,$AW96,SUMIF($B$10:$B$16,"NCAP_TLIFE",$AX$10:$AX$16)),0,""))</f>
        <v/>
      </c>
      <c r="O96" s="369" t="str">
        <f ca="1">IF($B96&lt;&gt;"PRC_RESID","",IF(O$7=2005+OFFSET(COM_N_2012!$B$60,$AW96,SUMIF($B$10:$B$16,"NCAP_TLIFE",$AX$10:$AX$16)),0,""))</f>
        <v/>
      </c>
      <c r="P96" s="369" t="str">
        <f ca="1">IF($B96&lt;&gt;"PRC_RESID","",IF(P$7=2005+OFFSET(COM_N_2012!$B$60,$AW96,SUMIF($B$10:$B$16,"NCAP_TLIFE",$AX$10:$AX$16)),0,""))</f>
        <v/>
      </c>
      <c r="Q96" s="369" t="str">
        <f ca="1">IF($B96&lt;&gt;"PRC_RESID","",IF(Q$7=2005+OFFSET(COM_N_2012!$B$60,$AW96,SUMIF($B$10:$B$16,"NCAP_TLIFE",$AX$10:$AX$16)),0,""))</f>
        <v/>
      </c>
      <c r="R96" s="369" t="str">
        <f ca="1">IF($B96&lt;&gt;"PRC_RESID","",IF(R$7=2005+OFFSET(COM_N_2012!$B$60,$AW96,SUMIF($B$10:$B$16,"NCAP_TLIFE",$AX$10:$AX$16)),0,""))</f>
        <v/>
      </c>
      <c r="S96" s="369" t="str">
        <f ca="1">IF($B96&lt;&gt;"PRC_RESID","",IF(S$7=2005+OFFSET(COM_N_2012!$B$60,$AW96,SUMIF($B$10:$B$16,"NCAP_TLIFE",$AX$10:$AX$16)),0,""))</f>
        <v/>
      </c>
      <c r="T96" s="369" t="str">
        <f ca="1">IF($B96&lt;&gt;"PRC_RESID","",IF(T$7=2005+OFFSET(COM_N_2012!$B$60,$AW96,SUMIF($B$10:$B$16,"NCAP_TLIFE",$AX$10:$AX$16)),0,""))</f>
        <v/>
      </c>
      <c r="U96" s="369" t="str">
        <f ca="1">IF($B96&lt;&gt;"PRC_RESID","",IF(U$7=2005+OFFSET(COM_N_2012!$B$60,$AW96,SUMIF($B$10:$B$16,"NCAP_TLIFE",$AX$10:$AX$16)),0,""))</f>
        <v/>
      </c>
      <c r="V96" s="369" t="str">
        <f ca="1">IF($B96&lt;&gt;"PRC_RESID","",IF(V$7=2005+OFFSET(COM_N_2012!$B$60,$AW96,SUMIF($B$10:$B$16,"NCAP_TLIFE",$AX$10:$AX$16)),0,""))</f>
        <v/>
      </c>
      <c r="W96" s="369" t="str">
        <f ca="1">IF($B96&lt;&gt;"PRC_RESID","",IF(W$7=2005+OFFSET(COM_N_2012!$B$60,$AW96,SUMIF($B$10:$B$16,"NCAP_TLIFE",$AX$10:$AX$16)),0,""))</f>
        <v/>
      </c>
      <c r="X96" s="369" t="str">
        <f ca="1">IF($B96&lt;&gt;"PRC_RESID","",IF(X$7=2005+OFFSET(COM_N_2012!$B$60,$AW96,SUMIF($B$10:$B$16,"NCAP_TLIFE",$AX$10:$AX$16)),0,""))</f>
        <v/>
      </c>
      <c r="Y96" s="369" t="str">
        <f ca="1">IF($B96&lt;&gt;"PRC_RESID","",IF(Y$7=2005+OFFSET(COM_N_2012!$B$60,$AW96,SUMIF($B$10:$B$16,"NCAP_TLIFE",$AX$10:$AX$16)),0,""))</f>
        <v/>
      </c>
      <c r="Z96" s="369" t="str">
        <f ca="1">IF($B96&lt;&gt;"PRC_RESID","",IF(Z$7=2005+OFFSET(COM_N_2012!$B$60,$AW96,SUMIF($B$10:$B$16,"NCAP_TLIFE",$AX$10:$AX$16)),0,""))</f>
        <v/>
      </c>
      <c r="AA96" s="369" t="str">
        <f ca="1">IF($B96&lt;&gt;"PRC_RESID","",IF(AA$7=2005+OFFSET(COM_N_2012!$B$60,$AW96,SUMIF($B$10:$B$16,"NCAP_TLIFE",$AX$10:$AX$16)),0,""))</f>
        <v/>
      </c>
      <c r="AB96" s="369" t="str">
        <f ca="1">IF($B96&lt;&gt;"PRC_RESID","",IF(AB$7=2005+OFFSET(COM_N_2012!$B$60,$AW96,SUMIF($B$10:$B$16,"NCAP_TLIFE",$AX$10:$AX$16)),0,""))</f>
        <v/>
      </c>
      <c r="AC96" s="369" t="str">
        <f ca="1">IF($B96&lt;&gt;"PRC_RESID","",IF(AC$7=2005+OFFSET(COM_N_2012!$B$60,$AW96,SUMIF($B$10:$B$16,"NCAP_TLIFE",$AX$10:$AX$16)),0,""))</f>
        <v/>
      </c>
      <c r="AD96" s="369" t="str">
        <f ca="1">IF($B96&lt;&gt;"PRC_RESID","",IF(AD$7=2005+OFFSET(COM_N_2012!$B$60,$AW96,SUMIF($B$10:$B$16,"NCAP_TLIFE",$AX$10:$AX$16)),0,""))</f>
        <v/>
      </c>
      <c r="AE96" s="369" t="str">
        <f ca="1">IF($B96&lt;&gt;"PRC_RESID","",IF(AE$7=2005+OFFSET(COM_N_2012!$B$60,$AW96,SUMIF($B$10:$B$16,"NCAP_TLIFE",$AX$10:$AX$16)),0,""))</f>
        <v/>
      </c>
      <c r="AF96" s="369" t="str">
        <f ca="1">IF($B96&lt;&gt;"PRC_RESID","",IF(AF$7=2005+OFFSET(COM_N_2012!$B$60,$AW96,SUMIF($B$10:$B$16,"NCAP_TLIFE",$AX$10:$AX$16)),0,""))</f>
        <v/>
      </c>
      <c r="AG96" s="369" t="str">
        <f ca="1">IF($B96&lt;&gt;"PRC_RESID","",IF(AG$7=2005+OFFSET(COM_N_2012!$B$60,$AW96,SUMIF($B$10:$B$16,"NCAP_TLIFE",$AX$10:$AX$16)),0,""))</f>
        <v/>
      </c>
      <c r="AH96" s="369" t="str">
        <f ca="1">IF($B96&lt;&gt;"PRC_RESID","",IF(AH$7=2005+OFFSET(COM_N_2012!$B$60,$AW96,SUMIF($B$10:$B$16,"NCAP_TLIFE",$AX$10:$AX$16)),0,""))</f>
        <v/>
      </c>
      <c r="AI96" s="369" t="str">
        <f ca="1">IF($B96&lt;&gt;"PRC_RESID","",IF(AI$7=2005+OFFSET(COM_N_2012!$B$60,$AW96,SUMIF($B$10:$B$16,"NCAP_TLIFE",$AX$10:$AX$16)),0,""))</f>
        <v/>
      </c>
      <c r="AJ96" s="369" t="str">
        <f ca="1">IF($B96&lt;&gt;"PRC_RESID","",IF(AJ$7=2005+OFFSET(COM_N_2012!$B$60,$AW96,SUMIF($B$10:$B$16,"NCAP_TLIFE",$AX$10:$AX$16)),0,""))</f>
        <v/>
      </c>
      <c r="AK96" s="369" t="str">
        <f ca="1">IF($B96&lt;&gt;"PRC_RESID","",IF(AK$7=2005+OFFSET(COM_N_2012!$B$60,$AW96,SUMIF($B$10:$B$16,"NCAP_TLIFE",$AX$10:$AX$16)),0,""))</f>
        <v/>
      </c>
      <c r="AL96" s="369" t="str">
        <f ca="1">IF($B96&lt;&gt;"PRC_RESID","",IF(AL$7=2005+OFFSET(COM_N_2012!$B$60,$AW96,SUMIF($B$10:$B$16,"NCAP_TLIFE",$AX$10:$AX$16)),0,""))</f>
        <v/>
      </c>
      <c r="AM96" s="369" t="str">
        <f ca="1">IF($B96&lt;&gt;"PRC_RESID","",IF(AM$7=2005+OFFSET(COM_N_2012!$B$60,$AW96,SUMIF($B$10:$B$16,"NCAP_TLIFE",$AX$10:$AX$16)),0,""))</f>
        <v/>
      </c>
      <c r="AN96" s="369" t="str">
        <f ca="1">IF($B96&lt;&gt;"PRC_RESID","",IF(AN$7=2005+OFFSET(COM_N_2012!$B$60,$AW96,SUMIF($B$10:$B$16,"NCAP_TLIFE",$AX$10:$AX$16)),0,""))</f>
        <v/>
      </c>
      <c r="AO96" s="369" t="str">
        <f ca="1">IF($B96&lt;&gt;"PRC_RESID","",IF(AO$7=2005+OFFSET(COM_N_2012!$B$60,$AW96,SUMIF($B$10:$B$16,"NCAP_TLIFE",$AX$10:$AX$16)),0,""))</f>
        <v/>
      </c>
      <c r="AP96" s="369" t="str">
        <f ca="1">IF($B96&lt;&gt;"PRC_RESID","",IF(AP$7=2005+OFFSET(COM_N_2012!$B$60,$AW96,SUMIF($B$10:$B$16,"NCAP_TLIFE",$AX$10:$AX$16)),0,""))</f>
        <v/>
      </c>
      <c r="AQ96" s="369" t="str">
        <f ca="1">IF($B96&lt;&gt;"PRC_RESID","",IF(AQ$7=2005+OFFSET(COM_N_2012!$B$60,$AW96,SUMIF($B$10:$B$16,"NCAP_TLIFE",$AX$10:$AX$16)),0,""))</f>
        <v/>
      </c>
      <c r="AR96" s="369" t="str">
        <f ca="1">IF($B96&lt;&gt;"PRC_RESID","",IF(AR$7=2005+OFFSET(COM_N_2012!$B$60,$AW96,SUMIF($B$10:$B$16,"NCAP_TLIFE",$AX$10:$AX$16)),0,""))</f>
        <v/>
      </c>
      <c r="AS96" s="369" t="str">
        <f ca="1">IF($B96&lt;&gt;"PRC_RESID","",IF(AS$7=2005+OFFSET(COM_N_2012!$B$60,$AW96,SUMIF($B$10:$B$16,"NCAP_TLIFE",$AX$10:$AX$16)),0,""))</f>
        <v/>
      </c>
      <c r="AT96" s="369" t="str">
        <f ca="1">IF($B96&lt;&gt;"PRC_RESID","",IF(AT$7=2005+OFFSET(COM_N_2012!$B$60,$AW96,SUMIF($B$10:$B$16,"NCAP_TLIFE",$AX$10:$AX$16)),0,""))</f>
        <v/>
      </c>
      <c r="AU96" s="369" t="str">
        <f ca="1">IF($B96&lt;&gt;"PRC_RESID","",IF(AU$7=2005+OFFSET(COM_N_2012!$B$60,$AW96,SUMIF($B$10:$B$16,"NCAP_TLIFE",$AX$10:$AX$16)),0,""))</f>
        <v/>
      </c>
      <c r="AV96" s="304">
        <f>IF(AW95=COM_N_2012!$AK$121,AV95+1,AV95)</f>
        <v>2</v>
      </c>
      <c r="AW96" s="304">
        <f t="shared" si="12"/>
        <v>18</v>
      </c>
    </row>
    <row r="97" spans="1:49">
      <c r="A97" s="304" t="str">
        <f ca="1">IF(LEFT(OFFSET(COM_N_2012!$A$60,AW97,0),2)="\I","*","")</f>
        <v>*</v>
      </c>
      <c r="B97" s="369" t="str">
        <f t="shared" ca="1" si="11"/>
        <v/>
      </c>
      <c r="C97" s="369" t="str">
        <f ca="1">IF($A97="*","",OFFSET(COM_N_2012!$B$60,AW97,0))</f>
        <v/>
      </c>
      <c r="D97" s="369" t="str">
        <f t="shared" ca="1" si="13"/>
        <v/>
      </c>
      <c r="E97" s="369" t="str">
        <f t="shared" ca="1" si="13"/>
        <v/>
      </c>
      <c r="F97" s="369" t="str">
        <f t="shared" ca="1" si="13"/>
        <v/>
      </c>
      <c r="G97" s="369" t="str">
        <f t="shared" ca="1" si="13"/>
        <v/>
      </c>
      <c r="H97" s="369" t="str">
        <f t="shared" ca="1" si="13"/>
        <v/>
      </c>
      <c r="I97" s="370" t="str">
        <f t="shared" ca="1" si="13"/>
        <v/>
      </c>
      <c r="J97" s="391" t="str">
        <f ca="1">IF($A97="*","",OFFSET(COM_N_2012!$B$60,AW97,SUMIF($B$10:$B$16,B97,$AX$10:$AX$16)))</f>
        <v/>
      </c>
      <c r="K97" s="369" t="str">
        <f ca="1">IF($B97&lt;&gt;"PRC_RESID","",IF(K$7=2005+OFFSET(COM_N_2012!$B$60,$AW97,SUMIF($B$10:$B$16,"NCAP_TLIFE",$AX$10:$AX$16)),0,""))</f>
        <v/>
      </c>
      <c r="L97" s="369" t="str">
        <f ca="1">IF($B97&lt;&gt;"PRC_RESID","",IF(L$7=2005+OFFSET(COM_N_2012!$B$60,$AW97,SUMIF($B$10:$B$16,"NCAP_TLIFE",$AX$10:$AX$16)),0,""))</f>
        <v/>
      </c>
      <c r="M97" s="369" t="str">
        <f ca="1">IF($B97&lt;&gt;"PRC_RESID","",IF(M$7=2005+OFFSET(COM_N_2012!$B$60,$AW97,SUMIF($B$10:$B$16,"NCAP_TLIFE",$AX$10:$AX$16)),0,""))</f>
        <v/>
      </c>
      <c r="N97" s="369" t="str">
        <f ca="1">IF($B97&lt;&gt;"PRC_RESID","",IF(N$7=2005+OFFSET(COM_N_2012!$B$60,$AW97,SUMIF($B$10:$B$16,"NCAP_TLIFE",$AX$10:$AX$16)),0,""))</f>
        <v/>
      </c>
      <c r="O97" s="369" t="str">
        <f ca="1">IF($B97&lt;&gt;"PRC_RESID","",IF(O$7=2005+OFFSET(COM_N_2012!$B$60,$AW97,SUMIF($B$10:$B$16,"NCAP_TLIFE",$AX$10:$AX$16)),0,""))</f>
        <v/>
      </c>
      <c r="P97" s="369" t="str">
        <f ca="1">IF($B97&lt;&gt;"PRC_RESID","",IF(P$7=2005+OFFSET(COM_N_2012!$B$60,$AW97,SUMIF($B$10:$B$16,"NCAP_TLIFE",$AX$10:$AX$16)),0,""))</f>
        <v/>
      </c>
      <c r="Q97" s="369" t="str">
        <f ca="1">IF($B97&lt;&gt;"PRC_RESID","",IF(Q$7=2005+OFFSET(COM_N_2012!$B$60,$AW97,SUMIF($B$10:$B$16,"NCAP_TLIFE",$AX$10:$AX$16)),0,""))</f>
        <v/>
      </c>
      <c r="R97" s="369" t="str">
        <f ca="1">IF($B97&lt;&gt;"PRC_RESID","",IF(R$7=2005+OFFSET(COM_N_2012!$B$60,$AW97,SUMIF($B$10:$B$16,"NCAP_TLIFE",$AX$10:$AX$16)),0,""))</f>
        <v/>
      </c>
      <c r="S97" s="369" t="str">
        <f ca="1">IF($B97&lt;&gt;"PRC_RESID","",IF(S$7=2005+OFFSET(COM_N_2012!$B$60,$AW97,SUMIF($B$10:$B$16,"NCAP_TLIFE",$AX$10:$AX$16)),0,""))</f>
        <v/>
      </c>
      <c r="T97" s="369" t="str">
        <f ca="1">IF($B97&lt;&gt;"PRC_RESID","",IF(T$7=2005+OFFSET(COM_N_2012!$B$60,$AW97,SUMIF($B$10:$B$16,"NCAP_TLIFE",$AX$10:$AX$16)),0,""))</f>
        <v/>
      </c>
      <c r="U97" s="369" t="str">
        <f ca="1">IF($B97&lt;&gt;"PRC_RESID","",IF(U$7=2005+OFFSET(COM_N_2012!$B$60,$AW97,SUMIF($B$10:$B$16,"NCAP_TLIFE",$AX$10:$AX$16)),0,""))</f>
        <v/>
      </c>
      <c r="V97" s="369" t="str">
        <f ca="1">IF($B97&lt;&gt;"PRC_RESID","",IF(V$7=2005+OFFSET(COM_N_2012!$B$60,$AW97,SUMIF($B$10:$B$16,"NCAP_TLIFE",$AX$10:$AX$16)),0,""))</f>
        <v/>
      </c>
      <c r="W97" s="369" t="str">
        <f ca="1">IF($B97&lt;&gt;"PRC_RESID","",IF(W$7=2005+OFFSET(COM_N_2012!$B$60,$AW97,SUMIF($B$10:$B$16,"NCAP_TLIFE",$AX$10:$AX$16)),0,""))</f>
        <v/>
      </c>
      <c r="X97" s="369" t="str">
        <f ca="1">IF($B97&lt;&gt;"PRC_RESID","",IF(X$7=2005+OFFSET(COM_N_2012!$B$60,$AW97,SUMIF($B$10:$B$16,"NCAP_TLIFE",$AX$10:$AX$16)),0,""))</f>
        <v/>
      </c>
      <c r="Y97" s="369" t="str">
        <f ca="1">IF($B97&lt;&gt;"PRC_RESID","",IF(Y$7=2005+OFFSET(COM_N_2012!$B$60,$AW97,SUMIF($B$10:$B$16,"NCAP_TLIFE",$AX$10:$AX$16)),0,""))</f>
        <v/>
      </c>
      <c r="Z97" s="369" t="str">
        <f ca="1">IF($B97&lt;&gt;"PRC_RESID","",IF(Z$7=2005+OFFSET(COM_N_2012!$B$60,$AW97,SUMIF($B$10:$B$16,"NCAP_TLIFE",$AX$10:$AX$16)),0,""))</f>
        <v/>
      </c>
      <c r="AA97" s="369" t="str">
        <f ca="1">IF($B97&lt;&gt;"PRC_RESID","",IF(AA$7=2005+OFFSET(COM_N_2012!$B$60,$AW97,SUMIF($B$10:$B$16,"NCAP_TLIFE",$AX$10:$AX$16)),0,""))</f>
        <v/>
      </c>
      <c r="AB97" s="369" t="str">
        <f ca="1">IF($B97&lt;&gt;"PRC_RESID","",IF(AB$7=2005+OFFSET(COM_N_2012!$B$60,$AW97,SUMIF($B$10:$B$16,"NCAP_TLIFE",$AX$10:$AX$16)),0,""))</f>
        <v/>
      </c>
      <c r="AC97" s="369" t="str">
        <f ca="1">IF($B97&lt;&gt;"PRC_RESID","",IF(AC$7=2005+OFFSET(COM_N_2012!$B$60,$AW97,SUMIF($B$10:$B$16,"NCAP_TLIFE",$AX$10:$AX$16)),0,""))</f>
        <v/>
      </c>
      <c r="AD97" s="369" t="str">
        <f ca="1">IF($B97&lt;&gt;"PRC_RESID","",IF(AD$7=2005+OFFSET(COM_N_2012!$B$60,$AW97,SUMIF($B$10:$B$16,"NCAP_TLIFE",$AX$10:$AX$16)),0,""))</f>
        <v/>
      </c>
      <c r="AE97" s="369" t="str">
        <f ca="1">IF($B97&lt;&gt;"PRC_RESID","",IF(AE$7=2005+OFFSET(COM_N_2012!$B$60,$AW97,SUMIF($B$10:$B$16,"NCAP_TLIFE",$AX$10:$AX$16)),0,""))</f>
        <v/>
      </c>
      <c r="AF97" s="369" t="str">
        <f ca="1">IF($B97&lt;&gt;"PRC_RESID","",IF(AF$7=2005+OFFSET(COM_N_2012!$B$60,$AW97,SUMIF($B$10:$B$16,"NCAP_TLIFE",$AX$10:$AX$16)),0,""))</f>
        <v/>
      </c>
      <c r="AG97" s="369" t="str">
        <f ca="1">IF($B97&lt;&gt;"PRC_RESID","",IF(AG$7=2005+OFFSET(COM_N_2012!$B$60,$AW97,SUMIF($B$10:$B$16,"NCAP_TLIFE",$AX$10:$AX$16)),0,""))</f>
        <v/>
      </c>
      <c r="AH97" s="369" t="str">
        <f ca="1">IF($B97&lt;&gt;"PRC_RESID","",IF(AH$7=2005+OFFSET(COM_N_2012!$B$60,$AW97,SUMIF($B$10:$B$16,"NCAP_TLIFE",$AX$10:$AX$16)),0,""))</f>
        <v/>
      </c>
      <c r="AI97" s="369" t="str">
        <f ca="1">IF($B97&lt;&gt;"PRC_RESID","",IF(AI$7=2005+OFFSET(COM_N_2012!$B$60,$AW97,SUMIF($B$10:$B$16,"NCAP_TLIFE",$AX$10:$AX$16)),0,""))</f>
        <v/>
      </c>
      <c r="AJ97" s="369" t="str">
        <f ca="1">IF($B97&lt;&gt;"PRC_RESID","",IF(AJ$7=2005+OFFSET(COM_N_2012!$B$60,$AW97,SUMIF($B$10:$B$16,"NCAP_TLIFE",$AX$10:$AX$16)),0,""))</f>
        <v/>
      </c>
      <c r="AK97" s="369" t="str">
        <f ca="1">IF($B97&lt;&gt;"PRC_RESID","",IF(AK$7=2005+OFFSET(COM_N_2012!$B$60,$AW97,SUMIF($B$10:$B$16,"NCAP_TLIFE",$AX$10:$AX$16)),0,""))</f>
        <v/>
      </c>
      <c r="AL97" s="369" t="str">
        <f ca="1">IF($B97&lt;&gt;"PRC_RESID","",IF(AL$7=2005+OFFSET(COM_N_2012!$B$60,$AW97,SUMIF($B$10:$B$16,"NCAP_TLIFE",$AX$10:$AX$16)),0,""))</f>
        <v/>
      </c>
      <c r="AM97" s="369" t="str">
        <f ca="1">IF($B97&lt;&gt;"PRC_RESID","",IF(AM$7=2005+OFFSET(COM_N_2012!$B$60,$AW97,SUMIF($B$10:$B$16,"NCAP_TLIFE",$AX$10:$AX$16)),0,""))</f>
        <v/>
      </c>
      <c r="AN97" s="369" t="str">
        <f ca="1">IF($B97&lt;&gt;"PRC_RESID","",IF(AN$7=2005+OFFSET(COM_N_2012!$B$60,$AW97,SUMIF($B$10:$B$16,"NCAP_TLIFE",$AX$10:$AX$16)),0,""))</f>
        <v/>
      </c>
      <c r="AO97" s="369" t="str">
        <f ca="1">IF($B97&lt;&gt;"PRC_RESID","",IF(AO$7=2005+OFFSET(COM_N_2012!$B$60,$AW97,SUMIF($B$10:$B$16,"NCAP_TLIFE",$AX$10:$AX$16)),0,""))</f>
        <v/>
      </c>
      <c r="AP97" s="369" t="str">
        <f ca="1">IF($B97&lt;&gt;"PRC_RESID","",IF(AP$7=2005+OFFSET(COM_N_2012!$B$60,$AW97,SUMIF($B$10:$B$16,"NCAP_TLIFE",$AX$10:$AX$16)),0,""))</f>
        <v/>
      </c>
      <c r="AQ97" s="369" t="str">
        <f ca="1">IF($B97&lt;&gt;"PRC_RESID","",IF(AQ$7=2005+OFFSET(COM_N_2012!$B$60,$AW97,SUMIF($B$10:$B$16,"NCAP_TLIFE",$AX$10:$AX$16)),0,""))</f>
        <v/>
      </c>
      <c r="AR97" s="369" t="str">
        <f ca="1">IF($B97&lt;&gt;"PRC_RESID","",IF(AR$7=2005+OFFSET(COM_N_2012!$B$60,$AW97,SUMIF($B$10:$B$16,"NCAP_TLIFE",$AX$10:$AX$16)),0,""))</f>
        <v/>
      </c>
      <c r="AS97" s="369" t="str">
        <f ca="1">IF($B97&lt;&gt;"PRC_RESID","",IF(AS$7=2005+OFFSET(COM_N_2012!$B$60,$AW97,SUMIF($B$10:$B$16,"NCAP_TLIFE",$AX$10:$AX$16)),0,""))</f>
        <v/>
      </c>
      <c r="AT97" s="369" t="str">
        <f ca="1">IF($B97&lt;&gt;"PRC_RESID","",IF(AT$7=2005+OFFSET(COM_N_2012!$B$60,$AW97,SUMIF($B$10:$B$16,"NCAP_TLIFE",$AX$10:$AX$16)),0,""))</f>
        <v/>
      </c>
      <c r="AU97" s="369" t="str">
        <f ca="1">IF($B97&lt;&gt;"PRC_RESID","",IF(AU$7=2005+OFFSET(COM_N_2012!$B$60,$AW97,SUMIF($B$10:$B$16,"NCAP_TLIFE",$AX$10:$AX$16)),0,""))</f>
        <v/>
      </c>
      <c r="AV97" s="304">
        <f>IF(AW96=COM_N_2012!$AK$121,AV96+1,AV96)</f>
        <v>2</v>
      </c>
      <c r="AW97" s="304">
        <f t="shared" si="12"/>
        <v>19</v>
      </c>
    </row>
    <row r="98" spans="1:49">
      <c r="A98" s="304" t="str">
        <f ca="1">IF(LEFT(OFFSET(COM_N_2012!$A$60,AW98,0),2)="\I","*","")</f>
        <v>*</v>
      </c>
      <c r="B98" s="369" t="str">
        <f t="shared" ca="1" si="11"/>
        <v/>
      </c>
      <c r="C98" s="369" t="str">
        <f ca="1">IF($A98="*","",OFFSET(COM_N_2012!$B$60,AW98,0))</f>
        <v/>
      </c>
      <c r="D98" s="369" t="str">
        <f t="shared" ref="D98:I107" ca="1" si="14">IF($A98="*","",VLOOKUP($B98,$B$10:$I$16,D$9,FALSE))</f>
        <v/>
      </c>
      <c r="E98" s="369" t="str">
        <f t="shared" ca="1" si="14"/>
        <v/>
      </c>
      <c r="F98" s="369" t="str">
        <f t="shared" ca="1" si="14"/>
        <v/>
      </c>
      <c r="G98" s="369" t="str">
        <f t="shared" ca="1" si="14"/>
        <v/>
      </c>
      <c r="H98" s="369" t="str">
        <f t="shared" ca="1" si="14"/>
        <v/>
      </c>
      <c r="I98" s="370" t="str">
        <f t="shared" ca="1" si="14"/>
        <v/>
      </c>
      <c r="J98" s="391" t="str">
        <f ca="1">IF($A98="*","",OFFSET(COM_N_2012!$B$60,AW98,SUMIF($B$10:$B$16,B98,$AX$10:$AX$16)))</f>
        <v/>
      </c>
      <c r="K98" s="369" t="str">
        <f ca="1">IF($B98&lt;&gt;"PRC_RESID","",IF(K$7=2005+OFFSET(COM_N_2012!$B$60,$AW98,SUMIF($B$10:$B$16,"NCAP_TLIFE",$AX$10:$AX$16)),0,""))</f>
        <v/>
      </c>
      <c r="L98" s="369" t="str">
        <f ca="1">IF($B98&lt;&gt;"PRC_RESID","",IF(L$7=2005+OFFSET(COM_N_2012!$B$60,$AW98,SUMIF($B$10:$B$16,"NCAP_TLIFE",$AX$10:$AX$16)),0,""))</f>
        <v/>
      </c>
      <c r="M98" s="369" t="str">
        <f ca="1">IF($B98&lt;&gt;"PRC_RESID","",IF(M$7=2005+OFFSET(COM_N_2012!$B$60,$AW98,SUMIF($B$10:$B$16,"NCAP_TLIFE",$AX$10:$AX$16)),0,""))</f>
        <v/>
      </c>
      <c r="N98" s="369" t="str">
        <f ca="1">IF($B98&lt;&gt;"PRC_RESID","",IF(N$7=2005+OFFSET(COM_N_2012!$B$60,$AW98,SUMIF($B$10:$B$16,"NCAP_TLIFE",$AX$10:$AX$16)),0,""))</f>
        <v/>
      </c>
      <c r="O98" s="369" t="str">
        <f ca="1">IF($B98&lt;&gt;"PRC_RESID","",IF(O$7=2005+OFFSET(COM_N_2012!$B$60,$AW98,SUMIF($B$10:$B$16,"NCAP_TLIFE",$AX$10:$AX$16)),0,""))</f>
        <v/>
      </c>
      <c r="P98" s="369" t="str">
        <f ca="1">IF($B98&lt;&gt;"PRC_RESID","",IF(P$7=2005+OFFSET(COM_N_2012!$B$60,$AW98,SUMIF($B$10:$B$16,"NCAP_TLIFE",$AX$10:$AX$16)),0,""))</f>
        <v/>
      </c>
      <c r="Q98" s="369" t="str">
        <f ca="1">IF($B98&lt;&gt;"PRC_RESID","",IF(Q$7=2005+OFFSET(COM_N_2012!$B$60,$AW98,SUMIF($B$10:$B$16,"NCAP_TLIFE",$AX$10:$AX$16)),0,""))</f>
        <v/>
      </c>
      <c r="R98" s="369" t="str">
        <f ca="1">IF($B98&lt;&gt;"PRC_RESID","",IF(R$7=2005+OFFSET(COM_N_2012!$B$60,$AW98,SUMIF($B$10:$B$16,"NCAP_TLIFE",$AX$10:$AX$16)),0,""))</f>
        <v/>
      </c>
      <c r="S98" s="369" t="str">
        <f ca="1">IF($B98&lt;&gt;"PRC_RESID","",IF(S$7=2005+OFFSET(COM_N_2012!$B$60,$AW98,SUMIF($B$10:$B$16,"NCAP_TLIFE",$AX$10:$AX$16)),0,""))</f>
        <v/>
      </c>
      <c r="T98" s="369" t="str">
        <f ca="1">IF($B98&lt;&gt;"PRC_RESID","",IF(T$7=2005+OFFSET(COM_N_2012!$B$60,$AW98,SUMIF($B$10:$B$16,"NCAP_TLIFE",$AX$10:$AX$16)),0,""))</f>
        <v/>
      </c>
      <c r="U98" s="369" t="str">
        <f ca="1">IF($B98&lt;&gt;"PRC_RESID","",IF(U$7=2005+OFFSET(COM_N_2012!$B$60,$AW98,SUMIF($B$10:$B$16,"NCAP_TLIFE",$AX$10:$AX$16)),0,""))</f>
        <v/>
      </c>
      <c r="V98" s="369" t="str">
        <f ca="1">IF($B98&lt;&gt;"PRC_RESID","",IF(V$7=2005+OFFSET(COM_N_2012!$B$60,$AW98,SUMIF($B$10:$B$16,"NCAP_TLIFE",$AX$10:$AX$16)),0,""))</f>
        <v/>
      </c>
      <c r="W98" s="369" t="str">
        <f ca="1">IF($B98&lt;&gt;"PRC_RESID","",IF(W$7=2005+OFFSET(COM_N_2012!$B$60,$AW98,SUMIF($B$10:$B$16,"NCAP_TLIFE",$AX$10:$AX$16)),0,""))</f>
        <v/>
      </c>
      <c r="X98" s="369" t="str">
        <f ca="1">IF($B98&lt;&gt;"PRC_RESID","",IF(X$7=2005+OFFSET(COM_N_2012!$B$60,$AW98,SUMIF($B$10:$B$16,"NCAP_TLIFE",$AX$10:$AX$16)),0,""))</f>
        <v/>
      </c>
      <c r="Y98" s="369" t="str">
        <f ca="1">IF($B98&lt;&gt;"PRC_RESID","",IF(Y$7=2005+OFFSET(COM_N_2012!$B$60,$AW98,SUMIF($B$10:$B$16,"NCAP_TLIFE",$AX$10:$AX$16)),0,""))</f>
        <v/>
      </c>
      <c r="Z98" s="369" t="str">
        <f ca="1">IF($B98&lt;&gt;"PRC_RESID","",IF(Z$7=2005+OFFSET(COM_N_2012!$B$60,$AW98,SUMIF($B$10:$B$16,"NCAP_TLIFE",$AX$10:$AX$16)),0,""))</f>
        <v/>
      </c>
      <c r="AA98" s="369" t="str">
        <f ca="1">IF($B98&lt;&gt;"PRC_RESID","",IF(AA$7=2005+OFFSET(COM_N_2012!$B$60,$AW98,SUMIF($B$10:$B$16,"NCAP_TLIFE",$AX$10:$AX$16)),0,""))</f>
        <v/>
      </c>
      <c r="AB98" s="369" t="str">
        <f ca="1">IF($B98&lt;&gt;"PRC_RESID","",IF(AB$7=2005+OFFSET(COM_N_2012!$B$60,$AW98,SUMIF($B$10:$B$16,"NCAP_TLIFE",$AX$10:$AX$16)),0,""))</f>
        <v/>
      </c>
      <c r="AC98" s="369" t="str">
        <f ca="1">IF($B98&lt;&gt;"PRC_RESID","",IF(AC$7=2005+OFFSET(COM_N_2012!$B$60,$AW98,SUMIF($B$10:$B$16,"NCAP_TLIFE",$AX$10:$AX$16)),0,""))</f>
        <v/>
      </c>
      <c r="AD98" s="369" t="str">
        <f ca="1">IF($B98&lt;&gt;"PRC_RESID","",IF(AD$7=2005+OFFSET(COM_N_2012!$B$60,$AW98,SUMIF($B$10:$B$16,"NCAP_TLIFE",$AX$10:$AX$16)),0,""))</f>
        <v/>
      </c>
      <c r="AE98" s="369" t="str">
        <f ca="1">IF($B98&lt;&gt;"PRC_RESID","",IF(AE$7=2005+OFFSET(COM_N_2012!$B$60,$AW98,SUMIF($B$10:$B$16,"NCAP_TLIFE",$AX$10:$AX$16)),0,""))</f>
        <v/>
      </c>
      <c r="AF98" s="369" t="str">
        <f ca="1">IF($B98&lt;&gt;"PRC_RESID","",IF(AF$7=2005+OFFSET(COM_N_2012!$B$60,$AW98,SUMIF($B$10:$B$16,"NCAP_TLIFE",$AX$10:$AX$16)),0,""))</f>
        <v/>
      </c>
      <c r="AG98" s="369" t="str">
        <f ca="1">IF($B98&lt;&gt;"PRC_RESID","",IF(AG$7=2005+OFFSET(COM_N_2012!$B$60,$AW98,SUMIF($B$10:$B$16,"NCAP_TLIFE",$AX$10:$AX$16)),0,""))</f>
        <v/>
      </c>
      <c r="AH98" s="369" t="str">
        <f ca="1">IF($B98&lt;&gt;"PRC_RESID","",IF(AH$7=2005+OFFSET(COM_N_2012!$B$60,$AW98,SUMIF($B$10:$B$16,"NCAP_TLIFE",$AX$10:$AX$16)),0,""))</f>
        <v/>
      </c>
      <c r="AI98" s="369" t="str">
        <f ca="1">IF($B98&lt;&gt;"PRC_RESID","",IF(AI$7=2005+OFFSET(COM_N_2012!$B$60,$AW98,SUMIF($B$10:$B$16,"NCAP_TLIFE",$AX$10:$AX$16)),0,""))</f>
        <v/>
      </c>
      <c r="AJ98" s="369" t="str">
        <f ca="1">IF($B98&lt;&gt;"PRC_RESID","",IF(AJ$7=2005+OFFSET(COM_N_2012!$B$60,$AW98,SUMIF($B$10:$B$16,"NCAP_TLIFE",$AX$10:$AX$16)),0,""))</f>
        <v/>
      </c>
      <c r="AK98" s="369" t="str">
        <f ca="1">IF($B98&lt;&gt;"PRC_RESID","",IF(AK$7=2005+OFFSET(COM_N_2012!$B$60,$AW98,SUMIF($B$10:$B$16,"NCAP_TLIFE",$AX$10:$AX$16)),0,""))</f>
        <v/>
      </c>
      <c r="AL98" s="369" t="str">
        <f ca="1">IF($B98&lt;&gt;"PRC_RESID","",IF(AL$7=2005+OFFSET(COM_N_2012!$B$60,$AW98,SUMIF($B$10:$B$16,"NCAP_TLIFE",$AX$10:$AX$16)),0,""))</f>
        <v/>
      </c>
      <c r="AM98" s="369" t="str">
        <f ca="1">IF($B98&lt;&gt;"PRC_RESID","",IF(AM$7=2005+OFFSET(COM_N_2012!$B$60,$AW98,SUMIF($B$10:$B$16,"NCAP_TLIFE",$AX$10:$AX$16)),0,""))</f>
        <v/>
      </c>
      <c r="AN98" s="369" t="str">
        <f ca="1">IF($B98&lt;&gt;"PRC_RESID","",IF(AN$7=2005+OFFSET(COM_N_2012!$B$60,$AW98,SUMIF($B$10:$B$16,"NCAP_TLIFE",$AX$10:$AX$16)),0,""))</f>
        <v/>
      </c>
      <c r="AO98" s="369" t="str">
        <f ca="1">IF($B98&lt;&gt;"PRC_RESID","",IF(AO$7=2005+OFFSET(COM_N_2012!$B$60,$AW98,SUMIF($B$10:$B$16,"NCAP_TLIFE",$AX$10:$AX$16)),0,""))</f>
        <v/>
      </c>
      <c r="AP98" s="369" t="str">
        <f ca="1">IF($B98&lt;&gt;"PRC_RESID","",IF(AP$7=2005+OFFSET(COM_N_2012!$B$60,$AW98,SUMIF($B$10:$B$16,"NCAP_TLIFE",$AX$10:$AX$16)),0,""))</f>
        <v/>
      </c>
      <c r="AQ98" s="369" t="str">
        <f ca="1">IF($B98&lt;&gt;"PRC_RESID","",IF(AQ$7=2005+OFFSET(COM_N_2012!$B$60,$AW98,SUMIF($B$10:$B$16,"NCAP_TLIFE",$AX$10:$AX$16)),0,""))</f>
        <v/>
      </c>
      <c r="AR98" s="369" t="str">
        <f ca="1">IF($B98&lt;&gt;"PRC_RESID","",IF(AR$7=2005+OFFSET(COM_N_2012!$B$60,$AW98,SUMIF($B$10:$B$16,"NCAP_TLIFE",$AX$10:$AX$16)),0,""))</f>
        <v/>
      </c>
      <c r="AS98" s="369" t="str">
        <f ca="1">IF($B98&lt;&gt;"PRC_RESID","",IF(AS$7=2005+OFFSET(COM_N_2012!$B$60,$AW98,SUMIF($B$10:$B$16,"NCAP_TLIFE",$AX$10:$AX$16)),0,""))</f>
        <v/>
      </c>
      <c r="AT98" s="369" t="str">
        <f ca="1">IF($B98&lt;&gt;"PRC_RESID","",IF(AT$7=2005+OFFSET(COM_N_2012!$B$60,$AW98,SUMIF($B$10:$B$16,"NCAP_TLIFE",$AX$10:$AX$16)),0,""))</f>
        <v/>
      </c>
      <c r="AU98" s="369" t="str">
        <f ca="1">IF($B98&lt;&gt;"PRC_RESID","",IF(AU$7=2005+OFFSET(COM_N_2012!$B$60,$AW98,SUMIF($B$10:$B$16,"NCAP_TLIFE",$AX$10:$AX$16)),0,""))</f>
        <v/>
      </c>
      <c r="AV98" s="304">
        <f>IF(AW97=COM_N_2012!$AK$121,AV97+1,AV97)</f>
        <v>2</v>
      </c>
      <c r="AW98" s="304">
        <f t="shared" si="12"/>
        <v>20</v>
      </c>
    </row>
    <row r="99" spans="1:49">
      <c r="A99" s="304" t="str">
        <f ca="1">IF(LEFT(OFFSET(COM_N_2012!$A$60,AW99,0),2)="\I","*","")</f>
        <v/>
      </c>
      <c r="B99" s="369" t="str">
        <f t="shared" ca="1" si="11"/>
        <v>NCAP_BND</v>
      </c>
      <c r="C99" s="369" t="str">
        <f ca="1">IF($A99="*","",OFFSET(COM_N_2012!$B$60,AW99,0))</f>
        <v>CNLELCCFL-E</v>
      </c>
      <c r="D99" s="369" t="str">
        <f t="shared" ca="1" si="14"/>
        <v>-</v>
      </c>
      <c r="E99" s="369" t="str">
        <f t="shared" ca="1" si="14"/>
        <v>-</v>
      </c>
      <c r="F99" s="369" t="str">
        <f t="shared" ca="1" si="14"/>
        <v>-</v>
      </c>
      <c r="G99" s="369" t="str">
        <f t="shared" ca="1" si="14"/>
        <v>-</v>
      </c>
      <c r="H99" s="369" t="str">
        <f t="shared" ca="1" si="14"/>
        <v>UP</v>
      </c>
      <c r="I99" s="370">
        <f t="shared" ca="1" si="14"/>
        <v>0</v>
      </c>
      <c r="J99" s="391">
        <f ca="1">IF($A99="*","",OFFSET(COM_N_2012!$B$60,AW99,SUMIF($B$10:$B$16,B99,$AX$10:$AX$16)))</f>
        <v>0</v>
      </c>
      <c r="K99" s="369" t="str">
        <f ca="1">IF($B99&lt;&gt;"PRC_RESID","",IF(K$7=2005+OFFSET(COM_N_2012!$B$60,$AW99,SUMIF($B$10:$B$16,"NCAP_TLIFE",$AX$10:$AX$16)),0,""))</f>
        <v/>
      </c>
      <c r="L99" s="369" t="str">
        <f ca="1">IF($B99&lt;&gt;"PRC_RESID","",IF(L$7=2005+OFFSET(COM_N_2012!$B$60,$AW99,SUMIF($B$10:$B$16,"NCAP_TLIFE",$AX$10:$AX$16)),0,""))</f>
        <v/>
      </c>
      <c r="M99" s="369" t="str">
        <f ca="1">IF($B99&lt;&gt;"PRC_RESID","",IF(M$7=2005+OFFSET(COM_N_2012!$B$60,$AW99,SUMIF($B$10:$B$16,"NCAP_TLIFE",$AX$10:$AX$16)),0,""))</f>
        <v/>
      </c>
      <c r="N99" s="369" t="str">
        <f ca="1">IF($B99&lt;&gt;"PRC_RESID","",IF(N$7=2005+OFFSET(COM_N_2012!$B$60,$AW99,SUMIF($B$10:$B$16,"NCAP_TLIFE",$AX$10:$AX$16)),0,""))</f>
        <v/>
      </c>
      <c r="O99" s="369" t="str">
        <f ca="1">IF($B99&lt;&gt;"PRC_RESID","",IF(O$7=2005+OFFSET(COM_N_2012!$B$60,$AW99,SUMIF($B$10:$B$16,"NCAP_TLIFE",$AX$10:$AX$16)),0,""))</f>
        <v/>
      </c>
      <c r="P99" s="369" t="str">
        <f ca="1">IF($B99&lt;&gt;"PRC_RESID","",IF(P$7=2005+OFFSET(COM_N_2012!$B$60,$AW99,SUMIF($B$10:$B$16,"NCAP_TLIFE",$AX$10:$AX$16)),0,""))</f>
        <v/>
      </c>
      <c r="Q99" s="369" t="str">
        <f ca="1">IF($B99&lt;&gt;"PRC_RESID","",IF(Q$7=2005+OFFSET(COM_N_2012!$B$60,$AW99,SUMIF($B$10:$B$16,"NCAP_TLIFE",$AX$10:$AX$16)),0,""))</f>
        <v/>
      </c>
      <c r="R99" s="369" t="str">
        <f ca="1">IF($B99&lt;&gt;"PRC_RESID","",IF(R$7=2005+OFFSET(COM_N_2012!$B$60,$AW99,SUMIF($B$10:$B$16,"NCAP_TLIFE",$AX$10:$AX$16)),0,""))</f>
        <v/>
      </c>
      <c r="S99" s="369" t="str">
        <f ca="1">IF($B99&lt;&gt;"PRC_RESID","",IF(S$7=2005+OFFSET(COM_N_2012!$B$60,$AW99,SUMIF($B$10:$B$16,"NCAP_TLIFE",$AX$10:$AX$16)),0,""))</f>
        <v/>
      </c>
      <c r="T99" s="369" t="str">
        <f ca="1">IF($B99&lt;&gt;"PRC_RESID","",IF(T$7=2005+OFFSET(COM_N_2012!$B$60,$AW99,SUMIF($B$10:$B$16,"NCAP_TLIFE",$AX$10:$AX$16)),0,""))</f>
        <v/>
      </c>
      <c r="U99" s="369" t="str">
        <f ca="1">IF($B99&lt;&gt;"PRC_RESID","",IF(U$7=2005+OFFSET(COM_N_2012!$B$60,$AW99,SUMIF($B$10:$B$16,"NCAP_TLIFE",$AX$10:$AX$16)),0,""))</f>
        <v/>
      </c>
      <c r="V99" s="369" t="str">
        <f ca="1">IF($B99&lt;&gt;"PRC_RESID","",IF(V$7=2005+OFFSET(COM_N_2012!$B$60,$AW99,SUMIF($B$10:$B$16,"NCAP_TLIFE",$AX$10:$AX$16)),0,""))</f>
        <v/>
      </c>
      <c r="W99" s="369" t="str">
        <f ca="1">IF($B99&lt;&gt;"PRC_RESID","",IF(W$7=2005+OFFSET(COM_N_2012!$B$60,$AW99,SUMIF($B$10:$B$16,"NCAP_TLIFE",$AX$10:$AX$16)),0,""))</f>
        <v/>
      </c>
      <c r="X99" s="369" t="str">
        <f ca="1">IF($B99&lt;&gt;"PRC_RESID","",IF(X$7=2005+OFFSET(COM_N_2012!$B$60,$AW99,SUMIF($B$10:$B$16,"NCAP_TLIFE",$AX$10:$AX$16)),0,""))</f>
        <v/>
      </c>
      <c r="Y99" s="369" t="str">
        <f ca="1">IF($B99&lt;&gt;"PRC_RESID","",IF(Y$7=2005+OFFSET(COM_N_2012!$B$60,$AW99,SUMIF($B$10:$B$16,"NCAP_TLIFE",$AX$10:$AX$16)),0,""))</f>
        <v/>
      </c>
      <c r="Z99" s="369" t="str">
        <f ca="1">IF($B99&lt;&gt;"PRC_RESID","",IF(Z$7=2005+OFFSET(COM_N_2012!$B$60,$AW99,SUMIF($B$10:$B$16,"NCAP_TLIFE",$AX$10:$AX$16)),0,""))</f>
        <v/>
      </c>
      <c r="AA99" s="369" t="str">
        <f ca="1">IF($B99&lt;&gt;"PRC_RESID","",IF(AA$7=2005+OFFSET(COM_N_2012!$B$60,$AW99,SUMIF($B$10:$B$16,"NCAP_TLIFE",$AX$10:$AX$16)),0,""))</f>
        <v/>
      </c>
      <c r="AB99" s="369" t="str">
        <f ca="1">IF($B99&lt;&gt;"PRC_RESID","",IF(AB$7=2005+OFFSET(COM_N_2012!$B$60,$AW99,SUMIF($B$10:$B$16,"NCAP_TLIFE",$AX$10:$AX$16)),0,""))</f>
        <v/>
      </c>
      <c r="AC99" s="369" t="str">
        <f ca="1">IF($B99&lt;&gt;"PRC_RESID","",IF(AC$7=2005+OFFSET(COM_N_2012!$B$60,$AW99,SUMIF($B$10:$B$16,"NCAP_TLIFE",$AX$10:$AX$16)),0,""))</f>
        <v/>
      </c>
      <c r="AD99" s="369" t="str">
        <f ca="1">IF($B99&lt;&gt;"PRC_RESID","",IF(AD$7=2005+OFFSET(COM_N_2012!$B$60,$AW99,SUMIF($B$10:$B$16,"NCAP_TLIFE",$AX$10:$AX$16)),0,""))</f>
        <v/>
      </c>
      <c r="AE99" s="369" t="str">
        <f ca="1">IF($B99&lt;&gt;"PRC_RESID","",IF(AE$7=2005+OFFSET(COM_N_2012!$B$60,$AW99,SUMIF($B$10:$B$16,"NCAP_TLIFE",$AX$10:$AX$16)),0,""))</f>
        <v/>
      </c>
      <c r="AF99" s="369" t="str">
        <f ca="1">IF($B99&lt;&gt;"PRC_RESID","",IF(AF$7=2005+OFFSET(COM_N_2012!$B$60,$AW99,SUMIF($B$10:$B$16,"NCAP_TLIFE",$AX$10:$AX$16)),0,""))</f>
        <v/>
      </c>
      <c r="AG99" s="369" t="str">
        <f ca="1">IF($B99&lt;&gt;"PRC_RESID","",IF(AG$7=2005+OFFSET(COM_N_2012!$B$60,$AW99,SUMIF($B$10:$B$16,"NCAP_TLIFE",$AX$10:$AX$16)),0,""))</f>
        <v/>
      </c>
      <c r="AH99" s="369" t="str">
        <f ca="1">IF($B99&lt;&gt;"PRC_RESID","",IF(AH$7=2005+OFFSET(COM_N_2012!$B$60,$AW99,SUMIF($B$10:$B$16,"NCAP_TLIFE",$AX$10:$AX$16)),0,""))</f>
        <v/>
      </c>
      <c r="AI99" s="369" t="str">
        <f ca="1">IF($B99&lt;&gt;"PRC_RESID","",IF(AI$7=2005+OFFSET(COM_N_2012!$B$60,$AW99,SUMIF($B$10:$B$16,"NCAP_TLIFE",$AX$10:$AX$16)),0,""))</f>
        <v/>
      </c>
      <c r="AJ99" s="369" t="str">
        <f ca="1">IF($B99&lt;&gt;"PRC_RESID","",IF(AJ$7=2005+OFFSET(COM_N_2012!$B$60,$AW99,SUMIF($B$10:$B$16,"NCAP_TLIFE",$AX$10:$AX$16)),0,""))</f>
        <v/>
      </c>
      <c r="AK99" s="369" t="str">
        <f ca="1">IF($B99&lt;&gt;"PRC_RESID","",IF(AK$7=2005+OFFSET(COM_N_2012!$B$60,$AW99,SUMIF($B$10:$B$16,"NCAP_TLIFE",$AX$10:$AX$16)),0,""))</f>
        <v/>
      </c>
      <c r="AL99" s="369" t="str">
        <f ca="1">IF($B99&lt;&gt;"PRC_RESID","",IF(AL$7=2005+OFFSET(COM_N_2012!$B$60,$AW99,SUMIF($B$10:$B$16,"NCAP_TLIFE",$AX$10:$AX$16)),0,""))</f>
        <v/>
      </c>
      <c r="AM99" s="369" t="str">
        <f ca="1">IF($B99&lt;&gt;"PRC_RESID","",IF(AM$7=2005+OFFSET(COM_N_2012!$B$60,$AW99,SUMIF($B$10:$B$16,"NCAP_TLIFE",$AX$10:$AX$16)),0,""))</f>
        <v/>
      </c>
      <c r="AN99" s="369" t="str">
        <f ca="1">IF($B99&lt;&gt;"PRC_RESID","",IF(AN$7=2005+OFFSET(COM_N_2012!$B$60,$AW99,SUMIF($B$10:$B$16,"NCAP_TLIFE",$AX$10:$AX$16)),0,""))</f>
        <v/>
      </c>
      <c r="AO99" s="369" t="str">
        <f ca="1">IF($B99&lt;&gt;"PRC_RESID","",IF(AO$7=2005+OFFSET(COM_N_2012!$B$60,$AW99,SUMIF($B$10:$B$16,"NCAP_TLIFE",$AX$10:$AX$16)),0,""))</f>
        <v/>
      </c>
      <c r="AP99" s="369" t="str">
        <f ca="1">IF($B99&lt;&gt;"PRC_RESID","",IF(AP$7=2005+OFFSET(COM_N_2012!$B$60,$AW99,SUMIF($B$10:$B$16,"NCAP_TLIFE",$AX$10:$AX$16)),0,""))</f>
        <v/>
      </c>
      <c r="AQ99" s="369" t="str">
        <f ca="1">IF($B99&lt;&gt;"PRC_RESID","",IF(AQ$7=2005+OFFSET(COM_N_2012!$B$60,$AW99,SUMIF($B$10:$B$16,"NCAP_TLIFE",$AX$10:$AX$16)),0,""))</f>
        <v/>
      </c>
      <c r="AR99" s="369" t="str">
        <f ca="1">IF($B99&lt;&gt;"PRC_RESID","",IF(AR$7=2005+OFFSET(COM_N_2012!$B$60,$AW99,SUMIF($B$10:$B$16,"NCAP_TLIFE",$AX$10:$AX$16)),0,""))</f>
        <v/>
      </c>
      <c r="AS99" s="369" t="str">
        <f ca="1">IF($B99&lt;&gt;"PRC_RESID","",IF(AS$7=2005+OFFSET(COM_N_2012!$B$60,$AW99,SUMIF($B$10:$B$16,"NCAP_TLIFE",$AX$10:$AX$16)),0,""))</f>
        <v/>
      </c>
      <c r="AT99" s="369" t="str">
        <f ca="1">IF($B99&lt;&gt;"PRC_RESID","",IF(AT$7=2005+OFFSET(COM_N_2012!$B$60,$AW99,SUMIF($B$10:$B$16,"NCAP_TLIFE",$AX$10:$AX$16)),0,""))</f>
        <v/>
      </c>
      <c r="AU99" s="369" t="str">
        <f ca="1">IF($B99&lt;&gt;"PRC_RESID","",IF(AU$7=2005+OFFSET(COM_N_2012!$B$60,$AW99,SUMIF($B$10:$B$16,"NCAP_TLIFE",$AX$10:$AX$16)),0,""))</f>
        <v/>
      </c>
      <c r="AV99" s="304">
        <f>IF(AW98=COM_N_2012!$AK$121,AV98+1,AV98)</f>
        <v>2</v>
      </c>
      <c r="AW99" s="304">
        <f t="shared" si="12"/>
        <v>21</v>
      </c>
    </row>
    <row r="100" spans="1:49">
      <c r="A100" s="304" t="str">
        <f ca="1">IF(LEFT(OFFSET(COM_N_2012!$A$60,AW100,0),2)="\I","*","")</f>
        <v/>
      </c>
      <c r="B100" s="369" t="str">
        <f t="shared" ca="1" si="11"/>
        <v>NCAP_BND</v>
      </c>
      <c r="C100" s="369" t="str">
        <f ca="1">IF($A100="*","",OFFSET(COM_N_2012!$B$60,AW100,0))</f>
        <v>CNLELCFLU-E</v>
      </c>
      <c r="D100" s="369" t="str">
        <f t="shared" ca="1" si="14"/>
        <v>-</v>
      </c>
      <c r="E100" s="369" t="str">
        <f t="shared" ca="1" si="14"/>
        <v>-</v>
      </c>
      <c r="F100" s="369" t="str">
        <f t="shared" ca="1" si="14"/>
        <v>-</v>
      </c>
      <c r="G100" s="369" t="str">
        <f t="shared" ca="1" si="14"/>
        <v>-</v>
      </c>
      <c r="H100" s="369" t="str">
        <f t="shared" ca="1" si="14"/>
        <v>UP</v>
      </c>
      <c r="I100" s="370">
        <f t="shared" ca="1" si="14"/>
        <v>0</v>
      </c>
      <c r="J100" s="391">
        <f ca="1">IF($A100="*","",OFFSET(COM_N_2012!$B$60,AW100,SUMIF($B$10:$B$16,B100,$AX$10:$AX$16)))</f>
        <v>0</v>
      </c>
      <c r="K100" s="369" t="str">
        <f ca="1">IF($B100&lt;&gt;"PRC_RESID","",IF(K$7=2005+OFFSET(COM_N_2012!$B$60,$AW100,SUMIF($B$10:$B$16,"NCAP_TLIFE",$AX$10:$AX$16)),0,""))</f>
        <v/>
      </c>
      <c r="L100" s="369" t="str">
        <f ca="1">IF($B100&lt;&gt;"PRC_RESID","",IF(L$7=2005+OFFSET(COM_N_2012!$B$60,$AW100,SUMIF($B$10:$B$16,"NCAP_TLIFE",$AX$10:$AX$16)),0,""))</f>
        <v/>
      </c>
      <c r="M100" s="369" t="str">
        <f ca="1">IF($B100&lt;&gt;"PRC_RESID","",IF(M$7=2005+OFFSET(COM_N_2012!$B$60,$AW100,SUMIF($B$10:$B$16,"NCAP_TLIFE",$AX$10:$AX$16)),0,""))</f>
        <v/>
      </c>
      <c r="N100" s="369" t="str">
        <f ca="1">IF($B100&lt;&gt;"PRC_RESID","",IF(N$7=2005+OFFSET(COM_N_2012!$B$60,$AW100,SUMIF($B$10:$B$16,"NCAP_TLIFE",$AX$10:$AX$16)),0,""))</f>
        <v/>
      </c>
      <c r="O100" s="369" t="str">
        <f ca="1">IF($B100&lt;&gt;"PRC_RESID","",IF(O$7=2005+OFFSET(COM_N_2012!$B$60,$AW100,SUMIF($B$10:$B$16,"NCAP_TLIFE",$AX$10:$AX$16)),0,""))</f>
        <v/>
      </c>
      <c r="P100" s="369" t="str">
        <f ca="1">IF($B100&lt;&gt;"PRC_RESID","",IF(P$7=2005+OFFSET(COM_N_2012!$B$60,$AW100,SUMIF($B$10:$B$16,"NCAP_TLIFE",$AX$10:$AX$16)),0,""))</f>
        <v/>
      </c>
      <c r="Q100" s="369" t="str">
        <f ca="1">IF($B100&lt;&gt;"PRC_RESID","",IF(Q$7=2005+OFFSET(COM_N_2012!$B$60,$AW100,SUMIF($B$10:$B$16,"NCAP_TLIFE",$AX$10:$AX$16)),0,""))</f>
        <v/>
      </c>
      <c r="R100" s="369" t="str">
        <f ca="1">IF($B100&lt;&gt;"PRC_RESID","",IF(R$7=2005+OFFSET(COM_N_2012!$B$60,$AW100,SUMIF($B$10:$B$16,"NCAP_TLIFE",$AX$10:$AX$16)),0,""))</f>
        <v/>
      </c>
      <c r="S100" s="369" t="str">
        <f ca="1">IF($B100&lt;&gt;"PRC_RESID","",IF(S$7=2005+OFFSET(COM_N_2012!$B$60,$AW100,SUMIF($B$10:$B$16,"NCAP_TLIFE",$AX$10:$AX$16)),0,""))</f>
        <v/>
      </c>
      <c r="T100" s="369" t="str">
        <f ca="1">IF($B100&lt;&gt;"PRC_RESID","",IF(T$7=2005+OFFSET(COM_N_2012!$B$60,$AW100,SUMIF($B$10:$B$16,"NCAP_TLIFE",$AX$10:$AX$16)),0,""))</f>
        <v/>
      </c>
      <c r="U100" s="369" t="str">
        <f ca="1">IF($B100&lt;&gt;"PRC_RESID","",IF(U$7=2005+OFFSET(COM_N_2012!$B$60,$AW100,SUMIF($B$10:$B$16,"NCAP_TLIFE",$AX$10:$AX$16)),0,""))</f>
        <v/>
      </c>
      <c r="V100" s="369" t="str">
        <f ca="1">IF($B100&lt;&gt;"PRC_RESID","",IF(V$7=2005+OFFSET(COM_N_2012!$B$60,$AW100,SUMIF($B$10:$B$16,"NCAP_TLIFE",$AX$10:$AX$16)),0,""))</f>
        <v/>
      </c>
      <c r="W100" s="369" t="str">
        <f ca="1">IF($B100&lt;&gt;"PRC_RESID","",IF(W$7=2005+OFFSET(COM_N_2012!$B$60,$AW100,SUMIF($B$10:$B$16,"NCAP_TLIFE",$AX$10:$AX$16)),0,""))</f>
        <v/>
      </c>
      <c r="X100" s="369" t="str">
        <f ca="1">IF($B100&lt;&gt;"PRC_RESID","",IF(X$7=2005+OFFSET(COM_N_2012!$B$60,$AW100,SUMIF($B$10:$B$16,"NCAP_TLIFE",$AX$10:$AX$16)),0,""))</f>
        <v/>
      </c>
      <c r="Y100" s="369" t="str">
        <f ca="1">IF($B100&lt;&gt;"PRC_RESID","",IF(Y$7=2005+OFFSET(COM_N_2012!$B$60,$AW100,SUMIF($B$10:$B$16,"NCAP_TLIFE",$AX$10:$AX$16)),0,""))</f>
        <v/>
      </c>
      <c r="Z100" s="369" t="str">
        <f ca="1">IF($B100&lt;&gt;"PRC_RESID","",IF(Z$7=2005+OFFSET(COM_N_2012!$B$60,$AW100,SUMIF($B$10:$B$16,"NCAP_TLIFE",$AX$10:$AX$16)),0,""))</f>
        <v/>
      </c>
      <c r="AA100" s="369" t="str">
        <f ca="1">IF($B100&lt;&gt;"PRC_RESID","",IF(AA$7=2005+OFFSET(COM_N_2012!$B$60,$AW100,SUMIF($B$10:$B$16,"NCAP_TLIFE",$AX$10:$AX$16)),0,""))</f>
        <v/>
      </c>
      <c r="AB100" s="369" t="str">
        <f ca="1">IF($B100&lt;&gt;"PRC_RESID","",IF(AB$7=2005+OFFSET(COM_N_2012!$B$60,$AW100,SUMIF($B$10:$B$16,"NCAP_TLIFE",$AX$10:$AX$16)),0,""))</f>
        <v/>
      </c>
      <c r="AC100" s="369" t="str">
        <f ca="1">IF($B100&lt;&gt;"PRC_RESID","",IF(AC$7=2005+OFFSET(COM_N_2012!$B$60,$AW100,SUMIF($B$10:$B$16,"NCAP_TLIFE",$AX$10:$AX$16)),0,""))</f>
        <v/>
      </c>
      <c r="AD100" s="369" t="str">
        <f ca="1">IF($B100&lt;&gt;"PRC_RESID","",IF(AD$7=2005+OFFSET(COM_N_2012!$B$60,$AW100,SUMIF($B$10:$B$16,"NCAP_TLIFE",$AX$10:$AX$16)),0,""))</f>
        <v/>
      </c>
      <c r="AE100" s="369" t="str">
        <f ca="1">IF($B100&lt;&gt;"PRC_RESID","",IF(AE$7=2005+OFFSET(COM_N_2012!$B$60,$AW100,SUMIF($B$10:$B$16,"NCAP_TLIFE",$AX$10:$AX$16)),0,""))</f>
        <v/>
      </c>
      <c r="AF100" s="369" t="str">
        <f ca="1">IF($B100&lt;&gt;"PRC_RESID","",IF(AF$7=2005+OFFSET(COM_N_2012!$B$60,$AW100,SUMIF($B$10:$B$16,"NCAP_TLIFE",$AX$10:$AX$16)),0,""))</f>
        <v/>
      </c>
      <c r="AG100" s="369" t="str">
        <f ca="1">IF($B100&lt;&gt;"PRC_RESID","",IF(AG$7=2005+OFFSET(COM_N_2012!$B$60,$AW100,SUMIF($B$10:$B$16,"NCAP_TLIFE",$AX$10:$AX$16)),0,""))</f>
        <v/>
      </c>
      <c r="AH100" s="369" t="str">
        <f ca="1">IF($B100&lt;&gt;"PRC_RESID","",IF(AH$7=2005+OFFSET(COM_N_2012!$B$60,$AW100,SUMIF($B$10:$B$16,"NCAP_TLIFE",$AX$10:$AX$16)),0,""))</f>
        <v/>
      </c>
      <c r="AI100" s="369" t="str">
        <f ca="1">IF($B100&lt;&gt;"PRC_RESID","",IF(AI$7=2005+OFFSET(COM_N_2012!$B$60,$AW100,SUMIF($B$10:$B$16,"NCAP_TLIFE",$AX$10:$AX$16)),0,""))</f>
        <v/>
      </c>
      <c r="AJ100" s="369" t="str">
        <f ca="1">IF($B100&lt;&gt;"PRC_RESID","",IF(AJ$7=2005+OFFSET(COM_N_2012!$B$60,$AW100,SUMIF($B$10:$B$16,"NCAP_TLIFE",$AX$10:$AX$16)),0,""))</f>
        <v/>
      </c>
      <c r="AK100" s="369" t="str">
        <f ca="1">IF($B100&lt;&gt;"PRC_RESID","",IF(AK$7=2005+OFFSET(COM_N_2012!$B$60,$AW100,SUMIF($B$10:$B$16,"NCAP_TLIFE",$AX$10:$AX$16)),0,""))</f>
        <v/>
      </c>
      <c r="AL100" s="369" t="str">
        <f ca="1">IF($B100&lt;&gt;"PRC_RESID","",IF(AL$7=2005+OFFSET(COM_N_2012!$B$60,$AW100,SUMIF($B$10:$B$16,"NCAP_TLIFE",$AX$10:$AX$16)),0,""))</f>
        <v/>
      </c>
      <c r="AM100" s="369" t="str">
        <f ca="1">IF($B100&lt;&gt;"PRC_RESID","",IF(AM$7=2005+OFFSET(COM_N_2012!$B$60,$AW100,SUMIF($B$10:$B$16,"NCAP_TLIFE",$AX$10:$AX$16)),0,""))</f>
        <v/>
      </c>
      <c r="AN100" s="369" t="str">
        <f ca="1">IF($B100&lt;&gt;"PRC_RESID","",IF(AN$7=2005+OFFSET(COM_N_2012!$B$60,$AW100,SUMIF($B$10:$B$16,"NCAP_TLIFE",$AX$10:$AX$16)),0,""))</f>
        <v/>
      </c>
      <c r="AO100" s="369" t="str">
        <f ca="1">IF($B100&lt;&gt;"PRC_RESID","",IF(AO$7=2005+OFFSET(COM_N_2012!$B$60,$AW100,SUMIF($B$10:$B$16,"NCAP_TLIFE",$AX$10:$AX$16)),0,""))</f>
        <v/>
      </c>
      <c r="AP100" s="369" t="str">
        <f ca="1">IF($B100&lt;&gt;"PRC_RESID","",IF(AP$7=2005+OFFSET(COM_N_2012!$B$60,$AW100,SUMIF($B$10:$B$16,"NCAP_TLIFE",$AX$10:$AX$16)),0,""))</f>
        <v/>
      </c>
      <c r="AQ100" s="369" t="str">
        <f ca="1">IF($B100&lt;&gt;"PRC_RESID","",IF(AQ$7=2005+OFFSET(COM_N_2012!$B$60,$AW100,SUMIF($B$10:$B$16,"NCAP_TLIFE",$AX$10:$AX$16)),0,""))</f>
        <v/>
      </c>
      <c r="AR100" s="369" t="str">
        <f ca="1">IF($B100&lt;&gt;"PRC_RESID","",IF(AR$7=2005+OFFSET(COM_N_2012!$B$60,$AW100,SUMIF($B$10:$B$16,"NCAP_TLIFE",$AX$10:$AX$16)),0,""))</f>
        <v/>
      </c>
      <c r="AS100" s="369" t="str">
        <f ca="1">IF($B100&lt;&gt;"PRC_RESID","",IF(AS$7=2005+OFFSET(COM_N_2012!$B$60,$AW100,SUMIF($B$10:$B$16,"NCAP_TLIFE",$AX$10:$AX$16)),0,""))</f>
        <v/>
      </c>
      <c r="AT100" s="369" t="str">
        <f ca="1">IF($B100&lt;&gt;"PRC_RESID","",IF(AT$7=2005+OFFSET(COM_N_2012!$B$60,$AW100,SUMIF($B$10:$B$16,"NCAP_TLIFE",$AX$10:$AX$16)),0,""))</f>
        <v/>
      </c>
      <c r="AU100" s="369" t="str">
        <f ca="1">IF($B100&lt;&gt;"PRC_RESID","",IF(AU$7=2005+OFFSET(COM_N_2012!$B$60,$AW100,SUMIF($B$10:$B$16,"NCAP_TLIFE",$AX$10:$AX$16)),0,""))</f>
        <v/>
      </c>
      <c r="AV100" s="304">
        <f>IF(AW99=COM_N_2012!$AK$121,AV99+1,AV99)</f>
        <v>2</v>
      </c>
      <c r="AW100" s="304">
        <f t="shared" si="12"/>
        <v>22</v>
      </c>
    </row>
    <row r="101" spans="1:49">
      <c r="A101" s="304" t="str">
        <f ca="1">IF(LEFT(OFFSET(COM_N_2012!$A$60,AW101,0),2)="\I","*","")</f>
        <v/>
      </c>
      <c r="B101" s="369" t="str">
        <f t="shared" ca="1" si="11"/>
        <v>NCAP_BND</v>
      </c>
      <c r="C101" s="369" t="str">
        <f ca="1">IF($A101="*","",OFFSET(COM_N_2012!$B$60,AW101,0))</f>
        <v>CNLELCHAL-E</v>
      </c>
      <c r="D101" s="369" t="str">
        <f t="shared" ca="1" si="14"/>
        <v>-</v>
      </c>
      <c r="E101" s="369" t="str">
        <f t="shared" ca="1" si="14"/>
        <v>-</v>
      </c>
      <c r="F101" s="369" t="str">
        <f t="shared" ca="1" si="14"/>
        <v>-</v>
      </c>
      <c r="G101" s="369" t="str">
        <f t="shared" ca="1" si="14"/>
        <v>-</v>
      </c>
      <c r="H101" s="369" t="str">
        <f t="shared" ca="1" si="14"/>
        <v>UP</v>
      </c>
      <c r="I101" s="370">
        <f t="shared" ca="1" si="14"/>
        <v>0</v>
      </c>
      <c r="J101" s="391">
        <f ca="1">IF($A101="*","",OFFSET(COM_N_2012!$B$60,AW101,SUMIF($B$10:$B$16,B101,$AX$10:$AX$16)))</f>
        <v>0</v>
      </c>
      <c r="K101" s="369" t="str">
        <f ca="1">IF($B101&lt;&gt;"PRC_RESID","",IF(K$7=2005+OFFSET(COM_N_2012!$B$60,$AW101,SUMIF($B$10:$B$16,"NCAP_TLIFE",$AX$10:$AX$16)),0,""))</f>
        <v/>
      </c>
      <c r="L101" s="369" t="str">
        <f ca="1">IF($B101&lt;&gt;"PRC_RESID","",IF(L$7=2005+OFFSET(COM_N_2012!$B$60,$AW101,SUMIF($B$10:$B$16,"NCAP_TLIFE",$AX$10:$AX$16)),0,""))</f>
        <v/>
      </c>
      <c r="M101" s="369" t="str">
        <f ca="1">IF($B101&lt;&gt;"PRC_RESID","",IF(M$7=2005+OFFSET(COM_N_2012!$B$60,$AW101,SUMIF($B$10:$B$16,"NCAP_TLIFE",$AX$10:$AX$16)),0,""))</f>
        <v/>
      </c>
      <c r="N101" s="369" t="str">
        <f ca="1">IF($B101&lt;&gt;"PRC_RESID","",IF(N$7=2005+OFFSET(COM_N_2012!$B$60,$AW101,SUMIF($B$10:$B$16,"NCAP_TLIFE",$AX$10:$AX$16)),0,""))</f>
        <v/>
      </c>
      <c r="O101" s="369" t="str">
        <f ca="1">IF($B101&lt;&gt;"PRC_RESID","",IF(O$7=2005+OFFSET(COM_N_2012!$B$60,$AW101,SUMIF($B$10:$B$16,"NCAP_TLIFE",$AX$10:$AX$16)),0,""))</f>
        <v/>
      </c>
      <c r="P101" s="369" t="str">
        <f ca="1">IF($B101&lt;&gt;"PRC_RESID","",IF(P$7=2005+OFFSET(COM_N_2012!$B$60,$AW101,SUMIF($B$10:$B$16,"NCAP_TLIFE",$AX$10:$AX$16)),0,""))</f>
        <v/>
      </c>
      <c r="Q101" s="369" t="str">
        <f ca="1">IF($B101&lt;&gt;"PRC_RESID","",IF(Q$7=2005+OFFSET(COM_N_2012!$B$60,$AW101,SUMIF($B$10:$B$16,"NCAP_TLIFE",$AX$10:$AX$16)),0,""))</f>
        <v/>
      </c>
      <c r="R101" s="369" t="str">
        <f ca="1">IF($B101&lt;&gt;"PRC_RESID","",IF(R$7=2005+OFFSET(COM_N_2012!$B$60,$AW101,SUMIF($B$10:$B$16,"NCAP_TLIFE",$AX$10:$AX$16)),0,""))</f>
        <v/>
      </c>
      <c r="S101" s="369" t="str">
        <f ca="1">IF($B101&lt;&gt;"PRC_RESID","",IF(S$7=2005+OFFSET(COM_N_2012!$B$60,$AW101,SUMIF($B$10:$B$16,"NCAP_TLIFE",$AX$10:$AX$16)),0,""))</f>
        <v/>
      </c>
      <c r="T101" s="369" t="str">
        <f ca="1">IF($B101&lt;&gt;"PRC_RESID","",IF(T$7=2005+OFFSET(COM_N_2012!$B$60,$AW101,SUMIF($B$10:$B$16,"NCAP_TLIFE",$AX$10:$AX$16)),0,""))</f>
        <v/>
      </c>
      <c r="U101" s="369" t="str">
        <f ca="1">IF($B101&lt;&gt;"PRC_RESID","",IF(U$7=2005+OFFSET(COM_N_2012!$B$60,$AW101,SUMIF($B$10:$B$16,"NCAP_TLIFE",$AX$10:$AX$16)),0,""))</f>
        <v/>
      </c>
      <c r="V101" s="369" t="str">
        <f ca="1">IF($B101&lt;&gt;"PRC_RESID","",IF(V$7=2005+OFFSET(COM_N_2012!$B$60,$AW101,SUMIF($B$10:$B$16,"NCAP_TLIFE",$AX$10:$AX$16)),0,""))</f>
        <v/>
      </c>
      <c r="W101" s="369" t="str">
        <f ca="1">IF($B101&lt;&gt;"PRC_RESID","",IF(W$7=2005+OFFSET(COM_N_2012!$B$60,$AW101,SUMIF($B$10:$B$16,"NCAP_TLIFE",$AX$10:$AX$16)),0,""))</f>
        <v/>
      </c>
      <c r="X101" s="369" t="str">
        <f ca="1">IF($B101&lt;&gt;"PRC_RESID","",IF(X$7=2005+OFFSET(COM_N_2012!$B$60,$AW101,SUMIF($B$10:$B$16,"NCAP_TLIFE",$AX$10:$AX$16)),0,""))</f>
        <v/>
      </c>
      <c r="Y101" s="369" t="str">
        <f ca="1">IF($B101&lt;&gt;"PRC_RESID","",IF(Y$7=2005+OFFSET(COM_N_2012!$B$60,$AW101,SUMIF($B$10:$B$16,"NCAP_TLIFE",$AX$10:$AX$16)),0,""))</f>
        <v/>
      </c>
      <c r="Z101" s="369" t="str">
        <f ca="1">IF($B101&lt;&gt;"PRC_RESID","",IF(Z$7=2005+OFFSET(COM_N_2012!$B$60,$AW101,SUMIF($B$10:$B$16,"NCAP_TLIFE",$AX$10:$AX$16)),0,""))</f>
        <v/>
      </c>
      <c r="AA101" s="369" t="str">
        <f ca="1">IF($B101&lt;&gt;"PRC_RESID","",IF(AA$7=2005+OFFSET(COM_N_2012!$B$60,$AW101,SUMIF($B$10:$B$16,"NCAP_TLIFE",$AX$10:$AX$16)),0,""))</f>
        <v/>
      </c>
      <c r="AB101" s="369" t="str">
        <f ca="1">IF($B101&lt;&gt;"PRC_RESID","",IF(AB$7=2005+OFFSET(COM_N_2012!$B$60,$AW101,SUMIF($B$10:$B$16,"NCAP_TLIFE",$AX$10:$AX$16)),0,""))</f>
        <v/>
      </c>
      <c r="AC101" s="369" t="str">
        <f ca="1">IF($B101&lt;&gt;"PRC_RESID","",IF(AC$7=2005+OFFSET(COM_N_2012!$B$60,$AW101,SUMIF($B$10:$B$16,"NCAP_TLIFE",$AX$10:$AX$16)),0,""))</f>
        <v/>
      </c>
      <c r="AD101" s="369" t="str">
        <f ca="1">IF($B101&lt;&gt;"PRC_RESID","",IF(AD$7=2005+OFFSET(COM_N_2012!$B$60,$AW101,SUMIF($B$10:$B$16,"NCAP_TLIFE",$AX$10:$AX$16)),0,""))</f>
        <v/>
      </c>
      <c r="AE101" s="369" t="str">
        <f ca="1">IF($B101&lt;&gt;"PRC_RESID","",IF(AE$7=2005+OFFSET(COM_N_2012!$B$60,$AW101,SUMIF($B$10:$B$16,"NCAP_TLIFE",$AX$10:$AX$16)),0,""))</f>
        <v/>
      </c>
      <c r="AF101" s="369" t="str">
        <f ca="1">IF($B101&lt;&gt;"PRC_RESID","",IF(AF$7=2005+OFFSET(COM_N_2012!$B$60,$AW101,SUMIF($B$10:$B$16,"NCAP_TLIFE",$AX$10:$AX$16)),0,""))</f>
        <v/>
      </c>
      <c r="AG101" s="369" t="str">
        <f ca="1">IF($B101&lt;&gt;"PRC_RESID","",IF(AG$7=2005+OFFSET(COM_N_2012!$B$60,$AW101,SUMIF($B$10:$B$16,"NCAP_TLIFE",$AX$10:$AX$16)),0,""))</f>
        <v/>
      </c>
      <c r="AH101" s="369" t="str">
        <f ca="1">IF($B101&lt;&gt;"PRC_RESID","",IF(AH$7=2005+OFFSET(COM_N_2012!$B$60,$AW101,SUMIF($B$10:$B$16,"NCAP_TLIFE",$AX$10:$AX$16)),0,""))</f>
        <v/>
      </c>
      <c r="AI101" s="369" t="str">
        <f ca="1">IF($B101&lt;&gt;"PRC_RESID","",IF(AI$7=2005+OFFSET(COM_N_2012!$B$60,$AW101,SUMIF($B$10:$B$16,"NCAP_TLIFE",$AX$10:$AX$16)),0,""))</f>
        <v/>
      </c>
      <c r="AJ101" s="369" t="str">
        <f ca="1">IF($B101&lt;&gt;"PRC_RESID","",IF(AJ$7=2005+OFFSET(COM_N_2012!$B$60,$AW101,SUMIF($B$10:$B$16,"NCAP_TLIFE",$AX$10:$AX$16)),0,""))</f>
        <v/>
      </c>
      <c r="AK101" s="369" t="str">
        <f ca="1">IF($B101&lt;&gt;"PRC_RESID","",IF(AK$7=2005+OFFSET(COM_N_2012!$B$60,$AW101,SUMIF($B$10:$B$16,"NCAP_TLIFE",$AX$10:$AX$16)),0,""))</f>
        <v/>
      </c>
      <c r="AL101" s="369" t="str">
        <f ca="1">IF($B101&lt;&gt;"PRC_RESID","",IF(AL$7=2005+OFFSET(COM_N_2012!$B$60,$AW101,SUMIF($B$10:$B$16,"NCAP_TLIFE",$AX$10:$AX$16)),0,""))</f>
        <v/>
      </c>
      <c r="AM101" s="369" t="str">
        <f ca="1">IF($B101&lt;&gt;"PRC_RESID","",IF(AM$7=2005+OFFSET(COM_N_2012!$B$60,$AW101,SUMIF($B$10:$B$16,"NCAP_TLIFE",$AX$10:$AX$16)),0,""))</f>
        <v/>
      </c>
      <c r="AN101" s="369" t="str">
        <f ca="1">IF($B101&lt;&gt;"PRC_RESID","",IF(AN$7=2005+OFFSET(COM_N_2012!$B$60,$AW101,SUMIF($B$10:$B$16,"NCAP_TLIFE",$AX$10:$AX$16)),0,""))</f>
        <v/>
      </c>
      <c r="AO101" s="369" t="str">
        <f ca="1">IF($B101&lt;&gt;"PRC_RESID","",IF(AO$7=2005+OFFSET(COM_N_2012!$B$60,$AW101,SUMIF($B$10:$B$16,"NCAP_TLIFE",$AX$10:$AX$16)),0,""))</f>
        <v/>
      </c>
      <c r="AP101" s="369" t="str">
        <f ca="1">IF($B101&lt;&gt;"PRC_RESID","",IF(AP$7=2005+OFFSET(COM_N_2012!$B$60,$AW101,SUMIF($B$10:$B$16,"NCAP_TLIFE",$AX$10:$AX$16)),0,""))</f>
        <v/>
      </c>
      <c r="AQ101" s="369" t="str">
        <f ca="1">IF($B101&lt;&gt;"PRC_RESID","",IF(AQ$7=2005+OFFSET(COM_N_2012!$B$60,$AW101,SUMIF($B$10:$B$16,"NCAP_TLIFE",$AX$10:$AX$16)),0,""))</f>
        <v/>
      </c>
      <c r="AR101" s="369" t="str">
        <f ca="1">IF($B101&lt;&gt;"PRC_RESID","",IF(AR$7=2005+OFFSET(COM_N_2012!$B$60,$AW101,SUMIF($B$10:$B$16,"NCAP_TLIFE",$AX$10:$AX$16)),0,""))</f>
        <v/>
      </c>
      <c r="AS101" s="369" t="str">
        <f ca="1">IF($B101&lt;&gt;"PRC_RESID","",IF(AS$7=2005+OFFSET(COM_N_2012!$B$60,$AW101,SUMIF($B$10:$B$16,"NCAP_TLIFE",$AX$10:$AX$16)),0,""))</f>
        <v/>
      </c>
      <c r="AT101" s="369" t="str">
        <f ca="1">IF($B101&lt;&gt;"PRC_RESID","",IF(AT$7=2005+OFFSET(COM_N_2012!$B$60,$AW101,SUMIF($B$10:$B$16,"NCAP_TLIFE",$AX$10:$AX$16)),0,""))</f>
        <v/>
      </c>
      <c r="AU101" s="369" t="str">
        <f ca="1">IF($B101&lt;&gt;"PRC_RESID","",IF(AU$7=2005+OFFSET(COM_N_2012!$B$60,$AW101,SUMIF($B$10:$B$16,"NCAP_TLIFE",$AX$10:$AX$16)),0,""))</f>
        <v/>
      </c>
      <c r="AV101" s="304">
        <f>IF(AW100=COM_N_2012!$AK$121,AV100+1,AV100)</f>
        <v>2</v>
      </c>
      <c r="AW101" s="304">
        <f t="shared" si="12"/>
        <v>23</v>
      </c>
    </row>
    <row r="102" spans="1:49">
      <c r="A102" s="304" t="str">
        <f ca="1">IF(LEFT(OFFSET(COM_N_2012!$A$60,AW102,0),2)="\I","*","")</f>
        <v/>
      </c>
      <c r="B102" s="369" t="str">
        <f t="shared" ca="1" si="11"/>
        <v>NCAP_BND</v>
      </c>
      <c r="C102" s="369" t="str">
        <f ca="1">IF($A102="*","",OFFSET(COM_N_2012!$B$60,AW102,0))</f>
        <v>CNLELCHID-E</v>
      </c>
      <c r="D102" s="369" t="str">
        <f t="shared" ca="1" si="14"/>
        <v>-</v>
      </c>
      <c r="E102" s="369" t="str">
        <f t="shared" ca="1" si="14"/>
        <v>-</v>
      </c>
      <c r="F102" s="369" t="str">
        <f t="shared" ca="1" si="14"/>
        <v>-</v>
      </c>
      <c r="G102" s="369" t="str">
        <f t="shared" ca="1" si="14"/>
        <v>-</v>
      </c>
      <c r="H102" s="369" t="str">
        <f t="shared" ca="1" si="14"/>
        <v>UP</v>
      </c>
      <c r="I102" s="370">
        <f t="shared" ca="1" si="14"/>
        <v>0</v>
      </c>
      <c r="J102" s="391">
        <f ca="1">IF($A102="*","",OFFSET(COM_N_2012!$B$60,AW102,SUMIF($B$10:$B$16,B102,$AX$10:$AX$16)))</f>
        <v>0</v>
      </c>
      <c r="K102" s="369" t="str">
        <f ca="1">IF($B102&lt;&gt;"PRC_RESID","",IF(K$7=2005+OFFSET(COM_N_2012!$B$60,$AW102,SUMIF($B$10:$B$16,"NCAP_TLIFE",$AX$10:$AX$16)),0,""))</f>
        <v/>
      </c>
      <c r="L102" s="369" t="str">
        <f ca="1">IF($B102&lt;&gt;"PRC_RESID","",IF(L$7=2005+OFFSET(COM_N_2012!$B$60,$AW102,SUMIF($B$10:$B$16,"NCAP_TLIFE",$AX$10:$AX$16)),0,""))</f>
        <v/>
      </c>
      <c r="M102" s="369" t="str">
        <f ca="1">IF($B102&lt;&gt;"PRC_RESID","",IF(M$7=2005+OFFSET(COM_N_2012!$B$60,$AW102,SUMIF($B$10:$B$16,"NCAP_TLIFE",$AX$10:$AX$16)),0,""))</f>
        <v/>
      </c>
      <c r="N102" s="369" t="str">
        <f ca="1">IF($B102&lt;&gt;"PRC_RESID","",IF(N$7=2005+OFFSET(COM_N_2012!$B$60,$AW102,SUMIF($B$10:$B$16,"NCAP_TLIFE",$AX$10:$AX$16)),0,""))</f>
        <v/>
      </c>
      <c r="O102" s="369" t="str">
        <f ca="1">IF($B102&lt;&gt;"PRC_RESID","",IF(O$7=2005+OFFSET(COM_N_2012!$B$60,$AW102,SUMIF($B$10:$B$16,"NCAP_TLIFE",$AX$10:$AX$16)),0,""))</f>
        <v/>
      </c>
      <c r="P102" s="369" t="str">
        <f ca="1">IF($B102&lt;&gt;"PRC_RESID","",IF(P$7=2005+OFFSET(COM_N_2012!$B$60,$AW102,SUMIF($B$10:$B$16,"NCAP_TLIFE",$AX$10:$AX$16)),0,""))</f>
        <v/>
      </c>
      <c r="Q102" s="369" t="str">
        <f ca="1">IF($B102&lt;&gt;"PRC_RESID","",IF(Q$7=2005+OFFSET(COM_N_2012!$B$60,$AW102,SUMIF($B$10:$B$16,"NCAP_TLIFE",$AX$10:$AX$16)),0,""))</f>
        <v/>
      </c>
      <c r="R102" s="369" t="str">
        <f ca="1">IF($B102&lt;&gt;"PRC_RESID","",IF(R$7=2005+OFFSET(COM_N_2012!$B$60,$AW102,SUMIF($B$10:$B$16,"NCAP_TLIFE",$AX$10:$AX$16)),0,""))</f>
        <v/>
      </c>
      <c r="S102" s="369" t="str">
        <f ca="1">IF($B102&lt;&gt;"PRC_RESID","",IF(S$7=2005+OFFSET(COM_N_2012!$B$60,$AW102,SUMIF($B$10:$B$16,"NCAP_TLIFE",$AX$10:$AX$16)),0,""))</f>
        <v/>
      </c>
      <c r="T102" s="369" t="str">
        <f ca="1">IF($B102&lt;&gt;"PRC_RESID","",IF(T$7=2005+OFFSET(COM_N_2012!$B$60,$AW102,SUMIF($B$10:$B$16,"NCAP_TLIFE",$AX$10:$AX$16)),0,""))</f>
        <v/>
      </c>
      <c r="U102" s="369" t="str">
        <f ca="1">IF($B102&lt;&gt;"PRC_RESID","",IF(U$7=2005+OFFSET(COM_N_2012!$B$60,$AW102,SUMIF($B$10:$B$16,"NCAP_TLIFE",$AX$10:$AX$16)),0,""))</f>
        <v/>
      </c>
      <c r="V102" s="369" t="str">
        <f ca="1">IF($B102&lt;&gt;"PRC_RESID","",IF(V$7=2005+OFFSET(COM_N_2012!$B$60,$AW102,SUMIF($B$10:$B$16,"NCAP_TLIFE",$AX$10:$AX$16)),0,""))</f>
        <v/>
      </c>
      <c r="W102" s="369" t="str">
        <f ca="1">IF($B102&lt;&gt;"PRC_RESID","",IF(W$7=2005+OFFSET(COM_N_2012!$B$60,$AW102,SUMIF($B$10:$B$16,"NCAP_TLIFE",$AX$10:$AX$16)),0,""))</f>
        <v/>
      </c>
      <c r="X102" s="369" t="str">
        <f ca="1">IF($B102&lt;&gt;"PRC_RESID","",IF(X$7=2005+OFFSET(COM_N_2012!$B$60,$AW102,SUMIF($B$10:$B$16,"NCAP_TLIFE",$AX$10:$AX$16)),0,""))</f>
        <v/>
      </c>
      <c r="Y102" s="369" t="str">
        <f ca="1">IF($B102&lt;&gt;"PRC_RESID","",IF(Y$7=2005+OFFSET(COM_N_2012!$B$60,$AW102,SUMIF($B$10:$B$16,"NCAP_TLIFE",$AX$10:$AX$16)),0,""))</f>
        <v/>
      </c>
      <c r="Z102" s="369" t="str">
        <f ca="1">IF($B102&lt;&gt;"PRC_RESID","",IF(Z$7=2005+OFFSET(COM_N_2012!$B$60,$AW102,SUMIF($B$10:$B$16,"NCAP_TLIFE",$AX$10:$AX$16)),0,""))</f>
        <v/>
      </c>
      <c r="AA102" s="369" t="str">
        <f ca="1">IF($B102&lt;&gt;"PRC_RESID","",IF(AA$7=2005+OFFSET(COM_N_2012!$B$60,$AW102,SUMIF($B$10:$B$16,"NCAP_TLIFE",$AX$10:$AX$16)),0,""))</f>
        <v/>
      </c>
      <c r="AB102" s="369" t="str">
        <f ca="1">IF($B102&lt;&gt;"PRC_RESID","",IF(AB$7=2005+OFFSET(COM_N_2012!$B$60,$AW102,SUMIF($B$10:$B$16,"NCAP_TLIFE",$AX$10:$AX$16)),0,""))</f>
        <v/>
      </c>
      <c r="AC102" s="369" t="str">
        <f ca="1">IF($B102&lt;&gt;"PRC_RESID","",IF(AC$7=2005+OFFSET(COM_N_2012!$B$60,$AW102,SUMIF($B$10:$B$16,"NCAP_TLIFE",$AX$10:$AX$16)),0,""))</f>
        <v/>
      </c>
      <c r="AD102" s="369" t="str">
        <f ca="1">IF($B102&lt;&gt;"PRC_RESID","",IF(AD$7=2005+OFFSET(COM_N_2012!$B$60,$AW102,SUMIF($B$10:$B$16,"NCAP_TLIFE",$AX$10:$AX$16)),0,""))</f>
        <v/>
      </c>
      <c r="AE102" s="369" t="str">
        <f ca="1">IF($B102&lt;&gt;"PRC_RESID","",IF(AE$7=2005+OFFSET(COM_N_2012!$B$60,$AW102,SUMIF($B$10:$B$16,"NCAP_TLIFE",$AX$10:$AX$16)),0,""))</f>
        <v/>
      </c>
      <c r="AF102" s="369" t="str">
        <f ca="1">IF($B102&lt;&gt;"PRC_RESID","",IF(AF$7=2005+OFFSET(COM_N_2012!$B$60,$AW102,SUMIF($B$10:$B$16,"NCAP_TLIFE",$AX$10:$AX$16)),0,""))</f>
        <v/>
      </c>
      <c r="AG102" s="369" t="str">
        <f ca="1">IF($B102&lt;&gt;"PRC_RESID","",IF(AG$7=2005+OFFSET(COM_N_2012!$B$60,$AW102,SUMIF($B$10:$B$16,"NCAP_TLIFE",$AX$10:$AX$16)),0,""))</f>
        <v/>
      </c>
      <c r="AH102" s="369" t="str">
        <f ca="1">IF($B102&lt;&gt;"PRC_RESID","",IF(AH$7=2005+OFFSET(COM_N_2012!$B$60,$AW102,SUMIF($B$10:$B$16,"NCAP_TLIFE",$AX$10:$AX$16)),0,""))</f>
        <v/>
      </c>
      <c r="AI102" s="369" t="str">
        <f ca="1">IF($B102&lt;&gt;"PRC_RESID","",IF(AI$7=2005+OFFSET(COM_N_2012!$B$60,$AW102,SUMIF($B$10:$B$16,"NCAP_TLIFE",$AX$10:$AX$16)),0,""))</f>
        <v/>
      </c>
      <c r="AJ102" s="369" t="str">
        <f ca="1">IF($B102&lt;&gt;"PRC_RESID","",IF(AJ$7=2005+OFFSET(COM_N_2012!$B$60,$AW102,SUMIF($B$10:$B$16,"NCAP_TLIFE",$AX$10:$AX$16)),0,""))</f>
        <v/>
      </c>
      <c r="AK102" s="369" t="str">
        <f ca="1">IF($B102&lt;&gt;"PRC_RESID","",IF(AK$7=2005+OFFSET(COM_N_2012!$B$60,$AW102,SUMIF($B$10:$B$16,"NCAP_TLIFE",$AX$10:$AX$16)),0,""))</f>
        <v/>
      </c>
      <c r="AL102" s="369" t="str">
        <f ca="1">IF($B102&lt;&gt;"PRC_RESID","",IF(AL$7=2005+OFFSET(COM_N_2012!$B$60,$AW102,SUMIF($B$10:$B$16,"NCAP_TLIFE",$AX$10:$AX$16)),0,""))</f>
        <v/>
      </c>
      <c r="AM102" s="369" t="str">
        <f ca="1">IF($B102&lt;&gt;"PRC_RESID","",IF(AM$7=2005+OFFSET(COM_N_2012!$B$60,$AW102,SUMIF($B$10:$B$16,"NCAP_TLIFE",$AX$10:$AX$16)),0,""))</f>
        <v/>
      </c>
      <c r="AN102" s="369" t="str">
        <f ca="1">IF($B102&lt;&gt;"PRC_RESID","",IF(AN$7=2005+OFFSET(COM_N_2012!$B$60,$AW102,SUMIF($B$10:$B$16,"NCAP_TLIFE",$AX$10:$AX$16)),0,""))</f>
        <v/>
      </c>
      <c r="AO102" s="369" t="str">
        <f ca="1">IF($B102&lt;&gt;"PRC_RESID","",IF(AO$7=2005+OFFSET(COM_N_2012!$B$60,$AW102,SUMIF($B$10:$B$16,"NCAP_TLIFE",$AX$10:$AX$16)),0,""))</f>
        <v/>
      </c>
      <c r="AP102" s="369" t="str">
        <f ca="1">IF($B102&lt;&gt;"PRC_RESID","",IF(AP$7=2005+OFFSET(COM_N_2012!$B$60,$AW102,SUMIF($B$10:$B$16,"NCAP_TLIFE",$AX$10:$AX$16)),0,""))</f>
        <v/>
      </c>
      <c r="AQ102" s="369" t="str">
        <f ca="1">IF($B102&lt;&gt;"PRC_RESID","",IF(AQ$7=2005+OFFSET(COM_N_2012!$B$60,$AW102,SUMIF($B$10:$B$16,"NCAP_TLIFE",$AX$10:$AX$16)),0,""))</f>
        <v/>
      </c>
      <c r="AR102" s="369" t="str">
        <f ca="1">IF($B102&lt;&gt;"PRC_RESID","",IF(AR$7=2005+OFFSET(COM_N_2012!$B$60,$AW102,SUMIF($B$10:$B$16,"NCAP_TLIFE",$AX$10:$AX$16)),0,""))</f>
        <v/>
      </c>
      <c r="AS102" s="369" t="str">
        <f ca="1">IF($B102&lt;&gt;"PRC_RESID","",IF(AS$7=2005+OFFSET(COM_N_2012!$B$60,$AW102,SUMIF($B$10:$B$16,"NCAP_TLIFE",$AX$10:$AX$16)),0,""))</f>
        <v/>
      </c>
      <c r="AT102" s="369" t="str">
        <f ca="1">IF($B102&lt;&gt;"PRC_RESID","",IF(AT$7=2005+OFFSET(COM_N_2012!$B$60,$AW102,SUMIF($B$10:$B$16,"NCAP_TLIFE",$AX$10:$AX$16)),0,""))</f>
        <v/>
      </c>
      <c r="AU102" s="369" t="str">
        <f ca="1">IF($B102&lt;&gt;"PRC_RESID","",IF(AU$7=2005+OFFSET(COM_N_2012!$B$60,$AW102,SUMIF($B$10:$B$16,"NCAP_TLIFE",$AX$10:$AX$16)),0,""))</f>
        <v/>
      </c>
      <c r="AV102" s="304">
        <f>IF(AW101=COM_N_2012!$AK$121,AV101+1,AV101)</f>
        <v>2</v>
      </c>
      <c r="AW102" s="304">
        <f t="shared" si="12"/>
        <v>24</v>
      </c>
    </row>
    <row r="103" spans="1:49">
      <c r="A103" s="304" t="str">
        <f ca="1">IF(LEFT(OFFSET(COM_N_2012!$A$60,AW103,0),2)="\I","*","")</f>
        <v/>
      </c>
      <c r="B103" s="369" t="str">
        <f t="shared" ca="1" si="11"/>
        <v>NCAP_BND</v>
      </c>
      <c r="C103" s="369" t="str">
        <f ca="1">IF($A103="*","",OFFSET(COM_N_2012!$B$60,AW103,0))</f>
        <v>CNLELCINC-E</v>
      </c>
      <c r="D103" s="369" t="str">
        <f t="shared" ca="1" si="14"/>
        <v>-</v>
      </c>
      <c r="E103" s="369" t="str">
        <f t="shared" ca="1" si="14"/>
        <v>-</v>
      </c>
      <c r="F103" s="369" t="str">
        <f t="shared" ca="1" si="14"/>
        <v>-</v>
      </c>
      <c r="G103" s="369" t="str">
        <f t="shared" ca="1" si="14"/>
        <v>-</v>
      </c>
      <c r="H103" s="369" t="str">
        <f t="shared" ca="1" si="14"/>
        <v>UP</v>
      </c>
      <c r="I103" s="370">
        <f t="shared" ca="1" si="14"/>
        <v>0</v>
      </c>
      <c r="J103" s="391">
        <f ca="1">IF($A103="*","",OFFSET(COM_N_2012!$B$60,AW103,SUMIF($B$10:$B$16,B103,$AX$10:$AX$16)))</f>
        <v>0</v>
      </c>
      <c r="K103" s="369" t="str">
        <f ca="1">IF($B103&lt;&gt;"PRC_RESID","",IF(K$7=2005+OFFSET(COM_N_2012!$B$60,$AW103,SUMIF($B$10:$B$16,"NCAP_TLIFE",$AX$10:$AX$16)),0,""))</f>
        <v/>
      </c>
      <c r="L103" s="369" t="str">
        <f ca="1">IF($B103&lt;&gt;"PRC_RESID","",IF(L$7=2005+OFFSET(COM_N_2012!$B$60,$AW103,SUMIF($B$10:$B$16,"NCAP_TLIFE",$AX$10:$AX$16)),0,""))</f>
        <v/>
      </c>
      <c r="M103" s="369" t="str">
        <f ca="1">IF($B103&lt;&gt;"PRC_RESID","",IF(M$7=2005+OFFSET(COM_N_2012!$B$60,$AW103,SUMIF($B$10:$B$16,"NCAP_TLIFE",$AX$10:$AX$16)),0,""))</f>
        <v/>
      </c>
      <c r="N103" s="369" t="str">
        <f ca="1">IF($B103&lt;&gt;"PRC_RESID","",IF(N$7=2005+OFFSET(COM_N_2012!$B$60,$AW103,SUMIF($B$10:$B$16,"NCAP_TLIFE",$AX$10:$AX$16)),0,""))</f>
        <v/>
      </c>
      <c r="O103" s="369" t="str">
        <f ca="1">IF($B103&lt;&gt;"PRC_RESID","",IF(O$7=2005+OFFSET(COM_N_2012!$B$60,$AW103,SUMIF($B$10:$B$16,"NCAP_TLIFE",$AX$10:$AX$16)),0,""))</f>
        <v/>
      </c>
      <c r="P103" s="369" t="str">
        <f ca="1">IF($B103&lt;&gt;"PRC_RESID","",IF(P$7=2005+OFFSET(COM_N_2012!$B$60,$AW103,SUMIF($B$10:$B$16,"NCAP_TLIFE",$AX$10:$AX$16)),0,""))</f>
        <v/>
      </c>
      <c r="Q103" s="369" t="str">
        <f ca="1">IF($B103&lt;&gt;"PRC_RESID","",IF(Q$7=2005+OFFSET(COM_N_2012!$B$60,$AW103,SUMIF($B$10:$B$16,"NCAP_TLIFE",$AX$10:$AX$16)),0,""))</f>
        <v/>
      </c>
      <c r="R103" s="369" t="str">
        <f ca="1">IF($B103&lt;&gt;"PRC_RESID","",IF(R$7=2005+OFFSET(COM_N_2012!$B$60,$AW103,SUMIF($B$10:$B$16,"NCAP_TLIFE",$AX$10:$AX$16)),0,""))</f>
        <v/>
      </c>
      <c r="S103" s="369" t="str">
        <f ca="1">IF($B103&lt;&gt;"PRC_RESID","",IF(S$7=2005+OFFSET(COM_N_2012!$B$60,$AW103,SUMIF($B$10:$B$16,"NCAP_TLIFE",$AX$10:$AX$16)),0,""))</f>
        <v/>
      </c>
      <c r="T103" s="369" t="str">
        <f ca="1">IF($B103&lt;&gt;"PRC_RESID","",IF(T$7=2005+OFFSET(COM_N_2012!$B$60,$AW103,SUMIF($B$10:$B$16,"NCAP_TLIFE",$AX$10:$AX$16)),0,""))</f>
        <v/>
      </c>
      <c r="U103" s="369" t="str">
        <f ca="1">IF($B103&lt;&gt;"PRC_RESID","",IF(U$7=2005+OFFSET(COM_N_2012!$B$60,$AW103,SUMIF($B$10:$B$16,"NCAP_TLIFE",$AX$10:$AX$16)),0,""))</f>
        <v/>
      </c>
      <c r="V103" s="369" t="str">
        <f ca="1">IF($B103&lt;&gt;"PRC_RESID","",IF(V$7=2005+OFFSET(COM_N_2012!$B$60,$AW103,SUMIF($B$10:$B$16,"NCAP_TLIFE",$AX$10:$AX$16)),0,""))</f>
        <v/>
      </c>
      <c r="W103" s="369" t="str">
        <f ca="1">IF($B103&lt;&gt;"PRC_RESID","",IF(W$7=2005+OFFSET(COM_N_2012!$B$60,$AW103,SUMIF($B$10:$B$16,"NCAP_TLIFE",$AX$10:$AX$16)),0,""))</f>
        <v/>
      </c>
      <c r="X103" s="369" t="str">
        <f ca="1">IF($B103&lt;&gt;"PRC_RESID","",IF(X$7=2005+OFFSET(COM_N_2012!$B$60,$AW103,SUMIF($B$10:$B$16,"NCAP_TLIFE",$AX$10:$AX$16)),0,""))</f>
        <v/>
      </c>
      <c r="Y103" s="369" t="str">
        <f ca="1">IF($B103&lt;&gt;"PRC_RESID","",IF(Y$7=2005+OFFSET(COM_N_2012!$B$60,$AW103,SUMIF($B$10:$B$16,"NCAP_TLIFE",$AX$10:$AX$16)),0,""))</f>
        <v/>
      </c>
      <c r="Z103" s="369" t="str">
        <f ca="1">IF($B103&lt;&gt;"PRC_RESID","",IF(Z$7=2005+OFFSET(COM_N_2012!$B$60,$AW103,SUMIF($B$10:$B$16,"NCAP_TLIFE",$AX$10:$AX$16)),0,""))</f>
        <v/>
      </c>
      <c r="AA103" s="369" t="str">
        <f ca="1">IF($B103&lt;&gt;"PRC_RESID","",IF(AA$7=2005+OFFSET(COM_N_2012!$B$60,$AW103,SUMIF($B$10:$B$16,"NCAP_TLIFE",$AX$10:$AX$16)),0,""))</f>
        <v/>
      </c>
      <c r="AB103" s="369" t="str">
        <f ca="1">IF($B103&lt;&gt;"PRC_RESID","",IF(AB$7=2005+OFFSET(COM_N_2012!$B$60,$AW103,SUMIF($B$10:$B$16,"NCAP_TLIFE",$AX$10:$AX$16)),0,""))</f>
        <v/>
      </c>
      <c r="AC103" s="369" t="str">
        <f ca="1">IF($B103&lt;&gt;"PRC_RESID","",IF(AC$7=2005+OFFSET(COM_N_2012!$B$60,$AW103,SUMIF($B$10:$B$16,"NCAP_TLIFE",$AX$10:$AX$16)),0,""))</f>
        <v/>
      </c>
      <c r="AD103" s="369" t="str">
        <f ca="1">IF($B103&lt;&gt;"PRC_RESID","",IF(AD$7=2005+OFFSET(COM_N_2012!$B$60,$AW103,SUMIF($B$10:$B$16,"NCAP_TLIFE",$AX$10:$AX$16)),0,""))</f>
        <v/>
      </c>
      <c r="AE103" s="369" t="str">
        <f ca="1">IF($B103&lt;&gt;"PRC_RESID","",IF(AE$7=2005+OFFSET(COM_N_2012!$B$60,$AW103,SUMIF($B$10:$B$16,"NCAP_TLIFE",$AX$10:$AX$16)),0,""))</f>
        <v/>
      </c>
      <c r="AF103" s="369" t="str">
        <f ca="1">IF($B103&lt;&gt;"PRC_RESID","",IF(AF$7=2005+OFFSET(COM_N_2012!$B$60,$AW103,SUMIF($B$10:$B$16,"NCAP_TLIFE",$AX$10:$AX$16)),0,""))</f>
        <v/>
      </c>
      <c r="AG103" s="369" t="str">
        <f ca="1">IF($B103&lt;&gt;"PRC_RESID","",IF(AG$7=2005+OFFSET(COM_N_2012!$B$60,$AW103,SUMIF($B$10:$B$16,"NCAP_TLIFE",$AX$10:$AX$16)),0,""))</f>
        <v/>
      </c>
      <c r="AH103" s="369" t="str">
        <f ca="1">IF($B103&lt;&gt;"PRC_RESID","",IF(AH$7=2005+OFFSET(COM_N_2012!$B$60,$AW103,SUMIF($B$10:$B$16,"NCAP_TLIFE",$AX$10:$AX$16)),0,""))</f>
        <v/>
      </c>
      <c r="AI103" s="369" t="str">
        <f ca="1">IF($B103&lt;&gt;"PRC_RESID","",IF(AI$7=2005+OFFSET(COM_N_2012!$B$60,$AW103,SUMIF($B$10:$B$16,"NCAP_TLIFE",$AX$10:$AX$16)),0,""))</f>
        <v/>
      </c>
      <c r="AJ103" s="369" t="str">
        <f ca="1">IF($B103&lt;&gt;"PRC_RESID","",IF(AJ$7=2005+OFFSET(COM_N_2012!$B$60,$AW103,SUMIF($B$10:$B$16,"NCAP_TLIFE",$AX$10:$AX$16)),0,""))</f>
        <v/>
      </c>
      <c r="AK103" s="369" t="str">
        <f ca="1">IF($B103&lt;&gt;"PRC_RESID","",IF(AK$7=2005+OFFSET(COM_N_2012!$B$60,$AW103,SUMIF($B$10:$B$16,"NCAP_TLIFE",$AX$10:$AX$16)),0,""))</f>
        <v/>
      </c>
      <c r="AL103" s="369" t="str">
        <f ca="1">IF($B103&lt;&gt;"PRC_RESID","",IF(AL$7=2005+OFFSET(COM_N_2012!$B$60,$AW103,SUMIF($B$10:$B$16,"NCAP_TLIFE",$AX$10:$AX$16)),0,""))</f>
        <v/>
      </c>
      <c r="AM103" s="369" t="str">
        <f ca="1">IF($B103&lt;&gt;"PRC_RESID","",IF(AM$7=2005+OFFSET(COM_N_2012!$B$60,$AW103,SUMIF($B$10:$B$16,"NCAP_TLIFE",$AX$10:$AX$16)),0,""))</f>
        <v/>
      </c>
      <c r="AN103" s="369" t="str">
        <f ca="1">IF($B103&lt;&gt;"PRC_RESID","",IF(AN$7=2005+OFFSET(COM_N_2012!$B$60,$AW103,SUMIF($B$10:$B$16,"NCAP_TLIFE",$AX$10:$AX$16)),0,""))</f>
        <v/>
      </c>
      <c r="AO103" s="369" t="str">
        <f ca="1">IF($B103&lt;&gt;"PRC_RESID","",IF(AO$7=2005+OFFSET(COM_N_2012!$B$60,$AW103,SUMIF($B$10:$B$16,"NCAP_TLIFE",$AX$10:$AX$16)),0,""))</f>
        <v/>
      </c>
      <c r="AP103" s="369" t="str">
        <f ca="1">IF($B103&lt;&gt;"PRC_RESID","",IF(AP$7=2005+OFFSET(COM_N_2012!$B$60,$AW103,SUMIF($B$10:$B$16,"NCAP_TLIFE",$AX$10:$AX$16)),0,""))</f>
        <v/>
      </c>
      <c r="AQ103" s="369" t="str">
        <f ca="1">IF($B103&lt;&gt;"PRC_RESID","",IF(AQ$7=2005+OFFSET(COM_N_2012!$B$60,$AW103,SUMIF($B$10:$B$16,"NCAP_TLIFE",$AX$10:$AX$16)),0,""))</f>
        <v/>
      </c>
      <c r="AR103" s="369" t="str">
        <f ca="1">IF($B103&lt;&gt;"PRC_RESID","",IF(AR$7=2005+OFFSET(COM_N_2012!$B$60,$AW103,SUMIF($B$10:$B$16,"NCAP_TLIFE",$AX$10:$AX$16)),0,""))</f>
        <v/>
      </c>
      <c r="AS103" s="369" t="str">
        <f ca="1">IF($B103&lt;&gt;"PRC_RESID","",IF(AS$7=2005+OFFSET(COM_N_2012!$B$60,$AW103,SUMIF($B$10:$B$16,"NCAP_TLIFE",$AX$10:$AX$16)),0,""))</f>
        <v/>
      </c>
      <c r="AT103" s="369" t="str">
        <f ca="1">IF($B103&lt;&gt;"PRC_RESID","",IF(AT$7=2005+OFFSET(COM_N_2012!$B$60,$AW103,SUMIF($B$10:$B$16,"NCAP_TLIFE",$AX$10:$AX$16)),0,""))</f>
        <v/>
      </c>
      <c r="AU103" s="369" t="str">
        <f ca="1">IF($B103&lt;&gt;"PRC_RESID","",IF(AU$7=2005+OFFSET(COM_N_2012!$B$60,$AW103,SUMIF($B$10:$B$16,"NCAP_TLIFE",$AX$10:$AX$16)),0,""))</f>
        <v/>
      </c>
      <c r="AV103" s="304">
        <f>IF(AW102=COM_N_2012!$AK$121,AV102+1,AV102)</f>
        <v>2</v>
      </c>
      <c r="AW103" s="304">
        <f t="shared" si="12"/>
        <v>25</v>
      </c>
    </row>
    <row r="104" spans="1:49">
      <c r="A104" s="304" t="str">
        <f ca="1">IF(LEFT(OFFSET(COM_N_2012!$A$60,AW104,0),2)="\I","*","")</f>
        <v/>
      </c>
      <c r="B104" s="369" t="str">
        <f t="shared" ca="1" si="11"/>
        <v>NCAP_BND</v>
      </c>
      <c r="C104" s="369" t="str">
        <f ca="1">IF($A104="*","",OFFSET(COM_N_2012!$B$60,AW104,0))</f>
        <v>CNLELCLED-N</v>
      </c>
      <c r="D104" s="369" t="str">
        <f t="shared" ca="1" si="14"/>
        <v>-</v>
      </c>
      <c r="E104" s="369" t="str">
        <f t="shared" ca="1" si="14"/>
        <v>-</v>
      </c>
      <c r="F104" s="369" t="str">
        <f t="shared" ca="1" si="14"/>
        <v>-</v>
      </c>
      <c r="G104" s="369" t="str">
        <f t="shared" ca="1" si="14"/>
        <v>-</v>
      </c>
      <c r="H104" s="369" t="str">
        <f t="shared" ca="1" si="14"/>
        <v>UP</v>
      </c>
      <c r="I104" s="370">
        <f t="shared" ca="1" si="14"/>
        <v>0</v>
      </c>
      <c r="J104" s="391">
        <f ca="1">IF($A104="*","",OFFSET(COM_N_2012!$B$60,AW104,SUMIF($B$10:$B$16,B104,$AX$10:$AX$16)))</f>
        <v>0</v>
      </c>
      <c r="K104" s="369" t="str">
        <f ca="1">IF($B104&lt;&gt;"PRC_RESID","",IF(K$7=2005+OFFSET(COM_N_2012!$B$60,$AW104,SUMIF($B$10:$B$16,"NCAP_TLIFE",$AX$10:$AX$16)),0,""))</f>
        <v/>
      </c>
      <c r="L104" s="369" t="str">
        <f ca="1">IF($B104&lt;&gt;"PRC_RESID","",IF(L$7=2005+OFFSET(COM_N_2012!$B$60,$AW104,SUMIF($B$10:$B$16,"NCAP_TLIFE",$AX$10:$AX$16)),0,""))</f>
        <v/>
      </c>
      <c r="M104" s="369" t="str">
        <f ca="1">IF($B104&lt;&gt;"PRC_RESID","",IF(M$7=2005+OFFSET(COM_N_2012!$B$60,$AW104,SUMIF($B$10:$B$16,"NCAP_TLIFE",$AX$10:$AX$16)),0,""))</f>
        <v/>
      </c>
      <c r="N104" s="369" t="str">
        <f ca="1">IF($B104&lt;&gt;"PRC_RESID","",IF(N$7=2005+OFFSET(COM_N_2012!$B$60,$AW104,SUMIF($B$10:$B$16,"NCAP_TLIFE",$AX$10:$AX$16)),0,""))</f>
        <v/>
      </c>
      <c r="O104" s="369" t="str">
        <f ca="1">IF($B104&lt;&gt;"PRC_RESID","",IF(O$7=2005+OFFSET(COM_N_2012!$B$60,$AW104,SUMIF($B$10:$B$16,"NCAP_TLIFE",$AX$10:$AX$16)),0,""))</f>
        <v/>
      </c>
      <c r="P104" s="369" t="str">
        <f ca="1">IF($B104&lt;&gt;"PRC_RESID","",IF(P$7=2005+OFFSET(COM_N_2012!$B$60,$AW104,SUMIF($B$10:$B$16,"NCAP_TLIFE",$AX$10:$AX$16)),0,""))</f>
        <v/>
      </c>
      <c r="Q104" s="369" t="str">
        <f ca="1">IF($B104&lt;&gt;"PRC_RESID","",IF(Q$7=2005+OFFSET(COM_N_2012!$B$60,$AW104,SUMIF($B$10:$B$16,"NCAP_TLIFE",$AX$10:$AX$16)),0,""))</f>
        <v/>
      </c>
      <c r="R104" s="369" t="str">
        <f ca="1">IF($B104&lt;&gt;"PRC_RESID","",IF(R$7=2005+OFFSET(COM_N_2012!$B$60,$AW104,SUMIF($B$10:$B$16,"NCAP_TLIFE",$AX$10:$AX$16)),0,""))</f>
        <v/>
      </c>
      <c r="S104" s="369" t="str">
        <f ca="1">IF($B104&lt;&gt;"PRC_RESID","",IF(S$7=2005+OFFSET(COM_N_2012!$B$60,$AW104,SUMIF($B$10:$B$16,"NCAP_TLIFE",$AX$10:$AX$16)),0,""))</f>
        <v/>
      </c>
      <c r="T104" s="369" t="str">
        <f ca="1">IF($B104&lt;&gt;"PRC_RESID","",IF(T$7=2005+OFFSET(COM_N_2012!$B$60,$AW104,SUMIF($B$10:$B$16,"NCAP_TLIFE",$AX$10:$AX$16)),0,""))</f>
        <v/>
      </c>
      <c r="U104" s="369" t="str">
        <f ca="1">IF($B104&lt;&gt;"PRC_RESID","",IF(U$7=2005+OFFSET(COM_N_2012!$B$60,$AW104,SUMIF($B$10:$B$16,"NCAP_TLIFE",$AX$10:$AX$16)),0,""))</f>
        <v/>
      </c>
      <c r="V104" s="369" t="str">
        <f ca="1">IF($B104&lt;&gt;"PRC_RESID","",IF(V$7=2005+OFFSET(COM_N_2012!$B$60,$AW104,SUMIF($B$10:$B$16,"NCAP_TLIFE",$AX$10:$AX$16)),0,""))</f>
        <v/>
      </c>
      <c r="W104" s="369" t="str">
        <f ca="1">IF($B104&lt;&gt;"PRC_RESID","",IF(W$7=2005+OFFSET(COM_N_2012!$B$60,$AW104,SUMIF($B$10:$B$16,"NCAP_TLIFE",$AX$10:$AX$16)),0,""))</f>
        <v/>
      </c>
      <c r="X104" s="369" t="str">
        <f ca="1">IF($B104&lt;&gt;"PRC_RESID","",IF(X$7=2005+OFFSET(COM_N_2012!$B$60,$AW104,SUMIF($B$10:$B$16,"NCAP_TLIFE",$AX$10:$AX$16)),0,""))</f>
        <v/>
      </c>
      <c r="Y104" s="369" t="str">
        <f ca="1">IF($B104&lt;&gt;"PRC_RESID","",IF(Y$7=2005+OFFSET(COM_N_2012!$B$60,$AW104,SUMIF($B$10:$B$16,"NCAP_TLIFE",$AX$10:$AX$16)),0,""))</f>
        <v/>
      </c>
      <c r="Z104" s="369" t="str">
        <f ca="1">IF($B104&lt;&gt;"PRC_RESID","",IF(Z$7=2005+OFFSET(COM_N_2012!$B$60,$AW104,SUMIF($B$10:$B$16,"NCAP_TLIFE",$AX$10:$AX$16)),0,""))</f>
        <v/>
      </c>
      <c r="AA104" s="369" t="str">
        <f ca="1">IF($B104&lt;&gt;"PRC_RESID","",IF(AA$7=2005+OFFSET(COM_N_2012!$B$60,$AW104,SUMIF($B$10:$B$16,"NCAP_TLIFE",$AX$10:$AX$16)),0,""))</f>
        <v/>
      </c>
      <c r="AB104" s="369" t="str">
        <f ca="1">IF($B104&lt;&gt;"PRC_RESID","",IF(AB$7=2005+OFFSET(COM_N_2012!$B$60,$AW104,SUMIF($B$10:$B$16,"NCAP_TLIFE",$AX$10:$AX$16)),0,""))</f>
        <v/>
      </c>
      <c r="AC104" s="369" t="str">
        <f ca="1">IF($B104&lt;&gt;"PRC_RESID","",IF(AC$7=2005+OFFSET(COM_N_2012!$B$60,$AW104,SUMIF($B$10:$B$16,"NCAP_TLIFE",$AX$10:$AX$16)),0,""))</f>
        <v/>
      </c>
      <c r="AD104" s="369" t="str">
        <f ca="1">IF($B104&lt;&gt;"PRC_RESID","",IF(AD$7=2005+OFFSET(COM_N_2012!$B$60,$AW104,SUMIF($B$10:$B$16,"NCAP_TLIFE",$AX$10:$AX$16)),0,""))</f>
        <v/>
      </c>
      <c r="AE104" s="369" t="str">
        <f ca="1">IF($B104&lt;&gt;"PRC_RESID","",IF(AE$7=2005+OFFSET(COM_N_2012!$B$60,$AW104,SUMIF($B$10:$B$16,"NCAP_TLIFE",$AX$10:$AX$16)),0,""))</f>
        <v/>
      </c>
      <c r="AF104" s="369" t="str">
        <f ca="1">IF($B104&lt;&gt;"PRC_RESID","",IF(AF$7=2005+OFFSET(COM_N_2012!$B$60,$AW104,SUMIF($B$10:$B$16,"NCAP_TLIFE",$AX$10:$AX$16)),0,""))</f>
        <v/>
      </c>
      <c r="AG104" s="369" t="str">
        <f ca="1">IF($B104&lt;&gt;"PRC_RESID","",IF(AG$7=2005+OFFSET(COM_N_2012!$B$60,$AW104,SUMIF($B$10:$B$16,"NCAP_TLIFE",$AX$10:$AX$16)),0,""))</f>
        <v/>
      </c>
      <c r="AH104" s="369" t="str">
        <f ca="1">IF($B104&lt;&gt;"PRC_RESID","",IF(AH$7=2005+OFFSET(COM_N_2012!$B$60,$AW104,SUMIF($B$10:$B$16,"NCAP_TLIFE",$AX$10:$AX$16)),0,""))</f>
        <v/>
      </c>
      <c r="AI104" s="369" t="str">
        <f ca="1">IF($B104&lt;&gt;"PRC_RESID","",IF(AI$7=2005+OFFSET(COM_N_2012!$B$60,$AW104,SUMIF($B$10:$B$16,"NCAP_TLIFE",$AX$10:$AX$16)),0,""))</f>
        <v/>
      </c>
      <c r="AJ104" s="369" t="str">
        <f ca="1">IF($B104&lt;&gt;"PRC_RESID","",IF(AJ$7=2005+OFFSET(COM_N_2012!$B$60,$AW104,SUMIF($B$10:$B$16,"NCAP_TLIFE",$AX$10:$AX$16)),0,""))</f>
        <v/>
      </c>
      <c r="AK104" s="369" t="str">
        <f ca="1">IF($B104&lt;&gt;"PRC_RESID","",IF(AK$7=2005+OFFSET(COM_N_2012!$B$60,$AW104,SUMIF($B$10:$B$16,"NCAP_TLIFE",$AX$10:$AX$16)),0,""))</f>
        <v/>
      </c>
      <c r="AL104" s="369" t="str">
        <f ca="1">IF($B104&lt;&gt;"PRC_RESID","",IF(AL$7=2005+OFFSET(COM_N_2012!$B$60,$AW104,SUMIF($B$10:$B$16,"NCAP_TLIFE",$AX$10:$AX$16)),0,""))</f>
        <v/>
      </c>
      <c r="AM104" s="369" t="str">
        <f ca="1">IF($B104&lt;&gt;"PRC_RESID","",IF(AM$7=2005+OFFSET(COM_N_2012!$B$60,$AW104,SUMIF($B$10:$B$16,"NCAP_TLIFE",$AX$10:$AX$16)),0,""))</f>
        <v/>
      </c>
      <c r="AN104" s="369" t="str">
        <f ca="1">IF($B104&lt;&gt;"PRC_RESID","",IF(AN$7=2005+OFFSET(COM_N_2012!$B$60,$AW104,SUMIF($B$10:$B$16,"NCAP_TLIFE",$AX$10:$AX$16)),0,""))</f>
        <v/>
      </c>
      <c r="AO104" s="369" t="str">
        <f ca="1">IF($B104&lt;&gt;"PRC_RESID","",IF(AO$7=2005+OFFSET(COM_N_2012!$B$60,$AW104,SUMIF($B$10:$B$16,"NCAP_TLIFE",$AX$10:$AX$16)),0,""))</f>
        <v/>
      </c>
      <c r="AP104" s="369" t="str">
        <f ca="1">IF($B104&lt;&gt;"PRC_RESID","",IF(AP$7=2005+OFFSET(COM_N_2012!$B$60,$AW104,SUMIF($B$10:$B$16,"NCAP_TLIFE",$AX$10:$AX$16)),0,""))</f>
        <v/>
      </c>
      <c r="AQ104" s="369" t="str">
        <f ca="1">IF($B104&lt;&gt;"PRC_RESID","",IF(AQ$7=2005+OFFSET(COM_N_2012!$B$60,$AW104,SUMIF($B$10:$B$16,"NCAP_TLIFE",$AX$10:$AX$16)),0,""))</f>
        <v/>
      </c>
      <c r="AR104" s="369" t="str">
        <f ca="1">IF($B104&lt;&gt;"PRC_RESID","",IF(AR$7=2005+OFFSET(COM_N_2012!$B$60,$AW104,SUMIF($B$10:$B$16,"NCAP_TLIFE",$AX$10:$AX$16)),0,""))</f>
        <v/>
      </c>
      <c r="AS104" s="369" t="str">
        <f ca="1">IF($B104&lt;&gt;"PRC_RESID","",IF(AS$7=2005+OFFSET(COM_N_2012!$B$60,$AW104,SUMIF($B$10:$B$16,"NCAP_TLIFE",$AX$10:$AX$16)),0,""))</f>
        <v/>
      </c>
      <c r="AT104" s="369" t="str">
        <f ca="1">IF($B104&lt;&gt;"PRC_RESID","",IF(AT$7=2005+OFFSET(COM_N_2012!$B$60,$AW104,SUMIF($B$10:$B$16,"NCAP_TLIFE",$AX$10:$AX$16)),0,""))</f>
        <v/>
      </c>
      <c r="AU104" s="369" t="str">
        <f ca="1">IF($B104&lt;&gt;"PRC_RESID","",IF(AU$7=2005+OFFSET(COM_N_2012!$B$60,$AW104,SUMIF($B$10:$B$16,"NCAP_TLIFE",$AX$10:$AX$16)),0,""))</f>
        <v/>
      </c>
      <c r="AV104" s="304">
        <f>IF(AW103=COM_N_2012!$AK$121,AV103+1,AV103)</f>
        <v>2</v>
      </c>
      <c r="AW104" s="304">
        <f t="shared" si="12"/>
        <v>26</v>
      </c>
    </row>
    <row r="105" spans="1:49">
      <c r="A105" s="304" t="str">
        <f ca="1">IF(LEFT(OFFSET(COM_N_2012!$A$60,AW105,0),2)="\I","*","")</f>
        <v>*</v>
      </c>
      <c r="B105" s="369" t="str">
        <f t="shared" ca="1" si="11"/>
        <v/>
      </c>
      <c r="C105" s="369" t="str">
        <f ca="1">IF($A105="*","",OFFSET(COM_N_2012!$B$60,AW105,0))</f>
        <v/>
      </c>
      <c r="D105" s="369" t="str">
        <f t="shared" ca="1" si="14"/>
        <v/>
      </c>
      <c r="E105" s="369" t="str">
        <f t="shared" ca="1" si="14"/>
        <v/>
      </c>
      <c r="F105" s="369" t="str">
        <f t="shared" ca="1" si="14"/>
        <v/>
      </c>
      <c r="G105" s="369" t="str">
        <f t="shared" ca="1" si="14"/>
        <v/>
      </c>
      <c r="H105" s="369" t="str">
        <f t="shared" ca="1" si="14"/>
        <v/>
      </c>
      <c r="I105" s="370" t="str">
        <f t="shared" ca="1" si="14"/>
        <v/>
      </c>
      <c r="J105" s="391" t="str">
        <f ca="1">IF($A105="*","",OFFSET(COM_N_2012!$B$60,AW105,SUMIF($B$10:$B$16,B105,$AX$10:$AX$16)))</f>
        <v/>
      </c>
      <c r="K105" s="369" t="str">
        <f ca="1">IF($B105&lt;&gt;"PRC_RESID","",IF(K$7=2005+OFFSET(COM_N_2012!$B$60,$AW105,SUMIF($B$10:$B$16,"NCAP_TLIFE",$AX$10:$AX$16)),0,""))</f>
        <v/>
      </c>
      <c r="L105" s="369" t="str">
        <f ca="1">IF($B105&lt;&gt;"PRC_RESID","",IF(L$7=2005+OFFSET(COM_N_2012!$B$60,$AW105,SUMIF($B$10:$B$16,"NCAP_TLIFE",$AX$10:$AX$16)),0,""))</f>
        <v/>
      </c>
      <c r="M105" s="369" t="str">
        <f ca="1">IF($B105&lt;&gt;"PRC_RESID","",IF(M$7=2005+OFFSET(COM_N_2012!$B$60,$AW105,SUMIF($B$10:$B$16,"NCAP_TLIFE",$AX$10:$AX$16)),0,""))</f>
        <v/>
      </c>
      <c r="N105" s="369" t="str">
        <f ca="1">IF($B105&lt;&gt;"PRC_RESID","",IF(N$7=2005+OFFSET(COM_N_2012!$B$60,$AW105,SUMIF($B$10:$B$16,"NCAP_TLIFE",$AX$10:$AX$16)),0,""))</f>
        <v/>
      </c>
      <c r="O105" s="369" t="str">
        <f ca="1">IF($B105&lt;&gt;"PRC_RESID","",IF(O$7=2005+OFFSET(COM_N_2012!$B$60,$AW105,SUMIF($B$10:$B$16,"NCAP_TLIFE",$AX$10:$AX$16)),0,""))</f>
        <v/>
      </c>
      <c r="P105" s="369" t="str">
        <f ca="1">IF($B105&lt;&gt;"PRC_RESID","",IF(P$7=2005+OFFSET(COM_N_2012!$B$60,$AW105,SUMIF($B$10:$B$16,"NCAP_TLIFE",$AX$10:$AX$16)),0,""))</f>
        <v/>
      </c>
      <c r="Q105" s="369" t="str">
        <f ca="1">IF($B105&lt;&gt;"PRC_RESID","",IF(Q$7=2005+OFFSET(COM_N_2012!$B$60,$AW105,SUMIF($B$10:$B$16,"NCAP_TLIFE",$AX$10:$AX$16)),0,""))</f>
        <v/>
      </c>
      <c r="R105" s="369" t="str">
        <f ca="1">IF($B105&lt;&gt;"PRC_RESID","",IF(R$7=2005+OFFSET(COM_N_2012!$B$60,$AW105,SUMIF($B$10:$B$16,"NCAP_TLIFE",$AX$10:$AX$16)),0,""))</f>
        <v/>
      </c>
      <c r="S105" s="369" t="str">
        <f ca="1">IF($B105&lt;&gt;"PRC_RESID","",IF(S$7=2005+OFFSET(COM_N_2012!$B$60,$AW105,SUMIF($B$10:$B$16,"NCAP_TLIFE",$AX$10:$AX$16)),0,""))</f>
        <v/>
      </c>
      <c r="T105" s="369" t="str">
        <f ca="1">IF($B105&lt;&gt;"PRC_RESID","",IF(T$7=2005+OFFSET(COM_N_2012!$B$60,$AW105,SUMIF($B$10:$B$16,"NCAP_TLIFE",$AX$10:$AX$16)),0,""))</f>
        <v/>
      </c>
      <c r="U105" s="369" t="str">
        <f ca="1">IF($B105&lt;&gt;"PRC_RESID","",IF(U$7=2005+OFFSET(COM_N_2012!$B$60,$AW105,SUMIF($B$10:$B$16,"NCAP_TLIFE",$AX$10:$AX$16)),0,""))</f>
        <v/>
      </c>
      <c r="V105" s="369" t="str">
        <f ca="1">IF($B105&lt;&gt;"PRC_RESID","",IF(V$7=2005+OFFSET(COM_N_2012!$B$60,$AW105,SUMIF($B$10:$B$16,"NCAP_TLIFE",$AX$10:$AX$16)),0,""))</f>
        <v/>
      </c>
      <c r="W105" s="369" t="str">
        <f ca="1">IF($B105&lt;&gt;"PRC_RESID","",IF(W$7=2005+OFFSET(COM_N_2012!$B$60,$AW105,SUMIF($B$10:$B$16,"NCAP_TLIFE",$AX$10:$AX$16)),0,""))</f>
        <v/>
      </c>
      <c r="X105" s="369" t="str">
        <f ca="1">IF($B105&lt;&gt;"PRC_RESID","",IF(X$7=2005+OFFSET(COM_N_2012!$B$60,$AW105,SUMIF($B$10:$B$16,"NCAP_TLIFE",$AX$10:$AX$16)),0,""))</f>
        <v/>
      </c>
      <c r="Y105" s="369" t="str">
        <f ca="1">IF($B105&lt;&gt;"PRC_RESID","",IF(Y$7=2005+OFFSET(COM_N_2012!$B$60,$AW105,SUMIF($B$10:$B$16,"NCAP_TLIFE",$AX$10:$AX$16)),0,""))</f>
        <v/>
      </c>
      <c r="Z105" s="369" t="str">
        <f ca="1">IF($B105&lt;&gt;"PRC_RESID","",IF(Z$7=2005+OFFSET(COM_N_2012!$B$60,$AW105,SUMIF($B$10:$B$16,"NCAP_TLIFE",$AX$10:$AX$16)),0,""))</f>
        <v/>
      </c>
      <c r="AA105" s="369" t="str">
        <f ca="1">IF($B105&lt;&gt;"PRC_RESID","",IF(AA$7=2005+OFFSET(COM_N_2012!$B$60,$AW105,SUMIF($B$10:$B$16,"NCAP_TLIFE",$AX$10:$AX$16)),0,""))</f>
        <v/>
      </c>
      <c r="AB105" s="369" t="str">
        <f ca="1">IF($B105&lt;&gt;"PRC_RESID","",IF(AB$7=2005+OFFSET(COM_N_2012!$B$60,$AW105,SUMIF($B$10:$B$16,"NCAP_TLIFE",$AX$10:$AX$16)),0,""))</f>
        <v/>
      </c>
      <c r="AC105" s="369" t="str">
        <f ca="1">IF($B105&lt;&gt;"PRC_RESID","",IF(AC$7=2005+OFFSET(COM_N_2012!$B$60,$AW105,SUMIF($B$10:$B$16,"NCAP_TLIFE",$AX$10:$AX$16)),0,""))</f>
        <v/>
      </c>
      <c r="AD105" s="369" t="str">
        <f ca="1">IF($B105&lt;&gt;"PRC_RESID","",IF(AD$7=2005+OFFSET(COM_N_2012!$B$60,$AW105,SUMIF($B$10:$B$16,"NCAP_TLIFE",$AX$10:$AX$16)),0,""))</f>
        <v/>
      </c>
      <c r="AE105" s="369" t="str">
        <f ca="1">IF($B105&lt;&gt;"PRC_RESID","",IF(AE$7=2005+OFFSET(COM_N_2012!$B$60,$AW105,SUMIF($B$10:$B$16,"NCAP_TLIFE",$AX$10:$AX$16)),0,""))</f>
        <v/>
      </c>
      <c r="AF105" s="369" t="str">
        <f ca="1">IF($B105&lt;&gt;"PRC_RESID","",IF(AF$7=2005+OFFSET(COM_N_2012!$B$60,$AW105,SUMIF($B$10:$B$16,"NCAP_TLIFE",$AX$10:$AX$16)),0,""))</f>
        <v/>
      </c>
      <c r="AG105" s="369" t="str">
        <f ca="1">IF($B105&lt;&gt;"PRC_RESID","",IF(AG$7=2005+OFFSET(COM_N_2012!$B$60,$AW105,SUMIF($B$10:$B$16,"NCAP_TLIFE",$AX$10:$AX$16)),0,""))</f>
        <v/>
      </c>
      <c r="AH105" s="369" t="str">
        <f ca="1">IF($B105&lt;&gt;"PRC_RESID","",IF(AH$7=2005+OFFSET(COM_N_2012!$B$60,$AW105,SUMIF($B$10:$B$16,"NCAP_TLIFE",$AX$10:$AX$16)),0,""))</f>
        <v/>
      </c>
      <c r="AI105" s="369" t="str">
        <f ca="1">IF($B105&lt;&gt;"PRC_RESID","",IF(AI$7=2005+OFFSET(COM_N_2012!$B$60,$AW105,SUMIF($B$10:$B$16,"NCAP_TLIFE",$AX$10:$AX$16)),0,""))</f>
        <v/>
      </c>
      <c r="AJ105" s="369" t="str">
        <f ca="1">IF($B105&lt;&gt;"PRC_RESID","",IF(AJ$7=2005+OFFSET(COM_N_2012!$B$60,$AW105,SUMIF($B$10:$B$16,"NCAP_TLIFE",$AX$10:$AX$16)),0,""))</f>
        <v/>
      </c>
      <c r="AK105" s="369" t="str">
        <f ca="1">IF($B105&lt;&gt;"PRC_RESID","",IF(AK$7=2005+OFFSET(COM_N_2012!$B$60,$AW105,SUMIF($B$10:$B$16,"NCAP_TLIFE",$AX$10:$AX$16)),0,""))</f>
        <v/>
      </c>
      <c r="AL105" s="369" t="str">
        <f ca="1">IF($B105&lt;&gt;"PRC_RESID","",IF(AL$7=2005+OFFSET(COM_N_2012!$B$60,$AW105,SUMIF($B$10:$B$16,"NCAP_TLIFE",$AX$10:$AX$16)),0,""))</f>
        <v/>
      </c>
      <c r="AM105" s="369" t="str">
        <f ca="1">IF($B105&lt;&gt;"PRC_RESID","",IF(AM$7=2005+OFFSET(COM_N_2012!$B$60,$AW105,SUMIF($B$10:$B$16,"NCAP_TLIFE",$AX$10:$AX$16)),0,""))</f>
        <v/>
      </c>
      <c r="AN105" s="369" t="str">
        <f ca="1">IF($B105&lt;&gt;"PRC_RESID","",IF(AN$7=2005+OFFSET(COM_N_2012!$B$60,$AW105,SUMIF($B$10:$B$16,"NCAP_TLIFE",$AX$10:$AX$16)),0,""))</f>
        <v/>
      </c>
      <c r="AO105" s="369" t="str">
        <f ca="1">IF($B105&lt;&gt;"PRC_RESID","",IF(AO$7=2005+OFFSET(COM_N_2012!$B$60,$AW105,SUMIF($B$10:$B$16,"NCAP_TLIFE",$AX$10:$AX$16)),0,""))</f>
        <v/>
      </c>
      <c r="AP105" s="369" t="str">
        <f ca="1">IF($B105&lt;&gt;"PRC_RESID","",IF(AP$7=2005+OFFSET(COM_N_2012!$B$60,$AW105,SUMIF($B$10:$B$16,"NCAP_TLIFE",$AX$10:$AX$16)),0,""))</f>
        <v/>
      </c>
      <c r="AQ105" s="369" t="str">
        <f ca="1">IF($B105&lt;&gt;"PRC_RESID","",IF(AQ$7=2005+OFFSET(COM_N_2012!$B$60,$AW105,SUMIF($B$10:$B$16,"NCAP_TLIFE",$AX$10:$AX$16)),0,""))</f>
        <v/>
      </c>
      <c r="AR105" s="369" t="str">
        <f ca="1">IF($B105&lt;&gt;"PRC_RESID","",IF(AR$7=2005+OFFSET(COM_N_2012!$B$60,$AW105,SUMIF($B$10:$B$16,"NCAP_TLIFE",$AX$10:$AX$16)),0,""))</f>
        <v/>
      </c>
      <c r="AS105" s="369" t="str">
        <f ca="1">IF($B105&lt;&gt;"PRC_RESID","",IF(AS$7=2005+OFFSET(COM_N_2012!$B$60,$AW105,SUMIF($B$10:$B$16,"NCAP_TLIFE",$AX$10:$AX$16)),0,""))</f>
        <v/>
      </c>
      <c r="AT105" s="369" t="str">
        <f ca="1">IF($B105&lt;&gt;"PRC_RESID","",IF(AT$7=2005+OFFSET(COM_N_2012!$B$60,$AW105,SUMIF($B$10:$B$16,"NCAP_TLIFE",$AX$10:$AX$16)),0,""))</f>
        <v/>
      </c>
      <c r="AU105" s="369" t="str">
        <f ca="1">IF($B105&lt;&gt;"PRC_RESID","",IF(AU$7=2005+OFFSET(COM_N_2012!$B$60,$AW105,SUMIF($B$10:$B$16,"NCAP_TLIFE",$AX$10:$AX$16)),0,""))</f>
        <v/>
      </c>
      <c r="AV105" s="304">
        <f>IF(AW104=COM_N_2012!$AK$121,AV104+1,AV104)</f>
        <v>2</v>
      </c>
      <c r="AW105" s="304">
        <f t="shared" si="12"/>
        <v>27</v>
      </c>
    </row>
    <row r="106" spans="1:49">
      <c r="A106" s="304" t="str">
        <f ca="1">IF(LEFT(OFFSET(COM_N_2012!$A$60,AW106,0),2)="\I","*","")</f>
        <v>*</v>
      </c>
      <c r="B106" s="369" t="str">
        <f t="shared" ca="1" si="11"/>
        <v/>
      </c>
      <c r="C106" s="369" t="str">
        <f ca="1">IF($A106="*","",OFFSET(COM_N_2012!$B$60,AW106,0))</f>
        <v/>
      </c>
      <c r="D106" s="369" t="str">
        <f t="shared" ca="1" si="14"/>
        <v/>
      </c>
      <c r="E106" s="369" t="str">
        <f t="shared" ca="1" si="14"/>
        <v/>
      </c>
      <c r="F106" s="369" t="str">
        <f t="shared" ca="1" si="14"/>
        <v/>
      </c>
      <c r="G106" s="369" t="str">
        <f t="shared" ca="1" si="14"/>
        <v/>
      </c>
      <c r="H106" s="369" t="str">
        <f t="shared" ca="1" si="14"/>
        <v/>
      </c>
      <c r="I106" s="370" t="str">
        <f t="shared" ca="1" si="14"/>
        <v/>
      </c>
      <c r="J106" s="391" t="str">
        <f ca="1">IF($A106="*","",OFFSET(COM_N_2012!$B$60,AW106,SUMIF($B$10:$B$16,B106,$AX$10:$AX$16)))</f>
        <v/>
      </c>
      <c r="K106" s="369" t="str">
        <f ca="1">IF($B106&lt;&gt;"PRC_RESID","",IF(K$7=2005+OFFSET(COM_N_2012!$B$60,$AW106,SUMIF($B$10:$B$16,"NCAP_TLIFE",$AX$10:$AX$16)),0,""))</f>
        <v/>
      </c>
      <c r="L106" s="369" t="str">
        <f ca="1">IF($B106&lt;&gt;"PRC_RESID","",IF(L$7=2005+OFFSET(COM_N_2012!$B$60,$AW106,SUMIF($B$10:$B$16,"NCAP_TLIFE",$AX$10:$AX$16)),0,""))</f>
        <v/>
      </c>
      <c r="M106" s="369" t="str">
        <f ca="1">IF($B106&lt;&gt;"PRC_RESID","",IF(M$7=2005+OFFSET(COM_N_2012!$B$60,$AW106,SUMIF($B$10:$B$16,"NCAP_TLIFE",$AX$10:$AX$16)),0,""))</f>
        <v/>
      </c>
      <c r="N106" s="369" t="str">
        <f ca="1">IF($B106&lt;&gt;"PRC_RESID","",IF(N$7=2005+OFFSET(COM_N_2012!$B$60,$AW106,SUMIF($B$10:$B$16,"NCAP_TLIFE",$AX$10:$AX$16)),0,""))</f>
        <v/>
      </c>
      <c r="O106" s="369" t="str">
        <f ca="1">IF($B106&lt;&gt;"PRC_RESID","",IF(O$7=2005+OFFSET(COM_N_2012!$B$60,$AW106,SUMIF($B$10:$B$16,"NCAP_TLIFE",$AX$10:$AX$16)),0,""))</f>
        <v/>
      </c>
      <c r="P106" s="369" t="str">
        <f ca="1">IF($B106&lt;&gt;"PRC_RESID","",IF(P$7=2005+OFFSET(COM_N_2012!$B$60,$AW106,SUMIF($B$10:$B$16,"NCAP_TLIFE",$AX$10:$AX$16)),0,""))</f>
        <v/>
      </c>
      <c r="Q106" s="369" t="str">
        <f ca="1">IF($B106&lt;&gt;"PRC_RESID","",IF(Q$7=2005+OFFSET(COM_N_2012!$B$60,$AW106,SUMIF($B$10:$B$16,"NCAP_TLIFE",$AX$10:$AX$16)),0,""))</f>
        <v/>
      </c>
      <c r="R106" s="369" t="str">
        <f ca="1">IF($B106&lt;&gt;"PRC_RESID","",IF(R$7=2005+OFFSET(COM_N_2012!$B$60,$AW106,SUMIF($B$10:$B$16,"NCAP_TLIFE",$AX$10:$AX$16)),0,""))</f>
        <v/>
      </c>
      <c r="S106" s="369" t="str">
        <f ca="1">IF($B106&lt;&gt;"PRC_RESID","",IF(S$7=2005+OFFSET(COM_N_2012!$B$60,$AW106,SUMIF($B$10:$B$16,"NCAP_TLIFE",$AX$10:$AX$16)),0,""))</f>
        <v/>
      </c>
      <c r="T106" s="369" t="str">
        <f ca="1">IF($B106&lt;&gt;"PRC_RESID","",IF(T$7=2005+OFFSET(COM_N_2012!$B$60,$AW106,SUMIF($B$10:$B$16,"NCAP_TLIFE",$AX$10:$AX$16)),0,""))</f>
        <v/>
      </c>
      <c r="U106" s="369" t="str">
        <f ca="1">IF($B106&lt;&gt;"PRC_RESID","",IF(U$7=2005+OFFSET(COM_N_2012!$B$60,$AW106,SUMIF($B$10:$B$16,"NCAP_TLIFE",$AX$10:$AX$16)),0,""))</f>
        <v/>
      </c>
      <c r="V106" s="369" t="str">
        <f ca="1">IF($B106&lt;&gt;"PRC_RESID","",IF(V$7=2005+OFFSET(COM_N_2012!$B$60,$AW106,SUMIF($B$10:$B$16,"NCAP_TLIFE",$AX$10:$AX$16)),0,""))</f>
        <v/>
      </c>
      <c r="W106" s="369" t="str">
        <f ca="1">IF($B106&lt;&gt;"PRC_RESID","",IF(W$7=2005+OFFSET(COM_N_2012!$B$60,$AW106,SUMIF($B$10:$B$16,"NCAP_TLIFE",$AX$10:$AX$16)),0,""))</f>
        <v/>
      </c>
      <c r="X106" s="369" t="str">
        <f ca="1">IF($B106&lt;&gt;"PRC_RESID","",IF(X$7=2005+OFFSET(COM_N_2012!$B$60,$AW106,SUMIF($B$10:$B$16,"NCAP_TLIFE",$AX$10:$AX$16)),0,""))</f>
        <v/>
      </c>
      <c r="Y106" s="369" t="str">
        <f ca="1">IF($B106&lt;&gt;"PRC_RESID","",IF(Y$7=2005+OFFSET(COM_N_2012!$B$60,$AW106,SUMIF($B$10:$B$16,"NCAP_TLIFE",$AX$10:$AX$16)),0,""))</f>
        <v/>
      </c>
      <c r="Z106" s="369" t="str">
        <f ca="1">IF($B106&lt;&gt;"PRC_RESID","",IF(Z$7=2005+OFFSET(COM_N_2012!$B$60,$AW106,SUMIF($B$10:$B$16,"NCAP_TLIFE",$AX$10:$AX$16)),0,""))</f>
        <v/>
      </c>
      <c r="AA106" s="369" t="str">
        <f ca="1">IF($B106&lt;&gt;"PRC_RESID","",IF(AA$7=2005+OFFSET(COM_N_2012!$B$60,$AW106,SUMIF($B$10:$B$16,"NCAP_TLIFE",$AX$10:$AX$16)),0,""))</f>
        <v/>
      </c>
      <c r="AB106" s="369" t="str">
        <f ca="1">IF($B106&lt;&gt;"PRC_RESID","",IF(AB$7=2005+OFFSET(COM_N_2012!$B$60,$AW106,SUMIF($B$10:$B$16,"NCAP_TLIFE",$AX$10:$AX$16)),0,""))</f>
        <v/>
      </c>
      <c r="AC106" s="369" t="str">
        <f ca="1">IF($B106&lt;&gt;"PRC_RESID","",IF(AC$7=2005+OFFSET(COM_N_2012!$B$60,$AW106,SUMIF($B$10:$B$16,"NCAP_TLIFE",$AX$10:$AX$16)),0,""))</f>
        <v/>
      </c>
      <c r="AD106" s="369" t="str">
        <f ca="1">IF($B106&lt;&gt;"PRC_RESID","",IF(AD$7=2005+OFFSET(COM_N_2012!$B$60,$AW106,SUMIF($B$10:$B$16,"NCAP_TLIFE",$AX$10:$AX$16)),0,""))</f>
        <v/>
      </c>
      <c r="AE106" s="369" t="str">
        <f ca="1">IF($B106&lt;&gt;"PRC_RESID","",IF(AE$7=2005+OFFSET(COM_N_2012!$B$60,$AW106,SUMIF($B$10:$B$16,"NCAP_TLIFE",$AX$10:$AX$16)),0,""))</f>
        <v/>
      </c>
      <c r="AF106" s="369" t="str">
        <f ca="1">IF($B106&lt;&gt;"PRC_RESID","",IF(AF$7=2005+OFFSET(COM_N_2012!$B$60,$AW106,SUMIF($B$10:$B$16,"NCAP_TLIFE",$AX$10:$AX$16)),0,""))</f>
        <v/>
      </c>
      <c r="AG106" s="369" t="str">
        <f ca="1">IF($B106&lt;&gt;"PRC_RESID","",IF(AG$7=2005+OFFSET(COM_N_2012!$B$60,$AW106,SUMIF($B$10:$B$16,"NCAP_TLIFE",$AX$10:$AX$16)),0,""))</f>
        <v/>
      </c>
      <c r="AH106" s="369" t="str">
        <f ca="1">IF($B106&lt;&gt;"PRC_RESID","",IF(AH$7=2005+OFFSET(COM_N_2012!$B$60,$AW106,SUMIF($B$10:$B$16,"NCAP_TLIFE",$AX$10:$AX$16)),0,""))</f>
        <v/>
      </c>
      <c r="AI106" s="369" t="str">
        <f ca="1">IF($B106&lt;&gt;"PRC_RESID","",IF(AI$7=2005+OFFSET(COM_N_2012!$B$60,$AW106,SUMIF($B$10:$B$16,"NCAP_TLIFE",$AX$10:$AX$16)),0,""))</f>
        <v/>
      </c>
      <c r="AJ106" s="369" t="str">
        <f ca="1">IF($B106&lt;&gt;"PRC_RESID","",IF(AJ$7=2005+OFFSET(COM_N_2012!$B$60,$AW106,SUMIF($B$10:$B$16,"NCAP_TLIFE",$AX$10:$AX$16)),0,""))</f>
        <v/>
      </c>
      <c r="AK106" s="369" t="str">
        <f ca="1">IF($B106&lt;&gt;"PRC_RESID","",IF(AK$7=2005+OFFSET(COM_N_2012!$B$60,$AW106,SUMIF($B$10:$B$16,"NCAP_TLIFE",$AX$10:$AX$16)),0,""))</f>
        <v/>
      </c>
      <c r="AL106" s="369" t="str">
        <f ca="1">IF($B106&lt;&gt;"PRC_RESID","",IF(AL$7=2005+OFFSET(COM_N_2012!$B$60,$AW106,SUMIF($B$10:$B$16,"NCAP_TLIFE",$AX$10:$AX$16)),0,""))</f>
        <v/>
      </c>
      <c r="AM106" s="369" t="str">
        <f ca="1">IF($B106&lt;&gt;"PRC_RESID","",IF(AM$7=2005+OFFSET(COM_N_2012!$B$60,$AW106,SUMIF($B$10:$B$16,"NCAP_TLIFE",$AX$10:$AX$16)),0,""))</f>
        <v/>
      </c>
      <c r="AN106" s="369" t="str">
        <f ca="1">IF($B106&lt;&gt;"PRC_RESID","",IF(AN$7=2005+OFFSET(COM_N_2012!$B$60,$AW106,SUMIF($B$10:$B$16,"NCAP_TLIFE",$AX$10:$AX$16)),0,""))</f>
        <v/>
      </c>
      <c r="AO106" s="369" t="str">
        <f ca="1">IF($B106&lt;&gt;"PRC_RESID","",IF(AO$7=2005+OFFSET(COM_N_2012!$B$60,$AW106,SUMIF($B$10:$B$16,"NCAP_TLIFE",$AX$10:$AX$16)),0,""))</f>
        <v/>
      </c>
      <c r="AP106" s="369" t="str">
        <f ca="1">IF($B106&lt;&gt;"PRC_RESID","",IF(AP$7=2005+OFFSET(COM_N_2012!$B$60,$AW106,SUMIF($B$10:$B$16,"NCAP_TLIFE",$AX$10:$AX$16)),0,""))</f>
        <v/>
      </c>
      <c r="AQ106" s="369" t="str">
        <f ca="1">IF($B106&lt;&gt;"PRC_RESID","",IF(AQ$7=2005+OFFSET(COM_N_2012!$B$60,$AW106,SUMIF($B$10:$B$16,"NCAP_TLIFE",$AX$10:$AX$16)),0,""))</f>
        <v/>
      </c>
      <c r="AR106" s="369" t="str">
        <f ca="1">IF($B106&lt;&gt;"PRC_RESID","",IF(AR$7=2005+OFFSET(COM_N_2012!$B$60,$AW106,SUMIF($B$10:$B$16,"NCAP_TLIFE",$AX$10:$AX$16)),0,""))</f>
        <v/>
      </c>
      <c r="AS106" s="369" t="str">
        <f ca="1">IF($B106&lt;&gt;"PRC_RESID","",IF(AS$7=2005+OFFSET(COM_N_2012!$B$60,$AW106,SUMIF($B$10:$B$16,"NCAP_TLIFE",$AX$10:$AX$16)),0,""))</f>
        <v/>
      </c>
      <c r="AT106" s="369" t="str">
        <f ca="1">IF($B106&lt;&gt;"PRC_RESID","",IF(AT$7=2005+OFFSET(COM_N_2012!$B$60,$AW106,SUMIF($B$10:$B$16,"NCAP_TLIFE",$AX$10:$AX$16)),0,""))</f>
        <v/>
      </c>
      <c r="AU106" s="369" t="str">
        <f ca="1">IF($B106&lt;&gt;"PRC_RESID","",IF(AU$7=2005+OFFSET(COM_N_2012!$B$60,$AW106,SUMIF($B$10:$B$16,"NCAP_TLIFE",$AX$10:$AX$16)),0,""))</f>
        <v/>
      </c>
      <c r="AV106" s="304">
        <f>IF(AW105=COM_N_2012!$AK$121,AV105+1,AV105)</f>
        <v>2</v>
      </c>
      <c r="AW106" s="304">
        <f t="shared" si="12"/>
        <v>28</v>
      </c>
    </row>
    <row r="107" spans="1:49">
      <c r="A107" s="304" t="str">
        <f ca="1">IF(LEFT(OFFSET(COM_N_2012!$A$60,AW107,0),2)="\I","*","")</f>
        <v/>
      </c>
      <c r="B107" s="369" t="str">
        <f t="shared" ca="1" si="11"/>
        <v>NCAP_BND</v>
      </c>
      <c r="C107" s="369" t="str">
        <f ca="1">IF($A107="*","",OFFSET(COM_N_2012!$B$60,AW107,0))</f>
        <v>CNRELC-E</v>
      </c>
      <c r="D107" s="369" t="str">
        <f t="shared" ca="1" si="14"/>
        <v>-</v>
      </c>
      <c r="E107" s="369" t="str">
        <f t="shared" ca="1" si="14"/>
        <v>-</v>
      </c>
      <c r="F107" s="369" t="str">
        <f t="shared" ca="1" si="14"/>
        <v>-</v>
      </c>
      <c r="G107" s="369" t="str">
        <f t="shared" ca="1" si="14"/>
        <v>-</v>
      </c>
      <c r="H107" s="369" t="str">
        <f t="shared" ca="1" si="14"/>
        <v>UP</v>
      </c>
      <c r="I107" s="370">
        <f t="shared" ca="1" si="14"/>
        <v>0</v>
      </c>
      <c r="J107" s="391">
        <f ca="1">IF($A107="*","",OFFSET(COM_N_2012!$B$60,AW107,SUMIF($B$10:$B$16,B107,$AX$10:$AX$16)))</f>
        <v>0</v>
      </c>
      <c r="K107" s="369" t="str">
        <f ca="1">IF($B107&lt;&gt;"PRC_RESID","",IF(K$7=2005+OFFSET(COM_N_2012!$B$60,$AW107,SUMIF($B$10:$B$16,"NCAP_TLIFE",$AX$10:$AX$16)),0,""))</f>
        <v/>
      </c>
      <c r="L107" s="369" t="str">
        <f ca="1">IF($B107&lt;&gt;"PRC_RESID","",IF(L$7=2005+OFFSET(COM_N_2012!$B$60,$AW107,SUMIF($B$10:$B$16,"NCAP_TLIFE",$AX$10:$AX$16)),0,""))</f>
        <v/>
      </c>
      <c r="M107" s="369" t="str">
        <f ca="1">IF($B107&lt;&gt;"PRC_RESID","",IF(M$7=2005+OFFSET(COM_N_2012!$B$60,$AW107,SUMIF($B$10:$B$16,"NCAP_TLIFE",$AX$10:$AX$16)),0,""))</f>
        <v/>
      </c>
      <c r="N107" s="369" t="str">
        <f ca="1">IF($B107&lt;&gt;"PRC_RESID","",IF(N$7=2005+OFFSET(COM_N_2012!$B$60,$AW107,SUMIF($B$10:$B$16,"NCAP_TLIFE",$AX$10:$AX$16)),0,""))</f>
        <v/>
      </c>
      <c r="O107" s="369" t="str">
        <f ca="1">IF($B107&lt;&gt;"PRC_RESID","",IF(O$7=2005+OFFSET(COM_N_2012!$B$60,$AW107,SUMIF($B$10:$B$16,"NCAP_TLIFE",$AX$10:$AX$16)),0,""))</f>
        <v/>
      </c>
      <c r="P107" s="369" t="str">
        <f ca="1">IF($B107&lt;&gt;"PRC_RESID","",IF(P$7=2005+OFFSET(COM_N_2012!$B$60,$AW107,SUMIF($B$10:$B$16,"NCAP_TLIFE",$AX$10:$AX$16)),0,""))</f>
        <v/>
      </c>
      <c r="Q107" s="369" t="str">
        <f ca="1">IF($B107&lt;&gt;"PRC_RESID","",IF(Q$7=2005+OFFSET(COM_N_2012!$B$60,$AW107,SUMIF($B$10:$B$16,"NCAP_TLIFE",$AX$10:$AX$16)),0,""))</f>
        <v/>
      </c>
      <c r="R107" s="369" t="str">
        <f ca="1">IF($B107&lt;&gt;"PRC_RESID","",IF(R$7=2005+OFFSET(COM_N_2012!$B$60,$AW107,SUMIF($B$10:$B$16,"NCAP_TLIFE",$AX$10:$AX$16)),0,""))</f>
        <v/>
      </c>
      <c r="S107" s="369" t="str">
        <f ca="1">IF($B107&lt;&gt;"PRC_RESID","",IF(S$7=2005+OFFSET(COM_N_2012!$B$60,$AW107,SUMIF($B$10:$B$16,"NCAP_TLIFE",$AX$10:$AX$16)),0,""))</f>
        <v/>
      </c>
      <c r="T107" s="369" t="str">
        <f ca="1">IF($B107&lt;&gt;"PRC_RESID","",IF(T$7=2005+OFFSET(COM_N_2012!$B$60,$AW107,SUMIF($B$10:$B$16,"NCAP_TLIFE",$AX$10:$AX$16)),0,""))</f>
        <v/>
      </c>
      <c r="U107" s="369" t="str">
        <f ca="1">IF($B107&lt;&gt;"PRC_RESID","",IF(U$7=2005+OFFSET(COM_N_2012!$B$60,$AW107,SUMIF($B$10:$B$16,"NCAP_TLIFE",$AX$10:$AX$16)),0,""))</f>
        <v/>
      </c>
      <c r="V107" s="369" t="str">
        <f ca="1">IF($B107&lt;&gt;"PRC_RESID","",IF(V$7=2005+OFFSET(COM_N_2012!$B$60,$AW107,SUMIF($B$10:$B$16,"NCAP_TLIFE",$AX$10:$AX$16)),0,""))</f>
        <v/>
      </c>
      <c r="W107" s="369" t="str">
        <f ca="1">IF($B107&lt;&gt;"PRC_RESID","",IF(W$7=2005+OFFSET(COM_N_2012!$B$60,$AW107,SUMIF($B$10:$B$16,"NCAP_TLIFE",$AX$10:$AX$16)),0,""))</f>
        <v/>
      </c>
      <c r="X107" s="369" t="str">
        <f ca="1">IF($B107&lt;&gt;"PRC_RESID","",IF(X$7=2005+OFFSET(COM_N_2012!$B$60,$AW107,SUMIF($B$10:$B$16,"NCAP_TLIFE",$AX$10:$AX$16)),0,""))</f>
        <v/>
      </c>
      <c r="Y107" s="369" t="str">
        <f ca="1">IF($B107&lt;&gt;"PRC_RESID","",IF(Y$7=2005+OFFSET(COM_N_2012!$B$60,$AW107,SUMIF($B$10:$B$16,"NCAP_TLIFE",$AX$10:$AX$16)),0,""))</f>
        <v/>
      </c>
      <c r="Z107" s="369" t="str">
        <f ca="1">IF($B107&lt;&gt;"PRC_RESID","",IF(Z$7=2005+OFFSET(COM_N_2012!$B$60,$AW107,SUMIF($B$10:$B$16,"NCAP_TLIFE",$AX$10:$AX$16)),0,""))</f>
        <v/>
      </c>
      <c r="AA107" s="369" t="str">
        <f ca="1">IF($B107&lt;&gt;"PRC_RESID","",IF(AA$7=2005+OFFSET(COM_N_2012!$B$60,$AW107,SUMIF($B$10:$B$16,"NCAP_TLIFE",$AX$10:$AX$16)),0,""))</f>
        <v/>
      </c>
      <c r="AB107" s="369" t="str">
        <f ca="1">IF($B107&lt;&gt;"PRC_RESID","",IF(AB$7=2005+OFFSET(COM_N_2012!$B$60,$AW107,SUMIF($B$10:$B$16,"NCAP_TLIFE",$AX$10:$AX$16)),0,""))</f>
        <v/>
      </c>
      <c r="AC107" s="369" t="str">
        <f ca="1">IF($B107&lt;&gt;"PRC_RESID","",IF(AC$7=2005+OFFSET(COM_N_2012!$B$60,$AW107,SUMIF($B$10:$B$16,"NCAP_TLIFE",$AX$10:$AX$16)),0,""))</f>
        <v/>
      </c>
      <c r="AD107" s="369" t="str">
        <f ca="1">IF($B107&lt;&gt;"PRC_RESID","",IF(AD$7=2005+OFFSET(COM_N_2012!$B$60,$AW107,SUMIF($B$10:$B$16,"NCAP_TLIFE",$AX$10:$AX$16)),0,""))</f>
        <v/>
      </c>
      <c r="AE107" s="369" t="str">
        <f ca="1">IF($B107&lt;&gt;"PRC_RESID","",IF(AE$7=2005+OFFSET(COM_N_2012!$B$60,$AW107,SUMIF($B$10:$B$16,"NCAP_TLIFE",$AX$10:$AX$16)),0,""))</f>
        <v/>
      </c>
      <c r="AF107" s="369" t="str">
        <f ca="1">IF($B107&lt;&gt;"PRC_RESID","",IF(AF$7=2005+OFFSET(COM_N_2012!$B$60,$AW107,SUMIF($B$10:$B$16,"NCAP_TLIFE",$AX$10:$AX$16)),0,""))</f>
        <v/>
      </c>
      <c r="AG107" s="369" t="str">
        <f ca="1">IF($B107&lt;&gt;"PRC_RESID","",IF(AG$7=2005+OFFSET(COM_N_2012!$B$60,$AW107,SUMIF($B$10:$B$16,"NCAP_TLIFE",$AX$10:$AX$16)),0,""))</f>
        <v/>
      </c>
      <c r="AH107" s="369" t="str">
        <f ca="1">IF($B107&lt;&gt;"PRC_RESID","",IF(AH$7=2005+OFFSET(COM_N_2012!$B$60,$AW107,SUMIF($B$10:$B$16,"NCAP_TLIFE",$AX$10:$AX$16)),0,""))</f>
        <v/>
      </c>
      <c r="AI107" s="369" t="str">
        <f ca="1">IF($B107&lt;&gt;"PRC_RESID","",IF(AI$7=2005+OFFSET(COM_N_2012!$B$60,$AW107,SUMIF($B$10:$B$16,"NCAP_TLIFE",$AX$10:$AX$16)),0,""))</f>
        <v/>
      </c>
      <c r="AJ107" s="369" t="str">
        <f ca="1">IF($B107&lt;&gt;"PRC_RESID","",IF(AJ$7=2005+OFFSET(COM_N_2012!$B$60,$AW107,SUMIF($B$10:$B$16,"NCAP_TLIFE",$AX$10:$AX$16)),0,""))</f>
        <v/>
      </c>
      <c r="AK107" s="369" t="str">
        <f ca="1">IF($B107&lt;&gt;"PRC_RESID","",IF(AK$7=2005+OFFSET(COM_N_2012!$B$60,$AW107,SUMIF($B$10:$B$16,"NCAP_TLIFE",$AX$10:$AX$16)),0,""))</f>
        <v/>
      </c>
      <c r="AL107" s="369" t="str">
        <f ca="1">IF($B107&lt;&gt;"PRC_RESID","",IF(AL$7=2005+OFFSET(COM_N_2012!$B$60,$AW107,SUMIF($B$10:$B$16,"NCAP_TLIFE",$AX$10:$AX$16)),0,""))</f>
        <v/>
      </c>
      <c r="AM107" s="369" t="str">
        <f ca="1">IF($B107&lt;&gt;"PRC_RESID","",IF(AM$7=2005+OFFSET(COM_N_2012!$B$60,$AW107,SUMIF($B$10:$B$16,"NCAP_TLIFE",$AX$10:$AX$16)),0,""))</f>
        <v/>
      </c>
      <c r="AN107" s="369" t="str">
        <f ca="1">IF($B107&lt;&gt;"PRC_RESID","",IF(AN$7=2005+OFFSET(COM_N_2012!$B$60,$AW107,SUMIF($B$10:$B$16,"NCAP_TLIFE",$AX$10:$AX$16)),0,""))</f>
        <v/>
      </c>
      <c r="AO107" s="369" t="str">
        <f ca="1">IF($B107&lt;&gt;"PRC_RESID","",IF(AO$7=2005+OFFSET(COM_N_2012!$B$60,$AW107,SUMIF($B$10:$B$16,"NCAP_TLIFE",$AX$10:$AX$16)),0,""))</f>
        <v/>
      </c>
      <c r="AP107" s="369" t="str">
        <f ca="1">IF($B107&lt;&gt;"PRC_RESID","",IF(AP$7=2005+OFFSET(COM_N_2012!$B$60,$AW107,SUMIF($B$10:$B$16,"NCAP_TLIFE",$AX$10:$AX$16)),0,""))</f>
        <v/>
      </c>
      <c r="AQ107" s="369" t="str">
        <f ca="1">IF($B107&lt;&gt;"PRC_RESID","",IF(AQ$7=2005+OFFSET(COM_N_2012!$B$60,$AW107,SUMIF($B$10:$B$16,"NCAP_TLIFE",$AX$10:$AX$16)),0,""))</f>
        <v/>
      </c>
      <c r="AR107" s="369" t="str">
        <f ca="1">IF($B107&lt;&gt;"PRC_RESID","",IF(AR$7=2005+OFFSET(COM_N_2012!$B$60,$AW107,SUMIF($B$10:$B$16,"NCAP_TLIFE",$AX$10:$AX$16)),0,""))</f>
        <v/>
      </c>
      <c r="AS107" s="369" t="str">
        <f ca="1">IF($B107&lt;&gt;"PRC_RESID","",IF(AS$7=2005+OFFSET(COM_N_2012!$B$60,$AW107,SUMIF($B$10:$B$16,"NCAP_TLIFE",$AX$10:$AX$16)),0,""))</f>
        <v/>
      </c>
      <c r="AT107" s="369" t="str">
        <f ca="1">IF($B107&lt;&gt;"PRC_RESID","",IF(AT$7=2005+OFFSET(COM_N_2012!$B$60,$AW107,SUMIF($B$10:$B$16,"NCAP_TLIFE",$AX$10:$AX$16)),0,""))</f>
        <v/>
      </c>
      <c r="AU107" s="369" t="str">
        <f ca="1">IF($B107&lt;&gt;"PRC_RESID","",IF(AU$7=2005+OFFSET(COM_N_2012!$B$60,$AW107,SUMIF($B$10:$B$16,"NCAP_TLIFE",$AX$10:$AX$16)),0,""))</f>
        <v/>
      </c>
      <c r="AV107" s="304">
        <f>IF(AW106=COM_N_2012!$AK$121,AV106+1,AV106)</f>
        <v>2</v>
      </c>
      <c r="AW107" s="304">
        <f t="shared" si="12"/>
        <v>29</v>
      </c>
    </row>
    <row r="108" spans="1:49">
      <c r="A108" s="304" t="str">
        <f ca="1">IF(LEFT(OFFSET(COM_N_2012!$A$60,AW108,0),2)="\I","*","")</f>
        <v/>
      </c>
      <c r="B108" s="369" t="str">
        <f t="shared" ca="1" si="11"/>
        <v>NCAP_BND</v>
      </c>
      <c r="C108" s="369" t="str">
        <f ca="1">IF($A108="*","",OFFSET(COM_N_2012!$B$60,AW108,0))</f>
        <v>CNRELC-N</v>
      </c>
      <c r="D108" s="369" t="str">
        <f t="shared" ref="D108:I117" ca="1" si="15">IF($A108="*","",VLOOKUP($B108,$B$10:$I$16,D$9,FALSE))</f>
        <v>-</v>
      </c>
      <c r="E108" s="369" t="str">
        <f t="shared" ca="1" si="15"/>
        <v>-</v>
      </c>
      <c r="F108" s="369" t="str">
        <f t="shared" ca="1" si="15"/>
        <v>-</v>
      </c>
      <c r="G108" s="369" t="str">
        <f t="shared" ca="1" si="15"/>
        <v>-</v>
      </c>
      <c r="H108" s="369" t="str">
        <f t="shared" ca="1" si="15"/>
        <v>UP</v>
      </c>
      <c r="I108" s="370">
        <f t="shared" ca="1" si="15"/>
        <v>0</v>
      </c>
      <c r="J108" s="391">
        <f ca="1">IF($A108="*","",OFFSET(COM_N_2012!$B$60,AW108,SUMIF($B$10:$B$16,B108,$AX$10:$AX$16)))</f>
        <v>0</v>
      </c>
      <c r="K108" s="369" t="str">
        <f ca="1">IF($B108&lt;&gt;"PRC_RESID","",IF(K$7=2005+OFFSET(COM_N_2012!$B$60,$AW108,SUMIF($B$10:$B$16,"NCAP_TLIFE",$AX$10:$AX$16)),0,""))</f>
        <v/>
      </c>
      <c r="L108" s="369" t="str">
        <f ca="1">IF($B108&lt;&gt;"PRC_RESID","",IF(L$7=2005+OFFSET(COM_N_2012!$B$60,$AW108,SUMIF($B$10:$B$16,"NCAP_TLIFE",$AX$10:$AX$16)),0,""))</f>
        <v/>
      </c>
      <c r="M108" s="369" t="str">
        <f ca="1">IF($B108&lt;&gt;"PRC_RESID","",IF(M$7=2005+OFFSET(COM_N_2012!$B$60,$AW108,SUMIF($B$10:$B$16,"NCAP_TLIFE",$AX$10:$AX$16)),0,""))</f>
        <v/>
      </c>
      <c r="N108" s="369" t="str">
        <f ca="1">IF($B108&lt;&gt;"PRC_RESID","",IF(N$7=2005+OFFSET(COM_N_2012!$B$60,$AW108,SUMIF($B$10:$B$16,"NCAP_TLIFE",$AX$10:$AX$16)),0,""))</f>
        <v/>
      </c>
      <c r="O108" s="369" t="str">
        <f ca="1">IF($B108&lt;&gt;"PRC_RESID","",IF(O$7=2005+OFFSET(COM_N_2012!$B$60,$AW108,SUMIF($B$10:$B$16,"NCAP_TLIFE",$AX$10:$AX$16)),0,""))</f>
        <v/>
      </c>
      <c r="P108" s="369" t="str">
        <f ca="1">IF($B108&lt;&gt;"PRC_RESID","",IF(P$7=2005+OFFSET(COM_N_2012!$B$60,$AW108,SUMIF($B$10:$B$16,"NCAP_TLIFE",$AX$10:$AX$16)),0,""))</f>
        <v/>
      </c>
      <c r="Q108" s="369" t="str">
        <f ca="1">IF($B108&lt;&gt;"PRC_RESID","",IF(Q$7=2005+OFFSET(COM_N_2012!$B$60,$AW108,SUMIF($B$10:$B$16,"NCAP_TLIFE",$AX$10:$AX$16)),0,""))</f>
        <v/>
      </c>
      <c r="R108" s="369" t="str">
        <f ca="1">IF($B108&lt;&gt;"PRC_RESID","",IF(R$7=2005+OFFSET(COM_N_2012!$B$60,$AW108,SUMIF($B$10:$B$16,"NCAP_TLIFE",$AX$10:$AX$16)),0,""))</f>
        <v/>
      </c>
      <c r="S108" s="369" t="str">
        <f ca="1">IF($B108&lt;&gt;"PRC_RESID","",IF(S$7=2005+OFFSET(COM_N_2012!$B$60,$AW108,SUMIF($B$10:$B$16,"NCAP_TLIFE",$AX$10:$AX$16)),0,""))</f>
        <v/>
      </c>
      <c r="T108" s="369" t="str">
        <f ca="1">IF($B108&lt;&gt;"PRC_RESID","",IF(T$7=2005+OFFSET(COM_N_2012!$B$60,$AW108,SUMIF($B$10:$B$16,"NCAP_TLIFE",$AX$10:$AX$16)),0,""))</f>
        <v/>
      </c>
      <c r="U108" s="369" t="str">
        <f ca="1">IF($B108&lt;&gt;"PRC_RESID","",IF(U$7=2005+OFFSET(COM_N_2012!$B$60,$AW108,SUMIF($B$10:$B$16,"NCAP_TLIFE",$AX$10:$AX$16)),0,""))</f>
        <v/>
      </c>
      <c r="V108" s="369" t="str">
        <f ca="1">IF($B108&lt;&gt;"PRC_RESID","",IF(V$7=2005+OFFSET(COM_N_2012!$B$60,$AW108,SUMIF($B$10:$B$16,"NCAP_TLIFE",$AX$10:$AX$16)),0,""))</f>
        <v/>
      </c>
      <c r="W108" s="369" t="str">
        <f ca="1">IF($B108&lt;&gt;"PRC_RESID","",IF(W$7=2005+OFFSET(COM_N_2012!$B$60,$AW108,SUMIF($B$10:$B$16,"NCAP_TLIFE",$AX$10:$AX$16)),0,""))</f>
        <v/>
      </c>
      <c r="X108" s="369" t="str">
        <f ca="1">IF($B108&lt;&gt;"PRC_RESID","",IF(X$7=2005+OFFSET(COM_N_2012!$B$60,$AW108,SUMIF($B$10:$B$16,"NCAP_TLIFE",$AX$10:$AX$16)),0,""))</f>
        <v/>
      </c>
      <c r="Y108" s="369" t="str">
        <f ca="1">IF($B108&lt;&gt;"PRC_RESID","",IF(Y$7=2005+OFFSET(COM_N_2012!$B$60,$AW108,SUMIF($B$10:$B$16,"NCAP_TLIFE",$AX$10:$AX$16)),0,""))</f>
        <v/>
      </c>
      <c r="Z108" s="369" t="str">
        <f ca="1">IF($B108&lt;&gt;"PRC_RESID","",IF(Z$7=2005+OFFSET(COM_N_2012!$B$60,$AW108,SUMIF($B$10:$B$16,"NCAP_TLIFE",$AX$10:$AX$16)),0,""))</f>
        <v/>
      </c>
      <c r="AA108" s="369" t="str">
        <f ca="1">IF($B108&lt;&gt;"PRC_RESID","",IF(AA$7=2005+OFFSET(COM_N_2012!$B$60,$AW108,SUMIF($B$10:$B$16,"NCAP_TLIFE",$AX$10:$AX$16)),0,""))</f>
        <v/>
      </c>
      <c r="AB108" s="369" t="str">
        <f ca="1">IF($B108&lt;&gt;"PRC_RESID","",IF(AB$7=2005+OFFSET(COM_N_2012!$B$60,$AW108,SUMIF($B$10:$B$16,"NCAP_TLIFE",$AX$10:$AX$16)),0,""))</f>
        <v/>
      </c>
      <c r="AC108" s="369" t="str">
        <f ca="1">IF($B108&lt;&gt;"PRC_RESID","",IF(AC$7=2005+OFFSET(COM_N_2012!$B$60,$AW108,SUMIF($B$10:$B$16,"NCAP_TLIFE",$AX$10:$AX$16)),0,""))</f>
        <v/>
      </c>
      <c r="AD108" s="369" t="str">
        <f ca="1">IF($B108&lt;&gt;"PRC_RESID","",IF(AD$7=2005+OFFSET(COM_N_2012!$B$60,$AW108,SUMIF($B$10:$B$16,"NCAP_TLIFE",$AX$10:$AX$16)),0,""))</f>
        <v/>
      </c>
      <c r="AE108" s="369" t="str">
        <f ca="1">IF($B108&lt;&gt;"PRC_RESID","",IF(AE$7=2005+OFFSET(COM_N_2012!$B$60,$AW108,SUMIF($B$10:$B$16,"NCAP_TLIFE",$AX$10:$AX$16)),0,""))</f>
        <v/>
      </c>
      <c r="AF108" s="369" t="str">
        <f ca="1">IF($B108&lt;&gt;"PRC_RESID","",IF(AF$7=2005+OFFSET(COM_N_2012!$B$60,$AW108,SUMIF($B$10:$B$16,"NCAP_TLIFE",$AX$10:$AX$16)),0,""))</f>
        <v/>
      </c>
      <c r="AG108" s="369" t="str">
        <f ca="1">IF($B108&lt;&gt;"PRC_RESID","",IF(AG$7=2005+OFFSET(COM_N_2012!$B$60,$AW108,SUMIF($B$10:$B$16,"NCAP_TLIFE",$AX$10:$AX$16)),0,""))</f>
        <v/>
      </c>
      <c r="AH108" s="369" t="str">
        <f ca="1">IF($B108&lt;&gt;"PRC_RESID","",IF(AH$7=2005+OFFSET(COM_N_2012!$B$60,$AW108,SUMIF($B$10:$B$16,"NCAP_TLIFE",$AX$10:$AX$16)),0,""))</f>
        <v/>
      </c>
      <c r="AI108" s="369" t="str">
        <f ca="1">IF($B108&lt;&gt;"PRC_RESID","",IF(AI$7=2005+OFFSET(COM_N_2012!$B$60,$AW108,SUMIF($B$10:$B$16,"NCAP_TLIFE",$AX$10:$AX$16)),0,""))</f>
        <v/>
      </c>
      <c r="AJ108" s="369" t="str">
        <f ca="1">IF($B108&lt;&gt;"PRC_RESID","",IF(AJ$7=2005+OFFSET(COM_N_2012!$B$60,$AW108,SUMIF($B$10:$B$16,"NCAP_TLIFE",$AX$10:$AX$16)),0,""))</f>
        <v/>
      </c>
      <c r="AK108" s="369" t="str">
        <f ca="1">IF($B108&lt;&gt;"PRC_RESID","",IF(AK$7=2005+OFFSET(COM_N_2012!$B$60,$AW108,SUMIF($B$10:$B$16,"NCAP_TLIFE",$AX$10:$AX$16)),0,""))</f>
        <v/>
      </c>
      <c r="AL108" s="369" t="str">
        <f ca="1">IF($B108&lt;&gt;"PRC_RESID","",IF(AL$7=2005+OFFSET(COM_N_2012!$B$60,$AW108,SUMIF($B$10:$B$16,"NCAP_TLIFE",$AX$10:$AX$16)),0,""))</f>
        <v/>
      </c>
      <c r="AM108" s="369" t="str">
        <f ca="1">IF($B108&lt;&gt;"PRC_RESID","",IF(AM$7=2005+OFFSET(COM_N_2012!$B$60,$AW108,SUMIF($B$10:$B$16,"NCAP_TLIFE",$AX$10:$AX$16)),0,""))</f>
        <v/>
      </c>
      <c r="AN108" s="369" t="str">
        <f ca="1">IF($B108&lt;&gt;"PRC_RESID","",IF(AN$7=2005+OFFSET(COM_N_2012!$B$60,$AW108,SUMIF($B$10:$B$16,"NCAP_TLIFE",$AX$10:$AX$16)),0,""))</f>
        <v/>
      </c>
      <c r="AO108" s="369" t="str">
        <f ca="1">IF($B108&lt;&gt;"PRC_RESID","",IF(AO$7=2005+OFFSET(COM_N_2012!$B$60,$AW108,SUMIF($B$10:$B$16,"NCAP_TLIFE",$AX$10:$AX$16)),0,""))</f>
        <v/>
      </c>
      <c r="AP108" s="369" t="str">
        <f ca="1">IF($B108&lt;&gt;"PRC_RESID","",IF(AP$7=2005+OFFSET(COM_N_2012!$B$60,$AW108,SUMIF($B$10:$B$16,"NCAP_TLIFE",$AX$10:$AX$16)),0,""))</f>
        <v/>
      </c>
      <c r="AQ108" s="369" t="str">
        <f ca="1">IF($B108&lt;&gt;"PRC_RESID","",IF(AQ$7=2005+OFFSET(COM_N_2012!$B$60,$AW108,SUMIF($B$10:$B$16,"NCAP_TLIFE",$AX$10:$AX$16)),0,""))</f>
        <v/>
      </c>
      <c r="AR108" s="369" t="str">
        <f ca="1">IF($B108&lt;&gt;"PRC_RESID","",IF(AR$7=2005+OFFSET(COM_N_2012!$B$60,$AW108,SUMIF($B$10:$B$16,"NCAP_TLIFE",$AX$10:$AX$16)),0,""))</f>
        <v/>
      </c>
      <c r="AS108" s="369" t="str">
        <f ca="1">IF($B108&lt;&gt;"PRC_RESID","",IF(AS$7=2005+OFFSET(COM_N_2012!$B$60,$AW108,SUMIF($B$10:$B$16,"NCAP_TLIFE",$AX$10:$AX$16)),0,""))</f>
        <v/>
      </c>
      <c r="AT108" s="369" t="str">
        <f ca="1">IF($B108&lt;&gt;"PRC_RESID","",IF(AT$7=2005+OFFSET(COM_N_2012!$B$60,$AW108,SUMIF($B$10:$B$16,"NCAP_TLIFE",$AX$10:$AX$16)),0,""))</f>
        <v/>
      </c>
      <c r="AU108" s="369" t="str">
        <f ca="1">IF($B108&lt;&gt;"PRC_RESID","",IF(AU$7=2005+OFFSET(COM_N_2012!$B$60,$AW108,SUMIF($B$10:$B$16,"NCAP_TLIFE",$AX$10:$AX$16)),0,""))</f>
        <v/>
      </c>
      <c r="AV108" s="304">
        <f>IF(AW107=COM_N_2012!$AK$121,AV107+1,AV107)</f>
        <v>2</v>
      </c>
      <c r="AW108" s="304">
        <f t="shared" si="12"/>
        <v>30</v>
      </c>
    </row>
    <row r="109" spans="1:49">
      <c r="A109" s="304" t="str">
        <f ca="1">IF(LEFT(OFFSET(COM_N_2012!$A$60,AW109,0),2)="\I","*","")</f>
        <v>*</v>
      </c>
      <c r="B109" s="369" t="str">
        <f t="shared" ca="1" si="11"/>
        <v/>
      </c>
      <c r="C109" s="369" t="str">
        <f ca="1">IF($A109="*","",OFFSET(COM_N_2012!$B$60,AW109,0))</f>
        <v/>
      </c>
      <c r="D109" s="369" t="str">
        <f t="shared" ca="1" si="15"/>
        <v/>
      </c>
      <c r="E109" s="369" t="str">
        <f t="shared" ca="1" si="15"/>
        <v/>
      </c>
      <c r="F109" s="369" t="str">
        <f t="shared" ca="1" si="15"/>
        <v/>
      </c>
      <c r="G109" s="369" t="str">
        <f t="shared" ca="1" si="15"/>
        <v/>
      </c>
      <c r="H109" s="369" t="str">
        <f t="shared" ca="1" si="15"/>
        <v/>
      </c>
      <c r="I109" s="370" t="str">
        <f t="shared" ca="1" si="15"/>
        <v/>
      </c>
      <c r="J109" s="391" t="str">
        <f ca="1">IF($A109="*","",OFFSET(COM_N_2012!$B$60,AW109,SUMIF($B$10:$B$16,B109,$AX$10:$AX$16)))</f>
        <v/>
      </c>
      <c r="K109" s="369" t="str">
        <f ca="1">IF($B109&lt;&gt;"PRC_RESID","",IF(K$7=2005+OFFSET(COM_N_2012!$B$60,$AW109,SUMIF($B$10:$B$16,"NCAP_TLIFE",$AX$10:$AX$16)),0,""))</f>
        <v/>
      </c>
      <c r="L109" s="369" t="str">
        <f ca="1">IF($B109&lt;&gt;"PRC_RESID","",IF(L$7=2005+OFFSET(COM_N_2012!$B$60,$AW109,SUMIF($B$10:$B$16,"NCAP_TLIFE",$AX$10:$AX$16)),0,""))</f>
        <v/>
      </c>
      <c r="M109" s="369" t="str">
        <f ca="1">IF($B109&lt;&gt;"PRC_RESID","",IF(M$7=2005+OFFSET(COM_N_2012!$B$60,$AW109,SUMIF($B$10:$B$16,"NCAP_TLIFE",$AX$10:$AX$16)),0,""))</f>
        <v/>
      </c>
      <c r="N109" s="369" t="str">
        <f ca="1">IF($B109&lt;&gt;"PRC_RESID","",IF(N$7=2005+OFFSET(COM_N_2012!$B$60,$AW109,SUMIF($B$10:$B$16,"NCAP_TLIFE",$AX$10:$AX$16)),0,""))</f>
        <v/>
      </c>
      <c r="O109" s="369" t="str">
        <f ca="1">IF($B109&lt;&gt;"PRC_RESID","",IF(O$7=2005+OFFSET(COM_N_2012!$B$60,$AW109,SUMIF($B$10:$B$16,"NCAP_TLIFE",$AX$10:$AX$16)),0,""))</f>
        <v/>
      </c>
      <c r="P109" s="369" t="str">
        <f ca="1">IF($B109&lt;&gt;"PRC_RESID","",IF(P$7=2005+OFFSET(COM_N_2012!$B$60,$AW109,SUMIF($B$10:$B$16,"NCAP_TLIFE",$AX$10:$AX$16)),0,""))</f>
        <v/>
      </c>
      <c r="Q109" s="369" t="str">
        <f ca="1">IF($B109&lt;&gt;"PRC_RESID","",IF(Q$7=2005+OFFSET(COM_N_2012!$B$60,$AW109,SUMIF($B$10:$B$16,"NCAP_TLIFE",$AX$10:$AX$16)),0,""))</f>
        <v/>
      </c>
      <c r="R109" s="369" t="str">
        <f ca="1">IF($B109&lt;&gt;"PRC_RESID","",IF(R$7=2005+OFFSET(COM_N_2012!$B$60,$AW109,SUMIF($B$10:$B$16,"NCAP_TLIFE",$AX$10:$AX$16)),0,""))</f>
        <v/>
      </c>
      <c r="S109" s="369" t="str">
        <f ca="1">IF($B109&lt;&gt;"PRC_RESID","",IF(S$7=2005+OFFSET(COM_N_2012!$B$60,$AW109,SUMIF($B$10:$B$16,"NCAP_TLIFE",$AX$10:$AX$16)),0,""))</f>
        <v/>
      </c>
      <c r="T109" s="369" t="str">
        <f ca="1">IF($B109&lt;&gt;"PRC_RESID","",IF(T$7=2005+OFFSET(COM_N_2012!$B$60,$AW109,SUMIF($B$10:$B$16,"NCAP_TLIFE",$AX$10:$AX$16)),0,""))</f>
        <v/>
      </c>
      <c r="U109" s="369" t="str">
        <f ca="1">IF($B109&lt;&gt;"PRC_RESID","",IF(U$7=2005+OFFSET(COM_N_2012!$B$60,$AW109,SUMIF($B$10:$B$16,"NCAP_TLIFE",$AX$10:$AX$16)),0,""))</f>
        <v/>
      </c>
      <c r="V109" s="369" t="str">
        <f ca="1">IF($B109&lt;&gt;"PRC_RESID","",IF(V$7=2005+OFFSET(COM_N_2012!$B$60,$AW109,SUMIF($B$10:$B$16,"NCAP_TLIFE",$AX$10:$AX$16)),0,""))</f>
        <v/>
      </c>
      <c r="W109" s="369" t="str">
        <f ca="1">IF($B109&lt;&gt;"PRC_RESID","",IF(W$7=2005+OFFSET(COM_N_2012!$B$60,$AW109,SUMIF($B$10:$B$16,"NCAP_TLIFE",$AX$10:$AX$16)),0,""))</f>
        <v/>
      </c>
      <c r="X109" s="369" t="str">
        <f ca="1">IF($B109&lt;&gt;"PRC_RESID","",IF(X$7=2005+OFFSET(COM_N_2012!$B$60,$AW109,SUMIF($B$10:$B$16,"NCAP_TLIFE",$AX$10:$AX$16)),0,""))</f>
        <v/>
      </c>
      <c r="Y109" s="369" t="str">
        <f ca="1">IF($B109&lt;&gt;"PRC_RESID","",IF(Y$7=2005+OFFSET(COM_N_2012!$B$60,$AW109,SUMIF($B$10:$B$16,"NCAP_TLIFE",$AX$10:$AX$16)),0,""))</f>
        <v/>
      </c>
      <c r="Z109" s="369" t="str">
        <f ca="1">IF($B109&lt;&gt;"PRC_RESID","",IF(Z$7=2005+OFFSET(COM_N_2012!$B$60,$AW109,SUMIF($B$10:$B$16,"NCAP_TLIFE",$AX$10:$AX$16)),0,""))</f>
        <v/>
      </c>
      <c r="AA109" s="369" t="str">
        <f ca="1">IF($B109&lt;&gt;"PRC_RESID","",IF(AA$7=2005+OFFSET(COM_N_2012!$B$60,$AW109,SUMIF($B$10:$B$16,"NCAP_TLIFE",$AX$10:$AX$16)),0,""))</f>
        <v/>
      </c>
      <c r="AB109" s="369" t="str">
        <f ca="1">IF($B109&lt;&gt;"PRC_RESID","",IF(AB$7=2005+OFFSET(COM_N_2012!$B$60,$AW109,SUMIF($B$10:$B$16,"NCAP_TLIFE",$AX$10:$AX$16)),0,""))</f>
        <v/>
      </c>
      <c r="AC109" s="369" t="str">
        <f ca="1">IF($B109&lt;&gt;"PRC_RESID","",IF(AC$7=2005+OFFSET(COM_N_2012!$B$60,$AW109,SUMIF($B$10:$B$16,"NCAP_TLIFE",$AX$10:$AX$16)),0,""))</f>
        <v/>
      </c>
      <c r="AD109" s="369" t="str">
        <f ca="1">IF($B109&lt;&gt;"PRC_RESID","",IF(AD$7=2005+OFFSET(COM_N_2012!$B$60,$AW109,SUMIF($B$10:$B$16,"NCAP_TLIFE",$AX$10:$AX$16)),0,""))</f>
        <v/>
      </c>
      <c r="AE109" s="369" t="str">
        <f ca="1">IF($B109&lt;&gt;"PRC_RESID","",IF(AE$7=2005+OFFSET(COM_N_2012!$B$60,$AW109,SUMIF($B$10:$B$16,"NCAP_TLIFE",$AX$10:$AX$16)),0,""))</f>
        <v/>
      </c>
      <c r="AF109" s="369" t="str">
        <f ca="1">IF($B109&lt;&gt;"PRC_RESID","",IF(AF$7=2005+OFFSET(COM_N_2012!$B$60,$AW109,SUMIF($B$10:$B$16,"NCAP_TLIFE",$AX$10:$AX$16)),0,""))</f>
        <v/>
      </c>
      <c r="AG109" s="369" t="str">
        <f ca="1">IF($B109&lt;&gt;"PRC_RESID","",IF(AG$7=2005+OFFSET(COM_N_2012!$B$60,$AW109,SUMIF($B$10:$B$16,"NCAP_TLIFE",$AX$10:$AX$16)),0,""))</f>
        <v/>
      </c>
      <c r="AH109" s="369" t="str">
        <f ca="1">IF($B109&lt;&gt;"PRC_RESID","",IF(AH$7=2005+OFFSET(COM_N_2012!$B$60,$AW109,SUMIF($B$10:$B$16,"NCAP_TLIFE",$AX$10:$AX$16)),0,""))</f>
        <v/>
      </c>
      <c r="AI109" s="369" t="str">
        <f ca="1">IF($B109&lt;&gt;"PRC_RESID","",IF(AI$7=2005+OFFSET(COM_N_2012!$B$60,$AW109,SUMIF($B$10:$B$16,"NCAP_TLIFE",$AX$10:$AX$16)),0,""))</f>
        <v/>
      </c>
      <c r="AJ109" s="369" t="str">
        <f ca="1">IF($B109&lt;&gt;"PRC_RESID","",IF(AJ$7=2005+OFFSET(COM_N_2012!$B$60,$AW109,SUMIF($B$10:$B$16,"NCAP_TLIFE",$AX$10:$AX$16)),0,""))</f>
        <v/>
      </c>
      <c r="AK109" s="369" t="str">
        <f ca="1">IF($B109&lt;&gt;"PRC_RESID","",IF(AK$7=2005+OFFSET(COM_N_2012!$B$60,$AW109,SUMIF($B$10:$B$16,"NCAP_TLIFE",$AX$10:$AX$16)),0,""))</f>
        <v/>
      </c>
      <c r="AL109" s="369" t="str">
        <f ca="1">IF($B109&lt;&gt;"PRC_RESID","",IF(AL$7=2005+OFFSET(COM_N_2012!$B$60,$AW109,SUMIF($B$10:$B$16,"NCAP_TLIFE",$AX$10:$AX$16)),0,""))</f>
        <v/>
      </c>
      <c r="AM109" s="369" t="str">
        <f ca="1">IF($B109&lt;&gt;"PRC_RESID","",IF(AM$7=2005+OFFSET(COM_N_2012!$B$60,$AW109,SUMIF($B$10:$B$16,"NCAP_TLIFE",$AX$10:$AX$16)),0,""))</f>
        <v/>
      </c>
      <c r="AN109" s="369" t="str">
        <f ca="1">IF($B109&lt;&gt;"PRC_RESID","",IF(AN$7=2005+OFFSET(COM_N_2012!$B$60,$AW109,SUMIF($B$10:$B$16,"NCAP_TLIFE",$AX$10:$AX$16)),0,""))</f>
        <v/>
      </c>
      <c r="AO109" s="369" t="str">
        <f ca="1">IF($B109&lt;&gt;"PRC_RESID","",IF(AO$7=2005+OFFSET(COM_N_2012!$B$60,$AW109,SUMIF($B$10:$B$16,"NCAP_TLIFE",$AX$10:$AX$16)),0,""))</f>
        <v/>
      </c>
      <c r="AP109" s="369" t="str">
        <f ca="1">IF($B109&lt;&gt;"PRC_RESID","",IF(AP$7=2005+OFFSET(COM_N_2012!$B$60,$AW109,SUMIF($B$10:$B$16,"NCAP_TLIFE",$AX$10:$AX$16)),0,""))</f>
        <v/>
      </c>
      <c r="AQ109" s="369" t="str">
        <f ca="1">IF($B109&lt;&gt;"PRC_RESID","",IF(AQ$7=2005+OFFSET(COM_N_2012!$B$60,$AW109,SUMIF($B$10:$B$16,"NCAP_TLIFE",$AX$10:$AX$16)),0,""))</f>
        <v/>
      </c>
      <c r="AR109" s="369" t="str">
        <f ca="1">IF($B109&lt;&gt;"PRC_RESID","",IF(AR$7=2005+OFFSET(COM_N_2012!$B$60,$AW109,SUMIF($B$10:$B$16,"NCAP_TLIFE",$AX$10:$AX$16)),0,""))</f>
        <v/>
      </c>
      <c r="AS109" s="369" t="str">
        <f ca="1">IF($B109&lt;&gt;"PRC_RESID","",IF(AS$7=2005+OFFSET(COM_N_2012!$B$60,$AW109,SUMIF($B$10:$B$16,"NCAP_TLIFE",$AX$10:$AX$16)),0,""))</f>
        <v/>
      </c>
      <c r="AT109" s="369" t="str">
        <f ca="1">IF($B109&lt;&gt;"PRC_RESID","",IF(AT$7=2005+OFFSET(COM_N_2012!$B$60,$AW109,SUMIF($B$10:$B$16,"NCAP_TLIFE",$AX$10:$AX$16)),0,""))</f>
        <v/>
      </c>
      <c r="AU109" s="369" t="str">
        <f ca="1">IF($B109&lt;&gt;"PRC_RESID","",IF(AU$7=2005+OFFSET(COM_N_2012!$B$60,$AW109,SUMIF($B$10:$B$16,"NCAP_TLIFE",$AX$10:$AX$16)),0,""))</f>
        <v/>
      </c>
      <c r="AV109" s="304">
        <f>IF(AW108=COM_N_2012!$AK$121,AV108+1,AV108)</f>
        <v>2</v>
      </c>
      <c r="AW109" s="304">
        <f t="shared" si="12"/>
        <v>31</v>
      </c>
    </row>
    <row r="110" spans="1:49">
      <c r="A110" s="304" t="str">
        <f ca="1">IF(LEFT(OFFSET(COM_N_2012!$A$60,AW110,0),2)="\I","*","")</f>
        <v>*</v>
      </c>
      <c r="B110" s="369" t="str">
        <f t="shared" ca="1" si="11"/>
        <v/>
      </c>
      <c r="C110" s="369" t="str">
        <f ca="1">IF($A110="*","",OFFSET(COM_N_2012!$B$60,AW110,0))</f>
        <v/>
      </c>
      <c r="D110" s="369" t="str">
        <f t="shared" ca="1" si="15"/>
        <v/>
      </c>
      <c r="E110" s="369" t="str">
        <f t="shared" ca="1" si="15"/>
        <v/>
      </c>
      <c r="F110" s="369" t="str">
        <f t="shared" ca="1" si="15"/>
        <v/>
      </c>
      <c r="G110" s="369" t="str">
        <f t="shared" ca="1" si="15"/>
        <v/>
      </c>
      <c r="H110" s="369" t="str">
        <f t="shared" ca="1" si="15"/>
        <v/>
      </c>
      <c r="I110" s="370" t="str">
        <f t="shared" ca="1" si="15"/>
        <v/>
      </c>
      <c r="J110" s="391" t="str">
        <f ca="1">IF($A110="*","",OFFSET(COM_N_2012!$B$60,AW110,SUMIF($B$10:$B$16,B110,$AX$10:$AX$16)))</f>
        <v/>
      </c>
      <c r="K110" s="369" t="str">
        <f ca="1">IF($B110&lt;&gt;"PRC_RESID","",IF(K$7=2005+OFFSET(COM_N_2012!$B$60,$AW110,SUMIF($B$10:$B$16,"NCAP_TLIFE",$AX$10:$AX$16)),0,""))</f>
        <v/>
      </c>
      <c r="L110" s="369" t="str">
        <f ca="1">IF($B110&lt;&gt;"PRC_RESID","",IF(L$7=2005+OFFSET(COM_N_2012!$B$60,$AW110,SUMIF($B$10:$B$16,"NCAP_TLIFE",$AX$10:$AX$16)),0,""))</f>
        <v/>
      </c>
      <c r="M110" s="369" t="str">
        <f ca="1">IF($B110&lt;&gt;"PRC_RESID","",IF(M$7=2005+OFFSET(COM_N_2012!$B$60,$AW110,SUMIF($B$10:$B$16,"NCAP_TLIFE",$AX$10:$AX$16)),0,""))</f>
        <v/>
      </c>
      <c r="N110" s="369" t="str">
        <f ca="1">IF($B110&lt;&gt;"PRC_RESID","",IF(N$7=2005+OFFSET(COM_N_2012!$B$60,$AW110,SUMIF($B$10:$B$16,"NCAP_TLIFE",$AX$10:$AX$16)),0,""))</f>
        <v/>
      </c>
      <c r="O110" s="369" t="str">
        <f ca="1">IF($B110&lt;&gt;"PRC_RESID","",IF(O$7=2005+OFFSET(COM_N_2012!$B$60,$AW110,SUMIF($B$10:$B$16,"NCAP_TLIFE",$AX$10:$AX$16)),0,""))</f>
        <v/>
      </c>
      <c r="P110" s="369" t="str">
        <f ca="1">IF($B110&lt;&gt;"PRC_RESID","",IF(P$7=2005+OFFSET(COM_N_2012!$B$60,$AW110,SUMIF($B$10:$B$16,"NCAP_TLIFE",$AX$10:$AX$16)),0,""))</f>
        <v/>
      </c>
      <c r="Q110" s="369" t="str">
        <f ca="1">IF($B110&lt;&gt;"PRC_RESID","",IF(Q$7=2005+OFFSET(COM_N_2012!$B$60,$AW110,SUMIF($B$10:$B$16,"NCAP_TLIFE",$AX$10:$AX$16)),0,""))</f>
        <v/>
      </c>
      <c r="R110" s="369" t="str">
        <f ca="1">IF($B110&lt;&gt;"PRC_RESID","",IF(R$7=2005+OFFSET(COM_N_2012!$B$60,$AW110,SUMIF($B$10:$B$16,"NCAP_TLIFE",$AX$10:$AX$16)),0,""))</f>
        <v/>
      </c>
      <c r="S110" s="369" t="str">
        <f ca="1">IF($B110&lt;&gt;"PRC_RESID","",IF(S$7=2005+OFFSET(COM_N_2012!$B$60,$AW110,SUMIF($B$10:$B$16,"NCAP_TLIFE",$AX$10:$AX$16)),0,""))</f>
        <v/>
      </c>
      <c r="T110" s="369" t="str">
        <f ca="1">IF($B110&lt;&gt;"PRC_RESID","",IF(T$7=2005+OFFSET(COM_N_2012!$B$60,$AW110,SUMIF($B$10:$B$16,"NCAP_TLIFE",$AX$10:$AX$16)),0,""))</f>
        <v/>
      </c>
      <c r="U110" s="369" t="str">
        <f ca="1">IF($B110&lt;&gt;"PRC_RESID","",IF(U$7=2005+OFFSET(COM_N_2012!$B$60,$AW110,SUMIF($B$10:$B$16,"NCAP_TLIFE",$AX$10:$AX$16)),0,""))</f>
        <v/>
      </c>
      <c r="V110" s="369" t="str">
        <f ca="1">IF($B110&lt;&gt;"PRC_RESID","",IF(V$7=2005+OFFSET(COM_N_2012!$B$60,$AW110,SUMIF($B$10:$B$16,"NCAP_TLIFE",$AX$10:$AX$16)),0,""))</f>
        <v/>
      </c>
      <c r="W110" s="369" t="str">
        <f ca="1">IF($B110&lt;&gt;"PRC_RESID","",IF(W$7=2005+OFFSET(COM_N_2012!$B$60,$AW110,SUMIF($B$10:$B$16,"NCAP_TLIFE",$AX$10:$AX$16)),0,""))</f>
        <v/>
      </c>
      <c r="X110" s="369" t="str">
        <f ca="1">IF($B110&lt;&gt;"PRC_RESID","",IF(X$7=2005+OFFSET(COM_N_2012!$B$60,$AW110,SUMIF($B$10:$B$16,"NCAP_TLIFE",$AX$10:$AX$16)),0,""))</f>
        <v/>
      </c>
      <c r="Y110" s="369" t="str">
        <f ca="1">IF($B110&lt;&gt;"PRC_RESID","",IF(Y$7=2005+OFFSET(COM_N_2012!$B$60,$AW110,SUMIF($B$10:$B$16,"NCAP_TLIFE",$AX$10:$AX$16)),0,""))</f>
        <v/>
      </c>
      <c r="Z110" s="369" t="str">
        <f ca="1">IF($B110&lt;&gt;"PRC_RESID","",IF(Z$7=2005+OFFSET(COM_N_2012!$B$60,$AW110,SUMIF($B$10:$B$16,"NCAP_TLIFE",$AX$10:$AX$16)),0,""))</f>
        <v/>
      </c>
      <c r="AA110" s="369" t="str">
        <f ca="1">IF($B110&lt;&gt;"PRC_RESID","",IF(AA$7=2005+OFFSET(COM_N_2012!$B$60,$AW110,SUMIF($B$10:$B$16,"NCAP_TLIFE",$AX$10:$AX$16)),0,""))</f>
        <v/>
      </c>
      <c r="AB110" s="369" t="str">
        <f ca="1">IF($B110&lt;&gt;"PRC_RESID","",IF(AB$7=2005+OFFSET(COM_N_2012!$B$60,$AW110,SUMIF($B$10:$B$16,"NCAP_TLIFE",$AX$10:$AX$16)),0,""))</f>
        <v/>
      </c>
      <c r="AC110" s="369" t="str">
        <f ca="1">IF($B110&lt;&gt;"PRC_RESID","",IF(AC$7=2005+OFFSET(COM_N_2012!$B$60,$AW110,SUMIF($B$10:$B$16,"NCAP_TLIFE",$AX$10:$AX$16)),0,""))</f>
        <v/>
      </c>
      <c r="AD110" s="369" t="str">
        <f ca="1">IF($B110&lt;&gt;"PRC_RESID","",IF(AD$7=2005+OFFSET(COM_N_2012!$B$60,$AW110,SUMIF($B$10:$B$16,"NCAP_TLIFE",$AX$10:$AX$16)),0,""))</f>
        <v/>
      </c>
      <c r="AE110" s="369" t="str">
        <f ca="1">IF($B110&lt;&gt;"PRC_RESID","",IF(AE$7=2005+OFFSET(COM_N_2012!$B$60,$AW110,SUMIF($B$10:$B$16,"NCAP_TLIFE",$AX$10:$AX$16)),0,""))</f>
        <v/>
      </c>
      <c r="AF110" s="369" t="str">
        <f ca="1">IF($B110&lt;&gt;"PRC_RESID","",IF(AF$7=2005+OFFSET(COM_N_2012!$B$60,$AW110,SUMIF($B$10:$B$16,"NCAP_TLIFE",$AX$10:$AX$16)),0,""))</f>
        <v/>
      </c>
      <c r="AG110" s="369" t="str">
        <f ca="1">IF($B110&lt;&gt;"PRC_RESID","",IF(AG$7=2005+OFFSET(COM_N_2012!$B$60,$AW110,SUMIF($B$10:$B$16,"NCAP_TLIFE",$AX$10:$AX$16)),0,""))</f>
        <v/>
      </c>
      <c r="AH110" s="369" t="str">
        <f ca="1">IF($B110&lt;&gt;"PRC_RESID","",IF(AH$7=2005+OFFSET(COM_N_2012!$B$60,$AW110,SUMIF($B$10:$B$16,"NCAP_TLIFE",$AX$10:$AX$16)),0,""))</f>
        <v/>
      </c>
      <c r="AI110" s="369" t="str">
        <f ca="1">IF($B110&lt;&gt;"PRC_RESID","",IF(AI$7=2005+OFFSET(COM_N_2012!$B$60,$AW110,SUMIF($B$10:$B$16,"NCAP_TLIFE",$AX$10:$AX$16)),0,""))</f>
        <v/>
      </c>
      <c r="AJ110" s="369" t="str">
        <f ca="1">IF($B110&lt;&gt;"PRC_RESID","",IF(AJ$7=2005+OFFSET(COM_N_2012!$B$60,$AW110,SUMIF($B$10:$B$16,"NCAP_TLIFE",$AX$10:$AX$16)),0,""))</f>
        <v/>
      </c>
      <c r="AK110" s="369" t="str">
        <f ca="1">IF($B110&lt;&gt;"PRC_RESID","",IF(AK$7=2005+OFFSET(COM_N_2012!$B$60,$AW110,SUMIF($B$10:$B$16,"NCAP_TLIFE",$AX$10:$AX$16)),0,""))</f>
        <v/>
      </c>
      <c r="AL110" s="369" t="str">
        <f ca="1">IF($B110&lt;&gt;"PRC_RESID","",IF(AL$7=2005+OFFSET(COM_N_2012!$B$60,$AW110,SUMIF($B$10:$B$16,"NCAP_TLIFE",$AX$10:$AX$16)),0,""))</f>
        <v/>
      </c>
      <c r="AM110" s="369" t="str">
        <f ca="1">IF($B110&lt;&gt;"PRC_RESID","",IF(AM$7=2005+OFFSET(COM_N_2012!$B$60,$AW110,SUMIF($B$10:$B$16,"NCAP_TLIFE",$AX$10:$AX$16)),0,""))</f>
        <v/>
      </c>
      <c r="AN110" s="369" t="str">
        <f ca="1">IF($B110&lt;&gt;"PRC_RESID","",IF(AN$7=2005+OFFSET(COM_N_2012!$B$60,$AW110,SUMIF($B$10:$B$16,"NCAP_TLIFE",$AX$10:$AX$16)),0,""))</f>
        <v/>
      </c>
      <c r="AO110" s="369" t="str">
        <f ca="1">IF($B110&lt;&gt;"PRC_RESID","",IF(AO$7=2005+OFFSET(COM_N_2012!$B$60,$AW110,SUMIF($B$10:$B$16,"NCAP_TLIFE",$AX$10:$AX$16)),0,""))</f>
        <v/>
      </c>
      <c r="AP110" s="369" t="str">
        <f ca="1">IF($B110&lt;&gt;"PRC_RESID","",IF(AP$7=2005+OFFSET(COM_N_2012!$B$60,$AW110,SUMIF($B$10:$B$16,"NCAP_TLIFE",$AX$10:$AX$16)),0,""))</f>
        <v/>
      </c>
      <c r="AQ110" s="369" t="str">
        <f ca="1">IF($B110&lt;&gt;"PRC_RESID","",IF(AQ$7=2005+OFFSET(COM_N_2012!$B$60,$AW110,SUMIF($B$10:$B$16,"NCAP_TLIFE",$AX$10:$AX$16)),0,""))</f>
        <v/>
      </c>
      <c r="AR110" s="369" t="str">
        <f ca="1">IF($B110&lt;&gt;"PRC_RESID","",IF(AR$7=2005+OFFSET(COM_N_2012!$B$60,$AW110,SUMIF($B$10:$B$16,"NCAP_TLIFE",$AX$10:$AX$16)),0,""))</f>
        <v/>
      </c>
      <c r="AS110" s="369" t="str">
        <f ca="1">IF($B110&lt;&gt;"PRC_RESID","",IF(AS$7=2005+OFFSET(COM_N_2012!$B$60,$AW110,SUMIF($B$10:$B$16,"NCAP_TLIFE",$AX$10:$AX$16)),0,""))</f>
        <v/>
      </c>
      <c r="AT110" s="369" t="str">
        <f ca="1">IF($B110&lt;&gt;"PRC_RESID","",IF(AT$7=2005+OFFSET(COM_N_2012!$B$60,$AW110,SUMIF($B$10:$B$16,"NCAP_TLIFE",$AX$10:$AX$16)),0,""))</f>
        <v/>
      </c>
      <c r="AU110" s="369" t="str">
        <f ca="1">IF($B110&lt;&gt;"PRC_RESID","",IF(AU$7=2005+OFFSET(COM_N_2012!$B$60,$AW110,SUMIF($B$10:$B$16,"NCAP_TLIFE",$AX$10:$AX$16)),0,""))</f>
        <v/>
      </c>
      <c r="AV110" s="304">
        <f>IF(AW109=COM_N_2012!$AK$121,AV109+1,AV109)</f>
        <v>2</v>
      </c>
      <c r="AW110" s="304">
        <f t="shared" si="12"/>
        <v>32</v>
      </c>
    </row>
    <row r="111" spans="1:49">
      <c r="A111" s="304" t="str">
        <f ca="1">IF(LEFT(OFFSET(COM_N_2012!$A$60,AW111,0),2)="\I","*","")</f>
        <v/>
      </c>
      <c r="B111" s="369" t="str">
        <f t="shared" ca="1" si="11"/>
        <v>NCAP_BND</v>
      </c>
      <c r="C111" s="369" t="str">
        <f ca="1">IF($A111="*","",OFFSET(COM_N_2012!$B$60,AW111,0))</f>
        <v>CNWELC-E</v>
      </c>
      <c r="D111" s="369" t="str">
        <f t="shared" ca="1" si="15"/>
        <v>-</v>
      </c>
      <c r="E111" s="369" t="str">
        <f t="shared" ca="1" si="15"/>
        <v>-</v>
      </c>
      <c r="F111" s="369" t="str">
        <f t="shared" ca="1" si="15"/>
        <v>-</v>
      </c>
      <c r="G111" s="369" t="str">
        <f t="shared" ca="1" si="15"/>
        <v>-</v>
      </c>
      <c r="H111" s="369" t="str">
        <f t="shared" ca="1" si="15"/>
        <v>UP</v>
      </c>
      <c r="I111" s="370">
        <f t="shared" ca="1" si="15"/>
        <v>0</v>
      </c>
      <c r="J111" s="391">
        <f ca="1">IF($A111="*","",OFFSET(COM_N_2012!$B$60,AW111,SUMIF($B$10:$B$16,B111,$AX$10:$AX$16)))</f>
        <v>0</v>
      </c>
      <c r="K111" s="369" t="str">
        <f ca="1">IF($B111&lt;&gt;"PRC_RESID","",IF(K$7=2005+OFFSET(COM_N_2012!$B$60,$AW111,SUMIF($B$10:$B$16,"NCAP_TLIFE",$AX$10:$AX$16)),0,""))</f>
        <v/>
      </c>
      <c r="L111" s="369" t="str">
        <f ca="1">IF($B111&lt;&gt;"PRC_RESID","",IF(L$7=2005+OFFSET(COM_N_2012!$B$60,$AW111,SUMIF($B$10:$B$16,"NCAP_TLIFE",$AX$10:$AX$16)),0,""))</f>
        <v/>
      </c>
      <c r="M111" s="369" t="str">
        <f ca="1">IF($B111&lt;&gt;"PRC_RESID","",IF(M$7=2005+OFFSET(COM_N_2012!$B$60,$AW111,SUMIF($B$10:$B$16,"NCAP_TLIFE",$AX$10:$AX$16)),0,""))</f>
        <v/>
      </c>
      <c r="N111" s="369" t="str">
        <f ca="1">IF($B111&lt;&gt;"PRC_RESID","",IF(N$7=2005+OFFSET(COM_N_2012!$B$60,$AW111,SUMIF($B$10:$B$16,"NCAP_TLIFE",$AX$10:$AX$16)),0,""))</f>
        <v/>
      </c>
      <c r="O111" s="369" t="str">
        <f ca="1">IF($B111&lt;&gt;"PRC_RESID","",IF(O$7=2005+OFFSET(COM_N_2012!$B$60,$AW111,SUMIF($B$10:$B$16,"NCAP_TLIFE",$AX$10:$AX$16)),0,""))</f>
        <v/>
      </c>
      <c r="P111" s="369" t="str">
        <f ca="1">IF($B111&lt;&gt;"PRC_RESID","",IF(P$7=2005+OFFSET(COM_N_2012!$B$60,$AW111,SUMIF($B$10:$B$16,"NCAP_TLIFE",$AX$10:$AX$16)),0,""))</f>
        <v/>
      </c>
      <c r="Q111" s="369" t="str">
        <f ca="1">IF($B111&lt;&gt;"PRC_RESID","",IF(Q$7=2005+OFFSET(COM_N_2012!$B$60,$AW111,SUMIF($B$10:$B$16,"NCAP_TLIFE",$AX$10:$AX$16)),0,""))</f>
        <v/>
      </c>
      <c r="R111" s="369" t="str">
        <f ca="1">IF($B111&lt;&gt;"PRC_RESID","",IF(R$7=2005+OFFSET(COM_N_2012!$B$60,$AW111,SUMIF($B$10:$B$16,"NCAP_TLIFE",$AX$10:$AX$16)),0,""))</f>
        <v/>
      </c>
      <c r="S111" s="369" t="str">
        <f ca="1">IF($B111&lt;&gt;"PRC_RESID","",IF(S$7=2005+OFFSET(COM_N_2012!$B$60,$AW111,SUMIF($B$10:$B$16,"NCAP_TLIFE",$AX$10:$AX$16)),0,""))</f>
        <v/>
      </c>
      <c r="T111" s="369" t="str">
        <f ca="1">IF($B111&lt;&gt;"PRC_RESID","",IF(T$7=2005+OFFSET(COM_N_2012!$B$60,$AW111,SUMIF($B$10:$B$16,"NCAP_TLIFE",$AX$10:$AX$16)),0,""))</f>
        <v/>
      </c>
      <c r="U111" s="369" t="str">
        <f ca="1">IF($B111&lt;&gt;"PRC_RESID","",IF(U$7=2005+OFFSET(COM_N_2012!$B$60,$AW111,SUMIF($B$10:$B$16,"NCAP_TLIFE",$AX$10:$AX$16)),0,""))</f>
        <v/>
      </c>
      <c r="V111" s="369" t="str">
        <f ca="1">IF($B111&lt;&gt;"PRC_RESID","",IF(V$7=2005+OFFSET(COM_N_2012!$B$60,$AW111,SUMIF($B$10:$B$16,"NCAP_TLIFE",$AX$10:$AX$16)),0,""))</f>
        <v/>
      </c>
      <c r="W111" s="369" t="str">
        <f ca="1">IF($B111&lt;&gt;"PRC_RESID","",IF(W$7=2005+OFFSET(COM_N_2012!$B$60,$AW111,SUMIF($B$10:$B$16,"NCAP_TLIFE",$AX$10:$AX$16)),0,""))</f>
        <v/>
      </c>
      <c r="X111" s="369" t="str">
        <f ca="1">IF($B111&lt;&gt;"PRC_RESID","",IF(X$7=2005+OFFSET(COM_N_2012!$B$60,$AW111,SUMIF($B$10:$B$16,"NCAP_TLIFE",$AX$10:$AX$16)),0,""))</f>
        <v/>
      </c>
      <c r="Y111" s="369" t="str">
        <f ca="1">IF($B111&lt;&gt;"PRC_RESID","",IF(Y$7=2005+OFFSET(COM_N_2012!$B$60,$AW111,SUMIF($B$10:$B$16,"NCAP_TLIFE",$AX$10:$AX$16)),0,""))</f>
        <v/>
      </c>
      <c r="Z111" s="369" t="str">
        <f ca="1">IF($B111&lt;&gt;"PRC_RESID","",IF(Z$7=2005+OFFSET(COM_N_2012!$B$60,$AW111,SUMIF($B$10:$B$16,"NCAP_TLIFE",$AX$10:$AX$16)),0,""))</f>
        <v/>
      </c>
      <c r="AA111" s="369" t="str">
        <f ca="1">IF($B111&lt;&gt;"PRC_RESID","",IF(AA$7=2005+OFFSET(COM_N_2012!$B$60,$AW111,SUMIF($B$10:$B$16,"NCAP_TLIFE",$AX$10:$AX$16)),0,""))</f>
        <v/>
      </c>
      <c r="AB111" s="369" t="str">
        <f ca="1">IF($B111&lt;&gt;"PRC_RESID","",IF(AB$7=2005+OFFSET(COM_N_2012!$B$60,$AW111,SUMIF($B$10:$B$16,"NCAP_TLIFE",$AX$10:$AX$16)),0,""))</f>
        <v/>
      </c>
      <c r="AC111" s="369" t="str">
        <f ca="1">IF($B111&lt;&gt;"PRC_RESID","",IF(AC$7=2005+OFFSET(COM_N_2012!$B$60,$AW111,SUMIF($B$10:$B$16,"NCAP_TLIFE",$AX$10:$AX$16)),0,""))</f>
        <v/>
      </c>
      <c r="AD111" s="369" t="str">
        <f ca="1">IF($B111&lt;&gt;"PRC_RESID","",IF(AD$7=2005+OFFSET(COM_N_2012!$B$60,$AW111,SUMIF($B$10:$B$16,"NCAP_TLIFE",$AX$10:$AX$16)),0,""))</f>
        <v/>
      </c>
      <c r="AE111" s="369" t="str">
        <f ca="1">IF($B111&lt;&gt;"PRC_RESID","",IF(AE$7=2005+OFFSET(COM_N_2012!$B$60,$AW111,SUMIF($B$10:$B$16,"NCAP_TLIFE",$AX$10:$AX$16)),0,""))</f>
        <v/>
      </c>
      <c r="AF111" s="369" t="str">
        <f ca="1">IF($B111&lt;&gt;"PRC_RESID","",IF(AF$7=2005+OFFSET(COM_N_2012!$B$60,$AW111,SUMIF($B$10:$B$16,"NCAP_TLIFE",$AX$10:$AX$16)),0,""))</f>
        <v/>
      </c>
      <c r="AG111" s="369" t="str">
        <f ca="1">IF($B111&lt;&gt;"PRC_RESID","",IF(AG$7=2005+OFFSET(COM_N_2012!$B$60,$AW111,SUMIF($B$10:$B$16,"NCAP_TLIFE",$AX$10:$AX$16)),0,""))</f>
        <v/>
      </c>
      <c r="AH111" s="369" t="str">
        <f ca="1">IF($B111&lt;&gt;"PRC_RESID","",IF(AH$7=2005+OFFSET(COM_N_2012!$B$60,$AW111,SUMIF($B$10:$B$16,"NCAP_TLIFE",$AX$10:$AX$16)),0,""))</f>
        <v/>
      </c>
      <c r="AI111" s="369" t="str">
        <f ca="1">IF($B111&lt;&gt;"PRC_RESID","",IF(AI$7=2005+OFFSET(COM_N_2012!$B$60,$AW111,SUMIF($B$10:$B$16,"NCAP_TLIFE",$AX$10:$AX$16)),0,""))</f>
        <v/>
      </c>
      <c r="AJ111" s="369" t="str">
        <f ca="1">IF($B111&lt;&gt;"PRC_RESID","",IF(AJ$7=2005+OFFSET(COM_N_2012!$B$60,$AW111,SUMIF($B$10:$B$16,"NCAP_TLIFE",$AX$10:$AX$16)),0,""))</f>
        <v/>
      </c>
      <c r="AK111" s="369" t="str">
        <f ca="1">IF($B111&lt;&gt;"PRC_RESID","",IF(AK$7=2005+OFFSET(COM_N_2012!$B$60,$AW111,SUMIF($B$10:$B$16,"NCAP_TLIFE",$AX$10:$AX$16)),0,""))</f>
        <v/>
      </c>
      <c r="AL111" s="369" t="str">
        <f ca="1">IF($B111&lt;&gt;"PRC_RESID","",IF(AL$7=2005+OFFSET(COM_N_2012!$B$60,$AW111,SUMIF($B$10:$B$16,"NCAP_TLIFE",$AX$10:$AX$16)),0,""))</f>
        <v/>
      </c>
      <c r="AM111" s="369" t="str">
        <f ca="1">IF($B111&lt;&gt;"PRC_RESID","",IF(AM$7=2005+OFFSET(COM_N_2012!$B$60,$AW111,SUMIF($B$10:$B$16,"NCAP_TLIFE",$AX$10:$AX$16)),0,""))</f>
        <v/>
      </c>
      <c r="AN111" s="369" t="str">
        <f ca="1">IF($B111&lt;&gt;"PRC_RESID","",IF(AN$7=2005+OFFSET(COM_N_2012!$B$60,$AW111,SUMIF($B$10:$B$16,"NCAP_TLIFE",$AX$10:$AX$16)),0,""))</f>
        <v/>
      </c>
      <c r="AO111" s="369" t="str">
        <f ca="1">IF($B111&lt;&gt;"PRC_RESID","",IF(AO$7=2005+OFFSET(COM_N_2012!$B$60,$AW111,SUMIF($B$10:$B$16,"NCAP_TLIFE",$AX$10:$AX$16)),0,""))</f>
        <v/>
      </c>
      <c r="AP111" s="369" t="str">
        <f ca="1">IF($B111&lt;&gt;"PRC_RESID","",IF(AP$7=2005+OFFSET(COM_N_2012!$B$60,$AW111,SUMIF($B$10:$B$16,"NCAP_TLIFE",$AX$10:$AX$16)),0,""))</f>
        <v/>
      </c>
      <c r="AQ111" s="369" t="str">
        <f ca="1">IF($B111&lt;&gt;"PRC_RESID","",IF(AQ$7=2005+OFFSET(COM_N_2012!$B$60,$AW111,SUMIF($B$10:$B$16,"NCAP_TLIFE",$AX$10:$AX$16)),0,""))</f>
        <v/>
      </c>
      <c r="AR111" s="369" t="str">
        <f ca="1">IF($B111&lt;&gt;"PRC_RESID","",IF(AR$7=2005+OFFSET(COM_N_2012!$B$60,$AW111,SUMIF($B$10:$B$16,"NCAP_TLIFE",$AX$10:$AX$16)),0,""))</f>
        <v/>
      </c>
      <c r="AS111" s="369" t="str">
        <f ca="1">IF($B111&lt;&gt;"PRC_RESID","",IF(AS$7=2005+OFFSET(COM_N_2012!$B$60,$AW111,SUMIF($B$10:$B$16,"NCAP_TLIFE",$AX$10:$AX$16)),0,""))</f>
        <v/>
      </c>
      <c r="AT111" s="369" t="str">
        <f ca="1">IF($B111&lt;&gt;"PRC_RESID","",IF(AT$7=2005+OFFSET(COM_N_2012!$B$60,$AW111,SUMIF($B$10:$B$16,"NCAP_TLIFE",$AX$10:$AX$16)),0,""))</f>
        <v/>
      </c>
      <c r="AU111" s="369" t="str">
        <f ca="1">IF($B111&lt;&gt;"PRC_RESID","",IF(AU$7=2005+OFFSET(COM_N_2012!$B$60,$AW111,SUMIF($B$10:$B$16,"NCAP_TLIFE",$AX$10:$AX$16)),0,""))</f>
        <v/>
      </c>
      <c r="AV111" s="304">
        <f>IF(AW110=COM_N_2012!$AK$121,AV110+1,AV110)</f>
        <v>2</v>
      </c>
      <c r="AW111" s="304">
        <f t="shared" si="12"/>
        <v>33</v>
      </c>
    </row>
    <row r="112" spans="1:49">
      <c r="A112" s="304" t="str">
        <f ca="1">IF(LEFT(OFFSET(COM_N_2012!$A$60,AW112,0),2)="\I","*","")</f>
        <v/>
      </c>
      <c r="B112" s="369" t="str">
        <f t="shared" ca="1" si="11"/>
        <v>NCAP_BND</v>
      </c>
      <c r="C112" s="369" t="str">
        <f ca="1">IF($A112="*","",OFFSET(COM_N_2012!$B$60,AW112,0))</f>
        <v>CNWCOA-E</v>
      </c>
      <c r="D112" s="369" t="str">
        <f t="shared" ca="1" si="15"/>
        <v>-</v>
      </c>
      <c r="E112" s="369" t="str">
        <f t="shared" ca="1" si="15"/>
        <v>-</v>
      </c>
      <c r="F112" s="369" t="str">
        <f t="shared" ca="1" si="15"/>
        <v>-</v>
      </c>
      <c r="G112" s="369" t="str">
        <f t="shared" ca="1" si="15"/>
        <v>-</v>
      </c>
      <c r="H112" s="369" t="str">
        <f t="shared" ca="1" si="15"/>
        <v>UP</v>
      </c>
      <c r="I112" s="370">
        <f t="shared" ca="1" si="15"/>
        <v>0</v>
      </c>
      <c r="J112" s="391">
        <f ca="1">IF($A112="*","",OFFSET(COM_N_2012!$B$60,AW112,SUMIF($B$10:$B$16,B112,$AX$10:$AX$16)))</f>
        <v>0</v>
      </c>
      <c r="K112" s="369" t="str">
        <f ca="1">IF($B112&lt;&gt;"PRC_RESID","",IF(K$7=2005+OFFSET(COM_N_2012!$B$60,$AW112,SUMIF($B$10:$B$16,"NCAP_TLIFE",$AX$10:$AX$16)),0,""))</f>
        <v/>
      </c>
      <c r="L112" s="369" t="str">
        <f ca="1">IF($B112&lt;&gt;"PRC_RESID","",IF(L$7=2005+OFFSET(COM_N_2012!$B$60,$AW112,SUMIF($B$10:$B$16,"NCAP_TLIFE",$AX$10:$AX$16)),0,""))</f>
        <v/>
      </c>
      <c r="M112" s="369" t="str">
        <f ca="1">IF($B112&lt;&gt;"PRC_RESID","",IF(M$7=2005+OFFSET(COM_N_2012!$B$60,$AW112,SUMIF($B$10:$B$16,"NCAP_TLIFE",$AX$10:$AX$16)),0,""))</f>
        <v/>
      </c>
      <c r="N112" s="369" t="str">
        <f ca="1">IF($B112&lt;&gt;"PRC_RESID","",IF(N$7=2005+OFFSET(COM_N_2012!$B$60,$AW112,SUMIF($B$10:$B$16,"NCAP_TLIFE",$AX$10:$AX$16)),0,""))</f>
        <v/>
      </c>
      <c r="O112" s="369" t="str">
        <f ca="1">IF($B112&lt;&gt;"PRC_RESID","",IF(O$7=2005+OFFSET(COM_N_2012!$B$60,$AW112,SUMIF($B$10:$B$16,"NCAP_TLIFE",$AX$10:$AX$16)),0,""))</f>
        <v/>
      </c>
      <c r="P112" s="369" t="str">
        <f ca="1">IF($B112&lt;&gt;"PRC_RESID","",IF(P$7=2005+OFFSET(COM_N_2012!$B$60,$AW112,SUMIF($B$10:$B$16,"NCAP_TLIFE",$AX$10:$AX$16)),0,""))</f>
        <v/>
      </c>
      <c r="Q112" s="369" t="str">
        <f ca="1">IF($B112&lt;&gt;"PRC_RESID","",IF(Q$7=2005+OFFSET(COM_N_2012!$B$60,$AW112,SUMIF($B$10:$B$16,"NCAP_TLIFE",$AX$10:$AX$16)),0,""))</f>
        <v/>
      </c>
      <c r="R112" s="369" t="str">
        <f ca="1">IF($B112&lt;&gt;"PRC_RESID","",IF(R$7=2005+OFFSET(COM_N_2012!$B$60,$AW112,SUMIF($B$10:$B$16,"NCAP_TLIFE",$AX$10:$AX$16)),0,""))</f>
        <v/>
      </c>
      <c r="S112" s="369" t="str">
        <f ca="1">IF($B112&lt;&gt;"PRC_RESID","",IF(S$7=2005+OFFSET(COM_N_2012!$B$60,$AW112,SUMIF($B$10:$B$16,"NCAP_TLIFE",$AX$10:$AX$16)),0,""))</f>
        <v/>
      </c>
      <c r="T112" s="369" t="str">
        <f ca="1">IF($B112&lt;&gt;"PRC_RESID","",IF(T$7=2005+OFFSET(COM_N_2012!$B$60,$AW112,SUMIF($B$10:$B$16,"NCAP_TLIFE",$AX$10:$AX$16)),0,""))</f>
        <v/>
      </c>
      <c r="U112" s="369" t="str">
        <f ca="1">IF($B112&lt;&gt;"PRC_RESID","",IF(U$7=2005+OFFSET(COM_N_2012!$B$60,$AW112,SUMIF($B$10:$B$16,"NCAP_TLIFE",$AX$10:$AX$16)),0,""))</f>
        <v/>
      </c>
      <c r="V112" s="369" t="str">
        <f ca="1">IF($B112&lt;&gt;"PRC_RESID","",IF(V$7=2005+OFFSET(COM_N_2012!$B$60,$AW112,SUMIF($B$10:$B$16,"NCAP_TLIFE",$AX$10:$AX$16)),0,""))</f>
        <v/>
      </c>
      <c r="W112" s="369" t="str">
        <f ca="1">IF($B112&lt;&gt;"PRC_RESID","",IF(W$7=2005+OFFSET(COM_N_2012!$B$60,$AW112,SUMIF($B$10:$B$16,"NCAP_TLIFE",$AX$10:$AX$16)),0,""))</f>
        <v/>
      </c>
      <c r="X112" s="369" t="str">
        <f ca="1">IF($B112&lt;&gt;"PRC_RESID","",IF(X$7=2005+OFFSET(COM_N_2012!$B$60,$AW112,SUMIF($B$10:$B$16,"NCAP_TLIFE",$AX$10:$AX$16)),0,""))</f>
        <v/>
      </c>
      <c r="Y112" s="369" t="str">
        <f ca="1">IF($B112&lt;&gt;"PRC_RESID","",IF(Y$7=2005+OFFSET(COM_N_2012!$B$60,$AW112,SUMIF($B$10:$B$16,"NCAP_TLIFE",$AX$10:$AX$16)),0,""))</f>
        <v/>
      </c>
      <c r="Z112" s="369" t="str">
        <f ca="1">IF($B112&lt;&gt;"PRC_RESID","",IF(Z$7=2005+OFFSET(COM_N_2012!$B$60,$AW112,SUMIF($B$10:$B$16,"NCAP_TLIFE",$AX$10:$AX$16)),0,""))</f>
        <v/>
      </c>
      <c r="AA112" s="369" t="str">
        <f ca="1">IF($B112&lt;&gt;"PRC_RESID","",IF(AA$7=2005+OFFSET(COM_N_2012!$B$60,$AW112,SUMIF($B$10:$B$16,"NCAP_TLIFE",$AX$10:$AX$16)),0,""))</f>
        <v/>
      </c>
      <c r="AB112" s="369" t="str">
        <f ca="1">IF($B112&lt;&gt;"PRC_RESID","",IF(AB$7=2005+OFFSET(COM_N_2012!$B$60,$AW112,SUMIF($B$10:$B$16,"NCAP_TLIFE",$AX$10:$AX$16)),0,""))</f>
        <v/>
      </c>
      <c r="AC112" s="369" t="str">
        <f ca="1">IF($B112&lt;&gt;"PRC_RESID","",IF(AC$7=2005+OFFSET(COM_N_2012!$B$60,$AW112,SUMIF($B$10:$B$16,"NCAP_TLIFE",$AX$10:$AX$16)),0,""))</f>
        <v/>
      </c>
      <c r="AD112" s="369" t="str">
        <f ca="1">IF($B112&lt;&gt;"PRC_RESID","",IF(AD$7=2005+OFFSET(COM_N_2012!$B$60,$AW112,SUMIF($B$10:$B$16,"NCAP_TLIFE",$AX$10:$AX$16)),0,""))</f>
        <v/>
      </c>
      <c r="AE112" s="369" t="str">
        <f ca="1">IF($B112&lt;&gt;"PRC_RESID","",IF(AE$7=2005+OFFSET(COM_N_2012!$B$60,$AW112,SUMIF($B$10:$B$16,"NCAP_TLIFE",$AX$10:$AX$16)),0,""))</f>
        <v/>
      </c>
      <c r="AF112" s="369" t="str">
        <f ca="1">IF($B112&lt;&gt;"PRC_RESID","",IF(AF$7=2005+OFFSET(COM_N_2012!$B$60,$AW112,SUMIF($B$10:$B$16,"NCAP_TLIFE",$AX$10:$AX$16)),0,""))</f>
        <v/>
      </c>
      <c r="AG112" s="369" t="str">
        <f ca="1">IF($B112&lt;&gt;"PRC_RESID","",IF(AG$7=2005+OFFSET(COM_N_2012!$B$60,$AW112,SUMIF($B$10:$B$16,"NCAP_TLIFE",$AX$10:$AX$16)),0,""))</f>
        <v/>
      </c>
      <c r="AH112" s="369" t="str">
        <f ca="1">IF($B112&lt;&gt;"PRC_RESID","",IF(AH$7=2005+OFFSET(COM_N_2012!$B$60,$AW112,SUMIF($B$10:$B$16,"NCAP_TLIFE",$AX$10:$AX$16)),0,""))</f>
        <v/>
      </c>
      <c r="AI112" s="369" t="str">
        <f ca="1">IF($B112&lt;&gt;"PRC_RESID","",IF(AI$7=2005+OFFSET(COM_N_2012!$B$60,$AW112,SUMIF($B$10:$B$16,"NCAP_TLIFE",$AX$10:$AX$16)),0,""))</f>
        <v/>
      </c>
      <c r="AJ112" s="369" t="str">
        <f ca="1">IF($B112&lt;&gt;"PRC_RESID","",IF(AJ$7=2005+OFFSET(COM_N_2012!$B$60,$AW112,SUMIF($B$10:$B$16,"NCAP_TLIFE",$AX$10:$AX$16)),0,""))</f>
        <v/>
      </c>
      <c r="AK112" s="369" t="str">
        <f ca="1">IF($B112&lt;&gt;"PRC_RESID","",IF(AK$7=2005+OFFSET(COM_N_2012!$B$60,$AW112,SUMIF($B$10:$B$16,"NCAP_TLIFE",$AX$10:$AX$16)),0,""))</f>
        <v/>
      </c>
      <c r="AL112" s="369" t="str">
        <f ca="1">IF($B112&lt;&gt;"PRC_RESID","",IF(AL$7=2005+OFFSET(COM_N_2012!$B$60,$AW112,SUMIF($B$10:$B$16,"NCAP_TLIFE",$AX$10:$AX$16)),0,""))</f>
        <v/>
      </c>
      <c r="AM112" s="369" t="str">
        <f ca="1">IF($B112&lt;&gt;"PRC_RESID","",IF(AM$7=2005+OFFSET(COM_N_2012!$B$60,$AW112,SUMIF($B$10:$B$16,"NCAP_TLIFE",$AX$10:$AX$16)),0,""))</f>
        <v/>
      </c>
      <c r="AN112" s="369" t="str">
        <f ca="1">IF($B112&lt;&gt;"PRC_RESID","",IF(AN$7=2005+OFFSET(COM_N_2012!$B$60,$AW112,SUMIF($B$10:$B$16,"NCAP_TLIFE",$AX$10:$AX$16)),0,""))</f>
        <v/>
      </c>
      <c r="AO112" s="369" t="str">
        <f ca="1">IF($B112&lt;&gt;"PRC_RESID","",IF(AO$7=2005+OFFSET(COM_N_2012!$B$60,$AW112,SUMIF($B$10:$B$16,"NCAP_TLIFE",$AX$10:$AX$16)),0,""))</f>
        <v/>
      </c>
      <c r="AP112" s="369" t="str">
        <f ca="1">IF($B112&lt;&gt;"PRC_RESID","",IF(AP$7=2005+OFFSET(COM_N_2012!$B$60,$AW112,SUMIF($B$10:$B$16,"NCAP_TLIFE",$AX$10:$AX$16)),0,""))</f>
        <v/>
      </c>
      <c r="AQ112" s="369" t="str">
        <f ca="1">IF($B112&lt;&gt;"PRC_RESID","",IF(AQ$7=2005+OFFSET(COM_N_2012!$B$60,$AW112,SUMIF($B$10:$B$16,"NCAP_TLIFE",$AX$10:$AX$16)),0,""))</f>
        <v/>
      </c>
      <c r="AR112" s="369" t="str">
        <f ca="1">IF($B112&lt;&gt;"PRC_RESID","",IF(AR$7=2005+OFFSET(COM_N_2012!$B$60,$AW112,SUMIF($B$10:$B$16,"NCAP_TLIFE",$AX$10:$AX$16)),0,""))</f>
        <v/>
      </c>
      <c r="AS112" s="369" t="str">
        <f ca="1">IF($B112&lt;&gt;"PRC_RESID","",IF(AS$7=2005+OFFSET(COM_N_2012!$B$60,$AW112,SUMIF($B$10:$B$16,"NCAP_TLIFE",$AX$10:$AX$16)),0,""))</f>
        <v/>
      </c>
      <c r="AT112" s="369" t="str">
        <f ca="1">IF($B112&lt;&gt;"PRC_RESID","",IF(AT$7=2005+OFFSET(COM_N_2012!$B$60,$AW112,SUMIF($B$10:$B$16,"NCAP_TLIFE",$AX$10:$AX$16)),0,""))</f>
        <v/>
      </c>
      <c r="AU112" s="369" t="str">
        <f ca="1">IF($B112&lt;&gt;"PRC_RESID","",IF(AU$7=2005+OFFSET(COM_N_2012!$B$60,$AW112,SUMIF($B$10:$B$16,"NCAP_TLIFE",$AX$10:$AX$16)),0,""))</f>
        <v/>
      </c>
      <c r="AV112" s="304">
        <f>IF(AW111=COM_N_2012!$AK$121,AV111+1,AV111)</f>
        <v>2</v>
      </c>
      <c r="AW112" s="304">
        <f t="shared" si="12"/>
        <v>34</v>
      </c>
    </row>
    <row r="113" spans="1:49">
      <c r="A113" s="304" t="str">
        <f ca="1">IF(LEFT(OFFSET(COM_N_2012!$A$60,AW113,0),2)="\I","*","")</f>
        <v/>
      </c>
      <c r="B113" s="369" t="str">
        <f t="shared" ca="1" si="11"/>
        <v>NCAP_BND</v>
      </c>
      <c r="C113" s="369" t="str">
        <f ca="1">IF($A113="*","",OFFSET(COM_N_2012!$B$60,AW113,0))</f>
        <v>CNWOLP-E</v>
      </c>
      <c r="D113" s="369" t="str">
        <f t="shared" ca="1" si="15"/>
        <v>-</v>
      </c>
      <c r="E113" s="369" t="str">
        <f t="shared" ca="1" si="15"/>
        <v>-</v>
      </c>
      <c r="F113" s="369" t="str">
        <f t="shared" ca="1" si="15"/>
        <v>-</v>
      </c>
      <c r="G113" s="369" t="str">
        <f t="shared" ca="1" si="15"/>
        <v>-</v>
      </c>
      <c r="H113" s="369" t="str">
        <f t="shared" ca="1" si="15"/>
        <v>UP</v>
      </c>
      <c r="I113" s="370">
        <f t="shared" ca="1" si="15"/>
        <v>0</v>
      </c>
      <c r="J113" s="391">
        <f ca="1">IF($A113="*","",OFFSET(COM_N_2012!$B$60,AW113,SUMIF($B$10:$B$16,B113,$AX$10:$AX$16)))</f>
        <v>0</v>
      </c>
      <c r="K113" s="369" t="str">
        <f ca="1">IF($B113&lt;&gt;"PRC_RESID","",IF(K$7=2005+OFFSET(COM_N_2012!$B$60,$AW113,SUMIF($B$10:$B$16,"NCAP_TLIFE",$AX$10:$AX$16)),0,""))</f>
        <v/>
      </c>
      <c r="L113" s="369" t="str">
        <f ca="1">IF($B113&lt;&gt;"PRC_RESID","",IF(L$7=2005+OFFSET(COM_N_2012!$B$60,$AW113,SUMIF($B$10:$B$16,"NCAP_TLIFE",$AX$10:$AX$16)),0,""))</f>
        <v/>
      </c>
      <c r="M113" s="369" t="str">
        <f ca="1">IF($B113&lt;&gt;"PRC_RESID","",IF(M$7=2005+OFFSET(COM_N_2012!$B$60,$AW113,SUMIF($B$10:$B$16,"NCAP_TLIFE",$AX$10:$AX$16)),0,""))</f>
        <v/>
      </c>
      <c r="N113" s="369" t="str">
        <f ca="1">IF($B113&lt;&gt;"PRC_RESID","",IF(N$7=2005+OFFSET(COM_N_2012!$B$60,$AW113,SUMIF($B$10:$B$16,"NCAP_TLIFE",$AX$10:$AX$16)),0,""))</f>
        <v/>
      </c>
      <c r="O113" s="369" t="str">
        <f ca="1">IF($B113&lt;&gt;"PRC_RESID","",IF(O$7=2005+OFFSET(COM_N_2012!$B$60,$AW113,SUMIF($B$10:$B$16,"NCAP_TLIFE",$AX$10:$AX$16)),0,""))</f>
        <v/>
      </c>
      <c r="P113" s="369" t="str">
        <f ca="1">IF($B113&lt;&gt;"PRC_RESID","",IF(P$7=2005+OFFSET(COM_N_2012!$B$60,$AW113,SUMIF($B$10:$B$16,"NCAP_TLIFE",$AX$10:$AX$16)),0,""))</f>
        <v/>
      </c>
      <c r="Q113" s="369" t="str">
        <f ca="1">IF($B113&lt;&gt;"PRC_RESID","",IF(Q$7=2005+OFFSET(COM_N_2012!$B$60,$AW113,SUMIF($B$10:$B$16,"NCAP_TLIFE",$AX$10:$AX$16)),0,""))</f>
        <v/>
      </c>
      <c r="R113" s="369" t="str">
        <f ca="1">IF($B113&lt;&gt;"PRC_RESID","",IF(R$7=2005+OFFSET(COM_N_2012!$B$60,$AW113,SUMIF($B$10:$B$16,"NCAP_TLIFE",$AX$10:$AX$16)),0,""))</f>
        <v/>
      </c>
      <c r="S113" s="369" t="str">
        <f ca="1">IF($B113&lt;&gt;"PRC_RESID","",IF(S$7=2005+OFFSET(COM_N_2012!$B$60,$AW113,SUMIF($B$10:$B$16,"NCAP_TLIFE",$AX$10:$AX$16)),0,""))</f>
        <v/>
      </c>
      <c r="T113" s="369" t="str">
        <f ca="1">IF($B113&lt;&gt;"PRC_RESID","",IF(T$7=2005+OFFSET(COM_N_2012!$B$60,$AW113,SUMIF($B$10:$B$16,"NCAP_TLIFE",$AX$10:$AX$16)),0,""))</f>
        <v/>
      </c>
      <c r="U113" s="369" t="str">
        <f ca="1">IF($B113&lt;&gt;"PRC_RESID","",IF(U$7=2005+OFFSET(COM_N_2012!$B$60,$AW113,SUMIF($B$10:$B$16,"NCAP_TLIFE",$AX$10:$AX$16)),0,""))</f>
        <v/>
      </c>
      <c r="V113" s="369" t="str">
        <f ca="1">IF($B113&lt;&gt;"PRC_RESID","",IF(V$7=2005+OFFSET(COM_N_2012!$B$60,$AW113,SUMIF($B$10:$B$16,"NCAP_TLIFE",$AX$10:$AX$16)),0,""))</f>
        <v/>
      </c>
      <c r="W113" s="369" t="str">
        <f ca="1">IF($B113&lt;&gt;"PRC_RESID","",IF(W$7=2005+OFFSET(COM_N_2012!$B$60,$AW113,SUMIF($B$10:$B$16,"NCAP_TLIFE",$AX$10:$AX$16)),0,""))</f>
        <v/>
      </c>
      <c r="X113" s="369" t="str">
        <f ca="1">IF($B113&lt;&gt;"PRC_RESID","",IF(X$7=2005+OFFSET(COM_N_2012!$B$60,$AW113,SUMIF($B$10:$B$16,"NCAP_TLIFE",$AX$10:$AX$16)),0,""))</f>
        <v/>
      </c>
      <c r="Y113" s="369" t="str">
        <f ca="1">IF($B113&lt;&gt;"PRC_RESID","",IF(Y$7=2005+OFFSET(COM_N_2012!$B$60,$AW113,SUMIF($B$10:$B$16,"NCAP_TLIFE",$AX$10:$AX$16)),0,""))</f>
        <v/>
      </c>
      <c r="Z113" s="369" t="str">
        <f ca="1">IF($B113&lt;&gt;"PRC_RESID","",IF(Z$7=2005+OFFSET(COM_N_2012!$B$60,$AW113,SUMIF($B$10:$B$16,"NCAP_TLIFE",$AX$10:$AX$16)),0,""))</f>
        <v/>
      </c>
      <c r="AA113" s="369" t="str">
        <f ca="1">IF($B113&lt;&gt;"PRC_RESID","",IF(AA$7=2005+OFFSET(COM_N_2012!$B$60,$AW113,SUMIF($B$10:$B$16,"NCAP_TLIFE",$AX$10:$AX$16)),0,""))</f>
        <v/>
      </c>
      <c r="AB113" s="369" t="str">
        <f ca="1">IF($B113&lt;&gt;"PRC_RESID","",IF(AB$7=2005+OFFSET(COM_N_2012!$B$60,$AW113,SUMIF($B$10:$B$16,"NCAP_TLIFE",$AX$10:$AX$16)),0,""))</f>
        <v/>
      </c>
      <c r="AC113" s="369" t="str">
        <f ca="1">IF($B113&lt;&gt;"PRC_RESID","",IF(AC$7=2005+OFFSET(COM_N_2012!$B$60,$AW113,SUMIF($B$10:$B$16,"NCAP_TLIFE",$AX$10:$AX$16)),0,""))</f>
        <v/>
      </c>
      <c r="AD113" s="369" t="str">
        <f ca="1">IF($B113&lt;&gt;"PRC_RESID","",IF(AD$7=2005+OFFSET(COM_N_2012!$B$60,$AW113,SUMIF($B$10:$B$16,"NCAP_TLIFE",$AX$10:$AX$16)),0,""))</f>
        <v/>
      </c>
      <c r="AE113" s="369" t="str">
        <f ca="1">IF($B113&lt;&gt;"PRC_RESID","",IF(AE$7=2005+OFFSET(COM_N_2012!$B$60,$AW113,SUMIF($B$10:$B$16,"NCAP_TLIFE",$AX$10:$AX$16)),0,""))</f>
        <v/>
      </c>
      <c r="AF113" s="369" t="str">
        <f ca="1">IF($B113&lt;&gt;"PRC_RESID","",IF(AF$7=2005+OFFSET(COM_N_2012!$B$60,$AW113,SUMIF($B$10:$B$16,"NCAP_TLIFE",$AX$10:$AX$16)),0,""))</f>
        <v/>
      </c>
      <c r="AG113" s="369" t="str">
        <f ca="1">IF($B113&lt;&gt;"PRC_RESID","",IF(AG$7=2005+OFFSET(COM_N_2012!$B$60,$AW113,SUMIF($B$10:$B$16,"NCAP_TLIFE",$AX$10:$AX$16)),0,""))</f>
        <v/>
      </c>
      <c r="AH113" s="369" t="str">
        <f ca="1">IF($B113&lt;&gt;"PRC_RESID","",IF(AH$7=2005+OFFSET(COM_N_2012!$B$60,$AW113,SUMIF($B$10:$B$16,"NCAP_TLIFE",$AX$10:$AX$16)),0,""))</f>
        <v/>
      </c>
      <c r="AI113" s="369" t="str">
        <f ca="1">IF($B113&lt;&gt;"PRC_RESID","",IF(AI$7=2005+OFFSET(COM_N_2012!$B$60,$AW113,SUMIF($B$10:$B$16,"NCAP_TLIFE",$AX$10:$AX$16)),0,""))</f>
        <v/>
      </c>
      <c r="AJ113" s="369" t="str">
        <f ca="1">IF($B113&lt;&gt;"PRC_RESID","",IF(AJ$7=2005+OFFSET(COM_N_2012!$B$60,$AW113,SUMIF($B$10:$B$16,"NCAP_TLIFE",$AX$10:$AX$16)),0,""))</f>
        <v/>
      </c>
      <c r="AK113" s="369" t="str">
        <f ca="1">IF($B113&lt;&gt;"PRC_RESID","",IF(AK$7=2005+OFFSET(COM_N_2012!$B$60,$AW113,SUMIF($B$10:$B$16,"NCAP_TLIFE",$AX$10:$AX$16)),0,""))</f>
        <v/>
      </c>
      <c r="AL113" s="369" t="str">
        <f ca="1">IF($B113&lt;&gt;"PRC_RESID","",IF(AL$7=2005+OFFSET(COM_N_2012!$B$60,$AW113,SUMIF($B$10:$B$16,"NCAP_TLIFE",$AX$10:$AX$16)),0,""))</f>
        <v/>
      </c>
      <c r="AM113" s="369" t="str">
        <f ca="1">IF($B113&lt;&gt;"PRC_RESID","",IF(AM$7=2005+OFFSET(COM_N_2012!$B$60,$AW113,SUMIF($B$10:$B$16,"NCAP_TLIFE",$AX$10:$AX$16)),0,""))</f>
        <v/>
      </c>
      <c r="AN113" s="369" t="str">
        <f ca="1">IF($B113&lt;&gt;"PRC_RESID","",IF(AN$7=2005+OFFSET(COM_N_2012!$B$60,$AW113,SUMIF($B$10:$B$16,"NCAP_TLIFE",$AX$10:$AX$16)),0,""))</f>
        <v/>
      </c>
      <c r="AO113" s="369" t="str">
        <f ca="1">IF($B113&lt;&gt;"PRC_RESID","",IF(AO$7=2005+OFFSET(COM_N_2012!$B$60,$AW113,SUMIF($B$10:$B$16,"NCAP_TLIFE",$AX$10:$AX$16)),0,""))</f>
        <v/>
      </c>
      <c r="AP113" s="369" t="str">
        <f ca="1">IF($B113&lt;&gt;"PRC_RESID","",IF(AP$7=2005+OFFSET(COM_N_2012!$B$60,$AW113,SUMIF($B$10:$B$16,"NCAP_TLIFE",$AX$10:$AX$16)),0,""))</f>
        <v/>
      </c>
      <c r="AQ113" s="369" t="str">
        <f ca="1">IF($B113&lt;&gt;"PRC_RESID","",IF(AQ$7=2005+OFFSET(COM_N_2012!$B$60,$AW113,SUMIF($B$10:$B$16,"NCAP_TLIFE",$AX$10:$AX$16)),0,""))</f>
        <v/>
      </c>
      <c r="AR113" s="369" t="str">
        <f ca="1">IF($B113&lt;&gt;"PRC_RESID","",IF(AR$7=2005+OFFSET(COM_N_2012!$B$60,$AW113,SUMIF($B$10:$B$16,"NCAP_TLIFE",$AX$10:$AX$16)),0,""))</f>
        <v/>
      </c>
      <c r="AS113" s="369" t="str">
        <f ca="1">IF($B113&lt;&gt;"PRC_RESID","",IF(AS$7=2005+OFFSET(COM_N_2012!$B$60,$AW113,SUMIF($B$10:$B$16,"NCAP_TLIFE",$AX$10:$AX$16)),0,""))</f>
        <v/>
      </c>
      <c r="AT113" s="369" t="str">
        <f ca="1">IF($B113&lt;&gt;"PRC_RESID","",IF(AT$7=2005+OFFSET(COM_N_2012!$B$60,$AW113,SUMIF($B$10:$B$16,"NCAP_TLIFE",$AX$10:$AX$16)),0,""))</f>
        <v/>
      </c>
      <c r="AU113" s="369" t="str">
        <f ca="1">IF($B113&lt;&gt;"PRC_RESID","",IF(AU$7=2005+OFFSET(COM_N_2012!$B$60,$AW113,SUMIF($B$10:$B$16,"NCAP_TLIFE",$AX$10:$AX$16)),0,""))</f>
        <v/>
      </c>
      <c r="AV113" s="304">
        <f>IF(AW112=COM_N_2012!$AK$121,AV112+1,AV112)</f>
        <v>2</v>
      </c>
      <c r="AW113" s="304">
        <f t="shared" si="12"/>
        <v>35</v>
      </c>
    </row>
    <row r="114" spans="1:49">
      <c r="A114" s="304" t="str">
        <f ca="1">IF(LEFT(OFFSET(COM_N_2012!$A$60,AW114,0),2)="\I","*","")</f>
        <v/>
      </c>
      <c r="B114" s="369" t="str">
        <f t="shared" ca="1" si="11"/>
        <v>NCAP_BND</v>
      </c>
      <c r="C114" s="369" t="str">
        <f ca="1">IF($A114="*","",OFFSET(COM_N_2012!$B$60,AW114,0))</f>
        <v>CNWGAS-E</v>
      </c>
      <c r="D114" s="369" t="str">
        <f t="shared" ca="1" si="15"/>
        <v>-</v>
      </c>
      <c r="E114" s="369" t="str">
        <f t="shared" ca="1" si="15"/>
        <v>-</v>
      </c>
      <c r="F114" s="369" t="str">
        <f t="shared" ca="1" si="15"/>
        <v>-</v>
      </c>
      <c r="G114" s="369" t="str">
        <f t="shared" ca="1" si="15"/>
        <v>-</v>
      </c>
      <c r="H114" s="369" t="str">
        <f t="shared" ca="1" si="15"/>
        <v>UP</v>
      </c>
      <c r="I114" s="370">
        <f t="shared" ca="1" si="15"/>
        <v>0</v>
      </c>
      <c r="J114" s="391">
        <f ca="1">IF($A114="*","",OFFSET(COM_N_2012!$B$60,AW114,SUMIF($B$10:$B$16,B114,$AX$10:$AX$16)))</f>
        <v>0</v>
      </c>
      <c r="K114" s="369" t="str">
        <f ca="1">IF($B114&lt;&gt;"PRC_RESID","",IF(K$7=2005+OFFSET(COM_N_2012!$B$60,$AW114,SUMIF($B$10:$B$16,"NCAP_TLIFE",$AX$10:$AX$16)),0,""))</f>
        <v/>
      </c>
      <c r="L114" s="369" t="str">
        <f ca="1">IF($B114&lt;&gt;"PRC_RESID","",IF(L$7=2005+OFFSET(COM_N_2012!$B$60,$AW114,SUMIF($B$10:$B$16,"NCAP_TLIFE",$AX$10:$AX$16)),0,""))</f>
        <v/>
      </c>
      <c r="M114" s="369" t="str">
        <f ca="1">IF($B114&lt;&gt;"PRC_RESID","",IF(M$7=2005+OFFSET(COM_N_2012!$B$60,$AW114,SUMIF($B$10:$B$16,"NCAP_TLIFE",$AX$10:$AX$16)),0,""))</f>
        <v/>
      </c>
      <c r="N114" s="369" t="str">
        <f ca="1">IF($B114&lt;&gt;"PRC_RESID","",IF(N$7=2005+OFFSET(COM_N_2012!$B$60,$AW114,SUMIF($B$10:$B$16,"NCAP_TLIFE",$AX$10:$AX$16)),0,""))</f>
        <v/>
      </c>
      <c r="O114" s="369" t="str">
        <f ca="1">IF($B114&lt;&gt;"PRC_RESID","",IF(O$7=2005+OFFSET(COM_N_2012!$B$60,$AW114,SUMIF($B$10:$B$16,"NCAP_TLIFE",$AX$10:$AX$16)),0,""))</f>
        <v/>
      </c>
      <c r="P114" s="369" t="str">
        <f ca="1">IF($B114&lt;&gt;"PRC_RESID","",IF(P$7=2005+OFFSET(COM_N_2012!$B$60,$AW114,SUMIF($B$10:$B$16,"NCAP_TLIFE",$AX$10:$AX$16)),0,""))</f>
        <v/>
      </c>
      <c r="Q114" s="369" t="str">
        <f ca="1">IF($B114&lt;&gt;"PRC_RESID","",IF(Q$7=2005+OFFSET(COM_N_2012!$B$60,$AW114,SUMIF($B$10:$B$16,"NCAP_TLIFE",$AX$10:$AX$16)),0,""))</f>
        <v/>
      </c>
      <c r="R114" s="369" t="str">
        <f ca="1">IF($B114&lt;&gt;"PRC_RESID","",IF(R$7=2005+OFFSET(COM_N_2012!$B$60,$AW114,SUMIF($B$10:$B$16,"NCAP_TLIFE",$AX$10:$AX$16)),0,""))</f>
        <v/>
      </c>
      <c r="S114" s="369" t="str">
        <f ca="1">IF($B114&lt;&gt;"PRC_RESID","",IF(S$7=2005+OFFSET(COM_N_2012!$B$60,$AW114,SUMIF($B$10:$B$16,"NCAP_TLIFE",$AX$10:$AX$16)),0,""))</f>
        <v/>
      </c>
      <c r="T114" s="369" t="str">
        <f ca="1">IF($B114&lt;&gt;"PRC_RESID","",IF(T$7=2005+OFFSET(COM_N_2012!$B$60,$AW114,SUMIF($B$10:$B$16,"NCAP_TLIFE",$AX$10:$AX$16)),0,""))</f>
        <v/>
      </c>
      <c r="U114" s="369" t="str">
        <f ca="1">IF($B114&lt;&gt;"PRC_RESID","",IF(U$7=2005+OFFSET(COM_N_2012!$B$60,$AW114,SUMIF($B$10:$B$16,"NCAP_TLIFE",$AX$10:$AX$16)),0,""))</f>
        <v/>
      </c>
      <c r="V114" s="369" t="str">
        <f ca="1">IF($B114&lt;&gt;"PRC_RESID","",IF(V$7=2005+OFFSET(COM_N_2012!$B$60,$AW114,SUMIF($B$10:$B$16,"NCAP_TLIFE",$AX$10:$AX$16)),0,""))</f>
        <v/>
      </c>
      <c r="W114" s="369" t="str">
        <f ca="1">IF($B114&lt;&gt;"PRC_RESID","",IF(W$7=2005+OFFSET(COM_N_2012!$B$60,$AW114,SUMIF($B$10:$B$16,"NCAP_TLIFE",$AX$10:$AX$16)),0,""))</f>
        <v/>
      </c>
      <c r="X114" s="369" t="str">
        <f ca="1">IF($B114&lt;&gt;"PRC_RESID","",IF(X$7=2005+OFFSET(COM_N_2012!$B$60,$AW114,SUMIF($B$10:$B$16,"NCAP_TLIFE",$AX$10:$AX$16)),0,""))</f>
        <v/>
      </c>
      <c r="Y114" s="369" t="str">
        <f ca="1">IF($B114&lt;&gt;"PRC_RESID","",IF(Y$7=2005+OFFSET(COM_N_2012!$B$60,$AW114,SUMIF($B$10:$B$16,"NCAP_TLIFE",$AX$10:$AX$16)),0,""))</f>
        <v/>
      </c>
      <c r="Z114" s="369" t="str">
        <f ca="1">IF($B114&lt;&gt;"PRC_RESID","",IF(Z$7=2005+OFFSET(COM_N_2012!$B$60,$AW114,SUMIF($B$10:$B$16,"NCAP_TLIFE",$AX$10:$AX$16)),0,""))</f>
        <v/>
      </c>
      <c r="AA114" s="369" t="str">
        <f ca="1">IF($B114&lt;&gt;"PRC_RESID","",IF(AA$7=2005+OFFSET(COM_N_2012!$B$60,$AW114,SUMIF($B$10:$B$16,"NCAP_TLIFE",$AX$10:$AX$16)),0,""))</f>
        <v/>
      </c>
      <c r="AB114" s="369" t="str">
        <f ca="1">IF($B114&lt;&gt;"PRC_RESID","",IF(AB$7=2005+OFFSET(COM_N_2012!$B$60,$AW114,SUMIF($B$10:$B$16,"NCAP_TLIFE",$AX$10:$AX$16)),0,""))</f>
        <v/>
      </c>
      <c r="AC114" s="369" t="str">
        <f ca="1">IF($B114&lt;&gt;"PRC_RESID","",IF(AC$7=2005+OFFSET(COM_N_2012!$B$60,$AW114,SUMIF($B$10:$B$16,"NCAP_TLIFE",$AX$10:$AX$16)),0,""))</f>
        <v/>
      </c>
      <c r="AD114" s="369" t="str">
        <f ca="1">IF($B114&lt;&gt;"PRC_RESID","",IF(AD$7=2005+OFFSET(COM_N_2012!$B$60,$AW114,SUMIF($B$10:$B$16,"NCAP_TLIFE",$AX$10:$AX$16)),0,""))</f>
        <v/>
      </c>
      <c r="AE114" s="369" t="str">
        <f ca="1">IF($B114&lt;&gt;"PRC_RESID","",IF(AE$7=2005+OFFSET(COM_N_2012!$B$60,$AW114,SUMIF($B$10:$B$16,"NCAP_TLIFE",$AX$10:$AX$16)),0,""))</f>
        <v/>
      </c>
      <c r="AF114" s="369" t="str">
        <f ca="1">IF($B114&lt;&gt;"PRC_RESID","",IF(AF$7=2005+OFFSET(COM_N_2012!$B$60,$AW114,SUMIF($B$10:$B$16,"NCAP_TLIFE",$AX$10:$AX$16)),0,""))</f>
        <v/>
      </c>
      <c r="AG114" s="369" t="str">
        <f ca="1">IF($B114&lt;&gt;"PRC_RESID","",IF(AG$7=2005+OFFSET(COM_N_2012!$B$60,$AW114,SUMIF($B$10:$B$16,"NCAP_TLIFE",$AX$10:$AX$16)),0,""))</f>
        <v/>
      </c>
      <c r="AH114" s="369" t="str">
        <f ca="1">IF($B114&lt;&gt;"PRC_RESID","",IF(AH$7=2005+OFFSET(COM_N_2012!$B$60,$AW114,SUMIF($B$10:$B$16,"NCAP_TLIFE",$AX$10:$AX$16)),0,""))</f>
        <v/>
      </c>
      <c r="AI114" s="369" t="str">
        <f ca="1">IF($B114&lt;&gt;"PRC_RESID","",IF(AI$7=2005+OFFSET(COM_N_2012!$B$60,$AW114,SUMIF($B$10:$B$16,"NCAP_TLIFE",$AX$10:$AX$16)),0,""))</f>
        <v/>
      </c>
      <c r="AJ114" s="369" t="str">
        <f ca="1">IF($B114&lt;&gt;"PRC_RESID","",IF(AJ$7=2005+OFFSET(COM_N_2012!$B$60,$AW114,SUMIF($B$10:$B$16,"NCAP_TLIFE",$AX$10:$AX$16)),0,""))</f>
        <v/>
      </c>
      <c r="AK114" s="369" t="str">
        <f ca="1">IF($B114&lt;&gt;"PRC_RESID","",IF(AK$7=2005+OFFSET(COM_N_2012!$B$60,$AW114,SUMIF($B$10:$B$16,"NCAP_TLIFE",$AX$10:$AX$16)),0,""))</f>
        <v/>
      </c>
      <c r="AL114" s="369" t="str">
        <f ca="1">IF($B114&lt;&gt;"PRC_RESID","",IF(AL$7=2005+OFFSET(COM_N_2012!$B$60,$AW114,SUMIF($B$10:$B$16,"NCAP_TLIFE",$AX$10:$AX$16)),0,""))</f>
        <v/>
      </c>
      <c r="AM114" s="369" t="str">
        <f ca="1">IF($B114&lt;&gt;"PRC_RESID","",IF(AM$7=2005+OFFSET(COM_N_2012!$B$60,$AW114,SUMIF($B$10:$B$16,"NCAP_TLIFE",$AX$10:$AX$16)),0,""))</f>
        <v/>
      </c>
      <c r="AN114" s="369" t="str">
        <f ca="1">IF($B114&lt;&gt;"PRC_RESID","",IF(AN$7=2005+OFFSET(COM_N_2012!$B$60,$AW114,SUMIF($B$10:$B$16,"NCAP_TLIFE",$AX$10:$AX$16)),0,""))</f>
        <v/>
      </c>
      <c r="AO114" s="369" t="str">
        <f ca="1">IF($B114&lt;&gt;"PRC_RESID","",IF(AO$7=2005+OFFSET(COM_N_2012!$B$60,$AW114,SUMIF($B$10:$B$16,"NCAP_TLIFE",$AX$10:$AX$16)),0,""))</f>
        <v/>
      </c>
      <c r="AP114" s="369" t="str">
        <f ca="1">IF($B114&lt;&gt;"PRC_RESID","",IF(AP$7=2005+OFFSET(COM_N_2012!$B$60,$AW114,SUMIF($B$10:$B$16,"NCAP_TLIFE",$AX$10:$AX$16)),0,""))</f>
        <v/>
      </c>
      <c r="AQ114" s="369" t="str">
        <f ca="1">IF($B114&lt;&gt;"PRC_RESID","",IF(AQ$7=2005+OFFSET(COM_N_2012!$B$60,$AW114,SUMIF($B$10:$B$16,"NCAP_TLIFE",$AX$10:$AX$16)),0,""))</f>
        <v/>
      </c>
      <c r="AR114" s="369" t="str">
        <f ca="1">IF($B114&lt;&gt;"PRC_RESID","",IF(AR$7=2005+OFFSET(COM_N_2012!$B$60,$AW114,SUMIF($B$10:$B$16,"NCAP_TLIFE",$AX$10:$AX$16)),0,""))</f>
        <v/>
      </c>
      <c r="AS114" s="369" t="str">
        <f ca="1">IF($B114&lt;&gt;"PRC_RESID","",IF(AS$7=2005+OFFSET(COM_N_2012!$B$60,$AW114,SUMIF($B$10:$B$16,"NCAP_TLIFE",$AX$10:$AX$16)),0,""))</f>
        <v/>
      </c>
      <c r="AT114" s="369" t="str">
        <f ca="1">IF($B114&lt;&gt;"PRC_RESID","",IF(AT$7=2005+OFFSET(COM_N_2012!$B$60,$AW114,SUMIF($B$10:$B$16,"NCAP_TLIFE",$AX$10:$AX$16)),0,""))</f>
        <v/>
      </c>
      <c r="AU114" s="369" t="str">
        <f ca="1">IF($B114&lt;&gt;"PRC_RESID","",IF(AU$7=2005+OFFSET(COM_N_2012!$B$60,$AW114,SUMIF($B$10:$B$16,"NCAP_TLIFE",$AX$10:$AX$16)),0,""))</f>
        <v/>
      </c>
      <c r="AV114" s="304">
        <f>IF(AW113=COM_N_2012!$AK$121,AV113+1,AV113)</f>
        <v>2</v>
      </c>
      <c r="AW114" s="304">
        <f t="shared" si="12"/>
        <v>36</v>
      </c>
    </row>
    <row r="115" spans="1:49">
      <c r="A115" s="304" t="str">
        <f ca="1">IF(LEFT(OFFSET(COM_N_2012!$A$60,AW115,0),2)="\I","*","")</f>
        <v/>
      </c>
      <c r="B115" s="369" t="str">
        <f t="shared" ca="1" si="11"/>
        <v>NCAP_BND</v>
      </c>
      <c r="C115" s="369" t="str">
        <f ca="1">IF($A115="*","",OFFSET(COM_N_2012!$B$60,AW115,0))</f>
        <v>CNWOKE-E</v>
      </c>
      <c r="D115" s="369" t="str">
        <f t="shared" ca="1" si="15"/>
        <v>-</v>
      </c>
      <c r="E115" s="369" t="str">
        <f t="shared" ca="1" si="15"/>
        <v>-</v>
      </c>
      <c r="F115" s="369" t="str">
        <f t="shared" ca="1" si="15"/>
        <v>-</v>
      </c>
      <c r="G115" s="369" t="str">
        <f t="shared" ca="1" si="15"/>
        <v>-</v>
      </c>
      <c r="H115" s="369" t="str">
        <f t="shared" ca="1" si="15"/>
        <v>UP</v>
      </c>
      <c r="I115" s="370">
        <f t="shared" ca="1" si="15"/>
        <v>0</v>
      </c>
      <c r="J115" s="391">
        <f ca="1">IF($A115="*","",OFFSET(COM_N_2012!$B$60,AW115,SUMIF($B$10:$B$16,B115,$AX$10:$AX$16)))</f>
        <v>0</v>
      </c>
      <c r="K115" s="369" t="str">
        <f ca="1">IF($B115&lt;&gt;"PRC_RESID","",IF(K$7=2005+OFFSET(COM_N_2012!$B$60,$AW115,SUMIF($B$10:$B$16,"NCAP_TLIFE",$AX$10:$AX$16)),0,""))</f>
        <v/>
      </c>
      <c r="L115" s="369" t="str">
        <f ca="1">IF($B115&lt;&gt;"PRC_RESID","",IF(L$7=2005+OFFSET(COM_N_2012!$B$60,$AW115,SUMIF($B$10:$B$16,"NCAP_TLIFE",$AX$10:$AX$16)),0,""))</f>
        <v/>
      </c>
      <c r="M115" s="369" t="str">
        <f ca="1">IF($B115&lt;&gt;"PRC_RESID","",IF(M$7=2005+OFFSET(COM_N_2012!$B$60,$AW115,SUMIF($B$10:$B$16,"NCAP_TLIFE",$AX$10:$AX$16)),0,""))</f>
        <v/>
      </c>
      <c r="N115" s="369" t="str">
        <f ca="1">IF($B115&lt;&gt;"PRC_RESID","",IF(N$7=2005+OFFSET(COM_N_2012!$B$60,$AW115,SUMIF($B$10:$B$16,"NCAP_TLIFE",$AX$10:$AX$16)),0,""))</f>
        <v/>
      </c>
      <c r="O115" s="369" t="str">
        <f ca="1">IF($B115&lt;&gt;"PRC_RESID","",IF(O$7=2005+OFFSET(COM_N_2012!$B$60,$AW115,SUMIF($B$10:$B$16,"NCAP_TLIFE",$AX$10:$AX$16)),0,""))</f>
        <v/>
      </c>
      <c r="P115" s="369" t="str">
        <f ca="1">IF($B115&lt;&gt;"PRC_RESID","",IF(P$7=2005+OFFSET(COM_N_2012!$B$60,$AW115,SUMIF($B$10:$B$16,"NCAP_TLIFE",$AX$10:$AX$16)),0,""))</f>
        <v/>
      </c>
      <c r="Q115" s="369" t="str">
        <f ca="1">IF($B115&lt;&gt;"PRC_RESID","",IF(Q$7=2005+OFFSET(COM_N_2012!$B$60,$AW115,SUMIF($B$10:$B$16,"NCAP_TLIFE",$AX$10:$AX$16)),0,""))</f>
        <v/>
      </c>
      <c r="R115" s="369" t="str">
        <f ca="1">IF($B115&lt;&gt;"PRC_RESID","",IF(R$7=2005+OFFSET(COM_N_2012!$B$60,$AW115,SUMIF($B$10:$B$16,"NCAP_TLIFE",$AX$10:$AX$16)),0,""))</f>
        <v/>
      </c>
      <c r="S115" s="369" t="str">
        <f ca="1">IF($B115&lt;&gt;"PRC_RESID","",IF(S$7=2005+OFFSET(COM_N_2012!$B$60,$AW115,SUMIF($B$10:$B$16,"NCAP_TLIFE",$AX$10:$AX$16)),0,""))</f>
        <v/>
      </c>
      <c r="T115" s="369" t="str">
        <f ca="1">IF($B115&lt;&gt;"PRC_RESID","",IF(T$7=2005+OFFSET(COM_N_2012!$B$60,$AW115,SUMIF($B$10:$B$16,"NCAP_TLIFE",$AX$10:$AX$16)),0,""))</f>
        <v/>
      </c>
      <c r="U115" s="369" t="str">
        <f ca="1">IF($B115&lt;&gt;"PRC_RESID","",IF(U$7=2005+OFFSET(COM_N_2012!$B$60,$AW115,SUMIF($B$10:$B$16,"NCAP_TLIFE",$AX$10:$AX$16)),0,""))</f>
        <v/>
      </c>
      <c r="V115" s="369" t="str">
        <f ca="1">IF($B115&lt;&gt;"PRC_RESID","",IF(V$7=2005+OFFSET(COM_N_2012!$B$60,$AW115,SUMIF($B$10:$B$16,"NCAP_TLIFE",$AX$10:$AX$16)),0,""))</f>
        <v/>
      </c>
      <c r="W115" s="369" t="str">
        <f ca="1">IF($B115&lt;&gt;"PRC_RESID","",IF(W$7=2005+OFFSET(COM_N_2012!$B$60,$AW115,SUMIF($B$10:$B$16,"NCAP_TLIFE",$AX$10:$AX$16)),0,""))</f>
        <v/>
      </c>
      <c r="X115" s="369" t="str">
        <f ca="1">IF($B115&lt;&gt;"PRC_RESID","",IF(X$7=2005+OFFSET(COM_N_2012!$B$60,$AW115,SUMIF($B$10:$B$16,"NCAP_TLIFE",$AX$10:$AX$16)),0,""))</f>
        <v/>
      </c>
      <c r="Y115" s="369" t="str">
        <f ca="1">IF($B115&lt;&gt;"PRC_RESID","",IF(Y$7=2005+OFFSET(COM_N_2012!$B$60,$AW115,SUMIF($B$10:$B$16,"NCAP_TLIFE",$AX$10:$AX$16)),0,""))</f>
        <v/>
      </c>
      <c r="Z115" s="369" t="str">
        <f ca="1">IF($B115&lt;&gt;"PRC_RESID","",IF(Z$7=2005+OFFSET(COM_N_2012!$B$60,$AW115,SUMIF($B$10:$B$16,"NCAP_TLIFE",$AX$10:$AX$16)),0,""))</f>
        <v/>
      </c>
      <c r="AA115" s="369" t="str">
        <f ca="1">IF($B115&lt;&gt;"PRC_RESID","",IF(AA$7=2005+OFFSET(COM_N_2012!$B$60,$AW115,SUMIF($B$10:$B$16,"NCAP_TLIFE",$AX$10:$AX$16)),0,""))</f>
        <v/>
      </c>
      <c r="AB115" s="369" t="str">
        <f ca="1">IF($B115&lt;&gt;"PRC_RESID","",IF(AB$7=2005+OFFSET(COM_N_2012!$B$60,$AW115,SUMIF($B$10:$B$16,"NCAP_TLIFE",$AX$10:$AX$16)),0,""))</f>
        <v/>
      </c>
      <c r="AC115" s="369" t="str">
        <f ca="1">IF($B115&lt;&gt;"PRC_RESID","",IF(AC$7=2005+OFFSET(COM_N_2012!$B$60,$AW115,SUMIF($B$10:$B$16,"NCAP_TLIFE",$AX$10:$AX$16)),0,""))</f>
        <v/>
      </c>
      <c r="AD115" s="369" t="str">
        <f ca="1">IF($B115&lt;&gt;"PRC_RESID","",IF(AD$7=2005+OFFSET(COM_N_2012!$B$60,$AW115,SUMIF($B$10:$B$16,"NCAP_TLIFE",$AX$10:$AX$16)),0,""))</f>
        <v/>
      </c>
      <c r="AE115" s="369" t="str">
        <f ca="1">IF($B115&lt;&gt;"PRC_RESID","",IF(AE$7=2005+OFFSET(COM_N_2012!$B$60,$AW115,SUMIF($B$10:$B$16,"NCAP_TLIFE",$AX$10:$AX$16)),0,""))</f>
        <v/>
      </c>
      <c r="AF115" s="369" t="str">
        <f ca="1">IF($B115&lt;&gt;"PRC_RESID","",IF(AF$7=2005+OFFSET(COM_N_2012!$B$60,$AW115,SUMIF($B$10:$B$16,"NCAP_TLIFE",$AX$10:$AX$16)),0,""))</f>
        <v/>
      </c>
      <c r="AG115" s="369" t="str">
        <f ca="1">IF($B115&lt;&gt;"PRC_RESID","",IF(AG$7=2005+OFFSET(COM_N_2012!$B$60,$AW115,SUMIF($B$10:$B$16,"NCAP_TLIFE",$AX$10:$AX$16)),0,""))</f>
        <v/>
      </c>
      <c r="AH115" s="369" t="str">
        <f ca="1">IF($B115&lt;&gt;"PRC_RESID","",IF(AH$7=2005+OFFSET(COM_N_2012!$B$60,$AW115,SUMIF($B$10:$B$16,"NCAP_TLIFE",$AX$10:$AX$16)),0,""))</f>
        <v/>
      </c>
      <c r="AI115" s="369" t="str">
        <f ca="1">IF($B115&lt;&gt;"PRC_RESID","",IF(AI$7=2005+OFFSET(COM_N_2012!$B$60,$AW115,SUMIF($B$10:$B$16,"NCAP_TLIFE",$AX$10:$AX$16)),0,""))</f>
        <v/>
      </c>
      <c r="AJ115" s="369" t="str">
        <f ca="1">IF($B115&lt;&gt;"PRC_RESID","",IF(AJ$7=2005+OFFSET(COM_N_2012!$B$60,$AW115,SUMIF($B$10:$B$16,"NCAP_TLIFE",$AX$10:$AX$16)),0,""))</f>
        <v/>
      </c>
      <c r="AK115" s="369" t="str">
        <f ca="1">IF($B115&lt;&gt;"PRC_RESID","",IF(AK$7=2005+OFFSET(COM_N_2012!$B$60,$AW115,SUMIF($B$10:$B$16,"NCAP_TLIFE",$AX$10:$AX$16)),0,""))</f>
        <v/>
      </c>
      <c r="AL115" s="369" t="str">
        <f ca="1">IF($B115&lt;&gt;"PRC_RESID","",IF(AL$7=2005+OFFSET(COM_N_2012!$B$60,$AW115,SUMIF($B$10:$B$16,"NCAP_TLIFE",$AX$10:$AX$16)),0,""))</f>
        <v/>
      </c>
      <c r="AM115" s="369" t="str">
        <f ca="1">IF($B115&lt;&gt;"PRC_RESID","",IF(AM$7=2005+OFFSET(COM_N_2012!$B$60,$AW115,SUMIF($B$10:$B$16,"NCAP_TLIFE",$AX$10:$AX$16)),0,""))</f>
        <v/>
      </c>
      <c r="AN115" s="369" t="str">
        <f ca="1">IF($B115&lt;&gt;"PRC_RESID","",IF(AN$7=2005+OFFSET(COM_N_2012!$B$60,$AW115,SUMIF($B$10:$B$16,"NCAP_TLIFE",$AX$10:$AX$16)),0,""))</f>
        <v/>
      </c>
      <c r="AO115" s="369" t="str">
        <f ca="1">IF($B115&lt;&gt;"PRC_RESID","",IF(AO$7=2005+OFFSET(COM_N_2012!$B$60,$AW115,SUMIF($B$10:$B$16,"NCAP_TLIFE",$AX$10:$AX$16)),0,""))</f>
        <v/>
      </c>
      <c r="AP115" s="369" t="str">
        <f ca="1">IF($B115&lt;&gt;"PRC_RESID","",IF(AP$7=2005+OFFSET(COM_N_2012!$B$60,$AW115,SUMIF($B$10:$B$16,"NCAP_TLIFE",$AX$10:$AX$16)),0,""))</f>
        <v/>
      </c>
      <c r="AQ115" s="369" t="str">
        <f ca="1">IF($B115&lt;&gt;"PRC_RESID","",IF(AQ$7=2005+OFFSET(COM_N_2012!$B$60,$AW115,SUMIF($B$10:$B$16,"NCAP_TLIFE",$AX$10:$AX$16)),0,""))</f>
        <v/>
      </c>
      <c r="AR115" s="369" t="str">
        <f ca="1">IF($B115&lt;&gt;"PRC_RESID","",IF(AR$7=2005+OFFSET(COM_N_2012!$B$60,$AW115,SUMIF($B$10:$B$16,"NCAP_TLIFE",$AX$10:$AX$16)),0,""))</f>
        <v/>
      </c>
      <c r="AS115" s="369" t="str">
        <f ca="1">IF($B115&lt;&gt;"PRC_RESID","",IF(AS$7=2005+OFFSET(COM_N_2012!$B$60,$AW115,SUMIF($B$10:$B$16,"NCAP_TLIFE",$AX$10:$AX$16)),0,""))</f>
        <v/>
      </c>
      <c r="AT115" s="369" t="str">
        <f ca="1">IF($B115&lt;&gt;"PRC_RESID","",IF(AT$7=2005+OFFSET(COM_N_2012!$B$60,$AW115,SUMIF($B$10:$B$16,"NCAP_TLIFE",$AX$10:$AX$16)),0,""))</f>
        <v/>
      </c>
      <c r="AU115" s="369" t="str">
        <f ca="1">IF($B115&lt;&gt;"PRC_RESID","",IF(AU$7=2005+OFFSET(COM_N_2012!$B$60,$AW115,SUMIF($B$10:$B$16,"NCAP_TLIFE",$AX$10:$AX$16)),0,""))</f>
        <v/>
      </c>
      <c r="AV115" s="304">
        <f>IF(AW114=COM_N_2012!$AK$121,AV114+1,AV114)</f>
        <v>2</v>
      </c>
      <c r="AW115" s="304">
        <f t="shared" si="12"/>
        <v>37</v>
      </c>
    </row>
    <row r="116" spans="1:49">
      <c r="A116" s="304" t="str">
        <f ca="1">IF(LEFT(OFFSET(COM_N_2012!$A$60,AW116,0),2)="\I","*","")</f>
        <v/>
      </c>
      <c r="B116" s="369" t="str">
        <f t="shared" ca="1" si="11"/>
        <v>NCAP_BND</v>
      </c>
      <c r="C116" s="369" t="str">
        <f ca="1">IF($A116="*","",OFFSET(COM_N_2012!$B$60,AW116,0))</f>
        <v>CNWELC-N</v>
      </c>
      <c r="D116" s="369" t="str">
        <f t="shared" ca="1" si="15"/>
        <v>-</v>
      </c>
      <c r="E116" s="369" t="str">
        <f t="shared" ca="1" si="15"/>
        <v>-</v>
      </c>
      <c r="F116" s="369" t="str">
        <f t="shared" ca="1" si="15"/>
        <v>-</v>
      </c>
      <c r="G116" s="369" t="str">
        <f t="shared" ca="1" si="15"/>
        <v>-</v>
      </c>
      <c r="H116" s="369" t="str">
        <f t="shared" ca="1" si="15"/>
        <v>UP</v>
      </c>
      <c r="I116" s="370">
        <f t="shared" ca="1" si="15"/>
        <v>0</v>
      </c>
      <c r="J116" s="391">
        <f ca="1">IF($A116="*","",OFFSET(COM_N_2012!$B$60,AW116,SUMIF($B$10:$B$16,B116,$AX$10:$AX$16)))</f>
        <v>0</v>
      </c>
      <c r="K116" s="369" t="str">
        <f ca="1">IF($B116&lt;&gt;"PRC_RESID","",IF(K$7=2005+OFFSET(COM_N_2012!$B$60,$AW116,SUMIF($B$10:$B$16,"NCAP_TLIFE",$AX$10:$AX$16)),0,""))</f>
        <v/>
      </c>
      <c r="L116" s="369" t="str">
        <f ca="1">IF($B116&lt;&gt;"PRC_RESID","",IF(L$7=2005+OFFSET(COM_N_2012!$B$60,$AW116,SUMIF($B$10:$B$16,"NCAP_TLIFE",$AX$10:$AX$16)),0,""))</f>
        <v/>
      </c>
      <c r="M116" s="369" t="str">
        <f ca="1">IF($B116&lt;&gt;"PRC_RESID","",IF(M$7=2005+OFFSET(COM_N_2012!$B$60,$AW116,SUMIF($B$10:$B$16,"NCAP_TLIFE",$AX$10:$AX$16)),0,""))</f>
        <v/>
      </c>
      <c r="N116" s="369" t="str">
        <f ca="1">IF($B116&lt;&gt;"PRC_RESID","",IF(N$7=2005+OFFSET(COM_N_2012!$B$60,$AW116,SUMIF($B$10:$B$16,"NCAP_TLIFE",$AX$10:$AX$16)),0,""))</f>
        <v/>
      </c>
      <c r="O116" s="369" t="str">
        <f ca="1">IF($B116&lt;&gt;"PRC_RESID","",IF(O$7=2005+OFFSET(COM_N_2012!$B$60,$AW116,SUMIF($B$10:$B$16,"NCAP_TLIFE",$AX$10:$AX$16)),0,""))</f>
        <v/>
      </c>
      <c r="P116" s="369" t="str">
        <f ca="1">IF($B116&lt;&gt;"PRC_RESID","",IF(P$7=2005+OFFSET(COM_N_2012!$B$60,$AW116,SUMIF($B$10:$B$16,"NCAP_TLIFE",$AX$10:$AX$16)),0,""))</f>
        <v/>
      </c>
      <c r="Q116" s="369" t="str">
        <f ca="1">IF($B116&lt;&gt;"PRC_RESID","",IF(Q$7=2005+OFFSET(COM_N_2012!$B$60,$AW116,SUMIF($B$10:$B$16,"NCAP_TLIFE",$AX$10:$AX$16)),0,""))</f>
        <v/>
      </c>
      <c r="R116" s="369" t="str">
        <f ca="1">IF($B116&lt;&gt;"PRC_RESID","",IF(R$7=2005+OFFSET(COM_N_2012!$B$60,$AW116,SUMIF($B$10:$B$16,"NCAP_TLIFE",$AX$10:$AX$16)),0,""))</f>
        <v/>
      </c>
      <c r="S116" s="369" t="str">
        <f ca="1">IF($B116&lt;&gt;"PRC_RESID","",IF(S$7=2005+OFFSET(COM_N_2012!$B$60,$AW116,SUMIF($B$10:$B$16,"NCAP_TLIFE",$AX$10:$AX$16)),0,""))</f>
        <v/>
      </c>
      <c r="T116" s="369" t="str">
        <f ca="1">IF($B116&lt;&gt;"PRC_RESID","",IF(T$7=2005+OFFSET(COM_N_2012!$B$60,$AW116,SUMIF($B$10:$B$16,"NCAP_TLIFE",$AX$10:$AX$16)),0,""))</f>
        <v/>
      </c>
      <c r="U116" s="369" t="str">
        <f ca="1">IF($B116&lt;&gt;"PRC_RESID","",IF(U$7=2005+OFFSET(COM_N_2012!$B$60,$AW116,SUMIF($B$10:$B$16,"NCAP_TLIFE",$AX$10:$AX$16)),0,""))</f>
        <v/>
      </c>
      <c r="V116" s="369" t="str">
        <f ca="1">IF($B116&lt;&gt;"PRC_RESID","",IF(V$7=2005+OFFSET(COM_N_2012!$B$60,$AW116,SUMIF($B$10:$B$16,"NCAP_TLIFE",$AX$10:$AX$16)),0,""))</f>
        <v/>
      </c>
      <c r="W116" s="369" t="str">
        <f ca="1">IF($B116&lt;&gt;"PRC_RESID","",IF(W$7=2005+OFFSET(COM_N_2012!$B$60,$AW116,SUMIF($B$10:$B$16,"NCAP_TLIFE",$AX$10:$AX$16)),0,""))</f>
        <v/>
      </c>
      <c r="X116" s="369" t="str">
        <f ca="1">IF($B116&lt;&gt;"PRC_RESID","",IF(X$7=2005+OFFSET(COM_N_2012!$B$60,$AW116,SUMIF($B$10:$B$16,"NCAP_TLIFE",$AX$10:$AX$16)),0,""))</f>
        <v/>
      </c>
      <c r="Y116" s="369" t="str">
        <f ca="1">IF($B116&lt;&gt;"PRC_RESID","",IF(Y$7=2005+OFFSET(COM_N_2012!$B$60,$AW116,SUMIF($B$10:$B$16,"NCAP_TLIFE",$AX$10:$AX$16)),0,""))</f>
        <v/>
      </c>
      <c r="Z116" s="369" t="str">
        <f ca="1">IF($B116&lt;&gt;"PRC_RESID","",IF(Z$7=2005+OFFSET(COM_N_2012!$B$60,$AW116,SUMIF($B$10:$B$16,"NCAP_TLIFE",$AX$10:$AX$16)),0,""))</f>
        <v/>
      </c>
      <c r="AA116" s="369" t="str">
        <f ca="1">IF($B116&lt;&gt;"PRC_RESID","",IF(AA$7=2005+OFFSET(COM_N_2012!$B$60,$AW116,SUMIF($B$10:$B$16,"NCAP_TLIFE",$AX$10:$AX$16)),0,""))</f>
        <v/>
      </c>
      <c r="AB116" s="369" t="str">
        <f ca="1">IF($B116&lt;&gt;"PRC_RESID","",IF(AB$7=2005+OFFSET(COM_N_2012!$B$60,$AW116,SUMIF($B$10:$B$16,"NCAP_TLIFE",$AX$10:$AX$16)),0,""))</f>
        <v/>
      </c>
      <c r="AC116" s="369" t="str">
        <f ca="1">IF($B116&lt;&gt;"PRC_RESID","",IF(AC$7=2005+OFFSET(COM_N_2012!$B$60,$AW116,SUMIF($B$10:$B$16,"NCAP_TLIFE",$AX$10:$AX$16)),0,""))</f>
        <v/>
      </c>
      <c r="AD116" s="369" t="str">
        <f ca="1">IF($B116&lt;&gt;"PRC_RESID","",IF(AD$7=2005+OFFSET(COM_N_2012!$B$60,$AW116,SUMIF($B$10:$B$16,"NCAP_TLIFE",$AX$10:$AX$16)),0,""))</f>
        <v/>
      </c>
      <c r="AE116" s="369" t="str">
        <f ca="1">IF($B116&lt;&gt;"PRC_RESID","",IF(AE$7=2005+OFFSET(COM_N_2012!$B$60,$AW116,SUMIF($B$10:$B$16,"NCAP_TLIFE",$AX$10:$AX$16)),0,""))</f>
        <v/>
      </c>
      <c r="AF116" s="369" t="str">
        <f ca="1">IF($B116&lt;&gt;"PRC_RESID","",IF(AF$7=2005+OFFSET(COM_N_2012!$B$60,$AW116,SUMIF($B$10:$B$16,"NCAP_TLIFE",$AX$10:$AX$16)),0,""))</f>
        <v/>
      </c>
      <c r="AG116" s="369" t="str">
        <f ca="1">IF($B116&lt;&gt;"PRC_RESID","",IF(AG$7=2005+OFFSET(COM_N_2012!$B$60,$AW116,SUMIF($B$10:$B$16,"NCAP_TLIFE",$AX$10:$AX$16)),0,""))</f>
        <v/>
      </c>
      <c r="AH116" s="369" t="str">
        <f ca="1">IF($B116&lt;&gt;"PRC_RESID","",IF(AH$7=2005+OFFSET(COM_N_2012!$B$60,$AW116,SUMIF($B$10:$B$16,"NCAP_TLIFE",$AX$10:$AX$16)),0,""))</f>
        <v/>
      </c>
      <c r="AI116" s="369" t="str">
        <f ca="1">IF($B116&lt;&gt;"PRC_RESID","",IF(AI$7=2005+OFFSET(COM_N_2012!$B$60,$AW116,SUMIF($B$10:$B$16,"NCAP_TLIFE",$AX$10:$AX$16)),0,""))</f>
        <v/>
      </c>
      <c r="AJ116" s="369" t="str">
        <f ca="1">IF($B116&lt;&gt;"PRC_RESID","",IF(AJ$7=2005+OFFSET(COM_N_2012!$B$60,$AW116,SUMIF($B$10:$B$16,"NCAP_TLIFE",$AX$10:$AX$16)),0,""))</f>
        <v/>
      </c>
      <c r="AK116" s="369" t="str">
        <f ca="1">IF($B116&lt;&gt;"PRC_RESID","",IF(AK$7=2005+OFFSET(COM_N_2012!$B$60,$AW116,SUMIF($B$10:$B$16,"NCAP_TLIFE",$AX$10:$AX$16)),0,""))</f>
        <v/>
      </c>
      <c r="AL116" s="369" t="str">
        <f ca="1">IF($B116&lt;&gt;"PRC_RESID","",IF(AL$7=2005+OFFSET(COM_N_2012!$B$60,$AW116,SUMIF($B$10:$B$16,"NCAP_TLIFE",$AX$10:$AX$16)),0,""))</f>
        <v/>
      </c>
      <c r="AM116" s="369" t="str">
        <f ca="1">IF($B116&lt;&gt;"PRC_RESID","",IF(AM$7=2005+OFFSET(COM_N_2012!$B$60,$AW116,SUMIF($B$10:$B$16,"NCAP_TLIFE",$AX$10:$AX$16)),0,""))</f>
        <v/>
      </c>
      <c r="AN116" s="369" t="str">
        <f ca="1">IF($B116&lt;&gt;"PRC_RESID","",IF(AN$7=2005+OFFSET(COM_N_2012!$B$60,$AW116,SUMIF($B$10:$B$16,"NCAP_TLIFE",$AX$10:$AX$16)),0,""))</f>
        <v/>
      </c>
      <c r="AO116" s="369" t="str">
        <f ca="1">IF($B116&lt;&gt;"PRC_RESID","",IF(AO$7=2005+OFFSET(COM_N_2012!$B$60,$AW116,SUMIF($B$10:$B$16,"NCAP_TLIFE",$AX$10:$AX$16)),0,""))</f>
        <v/>
      </c>
      <c r="AP116" s="369" t="str">
        <f ca="1">IF($B116&lt;&gt;"PRC_RESID","",IF(AP$7=2005+OFFSET(COM_N_2012!$B$60,$AW116,SUMIF($B$10:$B$16,"NCAP_TLIFE",$AX$10:$AX$16)),0,""))</f>
        <v/>
      </c>
      <c r="AQ116" s="369" t="str">
        <f ca="1">IF($B116&lt;&gt;"PRC_RESID","",IF(AQ$7=2005+OFFSET(COM_N_2012!$B$60,$AW116,SUMIF($B$10:$B$16,"NCAP_TLIFE",$AX$10:$AX$16)),0,""))</f>
        <v/>
      </c>
      <c r="AR116" s="369" t="str">
        <f ca="1">IF($B116&lt;&gt;"PRC_RESID","",IF(AR$7=2005+OFFSET(COM_N_2012!$B$60,$AW116,SUMIF($B$10:$B$16,"NCAP_TLIFE",$AX$10:$AX$16)),0,""))</f>
        <v/>
      </c>
      <c r="AS116" s="369" t="str">
        <f ca="1">IF($B116&lt;&gt;"PRC_RESID","",IF(AS$7=2005+OFFSET(COM_N_2012!$B$60,$AW116,SUMIF($B$10:$B$16,"NCAP_TLIFE",$AX$10:$AX$16)),0,""))</f>
        <v/>
      </c>
      <c r="AT116" s="369" t="str">
        <f ca="1">IF($B116&lt;&gt;"PRC_RESID","",IF(AT$7=2005+OFFSET(COM_N_2012!$B$60,$AW116,SUMIF($B$10:$B$16,"NCAP_TLIFE",$AX$10:$AX$16)),0,""))</f>
        <v/>
      </c>
      <c r="AU116" s="369" t="str">
        <f ca="1">IF($B116&lt;&gt;"PRC_RESID","",IF(AU$7=2005+OFFSET(COM_N_2012!$B$60,$AW116,SUMIF($B$10:$B$16,"NCAP_TLIFE",$AX$10:$AX$16)),0,""))</f>
        <v/>
      </c>
      <c r="AV116" s="304">
        <f>IF(AW115=COM_N_2012!$AK$121,AV115+1,AV115)</f>
        <v>2</v>
      </c>
      <c r="AW116" s="304">
        <f t="shared" si="12"/>
        <v>38</v>
      </c>
    </row>
    <row r="117" spans="1:49">
      <c r="A117" s="304" t="str">
        <f ca="1">IF(LEFT(OFFSET(COM_N_2012!$A$60,AW117,0),2)="\I","*","")</f>
        <v/>
      </c>
      <c r="B117" s="369" t="str">
        <f t="shared" ca="1" si="11"/>
        <v>NCAP_BND</v>
      </c>
      <c r="C117" s="369" t="str">
        <f ca="1">IF($A117="*","",OFFSET(COM_N_2012!$B$60,AW117,0))</f>
        <v>CNWELCHP-N</v>
      </c>
      <c r="D117" s="369" t="str">
        <f t="shared" ca="1" si="15"/>
        <v>-</v>
      </c>
      <c r="E117" s="369" t="str">
        <f t="shared" ca="1" si="15"/>
        <v>-</v>
      </c>
      <c r="F117" s="369" t="str">
        <f t="shared" ca="1" si="15"/>
        <v>-</v>
      </c>
      <c r="G117" s="369" t="str">
        <f t="shared" ca="1" si="15"/>
        <v>-</v>
      </c>
      <c r="H117" s="369" t="str">
        <f t="shared" ca="1" si="15"/>
        <v>UP</v>
      </c>
      <c r="I117" s="370">
        <f t="shared" ca="1" si="15"/>
        <v>0</v>
      </c>
      <c r="J117" s="391">
        <f ca="1">IF($A117="*","",OFFSET(COM_N_2012!$B$60,AW117,SUMIF($B$10:$B$16,B117,$AX$10:$AX$16)))</f>
        <v>0</v>
      </c>
      <c r="K117" s="369" t="str">
        <f ca="1">IF($B117&lt;&gt;"PRC_RESID","",IF(K$7=2005+OFFSET(COM_N_2012!$B$60,$AW117,SUMIF($B$10:$B$16,"NCAP_TLIFE",$AX$10:$AX$16)),0,""))</f>
        <v/>
      </c>
      <c r="L117" s="369" t="str">
        <f ca="1">IF($B117&lt;&gt;"PRC_RESID","",IF(L$7=2005+OFFSET(COM_N_2012!$B$60,$AW117,SUMIF($B$10:$B$16,"NCAP_TLIFE",$AX$10:$AX$16)),0,""))</f>
        <v/>
      </c>
      <c r="M117" s="369" t="str">
        <f ca="1">IF($B117&lt;&gt;"PRC_RESID","",IF(M$7=2005+OFFSET(COM_N_2012!$B$60,$AW117,SUMIF($B$10:$B$16,"NCAP_TLIFE",$AX$10:$AX$16)),0,""))</f>
        <v/>
      </c>
      <c r="N117" s="369" t="str">
        <f ca="1">IF($B117&lt;&gt;"PRC_RESID","",IF(N$7=2005+OFFSET(COM_N_2012!$B$60,$AW117,SUMIF($B$10:$B$16,"NCAP_TLIFE",$AX$10:$AX$16)),0,""))</f>
        <v/>
      </c>
      <c r="O117" s="369" t="str">
        <f ca="1">IF($B117&lt;&gt;"PRC_RESID","",IF(O$7=2005+OFFSET(COM_N_2012!$B$60,$AW117,SUMIF($B$10:$B$16,"NCAP_TLIFE",$AX$10:$AX$16)),0,""))</f>
        <v/>
      </c>
      <c r="P117" s="369" t="str">
        <f ca="1">IF($B117&lt;&gt;"PRC_RESID","",IF(P$7=2005+OFFSET(COM_N_2012!$B$60,$AW117,SUMIF($B$10:$B$16,"NCAP_TLIFE",$AX$10:$AX$16)),0,""))</f>
        <v/>
      </c>
      <c r="Q117" s="369" t="str">
        <f ca="1">IF($B117&lt;&gt;"PRC_RESID","",IF(Q$7=2005+OFFSET(COM_N_2012!$B$60,$AW117,SUMIF($B$10:$B$16,"NCAP_TLIFE",$AX$10:$AX$16)),0,""))</f>
        <v/>
      </c>
      <c r="R117" s="369" t="str">
        <f ca="1">IF($B117&lt;&gt;"PRC_RESID","",IF(R$7=2005+OFFSET(COM_N_2012!$B$60,$AW117,SUMIF($B$10:$B$16,"NCAP_TLIFE",$AX$10:$AX$16)),0,""))</f>
        <v/>
      </c>
      <c r="S117" s="369" t="str">
        <f ca="1">IF($B117&lt;&gt;"PRC_RESID","",IF(S$7=2005+OFFSET(COM_N_2012!$B$60,$AW117,SUMIF($B$10:$B$16,"NCAP_TLIFE",$AX$10:$AX$16)),0,""))</f>
        <v/>
      </c>
      <c r="T117" s="369" t="str">
        <f ca="1">IF($B117&lt;&gt;"PRC_RESID","",IF(T$7=2005+OFFSET(COM_N_2012!$B$60,$AW117,SUMIF($B$10:$B$16,"NCAP_TLIFE",$AX$10:$AX$16)),0,""))</f>
        <v/>
      </c>
      <c r="U117" s="369" t="str">
        <f ca="1">IF($B117&lt;&gt;"PRC_RESID","",IF(U$7=2005+OFFSET(COM_N_2012!$B$60,$AW117,SUMIF($B$10:$B$16,"NCAP_TLIFE",$AX$10:$AX$16)),0,""))</f>
        <v/>
      </c>
      <c r="V117" s="369" t="str">
        <f ca="1">IF($B117&lt;&gt;"PRC_RESID","",IF(V$7=2005+OFFSET(COM_N_2012!$B$60,$AW117,SUMIF($B$10:$B$16,"NCAP_TLIFE",$AX$10:$AX$16)),0,""))</f>
        <v/>
      </c>
      <c r="W117" s="369" t="str">
        <f ca="1">IF($B117&lt;&gt;"PRC_RESID","",IF(W$7=2005+OFFSET(COM_N_2012!$B$60,$AW117,SUMIF($B$10:$B$16,"NCAP_TLIFE",$AX$10:$AX$16)),0,""))</f>
        <v/>
      </c>
      <c r="X117" s="369" t="str">
        <f ca="1">IF($B117&lt;&gt;"PRC_RESID","",IF(X$7=2005+OFFSET(COM_N_2012!$B$60,$AW117,SUMIF($B$10:$B$16,"NCAP_TLIFE",$AX$10:$AX$16)),0,""))</f>
        <v/>
      </c>
      <c r="Y117" s="369" t="str">
        <f ca="1">IF($B117&lt;&gt;"PRC_RESID","",IF(Y$7=2005+OFFSET(COM_N_2012!$B$60,$AW117,SUMIF($B$10:$B$16,"NCAP_TLIFE",$AX$10:$AX$16)),0,""))</f>
        <v/>
      </c>
      <c r="Z117" s="369" t="str">
        <f ca="1">IF($B117&lt;&gt;"PRC_RESID","",IF(Z$7=2005+OFFSET(COM_N_2012!$B$60,$AW117,SUMIF($B$10:$B$16,"NCAP_TLIFE",$AX$10:$AX$16)),0,""))</f>
        <v/>
      </c>
      <c r="AA117" s="369" t="str">
        <f ca="1">IF($B117&lt;&gt;"PRC_RESID","",IF(AA$7=2005+OFFSET(COM_N_2012!$B$60,$AW117,SUMIF($B$10:$B$16,"NCAP_TLIFE",$AX$10:$AX$16)),0,""))</f>
        <v/>
      </c>
      <c r="AB117" s="369" t="str">
        <f ca="1">IF($B117&lt;&gt;"PRC_RESID","",IF(AB$7=2005+OFFSET(COM_N_2012!$B$60,$AW117,SUMIF($B$10:$B$16,"NCAP_TLIFE",$AX$10:$AX$16)),0,""))</f>
        <v/>
      </c>
      <c r="AC117" s="369" t="str">
        <f ca="1">IF($B117&lt;&gt;"PRC_RESID","",IF(AC$7=2005+OFFSET(COM_N_2012!$B$60,$AW117,SUMIF($B$10:$B$16,"NCAP_TLIFE",$AX$10:$AX$16)),0,""))</f>
        <v/>
      </c>
      <c r="AD117" s="369" t="str">
        <f ca="1">IF($B117&lt;&gt;"PRC_RESID","",IF(AD$7=2005+OFFSET(COM_N_2012!$B$60,$AW117,SUMIF($B$10:$B$16,"NCAP_TLIFE",$AX$10:$AX$16)),0,""))</f>
        <v/>
      </c>
      <c r="AE117" s="369" t="str">
        <f ca="1">IF($B117&lt;&gt;"PRC_RESID","",IF(AE$7=2005+OFFSET(COM_N_2012!$B$60,$AW117,SUMIF($B$10:$B$16,"NCAP_TLIFE",$AX$10:$AX$16)),0,""))</f>
        <v/>
      </c>
      <c r="AF117" s="369" t="str">
        <f ca="1">IF($B117&lt;&gt;"PRC_RESID","",IF(AF$7=2005+OFFSET(COM_N_2012!$B$60,$AW117,SUMIF($B$10:$B$16,"NCAP_TLIFE",$AX$10:$AX$16)),0,""))</f>
        <v/>
      </c>
      <c r="AG117" s="369" t="str">
        <f ca="1">IF($B117&lt;&gt;"PRC_RESID","",IF(AG$7=2005+OFFSET(COM_N_2012!$B$60,$AW117,SUMIF($B$10:$B$16,"NCAP_TLIFE",$AX$10:$AX$16)),0,""))</f>
        <v/>
      </c>
      <c r="AH117" s="369" t="str">
        <f ca="1">IF($B117&lt;&gt;"PRC_RESID","",IF(AH$7=2005+OFFSET(COM_N_2012!$B$60,$AW117,SUMIF($B$10:$B$16,"NCAP_TLIFE",$AX$10:$AX$16)),0,""))</f>
        <v/>
      </c>
      <c r="AI117" s="369" t="str">
        <f ca="1">IF($B117&lt;&gt;"PRC_RESID","",IF(AI$7=2005+OFFSET(COM_N_2012!$B$60,$AW117,SUMIF($B$10:$B$16,"NCAP_TLIFE",$AX$10:$AX$16)),0,""))</f>
        <v/>
      </c>
      <c r="AJ117" s="369" t="str">
        <f ca="1">IF($B117&lt;&gt;"PRC_RESID","",IF(AJ$7=2005+OFFSET(COM_N_2012!$B$60,$AW117,SUMIF($B$10:$B$16,"NCAP_TLIFE",$AX$10:$AX$16)),0,""))</f>
        <v/>
      </c>
      <c r="AK117" s="369" t="str">
        <f ca="1">IF($B117&lt;&gt;"PRC_RESID","",IF(AK$7=2005+OFFSET(COM_N_2012!$B$60,$AW117,SUMIF($B$10:$B$16,"NCAP_TLIFE",$AX$10:$AX$16)),0,""))</f>
        <v/>
      </c>
      <c r="AL117" s="369" t="str">
        <f ca="1">IF($B117&lt;&gt;"PRC_RESID","",IF(AL$7=2005+OFFSET(COM_N_2012!$B$60,$AW117,SUMIF($B$10:$B$16,"NCAP_TLIFE",$AX$10:$AX$16)),0,""))</f>
        <v/>
      </c>
      <c r="AM117" s="369" t="str">
        <f ca="1">IF($B117&lt;&gt;"PRC_RESID","",IF(AM$7=2005+OFFSET(COM_N_2012!$B$60,$AW117,SUMIF($B$10:$B$16,"NCAP_TLIFE",$AX$10:$AX$16)),0,""))</f>
        <v/>
      </c>
      <c r="AN117" s="369" t="str">
        <f ca="1">IF($B117&lt;&gt;"PRC_RESID","",IF(AN$7=2005+OFFSET(COM_N_2012!$B$60,$AW117,SUMIF($B$10:$B$16,"NCAP_TLIFE",$AX$10:$AX$16)),0,""))</f>
        <v/>
      </c>
      <c r="AO117" s="369" t="str">
        <f ca="1">IF($B117&lt;&gt;"PRC_RESID","",IF(AO$7=2005+OFFSET(COM_N_2012!$B$60,$AW117,SUMIF($B$10:$B$16,"NCAP_TLIFE",$AX$10:$AX$16)),0,""))</f>
        <v/>
      </c>
      <c r="AP117" s="369" t="str">
        <f ca="1">IF($B117&lt;&gt;"PRC_RESID","",IF(AP$7=2005+OFFSET(COM_N_2012!$B$60,$AW117,SUMIF($B$10:$B$16,"NCAP_TLIFE",$AX$10:$AX$16)),0,""))</f>
        <v/>
      </c>
      <c r="AQ117" s="369" t="str">
        <f ca="1">IF($B117&lt;&gt;"PRC_RESID","",IF(AQ$7=2005+OFFSET(COM_N_2012!$B$60,$AW117,SUMIF($B$10:$B$16,"NCAP_TLIFE",$AX$10:$AX$16)),0,""))</f>
        <v/>
      </c>
      <c r="AR117" s="369" t="str">
        <f ca="1">IF($B117&lt;&gt;"PRC_RESID","",IF(AR$7=2005+OFFSET(COM_N_2012!$B$60,$AW117,SUMIF($B$10:$B$16,"NCAP_TLIFE",$AX$10:$AX$16)),0,""))</f>
        <v/>
      </c>
      <c r="AS117" s="369" t="str">
        <f ca="1">IF($B117&lt;&gt;"PRC_RESID","",IF(AS$7=2005+OFFSET(COM_N_2012!$B$60,$AW117,SUMIF($B$10:$B$16,"NCAP_TLIFE",$AX$10:$AX$16)),0,""))</f>
        <v/>
      </c>
      <c r="AT117" s="369" t="str">
        <f ca="1">IF($B117&lt;&gt;"PRC_RESID","",IF(AT$7=2005+OFFSET(COM_N_2012!$B$60,$AW117,SUMIF($B$10:$B$16,"NCAP_TLIFE",$AX$10:$AX$16)),0,""))</f>
        <v/>
      </c>
      <c r="AU117" s="369" t="str">
        <f ca="1">IF($B117&lt;&gt;"PRC_RESID","",IF(AU$7=2005+OFFSET(COM_N_2012!$B$60,$AW117,SUMIF($B$10:$B$16,"NCAP_TLIFE",$AX$10:$AX$16)),0,""))</f>
        <v/>
      </c>
      <c r="AV117" s="304">
        <f>IF(AW116=COM_N_2012!$AK$121,AV116+1,AV116)</f>
        <v>2</v>
      </c>
      <c r="AW117" s="304">
        <f t="shared" si="12"/>
        <v>39</v>
      </c>
    </row>
    <row r="118" spans="1:49">
      <c r="A118" s="304" t="str">
        <f ca="1">IF(LEFT(OFFSET(COM_N_2012!$A$60,AW118,0),2)="\I","*","")</f>
        <v>*</v>
      </c>
      <c r="B118" s="369" t="str">
        <f t="shared" ca="1" si="11"/>
        <v/>
      </c>
      <c r="C118" s="369" t="str">
        <f ca="1">IF($A118="*","",OFFSET(COM_N_2012!$B$60,AW118,0))</f>
        <v/>
      </c>
      <c r="D118" s="369" t="str">
        <f t="shared" ref="D118:I127" ca="1" si="16">IF($A118="*","",VLOOKUP($B118,$B$10:$I$16,D$9,FALSE))</f>
        <v/>
      </c>
      <c r="E118" s="369" t="str">
        <f t="shared" ca="1" si="16"/>
        <v/>
      </c>
      <c r="F118" s="369" t="str">
        <f t="shared" ca="1" si="16"/>
        <v/>
      </c>
      <c r="G118" s="369" t="str">
        <f t="shared" ca="1" si="16"/>
        <v/>
      </c>
      <c r="H118" s="369" t="str">
        <f t="shared" ca="1" si="16"/>
        <v/>
      </c>
      <c r="I118" s="370" t="str">
        <f t="shared" ca="1" si="16"/>
        <v/>
      </c>
      <c r="J118" s="391" t="str">
        <f ca="1">IF($A118="*","",OFFSET(COM_N_2012!$B$60,AW118,SUMIF($B$10:$B$16,B118,$AX$10:$AX$16)))</f>
        <v/>
      </c>
      <c r="K118" s="369" t="str">
        <f ca="1">IF($B118&lt;&gt;"PRC_RESID","",IF(K$7=2005+OFFSET(COM_N_2012!$B$60,$AW118,SUMIF($B$10:$B$16,"NCAP_TLIFE",$AX$10:$AX$16)),0,""))</f>
        <v/>
      </c>
      <c r="L118" s="369" t="str">
        <f ca="1">IF($B118&lt;&gt;"PRC_RESID","",IF(L$7=2005+OFFSET(COM_N_2012!$B$60,$AW118,SUMIF($B$10:$B$16,"NCAP_TLIFE",$AX$10:$AX$16)),0,""))</f>
        <v/>
      </c>
      <c r="M118" s="369" t="str">
        <f ca="1">IF($B118&lt;&gt;"PRC_RESID","",IF(M$7=2005+OFFSET(COM_N_2012!$B$60,$AW118,SUMIF($B$10:$B$16,"NCAP_TLIFE",$AX$10:$AX$16)),0,""))</f>
        <v/>
      </c>
      <c r="N118" s="369" t="str">
        <f ca="1">IF($B118&lt;&gt;"PRC_RESID","",IF(N$7=2005+OFFSET(COM_N_2012!$B$60,$AW118,SUMIF($B$10:$B$16,"NCAP_TLIFE",$AX$10:$AX$16)),0,""))</f>
        <v/>
      </c>
      <c r="O118" s="369" t="str">
        <f ca="1">IF($B118&lt;&gt;"PRC_RESID","",IF(O$7=2005+OFFSET(COM_N_2012!$B$60,$AW118,SUMIF($B$10:$B$16,"NCAP_TLIFE",$AX$10:$AX$16)),0,""))</f>
        <v/>
      </c>
      <c r="P118" s="369" t="str">
        <f ca="1">IF($B118&lt;&gt;"PRC_RESID","",IF(P$7=2005+OFFSET(COM_N_2012!$B$60,$AW118,SUMIF($B$10:$B$16,"NCAP_TLIFE",$AX$10:$AX$16)),0,""))</f>
        <v/>
      </c>
      <c r="Q118" s="369" t="str">
        <f ca="1">IF($B118&lt;&gt;"PRC_RESID","",IF(Q$7=2005+OFFSET(COM_N_2012!$B$60,$AW118,SUMIF($B$10:$B$16,"NCAP_TLIFE",$AX$10:$AX$16)),0,""))</f>
        <v/>
      </c>
      <c r="R118" s="369" t="str">
        <f ca="1">IF($B118&lt;&gt;"PRC_RESID","",IF(R$7=2005+OFFSET(COM_N_2012!$B$60,$AW118,SUMIF($B$10:$B$16,"NCAP_TLIFE",$AX$10:$AX$16)),0,""))</f>
        <v/>
      </c>
      <c r="S118" s="369" t="str">
        <f ca="1">IF($B118&lt;&gt;"PRC_RESID","",IF(S$7=2005+OFFSET(COM_N_2012!$B$60,$AW118,SUMIF($B$10:$B$16,"NCAP_TLIFE",$AX$10:$AX$16)),0,""))</f>
        <v/>
      </c>
      <c r="T118" s="369" t="str">
        <f ca="1">IF($B118&lt;&gt;"PRC_RESID","",IF(T$7=2005+OFFSET(COM_N_2012!$B$60,$AW118,SUMIF($B$10:$B$16,"NCAP_TLIFE",$AX$10:$AX$16)),0,""))</f>
        <v/>
      </c>
      <c r="U118" s="369" t="str">
        <f ca="1">IF($B118&lt;&gt;"PRC_RESID","",IF(U$7=2005+OFFSET(COM_N_2012!$B$60,$AW118,SUMIF($B$10:$B$16,"NCAP_TLIFE",$AX$10:$AX$16)),0,""))</f>
        <v/>
      </c>
      <c r="V118" s="369" t="str">
        <f ca="1">IF($B118&lt;&gt;"PRC_RESID","",IF(V$7=2005+OFFSET(COM_N_2012!$B$60,$AW118,SUMIF($B$10:$B$16,"NCAP_TLIFE",$AX$10:$AX$16)),0,""))</f>
        <v/>
      </c>
      <c r="W118" s="369" t="str">
        <f ca="1">IF($B118&lt;&gt;"PRC_RESID","",IF(W$7=2005+OFFSET(COM_N_2012!$B$60,$AW118,SUMIF($B$10:$B$16,"NCAP_TLIFE",$AX$10:$AX$16)),0,""))</f>
        <v/>
      </c>
      <c r="X118" s="369" t="str">
        <f ca="1">IF($B118&lt;&gt;"PRC_RESID","",IF(X$7=2005+OFFSET(COM_N_2012!$B$60,$AW118,SUMIF($B$10:$B$16,"NCAP_TLIFE",$AX$10:$AX$16)),0,""))</f>
        <v/>
      </c>
      <c r="Y118" s="369" t="str">
        <f ca="1">IF($B118&lt;&gt;"PRC_RESID","",IF(Y$7=2005+OFFSET(COM_N_2012!$B$60,$AW118,SUMIF($B$10:$B$16,"NCAP_TLIFE",$AX$10:$AX$16)),0,""))</f>
        <v/>
      </c>
      <c r="Z118" s="369" t="str">
        <f ca="1">IF($B118&lt;&gt;"PRC_RESID","",IF(Z$7=2005+OFFSET(COM_N_2012!$B$60,$AW118,SUMIF($B$10:$B$16,"NCAP_TLIFE",$AX$10:$AX$16)),0,""))</f>
        <v/>
      </c>
      <c r="AA118" s="369" t="str">
        <f ca="1">IF($B118&lt;&gt;"PRC_RESID","",IF(AA$7=2005+OFFSET(COM_N_2012!$B$60,$AW118,SUMIF($B$10:$B$16,"NCAP_TLIFE",$AX$10:$AX$16)),0,""))</f>
        <v/>
      </c>
      <c r="AB118" s="369" t="str">
        <f ca="1">IF($B118&lt;&gt;"PRC_RESID","",IF(AB$7=2005+OFFSET(COM_N_2012!$B$60,$AW118,SUMIF($B$10:$B$16,"NCAP_TLIFE",$AX$10:$AX$16)),0,""))</f>
        <v/>
      </c>
      <c r="AC118" s="369" t="str">
        <f ca="1">IF($B118&lt;&gt;"PRC_RESID","",IF(AC$7=2005+OFFSET(COM_N_2012!$B$60,$AW118,SUMIF($B$10:$B$16,"NCAP_TLIFE",$AX$10:$AX$16)),0,""))</f>
        <v/>
      </c>
      <c r="AD118" s="369" t="str">
        <f ca="1">IF($B118&lt;&gt;"PRC_RESID","",IF(AD$7=2005+OFFSET(COM_N_2012!$B$60,$AW118,SUMIF($B$10:$B$16,"NCAP_TLIFE",$AX$10:$AX$16)),0,""))</f>
        <v/>
      </c>
      <c r="AE118" s="369" t="str">
        <f ca="1">IF($B118&lt;&gt;"PRC_RESID","",IF(AE$7=2005+OFFSET(COM_N_2012!$B$60,$AW118,SUMIF($B$10:$B$16,"NCAP_TLIFE",$AX$10:$AX$16)),0,""))</f>
        <v/>
      </c>
      <c r="AF118" s="369" t="str">
        <f ca="1">IF($B118&lt;&gt;"PRC_RESID","",IF(AF$7=2005+OFFSET(COM_N_2012!$B$60,$AW118,SUMIF($B$10:$B$16,"NCAP_TLIFE",$AX$10:$AX$16)),0,""))</f>
        <v/>
      </c>
      <c r="AG118" s="369" t="str">
        <f ca="1">IF($B118&lt;&gt;"PRC_RESID","",IF(AG$7=2005+OFFSET(COM_N_2012!$B$60,$AW118,SUMIF($B$10:$B$16,"NCAP_TLIFE",$AX$10:$AX$16)),0,""))</f>
        <v/>
      </c>
      <c r="AH118" s="369" t="str">
        <f ca="1">IF($B118&lt;&gt;"PRC_RESID","",IF(AH$7=2005+OFFSET(COM_N_2012!$B$60,$AW118,SUMIF($B$10:$B$16,"NCAP_TLIFE",$AX$10:$AX$16)),0,""))</f>
        <v/>
      </c>
      <c r="AI118" s="369" t="str">
        <f ca="1">IF($B118&lt;&gt;"PRC_RESID","",IF(AI$7=2005+OFFSET(COM_N_2012!$B$60,$AW118,SUMIF($B$10:$B$16,"NCAP_TLIFE",$AX$10:$AX$16)),0,""))</f>
        <v/>
      </c>
      <c r="AJ118" s="369" t="str">
        <f ca="1">IF($B118&lt;&gt;"PRC_RESID","",IF(AJ$7=2005+OFFSET(COM_N_2012!$B$60,$AW118,SUMIF($B$10:$B$16,"NCAP_TLIFE",$AX$10:$AX$16)),0,""))</f>
        <v/>
      </c>
      <c r="AK118" s="369" t="str">
        <f ca="1">IF($B118&lt;&gt;"PRC_RESID","",IF(AK$7=2005+OFFSET(COM_N_2012!$B$60,$AW118,SUMIF($B$10:$B$16,"NCAP_TLIFE",$AX$10:$AX$16)),0,""))</f>
        <v/>
      </c>
      <c r="AL118" s="369" t="str">
        <f ca="1">IF($B118&lt;&gt;"PRC_RESID","",IF(AL$7=2005+OFFSET(COM_N_2012!$B$60,$AW118,SUMIF($B$10:$B$16,"NCAP_TLIFE",$AX$10:$AX$16)),0,""))</f>
        <v/>
      </c>
      <c r="AM118" s="369" t="str">
        <f ca="1">IF($B118&lt;&gt;"PRC_RESID","",IF(AM$7=2005+OFFSET(COM_N_2012!$B$60,$AW118,SUMIF($B$10:$B$16,"NCAP_TLIFE",$AX$10:$AX$16)),0,""))</f>
        <v/>
      </c>
      <c r="AN118" s="369" t="str">
        <f ca="1">IF($B118&lt;&gt;"PRC_RESID","",IF(AN$7=2005+OFFSET(COM_N_2012!$B$60,$AW118,SUMIF($B$10:$B$16,"NCAP_TLIFE",$AX$10:$AX$16)),0,""))</f>
        <v/>
      </c>
      <c r="AO118" s="369" t="str">
        <f ca="1">IF($B118&lt;&gt;"PRC_RESID","",IF(AO$7=2005+OFFSET(COM_N_2012!$B$60,$AW118,SUMIF($B$10:$B$16,"NCAP_TLIFE",$AX$10:$AX$16)),0,""))</f>
        <v/>
      </c>
      <c r="AP118" s="369" t="str">
        <f ca="1">IF($B118&lt;&gt;"PRC_RESID","",IF(AP$7=2005+OFFSET(COM_N_2012!$B$60,$AW118,SUMIF($B$10:$B$16,"NCAP_TLIFE",$AX$10:$AX$16)),0,""))</f>
        <v/>
      </c>
      <c r="AQ118" s="369" t="str">
        <f ca="1">IF($B118&lt;&gt;"PRC_RESID","",IF(AQ$7=2005+OFFSET(COM_N_2012!$B$60,$AW118,SUMIF($B$10:$B$16,"NCAP_TLIFE",$AX$10:$AX$16)),0,""))</f>
        <v/>
      </c>
      <c r="AR118" s="369" t="str">
        <f ca="1">IF($B118&lt;&gt;"PRC_RESID","",IF(AR$7=2005+OFFSET(COM_N_2012!$B$60,$AW118,SUMIF($B$10:$B$16,"NCAP_TLIFE",$AX$10:$AX$16)),0,""))</f>
        <v/>
      </c>
      <c r="AS118" s="369" t="str">
        <f ca="1">IF($B118&lt;&gt;"PRC_RESID","",IF(AS$7=2005+OFFSET(COM_N_2012!$B$60,$AW118,SUMIF($B$10:$B$16,"NCAP_TLIFE",$AX$10:$AX$16)),0,""))</f>
        <v/>
      </c>
      <c r="AT118" s="369" t="str">
        <f ca="1">IF($B118&lt;&gt;"PRC_RESID","",IF(AT$7=2005+OFFSET(COM_N_2012!$B$60,$AW118,SUMIF($B$10:$B$16,"NCAP_TLIFE",$AX$10:$AX$16)),0,""))</f>
        <v/>
      </c>
      <c r="AU118" s="369" t="str">
        <f ca="1">IF($B118&lt;&gt;"PRC_RESID","",IF(AU$7=2005+OFFSET(COM_N_2012!$B$60,$AW118,SUMIF($B$10:$B$16,"NCAP_TLIFE",$AX$10:$AX$16)),0,""))</f>
        <v/>
      </c>
      <c r="AV118" s="304">
        <f>IF(AW117=COM_N_2012!$AK$121,AV117+1,AV117)</f>
        <v>2</v>
      </c>
      <c r="AW118" s="304">
        <f t="shared" si="12"/>
        <v>40</v>
      </c>
    </row>
    <row r="119" spans="1:49">
      <c r="A119" s="304" t="str">
        <f ca="1">IF(LEFT(OFFSET(COM_N_2012!$A$60,AW119,0),2)="\I","*","")</f>
        <v>*</v>
      </c>
      <c r="B119" s="369" t="str">
        <f t="shared" ca="1" si="11"/>
        <v/>
      </c>
      <c r="C119" s="369" t="str">
        <f ca="1">IF($A119="*","",OFFSET(COM_N_2012!$B$60,AW119,0))</f>
        <v/>
      </c>
      <c r="D119" s="369" t="str">
        <f t="shared" ca="1" si="16"/>
        <v/>
      </c>
      <c r="E119" s="369" t="str">
        <f t="shared" ca="1" si="16"/>
        <v/>
      </c>
      <c r="F119" s="369" t="str">
        <f t="shared" ca="1" si="16"/>
        <v/>
      </c>
      <c r="G119" s="369" t="str">
        <f t="shared" ca="1" si="16"/>
        <v/>
      </c>
      <c r="H119" s="369" t="str">
        <f t="shared" ca="1" si="16"/>
        <v/>
      </c>
      <c r="I119" s="370" t="str">
        <f t="shared" ca="1" si="16"/>
        <v/>
      </c>
      <c r="J119" s="391" t="str">
        <f ca="1">IF($A119="*","",OFFSET(COM_N_2012!$B$60,AW119,SUMIF($B$10:$B$16,B119,$AX$10:$AX$16)))</f>
        <v/>
      </c>
      <c r="K119" s="369" t="str">
        <f ca="1">IF($B119&lt;&gt;"PRC_RESID","",IF(K$7=2005+OFFSET(COM_N_2012!$B$60,$AW119,SUMIF($B$10:$B$16,"NCAP_TLIFE",$AX$10:$AX$16)),0,""))</f>
        <v/>
      </c>
      <c r="L119" s="369" t="str">
        <f ca="1">IF($B119&lt;&gt;"PRC_RESID","",IF(L$7=2005+OFFSET(COM_N_2012!$B$60,$AW119,SUMIF($B$10:$B$16,"NCAP_TLIFE",$AX$10:$AX$16)),0,""))</f>
        <v/>
      </c>
      <c r="M119" s="369" t="str">
        <f ca="1">IF($B119&lt;&gt;"PRC_RESID","",IF(M$7=2005+OFFSET(COM_N_2012!$B$60,$AW119,SUMIF($B$10:$B$16,"NCAP_TLIFE",$AX$10:$AX$16)),0,""))</f>
        <v/>
      </c>
      <c r="N119" s="369" t="str">
        <f ca="1">IF($B119&lt;&gt;"PRC_RESID","",IF(N$7=2005+OFFSET(COM_N_2012!$B$60,$AW119,SUMIF($B$10:$B$16,"NCAP_TLIFE",$AX$10:$AX$16)),0,""))</f>
        <v/>
      </c>
      <c r="O119" s="369" t="str">
        <f ca="1">IF($B119&lt;&gt;"PRC_RESID","",IF(O$7=2005+OFFSET(COM_N_2012!$B$60,$AW119,SUMIF($B$10:$B$16,"NCAP_TLIFE",$AX$10:$AX$16)),0,""))</f>
        <v/>
      </c>
      <c r="P119" s="369" t="str">
        <f ca="1">IF($B119&lt;&gt;"PRC_RESID","",IF(P$7=2005+OFFSET(COM_N_2012!$B$60,$AW119,SUMIF($B$10:$B$16,"NCAP_TLIFE",$AX$10:$AX$16)),0,""))</f>
        <v/>
      </c>
      <c r="Q119" s="369" t="str">
        <f ca="1">IF($B119&lt;&gt;"PRC_RESID","",IF(Q$7=2005+OFFSET(COM_N_2012!$B$60,$AW119,SUMIF($B$10:$B$16,"NCAP_TLIFE",$AX$10:$AX$16)),0,""))</f>
        <v/>
      </c>
      <c r="R119" s="369" t="str">
        <f ca="1">IF($B119&lt;&gt;"PRC_RESID","",IF(R$7=2005+OFFSET(COM_N_2012!$B$60,$AW119,SUMIF($B$10:$B$16,"NCAP_TLIFE",$AX$10:$AX$16)),0,""))</f>
        <v/>
      </c>
      <c r="S119" s="369" t="str">
        <f ca="1">IF($B119&lt;&gt;"PRC_RESID","",IF(S$7=2005+OFFSET(COM_N_2012!$B$60,$AW119,SUMIF($B$10:$B$16,"NCAP_TLIFE",$AX$10:$AX$16)),0,""))</f>
        <v/>
      </c>
      <c r="T119" s="369" t="str">
        <f ca="1">IF($B119&lt;&gt;"PRC_RESID","",IF(T$7=2005+OFFSET(COM_N_2012!$B$60,$AW119,SUMIF($B$10:$B$16,"NCAP_TLIFE",$AX$10:$AX$16)),0,""))</f>
        <v/>
      </c>
      <c r="U119" s="369" t="str">
        <f ca="1">IF($B119&lt;&gt;"PRC_RESID","",IF(U$7=2005+OFFSET(COM_N_2012!$B$60,$AW119,SUMIF($B$10:$B$16,"NCAP_TLIFE",$AX$10:$AX$16)),0,""))</f>
        <v/>
      </c>
      <c r="V119" s="369" t="str">
        <f ca="1">IF($B119&lt;&gt;"PRC_RESID","",IF(V$7=2005+OFFSET(COM_N_2012!$B$60,$AW119,SUMIF($B$10:$B$16,"NCAP_TLIFE",$AX$10:$AX$16)),0,""))</f>
        <v/>
      </c>
      <c r="W119" s="369" t="str">
        <f ca="1">IF($B119&lt;&gt;"PRC_RESID","",IF(W$7=2005+OFFSET(COM_N_2012!$B$60,$AW119,SUMIF($B$10:$B$16,"NCAP_TLIFE",$AX$10:$AX$16)),0,""))</f>
        <v/>
      </c>
      <c r="X119" s="369" t="str">
        <f ca="1">IF($B119&lt;&gt;"PRC_RESID","",IF(X$7=2005+OFFSET(COM_N_2012!$B$60,$AW119,SUMIF($B$10:$B$16,"NCAP_TLIFE",$AX$10:$AX$16)),0,""))</f>
        <v/>
      </c>
      <c r="Y119" s="369" t="str">
        <f ca="1">IF($B119&lt;&gt;"PRC_RESID","",IF(Y$7=2005+OFFSET(COM_N_2012!$B$60,$AW119,SUMIF($B$10:$B$16,"NCAP_TLIFE",$AX$10:$AX$16)),0,""))</f>
        <v/>
      </c>
      <c r="Z119" s="369" t="str">
        <f ca="1">IF($B119&lt;&gt;"PRC_RESID","",IF(Z$7=2005+OFFSET(COM_N_2012!$B$60,$AW119,SUMIF($B$10:$B$16,"NCAP_TLIFE",$AX$10:$AX$16)),0,""))</f>
        <v/>
      </c>
      <c r="AA119" s="369" t="str">
        <f ca="1">IF($B119&lt;&gt;"PRC_RESID","",IF(AA$7=2005+OFFSET(COM_N_2012!$B$60,$AW119,SUMIF($B$10:$B$16,"NCAP_TLIFE",$AX$10:$AX$16)),0,""))</f>
        <v/>
      </c>
      <c r="AB119" s="369" t="str">
        <f ca="1">IF($B119&lt;&gt;"PRC_RESID","",IF(AB$7=2005+OFFSET(COM_N_2012!$B$60,$AW119,SUMIF($B$10:$B$16,"NCAP_TLIFE",$AX$10:$AX$16)),0,""))</f>
        <v/>
      </c>
      <c r="AC119" s="369" t="str">
        <f ca="1">IF($B119&lt;&gt;"PRC_RESID","",IF(AC$7=2005+OFFSET(COM_N_2012!$B$60,$AW119,SUMIF($B$10:$B$16,"NCAP_TLIFE",$AX$10:$AX$16)),0,""))</f>
        <v/>
      </c>
      <c r="AD119" s="369" t="str">
        <f ca="1">IF($B119&lt;&gt;"PRC_RESID","",IF(AD$7=2005+OFFSET(COM_N_2012!$B$60,$AW119,SUMIF($B$10:$B$16,"NCAP_TLIFE",$AX$10:$AX$16)),0,""))</f>
        <v/>
      </c>
      <c r="AE119" s="369" t="str">
        <f ca="1">IF($B119&lt;&gt;"PRC_RESID","",IF(AE$7=2005+OFFSET(COM_N_2012!$B$60,$AW119,SUMIF($B$10:$B$16,"NCAP_TLIFE",$AX$10:$AX$16)),0,""))</f>
        <v/>
      </c>
      <c r="AF119" s="369" t="str">
        <f ca="1">IF($B119&lt;&gt;"PRC_RESID","",IF(AF$7=2005+OFFSET(COM_N_2012!$B$60,$AW119,SUMIF($B$10:$B$16,"NCAP_TLIFE",$AX$10:$AX$16)),0,""))</f>
        <v/>
      </c>
      <c r="AG119" s="369" t="str">
        <f ca="1">IF($B119&lt;&gt;"PRC_RESID","",IF(AG$7=2005+OFFSET(COM_N_2012!$B$60,$AW119,SUMIF($B$10:$B$16,"NCAP_TLIFE",$AX$10:$AX$16)),0,""))</f>
        <v/>
      </c>
      <c r="AH119" s="369" t="str">
        <f ca="1">IF($B119&lt;&gt;"PRC_RESID","",IF(AH$7=2005+OFFSET(COM_N_2012!$B$60,$AW119,SUMIF($B$10:$B$16,"NCAP_TLIFE",$AX$10:$AX$16)),0,""))</f>
        <v/>
      </c>
      <c r="AI119" s="369" t="str">
        <f ca="1">IF($B119&lt;&gt;"PRC_RESID","",IF(AI$7=2005+OFFSET(COM_N_2012!$B$60,$AW119,SUMIF($B$10:$B$16,"NCAP_TLIFE",$AX$10:$AX$16)),0,""))</f>
        <v/>
      </c>
      <c r="AJ119" s="369" t="str">
        <f ca="1">IF($B119&lt;&gt;"PRC_RESID","",IF(AJ$7=2005+OFFSET(COM_N_2012!$B$60,$AW119,SUMIF($B$10:$B$16,"NCAP_TLIFE",$AX$10:$AX$16)),0,""))</f>
        <v/>
      </c>
      <c r="AK119" s="369" t="str">
        <f ca="1">IF($B119&lt;&gt;"PRC_RESID","",IF(AK$7=2005+OFFSET(COM_N_2012!$B$60,$AW119,SUMIF($B$10:$B$16,"NCAP_TLIFE",$AX$10:$AX$16)),0,""))</f>
        <v/>
      </c>
      <c r="AL119" s="369" t="str">
        <f ca="1">IF($B119&lt;&gt;"PRC_RESID","",IF(AL$7=2005+OFFSET(COM_N_2012!$B$60,$AW119,SUMIF($B$10:$B$16,"NCAP_TLIFE",$AX$10:$AX$16)),0,""))</f>
        <v/>
      </c>
      <c r="AM119" s="369" t="str">
        <f ca="1">IF($B119&lt;&gt;"PRC_RESID","",IF(AM$7=2005+OFFSET(COM_N_2012!$B$60,$AW119,SUMIF($B$10:$B$16,"NCAP_TLIFE",$AX$10:$AX$16)),0,""))</f>
        <v/>
      </c>
      <c r="AN119" s="369" t="str">
        <f ca="1">IF($B119&lt;&gt;"PRC_RESID","",IF(AN$7=2005+OFFSET(COM_N_2012!$B$60,$AW119,SUMIF($B$10:$B$16,"NCAP_TLIFE",$AX$10:$AX$16)),0,""))</f>
        <v/>
      </c>
      <c r="AO119" s="369" t="str">
        <f ca="1">IF($B119&lt;&gt;"PRC_RESID","",IF(AO$7=2005+OFFSET(COM_N_2012!$B$60,$AW119,SUMIF($B$10:$B$16,"NCAP_TLIFE",$AX$10:$AX$16)),0,""))</f>
        <v/>
      </c>
      <c r="AP119" s="369" t="str">
        <f ca="1">IF($B119&lt;&gt;"PRC_RESID","",IF(AP$7=2005+OFFSET(COM_N_2012!$B$60,$AW119,SUMIF($B$10:$B$16,"NCAP_TLIFE",$AX$10:$AX$16)),0,""))</f>
        <v/>
      </c>
      <c r="AQ119" s="369" t="str">
        <f ca="1">IF($B119&lt;&gt;"PRC_RESID","",IF(AQ$7=2005+OFFSET(COM_N_2012!$B$60,$AW119,SUMIF($B$10:$B$16,"NCAP_TLIFE",$AX$10:$AX$16)),0,""))</f>
        <v/>
      </c>
      <c r="AR119" s="369" t="str">
        <f ca="1">IF($B119&lt;&gt;"PRC_RESID","",IF(AR$7=2005+OFFSET(COM_N_2012!$B$60,$AW119,SUMIF($B$10:$B$16,"NCAP_TLIFE",$AX$10:$AX$16)),0,""))</f>
        <v/>
      </c>
      <c r="AS119" s="369" t="str">
        <f ca="1">IF($B119&lt;&gt;"PRC_RESID","",IF(AS$7=2005+OFFSET(COM_N_2012!$B$60,$AW119,SUMIF($B$10:$B$16,"NCAP_TLIFE",$AX$10:$AX$16)),0,""))</f>
        <v/>
      </c>
      <c r="AT119" s="369" t="str">
        <f ca="1">IF($B119&lt;&gt;"PRC_RESID","",IF(AT$7=2005+OFFSET(COM_N_2012!$B$60,$AW119,SUMIF($B$10:$B$16,"NCAP_TLIFE",$AX$10:$AX$16)),0,""))</f>
        <v/>
      </c>
      <c r="AU119" s="369" t="str">
        <f ca="1">IF($B119&lt;&gt;"PRC_RESID","",IF(AU$7=2005+OFFSET(COM_N_2012!$B$60,$AW119,SUMIF($B$10:$B$16,"NCAP_TLIFE",$AX$10:$AX$16)),0,""))</f>
        <v/>
      </c>
      <c r="AV119" s="304">
        <f>IF(AW118=COM_N_2012!$AK$121,AV118+1,AV118)</f>
        <v>2</v>
      </c>
      <c r="AW119" s="304">
        <f t="shared" si="12"/>
        <v>41</v>
      </c>
    </row>
    <row r="120" spans="1:49">
      <c r="A120" s="304" t="str">
        <f ca="1">IF(LEFT(OFFSET(COM_N_2012!$A$60,AW120,0),2)="\I","*","")</f>
        <v/>
      </c>
      <c r="B120" s="369" t="str">
        <f t="shared" ca="1" si="11"/>
        <v>NCAP_BND</v>
      </c>
      <c r="C120" s="369" t="str">
        <f ca="1">IF($A120="*","",OFFSET(COM_N_2012!$B$60,AW120,0))</f>
        <v>CNGELCINC-E</v>
      </c>
      <c r="D120" s="369" t="str">
        <f t="shared" ca="1" si="16"/>
        <v>-</v>
      </c>
      <c r="E120" s="369" t="str">
        <f t="shared" ca="1" si="16"/>
        <v>-</v>
      </c>
      <c r="F120" s="369" t="str">
        <f t="shared" ca="1" si="16"/>
        <v>-</v>
      </c>
      <c r="G120" s="369" t="str">
        <f t="shared" ca="1" si="16"/>
        <v>-</v>
      </c>
      <c r="H120" s="369" t="str">
        <f t="shared" ca="1" si="16"/>
        <v>UP</v>
      </c>
      <c r="I120" s="370">
        <f t="shared" ca="1" si="16"/>
        <v>0</v>
      </c>
      <c r="J120" s="391">
        <f ca="1">IF($A120="*","",OFFSET(COM_N_2012!$B$60,AW120,SUMIF($B$10:$B$16,B120,$AX$10:$AX$16)))</f>
        <v>0</v>
      </c>
      <c r="K120" s="369" t="str">
        <f ca="1">IF($B120&lt;&gt;"PRC_RESID","",IF(K$7=2005+OFFSET(COM_N_2012!$B$60,$AW120,SUMIF($B$10:$B$16,"NCAP_TLIFE",$AX$10:$AX$16)),0,""))</f>
        <v/>
      </c>
      <c r="L120" s="369" t="str">
        <f ca="1">IF($B120&lt;&gt;"PRC_RESID","",IF(L$7=2005+OFFSET(COM_N_2012!$B$60,$AW120,SUMIF($B$10:$B$16,"NCAP_TLIFE",$AX$10:$AX$16)),0,""))</f>
        <v/>
      </c>
      <c r="M120" s="369" t="str">
        <f ca="1">IF($B120&lt;&gt;"PRC_RESID","",IF(M$7=2005+OFFSET(COM_N_2012!$B$60,$AW120,SUMIF($B$10:$B$16,"NCAP_TLIFE",$AX$10:$AX$16)),0,""))</f>
        <v/>
      </c>
      <c r="N120" s="369" t="str">
        <f ca="1">IF($B120&lt;&gt;"PRC_RESID","",IF(N$7=2005+OFFSET(COM_N_2012!$B$60,$AW120,SUMIF($B$10:$B$16,"NCAP_TLIFE",$AX$10:$AX$16)),0,""))</f>
        <v/>
      </c>
      <c r="O120" s="369" t="str">
        <f ca="1">IF($B120&lt;&gt;"PRC_RESID","",IF(O$7=2005+OFFSET(COM_N_2012!$B$60,$AW120,SUMIF($B$10:$B$16,"NCAP_TLIFE",$AX$10:$AX$16)),0,""))</f>
        <v/>
      </c>
      <c r="P120" s="369" t="str">
        <f ca="1">IF($B120&lt;&gt;"PRC_RESID","",IF(P$7=2005+OFFSET(COM_N_2012!$B$60,$AW120,SUMIF($B$10:$B$16,"NCAP_TLIFE",$AX$10:$AX$16)),0,""))</f>
        <v/>
      </c>
      <c r="Q120" s="369" t="str">
        <f ca="1">IF($B120&lt;&gt;"PRC_RESID","",IF(Q$7=2005+OFFSET(COM_N_2012!$B$60,$AW120,SUMIF($B$10:$B$16,"NCAP_TLIFE",$AX$10:$AX$16)),0,""))</f>
        <v/>
      </c>
      <c r="R120" s="369" t="str">
        <f ca="1">IF($B120&lt;&gt;"PRC_RESID","",IF(R$7=2005+OFFSET(COM_N_2012!$B$60,$AW120,SUMIF($B$10:$B$16,"NCAP_TLIFE",$AX$10:$AX$16)),0,""))</f>
        <v/>
      </c>
      <c r="S120" s="369" t="str">
        <f ca="1">IF($B120&lt;&gt;"PRC_RESID","",IF(S$7=2005+OFFSET(COM_N_2012!$B$60,$AW120,SUMIF($B$10:$B$16,"NCAP_TLIFE",$AX$10:$AX$16)),0,""))</f>
        <v/>
      </c>
      <c r="T120" s="369" t="str">
        <f ca="1">IF($B120&lt;&gt;"PRC_RESID","",IF(T$7=2005+OFFSET(COM_N_2012!$B$60,$AW120,SUMIF($B$10:$B$16,"NCAP_TLIFE",$AX$10:$AX$16)),0,""))</f>
        <v/>
      </c>
      <c r="U120" s="369" t="str">
        <f ca="1">IF($B120&lt;&gt;"PRC_RESID","",IF(U$7=2005+OFFSET(COM_N_2012!$B$60,$AW120,SUMIF($B$10:$B$16,"NCAP_TLIFE",$AX$10:$AX$16)),0,""))</f>
        <v/>
      </c>
      <c r="V120" s="369" t="str">
        <f ca="1">IF($B120&lt;&gt;"PRC_RESID","",IF(V$7=2005+OFFSET(COM_N_2012!$B$60,$AW120,SUMIF($B$10:$B$16,"NCAP_TLIFE",$AX$10:$AX$16)),0,""))</f>
        <v/>
      </c>
      <c r="W120" s="369" t="str">
        <f ca="1">IF($B120&lt;&gt;"PRC_RESID","",IF(W$7=2005+OFFSET(COM_N_2012!$B$60,$AW120,SUMIF($B$10:$B$16,"NCAP_TLIFE",$AX$10:$AX$16)),0,""))</f>
        <v/>
      </c>
      <c r="X120" s="369" t="str">
        <f ca="1">IF($B120&lt;&gt;"PRC_RESID","",IF(X$7=2005+OFFSET(COM_N_2012!$B$60,$AW120,SUMIF($B$10:$B$16,"NCAP_TLIFE",$AX$10:$AX$16)),0,""))</f>
        <v/>
      </c>
      <c r="Y120" s="369" t="str">
        <f ca="1">IF($B120&lt;&gt;"PRC_RESID","",IF(Y$7=2005+OFFSET(COM_N_2012!$B$60,$AW120,SUMIF($B$10:$B$16,"NCAP_TLIFE",$AX$10:$AX$16)),0,""))</f>
        <v/>
      </c>
      <c r="Z120" s="369" t="str">
        <f ca="1">IF($B120&lt;&gt;"PRC_RESID","",IF(Z$7=2005+OFFSET(COM_N_2012!$B$60,$AW120,SUMIF($B$10:$B$16,"NCAP_TLIFE",$AX$10:$AX$16)),0,""))</f>
        <v/>
      </c>
      <c r="AA120" s="369" t="str">
        <f ca="1">IF($B120&lt;&gt;"PRC_RESID","",IF(AA$7=2005+OFFSET(COM_N_2012!$B$60,$AW120,SUMIF($B$10:$B$16,"NCAP_TLIFE",$AX$10:$AX$16)),0,""))</f>
        <v/>
      </c>
      <c r="AB120" s="369" t="str">
        <f ca="1">IF($B120&lt;&gt;"PRC_RESID","",IF(AB$7=2005+OFFSET(COM_N_2012!$B$60,$AW120,SUMIF($B$10:$B$16,"NCAP_TLIFE",$AX$10:$AX$16)),0,""))</f>
        <v/>
      </c>
      <c r="AC120" s="369" t="str">
        <f ca="1">IF($B120&lt;&gt;"PRC_RESID","",IF(AC$7=2005+OFFSET(COM_N_2012!$B$60,$AW120,SUMIF($B$10:$B$16,"NCAP_TLIFE",$AX$10:$AX$16)),0,""))</f>
        <v/>
      </c>
      <c r="AD120" s="369" t="str">
        <f ca="1">IF($B120&lt;&gt;"PRC_RESID","",IF(AD$7=2005+OFFSET(COM_N_2012!$B$60,$AW120,SUMIF($B$10:$B$16,"NCAP_TLIFE",$AX$10:$AX$16)),0,""))</f>
        <v/>
      </c>
      <c r="AE120" s="369" t="str">
        <f ca="1">IF($B120&lt;&gt;"PRC_RESID","",IF(AE$7=2005+OFFSET(COM_N_2012!$B$60,$AW120,SUMIF($B$10:$B$16,"NCAP_TLIFE",$AX$10:$AX$16)),0,""))</f>
        <v/>
      </c>
      <c r="AF120" s="369" t="str">
        <f ca="1">IF($B120&lt;&gt;"PRC_RESID","",IF(AF$7=2005+OFFSET(COM_N_2012!$B$60,$AW120,SUMIF($B$10:$B$16,"NCAP_TLIFE",$AX$10:$AX$16)),0,""))</f>
        <v/>
      </c>
      <c r="AG120" s="369" t="str">
        <f ca="1">IF($B120&lt;&gt;"PRC_RESID","",IF(AG$7=2005+OFFSET(COM_N_2012!$B$60,$AW120,SUMIF($B$10:$B$16,"NCAP_TLIFE",$AX$10:$AX$16)),0,""))</f>
        <v/>
      </c>
      <c r="AH120" s="369" t="str">
        <f ca="1">IF($B120&lt;&gt;"PRC_RESID","",IF(AH$7=2005+OFFSET(COM_N_2012!$B$60,$AW120,SUMIF($B$10:$B$16,"NCAP_TLIFE",$AX$10:$AX$16)),0,""))</f>
        <v/>
      </c>
      <c r="AI120" s="369" t="str">
        <f ca="1">IF($B120&lt;&gt;"PRC_RESID","",IF(AI$7=2005+OFFSET(COM_N_2012!$B$60,$AW120,SUMIF($B$10:$B$16,"NCAP_TLIFE",$AX$10:$AX$16)),0,""))</f>
        <v/>
      </c>
      <c r="AJ120" s="369" t="str">
        <f ca="1">IF($B120&lt;&gt;"PRC_RESID","",IF(AJ$7=2005+OFFSET(COM_N_2012!$B$60,$AW120,SUMIF($B$10:$B$16,"NCAP_TLIFE",$AX$10:$AX$16)),0,""))</f>
        <v/>
      </c>
      <c r="AK120" s="369" t="str">
        <f ca="1">IF($B120&lt;&gt;"PRC_RESID","",IF(AK$7=2005+OFFSET(COM_N_2012!$B$60,$AW120,SUMIF($B$10:$B$16,"NCAP_TLIFE",$AX$10:$AX$16)),0,""))</f>
        <v/>
      </c>
      <c r="AL120" s="369" t="str">
        <f ca="1">IF($B120&lt;&gt;"PRC_RESID","",IF(AL$7=2005+OFFSET(COM_N_2012!$B$60,$AW120,SUMIF($B$10:$B$16,"NCAP_TLIFE",$AX$10:$AX$16)),0,""))</f>
        <v/>
      </c>
      <c r="AM120" s="369" t="str">
        <f ca="1">IF($B120&lt;&gt;"PRC_RESID","",IF(AM$7=2005+OFFSET(COM_N_2012!$B$60,$AW120,SUMIF($B$10:$B$16,"NCAP_TLIFE",$AX$10:$AX$16)),0,""))</f>
        <v/>
      </c>
      <c r="AN120" s="369" t="str">
        <f ca="1">IF($B120&lt;&gt;"PRC_RESID","",IF(AN$7=2005+OFFSET(COM_N_2012!$B$60,$AW120,SUMIF($B$10:$B$16,"NCAP_TLIFE",$AX$10:$AX$16)),0,""))</f>
        <v/>
      </c>
      <c r="AO120" s="369" t="str">
        <f ca="1">IF($B120&lt;&gt;"PRC_RESID","",IF(AO$7=2005+OFFSET(COM_N_2012!$B$60,$AW120,SUMIF($B$10:$B$16,"NCAP_TLIFE",$AX$10:$AX$16)),0,""))</f>
        <v/>
      </c>
      <c r="AP120" s="369" t="str">
        <f ca="1">IF($B120&lt;&gt;"PRC_RESID","",IF(AP$7=2005+OFFSET(COM_N_2012!$B$60,$AW120,SUMIF($B$10:$B$16,"NCAP_TLIFE",$AX$10:$AX$16)),0,""))</f>
        <v/>
      </c>
      <c r="AQ120" s="369" t="str">
        <f ca="1">IF($B120&lt;&gt;"PRC_RESID","",IF(AQ$7=2005+OFFSET(COM_N_2012!$B$60,$AW120,SUMIF($B$10:$B$16,"NCAP_TLIFE",$AX$10:$AX$16)),0,""))</f>
        <v/>
      </c>
      <c r="AR120" s="369" t="str">
        <f ca="1">IF($B120&lt;&gt;"PRC_RESID","",IF(AR$7=2005+OFFSET(COM_N_2012!$B$60,$AW120,SUMIF($B$10:$B$16,"NCAP_TLIFE",$AX$10:$AX$16)),0,""))</f>
        <v/>
      </c>
      <c r="AS120" s="369" t="str">
        <f ca="1">IF($B120&lt;&gt;"PRC_RESID","",IF(AS$7=2005+OFFSET(COM_N_2012!$B$60,$AW120,SUMIF($B$10:$B$16,"NCAP_TLIFE",$AX$10:$AX$16)),0,""))</f>
        <v/>
      </c>
      <c r="AT120" s="369" t="str">
        <f ca="1">IF($B120&lt;&gt;"PRC_RESID","",IF(AT$7=2005+OFFSET(COM_N_2012!$B$60,$AW120,SUMIF($B$10:$B$16,"NCAP_TLIFE",$AX$10:$AX$16)),0,""))</f>
        <v/>
      </c>
      <c r="AU120" s="369" t="str">
        <f ca="1">IF($B120&lt;&gt;"PRC_RESID","",IF(AU$7=2005+OFFSET(COM_N_2012!$B$60,$AW120,SUMIF($B$10:$B$16,"NCAP_TLIFE",$AX$10:$AX$16)),0,""))</f>
        <v/>
      </c>
      <c r="AV120" s="304">
        <f>IF(AW119=COM_N_2012!$AK$121,AV119+1,AV119)</f>
        <v>2</v>
      </c>
      <c r="AW120" s="304">
        <f t="shared" si="12"/>
        <v>42</v>
      </c>
    </row>
    <row r="121" spans="1:49">
      <c r="A121" s="304" t="str">
        <f ca="1">IF(LEFT(OFFSET(COM_N_2012!$A$60,AW121,0),2)="\I","*","")</f>
        <v/>
      </c>
      <c r="B121" s="369" t="str">
        <f t="shared" ca="1" si="11"/>
        <v>NCAP_BND</v>
      </c>
      <c r="C121" s="369" t="str">
        <f ca="1">IF($A121="*","",OFFSET(COM_N_2012!$B$60,AW121,0))</f>
        <v>CNGELCHAL-E</v>
      </c>
      <c r="D121" s="369" t="str">
        <f t="shared" ca="1" si="16"/>
        <v>-</v>
      </c>
      <c r="E121" s="369" t="str">
        <f t="shared" ca="1" si="16"/>
        <v>-</v>
      </c>
      <c r="F121" s="369" t="str">
        <f t="shared" ca="1" si="16"/>
        <v>-</v>
      </c>
      <c r="G121" s="369" t="str">
        <f t="shared" ca="1" si="16"/>
        <v>-</v>
      </c>
      <c r="H121" s="369" t="str">
        <f t="shared" ca="1" si="16"/>
        <v>UP</v>
      </c>
      <c r="I121" s="370">
        <f t="shared" ca="1" si="16"/>
        <v>0</v>
      </c>
      <c r="J121" s="391">
        <f ca="1">IF($A121="*","",OFFSET(COM_N_2012!$B$60,AW121,SUMIF($B$10:$B$16,B121,$AX$10:$AX$16)))</f>
        <v>0</v>
      </c>
      <c r="K121" s="369" t="str">
        <f ca="1">IF($B121&lt;&gt;"PRC_RESID","",IF(K$7=2005+OFFSET(COM_N_2012!$B$60,$AW121,SUMIF($B$10:$B$16,"NCAP_TLIFE",$AX$10:$AX$16)),0,""))</f>
        <v/>
      </c>
      <c r="L121" s="369" t="str">
        <f ca="1">IF($B121&lt;&gt;"PRC_RESID","",IF(L$7=2005+OFFSET(COM_N_2012!$B$60,$AW121,SUMIF($B$10:$B$16,"NCAP_TLIFE",$AX$10:$AX$16)),0,""))</f>
        <v/>
      </c>
      <c r="M121" s="369" t="str">
        <f ca="1">IF($B121&lt;&gt;"PRC_RESID","",IF(M$7=2005+OFFSET(COM_N_2012!$B$60,$AW121,SUMIF($B$10:$B$16,"NCAP_TLIFE",$AX$10:$AX$16)),0,""))</f>
        <v/>
      </c>
      <c r="N121" s="369" t="str">
        <f ca="1">IF($B121&lt;&gt;"PRC_RESID","",IF(N$7=2005+OFFSET(COM_N_2012!$B$60,$AW121,SUMIF($B$10:$B$16,"NCAP_TLIFE",$AX$10:$AX$16)),0,""))</f>
        <v/>
      </c>
      <c r="O121" s="369" t="str">
        <f ca="1">IF($B121&lt;&gt;"PRC_RESID","",IF(O$7=2005+OFFSET(COM_N_2012!$B$60,$AW121,SUMIF($B$10:$B$16,"NCAP_TLIFE",$AX$10:$AX$16)),0,""))</f>
        <v/>
      </c>
      <c r="P121" s="369" t="str">
        <f ca="1">IF($B121&lt;&gt;"PRC_RESID","",IF(P$7=2005+OFFSET(COM_N_2012!$B$60,$AW121,SUMIF($B$10:$B$16,"NCAP_TLIFE",$AX$10:$AX$16)),0,""))</f>
        <v/>
      </c>
      <c r="Q121" s="369" t="str">
        <f ca="1">IF($B121&lt;&gt;"PRC_RESID","",IF(Q$7=2005+OFFSET(COM_N_2012!$B$60,$AW121,SUMIF($B$10:$B$16,"NCAP_TLIFE",$AX$10:$AX$16)),0,""))</f>
        <v/>
      </c>
      <c r="R121" s="369" t="str">
        <f ca="1">IF($B121&lt;&gt;"PRC_RESID","",IF(R$7=2005+OFFSET(COM_N_2012!$B$60,$AW121,SUMIF($B$10:$B$16,"NCAP_TLIFE",$AX$10:$AX$16)),0,""))</f>
        <v/>
      </c>
      <c r="S121" s="369" t="str">
        <f ca="1">IF($B121&lt;&gt;"PRC_RESID","",IF(S$7=2005+OFFSET(COM_N_2012!$B$60,$AW121,SUMIF($B$10:$B$16,"NCAP_TLIFE",$AX$10:$AX$16)),0,""))</f>
        <v/>
      </c>
      <c r="T121" s="369" t="str">
        <f ca="1">IF($B121&lt;&gt;"PRC_RESID","",IF(T$7=2005+OFFSET(COM_N_2012!$B$60,$AW121,SUMIF($B$10:$B$16,"NCAP_TLIFE",$AX$10:$AX$16)),0,""))</f>
        <v/>
      </c>
      <c r="U121" s="369" t="str">
        <f ca="1">IF($B121&lt;&gt;"PRC_RESID","",IF(U$7=2005+OFFSET(COM_N_2012!$B$60,$AW121,SUMIF($B$10:$B$16,"NCAP_TLIFE",$AX$10:$AX$16)),0,""))</f>
        <v/>
      </c>
      <c r="V121" s="369" t="str">
        <f ca="1">IF($B121&lt;&gt;"PRC_RESID","",IF(V$7=2005+OFFSET(COM_N_2012!$B$60,$AW121,SUMIF($B$10:$B$16,"NCAP_TLIFE",$AX$10:$AX$16)),0,""))</f>
        <v/>
      </c>
      <c r="W121" s="369" t="str">
        <f ca="1">IF($B121&lt;&gt;"PRC_RESID","",IF(W$7=2005+OFFSET(COM_N_2012!$B$60,$AW121,SUMIF($B$10:$B$16,"NCAP_TLIFE",$AX$10:$AX$16)),0,""))</f>
        <v/>
      </c>
      <c r="X121" s="369" t="str">
        <f ca="1">IF($B121&lt;&gt;"PRC_RESID","",IF(X$7=2005+OFFSET(COM_N_2012!$B$60,$AW121,SUMIF($B$10:$B$16,"NCAP_TLIFE",$AX$10:$AX$16)),0,""))</f>
        <v/>
      </c>
      <c r="Y121" s="369" t="str">
        <f ca="1">IF($B121&lt;&gt;"PRC_RESID","",IF(Y$7=2005+OFFSET(COM_N_2012!$B$60,$AW121,SUMIF($B$10:$B$16,"NCAP_TLIFE",$AX$10:$AX$16)),0,""))</f>
        <v/>
      </c>
      <c r="Z121" s="369" t="str">
        <f ca="1">IF($B121&lt;&gt;"PRC_RESID","",IF(Z$7=2005+OFFSET(COM_N_2012!$B$60,$AW121,SUMIF($B$10:$B$16,"NCAP_TLIFE",$AX$10:$AX$16)),0,""))</f>
        <v/>
      </c>
      <c r="AA121" s="369" t="str">
        <f ca="1">IF($B121&lt;&gt;"PRC_RESID","",IF(AA$7=2005+OFFSET(COM_N_2012!$B$60,$AW121,SUMIF($B$10:$B$16,"NCAP_TLIFE",$AX$10:$AX$16)),0,""))</f>
        <v/>
      </c>
      <c r="AB121" s="369" t="str">
        <f ca="1">IF($B121&lt;&gt;"PRC_RESID","",IF(AB$7=2005+OFFSET(COM_N_2012!$B$60,$AW121,SUMIF($B$10:$B$16,"NCAP_TLIFE",$AX$10:$AX$16)),0,""))</f>
        <v/>
      </c>
      <c r="AC121" s="369" t="str">
        <f ca="1">IF($B121&lt;&gt;"PRC_RESID","",IF(AC$7=2005+OFFSET(COM_N_2012!$B$60,$AW121,SUMIF($B$10:$B$16,"NCAP_TLIFE",$AX$10:$AX$16)),0,""))</f>
        <v/>
      </c>
      <c r="AD121" s="369" t="str">
        <f ca="1">IF($B121&lt;&gt;"PRC_RESID","",IF(AD$7=2005+OFFSET(COM_N_2012!$B$60,$AW121,SUMIF($B$10:$B$16,"NCAP_TLIFE",$AX$10:$AX$16)),0,""))</f>
        <v/>
      </c>
      <c r="AE121" s="369" t="str">
        <f ca="1">IF($B121&lt;&gt;"PRC_RESID","",IF(AE$7=2005+OFFSET(COM_N_2012!$B$60,$AW121,SUMIF($B$10:$B$16,"NCAP_TLIFE",$AX$10:$AX$16)),0,""))</f>
        <v/>
      </c>
      <c r="AF121" s="369" t="str">
        <f ca="1">IF($B121&lt;&gt;"PRC_RESID","",IF(AF$7=2005+OFFSET(COM_N_2012!$B$60,$AW121,SUMIF($B$10:$B$16,"NCAP_TLIFE",$AX$10:$AX$16)),0,""))</f>
        <v/>
      </c>
      <c r="AG121" s="369" t="str">
        <f ca="1">IF($B121&lt;&gt;"PRC_RESID","",IF(AG$7=2005+OFFSET(COM_N_2012!$B$60,$AW121,SUMIF($B$10:$B$16,"NCAP_TLIFE",$AX$10:$AX$16)),0,""))</f>
        <v/>
      </c>
      <c r="AH121" s="369" t="str">
        <f ca="1">IF($B121&lt;&gt;"PRC_RESID","",IF(AH$7=2005+OFFSET(COM_N_2012!$B$60,$AW121,SUMIF($B$10:$B$16,"NCAP_TLIFE",$AX$10:$AX$16)),0,""))</f>
        <v/>
      </c>
      <c r="AI121" s="369" t="str">
        <f ca="1">IF($B121&lt;&gt;"PRC_RESID","",IF(AI$7=2005+OFFSET(COM_N_2012!$B$60,$AW121,SUMIF($B$10:$B$16,"NCAP_TLIFE",$AX$10:$AX$16)),0,""))</f>
        <v/>
      </c>
      <c r="AJ121" s="369" t="str">
        <f ca="1">IF($B121&lt;&gt;"PRC_RESID","",IF(AJ$7=2005+OFFSET(COM_N_2012!$B$60,$AW121,SUMIF($B$10:$B$16,"NCAP_TLIFE",$AX$10:$AX$16)),0,""))</f>
        <v/>
      </c>
      <c r="AK121" s="369" t="str">
        <f ca="1">IF($B121&lt;&gt;"PRC_RESID","",IF(AK$7=2005+OFFSET(COM_N_2012!$B$60,$AW121,SUMIF($B$10:$B$16,"NCAP_TLIFE",$AX$10:$AX$16)),0,""))</f>
        <v/>
      </c>
      <c r="AL121" s="369" t="str">
        <f ca="1">IF($B121&lt;&gt;"PRC_RESID","",IF(AL$7=2005+OFFSET(COM_N_2012!$B$60,$AW121,SUMIF($B$10:$B$16,"NCAP_TLIFE",$AX$10:$AX$16)),0,""))</f>
        <v/>
      </c>
      <c r="AM121" s="369" t="str">
        <f ca="1">IF($B121&lt;&gt;"PRC_RESID","",IF(AM$7=2005+OFFSET(COM_N_2012!$B$60,$AW121,SUMIF($B$10:$B$16,"NCAP_TLIFE",$AX$10:$AX$16)),0,""))</f>
        <v/>
      </c>
      <c r="AN121" s="369" t="str">
        <f ca="1">IF($B121&lt;&gt;"PRC_RESID","",IF(AN$7=2005+OFFSET(COM_N_2012!$B$60,$AW121,SUMIF($B$10:$B$16,"NCAP_TLIFE",$AX$10:$AX$16)),0,""))</f>
        <v/>
      </c>
      <c r="AO121" s="369" t="str">
        <f ca="1">IF($B121&lt;&gt;"PRC_RESID","",IF(AO$7=2005+OFFSET(COM_N_2012!$B$60,$AW121,SUMIF($B$10:$B$16,"NCAP_TLIFE",$AX$10:$AX$16)),0,""))</f>
        <v/>
      </c>
      <c r="AP121" s="369" t="str">
        <f ca="1">IF($B121&lt;&gt;"PRC_RESID","",IF(AP$7=2005+OFFSET(COM_N_2012!$B$60,$AW121,SUMIF($B$10:$B$16,"NCAP_TLIFE",$AX$10:$AX$16)),0,""))</f>
        <v/>
      </c>
      <c r="AQ121" s="369" t="str">
        <f ca="1">IF($B121&lt;&gt;"PRC_RESID","",IF(AQ$7=2005+OFFSET(COM_N_2012!$B$60,$AW121,SUMIF($B$10:$B$16,"NCAP_TLIFE",$AX$10:$AX$16)),0,""))</f>
        <v/>
      </c>
      <c r="AR121" s="369" t="str">
        <f ca="1">IF($B121&lt;&gt;"PRC_RESID","",IF(AR$7=2005+OFFSET(COM_N_2012!$B$60,$AW121,SUMIF($B$10:$B$16,"NCAP_TLIFE",$AX$10:$AX$16)),0,""))</f>
        <v/>
      </c>
      <c r="AS121" s="369" t="str">
        <f ca="1">IF($B121&lt;&gt;"PRC_RESID","",IF(AS$7=2005+OFFSET(COM_N_2012!$B$60,$AW121,SUMIF($B$10:$B$16,"NCAP_TLIFE",$AX$10:$AX$16)),0,""))</f>
        <v/>
      </c>
      <c r="AT121" s="369" t="str">
        <f ca="1">IF($B121&lt;&gt;"PRC_RESID","",IF(AT$7=2005+OFFSET(COM_N_2012!$B$60,$AW121,SUMIF($B$10:$B$16,"NCAP_TLIFE",$AX$10:$AX$16)),0,""))</f>
        <v/>
      </c>
      <c r="AU121" s="369" t="str">
        <f ca="1">IF($B121&lt;&gt;"PRC_RESID","",IF(AU$7=2005+OFFSET(COM_N_2012!$B$60,$AW121,SUMIF($B$10:$B$16,"NCAP_TLIFE",$AX$10:$AX$16)),0,""))</f>
        <v/>
      </c>
      <c r="AV121" s="304">
        <f>IF(AW120=COM_N_2012!$AK$121,AV120+1,AV120)</f>
        <v>2</v>
      </c>
      <c r="AW121" s="304">
        <f t="shared" si="12"/>
        <v>43</v>
      </c>
    </row>
    <row r="122" spans="1:49">
      <c r="A122" s="304" t="str">
        <f ca="1">IF(LEFT(OFFSET(COM_N_2012!$A$60,AW122,0),2)="\I","*","")</f>
        <v/>
      </c>
      <c r="B122" s="369" t="str">
        <f t="shared" ca="1" si="11"/>
        <v>NCAP_BND</v>
      </c>
      <c r="C122" s="369" t="str">
        <f ca="1">IF($A122="*","",OFFSET(COM_N_2012!$B$60,AW122,0))</f>
        <v>CNGELCHPM-E</v>
      </c>
      <c r="D122" s="369" t="str">
        <f t="shared" ca="1" si="16"/>
        <v>-</v>
      </c>
      <c r="E122" s="369" t="str">
        <f t="shared" ca="1" si="16"/>
        <v>-</v>
      </c>
      <c r="F122" s="369" t="str">
        <f t="shared" ca="1" si="16"/>
        <v>-</v>
      </c>
      <c r="G122" s="369" t="str">
        <f t="shared" ca="1" si="16"/>
        <v>-</v>
      </c>
      <c r="H122" s="369" t="str">
        <f t="shared" ca="1" si="16"/>
        <v>UP</v>
      </c>
      <c r="I122" s="370">
        <f t="shared" ca="1" si="16"/>
        <v>0</v>
      </c>
      <c r="J122" s="391">
        <f ca="1">IF($A122="*","",OFFSET(COM_N_2012!$B$60,AW122,SUMIF($B$10:$B$16,B122,$AX$10:$AX$16)))</f>
        <v>0</v>
      </c>
      <c r="K122" s="369" t="str">
        <f ca="1">IF($B122&lt;&gt;"PRC_RESID","",IF(K$7=2005+OFFSET(COM_N_2012!$B$60,$AW122,SUMIF($B$10:$B$16,"NCAP_TLIFE",$AX$10:$AX$16)),0,""))</f>
        <v/>
      </c>
      <c r="L122" s="369" t="str">
        <f ca="1">IF($B122&lt;&gt;"PRC_RESID","",IF(L$7=2005+OFFSET(COM_N_2012!$B$60,$AW122,SUMIF($B$10:$B$16,"NCAP_TLIFE",$AX$10:$AX$16)),0,""))</f>
        <v/>
      </c>
      <c r="M122" s="369" t="str">
        <f ca="1">IF($B122&lt;&gt;"PRC_RESID","",IF(M$7=2005+OFFSET(COM_N_2012!$B$60,$AW122,SUMIF($B$10:$B$16,"NCAP_TLIFE",$AX$10:$AX$16)),0,""))</f>
        <v/>
      </c>
      <c r="N122" s="369" t="str">
        <f ca="1">IF($B122&lt;&gt;"PRC_RESID","",IF(N$7=2005+OFFSET(COM_N_2012!$B$60,$AW122,SUMIF($B$10:$B$16,"NCAP_TLIFE",$AX$10:$AX$16)),0,""))</f>
        <v/>
      </c>
      <c r="O122" s="369" t="str">
        <f ca="1">IF($B122&lt;&gt;"PRC_RESID","",IF(O$7=2005+OFFSET(COM_N_2012!$B$60,$AW122,SUMIF($B$10:$B$16,"NCAP_TLIFE",$AX$10:$AX$16)),0,""))</f>
        <v/>
      </c>
      <c r="P122" s="369" t="str">
        <f ca="1">IF($B122&lt;&gt;"PRC_RESID","",IF(P$7=2005+OFFSET(COM_N_2012!$B$60,$AW122,SUMIF($B$10:$B$16,"NCAP_TLIFE",$AX$10:$AX$16)),0,""))</f>
        <v/>
      </c>
      <c r="Q122" s="369" t="str">
        <f ca="1">IF($B122&lt;&gt;"PRC_RESID","",IF(Q$7=2005+OFFSET(COM_N_2012!$B$60,$AW122,SUMIF($B$10:$B$16,"NCAP_TLIFE",$AX$10:$AX$16)),0,""))</f>
        <v/>
      </c>
      <c r="R122" s="369" t="str">
        <f ca="1">IF($B122&lt;&gt;"PRC_RESID","",IF(R$7=2005+OFFSET(COM_N_2012!$B$60,$AW122,SUMIF($B$10:$B$16,"NCAP_TLIFE",$AX$10:$AX$16)),0,""))</f>
        <v/>
      </c>
      <c r="S122" s="369" t="str">
        <f ca="1">IF($B122&lt;&gt;"PRC_RESID","",IF(S$7=2005+OFFSET(COM_N_2012!$B$60,$AW122,SUMIF($B$10:$B$16,"NCAP_TLIFE",$AX$10:$AX$16)),0,""))</f>
        <v/>
      </c>
      <c r="T122" s="369" t="str">
        <f ca="1">IF($B122&lt;&gt;"PRC_RESID","",IF(T$7=2005+OFFSET(COM_N_2012!$B$60,$AW122,SUMIF($B$10:$B$16,"NCAP_TLIFE",$AX$10:$AX$16)),0,""))</f>
        <v/>
      </c>
      <c r="U122" s="369" t="str">
        <f ca="1">IF($B122&lt;&gt;"PRC_RESID","",IF(U$7=2005+OFFSET(COM_N_2012!$B$60,$AW122,SUMIF($B$10:$B$16,"NCAP_TLIFE",$AX$10:$AX$16)),0,""))</f>
        <v/>
      </c>
      <c r="V122" s="369" t="str">
        <f ca="1">IF($B122&lt;&gt;"PRC_RESID","",IF(V$7=2005+OFFSET(COM_N_2012!$B$60,$AW122,SUMIF($B$10:$B$16,"NCAP_TLIFE",$AX$10:$AX$16)),0,""))</f>
        <v/>
      </c>
      <c r="W122" s="369" t="str">
        <f ca="1">IF($B122&lt;&gt;"PRC_RESID","",IF(W$7=2005+OFFSET(COM_N_2012!$B$60,$AW122,SUMIF($B$10:$B$16,"NCAP_TLIFE",$AX$10:$AX$16)),0,""))</f>
        <v/>
      </c>
      <c r="X122" s="369" t="str">
        <f ca="1">IF($B122&lt;&gt;"PRC_RESID","",IF(X$7=2005+OFFSET(COM_N_2012!$B$60,$AW122,SUMIF($B$10:$B$16,"NCAP_TLIFE",$AX$10:$AX$16)),0,""))</f>
        <v/>
      </c>
      <c r="Y122" s="369" t="str">
        <f ca="1">IF($B122&lt;&gt;"PRC_RESID","",IF(Y$7=2005+OFFSET(COM_N_2012!$B$60,$AW122,SUMIF($B$10:$B$16,"NCAP_TLIFE",$AX$10:$AX$16)),0,""))</f>
        <v/>
      </c>
      <c r="Z122" s="369" t="str">
        <f ca="1">IF($B122&lt;&gt;"PRC_RESID","",IF(Z$7=2005+OFFSET(COM_N_2012!$B$60,$AW122,SUMIF($B$10:$B$16,"NCAP_TLIFE",$AX$10:$AX$16)),0,""))</f>
        <v/>
      </c>
      <c r="AA122" s="369" t="str">
        <f ca="1">IF($B122&lt;&gt;"PRC_RESID","",IF(AA$7=2005+OFFSET(COM_N_2012!$B$60,$AW122,SUMIF($B$10:$B$16,"NCAP_TLIFE",$AX$10:$AX$16)),0,""))</f>
        <v/>
      </c>
      <c r="AB122" s="369" t="str">
        <f ca="1">IF($B122&lt;&gt;"PRC_RESID","",IF(AB$7=2005+OFFSET(COM_N_2012!$B$60,$AW122,SUMIF($B$10:$B$16,"NCAP_TLIFE",$AX$10:$AX$16)),0,""))</f>
        <v/>
      </c>
      <c r="AC122" s="369" t="str">
        <f ca="1">IF($B122&lt;&gt;"PRC_RESID","",IF(AC$7=2005+OFFSET(COM_N_2012!$B$60,$AW122,SUMIF($B$10:$B$16,"NCAP_TLIFE",$AX$10:$AX$16)),0,""))</f>
        <v/>
      </c>
      <c r="AD122" s="369" t="str">
        <f ca="1">IF($B122&lt;&gt;"PRC_RESID","",IF(AD$7=2005+OFFSET(COM_N_2012!$B$60,$AW122,SUMIF($B$10:$B$16,"NCAP_TLIFE",$AX$10:$AX$16)),0,""))</f>
        <v/>
      </c>
      <c r="AE122" s="369" t="str">
        <f ca="1">IF($B122&lt;&gt;"PRC_RESID","",IF(AE$7=2005+OFFSET(COM_N_2012!$B$60,$AW122,SUMIF($B$10:$B$16,"NCAP_TLIFE",$AX$10:$AX$16)),0,""))</f>
        <v/>
      </c>
      <c r="AF122" s="369" t="str">
        <f ca="1">IF($B122&lt;&gt;"PRC_RESID","",IF(AF$7=2005+OFFSET(COM_N_2012!$B$60,$AW122,SUMIF($B$10:$B$16,"NCAP_TLIFE",$AX$10:$AX$16)),0,""))</f>
        <v/>
      </c>
      <c r="AG122" s="369" t="str">
        <f ca="1">IF($B122&lt;&gt;"PRC_RESID","",IF(AG$7=2005+OFFSET(COM_N_2012!$B$60,$AW122,SUMIF($B$10:$B$16,"NCAP_TLIFE",$AX$10:$AX$16)),0,""))</f>
        <v/>
      </c>
      <c r="AH122" s="369" t="str">
        <f ca="1">IF($B122&lt;&gt;"PRC_RESID","",IF(AH$7=2005+OFFSET(COM_N_2012!$B$60,$AW122,SUMIF($B$10:$B$16,"NCAP_TLIFE",$AX$10:$AX$16)),0,""))</f>
        <v/>
      </c>
      <c r="AI122" s="369" t="str">
        <f ca="1">IF($B122&lt;&gt;"PRC_RESID","",IF(AI$7=2005+OFFSET(COM_N_2012!$B$60,$AW122,SUMIF($B$10:$B$16,"NCAP_TLIFE",$AX$10:$AX$16)),0,""))</f>
        <v/>
      </c>
      <c r="AJ122" s="369" t="str">
        <f ca="1">IF($B122&lt;&gt;"PRC_RESID","",IF(AJ$7=2005+OFFSET(COM_N_2012!$B$60,$AW122,SUMIF($B$10:$B$16,"NCAP_TLIFE",$AX$10:$AX$16)),0,""))</f>
        <v/>
      </c>
      <c r="AK122" s="369" t="str">
        <f ca="1">IF($B122&lt;&gt;"PRC_RESID","",IF(AK$7=2005+OFFSET(COM_N_2012!$B$60,$AW122,SUMIF($B$10:$B$16,"NCAP_TLIFE",$AX$10:$AX$16)),0,""))</f>
        <v/>
      </c>
      <c r="AL122" s="369" t="str">
        <f ca="1">IF($B122&lt;&gt;"PRC_RESID","",IF(AL$7=2005+OFFSET(COM_N_2012!$B$60,$AW122,SUMIF($B$10:$B$16,"NCAP_TLIFE",$AX$10:$AX$16)),0,""))</f>
        <v/>
      </c>
      <c r="AM122" s="369" t="str">
        <f ca="1">IF($B122&lt;&gt;"PRC_RESID","",IF(AM$7=2005+OFFSET(COM_N_2012!$B$60,$AW122,SUMIF($B$10:$B$16,"NCAP_TLIFE",$AX$10:$AX$16)),0,""))</f>
        <v/>
      </c>
      <c r="AN122" s="369" t="str">
        <f ca="1">IF($B122&lt;&gt;"PRC_RESID","",IF(AN$7=2005+OFFSET(COM_N_2012!$B$60,$AW122,SUMIF($B$10:$B$16,"NCAP_TLIFE",$AX$10:$AX$16)),0,""))</f>
        <v/>
      </c>
      <c r="AO122" s="369" t="str">
        <f ca="1">IF($B122&lt;&gt;"PRC_RESID","",IF(AO$7=2005+OFFSET(COM_N_2012!$B$60,$AW122,SUMIF($B$10:$B$16,"NCAP_TLIFE",$AX$10:$AX$16)),0,""))</f>
        <v/>
      </c>
      <c r="AP122" s="369" t="str">
        <f ca="1">IF($B122&lt;&gt;"PRC_RESID","",IF(AP$7=2005+OFFSET(COM_N_2012!$B$60,$AW122,SUMIF($B$10:$B$16,"NCAP_TLIFE",$AX$10:$AX$16)),0,""))</f>
        <v/>
      </c>
      <c r="AQ122" s="369" t="str">
        <f ca="1">IF($B122&lt;&gt;"PRC_RESID","",IF(AQ$7=2005+OFFSET(COM_N_2012!$B$60,$AW122,SUMIF($B$10:$B$16,"NCAP_TLIFE",$AX$10:$AX$16)),0,""))</f>
        <v/>
      </c>
      <c r="AR122" s="369" t="str">
        <f ca="1">IF($B122&lt;&gt;"PRC_RESID","",IF(AR$7=2005+OFFSET(COM_N_2012!$B$60,$AW122,SUMIF($B$10:$B$16,"NCAP_TLIFE",$AX$10:$AX$16)),0,""))</f>
        <v/>
      </c>
      <c r="AS122" s="369" t="str">
        <f ca="1">IF($B122&lt;&gt;"PRC_RESID","",IF(AS$7=2005+OFFSET(COM_N_2012!$B$60,$AW122,SUMIF($B$10:$B$16,"NCAP_TLIFE",$AX$10:$AX$16)),0,""))</f>
        <v/>
      </c>
      <c r="AT122" s="369" t="str">
        <f ca="1">IF($B122&lt;&gt;"PRC_RESID","",IF(AT$7=2005+OFFSET(COM_N_2012!$B$60,$AW122,SUMIF($B$10:$B$16,"NCAP_TLIFE",$AX$10:$AX$16)),0,""))</f>
        <v/>
      </c>
      <c r="AU122" s="369" t="str">
        <f ca="1">IF($B122&lt;&gt;"PRC_RESID","",IF(AU$7=2005+OFFSET(COM_N_2012!$B$60,$AW122,SUMIF($B$10:$B$16,"NCAP_TLIFE",$AX$10:$AX$16)),0,""))</f>
        <v/>
      </c>
      <c r="AV122" s="304">
        <f>IF(AW121=COM_N_2012!$AK$121,AV121+1,AV121)</f>
        <v>2</v>
      </c>
      <c r="AW122" s="304">
        <f t="shared" si="12"/>
        <v>44</v>
      </c>
    </row>
    <row r="123" spans="1:49">
      <c r="A123" s="304" t="str">
        <f ca="1">IF(LEFT(OFFSET(COM_N_2012!$A$60,AW123,0),2)="\I","*","")</f>
        <v/>
      </c>
      <c r="B123" s="369" t="str">
        <f t="shared" ca="1" si="11"/>
        <v>NCAP_BND</v>
      </c>
      <c r="C123" s="369" t="str">
        <f ca="1">IF($A123="*","",OFFSET(COM_N_2012!$B$60,AW123,0))</f>
        <v>CNGELCHPS-E</v>
      </c>
      <c r="D123" s="369" t="str">
        <f t="shared" ca="1" si="16"/>
        <v>-</v>
      </c>
      <c r="E123" s="369" t="str">
        <f t="shared" ca="1" si="16"/>
        <v>-</v>
      </c>
      <c r="F123" s="369" t="str">
        <f t="shared" ca="1" si="16"/>
        <v>-</v>
      </c>
      <c r="G123" s="369" t="str">
        <f t="shared" ca="1" si="16"/>
        <v>-</v>
      </c>
      <c r="H123" s="369" t="str">
        <f t="shared" ca="1" si="16"/>
        <v>UP</v>
      </c>
      <c r="I123" s="370">
        <f t="shared" ca="1" si="16"/>
        <v>0</v>
      </c>
      <c r="J123" s="391">
        <f ca="1">IF($A123="*","",OFFSET(COM_N_2012!$B$60,AW123,SUMIF($B$10:$B$16,B123,$AX$10:$AX$16)))</f>
        <v>0</v>
      </c>
      <c r="K123" s="369" t="str">
        <f ca="1">IF($B123&lt;&gt;"PRC_RESID","",IF(K$7=2005+OFFSET(COM_N_2012!$B$60,$AW123,SUMIF($B$10:$B$16,"NCAP_TLIFE",$AX$10:$AX$16)),0,""))</f>
        <v/>
      </c>
      <c r="L123" s="369" t="str">
        <f ca="1">IF($B123&lt;&gt;"PRC_RESID","",IF(L$7=2005+OFFSET(COM_N_2012!$B$60,$AW123,SUMIF($B$10:$B$16,"NCAP_TLIFE",$AX$10:$AX$16)),0,""))</f>
        <v/>
      </c>
      <c r="M123" s="369" t="str">
        <f ca="1">IF($B123&lt;&gt;"PRC_RESID","",IF(M$7=2005+OFFSET(COM_N_2012!$B$60,$AW123,SUMIF($B$10:$B$16,"NCAP_TLIFE",$AX$10:$AX$16)),0,""))</f>
        <v/>
      </c>
      <c r="N123" s="369" t="str">
        <f ca="1">IF($B123&lt;&gt;"PRC_RESID","",IF(N$7=2005+OFFSET(COM_N_2012!$B$60,$AW123,SUMIF($B$10:$B$16,"NCAP_TLIFE",$AX$10:$AX$16)),0,""))</f>
        <v/>
      </c>
      <c r="O123" s="369" t="str">
        <f ca="1">IF($B123&lt;&gt;"PRC_RESID","",IF(O$7=2005+OFFSET(COM_N_2012!$B$60,$AW123,SUMIF($B$10:$B$16,"NCAP_TLIFE",$AX$10:$AX$16)),0,""))</f>
        <v/>
      </c>
      <c r="P123" s="369" t="str">
        <f ca="1">IF($B123&lt;&gt;"PRC_RESID","",IF(P$7=2005+OFFSET(COM_N_2012!$B$60,$AW123,SUMIF($B$10:$B$16,"NCAP_TLIFE",$AX$10:$AX$16)),0,""))</f>
        <v/>
      </c>
      <c r="Q123" s="369" t="str">
        <f ca="1">IF($B123&lt;&gt;"PRC_RESID","",IF(Q$7=2005+OFFSET(COM_N_2012!$B$60,$AW123,SUMIF($B$10:$B$16,"NCAP_TLIFE",$AX$10:$AX$16)),0,""))</f>
        <v/>
      </c>
      <c r="R123" s="369" t="str">
        <f ca="1">IF($B123&lt;&gt;"PRC_RESID","",IF(R$7=2005+OFFSET(COM_N_2012!$B$60,$AW123,SUMIF($B$10:$B$16,"NCAP_TLIFE",$AX$10:$AX$16)),0,""))</f>
        <v/>
      </c>
      <c r="S123" s="369" t="str">
        <f ca="1">IF($B123&lt;&gt;"PRC_RESID","",IF(S$7=2005+OFFSET(COM_N_2012!$B$60,$AW123,SUMIF($B$10:$B$16,"NCAP_TLIFE",$AX$10:$AX$16)),0,""))</f>
        <v/>
      </c>
      <c r="T123" s="369" t="str">
        <f ca="1">IF($B123&lt;&gt;"PRC_RESID","",IF(T$7=2005+OFFSET(COM_N_2012!$B$60,$AW123,SUMIF($B$10:$B$16,"NCAP_TLIFE",$AX$10:$AX$16)),0,""))</f>
        <v/>
      </c>
      <c r="U123" s="369" t="str">
        <f ca="1">IF($B123&lt;&gt;"PRC_RESID","",IF(U$7=2005+OFFSET(COM_N_2012!$B$60,$AW123,SUMIF($B$10:$B$16,"NCAP_TLIFE",$AX$10:$AX$16)),0,""))</f>
        <v/>
      </c>
      <c r="V123" s="369" t="str">
        <f ca="1">IF($B123&lt;&gt;"PRC_RESID","",IF(V$7=2005+OFFSET(COM_N_2012!$B$60,$AW123,SUMIF($B$10:$B$16,"NCAP_TLIFE",$AX$10:$AX$16)),0,""))</f>
        <v/>
      </c>
      <c r="W123" s="369" t="str">
        <f ca="1">IF($B123&lt;&gt;"PRC_RESID","",IF(W$7=2005+OFFSET(COM_N_2012!$B$60,$AW123,SUMIF($B$10:$B$16,"NCAP_TLIFE",$AX$10:$AX$16)),0,""))</f>
        <v/>
      </c>
      <c r="X123" s="369" t="str">
        <f ca="1">IF($B123&lt;&gt;"PRC_RESID","",IF(X$7=2005+OFFSET(COM_N_2012!$B$60,$AW123,SUMIF($B$10:$B$16,"NCAP_TLIFE",$AX$10:$AX$16)),0,""))</f>
        <v/>
      </c>
      <c r="Y123" s="369" t="str">
        <f ca="1">IF($B123&lt;&gt;"PRC_RESID","",IF(Y$7=2005+OFFSET(COM_N_2012!$B$60,$AW123,SUMIF($B$10:$B$16,"NCAP_TLIFE",$AX$10:$AX$16)),0,""))</f>
        <v/>
      </c>
      <c r="Z123" s="369" t="str">
        <f ca="1">IF($B123&lt;&gt;"PRC_RESID","",IF(Z$7=2005+OFFSET(COM_N_2012!$B$60,$AW123,SUMIF($B$10:$B$16,"NCAP_TLIFE",$AX$10:$AX$16)),0,""))</f>
        <v/>
      </c>
      <c r="AA123" s="369" t="str">
        <f ca="1">IF($B123&lt;&gt;"PRC_RESID","",IF(AA$7=2005+OFFSET(COM_N_2012!$B$60,$AW123,SUMIF($B$10:$B$16,"NCAP_TLIFE",$AX$10:$AX$16)),0,""))</f>
        <v/>
      </c>
      <c r="AB123" s="369" t="str">
        <f ca="1">IF($B123&lt;&gt;"PRC_RESID","",IF(AB$7=2005+OFFSET(COM_N_2012!$B$60,$AW123,SUMIF($B$10:$B$16,"NCAP_TLIFE",$AX$10:$AX$16)),0,""))</f>
        <v/>
      </c>
      <c r="AC123" s="369" t="str">
        <f ca="1">IF($B123&lt;&gt;"PRC_RESID","",IF(AC$7=2005+OFFSET(COM_N_2012!$B$60,$AW123,SUMIF($B$10:$B$16,"NCAP_TLIFE",$AX$10:$AX$16)),0,""))</f>
        <v/>
      </c>
      <c r="AD123" s="369" t="str">
        <f ca="1">IF($B123&lt;&gt;"PRC_RESID","",IF(AD$7=2005+OFFSET(COM_N_2012!$B$60,$AW123,SUMIF($B$10:$B$16,"NCAP_TLIFE",$AX$10:$AX$16)),0,""))</f>
        <v/>
      </c>
      <c r="AE123" s="369" t="str">
        <f ca="1">IF($B123&lt;&gt;"PRC_RESID","",IF(AE$7=2005+OFFSET(COM_N_2012!$B$60,$AW123,SUMIF($B$10:$B$16,"NCAP_TLIFE",$AX$10:$AX$16)),0,""))</f>
        <v/>
      </c>
      <c r="AF123" s="369" t="str">
        <f ca="1">IF($B123&lt;&gt;"PRC_RESID","",IF(AF$7=2005+OFFSET(COM_N_2012!$B$60,$AW123,SUMIF($B$10:$B$16,"NCAP_TLIFE",$AX$10:$AX$16)),0,""))</f>
        <v/>
      </c>
      <c r="AG123" s="369" t="str">
        <f ca="1">IF($B123&lt;&gt;"PRC_RESID","",IF(AG$7=2005+OFFSET(COM_N_2012!$B$60,$AW123,SUMIF($B$10:$B$16,"NCAP_TLIFE",$AX$10:$AX$16)),0,""))</f>
        <v/>
      </c>
      <c r="AH123" s="369" t="str">
        <f ca="1">IF($B123&lt;&gt;"PRC_RESID","",IF(AH$7=2005+OFFSET(COM_N_2012!$B$60,$AW123,SUMIF($B$10:$B$16,"NCAP_TLIFE",$AX$10:$AX$16)),0,""))</f>
        <v/>
      </c>
      <c r="AI123" s="369" t="str">
        <f ca="1">IF($B123&lt;&gt;"PRC_RESID","",IF(AI$7=2005+OFFSET(COM_N_2012!$B$60,$AW123,SUMIF($B$10:$B$16,"NCAP_TLIFE",$AX$10:$AX$16)),0,""))</f>
        <v/>
      </c>
      <c r="AJ123" s="369" t="str">
        <f ca="1">IF($B123&lt;&gt;"PRC_RESID","",IF(AJ$7=2005+OFFSET(COM_N_2012!$B$60,$AW123,SUMIF($B$10:$B$16,"NCAP_TLIFE",$AX$10:$AX$16)),0,""))</f>
        <v/>
      </c>
      <c r="AK123" s="369" t="str">
        <f ca="1">IF($B123&lt;&gt;"PRC_RESID","",IF(AK$7=2005+OFFSET(COM_N_2012!$B$60,$AW123,SUMIF($B$10:$B$16,"NCAP_TLIFE",$AX$10:$AX$16)),0,""))</f>
        <v/>
      </c>
      <c r="AL123" s="369" t="str">
        <f ca="1">IF($B123&lt;&gt;"PRC_RESID","",IF(AL$7=2005+OFFSET(COM_N_2012!$B$60,$AW123,SUMIF($B$10:$B$16,"NCAP_TLIFE",$AX$10:$AX$16)),0,""))</f>
        <v/>
      </c>
      <c r="AM123" s="369" t="str">
        <f ca="1">IF($B123&lt;&gt;"PRC_RESID","",IF(AM$7=2005+OFFSET(COM_N_2012!$B$60,$AW123,SUMIF($B$10:$B$16,"NCAP_TLIFE",$AX$10:$AX$16)),0,""))</f>
        <v/>
      </c>
      <c r="AN123" s="369" t="str">
        <f ca="1">IF($B123&lt;&gt;"PRC_RESID","",IF(AN$7=2005+OFFSET(COM_N_2012!$B$60,$AW123,SUMIF($B$10:$B$16,"NCAP_TLIFE",$AX$10:$AX$16)),0,""))</f>
        <v/>
      </c>
      <c r="AO123" s="369" t="str">
        <f ca="1">IF($B123&lt;&gt;"PRC_RESID","",IF(AO$7=2005+OFFSET(COM_N_2012!$B$60,$AW123,SUMIF($B$10:$B$16,"NCAP_TLIFE",$AX$10:$AX$16)),0,""))</f>
        <v/>
      </c>
      <c r="AP123" s="369" t="str">
        <f ca="1">IF($B123&lt;&gt;"PRC_RESID","",IF(AP$7=2005+OFFSET(COM_N_2012!$B$60,$AW123,SUMIF($B$10:$B$16,"NCAP_TLIFE",$AX$10:$AX$16)),0,""))</f>
        <v/>
      </c>
      <c r="AQ123" s="369" t="str">
        <f ca="1">IF($B123&lt;&gt;"PRC_RESID","",IF(AQ$7=2005+OFFSET(COM_N_2012!$B$60,$AW123,SUMIF($B$10:$B$16,"NCAP_TLIFE",$AX$10:$AX$16)),0,""))</f>
        <v/>
      </c>
      <c r="AR123" s="369" t="str">
        <f ca="1">IF($B123&lt;&gt;"PRC_RESID","",IF(AR$7=2005+OFFSET(COM_N_2012!$B$60,$AW123,SUMIF($B$10:$B$16,"NCAP_TLIFE",$AX$10:$AX$16)),0,""))</f>
        <v/>
      </c>
      <c r="AS123" s="369" t="str">
        <f ca="1">IF($B123&lt;&gt;"PRC_RESID","",IF(AS$7=2005+OFFSET(COM_N_2012!$B$60,$AW123,SUMIF($B$10:$B$16,"NCAP_TLIFE",$AX$10:$AX$16)),0,""))</f>
        <v/>
      </c>
      <c r="AT123" s="369" t="str">
        <f ca="1">IF($B123&lt;&gt;"PRC_RESID","",IF(AT$7=2005+OFFSET(COM_N_2012!$B$60,$AW123,SUMIF($B$10:$B$16,"NCAP_TLIFE",$AX$10:$AX$16)),0,""))</f>
        <v/>
      </c>
      <c r="AU123" s="369" t="str">
        <f ca="1">IF($B123&lt;&gt;"PRC_RESID","",IF(AU$7=2005+OFFSET(COM_N_2012!$B$60,$AW123,SUMIF($B$10:$B$16,"NCAP_TLIFE",$AX$10:$AX$16)),0,""))</f>
        <v/>
      </c>
      <c r="AV123" s="304">
        <f>IF(AW122=COM_N_2012!$AK$121,AV122+1,AV122)</f>
        <v>2</v>
      </c>
      <c r="AW123" s="304">
        <f t="shared" si="12"/>
        <v>45</v>
      </c>
    </row>
    <row r="124" spans="1:49">
      <c r="A124" s="304" t="str">
        <f ca="1">IF(LEFT(OFFSET(COM_N_2012!$A$60,AW124,0),2)="\I","*","")</f>
        <v/>
      </c>
      <c r="B124" s="369" t="str">
        <f t="shared" ca="1" si="11"/>
        <v>NCAP_BND</v>
      </c>
      <c r="C124" s="369" t="str">
        <f ca="1">IF($A124="*","",OFFSET(COM_N_2012!$B$60,AW124,0))</f>
        <v>CNGELCMHL-E</v>
      </c>
      <c r="D124" s="369" t="str">
        <f t="shared" ca="1" si="16"/>
        <v>-</v>
      </c>
      <c r="E124" s="369" t="str">
        <f t="shared" ca="1" si="16"/>
        <v>-</v>
      </c>
      <c r="F124" s="369" t="str">
        <f t="shared" ca="1" si="16"/>
        <v>-</v>
      </c>
      <c r="G124" s="369" t="str">
        <f t="shared" ca="1" si="16"/>
        <v>-</v>
      </c>
      <c r="H124" s="369" t="str">
        <f t="shared" ca="1" si="16"/>
        <v>UP</v>
      </c>
      <c r="I124" s="370">
        <f t="shared" ca="1" si="16"/>
        <v>0</v>
      </c>
      <c r="J124" s="391">
        <f ca="1">IF($A124="*","",OFFSET(COM_N_2012!$B$60,AW124,SUMIF($B$10:$B$16,B124,$AX$10:$AX$16)))</f>
        <v>0</v>
      </c>
      <c r="K124" s="369" t="str">
        <f ca="1">IF($B124&lt;&gt;"PRC_RESID","",IF(K$7=2005+OFFSET(COM_N_2012!$B$60,$AW124,SUMIF($B$10:$B$16,"NCAP_TLIFE",$AX$10:$AX$16)),0,""))</f>
        <v/>
      </c>
      <c r="L124" s="369" t="str">
        <f ca="1">IF($B124&lt;&gt;"PRC_RESID","",IF(L$7=2005+OFFSET(COM_N_2012!$B$60,$AW124,SUMIF($B$10:$B$16,"NCAP_TLIFE",$AX$10:$AX$16)),0,""))</f>
        <v/>
      </c>
      <c r="M124" s="369" t="str">
        <f ca="1">IF($B124&lt;&gt;"PRC_RESID","",IF(M$7=2005+OFFSET(COM_N_2012!$B$60,$AW124,SUMIF($B$10:$B$16,"NCAP_TLIFE",$AX$10:$AX$16)),0,""))</f>
        <v/>
      </c>
      <c r="N124" s="369" t="str">
        <f ca="1">IF($B124&lt;&gt;"PRC_RESID","",IF(N$7=2005+OFFSET(COM_N_2012!$B$60,$AW124,SUMIF($B$10:$B$16,"NCAP_TLIFE",$AX$10:$AX$16)),0,""))</f>
        <v/>
      </c>
      <c r="O124" s="369" t="str">
        <f ca="1">IF($B124&lt;&gt;"PRC_RESID","",IF(O$7=2005+OFFSET(COM_N_2012!$B$60,$AW124,SUMIF($B$10:$B$16,"NCAP_TLIFE",$AX$10:$AX$16)),0,""))</f>
        <v/>
      </c>
      <c r="P124" s="369" t="str">
        <f ca="1">IF($B124&lt;&gt;"PRC_RESID","",IF(P$7=2005+OFFSET(COM_N_2012!$B$60,$AW124,SUMIF($B$10:$B$16,"NCAP_TLIFE",$AX$10:$AX$16)),0,""))</f>
        <v/>
      </c>
      <c r="Q124" s="369" t="str">
        <f ca="1">IF($B124&lt;&gt;"PRC_RESID","",IF(Q$7=2005+OFFSET(COM_N_2012!$B$60,$AW124,SUMIF($B$10:$B$16,"NCAP_TLIFE",$AX$10:$AX$16)),0,""))</f>
        <v/>
      </c>
      <c r="R124" s="369" t="str">
        <f ca="1">IF($B124&lt;&gt;"PRC_RESID","",IF(R$7=2005+OFFSET(COM_N_2012!$B$60,$AW124,SUMIF($B$10:$B$16,"NCAP_TLIFE",$AX$10:$AX$16)),0,""))</f>
        <v/>
      </c>
      <c r="S124" s="369" t="str">
        <f ca="1">IF($B124&lt;&gt;"PRC_RESID","",IF(S$7=2005+OFFSET(COM_N_2012!$B$60,$AW124,SUMIF($B$10:$B$16,"NCAP_TLIFE",$AX$10:$AX$16)),0,""))</f>
        <v/>
      </c>
      <c r="T124" s="369" t="str">
        <f ca="1">IF($B124&lt;&gt;"PRC_RESID","",IF(T$7=2005+OFFSET(COM_N_2012!$B$60,$AW124,SUMIF($B$10:$B$16,"NCAP_TLIFE",$AX$10:$AX$16)),0,""))</f>
        <v/>
      </c>
      <c r="U124" s="369" t="str">
        <f ca="1">IF($B124&lt;&gt;"PRC_RESID","",IF(U$7=2005+OFFSET(COM_N_2012!$B$60,$AW124,SUMIF($B$10:$B$16,"NCAP_TLIFE",$AX$10:$AX$16)),0,""))</f>
        <v/>
      </c>
      <c r="V124" s="369" t="str">
        <f ca="1">IF($B124&lt;&gt;"PRC_RESID","",IF(V$7=2005+OFFSET(COM_N_2012!$B$60,$AW124,SUMIF($B$10:$B$16,"NCAP_TLIFE",$AX$10:$AX$16)),0,""))</f>
        <v/>
      </c>
      <c r="W124" s="369" t="str">
        <f ca="1">IF($B124&lt;&gt;"PRC_RESID","",IF(W$7=2005+OFFSET(COM_N_2012!$B$60,$AW124,SUMIF($B$10:$B$16,"NCAP_TLIFE",$AX$10:$AX$16)),0,""))</f>
        <v/>
      </c>
      <c r="X124" s="369" t="str">
        <f ca="1">IF($B124&lt;&gt;"PRC_RESID","",IF(X$7=2005+OFFSET(COM_N_2012!$B$60,$AW124,SUMIF($B$10:$B$16,"NCAP_TLIFE",$AX$10:$AX$16)),0,""))</f>
        <v/>
      </c>
      <c r="Y124" s="369" t="str">
        <f ca="1">IF($B124&lt;&gt;"PRC_RESID","",IF(Y$7=2005+OFFSET(COM_N_2012!$B$60,$AW124,SUMIF($B$10:$B$16,"NCAP_TLIFE",$AX$10:$AX$16)),0,""))</f>
        <v/>
      </c>
      <c r="Z124" s="369" t="str">
        <f ca="1">IF($B124&lt;&gt;"PRC_RESID","",IF(Z$7=2005+OFFSET(COM_N_2012!$B$60,$AW124,SUMIF($B$10:$B$16,"NCAP_TLIFE",$AX$10:$AX$16)),0,""))</f>
        <v/>
      </c>
      <c r="AA124" s="369" t="str">
        <f ca="1">IF($B124&lt;&gt;"PRC_RESID","",IF(AA$7=2005+OFFSET(COM_N_2012!$B$60,$AW124,SUMIF($B$10:$B$16,"NCAP_TLIFE",$AX$10:$AX$16)),0,""))</f>
        <v/>
      </c>
      <c r="AB124" s="369" t="str">
        <f ca="1">IF($B124&lt;&gt;"PRC_RESID","",IF(AB$7=2005+OFFSET(COM_N_2012!$B$60,$AW124,SUMIF($B$10:$B$16,"NCAP_TLIFE",$AX$10:$AX$16)),0,""))</f>
        <v/>
      </c>
      <c r="AC124" s="369" t="str">
        <f ca="1">IF($B124&lt;&gt;"PRC_RESID","",IF(AC$7=2005+OFFSET(COM_N_2012!$B$60,$AW124,SUMIF($B$10:$B$16,"NCAP_TLIFE",$AX$10:$AX$16)),0,""))</f>
        <v/>
      </c>
      <c r="AD124" s="369" t="str">
        <f ca="1">IF($B124&lt;&gt;"PRC_RESID","",IF(AD$7=2005+OFFSET(COM_N_2012!$B$60,$AW124,SUMIF($B$10:$B$16,"NCAP_TLIFE",$AX$10:$AX$16)),0,""))</f>
        <v/>
      </c>
      <c r="AE124" s="369" t="str">
        <f ca="1">IF($B124&lt;&gt;"PRC_RESID","",IF(AE$7=2005+OFFSET(COM_N_2012!$B$60,$AW124,SUMIF($B$10:$B$16,"NCAP_TLIFE",$AX$10:$AX$16)),0,""))</f>
        <v/>
      </c>
      <c r="AF124" s="369" t="str">
        <f ca="1">IF($B124&lt;&gt;"PRC_RESID","",IF(AF$7=2005+OFFSET(COM_N_2012!$B$60,$AW124,SUMIF($B$10:$B$16,"NCAP_TLIFE",$AX$10:$AX$16)),0,""))</f>
        <v/>
      </c>
      <c r="AG124" s="369" t="str">
        <f ca="1">IF($B124&lt;&gt;"PRC_RESID","",IF(AG$7=2005+OFFSET(COM_N_2012!$B$60,$AW124,SUMIF($B$10:$B$16,"NCAP_TLIFE",$AX$10:$AX$16)),0,""))</f>
        <v/>
      </c>
      <c r="AH124" s="369" t="str">
        <f ca="1">IF($B124&lt;&gt;"PRC_RESID","",IF(AH$7=2005+OFFSET(COM_N_2012!$B$60,$AW124,SUMIF($B$10:$B$16,"NCAP_TLIFE",$AX$10:$AX$16)),0,""))</f>
        <v/>
      </c>
      <c r="AI124" s="369" t="str">
        <f ca="1">IF($B124&lt;&gt;"PRC_RESID","",IF(AI$7=2005+OFFSET(COM_N_2012!$B$60,$AW124,SUMIF($B$10:$B$16,"NCAP_TLIFE",$AX$10:$AX$16)),0,""))</f>
        <v/>
      </c>
      <c r="AJ124" s="369" t="str">
        <f ca="1">IF($B124&lt;&gt;"PRC_RESID","",IF(AJ$7=2005+OFFSET(COM_N_2012!$B$60,$AW124,SUMIF($B$10:$B$16,"NCAP_TLIFE",$AX$10:$AX$16)),0,""))</f>
        <v/>
      </c>
      <c r="AK124" s="369" t="str">
        <f ca="1">IF($B124&lt;&gt;"PRC_RESID","",IF(AK$7=2005+OFFSET(COM_N_2012!$B$60,$AW124,SUMIF($B$10:$B$16,"NCAP_TLIFE",$AX$10:$AX$16)),0,""))</f>
        <v/>
      </c>
      <c r="AL124" s="369" t="str">
        <f ca="1">IF($B124&lt;&gt;"PRC_RESID","",IF(AL$7=2005+OFFSET(COM_N_2012!$B$60,$AW124,SUMIF($B$10:$B$16,"NCAP_TLIFE",$AX$10:$AX$16)),0,""))</f>
        <v/>
      </c>
      <c r="AM124" s="369" t="str">
        <f ca="1">IF($B124&lt;&gt;"PRC_RESID","",IF(AM$7=2005+OFFSET(COM_N_2012!$B$60,$AW124,SUMIF($B$10:$B$16,"NCAP_TLIFE",$AX$10:$AX$16)),0,""))</f>
        <v/>
      </c>
      <c r="AN124" s="369" t="str">
        <f ca="1">IF($B124&lt;&gt;"PRC_RESID","",IF(AN$7=2005+OFFSET(COM_N_2012!$B$60,$AW124,SUMIF($B$10:$B$16,"NCAP_TLIFE",$AX$10:$AX$16)),0,""))</f>
        <v/>
      </c>
      <c r="AO124" s="369" t="str">
        <f ca="1">IF($B124&lt;&gt;"PRC_RESID","",IF(AO$7=2005+OFFSET(COM_N_2012!$B$60,$AW124,SUMIF($B$10:$B$16,"NCAP_TLIFE",$AX$10:$AX$16)),0,""))</f>
        <v/>
      </c>
      <c r="AP124" s="369" t="str">
        <f ca="1">IF($B124&lt;&gt;"PRC_RESID","",IF(AP$7=2005+OFFSET(COM_N_2012!$B$60,$AW124,SUMIF($B$10:$B$16,"NCAP_TLIFE",$AX$10:$AX$16)),0,""))</f>
        <v/>
      </c>
      <c r="AQ124" s="369" t="str">
        <f ca="1">IF($B124&lt;&gt;"PRC_RESID","",IF(AQ$7=2005+OFFSET(COM_N_2012!$B$60,$AW124,SUMIF($B$10:$B$16,"NCAP_TLIFE",$AX$10:$AX$16)),0,""))</f>
        <v/>
      </c>
      <c r="AR124" s="369" t="str">
        <f ca="1">IF($B124&lt;&gt;"PRC_RESID","",IF(AR$7=2005+OFFSET(COM_N_2012!$B$60,$AW124,SUMIF($B$10:$B$16,"NCAP_TLIFE",$AX$10:$AX$16)),0,""))</f>
        <v/>
      </c>
      <c r="AS124" s="369" t="str">
        <f ca="1">IF($B124&lt;&gt;"PRC_RESID","",IF(AS$7=2005+OFFSET(COM_N_2012!$B$60,$AW124,SUMIF($B$10:$B$16,"NCAP_TLIFE",$AX$10:$AX$16)),0,""))</f>
        <v/>
      </c>
      <c r="AT124" s="369" t="str">
        <f ca="1">IF($B124&lt;&gt;"PRC_RESID","",IF(AT$7=2005+OFFSET(COM_N_2012!$B$60,$AW124,SUMIF($B$10:$B$16,"NCAP_TLIFE",$AX$10:$AX$16)),0,""))</f>
        <v/>
      </c>
      <c r="AU124" s="369" t="str">
        <f ca="1">IF($B124&lt;&gt;"PRC_RESID","",IF(AU$7=2005+OFFSET(COM_N_2012!$B$60,$AW124,SUMIF($B$10:$B$16,"NCAP_TLIFE",$AX$10:$AX$16)),0,""))</f>
        <v/>
      </c>
      <c r="AV124" s="304">
        <f>IF(AW123=COM_N_2012!$AK$121,AV123+1,AV123)</f>
        <v>2</v>
      </c>
      <c r="AW124" s="304">
        <f t="shared" si="12"/>
        <v>46</v>
      </c>
    </row>
    <row r="125" spans="1:49">
      <c r="A125" s="304" t="str">
        <f ca="1">IF(LEFT(OFFSET(COM_N_2012!$A$60,AW125,0),2)="\I","*","")</f>
        <v/>
      </c>
      <c r="B125" s="369" t="str">
        <f t="shared" ca="1" si="11"/>
        <v>NCAP_BND</v>
      </c>
      <c r="C125" s="369" t="str">
        <f ca="1">IF($A125="*","",OFFSET(COM_N_2012!$B$60,AW125,0))</f>
        <v>CNGELCLED-N</v>
      </c>
      <c r="D125" s="369" t="str">
        <f t="shared" ca="1" si="16"/>
        <v>-</v>
      </c>
      <c r="E125" s="369" t="str">
        <f t="shared" ca="1" si="16"/>
        <v>-</v>
      </c>
      <c r="F125" s="369" t="str">
        <f t="shared" ca="1" si="16"/>
        <v>-</v>
      </c>
      <c r="G125" s="369" t="str">
        <f t="shared" ca="1" si="16"/>
        <v>-</v>
      </c>
      <c r="H125" s="369" t="str">
        <f t="shared" ca="1" si="16"/>
        <v>UP</v>
      </c>
      <c r="I125" s="370">
        <f t="shared" ca="1" si="16"/>
        <v>0</v>
      </c>
      <c r="J125" s="391">
        <f ca="1">IF($A125="*","",OFFSET(COM_N_2012!$B$60,AW125,SUMIF($B$10:$B$16,B125,$AX$10:$AX$16)))</f>
        <v>0</v>
      </c>
      <c r="K125" s="369" t="str">
        <f ca="1">IF($B125&lt;&gt;"PRC_RESID","",IF(K$7=2005+OFFSET(COM_N_2012!$B$60,$AW125,SUMIF($B$10:$B$16,"NCAP_TLIFE",$AX$10:$AX$16)),0,""))</f>
        <v/>
      </c>
      <c r="L125" s="369" t="str">
        <f ca="1">IF($B125&lt;&gt;"PRC_RESID","",IF(L$7=2005+OFFSET(COM_N_2012!$B$60,$AW125,SUMIF($B$10:$B$16,"NCAP_TLIFE",$AX$10:$AX$16)),0,""))</f>
        <v/>
      </c>
      <c r="M125" s="369" t="str">
        <f ca="1">IF($B125&lt;&gt;"PRC_RESID","",IF(M$7=2005+OFFSET(COM_N_2012!$B$60,$AW125,SUMIF($B$10:$B$16,"NCAP_TLIFE",$AX$10:$AX$16)),0,""))</f>
        <v/>
      </c>
      <c r="N125" s="369" t="str">
        <f ca="1">IF($B125&lt;&gt;"PRC_RESID","",IF(N$7=2005+OFFSET(COM_N_2012!$B$60,$AW125,SUMIF($B$10:$B$16,"NCAP_TLIFE",$AX$10:$AX$16)),0,""))</f>
        <v/>
      </c>
      <c r="O125" s="369" t="str">
        <f ca="1">IF($B125&lt;&gt;"PRC_RESID","",IF(O$7=2005+OFFSET(COM_N_2012!$B$60,$AW125,SUMIF($B$10:$B$16,"NCAP_TLIFE",$AX$10:$AX$16)),0,""))</f>
        <v/>
      </c>
      <c r="P125" s="369" t="str">
        <f ca="1">IF($B125&lt;&gt;"PRC_RESID","",IF(P$7=2005+OFFSET(COM_N_2012!$B$60,$AW125,SUMIF($B$10:$B$16,"NCAP_TLIFE",$AX$10:$AX$16)),0,""))</f>
        <v/>
      </c>
      <c r="Q125" s="369" t="str">
        <f ca="1">IF($B125&lt;&gt;"PRC_RESID","",IF(Q$7=2005+OFFSET(COM_N_2012!$B$60,$AW125,SUMIF($B$10:$B$16,"NCAP_TLIFE",$AX$10:$AX$16)),0,""))</f>
        <v/>
      </c>
      <c r="R125" s="369" t="str">
        <f ca="1">IF($B125&lt;&gt;"PRC_RESID","",IF(R$7=2005+OFFSET(COM_N_2012!$B$60,$AW125,SUMIF($B$10:$B$16,"NCAP_TLIFE",$AX$10:$AX$16)),0,""))</f>
        <v/>
      </c>
      <c r="S125" s="369" t="str">
        <f ca="1">IF($B125&lt;&gt;"PRC_RESID","",IF(S$7=2005+OFFSET(COM_N_2012!$B$60,$AW125,SUMIF($B$10:$B$16,"NCAP_TLIFE",$AX$10:$AX$16)),0,""))</f>
        <v/>
      </c>
      <c r="T125" s="369" t="str">
        <f ca="1">IF($B125&lt;&gt;"PRC_RESID","",IF(T$7=2005+OFFSET(COM_N_2012!$B$60,$AW125,SUMIF($B$10:$B$16,"NCAP_TLIFE",$AX$10:$AX$16)),0,""))</f>
        <v/>
      </c>
      <c r="U125" s="369" t="str">
        <f ca="1">IF($B125&lt;&gt;"PRC_RESID","",IF(U$7=2005+OFFSET(COM_N_2012!$B$60,$AW125,SUMIF($B$10:$B$16,"NCAP_TLIFE",$AX$10:$AX$16)),0,""))</f>
        <v/>
      </c>
      <c r="V125" s="369" t="str">
        <f ca="1">IF($B125&lt;&gt;"PRC_RESID","",IF(V$7=2005+OFFSET(COM_N_2012!$B$60,$AW125,SUMIF($B$10:$B$16,"NCAP_TLIFE",$AX$10:$AX$16)),0,""))</f>
        <v/>
      </c>
      <c r="W125" s="369" t="str">
        <f ca="1">IF($B125&lt;&gt;"PRC_RESID","",IF(W$7=2005+OFFSET(COM_N_2012!$B$60,$AW125,SUMIF($B$10:$B$16,"NCAP_TLIFE",$AX$10:$AX$16)),0,""))</f>
        <v/>
      </c>
      <c r="X125" s="369" t="str">
        <f ca="1">IF($B125&lt;&gt;"PRC_RESID","",IF(X$7=2005+OFFSET(COM_N_2012!$B$60,$AW125,SUMIF($B$10:$B$16,"NCAP_TLIFE",$AX$10:$AX$16)),0,""))</f>
        <v/>
      </c>
      <c r="Y125" s="369" t="str">
        <f ca="1">IF($B125&lt;&gt;"PRC_RESID","",IF(Y$7=2005+OFFSET(COM_N_2012!$B$60,$AW125,SUMIF($B$10:$B$16,"NCAP_TLIFE",$AX$10:$AX$16)),0,""))</f>
        <v/>
      </c>
      <c r="Z125" s="369" t="str">
        <f ca="1">IF($B125&lt;&gt;"PRC_RESID","",IF(Z$7=2005+OFFSET(COM_N_2012!$B$60,$AW125,SUMIF($B$10:$B$16,"NCAP_TLIFE",$AX$10:$AX$16)),0,""))</f>
        <v/>
      </c>
      <c r="AA125" s="369" t="str">
        <f ca="1">IF($B125&lt;&gt;"PRC_RESID","",IF(AA$7=2005+OFFSET(COM_N_2012!$B$60,$AW125,SUMIF($B$10:$B$16,"NCAP_TLIFE",$AX$10:$AX$16)),0,""))</f>
        <v/>
      </c>
      <c r="AB125" s="369" t="str">
        <f ca="1">IF($B125&lt;&gt;"PRC_RESID","",IF(AB$7=2005+OFFSET(COM_N_2012!$B$60,$AW125,SUMIF($B$10:$B$16,"NCAP_TLIFE",$AX$10:$AX$16)),0,""))</f>
        <v/>
      </c>
      <c r="AC125" s="369" t="str">
        <f ca="1">IF($B125&lt;&gt;"PRC_RESID","",IF(AC$7=2005+OFFSET(COM_N_2012!$B$60,$AW125,SUMIF($B$10:$B$16,"NCAP_TLIFE",$AX$10:$AX$16)),0,""))</f>
        <v/>
      </c>
      <c r="AD125" s="369" t="str">
        <f ca="1">IF($B125&lt;&gt;"PRC_RESID","",IF(AD$7=2005+OFFSET(COM_N_2012!$B$60,$AW125,SUMIF($B$10:$B$16,"NCAP_TLIFE",$AX$10:$AX$16)),0,""))</f>
        <v/>
      </c>
      <c r="AE125" s="369" t="str">
        <f ca="1">IF($B125&lt;&gt;"PRC_RESID","",IF(AE$7=2005+OFFSET(COM_N_2012!$B$60,$AW125,SUMIF($B$10:$B$16,"NCAP_TLIFE",$AX$10:$AX$16)),0,""))</f>
        <v/>
      </c>
      <c r="AF125" s="369" t="str">
        <f ca="1">IF($B125&lt;&gt;"PRC_RESID","",IF(AF$7=2005+OFFSET(COM_N_2012!$B$60,$AW125,SUMIF($B$10:$B$16,"NCAP_TLIFE",$AX$10:$AX$16)),0,""))</f>
        <v/>
      </c>
      <c r="AG125" s="369" t="str">
        <f ca="1">IF($B125&lt;&gt;"PRC_RESID","",IF(AG$7=2005+OFFSET(COM_N_2012!$B$60,$AW125,SUMIF($B$10:$B$16,"NCAP_TLIFE",$AX$10:$AX$16)),0,""))</f>
        <v/>
      </c>
      <c r="AH125" s="369" t="str">
        <f ca="1">IF($B125&lt;&gt;"PRC_RESID","",IF(AH$7=2005+OFFSET(COM_N_2012!$B$60,$AW125,SUMIF($B$10:$B$16,"NCAP_TLIFE",$AX$10:$AX$16)),0,""))</f>
        <v/>
      </c>
      <c r="AI125" s="369" t="str">
        <f ca="1">IF($B125&lt;&gt;"PRC_RESID","",IF(AI$7=2005+OFFSET(COM_N_2012!$B$60,$AW125,SUMIF($B$10:$B$16,"NCAP_TLIFE",$AX$10:$AX$16)),0,""))</f>
        <v/>
      </c>
      <c r="AJ125" s="369" t="str">
        <f ca="1">IF($B125&lt;&gt;"PRC_RESID","",IF(AJ$7=2005+OFFSET(COM_N_2012!$B$60,$AW125,SUMIF($B$10:$B$16,"NCAP_TLIFE",$AX$10:$AX$16)),0,""))</f>
        <v/>
      </c>
      <c r="AK125" s="369" t="str">
        <f ca="1">IF($B125&lt;&gt;"PRC_RESID","",IF(AK$7=2005+OFFSET(COM_N_2012!$B$60,$AW125,SUMIF($B$10:$B$16,"NCAP_TLIFE",$AX$10:$AX$16)),0,""))</f>
        <v/>
      </c>
      <c r="AL125" s="369" t="str">
        <f ca="1">IF($B125&lt;&gt;"PRC_RESID","",IF(AL$7=2005+OFFSET(COM_N_2012!$B$60,$AW125,SUMIF($B$10:$B$16,"NCAP_TLIFE",$AX$10:$AX$16)),0,""))</f>
        <v/>
      </c>
      <c r="AM125" s="369" t="str">
        <f ca="1">IF($B125&lt;&gt;"PRC_RESID","",IF(AM$7=2005+OFFSET(COM_N_2012!$B$60,$AW125,SUMIF($B$10:$B$16,"NCAP_TLIFE",$AX$10:$AX$16)),0,""))</f>
        <v/>
      </c>
      <c r="AN125" s="369" t="str">
        <f ca="1">IF($B125&lt;&gt;"PRC_RESID","",IF(AN$7=2005+OFFSET(COM_N_2012!$B$60,$AW125,SUMIF($B$10:$B$16,"NCAP_TLIFE",$AX$10:$AX$16)),0,""))</f>
        <v/>
      </c>
      <c r="AO125" s="369" t="str">
        <f ca="1">IF($B125&lt;&gt;"PRC_RESID","",IF(AO$7=2005+OFFSET(COM_N_2012!$B$60,$AW125,SUMIF($B$10:$B$16,"NCAP_TLIFE",$AX$10:$AX$16)),0,""))</f>
        <v/>
      </c>
      <c r="AP125" s="369" t="str">
        <f ca="1">IF($B125&lt;&gt;"PRC_RESID","",IF(AP$7=2005+OFFSET(COM_N_2012!$B$60,$AW125,SUMIF($B$10:$B$16,"NCAP_TLIFE",$AX$10:$AX$16)),0,""))</f>
        <v/>
      </c>
      <c r="AQ125" s="369" t="str">
        <f ca="1">IF($B125&lt;&gt;"PRC_RESID","",IF(AQ$7=2005+OFFSET(COM_N_2012!$B$60,$AW125,SUMIF($B$10:$B$16,"NCAP_TLIFE",$AX$10:$AX$16)),0,""))</f>
        <v/>
      </c>
      <c r="AR125" s="369" t="str">
        <f ca="1">IF($B125&lt;&gt;"PRC_RESID","",IF(AR$7=2005+OFFSET(COM_N_2012!$B$60,$AW125,SUMIF($B$10:$B$16,"NCAP_TLIFE",$AX$10:$AX$16)),0,""))</f>
        <v/>
      </c>
      <c r="AS125" s="369" t="str">
        <f ca="1">IF($B125&lt;&gt;"PRC_RESID","",IF(AS$7=2005+OFFSET(COM_N_2012!$B$60,$AW125,SUMIF($B$10:$B$16,"NCAP_TLIFE",$AX$10:$AX$16)),0,""))</f>
        <v/>
      </c>
      <c r="AT125" s="369" t="str">
        <f ca="1">IF($B125&lt;&gt;"PRC_RESID","",IF(AT$7=2005+OFFSET(COM_N_2012!$B$60,$AW125,SUMIF($B$10:$B$16,"NCAP_TLIFE",$AX$10:$AX$16)),0,""))</f>
        <v/>
      </c>
      <c r="AU125" s="369" t="str">
        <f ca="1">IF($B125&lt;&gt;"PRC_RESID","",IF(AU$7=2005+OFFSET(COM_N_2012!$B$60,$AW125,SUMIF($B$10:$B$16,"NCAP_TLIFE",$AX$10:$AX$16)),0,""))</f>
        <v/>
      </c>
      <c r="AV125" s="304">
        <f>IF(AW124=COM_N_2012!$AK$121,AV124+1,AV124)</f>
        <v>2</v>
      </c>
      <c r="AW125" s="304">
        <f t="shared" si="12"/>
        <v>47</v>
      </c>
    </row>
    <row r="126" spans="1:49">
      <c r="A126" s="304" t="str">
        <f ca="1">IF(LEFT(OFFSET(COM_N_2012!$A$60,AW126,0),2)="\I","*","")</f>
        <v>*</v>
      </c>
      <c r="B126" s="369" t="str">
        <f t="shared" ca="1" si="11"/>
        <v/>
      </c>
      <c r="C126" s="369" t="str">
        <f ca="1">IF($A126="*","",OFFSET(COM_N_2012!$B$60,AW126,0))</f>
        <v/>
      </c>
      <c r="D126" s="369" t="str">
        <f t="shared" ca="1" si="16"/>
        <v/>
      </c>
      <c r="E126" s="369" t="str">
        <f t="shared" ca="1" si="16"/>
        <v/>
      </c>
      <c r="F126" s="369" t="str">
        <f t="shared" ca="1" si="16"/>
        <v/>
      </c>
      <c r="G126" s="369" t="str">
        <f t="shared" ca="1" si="16"/>
        <v/>
      </c>
      <c r="H126" s="369" t="str">
        <f t="shared" ca="1" si="16"/>
        <v/>
      </c>
      <c r="I126" s="370" t="str">
        <f t="shared" ca="1" si="16"/>
        <v/>
      </c>
      <c r="J126" s="391" t="str">
        <f ca="1">IF($A126="*","",OFFSET(COM_N_2012!$B$60,AW126,SUMIF($B$10:$B$16,B126,$AX$10:$AX$16)))</f>
        <v/>
      </c>
      <c r="K126" s="369" t="str">
        <f ca="1">IF($B126&lt;&gt;"PRC_RESID","",IF(K$7=2005+OFFSET(COM_N_2012!$B$60,$AW126,SUMIF($B$10:$B$16,"NCAP_TLIFE",$AX$10:$AX$16)),0,""))</f>
        <v/>
      </c>
      <c r="L126" s="369" t="str">
        <f ca="1">IF($B126&lt;&gt;"PRC_RESID","",IF(L$7=2005+OFFSET(COM_N_2012!$B$60,$AW126,SUMIF($B$10:$B$16,"NCAP_TLIFE",$AX$10:$AX$16)),0,""))</f>
        <v/>
      </c>
      <c r="M126" s="369" t="str">
        <f ca="1">IF($B126&lt;&gt;"PRC_RESID","",IF(M$7=2005+OFFSET(COM_N_2012!$B$60,$AW126,SUMIF($B$10:$B$16,"NCAP_TLIFE",$AX$10:$AX$16)),0,""))</f>
        <v/>
      </c>
      <c r="N126" s="369" t="str">
        <f ca="1">IF($B126&lt;&gt;"PRC_RESID","",IF(N$7=2005+OFFSET(COM_N_2012!$B$60,$AW126,SUMIF($B$10:$B$16,"NCAP_TLIFE",$AX$10:$AX$16)),0,""))</f>
        <v/>
      </c>
      <c r="O126" s="369" t="str">
        <f ca="1">IF($B126&lt;&gt;"PRC_RESID","",IF(O$7=2005+OFFSET(COM_N_2012!$B$60,$AW126,SUMIF($B$10:$B$16,"NCAP_TLIFE",$AX$10:$AX$16)),0,""))</f>
        <v/>
      </c>
      <c r="P126" s="369" t="str">
        <f ca="1">IF($B126&lt;&gt;"PRC_RESID","",IF(P$7=2005+OFFSET(COM_N_2012!$B$60,$AW126,SUMIF($B$10:$B$16,"NCAP_TLIFE",$AX$10:$AX$16)),0,""))</f>
        <v/>
      </c>
      <c r="Q126" s="369" t="str">
        <f ca="1">IF($B126&lt;&gt;"PRC_RESID","",IF(Q$7=2005+OFFSET(COM_N_2012!$B$60,$AW126,SUMIF($B$10:$B$16,"NCAP_TLIFE",$AX$10:$AX$16)),0,""))</f>
        <v/>
      </c>
      <c r="R126" s="369" t="str">
        <f ca="1">IF($B126&lt;&gt;"PRC_RESID","",IF(R$7=2005+OFFSET(COM_N_2012!$B$60,$AW126,SUMIF($B$10:$B$16,"NCAP_TLIFE",$AX$10:$AX$16)),0,""))</f>
        <v/>
      </c>
      <c r="S126" s="369" t="str">
        <f ca="1">IF($B126&lt;&gt;"PRC_RESID","",IF(S$7=2005+OFFSET(COM_N_2012!$B$60,$AW126,SUMIF($B$10:$B$16,"NCAP_TLIFE",$AX$10:$AX$16)),0,""))</f>
        <v/>
      </c>
      <c r="T126" s="369" t="str">
        <f ca="1">IF($B126&lt;&gt;"PRC_RESID","",IF(T$7=2005+OFFSET(COM_N_2012!$B$60,$AW126,SUMIF($B$10:$B$16,"NCAP_TLIFE",$AX$10:$AX$16)),0,""))</f>
        <v/>
      </c>
      <c r="U126" s="369" t="str">
        <f ca="1">IF($B126&lt;&gt;"PRC_RESID","",IF(U$7=2005+OFFSET(COM_N_2012!$B$60,$AW126,SUMIF($B$10:$B$16,"NCAP_TLIFE",$AX$10:$AX$16)),0,""))</f>
        <v/>
      </c>
      <c r="V126" s="369" t="str">
        <f ca="1">IF($B126&lt;&gt;"PRC_RESID","",IF(V$7=2005+OFFSET(COM_N_2012!$B$60,$AW126,SUMIF($B$10:$B$16,"NCAP_TLIFE",$AX$10:$AX$16)),0,""))</f>
        <v/>
      </c>
      <c r="W126" s="369" t="str">
        <f ca="1">IF($B126&lt;&gt;"PRC_RESID","",IF(W$7=2005+OFFSET(COM_N_2012!$B$60,$AW126,SUMIF($B$10:$B$16,"NCAP_TLIFE",$AX$10:$AX$16)),0,""))</f>
        <v/>
      </c>
      <c r="X126" s="369" t="str">
        <f ca="1">IF($B126&lt;&gt;"PRC_RESID","",IF(X$7=2005+OFFSET(COM_N_2012!$B$60,$AW126,SUMIF($B$10:$B$16,"NCAP_TLIFE",$AX$10:$AX$16)),0,""))</f>
        <v/>
      </c>
      <c r="Y126" s="369" t="str">
        <f ca="1">IF($B126&lt;&gt;"PRC_RESID","",IF(Y$7=2005+OFFSET(COM_N_2012!$B$60,$AW126,SUMIF($B$10:$B$16,"NCAP_TLIFE",$AX$10:$AX$16)),0,""))</f>
        <v/>
      </c>
      <c r="Z126" s="369" t="str">
        <f ca="1">IF($B126&lt;&gt;"PRC_RESID","",IF(Z$7=2005+OFFSET(COM_N_2012!$B$60,$AW126,SUMIF($B$10:$B$16,"NCAP_TLIFE",$AX$10:$AX$16)),0,""))</f>
        <v/>
      </c>
      <c r="AA126" s="369" t="str">
        <f ca="1">IF($B126&lt;&gt;"PRC_RESID","",IF(AA$7=2005+OFFSET(COM_N_2012!$B$60,$AW126,SUMIF($B$10:$B$16,"NCAP_TLIFE",$AX$10:$AX$16)),0,""))</f>
        <v/>
      </c>
      <c r="AB126" s="369" t="str">
        <f ca="1">IF($B126&lt;&gt;"PRC_RESID","",IF(AB$7=2005+OFFSET(COM_N_2012!$B$60,$AW126,SUMIF($B$10:$B$16,"NCAP_TLIFE",$AX$10:$AX$16)),0,""))</f>
        <v/>
      </c>
      <c r="AC126" s="369" t="str">
        <f ca="1">IF($B126&lt;&gt;"PRC_RESID","",IF(AC$7=2005+OFFSET(COM_N_2012!$B$60,$AW126,SUMIF($B$10:$B$16,"NCAP_TLIFE",$AX$10:$AX$16)),0,""))</f>
        <v/>
      </c>
      <c r="AD126" s="369" t="str">
        <f ca="1">IF($B126&lt;&gt;"PRC_RESID","",IF(AD$7=2005+OFFSET(COM_N_2012!$B$60,$AW126,SUMIF($B$10:$B$16,"NCAP_TLIFE",$AX$10:$AX$16)),0,""))</f>
        <v/>
      </c>
      <c r="AE126" s="369" t="str">
        <f ca="1">IF($B126&lt;&gt;"PRC_RESID","",IF(AE$7=2005+OFFSET(COM_N_2012!$B$60,$AW126,SUMIF($B$10:$B$16,"NCAP_TLIFE",$AX$10:$AX$16)),0,""))</f>
        <v/>
      </c>
      <c r="AF126" s="369" t="str">
        <f ca="1">IF($B126&lt;&gt;"PRC_RESID","",IF(AF$7=2005+OFFSET(COM_N_2012!$B$60,$AW126,SUMIF($B$10:$B$16,"NCAP_TLIFE",$AX$10:$AX$16)),0,""))</f>
        <v/>
      </c>
      <c r="AG126" s="369" t="str">
        <f ca="1">IF($B126&lt;&gt;"PRC_RESID","",IF(AG$7=2005+OFFSET(COM_N_2012!$B$60,$AW126,SUMIF($B$10:$B$16,"NCAP_TLIFE",$AX$10:$AX$16)),0,""))</f>
        <v/>
      </c>
      <c r="AH126" s="369" t="str">
        <f ca="1">IF($B126&lt;&gt;"PRC_RESID","",IF(AH$7=2005+OFFSET(COM_N_2012!$B$60,$AW126,SUMIF($B$10:$B$16,"NCAP_TLIFE",$AX$10:$AX$16)),0,""))</f>
        <v/>
      </c>
      <c r="AI126" s="369" t="str">
        <f ca="1">IF($B126&lt;&gt;"PRC_RESID","",IF(AI$7=2005+OFFSET(COM_N_2012!$B$60,$AW126,SUMIF($B$10:$B$16,"NCAP_TLIFE",$AX$10:$AX$16)),0,""))</f>
        <v/>
      </c>
      <c r="AJ126" s="369" t="str">
        <f ca="1">IF($B126&lt;&gt;"PRC_RESID","",IF(AJ$7=2005+OFFSET(COM_N_2012!$B$60,$AW126,SUMIF($B$10:$B$16,"NCAP_TLIFE",$AX$10:$AX$16)),0,""))</f>
        <v/>
      </c>
      <c r="AK126" s="369" t="str">
        <f ca="1">IF($B126&lt;&gt;"PRC_RESID","",IF(AK$7=2005+OFFSET(COM_N_2012!$B$60,$AW126,SUMIF($B$10:$B$16,"NCAP_TLIFE",$AX$10:$AX$16)),0,""))</f>
        <v/>
      </c>
      <c r="AL126" s="369" t="str">
        <f ca="1">IF($B126&lt;&gt;"PRC_RESID","",IF(AL$7=2005+OFFSET(COM_N_2012!$B$60,$AW126,SUMIF($B$10:$B$16,"NCAP_TLIFE",$AX$10:$AX$16)),0,""))</f>
        <v/>
      </c>
      <c r="AM126" s="369" t="str">
        <f ca="1">IF($B126&lt;&gt;"PRC_RESID","",IF(AM$7=2005+OFFSET(COM_N_2012!$B$60,$AW126,SUMIF($B$10:$B$16,"NCAP_TLIFE",$AX$10:$AX$16)),0,""))</f>
        <v/>
      </c>
      <c r="AN126" s="369" t="str">
        <f ca="1">IF($B126&lt;&gt;"PRC_RESID","",IF(AN$7=2005+OFFSET(COM_N_2012!$B$60,$AW126,SUMIF($B$10:$B$16,"NCAP_TLIFE",$AX$10:$AX$16)),0,""))</f>
        <v/>
      </c>
      <c r="AO126" s="369" t="str">
        <f ca="1">IF($B126&lt;&gt;"PRC_RESID","",IF(AO$7=2005+OFFSET(COM_N_2012!$B$60,$AW126,SUMIF($B$10:$B$16,"NCAP_TLIFE",$AX$10:$AX$16)),0,""))</f>
        <v/>
      </c>
      <c r="AP126" s="369" t="str">
        <f ca="1">IF($B126&lt;&gt;"PRC_RESID","",IF(AP$7=2005+OFFSET(COM_N_2012!$B$60,$AW126,SUMIF($B$10:$B$16,"NCAP_TLIFE",$AX$10:$AX$16)),0,""))</f>
        <v/>
      </c>
      <c r="AQ126" s="369" t="str">
        <f ca="1">IF($B126&lt;&gt;"PRC_RESID","",IF(AQ$7=2005+OFFSET(COM_N_2012!$B$60,$AW126,SUMIF($B$10:$B$16,"NCAP_TLIFE",$AX$10:$AX$16)),0,""))</f>
        <v/>
      </c>
      <c r="AR126" s="369" t="str">
        <f ca="1">IF($B126&lt;&gt;"PRC_RESID","",IF(AR$7=2005+OFFSET(COM_N_2012!$B$60,$AW126,SUMIF($B$10:$B$16,"NCAP_TLIFE",$AX$10:$AX$16)),0,""))</f>
        <v/>
      </c>
      <c r="AS126" s="369" t="str">
        <f ca="1">IF($B126&lt;&gt;"PRC_RESID","",IF(AS$7=2005+OFFSET(COM_N_2012!$B$60,$AW126,SUMIF($B$10:$B$16,"NCAP_TLIFE",$AX$10:$AX$16)),0,""))</f>
        <v/>
      </c>
      <c r="AT126" s="369" t="str">
        <f ca="1">IF($B126&lt;&gt;"PRC_RESID","",IF(AT$7=2005+OFFSET(COM_N_2012!$B$60,$AW126,SUMIF($B$10:$B$16,"NCAP_TLIFE",$AX$10:$AX$16)),0,""))</f>
        <v/>
      </c>
      <c r="AU126" s="369" t="str">
        <f ca="1">IF($B126&lt;&gt;"PRC_RESID","",IF(AU$7=2005+OFFSET(COM_N_2012!$B$60,$AW126,SUMIF($B$10:$B$16,"NCAP_TLIFE",$AX$10:$AX$16)),0,""))</f>
        <v/>
      </c>
      <c r="AV126" s="304">
        <f>IF(AW125=COM_N_2012!$AK$121,AV125+1,AV125)</f>
        <v>2</v>
      </c>
      <c r="AW126" s="304">
        <f t="shared" si="12"/>
        <v>48</v>
      </c>
    </row>
    <row r="127" spans="1:49">
      <c r="A127" s="304" t="str">
        <f ca="1">IF(LEFT(OFFSET(COM_N_2012!$A$60,AW127,0),2)="\I","*","")</f>
        <v>*</v>
      </c>
      <c r="B127" s="369" t="str">
        <f t="shared" ca="1" si="11"/>
        <v/>
      </c>
      <c r="C127" s="369" t="str">
        <f ca="1">IF($A127="*","",OFFSET(COM_N_2012!$B$60,AW127,0))</f>
        <v/>
      </c>
      <c r="D127" s="369" t="str">
        <f t="shared" ca="1" si="16"/>
        <v/>
      </c>
      <c r="E127" s="369" t="str">
        <f t="shared" ca="1" si="16"/>
        <v/>
      </c>
      <c r="F127" s="369" t="str">
        <f t="shared" ca="1" si="16"/>
        <v/>
      </c>
      <c r="G127" s="369" t="str">
        <f t="shared" ca="1" si="16"/>
        <v/>
      </c>
      <c r="H127" s="369" t="str">
        <f t="shared" ca="1" si="16"/>
        <v/>
      </c>
      <c r="I127" s="370" t="str">
        <f t="shared" ca="1" si="16"/>
        <v/>
      </c>
      <c r="J127" s="391" t="str">
        <f ca="1">IF($A127="*","",OFFSET(COM_N_2012!$B$60,AW127,SUMIF($B$10:$B$16,B127,$AX$10:$AX$16)))</f>
        <v/>
      </c>
      <c r="K127" s="369" t="str">
        <f ca="1">IF($B127&lt;&gt;"PRC_RESID","",IF(K$7=2005+OFFSET(COM_N_2012!$B$60,$AW127,SUMIF($B$10:$B$16,"NCAP_TLIFE",$AX$10:$AX$16)),0,""))</f>
        <v/>
      </c>
      <c r="L127" s="369" t="str">
        <f ca="1">IF($B127&lt;&gt;"PRC_RESID","",IF(L$7=2005+OFFSET(COM_N_2012!$B$60,$AW127,SUMIF($B$10:$B$16,"NCAP_TLIFE",$AX$10:$AX$16)),0,""))</f>
        <v/>
      </c>
      <c r="M127" s="369" t="str">
        <f ca="1">IF($B127&lt;&gt;"PRC_RESID","",IF(M$7=2005+OFFSET(COM_N_2012!$B$60,$AW127,SUMIF($B$10:$B$16,"NCAP_TLIFE",$AX$10:$AX$16)),0,""))</f>
        <v/>
      </c>
      <c r="N127" s="369" t="str">
        <f ca="1">IF($B127&lt;&gt;"PRC_RESID","",IF(N$7=2005+OFFSET(COM_N_2012!$B$60,$AW127,SUMIF($B$10:$B$16,"NCAP_TLIFE",$AX$10:$AX$16)),0,""))</f>
        <v/>
      </c>
      <c r="O127" s="369" t="str">
        <f ca="1">IF($B127&lt;&gt;"PRC_RESID","",IF(O$7=2005+OFFSET(COM_N_2012!$B$60,$AW127,SUMIF($B$10:$B$16,"NCAP_TLIFE",$AX$10:$AX$16)),0,""))</f>
        <v/>
      </c>
      <c r="P127" s="369" t="str">
        <f ca="1">IF($B127&lt;&gt;"PRC_RESID","",IF(P$7=2005+OFFSET(COM_N_2012!$B$60,$AW127,SUMIF($B$10:$B$16,"NCAP_TLIFE",$AX$10:$AX$16)),0,""))</f>
        <v/>
      </c>
      <c r="Q127" s="369" t="str">
        <f ca="1">IF($B127&lt;&gt;"PRC_RESID","",IF(Q$7=2005+OFFSET(COM_N_2012!$B$60,$AW127,SUMIF($B$10:$B$16,"NCAP_TLIFE",$AX$10:$AX$16)),0,""))</f>
        <v/>
      </c>
      <c r="R127" s="369" t="str">
        <f ca="1">IF($B127&lt;&gt;"PRC_RESID","",IF(R$7=2005+OFFSET(COM_N_2012!$B$60,$AW127,SUMIF($B$10:$B$16,"NCAP_TLIFE",$AX$10:$AX$16)),0,""))</f>
        <v/>
      </c>
      <c r="S127" s="369" t="str">
        <f ca="1">IF($B127&lt;&gt;"PRC_RESID","",IF(S$7=2005+OFFSET(COM_N_2012!$B$60,$AW127,SUMIF($B$10:$B$16,"NCAP_TLIFE",$AX$10:$AX$16)),0,""))</f>
        <v/>
      </c>
      <c r="T127" s="369" t="str">
        <f ca="1">IF($B127&lt;&gt;"PRC_RESID","",IF(T$7=2005+OFFSET(COM_N_2012!$B$60,$AW127,SUMIF($B$10:$B$16,"NCAP_TLIFE",$AX$10:$AX$16)),0,""))</f>
        <v/>
      </c>
      <c r="U127" s="369" t="str">
        <f ca="1">IF($B127&lt;&gt;"PRC_RESID","",IF(U$7=2005+OFFSET(COM_N_2012!$B$60,$AW127,SUMIF($B$10:$B$16,"NCAP_TLIFE",$AX$10:$AX$16)),0,""))</f>
        <v/>
      </c>
      <c r="V127" s="369" t="str">
        <f ca="1">IF($B127&lt;&gt;"PRC_RESID","",IF(V$7=2005+OFFSET(COM_N_2012!$B$60,$AW127,SUMIF($B$10:$B$16,"NCAP_TLIFE",$AX$10:$AX$16)),0,""))</f>
        <v/>
      </c>
      <c r="W127" s="369" t="str">
        <f ca="1">IF($B127&lt;&gt;"PRC_RESID","",IF(W$7=2005+OFFSET(COM_N_2012!$B$60,$AW127,SUMIF($B$10:$B$16,"NCAP_TLIFE",$AX$10:$AX$16)),0,""))</f>
        <v/>
      </c>
      <c r="X127" s="369" t="str">
        <f ca="1">IF($B127&lt;&gt;"PRC_RESID","",IF(X$7=2005+OFFSET(COM_N_2012!$B$60,$AW127,SUMIF($B$10:$B$16,"NCAP_TLIFE",$AX$10:$AX$16)),0,""))</f>
        <v/>
      </c>
      <c r="Y127" s="369" t="str">
        <f ca="1">IF($B127&lt;&gt;"PRC_RESID","",IF(Y$7=2005+OFFSET(COM_N_2012!$B$60,$AW127,SUMIF($B$10:$B$16,"NCAP_TLIFE",$AX$10:$AX$16)),0,""))</f>
        <v/>
      </c>
      <c r="Z127" s="369" t="str">
        <f ca="1">IF($B127&lt;&gt;"PRC_RESID","",IF(Z$7=2005+OFFSET(COM_N_2012!$B$60,$AW127,SUMIF($B$10:$B$16,"NCAP_TLIFE",$AX$10:$AX$16)),0,""))</f>
        <v/>
      </c>
      <c r="AA127" s="369" t="str">
        <f ca="1">IF($B127&lt;&gt;"PRC_RESID","",IF(AA$7=2005+OFFSET(COM_N_2012!$B$60,$AW127,SUMIF($B$10:$B$16,"NCAP_TLIFE",$AX$10:$AX$16)),0,""))</f>
        <v/>
      </c>
      <c r="AB127" s="369" t="str">
        <f ca="1">IF($B127&lt;&gt;"PRC_RESID","",IF(AB$7=2005+OFFSET(COM_N_2012!$B$60,$AW127,SUMIF($B$10:$B$16,"NCAP_TLIFE",$AX$10:$AX$16)),0,""))</f>
        <v/>
      </c>
      <c r="AC127" s="369" t="str">
        <f ca="1">IF($B127&lt;&gt;"PRC_RESID","",IF(AC$7=2005+OFFSET(COM_N_2012!$B$60,$AW127,SUMIF($B$10:$B$16,"NCAP_TLIFE",$AX$10:$AX$16)),0,""))</f>
        <v/>
      </c>
      <c r="AD127" s="369" t="str">
        <f ca="1">IF($B127&lt;&gt;"PRC_RESID","",IF(AD$7=2005+OFFSET(COM_N_2012!$B$60,$AW127,SUMIF($B$10:$B$16,"NCAP_TLIFE",$AX$10:$AX$16)),0,""))</f>
        <v/>
      </c>
      <c r="AE127" s="369" t="str">
        <f ca="1">IF($B127&lt;&gt;"PRC_RESID","",IF(AE$7=2005+OFFSET(COM_N_2012!$B$60,$AW127,SUMIF($B$10:$B$16,"NCAP_TLIFE",$AX$10:$AX$16)),0,""))</f>
        <v/>
      </c>
      <c r="AF127" s="369" t="str">
        <f ca="1">IF($B127&lt;&gt;"PRC_RESID","",IF(AF$7=2005+OFFSET(COM_N_2012!$B$60,$AW127,SUMIF($B$10:$B$16,"NCAP_TLIFE",$AX$10:$AX$16)),0,""))</f>
        <v/>
      </c>
      <c r="AG127" s="369" t="str">
        <f ca="1">IF($B127&lt;&gt;"PRC_RESID","",IF(AG$7=2005+OFFSET(COM_N_2012!$B$60,$AW127,SUMIF($B$10:$B$16,"NCAP_TLIFE",$AX$10:$AX$16)),0,""))</f>
        <v/>
      </c>
      <c r="AH127" s="369" t="str">
        <f ca="1">IF($B127&lt;&gt;"PRC_RESID","",IF(AH$7=2005+OFFSET(COM_N_2012!$B$60,$AW127,SUMIF($B$10:$B$16,"NCAP_TLIFE",$AX$10:$AX$16)),0,""))</f>
        <v/>
      </c>
      <c r="AI127" s="369" t="str">
        <f ca="1">IF($B127&lt;&gt;"PRC_RESID","",IF(AI$7=2005+OFFSET(COM_N_2012!$B$60,$AW127,SUMIF($B$10:$B$16,"NCAP_TLIFE",$AX$10:$AX$16)),0,""))</f>
        <v/>
      </c>
      <c r="AJ127" s="369" t="str">
        <f ca="1">IF($B127&lt;&gt;"PRC_RESID","",IF(AJ$7=2005+OFFSET(COM_N_2012!$B$60,$AW127,SUMIF($B$10:$B$16,"NCAP_TLIFE",$AX$10:$AX$16)),0,""))</f>
        <v/>
      </c>
      <c r="AK127" s="369" t="str">
        <f ca="1">IF($B127&lt;&gt;"PRC_RESID","",IF(AK$7=2005+OFFSET(COM_N_2012!$B$60,$AW127,SUMIF($B$10:$B$16,"NCAP_TLIFE",$AX$10:$AX$16)),0,""))</f>
        <v/>
      </c>
      <c r="AL127" s="369" t="str">
        <f ca="1">IF($B127&lt;&gt;"PRC_RESID","",IF(AL$7=2005+OFFSET(COM_N_2012!$B$60,$AW127,SUMIF($B$10:$B$16,"NCAP_TLIFE",$AX$10:$AX$16)),0,""))</f>
        <v/>
      </c>
      <c r="AM127" s="369" t="str">
        <f ca="1">IF($B127&lt;&gt;"PRC_RESID","",IF(AM$7=2005+OFFSET(COM_N_2012!$B$60,$AW127,SUMIF($B$10:$B$16,"NCAP_TLIFE",$AX$10:$AX$16)),0,""))</f>
        <v/>
      </c>
      <c r="AN127" s="369" t="str">
        <f ca="1">IF($B127&lt;&gt;"PRC_RESID","",IF(AN$7=2005+OFFSET(COM_N_2012!$B$60,$AW127,SUMIF($B$10:$B$16,"NCAP_TLIFE",$AX$10:$AX$16)),0,""))</f>
        <v/>
      </c>
      <c r="AO127" s="369" t="str">
        <f ca="1">IF($B127&lt;&gt;"PRC_RESID","",IF(AO$7=2005+OFFSET(COM_N_2012!$B$60,$AW127,SUMIF($B$10:$B$16,"NCAP_TLIFE",$AX$10:$AX$16)),0,""))</f>
        <v/>
      </c>
      <c r="AP127" s="369" t="str">
        <f ca="1">IF($B127&lt;&gt;"PRC_RESID","",IF(AP$7=2005+OFFSET(COM_N_2012!$B$60,$AW127,SUMIF($B$10:$B$16,"NCAP_TLIFE",$AX$10:$AX$16)),0,""))</f>
        <v/>
      </c>
      <c r="AQ127" s="369" t="str">
        <f ca="1">IF($B127&lt;&gt;"PRC_RESID","",IF(AQ$7=2005+OFFSET(COM_N_2012!$B$60,$AW127,SUMIF($B$10:$B$16,"NCAP_TLIFE",$AX$10:$AX$16)),0,""))</f>
        <v/>
      </c>
      <c r="AR127" s="369" t="str">
        <f ca="1">IF($B127&lt;&gt;"PRC_RESID","",IF(AR$7=2005+OFFSET(COM_N_2012!$B$60,$AW127,SUMIF($B$10:$B$16,"NCAP_TLIFE",$AX$10:$AX$16)),0,""))</f>
        <v/>
      </c>
      <c r="AS127" s="369" t="str">
        <f ca="1">IF($B127&lt;&gt;"PRC_RESID","",IF(AS$7=2005+OFFSET(COM_N_2012!$B$60,$AW127,SUMIF($B$10:$B$16,"NCAP_TLIFE",$AX$10:$AX$16)),0,""))</f>
        <v/>
      </c>
      <c r="AT127" s="369" t="str">
        <f ca="1">IF($B127&lt;&gt;"PRC_RESID","",IF(AT$7=2005+OFFSET(COM_N_2012!$B$60,$AW127,SUMIF($B$10:$B$16,"NCAP_TLIFE",$AX$10:$AX$16)),0,""))</f>
        <v/>
      </c>
      <c r="AU127" s="369" t="str">
        <f ca="1">IF($B127&lt;&gt;"PRC_RESID","",IF(AU$7=2005+OFFSET(COM_N_2012!$B$60,$AW127,SUMIF($B$10:$B$16,"NCAP_TLIFE",$AX$10:$AX$16)),0,""))</f>
        <v/>
      </c>
      <c r="AV127" s="304">
        <f>IF(AW126=COM_N_2012!$AK$121,AV126+1,AV126)</f>
        <v>2</v>
      </c>
      <c r="AW127" s="304">
        <f t="shared" si="12"/>
        <v>49</v>
      </c>
    </row>
    <row r="128" spans="1:49">
      <c r="A128" s="304" t="str">
        <f ca="1">IF(LEFT(OFFSET(COM_N_2012!$A$60,AW128,0),2)="\I","*","")</f>
        <v/>
      </c>
      <c r="B128" s="369" t="str">
        <f t="shared" ca="1" si="11"/>
        <v>NCAP_BND</v>
      </c>
      <c r="C128" s="369" t="str">
        <f ca="1">IF($A128="*","",OFFSET(COM_N_2012!$B$60,AW128,0))</f>
        <v>CNTELC-E</v>
      </c>
      <c r="D128" s="369" t="str">
        <f t="shared" ref="D128:I137" ca="1" si="17">IF($A128="*","",VLOOKUP($B128,$B$10:$I$16,D$9,FALSE))</f>
        <v>-</v>
      </c>
      <c r="E128" s="369" t="str">
        <f t="shared" ca="1" si="17"/>
        <v>-</v>
      </c>
      <c r="F128" s="369" t="str">
        <f t="shared" ca="1" si="17"/>
        <v>-</v>
      </c>
      <c r="G128" s="369" t="str">
        <f t="shared" ca="1" si="17"/>
        <v>-</v>
      </c>
      <c r="H128" s="369" t="str">
        <f t="shared" ca="1" si="17"/>
        <v>UP</v>
      </c>
      <c r="I128" s="370">
        <f t="shared" ca="1" si="17"/>
        <v>0</v>
      </c>
      <c r="J128" s="391">
        <f ca="1">IF($A128="*","",OFFSET(COM_N_2012!$B$60,AW128,SUMIF($B$10:$B$16,B128,$AX$10:$AX$16)))</f>
        <v>0</v>
      </c>
      <c r="K128" s="369" t="str">
        <f ca="1">IF($B128&lt;&gt;"PRC_RESID","",IF(K$7=2005+OFFSET(COM_N_2012!$B$60,$AW128,SUMIF($B$10:$B$16,"NCAP_TLIFE",$AX$10:$AX$16)),0,""))</f>
        <v/>
      </c>
      <c r="L128" s="369" t="str">
        <f ca="1">IF($B128&lt;&gt;"PRC_RESID","",IF(L$7=2005+OFFSET(COM_N_2012!$B$60,$AW128,SUMIF($B$10:$B$16,"NCAP_TLIFE",$AX$10:$AX$16)),0,""))</f>
        <v/>
      </c>
      <c r="M128" s="369" t="str">
        <f ca="1">IF($B128&lt;&gt;"PRC_RESID","",IF(M$7=2005+OFFSET(COM_N_2012!$B$60,$AW128,SUMIF($B$10:$B$16,"NCAP_TLIFE",$AX$10:$AX$16)),0,""))</f>
        <v/>
      </c>
      <c r="N128" s="369" t="str">
        <f ca="1">IF($B128&lt;&gt;"PRC_RESID","",IF(N$7=2005+OFFSET(COM_N_2012!$B$60,$AW128,SUMIF($B$10:$B$16,"NCAP_TLIFE",$AX$10:$AX$16)),0,""))</f>
        <v/>
      </c>
      <c r="O128" s="369" t="str">
        <f ca="1">IF($B128&lt;&gt;"PRC_RESID","",IF(O$7=2005+OFFSET(COM_N_2012!$B$60,$AW128,SUMIF($B$10:$B$16,"NCAP_TLIFE",$AX$10:$AX$16)),0,""))</f>
        <v/>
      </c>
      <c r="P128" s="369" t="str">
        <f ca="1">IF($B128&lt;&gt;"PRC_RESID","",IF(P$7=2005+OFFSET(COM_N_2012!$B$60,$AW128,SUMIF($B$10:$B$16,"NCAP_TLIFE",$AX$10:$AX$16)),0,""))</f>
        <v/>
      </c>
      <c r="Q128" s="369" t="str">
        <f ca="1">IF($B128&lt;&gt;"PRC_RESID","",IF(Q$7=2005+OFFSET(COM_N_2012!$B$60,$AW128,SUMIF($B$10:$B$16,"NCAP_TLIFE",$AX$10:$AX$16)),0,""))</f>
        <v/>
      </c>
      <c r="R128" s="369" t="str">
        <f ca="1">IF($B128&lt;&gt;"PRC_RESID","",IF(R$7=2005+OFFSET(COM_N_2012!$B$60,$AW128,SUMIF($B$10:$B$16,"NCAP_TLIFE",$AX$10:$AX$16)),0,""))</f>
        <v/>
      </c>
      <c r="S128" s="369" t="str">
        <f ca="1">IF($B128&lt;&gt;"PRC_RESID","",IF(S$7=2005+OFFSET(COM_N_2012!$B$60,$AW128,SUMIF($B$10:$B$16,"NCAP_TLIFE",$AX$10:$AX$16)),0,""))</f>
        <v/>
      </c>
      <c r="T128" s="369" t="str">
        <f ca="1">IF($B128&lt;&gt;"PRC_RESID","",IF(T$7=2005+OFFSET(COM_N_2012!$B$60,$AW128,SUMIF($B$10:$B$16,"NCAP_TLIFE",$AX$10:$AX$16)),0,""))</f>
        <v/>
      </c>
      <c r="U128" s="369" t="str">
        <f ca="1">IF($B128&lt;&gt;"PRC_RESID","",IF(U$7=2005+OFFSET(COM_N_2012!$B$60,$AW128,SUMIF($B$10:$B$16,"NCAP_TLIFE",$AX$10:$AX$16)),0,""))</f>
        <v/>
      </c>
      <c r="V128" s="369" t="str">
        <f ca="1">IF($B128&lt;&gt;"PRC_RESID","",IF(V$7=2005+OFFSET(COM_N_2012!$B$60,$AW128,SUMIF($B$10:$B$16,"NCAP_TLIFE",$AX$10:$AX$16)),0,""))</f>
        <v/>
      </c>
      <c r="W128" s="369" t="str">
        <f ca="1">IF($B128&lt;&gt;"PRC_RESID","",IF(W$7=2005+OFFSET(COM_N_2012!$B$60,$AW128,SUMIF($B$10:$B$16,"NCAP_TLIFE",$AX$10:$AX$16)),0,""))</f>
        <v/>
      </c>
      <c r="X128" s="369" t="str">
        <f ca="1">IF($B128&lt;&gt;"PRC_RESID","",IF(X$7=2005+OFFSET(COM_N_2012!$B$60,$AW128,SUMIF($B$10:$B$16,"NCAP_TLIFE",$AX$10:$AX$16)),0,""))</f>
        <v/>
      </c>
      <c r="Y128" s="369" t="str">
        <f ca="1">IF($B128&lt;&gt;"PRC_RESID","",IF(Y$7=2005+OFFSET(COM_N_2012!$B$60,$AW128,SUMIF($B$10:$B$16,"NCAP_TLIFE",$AX$10:$AX$16)),0,""))</f>
        <v/>
      </c>
      <c r="Z128" s="369" t="str">
        <f ca="1">IF($B128&lt;&gt;"PRC_RESID","",IF(Z$7=2005+OFFSET(COM_N_2012!$B$60,$AW128,SUMIF($B$10:$B$16,"NCAP_TLIFE",$AX$10:$AX$16)),0,""))</f>
        <v/>
      </c>
      <c r="AA128" s="369" t="str">
        <f ca="1">IF($B128&lt;&gt;"PRC_RESID","",IF(AA$7=2005+OFFSET(COM_N_2012!$B$60,$AW128,SUMIF($B$10:$B$16,"NCAP_TLIFE",$AX$10:$AX$16)),0,""))</f>
        <v/>
      </c>
      <c r="AB128" s="369" t="str">
        <f ca="1">IF($B128&lt;&gt;"PRC_RESID","",IF(AB$7=2005+OFFSET(COM_N_2012!$B$60,$AW128,SUMIF($B$10:$B$16,"NCAP_TLIFE",$AX$10:$AX$16)),0,""))</f>
        <v/>
      </c>
      <c r="AC128" s="369" t="str">
        <f ca="1">IF($B128&lt;&gt;"PRC_RESID","",IF(AC$7=2005+OFFSET(COM_N_2012!$B$60,$AW128,SUMIF($B$10:$B$16,"NCAP_TLIFE",$AX$10:$AX$16)),0,""))</f>
        <v/>
      </c>
      <c r="AD128" s="369" t="str">
        <f ca="1">IF($B128&lt;&gt;"PRC_RESID","",IF(AD$7=2005+OFFSET(COM_N_2012!$B$60,$AW128,SUMIF($B$10:$B$16,"NCAP_TLIFE",$AX$10:$AX$16)),0,""))</f>
        <v/>
      </c>
      <c r="AE128" s="369" t="str">
        <f ca="1">IF($B128&lt;&gt;"PRC_RESID","",IF(AE$7=2005+OFFSET(COM_N_2012!$B$60,$AW128,SUMIF($B$10:$B$16,"NCAP_TLIFE",$AX$10:$AX$16)),0,""))</f>
        <v/>
      </c>
      <c r="AF128" s="369" t="str">
        <f ca="1">IF($B128&lt;&gt;"PRC_RESID","",IF(AF$7=2005+OFFSET(COM_N_2012!$B$60,$AW128,SUMIF($B$10:$B$16,"NCAP_TLIFE",$AX$10:$AX$16)),0,""))</f>
        <v/>
      </c>
      <c r="AG128" s="369" t="str">
        <f ca="1">IF($B128&lt;&gt;"PRC_RESID","",IF(AG$7=2005+OFFSET(COM_N_2012!$B$60,$AW128,SUMIF($B$10:$B$16,"NCAP_TLIFE",$AX$10:$AX$16)),0,""))</f>
        <v/>
      </c>
      <c r="AH128" s="369" t="str">
        <f ca="1">IF($B128&lt;&gt;"PRC_RESID","",IF(AH$7=2005+OFFSET(COM_N_2012!$B$60,$AW128,SUMIF($B$10:$B$16,"NCAP_TLIFE",$AX$10:$AX$16)),0,""))</f>
        <v/>
      </c>
      <c r="AI128" s="369" t="str">
        <f ca="1">IF($B128&lt;&gt;"PRC_RESID","",IF(AI$7=2005+OFFSET(COM_N_2012!$B$60,$AW128,SUMIF($B$10:$B$16,"NCAP_TLIFE",$AX$10:$AX$16)),0,""))</f>
        <v/>
      </c>
      <c r="AJ128" s="369" t="str">
        <f ca="1">IF($B128&lt;&gt;"PRC_RESID","",IF(AJ$7=2005+OFFSET(COM_N_2012!$B$60,$AW128,SUMIF($B$10:$B$16,"NCAP_TLIFE",$AX$10:$AX$16)),0,""))</f>
        <v/>
      </c>
      <c r="AK128" s="369" t="str">
        <f ca="1">IF($B128&lt;&gt;"PRC_RESID","",IF(AK$7=2005+OFFSET(COM_N_2012!$B$60,$AW128,SUMIF($B$10:$B$16,"NCAP_TLIFE",$AX$10:$AX$16)),0,""))</f>
        <v/>
      </c>
      <c r="AL128" s="369" t="str">
        <f ca="1">IF($B128&lt;&gt;"PRC_RESID","",IF(AL$7=2005+OFFSET(COM_N_2012!$B$60,$AW128,SUMIF($B$10:$B$16,"NCAP_TLIFE",$AX$10:$AX$16)),0,""))</f>
        <v/>
      </c>
      <c r="AM128" s="369" t="str">
        <f ca="1">IF($B128&lt;&gt;"PRC_RESID","",IF(AM$7=2005+OFFSET(COM_N_2012!$B$60,$AW128,SUMIF($B$10:$B$16,"NCAP_TLIFE",$AX$10:$AX$16)),0,""))</f>
        <v/>
      </c>
      <c r="AN128" s="369" t="str">
        <f ca="1">IF($B128&lt;&gt;"PRC_RESID","",IF(AN$7=2005+OFFSET(COM_N_2012!$B$60,$AW128,SUMIF($B$10:$B$16,"NCAP_TLIFE",$AX$10:$AX$16)),0,""))</f>
        <v/>
      </c>
      <c r="AO128" s="369" t="str">
        <f ca="1">IF($B128&lt;&gt;"PRC_RESID","",IF(AO$7=2005+OFFSET(COM_N_2012!$B$60,$AW128,SUMIF($B$10:$B$16,"NCAP_TLIFE",$AX$10:$AX$16)),0,""))</f>
        <v/>
      </c>
      <c r="AP128" s="369" t="str">
        <f ca="1">IF($B128&lt;&gt;"PRC_RESID","",IF(AP$7=2005+OFFSET(COM_N_2012!$B$60,$AW128,SUMIF($B$10:$B$16,"NCAP_TLIFE",$AX$10:$AX$16)),0,""))</f>
        <v/>
      </c>
      <c r="AQ128" s="369" t="str">
        <f ca="1">IF($B128&lt;&gt;"PRC_RESID","",IF(AQ$7=2005+OFFSET(COM_N_2012!$B$60,$AW128,SUMIF($B$10:$B$16,"NCAP_TLIFE",$AX$10:$AX$16)),0,""))</f>
        <v/>
      </c>
      <c r="AR128" s="369" t="str">
        <f ca="1">IF($B128&lt;&gt;"PRC_RESID","",IF(AR$7=2005+OFFSET(COM_N_2012!$B$60,$AW128,SUMIF($B$10:$B$16,"NCAP_TLIFE",$AX$10:$AX$16)),0,""))</f>
        <v/>
      </c>
      <c r="AS128" s="369" t="str">
        <f ca="1">IF($B128&lt;&gt;"PRC_RESID","",IF(AS$7=2005+OFFSET(COM_N_2012!$B$60,$AW128,SUMIF($B$10:$B$16,"NCAP_TLIFE",$AX$10:$AX$16)),0,""))</f>
        <v/>
      </c>
      <c r="AT128" s="369" t="str">
        <f ca="1">IF($B128&lt;&gt;"PRC_RESID","",IF(AT$7=2005+OFFSET(COM_N_2012!$B$60,$AW128,SUMIF($B$10:$B$16,"NCAP_TLIFE",$AX$10:$AX$16)),0,""))</f>
        <v/>
      </c>
      <c r="AU128" s="369" t="str">
        <f ca="1">IF($B128&lt;&gt;"PRC_RESID","",IF(AU$7=2005+OFFSET(COM_N_2012!$B$60,$AW128,SUMIF($B$10:$B$16,"NCAP_TLIFE",$AX$10:$AX$16)),0,""))</f>
        <v/>
      </c>
      <c r="AV128" s="304">
        <f>IF(AW127=COM_N_2012!$AK$121,AV127+1,AV127)</f>
        <v>2</v>
      </c>
      <c r="AW128" s="304">
        <f t="shared" si="12"/>
        <v>50</v>
      </c>
    </row>
    <row r="129" spans="1:49">
      <c r="A129" s="304" t="str">
        <f ca="1">IF(LEFT(OFFSET(COM_N_2012!$A$60,AW129,0),2)="\I","*","")</f>
        <v>*</v>
      </c>
      <c r="B129" s="369" t="str">
        <f t="shared" ca="1" si="11"/>
        <v/>
      </c>
      <c r="C129" s="369" t="str">
        <f ca="1">IF($A129="*","",OFFSET(COM_N_2012!$B$60,AW129,0))</f>
        <v/>
      </c>
      <c r="D129" s="369" t="str">
        <f t="shared" ca="1" si="17"/>
        <v/>
      </c>
      <c r="E129" s="369" t="str">
        <f t="shared" ca="1" si="17"/>
        <v/>
      </c>
      <c r="F129" s="369" t="str">
        <f t="shared" ca="1" si="17"/>
        <v/>
      </c>
      <c r="G129" s="369" t="str">
        <f t="shared" ca="1" si="17"/>
        <v/>
      </c>
      <c r="H129" s="369" t="str">
        <f t="shared" ca="1" si="17"/>
        <v/>
      </c>
      <c r="I129" s="370" t="str">
        <f t="shared" ca="1" si="17"/>
        <v/>
      </c>
      <c r="J129" s="391" t="str">
        <f ca="1">IF($A129="*","",OFFSET(COM_N_2012!$B$60,AW129,SUMIF($B$10:$B$16,B129,$AX$10:$AX$16)))</f>
        <v/>
      </c>
      <c r="K129" s="369" t="str">
        <f ca="1">IF($B129&lt;&gt;"PRC_RESID","",IF(K$7=2005+OFFSET(COM_N_2012!$B$60,$AW129,SUMIF($B$10:$B$16,"NCAP_TLIFE",$AX$10:$AX$16)),0,""))</f>
        <v/>
      </c>
      <c r="L129" s="369" t="str">
        <f ca="1">IF($B129&lt;&gt;"PRC_RESID","",IF(L$7=2005+OFFSET(COM_N_2012!$B$60,$AW129,SUMIF($B$10:$B$16,"NCAP_TLIFE",$AX$10:$AX$16)),0,""))</f>
        <v/>
      </c>
      <c r="M129" s="369" t="str">
        <f ca="1">IF($B129&lt;&gt;"PRC_RESID","",IF(M$7=2005+OFFSET(COM_N_2012!$B$60,$AW129,SUMIF($B$10:$B$16,"NCAP_TLIFE",$AX$10:$AX$16)),0,""))</f>
        <v/>
      </c>
      <c r="N129" s="369" t="str">
        <f ca="1">IF($B129&lt;&gt;"PRC_RESID","",IF(N$7=2005+OFFSET(COM_N_2012!$B$60,$AW129,SUMIF($B$10:$B$16,"NCAP_TLIFE",$AX$10:$AX$16)),0,""))</f>
        <v/>
      </c>
      <c r="O129" s="369" t="str">
        <f ca="1">IF($B129&lt;&gt;"PRC_RESID","",IF(O$7=2005+OFFSET(COM_N_2012!$B$60,$AW129,SUMIF($B$10:$B$16,"NCAP_TLIFE",$AX$10:$AX$16)),0,""))</f>
        <v/>
      </c>
      <c r="P129" s="369" t="str">
        <f ca="1">IF($B129&lt;&gt;"PRC_RESID","",IF(P$7=2005+OFFSET(COM_N_2012!$B$60,$AW129,SUMIF($B$10:$B$16,"NCAP_TLIFE",$AX$10:$AX$16)),0,""))</f>
        <v/>
      </c>
      <c r="Q129" s="369" t="str">
        <f ca="1">IF($B129&lt;&gt;"PRC_RESID","",IF(Q$7=2005+OFFSET(COM_N_2012!$B$60,$AW129,SUMIF($B$10:$B$16,"NCAP_TLIFE",$AX$10:$AX$16)),0,""))</f>
        <v/>
      </c>
      <c r="R129" s="369" t="str">
        <f ca="1">IF($B129&lt;&gt;"PRC_RESID","",IF(R$7=2005+OFFSET(COM_N_2012!$B$60,$AW129,SUMIF($B$10:$B$16,"NCAP_TLIFE",$AX$10:$AX$16)),0,""))</f>
        <v/>
      </c>
      <c r="S129" s="369" t="str">
        <f ca="1">IF($B129&lt;&gt;"PRC_RESID","",IF(S$7=2005+OFFSET(COM_N_2012!$B$60,$AW129,SUMIF($B$10:$B$16,"NCAP_TLIFE",$AX$10:$AX$16)),0,""))</f>
        <v/>
      </c>
      <c r="T129" s="369" t="str">
        <f ca="1">IF($B129&lt;&gt;"PRC_RESID","",IF(T$7=2005+OFFSET(COM_N_2012!$B$60,$AW129,SUMIF($B$10:$B$16,"NCAP_TLIFE",$AX$10:$AX$16)),0,""))</f>
        <v/>
      </c>
      <c r="U129" s="369" t="str">
        <f ca="1">IF($B129&lt;&gt;"PRC_RESID","",IF(U$7=2005+OFFSET(COM_N_2012!$B$60,$AW129,SUMIF($B$10:$B$16,"NCAP_TLIFE",$AX$10:$AX$16)),0,""))</f>
        <v/>
      </c>
      <c r="V129" s="369" t="str">
        <f ca="1">IF($B129&lt;&gt;"PRC_RESID","",IF(V$7=2005+OFFSET(COM_N_2012!$B$60,$AW129,SUMIF($B$10:$B$16,"NCAP_TLIFE",$AX$10:$AX$16)),0,""))</f>
        <v/>
      </c>
      <c r="W129" s="369" t="str">
        <f ca="1">IF($B129&lt;&gt;"PRC_RESID","",IF(W$7=2005+OFFSET(COM_N_2012!$B$60,$AW129,SUMIF($B$10:$B$16,"NCAP_TLIFE",$AX$10:$AX$16)),0,""))</f>
        <v/>
      </c>
      <c r="X129" s="369" t="str">
        <f ca="1">IF($B129&lt;&gt;"PRC_RESID","",IF(X$7=2005+OFFSET(COM_N_2012!$B$60,$AW129,SUMIF($B$10:$B$16,"NCAP_TLIFE",$AX$10:$AX$16)),0,""))</f>
        <v/>
      </c>
      <c r="Y129" s="369" t="str">
        <f ca="1">IF($B129&lt;&gt;"PRC_RESID","",IF(Y$7=2005+OFFSET(COM_N_2012!$B$60,$AW129,SUMIF($B$10:$B$16,"NCAP_TLIFE",$AX$10:$AX$16)),0,""))</f>
        <v/>
      </c>
      <c r="Z129" s="369" t="str">
        <f ca="1">IF($B129&lt;&gt;"PRC_RESID","",IF(Z$7=2005+OFFSET(COM_N_2012!$B$60,$AW129,SUMIF($B$10:$B$16,"NCAP_TLIFE",$AX$10:$AX$16)),0,""))</f>
        <v/>
      </c>
      <c r="AA129" s="369" t="str">
        <f ca="1">IF($B129&lt;&gt;"PRC_RESID","",IF(AA$7=2005+OFFSET(COM_N_2012!$B$60,$AW129,SUMIF($B$10:$B$16,"NCAP_TLIFE",$AX$10:$AX$16)),0,""))</f>
        <v/>
      </c>
      <c r="AB129" s="369" t="str">
        <f ca="1">IF($B129&lt;&gt;"PRC_RESID","",IF(AB$7=2005+OFFSET(COM_N_2012!$B$60,$AW129,SUMIF($B$10:$B$16,"NCAP_TLIFE",$AX$10:$AX$16)),0,""))</f>
        <v/>
      </c>
      <c r="AC129" s="369" t="str">
        <f ca="1">IF($B129&lt;&gt;"PRC_RESID","",IF(AC$7=2005+OFFSET(COM_N_2012!$B$60,$AW129,SUMIF($B$10:$B$16,"NCAP_TLIFE",$AX$10:$AX$16)),0,""))</f>
        <v/>
      </c>
      <c r="AD129" s="369" t="str">
        <f ca="1">IF($B129&lt;&gt;"PRC_RESID","",IF(AD$7=2005+OFFSET(COM_N_2012!$B$60,$AW129,SUMIF($B$10:$B$16,"NCAP_TLIFE",$AX$10:$AX$16)),0,""))</f>
        <v/>
      </c>
      <c r="AE129" s="369" t="str">
        <f ca="1">IF($B129&lt;&gt;"PRC_RESID","",IF(AE$7=2005+OFFSET(COM_N_2012!$B$60,$AW129,SUMIF($B$10:$B$16,"NCAP_TLIFE",$AX$10:$AX$16)),0,""))</f>
        <v/>
      </c>
      <c r="AF129" s="369" t="str">
        <f ca="1">IF($B129&lt;&gt;"PRC_RESID","",IF(AF$7=2005+OFFSET(COM_N_2012!$B$60,$AW129,SUMIF($B$10:$B$16,"NCAP_TLIFE",$AX$10:$AX$16)),0,""))</f>
        <v/>
      </c>
      <c r="AG129" s="369" t="str">
        <f ca="1">IF($B129&lt;&gt;"PRC_RESID","",IF(AG$7=2005+OFFSET(COM_N_2012!$B$60,$AW129,SUMIF($B$10:$B$16,"NCAP_TLIFE",$AX$10:$AX$16)),0,""))</f>
        <v/>
      </c>
      <c r="AH129" s="369" t="str">
        <f ca="1">IF($B129&lt;&gt;"PRC_RESID","",IF(AH$7=2005+OFFSET(COM_N_2012!$B$60,$AW129,SUMIF($B$10:$B$16,"NCAP_TLIFE",$AX$10:$AX$16)),0,""))</f>
        <v/>
      </c>
      <c r="AI129" s="369" t="str">
        <f ca="1">IF($B129&lt;&gt;"PRC_RESID","",IF(AI$7=2005+OFFSET(COM_N_2012!$B$60,$AW129,SUMIF($B$10:$B$16,"NCAP_TLIFE",$AX$10:$AX$16)),0,""))</f>
        <v/>
      </c>
      <c r="AJ129" s="369" t="str">
        <f ca="1">IF($B129&lt;&gt;"PRC_RESID","",IF(AJ$7=2005+OFFSET(COM_N_2012!$B$60,$AW129,SUMIF($B$10:$B$16,"NCAP_TLIFE",$AX$10:$AX$16)),0,""))</f>
        <v/>
      </c>
      <c r="AK129" s="369" t="str">
        <f ca="1">IF($B129&lt;&gt;"PRC_RESID","",IF(AK$7=2005+OFFSET(COM_N_2012!$B$60,$AW129,SUMIF($B$10:$B$16,"NCAP_TLIFE",$AX$10:$AX$16)),0,""))</f>
        <v/>
      </c>
      <c r="AL129" s="369" t="str">
        <f ca="1">IF($B129&lt;&gt;"PRC_RESID","",IF(AL$7=2005+OFFSET(COM_N_2012!$B$60,$AW129,SUMIF($B$10:$B$16,"NCAP_TLIFE",$AX$10:$AX$16)),0,""))</f>
        <v/>
      </c>
      <c r="AM129" s="369" t="str">
        <f ca="1">IF($B129&lt;&gt;"PRC_RESID","",IF(AM$7=2005+OFFSET(COM_N_2012!$B$60,$AW129,SUMIF($B$10:$B$16,"NCAP_TLIFE",$AX$10:$AX$16)),0,""))</f>
        <v/>
      </c>
      <c r="AN129" s="369" t="str">
        <f ca="1">IF($B129&lt;&gt;"PRC_RESID","",IF(AN$7=2005+OFFSET(COM_N_2012!$B$60,$AW129,SUMIF($B$10:$B$16,"NCAP_TLIFE",$AX$10:$AX$16)),0,""))</f>
        <v/>
      </c>
      <c r="AO129" s="369" t="str">
        <f ca="1">IF($B129&lt;&gt;"PRC_RESID","",IF(AO$7=2005+OFFSET(COM_N_2012!$B$60,$AW129,SUMIF($B$10:$B$16,"NCAP_TLIFE",$AX$10:$AX$16)),0,""))</f>
        <v/>
      </c>
      <c r="AP129" s="369" t="str">
        <f ca="1">IF($B129&lt;&gt;"PRC_RESID","",IF(AP$7=2005+OFFSET(COM_N_2012!$B$60,$AW129,SUMIF($B$10:$B$16,"NCAP_TLIFE",$AX$10:$AX$16)),0,""))</f>
        <v/>
      </c>
      <c r="AQ129" s="369" t="str">
        <f ca="1">IF($B129&lt;&gt;"PRC_RESID","",IF(AQ$7=2005+OFFSET(COM_N_2012!$B$60,$AW129,SUMIF($B$10:$B$16,"NCAP_TLIFE",$AX$10:$AX$16)),0,""))</f>
        <v/>
      </c>
      <c r="AR129" s="369" t="str">
        <f ca="1">IF($B129&lt;&gt;"PRC_RESID","",IF(AR$7=2005+OFFSET(COM_N_2012!$B$60,$AW129,SUMIF($B$10:$B$16,"NCAP_TLIFE",$AX$10:$AX$16)),0,""))</f>
        <v/>
      </c>
      <c r="AS129" s="369" t="str">
        <f ca="1">IF($B129&lt;&gt;"PRC_RESID","",IF(AS$7=2005+OFFSET(COM_N_2012!$B$60,$AW129,SUMIF($B$10:$B$16,"NCAP_TLIFE",$AX$10:$AX$16)),0,""))</f>
        <v/>
      </c>
      <c r="AT129" s="369" t="str">
        <f ca="1">IF($B129&lt;&gt;"PRC_RESID","",IF(AT$7=2005+OFFSET(COM_N_2012!$B$60,$AW129,SUMIF($B$10:$B$16,"NCAP_TLIFE",$AX$10:$AX$16)),0,""))</f>
        <v/>
      </c>
      <c r="AU129" s="369" t="str">
        <f ca="1">IF($B129&lt;&gt;"PRC_RESID","",IF(AU$7=2005+OFFSET(COM_N_2012!$B$60,$AW129,SUMIF($B$10:$B$16,"NCAP_TLIFE",$AX$10:$AX$16)),0,""))</f>
        <v/>
      </c>
      <c r="AV129" s="304">
        <f>IF(AW128=COM_N_2012!$AK$121,AV128+1,AV128)</f>
        <v>2</v>
      </c>
      <c r="AW129" s="304">
        <f t="shared" si="12"/>
        <v>51</v>
      </c>
    </row>
    <row r="130" spans="1:49">
      <c r="A130" s="304" t="str">
        <f ca="1">IF(LEFT(OFFSET(COM_N_2012!$A$60,AW130,0),2)="\I","*","")</f>
        <v>*</v>
      </c>
      <c r="B130" s="369" t="str">
        <f t="shared" ca="1" si="11"/>
        <v/>
      </c>
      <c r="C130" s="369" t="str">
        <f ca="1">IF($A130="*","",OFFSET(COM_N_2012!$B$60,AW130,0))</f>
        <v/>
      </c>
      <c r="D130" s="369" t="str">
        <f t="shared" ca="1" si="17"/>
        <v/>
      </c>
      <c r="E130" s="369" t="str">
        <f t="shared" ca="1" si="17"/>
        <v/>
      </c>
      <c r="F130" s="369" t="str">
        <f t="shared" ca="1" si="17"/>
        <v/>
      </c>
      <c r="G130" s="369" t="str">
        <f t="shared" ca="1" si="17"/>
        <v/>
      </c>
      <c r="H130" s="369" t="str">
        <f t="shared" ca="1" si="17"/>
        <v/>
      </c>
      <c r="I130" s="370" t="str">
        <f t="shared" ca="1" si="17"/>
        <v/>
      </c>
      <c r="J130" s="391" t="str">
        <f ca="1">IF($A130="*","",OFFSET(COM_N_2012!$B$60,AW130,SUMIF($B$10:$B$16,B130,$AX$10:$AX$16)))</f>
        <v/>
      </c>
      <c r="K130" s="369" t="str">
        <f ca="1">IF($B130&lt;&gt;"PRC_RESID","",IF(K$7=2005+OFFSET(COM_N_2012!$B$60,$AW130,SUMIF($B$10:$B$16,"NCAP_TLIFE",$AX$10:$AX$16)),0,""))</f>
        <v/>
      </c>
      <c r="L130" s="369" t="str">
        <f ca="1">IF($B130&lt;&gt;"PRC_RESID","",IF(L$7=2005+OFFSET(COM_N_2012!$B$60,$AW130,SUMIF($B$10:$B$16,"NCAP_TLIFE",$AX$10:$AX$16)),0,""))</f>
        <v/>
      </c>
      <c r="M130" s="369" t="str">
        <f ca="1">IF($B130&lt;&gt;"PRC_RESID","",IF(M$7=2005+OFFSET(COM_N_2012!$B$60,$AW130,SUMIF($B$10:$B$16,"NCAP_TLIFE",$AX$10:$AX$16)),0,""))</f>
        <v/>
      </c>
      <c r="N130" s="369" t="str">
        <f ca="1">IF($B130&lt;&gt;"PRC_RESID","",IF(N$7=2005+OFFSET(COM_N_2012!$B$60,$AW130,SUMIF($B$10:$B$16,"NCAP_TLIFE",$AX$10:$AX$16)),0,""))</f>
        <v/>
      </c>
      <c r="O130" s="369" t="str">
        <f ca="1">IF($B130&lt;&gt;"PRC_RESID","",IF(O$7=2005+OFFSET(COM_N_2012!$B$60,$AW130,SUMIF($B$10:$B$16,"NCAP_TLIFE",$AX$10:$AX$16)),0,""))</f>
        <v/>
      </c>
      <c r="P130" s="369" t="str">
        <f ca="1">IF($B130&lt;&gt;"PRC_RESID","",IF(P$7=2005+OFFSET(COM_N_2012!$B$60,$AW130,SUMIF($B$10:$B$16,"NCAP_TLIFE",$AX$10:$AX$16)),0,""))</f>
        <v/>
      </c>
      <c r="Q130" s="369" t="str">
        <f ca="1">IF($B130&lt;&gt;"PRC_RESID","",IF(Q$7=2005+OFFSET(COM_N_2012!$B$60,$AW130,SUMIF($B$10:$B$16,"NCAP_TLIFE",$AX$10:$AX$16)),0,""))</f>
        <v/>
      </c>
      <c r="R130" s="369" t="str">
        <f ca="1">IF($B130&lt;&gt;"PRC_RESID","",IF(R$7=2005+OFFSET(COM_N_2012!$B$60,$AW130,SUMIF($B$10:$B$16,"NCAP_TLIFE",$AX$10:$AX$16)),0,""))</f>
        <v/>
      </c>
      <c r="S130" s="369" t="str">
        <f ca="1">IF($B130&lt;&gt;"PRC_RESID","",IF(S$7=2005+OFFSET(COM_N_2012!$B$60,$AW130,SUMIF($B$10:$B$16,"NCAP_TLIFE",$AX$10:$AX$16)),0,""))</f>
        <v/>
      </c>
      <c r="T130" s="369" t="str">
        <f ca="1">IF($B130&lt;&gt;"PRC_RESID","",IF(T$7=2005+OFFSET(COM_N_2012!$B$60,$AW130,SUMIF($B$10:$B$16,"NCAP_TLIFE",$AX$10:$AX$16)),0,""))</f>
        <v/>
      </c>
      <c r="U130" s="369" t="str">
        <f ca="1">IF($B130&lt;&gt;"PRC_RESID","",IF(U$7=2005+OFFSET(COM_N_2012!$B$60,$AW130,SUMIF($B$10:$B$16,"NCAP_TLIFE",$AX$10:$AX$16)),0,""))</f>
        <v/>
      </c>
      <c r="V130" s="369" t="str">
        <f ca="1">IF($B130&lt;&gt;"PRC_RESID","",IF(V$7=2005+OFFSET(COM_N_2012!$B$60,$AW130,SUMIF($B$10:$B$16,"NCAP_TLIFE",$AX$10:$AX$16)),0,""))</f>
        <v/>
      </c>
      <c r="W130" s="369" t="str">
        <f ca="1">IF($B130&lt;&gt;"PRC_RESID","",IF(W$7=2005+OFFSET(COM_N_2012!$B$60,$AW130,SUMIF($B$10:$B$16,"NCAP_TLIFE",$AX$10:$AX$16)),0,""))</f>
        <v/>
      </c>
      <c r="X130" s="369" t="str">
        <f ca="1">IF($B130&lt;&gt;"PRC_RESID","",IF(X$7=2005+OFFSET(COM_N_2012!$B$60,$AW130,SUMIF($B$10:$B$16,"NCAP_TLIFE",$AX$10:$AX$16)),0,""))</f>
        <v/>
      </c>
      <c r="Y130" s="369" t="str">
        <f ca="1">IF($B130&lt;&gt;"PRC_RESID","",IF(Y$7=2005+OFFSET(COM_N_2012!$B$60,$AW130,SUMIF($B$10:$B$16,"NCAP_TLIFE",$AX$10:$AX$16)),0,""))</f>
        <v/>
      </c>
      <c r="Z130" s="369" t="str">
        <f ca="1">IF($B130&lt;&gt;"PRC_RESID","",IF(Z$7=2005+OFFSET(COM_N_2012!$B$60,$AW130,SUMIF($B$10:$B$16,"NCAP_TLIFE",$AX$10:$AX$16)),0,""))</f>
        <v/>
      </c>
      <c r="AA130" s="369" t="str">
        <f ca="1">IF($B130&lt;&gt;"PRC_RESID","",IF(AA$7=2005+OFFSET(COM_N_2012!$B$60,$AW130,SUMIF($B$10:$B$16,"NCAP_TLIFE",$AX$10:$AX$16)),0,""))</f>
        <v/>
      </c>
      <c r="AB130" s="369" t="str">
        <f ca="1">IF($B130&lt;&gt;"PRC_RESID","",IF(AB$7=2005+OFFSET(COM_N_2012!$B$60,$AW130,SUMIF($B$10:$B$16,"NCAP_TLIFE",$AX$10:$AX$16)),0,""))</f>
        <v/>
      </c>
      <c r="AC130" s="369" t="str">
        <f ca="1">IF($B130&lt;&gt;"PRC_RESID","",IF(AC$7=2005+OFFSET(COM_N_2012!$B$60,$AW130,SUMIF($B$10:$B$16,"NCAP_TLIFE",$AX$10:$AX$16)),0,""))</f>
        <v/>
      </c>
      <c r="AD130" s="369" t="str">
        <f ca="1">IF($B130&lt;&gt;"PRC_RESID","",IF(AD$7=2005+OFFSET(COM_N_2012!$B$60,$AW130,SUMIF($B$10:$B$16,"NCAP_TLIFE",$AX$10:$AX$16)),0,""))</f>
        <v/>
      </c>
      <c r="AE130" s="369" t="str">
        <f ca="1">IF($B130&lt;&gt;"PRC_RESID","",IF(AE$7=2005+OFFSET(COM_N_2012!$B$60,$AW130,SUMIF($B$10:$B$16,"NCAP_TLIFE",$AX$10:$AX$16)),0,""))</f>
        <v/>
      </c>
      <c r="AF130" s="369" t="str">
        <f ca="1">IF($B130&lt;&gt;"PRC_RESID","",IF(AF$7=2005+OFFSET(COM_N_2012!$B$60,$AW130,SUMIF($B$10:$B$16,"NCAP_TLIFE",$AX$10:$AX$16)),0,""))</f>
        <v/>
      </c>
      <c r="AG130" s="369" t="str">
        <f ca="1">IF($B130&lt;&gt;"PRC_RESID","",IF(AG$7=2005+OFFSET(COM_N_2012!$B$60,$AW130,SUMIF($B$10:$B$16,"NCAP_TLIFE",$AX$10:$AX$16)),0,""))</f>
        <v/>
      </c>
      <c r="AH130" s="369" t="str">
        <f ca="1">IF($B130&lt;&gt;"PRC_RESID","",IF(AH$7=2005+OFFSET(COM_N_2012!$B$60,$AW130,SUMIF($B$10:$B$16,"NCAP_TLIFE",$AX$10:$AX$16)),0,""))</f>
        <v/>
      </c>
      <c r="AI130" s="369" t="str">
        <f ca="1">IF($B130&lt;&gt;"PRC_RESID","",IF(AI$7=2005+OFFSET(COM_N_2012!$B$60,$AW130,SUMIF($B$10:$B$16,"NCAP_TLIFE",$AX$10:$AX$16)),0,""))</f>
        <v/>
      </c>
      <c r="AJ130" s="369" t="str">
        <f ca="1">IF($B130&lt;&gt;"PRC_RESID","",IF(AJ$7=2005+OFFSET(COM_N_2012!$B$60,$AW130,SUMIF($B$10:$B$16,"NCAP_TLIFE",$AX$10:$AX$16)),0,""))</f>
        <v/>
      </c>
      <c r="AK130" s="369" t="str">
        <f ca="1">IF($B130&lt;&gt;"PRC_RESID","",IF(AK$7=2005+OFFSET(COM_N_2012!$B$60,$AW130,SUMIF($B$10:$B$16,"NCAP_TLIFE",$AX$10:$AX$16)),0,""))</f>
        <v/>
      </c>
      <c r="AL130" s="369" t="str">
        <f ca="1">IF($B130&lt;&gt;"PRC_RESID","",IF(AL$7=2005+OFFSET(COM_N_2012!$B$60,$AW130,SUMIF($B$10:$B$16,"NCAP_TLIFE",$AX$10:$AX$16)),0,""))</f>
        <v/>
      </c>
      <c r="AM130" s="369" t="str">
        <f ca="1">IF($B130&lt;&gt;"PRC_RESID","",IF(AM$7=2005+OFFSET(COM_N_2012!$B$60,$AW130,SUMIF($B$10:$B$16,"NCAP_TLIFE",$AX$10:$AX$16)),0,""))</f>
        <v/>
      </c>
      <c r="AN130" s="369" t="str">
        <f ca="1">IF($B130&lt;&gt;"PRC_RESID","",IF(AN$7=2005+OFFSET(COM_N_2012!$B$60,$AW130,SUMIF($B$10:$B$16,"NCAP_TLIFE",$AX$10:$AX$16)),0,""))</f>
        <v/>
      </c>
      <c r="AO130" s="369" t="str">
        <f ca="1">IF($B130&lt;&gt;"PRC_RESID","",IF(AO$7=2005+OFFSET(COM_N_2012!$B$60,$AW130,SUMIF($B$10:$B$16,"NCAP_TLIFE",$AX$10:$AX$16)),0,""))</f>
        <v/>
      </c>
      <c r="AP130" s="369" t="str">
        <f ca="1">IF($B130&lt;&gt;"PRC_RESID","",IF(AP$7=2005+OFFSET(COM_N_2012!$B$60,$AW130,SUMIF($B$10:$B$16,"NCAP_TLIFE",$AX$10:$AX$16)),0,""))</f>
        <v/>
      </c>
      <c r="AQ130" s="369" t="str">
        <f ca="1">IF($B130&lt;&gt;"PRC_RESID","",IF(AQ$7=2005+OFFSET(COM_N_2012!$B$60,$AW130,SUMIF($B$10:$B$16,"NCAP_TLIFE",$AX$10:$AX$16)),0,""))</f>
        <v/>
      </c>
      <c r="AR130" s="369" t="str">
        <f ca="1">IF($B130&lt;&gt;"PRC_RESID","",IF(AR$7=2005+OFFSET(COM_N_2012!$B$60,$AW130,SUMIF($B$10:$B$16,"NCAP_TLIFE",$AX$10:$AX$16)),0,""))</f>
        <v/>
      </c>
      <c r="AS130" s="369" t="str">
        <f ca="1">IF($B130&lt;&gt;"PRC_RESID","",IF(AS$7=2005+OFFSET(COM_N_2012!$B$60,$AW130,SUMIF($B$10:$B$16,"NCAP_TLIFE",$AX$10:$AX$16)),0,""))</f>
        <v/>
      </c>
      <c r="AT130" s="369" t="str">
        <f ca="1">IF($B130&lt;&gt;"PRC_RESID","",IF(AT$7=2005+OFFSET(COM_N_2012!$B$60,$AW130,SUMIF($B$10:$B$16,"NCAP_TLIFE",$AX$10:$AX$16)),0,""))</f>
        <v/>
      </c>
      <c r="AU130" s="369" t="str">
        <f ca="1">IF($B130&lt;&gt;"PRC_RESID","",IF(AU$7=2005+OFFSET(COM_N_2012!$B$60,$AW130,SUMIF($B$10:$B$16,"NCAP_TLIFE",$AX$10:$AX$16)),0,""))</f>
        <v/>
      </c>
      <c r="AV130" s="304">
        <f>IF(AW129=COM_N_2012!$AK$121,AV129+1,AV129)</f>
        <v>2</v>
      </c>
      <c r="AW130" s="304">
        <f t="shared" si="12"/>
        <v>52</v>
      </c>
    </row>
    <row r="131" spans="1:49">
      <c r="A131" s="304" t="str">
        <f ca="1">IF(LEFT(OFFSET(COM_N_2012!$A$60,AW131,0),2)="\I","*","")</f>
        <v/>
      </c>
      <c r="B131" s="369" t="str">
        <f t="shared" ca="1" si="11"/>
        <v>NCAP_BND</v>
      </c>
      <c r="C131" s="369" t="str">
        <f ca="1">IF($A131="*","",OFFSET(COM_N_2012!$B$60,AW131,0))</f>
        <v>CNOCOA-E</v>
      </c>
      <c r="D131" s="369" t="str">
        <f t="shared" ca="1" si="17"/>
        <v>-</v>
      </c>
      <c r="E131" s="369" t="str">
        <f t="shared" ca="1" si="17"/>
        <v>-</v>
      </c>
      <c r="F131" s="369" t="str">
        <f t="shared" ca="1" si="17"/>
        <v>-</v>
      </c>
      <c r="G131" s="369" t="str">
        <f t="shared" ca="1" si="17"/>
        <v>-</v>
      </c>
      <c r="H131" s="369" t="str">
        <f t="shared" ca="1" si="17"/>
        <v>UP</v>
      </c>
      <c r="I131" s="370">
        <f t="shared" ca="1" si="17"/>
        <v>0</v>
      </c>
      <c r="J131" s="391">
        <f ca="1">IF($A131="*","",OFFSET(COM_N_2012!$B$60,AW131,SUMIF($B$10:$B$16,B131,$AX$10:$AX$16)))</f>
        <v>0</v>
      </c>
      <c r="K131" s="369" t="str">
        <f ca="1">IF($B131&lt;&gt;"PRC_RESID","",IF(K$7=2005+OFFSET(COM_N_2012!$B$60,$AW131,SUMIF($B$10:$B$16,"NCAP_TLIFE",$AX$10:$AX$16)),0,""))</f>
        <v/>
      </c>
      <c r="L131" s="369" t="str">
        <f ca="1">IF($B131&lt;&gt;"PRC_RESID","",IF(L$7=2005+OFFSET(COM_N_2012!$B$60,$AW131,SUMIF($B$10:$B$16,"NCAP_TLIFE",$AX$10:$AX$16)),0,""))</f>
        <v/>
      </c>
      <c r="M131" s="369" t="str">
        <f ca="1">IF($B131&lt;&gt;"PRC_RESID","",IF(M$7=2005+OFFSET(COM_N_2012!$B$60,$AW131,SUMIF($B$10:$B$16,"NCAP_TLIFE",$AX$10:$AX$16)),0,""))</f>
        <v/>
      </c>
      <c r="N131" s="369" t="str">
        <f ca="1">IF($B131&lt;&gt;"PRC_RESID","",IF(N$7=2005+OFFSET(COM_N_2012!$B$60,$AW131,SUMIF($B$10:$B$16,"NCAP_TLIFE",$AX$10:$AX$16)),0,""))</f>
        <v/>
      </c>
      <c r="O131" s="369" t="str">
        <f ca="1">IF($B131&lt;&gt;"PRC_RESID","",IF(O$7=2005+OFFSET(COM_N_2012!$B$60,$AW131,SUMIF($B$10:$B$16,"NCAP_TLIFE",$AX$10:$AX$16)),0,""))</f>
        <v/>
      </c>
      <c r="P131" s="369" t="str">
        <f ca="1">IF($B131&lt;&gt;"PRC_RESID","",IF(P$7=2005+OFFSET(COM_N_2012!$B$60,$AW131,SUMIF($B$10:$B$16,"NCAP_TLIFE",$AX$10:$AX$16)),0,""))</f>
        <v/>
      </c>
      <c r="Q131" s="369" t="str">
        <f ca="1">IF($B131&lt;&gt;"PRC_RESID","",IF(Q$7=2005+OFFSET(COM_N_2012!$B$60,$AW131,SUMIF($B$10:$B$16,"NCAP_TLIFE",$AX$10:$AX$16)),0,""))</f>
        <v/>
      </c>
      <c r="R131" s="369" t="str">
        <f ca="1">IF($B131&lt;&gt;"PRC_RESID","",IF(R$7=2005+OFFSET(COM_N_2012!$B$60,$AW131,SUMIF($B$10:$B$16,"NCAP_TLIFE",$AX$10:$AX$16)),0,""))</f>
        <v/>
      </c>
      <c r="S131" s="369" t="str">
        <f ca="1">IF($B131&lt;&gt;"PRC_RESID","",IF(S$7=2005+OFFSET(COM_N_2012!$B$60,$AW131,SUMIF($B$10:$B$16,"NCAP_TLIFE",$AX$10:$AX$16)),0,""))</f>
        <v/>
      </c>
      <c r="T131" s="369" t="str">
        <f ca="1">IF($B131&lt;&gt;"PRC_RESID","",IF(T$7=2005+OFFSET(COM_N_2012!$B$60,$AW131,SUMIF($B$10:$B$16,"NCAP_TLIFE",$AX$10:$AX$16)),0,""))</f>
        <v/>
      </c>
      <c r="U131" s="369" t="str">
        <f ca="1">IF($B131&lt;&gt;"PRC_RESID","",IF(U$7=2005+OFFSET(COM_N_2012!$B$60,$AW131,SUMIF($B$10:$B$16,"NCAP_TLIFE",$AX$10:$AX$16)),0,""))</f>
        <v/>
      </c>
      <c r="V131" s="369" t="str">
        <f ca="1">IF($B131&lt;&gt;"PRC_RESID","",IF(V$7=2005+OFFSET(COM_N_2012!$B$60,$AW131,SUMIF($B$10:$B$16,"NCAP_TLIFE",$AX$10:$AX$16)),0,""))</f>
        <v/>
      </c>
      <c r="W131" s="369" t="str">
        <f ca="1">IF($B131&lt;&gt;"PRC_RESID","",IF(W$7=2005+OFFSET(COM_N_2012!$B$60,$AW131,SUMIF($B$10:$B$16,"NCAP_TLIFE",$AX$10:$AX$16)),0,""))</f>
        <v/>
      </c>
      <c r="X131" s="369" t="str">
        <f ca="1">IF($B131&lt;&gt;"PRC_RESID","",IF(X$7=2005+OFFSET(COM_N_2012!$B$60,$AW131,SUMIF($B$10:$B$16,"NCAP_TLIFE",$AX$10:$AX$16)),0,""))</f>
        <v/>
      </c>
      <c r="Y131" s="369" t="str">
        <f ca="1">IF($B131&lt;&gt;"PRC_RESID","",IF(Y$7=2005+OFFSET(COM_N_2012!$B$60,$AW131,SUMIF($B$10:$B$16,"NCAP_TLIFE",$AX$10:$AX$16)),0,""))</f>
        <v/>
      </c>
      <c r="Z131" s="369" t="str">
        <f ca="1">IF($B131&lt;&gt;"PRC_RESID","",IF(Z$7=2005+OFFSET(COM_N_2012!$B$60,$AW131,SUMIF($B$10:$B$16,"NCAP_TLIFE",$AX$10:$AX$16)),0,""))</f>
        <v/>
      </c>
      <c r="AA131" s="369" t="str">
        <f ca="1">IF($B131&lt;&gt;"PRC_RESID","",IF(AA$7=2005+OFFSET(COM_N_2012!$B$60,$AW131,SUMIF($B$10:$B$16,"NCAP_TLIFE",$AX$10:$AX$16)),0,""))</f>
        <v/>
      </c>
      <c r="AB131" s="369" t="str">
        <f ca="1">IF($B131&lt;&gt;"PRC_RESID","",IF(AB$7=2005+OFFSET(COM_N_2012!$B$60,$AW131,SUMIF($B$10:$B$16,"NCAP_TLIFE",$AX$10:$AX$16)),0,""))</f>
        <v/>
      </c>
      <c r="AC131" s="369" t="str">
        <f ca="1">IF($B131&lt;&gt;"PRC_RESID","",IF(AC$7=2005+OFFSET(COM_N_2012!$B$60,$AW131,SUMIF($B$10:$B$16,"NCAP_TLIFE",$AX$10:$AX$16)),0,""))</f>
        <v/>
      </c>
      <c r="AD131" s="369" t="str">
        <f ca="1">IF($B131&lt;&gt;"PRC_RESID","",IF(AD$7=2005+OFFSET(COM_N_2012!$B$60,$AW131,SUMIF($B$10:$B$16,"NCAP_TLIFE",$AX$10:$AX$16)),0,""))</f>
        <v/>
      </c>
      <c r="AE131" s="369" t="str">
        <f ca="1">IF($B131&lt;&gt;"PRC_RESID","",IF(AE$7=2005+OFFSET(COM_N_2012!$B$60,$AW131,SUMIF($B$10:$B$16,"NCAP_TLIFE",$AX$10:$AX$16)),0,""))</f>
        <v/>
      </c>
      <c r="AF131" s="369" t="str">
        <f ca="1">IF($B131&lt;&gt;"PRC_RESID","",IF(AF$7=2005+OFFSET(COM_N_2012!$B$60,$AW131,SUMIF($B$10:$B$16,"NCAP_TLIFE",$AX$10:$AX$16)),0,""))</f>
        <v/>
      </c>
      <c r="AG131" s="369" t="str">
        <f ca="1">IF($B131&lt;&gt;"PRC_RESID","",IF(AG$7=2005+OFFSET(COM_N_2012!$B$60,$AW131,SUMIF($B$10:$B$16,"NCAP_TLIFE",$AX$10:$AX$16)),0,""))</f>
        <v/>
      </c>
      <c r="AH131" s="369" t="str">
        <f ca="1">IF($B131&lt;&gt;"PRC_RESID","",IF(AH$7=2005+OFFSET(COM_N_2012!$B$60,$AW131,SUMIF($B$10:$B$16,"NCAP_TLIFE",$AX$10:$AX$16)),0,""))</f>
        <v/>
      </c>
      <c r="AI131" s="369" t="str">
        <f ca="1">IF($B131&lt;&gt;"PRC_RESID","",IF(AI$7=2005+OFFSET(COM_N_2012!$B$60,$AW131,SUMIF($B$10:$B$16,"NCAP_TLIFE",$AX$10:$AX$16)),0,""))</f>
        <v/>
      </c>
      <c r="AJ131" s="369" t="str">
        <f ca="1">IF($B131&lt;&gt;"PRC_RESID","",IF(AJ$7=2005+OFFSET(COM_N_2012!$B$60,$AW131,SUMIF($B$10:$B$16,"NCAP_TLIFE",$AX$10:$AX$16)),0,""))</f>
        <v/>
      </c>
      <c r="AK131" s="369" t="str">
        <f ca="1">IF($B131&lt;&gt;"PRC_RESID","",IF(AK$7=2005+OFFSET(COM_N_2012!$B$60,$AW131,SUMIF($B$10:$B$16,"NCAP_TLIFE",$AX$10:$AX$16)),0,""))</f>
        <v/>
      </c>
      <c r="AL131" s="369" t="str">
        <f ca="1">IF($B131&lt;&gt;"PRC_RESID","",IF(AL$7=2005+OFFSET(COM_N_2012!$B$60,$AW131,SUMIF($B$10:$B$16,"NCAP_TLIFE",$AX$10:$AX$16)),0,""))</f>
        <v/>
      </c>
      <c r="AM131" s="369" t="str">
        <f ca="1">IF($B131&lt;&gt;"PRC_RESID","",IF(AM$7=2005+OFFSET(COM_N_2012!$B$60,$AW131,SUMIF($B$10:$B$16,"NCAP_TLIFE",$AX$10:$AX$16)),0,""))</f>
        <v/>
      </c>
      <c r="AN131" s="369" t="str">
        <f ca="1">IF($B131&lt;&gt;"PRC_RESID","",IF(AN$7=2005+OFFSET(COM_N_2012!$B$60,$AW131,SUMIF($B$10:$B$16,"NCAP_TLIFE",$AX$10:$AX$16)),0,""))</f>
        <v/>
      </c>
      <c r="AO131" s="369" t="str">
        <f ca="1">IF($B131&lt;&gt;"PRC_RESID","",IF(AO$7=2005+OFFSET(COM_N_2012!$B$60,$AW131,SUMIF($B$10:$B$16,"NCAP_TLIFE",$AX$10:$AX$16)),0,""))</f>
        <v/>
      </c>
      <c r="AP131" s="369" t="str">
        <f ca="1">IF($B131&lt;&gt;"PRC_RESID","",IF(AP$7=2005+OFFSET(COM_N_2012!$B$60,$AW131,SUMIF($B$10:$B$16,"NCAP_TLIFE",$AX$10:$AX$16)),0,""))</f>
        <v/>
      </c>
      <c r="AQ131" s="369" t="str">
        <f ca="1">IF($B131&lt;&gt;"PRC_RESID","",IF(AQ$7=2005+OFFSET(COM_N_2012!$B$60,$AW131,SUMIF($B$10:$B$16,"NCAP_TLIFE",$AX$10:$AX$16)),0,""))</f>
        <v/>
      </c>
      <c r="AR131" s="369" t="str">
        <f ca="1">IF($B131&lt;&gt;"PRC_RESID","",IF(AR$7=2005+OFFSET(COM_N_2012!$B$60,$AW131,SUMIF($B$10:$B$16,"NCAP_TLIFE",$AX$10:$AX$16)),0,""))</f>
        <v/>
      </c>
      <c r="AS131" s="369" t="str">
        <f ca="1">IF($B131&lt;&gt;"PRC_RESID","",IF(AS$7=2005+OFFSET(COM_N_2012!$B$60,$AW131,SUMIF($B$10:$B$16,"NCAP_TLIFE",$AX$10:$AX$16)),0,""))</f>
        <v/>
      </c>
      <c r="AT131" s="369" t="str">
        <f ca="1">IF($B131&lt;&gt;"PRC_RESID","",IF(AT$7=2005+OFFSET(COM_N_2012!$B$60,$AW131,SUMIF($B$10:$B$16,"NCAP_TLIFE",$AX$10:$AX$16)),0,""))</f>
        <v/>
      </c>
      <c r="AU131" s="369" t="str">
        <f ca="1">IF($B131&lt;&gt;"PRC_RESID","",IF(AU$7=2005+OFFSET(COM_N_2012!$B$60,$AW131,SUMIF($B$10:$B$16,"NCAP_TLIFE",$AX$10:$AX$16)),0,""))</f>
        <v/>
      </c>
      <c r="AV131" s="304">
        <f>IF(AW130=COM_N_2012!$AK$121,AV130+1,AV130)</f>
        <v>2</v>
      </c>
      <c r="AW131" s="304">
        <f t="shared" si="12"/>
        <v>53</v>
      </c>
    </row>
    <row r="132" spans="1:49">
      <c r="A132" s="304" t="str">
        <f ca="1">IF(LEFT(OFFSET(COM_N_2012!$A$60,AW132,0),2)="\I","*","")</f>
        <v/>
      </c>
      <c r="B132" s="369" t="str">
        <f t="shared" ca="1" si="11"/>
        <v>NCAP_BND</v>
      </c>
      <c r="C132" s="369" t="str">
        <f ca="1">IF($A132="*","",OFFSET(COM_N_2012!$B$60,AW132,0))</f>
        <v>CNOODS-E</v>
      </c>
      <c r="D132" s="369" t="str">
        <f t="shared" ca="1" si="17"/>
        <v>-</v>
      </c>
      <c r="E132" s="369" t="str">
        <f t="shared" ca="1" si="17"/>
        <v>-</v>
      </c>
      <c r="F132" s="369" t="str">
        <f t="shared" ca="1" si="17"/>
        <v>-</v>
      </c>
      <c r="G132" s="369" t="str">
        <f t="shared" ca="1" si="17"/>
        <v>-</v>
      </c>
      <c r="H132" s="369" t="str">
        <f t="shared" ca="1" si="17"/>
        <v>UP</v>
      </c>
      <c r="I132" s="370">
        <f t="shared" ca="1" si="17"/>
        <v>0</v>
      </c>
      <c r="J132" s="391">
        <f ca="1">IF($A132="*","",OFFSET(COM_N_2012!$B$60,AW132,SUMIF($B$10:$B$16,B132,$AX$10:$AX$16)))</f>
        <v>0</v>
      </c>
      <c r="K132" s="369" t="str">
        <f ca="1">IF($B132&lt;&gt;"PRC_RESID","",IF(K$7=2005+OFFSET(COM_N_2012!$B$60,$AW132,SUMIF($B$10:$B$16,"NCAP_TLIFE",$AX$10:$AX$16)),0,""))</f>
        <v/>
      </c>
      <c r="L132" s="369" t="str">
        <f ca="1">IF($B132&lt;&gt;"PRC_RESID","",IF(L$7=2005+OFFSET(COM_N_2012!$B$60,$AW132,SUMIF($B$10:$B$16,"NCAP_TLIFE",$AX$10:$AX$16)),0,""))</f>
        <v/>
      </c>
      <c r="M132" s="369" t="str">
        <f ca="1">IF($B132&lt;&gt;"PRC_RESID","",IF(M$7=2005+OFFSET(COM_N_2012!$B$60,$AW132,SUMIF($B$10:$B$16,"NCAP_TLIFE",$AX$10:$AX$16)),0,""))</f>
        <v/>
      </c>
      <c r="N132" s="369" t="str">
        <f ca="1">IF($B132&lt;&gt;"PRC_RESID","",IF(N$7=2005+OFFSET(COM_N_2012!$B$60,$AW132,SUMIF($B$10:$B$16,"NCAP_TLIFE",$AX$10:$AX$16)),0,""))</f>
        <v/>
      </c>
      <c r="O132" s="369" t="str">
        <f ca="1">IF($B132&lt;&gt;"PRC_RESID","",IF(O$7=2005+OFFSET(COM_N_2012!$B$60,$AW132,SUMIF($B$10:$B$16,"NCAP_TLIFE",$AX$10:$AX$16)),0,""))</f>
        <v/>
      </c>
      <c r="P132" s="369" t="str">
        <f ca="1">IF($B132&lt;&gt;"PRC_RESID","",IF(P$7=2005+OFFSET(COM_N_2012!$B$60,$AW132,SUMIF($B$10:$B$16,"NCAP_TLIFE",$AX$10:$AX$16)),0,""))</f>
        <v/>
      </c>
      <c r="Q132" s="369" t="str">
        <f ca="1">IF($B132&lt;&gt;"PRC_RESID","",IF(Q$7=2005+OFFSET(COM_N_2012!$B$60,$AW132,SUMIF($B$10:$B$16,"NCAP_TLIFE",$AX$10:$AX$16)),0,""))</f>
        <v/>
      </c>
      <c r="R132" s="369" t="str">
        <f ca="1">IF($B132&lt;&gt;"PRC_RESID","",IF(R$7=2005+OFFSET(COM_N_2012!$B$60,$AW132,SUMIF($B$10:$B$16,"NCAP_TLIFE",$AX$10:$AX$16)),0,""))</f>
        <v/>
      </c>
      <c r="S132" s="369" t="str">
        <f ca="1">IF($B132&lt;&gt;"PRC_RESID","",IF(S$7=2005+OFFSET(COM_N_2012!$B$60,$AW132,SUMIF($B$10:$B$16,"NCAP_TLIFE",$AX$10:$AX$16)),0,""))</f>
        <v/>
      </c>
      <c r="T132" s="369" t="str">
        <f ca="1">IF($B132&lt;&gt;"PRC_RESID","",IF(T$7=2005+OFFSET(COM_N_2012!$B$60,$AW132,SUMIF($B$10:$B$16,"NCAP_TLIFE",$AX$10:$AX$16)),0,""))</f>
        <v/>
      </c>
      <c r="U132" s="369" t="str">
        <f ca="1">IF($B132&lt;&gt;"PRC_RESID","",IF(U$7=2005+OFFSET(COM_N_2012!$B$60,$AW132,SUMIF($B$10:$B$16,"NCAP_TLIFE",$AX$10:$AX$16)),0,""))</f>
        <v/>
      </c>
      <c r="V132" s="369" t="str">
        <f ca="1">IF($B132&lt;&gt;"PRC_RESID","",IF(V$7=2005+OFFSET(COM_N_2012!$B$60,$AW132,SUMIF($B$10:$B$16,"NCAP_TLIFE",$AX$10:$AX$16)),0,""))</f>
        <v/>
      </c>
      <c r="W132" s="369" t="str">
        <f ca="1">IF($B132&lt;&gt;"PRC_RESID","",IF(W$7=2005+OFFSET(COM_N_2012!$B$60,$AW132,SUMIF($B$10:$B$16,"NCAP_TLIFE",$AX$10:$AX$16)),0,""))</f>
        <v/>
      </c>
      <c r="X132" s="369" t="str">
        <f ca="1">IF($B132&lt;&gt;"PRC_RESID","",IF(X$7=2005+OFFSET(COM_N_2012!$B$60,$AW132,SUMIF($B$10:$B$16,"NCAP_TLIFE",$AX$10:$AX$16)),0,""))</f>
        <v/>
      </c>
      <c r="Y132" s="369" t="str">
        <f ca="1">IF($B132&lt;&gt;"PRC_RESID","",IF(Y$7=2005+OFFSET(COM_N_2012!$B$60,$AW132,SUMIF($B$10:$B$16,"NCAP_TLIFE",$AX$10:$AX$16)),0,""))</f>
        <v/>
      </c>
      <c r="Z132" s="369" t="str">
        <f ca="1">IF($B132&lt;&gt;"PRC_RESID","",IF(Z$7=2005+OFFSET(COM_N_2012!$B$60,$AW132,SUMIF($B$10:$B$16,"NCAP_TLIFE",$AX$10:$AX$16)),0,""))</f>
        <v/>
      </c>
      <c r="AA132" s="369" t="str">
        <f ca="1">IF($B132&lt;&gt;"PRC_RESID","",IF(AA$7=2005+OFFSET(COM_N_2012!$B$60,$AW132,SUMIF($B$10:$B$16,"NCAP_TLIFE",$AX$10:$AX$16)),0,""))</f>
        <v/>
      </c>
      <c r="AB132" s="369" t="str">
        <f ca="1">IF($B132&lt;&gt;"PRC_RESID","",IF(AB$7=2005+OFFSET(COM_N_2012!$B$60,$AW132,SUMIF($B$10:$B$16,"NCAP_TLIFE",$AX$10:$AX$16)),0,""))</f>
        <v/>
      </c>
      <c r="AC132" s="369" t="str">
        <f ca="1">IF($B132&lt;&gt;"PRC_RESID","",IF(AC$7=2005+OFFSET(COM_N_2012!$B$60,$AW132,SUMIF($B$10:$B$16,"NCAP_TLIFE",$AX$10:$AX$16)),0,""))</f>
        <v/>
      </c>
      <c r="AD132" s="369" t="str">
        <f ca="1">IF($B132&lt;&gt;"PRC_RESID","",IF(AD$7=2005+OFFSET(COM_N_2012!$B$60,$AW132,SUMIF($B$10:$B$16,"NCAP_TLIFE",$AX$10:$AX$16)),0,""))</f>
        <v/>
      </c>
      <c r="AE132" s="369" t="str">
        <f ca="1">IF($B132&lt;&gt;"PRC_RESID","",IF(AE$7=2005+OFFSET(COM_N_2012!$B$60,$AW132,SUMIF($B$10:$B$16,"NCAP_TLIFE",$AX$10:$AX$16)),0,""))</f>
        <v/>
      </c>
      <c r="AF132" s="369" t="str">
        <f ca="1">IF($B132&lt;&gt;"PRC_RESID","",IF(AF$7=2005+OFFSET(COM_N_2012!$B$60,$AW132,SUMIF($B$10:$B$16,"NCAP_TLIFE",$AX$10:$AX$16)),0,""))</f>
        <v/>
      </c>
      <c r="AG132" s="369" t="str">
        <f ca="1">IF($B132&lt;&gt;"PRC_RESID","",IF(AG$7=2005+OFFSET(COM_N_2012!$B$60,$AW132,SUMIF($B$10:$B$16,"NCAP_TLIFE",$AX$10:$AX$16)),0,""))</f>
        <v/>
      </c>
      <c r="AH132" s="369" t="str">
        <f ca="1">IF($B132&lt;&gt;"PRC_RESID","",IF(AH$7=2005+OFFSET(COM_N_2012!$B$60,$AW132,SUMIF($B$10:$B$16,"NCAP_TLIFE",$AX$10:$AX$16)),0,""))</f>
        <v/>
      </c>
      <c r="AI132" s="369" t="str">
        <f ca="1">IF($B132&lt;&gt;"PRC_RESID","",IF(AI$7=2005+OFFSET(COM_N_2012!$B$60,$AW132,SUMIF($B$10:$B$16,"NCAP_TLIFE",$AX$10:$AX$16)),0,""))</f>
        <v/>
      </c>
      <c r="AJ132" s="369" t="str">
        <f ca="1">IF($B132&lt;&gt;"PRC_RESID","",IF(AJ$7=2005+OFFSET(COM_N_2012!$B$60,$AW132,SUMIF($B$10:$B$16,"NCAP_TLIFE",$AX$10:$AX$16)),0,""))</f>
        <v/>
      </c>
      <c r="AK132" s="369" t="str">
        <f ca="1">IF($B132&lt;&gt;"PRC_RESID","",IF(AK$7=2005+OFFSET(COM_N_2012!$B$60,$AW132,SUMIF($B$10:$B$16,"NCAP_TLIFE",$AX$10:$AX$16)),0,""))</f>
        <v/>
      </c>
      <c r="AL132" s="369" t="str">
        <f ca="1">IF($B132&lt;&gt;"PRC_RESID","",IF(AL$7=2005+OFFSET(COM_N_2012!$B$60,$AW132,SUMIF($B$10:$B$16,"NCAP_TLIFE",$AX$10:$AX$16)),0,""))</f>
        <v/>
      </c>
      <c r="AM132" s="369" t="str">
        <f ca="1">IF($B132&lt;&gt;"PRC_RESID","",IF(AM$7=2005+OFFSET(COM_N_2012!$B$60,$AW132,SUMIF($B$10:$B$16,"NCAP_TLIFE",$AX$10:$AX$16)),0,""))</f>
        <v/>
      </c>
      <c r="AN132" s="369" t="str">
        <f ca="1">IF($B132&lt;&gt;"PRC_RESID","",IF(AN$7=2005+OFFSET(COM_N_2012!$B$60,$AW132,SUMIF($B$10:$B$16,"NCAP_TLIFE",$AX$10:$AX$16)),0,""))</f>
        <v/>
      </c>
      <c r="AO132" s="369" t="str">
        <f ca="1">IF($B132&lt;&gt;"PRC_RESID","",IF(AO$7=2005+OFFSET(COM_N_2012!$B$60,$AW132,SUMIF($B$10:$B$16,"NCAP_TLIFE",$AX$10:$AX$16)),0,""))</f>
        <v/>
      </c>
      <c r="AP132" s="369" t="str">
        <f ca="1">IF($B132&lt;&gt;"PRC_RESID","",IF(AP$7=2005+OFFSET(COM_N_2012!$B$60,$AW132,SUMIF($B$10:$B$16,"NCAP_TLIFE",$AX$10:$AX$16)),0,""))</f>
        <v/>
      </c>
      <c r="AQ132" s="369" t="str">
        <f ca="1">IF($B132&lt;&gt;"PRC_RESID","",IF(AQ$7=2005+OFFSET(COM_N_2012!$B$60,$AW132,SUMIF($B$10:$B$16,"NCAP_TLIFE",$AX$10:$AX$16)),0,""))</f>
        <v/>
      </c>
      <c r="AR132" s="369" t="str">
        <f ca="1">IF($B132&lt;&gt;"PRC_RESID","",IF(AR$7=2005+OFFSET(COM_N_2012!$B$60,$AW132,SUMIF($B$10:$B$16,"NCAP_TLIFE",$AX$10:$AX$16)),0,""))</f>
        <v/>
      </c>
      <c r="AS132" s="369" t="str">
        <f ca="1">IF($B132&lt;&gt;"PRC_RESID","",IF(AS$7=2005+OFFSET(COM_N_2012!$B$60,$AW132,SUMIF($B$10:$B$16,"NCAP_TLIFE",$AX$10:$AX$16)),0,""))</f>
        <v/>
      </c>
      <c r="AT132" s="369" t="str">
        <f ca="1">IF($B132&lt;&gt;"PRC_RESID","",IF(AT$7=2005+OFFSET(COM_N_2012!$B$60,$AW132,SUMIF($B$10:$B$16,"NCAP_TLIFE",$AX$10:$AX$16)),0,""))</f>
        <v/>
      </c>
      <c r="AU132" s="369" t="str">
        <f ca="1">IF($B132&lt;&gt;"PRC_RESID","",IF(AU$7=2005+OFFSET(COM_N_2012!$B$60,$AW132,SUMIF($B$10:$B$16,"NCAP_TLIFE",$AX$10:$AX$16)),0,""))</f>
        <v/>
      </c>
      <c r="AV132" s="304">
        <f>IF(AW131=COM_N_2012!$AK$121,AV131+1,AV131)</f>
        <v>2</v>
      </c>
      <c r="AW132" s="304">
        <f t="shared" si="12"/>
        <v>54</v>
      </c>
    </row>
    <row r="133" spans="1:49">
      <c r="A133" s="304" t="str">
        <f ca="1">IF(LEFT(OFFSET(COM_N_2012!$A$60,AW133,0),2)="\I","*","")</f>
        <v/>
      </c>
      <c r="B133" s="369" t="str">
        <f t="shared" ca="1" si="11"/>
        <v>NCAP_BND</v>
      </c>
      <c r="C133" s="369" t="str">
        <f ca="1">IF($A133="*","",OFFSET(COM_N_2012!$B$60,AW133,0))</f>
        <v>CNOELC-E</v>
      </c>
      <c r="D133" s="369" t="str">
        <f t="shared" ca="1" si="17"/>
        <v>-</v>
      </c>
      <c r="E133" s="369" t="str">
        <f t="shared" ca="1" si="17"/>
        <v>-</v>
      </c>
      <c r="F133" s="369" t="str">
        <f t="shared" ca="1" si="17"/>
        <v>-</v>
      </c>
      <c r="G133" s="369" t="str">
        <f t="shared" ca="1" si="17"/>
        <v>-</v>
      </c>
      <c r="H133" s="369" t="str">
        <f t="shared" ca="1" si="17"/>
        <v>UP</v>
      </c>
      <c r="I133" s="370">
        <f t="shared" ca="1" si="17"/>
        <v>0</v>
      </c>
      <c r="J133" s="391">
        <f ca="1">IF($A133="*","",OFFSET(COM_N_2012!$B$60,AW133,SUMIF($B$10:$B$16,B133,$AX$10:$AX$16)))</f>
        <v>0</v>
      </c>
      <c r="K133" s="369" t="str">
        <f ca="1">IF($B133&lt;&gt;"PRC_RESID","",IF(K$7=2005+OFFSET(COM_N_2012!$B$60,$AW133,SUMIF($B$10:$B$16,"NCAP_TLIFE",$AX$10:$AX$16)),0,""))</f>
        <v/>
      </c>
      <c r="L133" s="369" t="str">
        <f ca="1">IF($B133&lt;&gt;"PRC_RESID","",IF(L$7=2005+OFFSET(COM_N_2012!$B$60,$AW133,SUMIF($B$10:$B$16,"NCAP_TLIFE",$AX$10:$AX$16)),0,""))</f>
        <v/>
      </c>
      <c r="M133" s="369" t="str">
        <f ca="1">IF($B133&lt;&gt;"PRC_RESID","",IF(M$7=2005+OFFSET(COM_N_2012!$B$60,$AW133,SUMIF($B$10:$B$16,"NCAP_TLIFE",$AX$10:$AX$16)),0,""))</f>
        <v/>
      </c>
      <c r="N133" s="369" t="str">
        <f ca="1">IF($B133&lt;&gt;"PRC_RESID","",IF(N$7=2005+OFFSET(COM_N_2012!$B$60,$AW133,SUMIF($B$10:$B$16,"NCAP_TLIFE",$AX$10:$AX$16)),0,""))</f>
        <v/>
      </c>
      <c r="O133" s="369" t="str">
        <f ca="1">IF($B133&lt;&gt;"PRC_RESID","",IF(O$7=2005+OFFSET(COM_N_2012!$B$60,$AW133,SUMIF($B$10:$B$16,"NCAP_TLIFE",$AX$10:$AX$16)),0,""))</f>
        <v/>
      </c>
      <c r="P133" s="369" t="str">
        <f ca="1">IF($B133&lt;&gt;"PRC_RESID","",IF(P$7=2005+OFFSET(COM_N_2012!$B$60,$AW133,SUMIF($B$10:$B$16,"NCAP_TLIFE",$AX$10:$AX$16)),0,""))</f>
        <v/>
      </c>
      <c r="Q133" s="369" t="str">
        <f ca="1">IF($B133&lt;&gt;"PRC_RESID","",IF(Q$7=2005+OFFSET(COM_N_2012!$B$60,$AW133,SUMIF($B$10:$B$16,"NCAP_TLIFE",$AX$10:$AX$16)),0,""))</f>
        <v/>
      </c>
      <c r="R133" s="369" t="str">
        <f ca="1">IF($B133&lt;&gt;"PRC_RESID","",IF(R$7=2005+OFFSET(COM_N_2012!$B$60,$AW133,SUMIF($B$10:$B$16,"NCAP_TLIFE",$AX$10:$AX$16)),0,""))</f>
        <v/>
      </c>
      <c r="S133" s="369" t="str">
        <f ca="1">IF($B133&lt;&gt;"PRC_RESID","",IF(S$7=2005+OFFSET(COM_N_2012!$B$60,$AW133,SUMIF($B$10:$B$16,"NCAP_TLIFE",$AX$10:$AX$16)),0,""))</f>
        <v/>
      </c>
      <c r="T133" s="369" t="str">
        <f ca="1">IF($B133&lt;&gt;"PRC_RESID","",IF(T$7=2005+OFFSET(COM_N_2012!$B$60,$AW133,SUMIF($B$10:$B$16,"NCAP_TLIFE",$AX$10:$AX$16)),0,""))</f>
        <v/>
      </c>
      <c r="U133" s="369" t="str">
        <f ca="1">IF($B133&lt;&gt;"PRC_RESID","",IF(U$7=2005+OFFSET(COM_N_2012!$B$60,$AW133,SUMIF($B$10:$B$16,"NCAP_TLIFE",$AX$10:$AX$16)),0,""))</f>
        <v/>
      </c>
      <c r="V133" s="369" t="str">
        <f ca="1">IF($B133&lt;&gt;"PRC_RESID","",IF(V$7=2005+OFFSET(COM_N_2012!$B$60,$AW133,SUMIF($B$10:$B$16,"NCAP_TLIFE",$AX$10:$AX$16)),0,""))</f>
        <v/>
      </c>
      <c r="W133" s="369" t="str">
        <f ca="1">IF($B133&lt;&gt;"PRC_RESID","",IF(W$7=2005+OFFSET(COM_N_2012!$B$60,$AW133,SUMIF($B$10:$B$16,"NCAP_TLIFE",$AX$10:$AX$16)),0,""))</f>
        <v/>
      </c>
      <c r="X133" s="369" t="str">
        <f ca="1">IF($B133&lt;&gt;"PRC_RESID","",IF(X$7=2005+OFFSET(COM_N_2012!$B$60,$AW133,SUMIF($B$10:$B$16,"NCAP_TLIFE",$AX$10:$AX$16)),0,""))</f>
        <v/>
      </c>
      <c r="Y133" s="369" t="str">
        <f ca="1">IF($B133&lt;&gt;"PRC_RESID","",IF(Y$7=2005+OFFSET(COM_N_2012!$B$60,$AW133,SUMIF($B$10:$B$16,"NCAP_TLIFE",$AX$10:$AX$16)),0,""))</f>
        <v/>
      </c>
      <c r="Z133" s="369" t="str">
        <f ca="1">IF($B133&lt;&gt;"PRC_RESID","",IF(Z$7=2005+OFFSET(COM_N_2012!$B$60,$AW133,SUMIF($B$10:$B$16,"NCAP_TLIFE",$AX$10:$AX$16)),0,""))</f>
        <v/>
      </c>
      <c r="AA133" s="369" t="str">
        <f ca="1">IF($B133&lt;&gt;"PRC_RESID","",IF(AA$7=2005+OFFSET(COM_N_2012!$B$60,$AW133,SUMIF($B$10:$B$16,"NCAP_TLIFE",$AX$10:$AX$16)),0,""))</f>
        <v/>
      </c>
      <c r="AB133" s="369" t="str">
        <f ca="1">IF($B133&lt;&gt;"PRC_RESID","",IF(AB$7=2005+OFFSET(COM_N_2012!$B$60,$AW133,SUMIF($B$10:$B$16,"NCAP_TLIFE",$AX$10:$AX$16)),0,""))</f>
        <v/>
      </c>
      <c r="AC133" s="369" t="str">
        <f ca="1">IF($B133&lt;&gt;"PRC_RESID","",IF(AC$7=2005+OFFSET(COM_N_2012!$B$60,$AW133,SUMIF($B$10:$B$16,"NCAP_TLIFE",$AX$10:$AX$16)),0,""))</f>
        <v/>
      </c>
      <c r="AD133" s="369" t="str">
        <f ca="1">IF($B133&lt;&gt;"PRC_RESID","",IF(AD$7=2005+OFFSET(COM_N_2012!$B$60,$AW133,SUMIF($B$10:$B$16,"NCAP_TLIFE",$AX$10:$AX$16)),0,""))</f>
        <v/>
      </c>
      <c r="AE133" s="369" t="str">
        <f ca="1">IF($B133&lt;&gt;"PRC_RESID","",IF(AE$7=2005+OFFSET(COM_N_2012!$B$60,$AW133,SUMIF($B$10:$B$16,"NCAP_TLIFE",$AX$10:$AX$16)),0,""))</f>
        <v/>
      </c>
      <c r="AF133" s="369" t="str">
        <f ca="1">IF($B133&lt;&gt;"PRC_RESID","",IF(AF$7=2005+OFFSET(COM_N_2012!$B$60,$AW133,SUMIF($B$10:$B$16,"NCAP_TLIFE",$AX$10:$AX$16)),0,""))</f>
        <v/>
      </c>
      <c r="AG133" s="369" t="str">
        <f ca="1">IF($B133&lt;&gt;"PRC_RESID","",IF(AG$7=2005+OFFSET(COM_N_2012!$B$60,$AW133,SUMIF($B$10:$B$16,"NCAP_TLIFE",$AX$10:$AX$16)),0,""))</f>
        <v/>
      </c>
      <c r="AH133" s="369" t="str">
        <f ca="1">IF($B133&lt;&gt;"PRC_RESID","",IF(AH$7=2005+OFFSET(COM_N_2012!$B$60,$AW133,SUMIF($B$10:$B$16,"NCAP_TLIFE",$AX$10:$AX$16)),0,""))</f>
        <v/>
      </c>
      <c r="AI133" s="369" t="str">
        <f ca="1">IF($B133&lt;&gt;"PRC_RESID","",IF(AI$7=2005+OFFSET(COM_N_2012!$B$60,$AW133,SUMIF($B$10:$B$16,"NCAP_TLIFE",$AX$10:$AX$16)),0,""))</f>
        <v/>
      </c>
      <c r="AJ133" s="369" t="str">
        <f ca="1">IF($B133&lt;&gt;"PRC_RESID","",IF(AJ$7=2005+OFFSET(COM_N_2012!$B$60,$AW133,SUMIF($B$10:$B$16,"NCAP_TLIFE",$AX$10:$AX$16)),0,""))</f>
        <v/>
      </c>
      <c r="AK133" s="369" t="str">
        <f ca="1">IF($B133&lt;&gt;"PRC_RESID","",IF(AK$7=2005+OFFSET(COM_N_2012!$B$60,$AW133,SUMIF($B$10:$B$16,"NCAP_TLIFE",$AX$10:$AX$16)),0,""))</f>
        <v/>
      </c>
      <c r="AL133" s="369" t="str">
        <f ca="1">IF($B133&lt;&gt;"PRC_RESID","",IF(AL$7=2005+OFFSET(COM_N_2012!$B$60,$AW133,SUMIF($B$10:$B$16,"NCAP_TLIFE",$AX$10:$AX$16)),0,""))</f>
        <v/>
      </c>
      <c r="AM133" s="369" t="str">
        <f ca="1">IF($B133&lt;&gt;"PRC_RESID","",IF(AM$7=2005+OFFSET(COM_N_2012!$B$60,$AW133,SUMIF($B$10:$B$16,"NCAP_TLIFE",$AX$10:$AX$16)),0,""))</f>
        <v/>
      </c>
      <c r="AN133" s="369" t="str">
        <f ca="1">IF($B133&lt;&gt;"PRC_RESID","",IF(AN$7=2005+OFFSET(COM_N_2012!$B$60,$AW133,SUMIF($B$10:$B$16,"NCAP_TLIFE",$AX$10:$AX$16)),0,""))</f>
        <v/>
      </c>
      <c r="AO133" s="369" t="str">
        <f ca="1">IF($B133&lt;&gt;"PRC_RESID","",IF(AO$7=2005+OFFSET(COM_N_2012!$B$60,$AW133,SUMIF($B$10:$B$16,"NCAP_TLIFE",$AX$10:$AX$16)),0,""))</f>
        <v/>
      </c>
      <c r="AP133" s="369" t="str">
        <f ca="1">IF($B133&lt;&gt;"PRC_RESID","",IF(AP$7=2005+OFFSET(COM_N_2012!$B$60,$AW133,SUMIF($B$10:$B$16,"NCAP_TLIFE",$AX$10:$AX$16)),0,""))</f>
        <v/>
      </c>
      <c r="AQ133" s="369" t="str">
        <f ca="1">IF($B133&lt;&gt;"PRC_RESID","",IF(AQ$7=2005+OFFSET(COM_N_2012!$B$60,$AW133,SUMIF($B$10:$B$16,"NCAP_TLIFE",$AX$10:$AX$16)),0,""))</f>
        <v/>
      </c>
      <c r="AR133" s="369" t="str">
        <f ca="1">IF($B133&lt;&gt;"PRC_RESID","",IF(AR$7=2005+OFFSET(COM_N_2012!$B$60,$AW133,SUMIF($B$10:$B$16,"NCAP_TLIFE",$AX$10:$AX$16)),0,""))</f>
        <v/>
      </c>
      <c r="AS133" s="369" t="str">
        <f ca="1">IF($B133&lt;&gt;"PRC_RESID","",IF(AS$7=2005+OFFSET(COM_N_2012!$B$60,$AW133,SUMIF($B$10:$B$16,"NCAP_TLIFE",$AX$10:$AX$16)),0,""))</f>
        <v/>
      </c>
      <c r="AT133" s="369" t="str">
        <f ca="1">IF($B133&lt;&gt;"PRC_RESID","",IF(AT$7=2005+OFFSET(COM_N_2012!$B$60,$AW133,SUMIF($B$10:$B$16,"NCAP_TLIFE",$AX$10:$AX$16)),0,""))</f>
        <v/>
      </c>
      <c r="AU133" s="369" t="str">
        <f ca="1">IF($B133&lt;&gt;"PRC_RESID","",IF(AU$7=2005+OFFSET(COM_N_2012!$B$60,$AW133,SUMIF($B$10:$B$16,"NCAP_TLIFE",$AX$10:$AX$16)),0,""))</f>
        <v/>
      </c>
      <c r="AV133" s="304">
        <f>IF(AW132=COM_N_2012!$AK$121,AV132+1,AV132)</f>
        <v>2</v>
      </c>
      <c r="AW133" s="304">
        <f t="shared" si="12"/>
        <v>55</v>
      </c>
    </row>
    <row r="134" spans="1:49">
      <c r="A134" s="304" t="str">
        <f ca="1">IF(LEFT(OFFSET(COM_N_2012!$A$60,AW134,0),2)="\I","*","")</f>
        <v/>
      </c>
      <c r="B134" s="369" t="str">
        <f t="shared" ca="1" si="11"/>
        <v>NCAP_BND</v>
      </c>
      <c r="C134" s="369" t="str">
        <f ca="1">IF($A134="*","",OFFSET(COM_N_2012!$B$60,AW134,0))</f>
        <v>CNOGAS-E</v>
      </c>
      <c r="D134" s="369" t="str">
        <f t="shared" ca="1" si="17"/>
        <v>-</v>
      </c>
      <c r="E134" s="369" t="str">
        <f t="shared" ca="1" si="17"/>
        <v>-</v>
      </c>
      <c r="F134" s="369" t="str">
        <f t="shared" ca="1" si="17"/>
        <v>-</v>
      </c>
      <c r="G134" s="369" t="str">
        <f t="shared" ca="1" si="17"/>
        <v>-</v>
      </c>
      <c r="H134" s="369" t="str">
        <f t="shared" ca="1" si="17"/>
        <v>UP</v>
      </c>
      <c r="I134" s="370">
        <f t="shared" ca="1" si="17"/>
        <v>0</v>
      </c>
      <c r="J134" s="391">
        <f ca="1">IF($A134="*","",OFFSET(COM_N_2012!$B$60,AW134,SUMIF($B$10:$B$16,B134,$AX$10:$AX$16)))</f>
        <v>0</v>
      </c>
      <c r="K134" s="369" t="str">
        <f ca="1">IF($B134&lt;&gt;"PRC_RESID","",IF(K$7=2005+OFFSET(COM_N_2012!$B$60,$AW134,SUMIF($B$10:$B$16,"NCAP_TLIFE",$AX$10:$AX$16)),0,""))</f>
        <v/>
      </c>
      <c r="L134" s="369" t="str">
        <f ca="1">IF($B134&lt;&gt;"PRC_RESID","",IF(L$7=2005+OFFSET(COM_N_2012!$B$60,$AW134,SUMIF($B$10:$B$16,"NCAP_TLIFE",$AX$10:$AX$16)),0,""))</f>
        <v/>
      </c>
      <c r="M134" s="369" t="str">
        <f ca="1">IF($B134&lt;&gt;"PRC_RESID","",IF(M$7=2005+OFFSET(COM_N_2012!$B$60,$AW134,SUMIF($B$10:$B$16,"NCAP_TLIFE",$AX$10:$AX$16)),0,""))</f>
        <v/>
      </c>
      <c r="N134" s="369" t="str">
        <f ca="1">IF($B134&lt;&gt;"PRC_RESID","",IF(N$7=2005+OFFSET(COM_N_2012!$B$60,$AW134,SUMIF($B$10:$B$16,"NCAP_TLIFE",$AX$10:$AX$16)),0,""))</f>
        <v/>
      </c>
      <c r="O134" s="369" t="str">
        <f ca="1">IF($B134&lt;&gt;"PRC_RESID","",IF(O$7=2005+OFFSET(COM_N_2012!$B$60,$AW134,SUMIF($B$10:$B$16,"NCAP_TLIFE",$AX$10:$AX$16)),0,""))</f>
        <v/>
      </c>
      <c r="P134" s="369" t="str">
        <f ca="1">IF($B134&lt;&gt;"PRC_RESID","",IF(P$7=2005+OFFSET(COM_N_2012!$B$60,$AW134,SUMIF($B$10:$B$16,"NCAP_TLIFE",$AX$10:$AX$16)),0,""))</f>
        <v/>
      </c>
      <c r="Q134" s="369" t="str">
        <f ca="1">IF($B134&lt;&gt;"PRC_RESID","",IF(Q$7=2005+OFFSET(COM_N_2012!$B$60,$AW134,SUMIF($B$10:$B$16,"NCAP_TLIFE",$AX$10:$AX$16)),0,""))</f>
        <v/>
      </c>
      <c r="R134" s="369" t="str">
        <f ca="1">IF($B134&lt;&gt;"PRC_RESID","",IF(R$7=2005+OFFSET(COM_N_2012!$B$60,$AW134,SUMIF($B$10:$B$16,"NCAP_TLIFE",$AX$10:$AX$16)),0,""))</f>
        <v/>
      </c>
      <c r="S134" s="369" t="str">
        <f ca="1">IF($B134&lt;&gt;"PRC_RESID","",IF(S$7=2005+OFFSET(COM_N_2012!$B$60,$AW134,SUMIF($B$10:$B$16,"NCAP_TLIFE",$AX$10:$AX$16)),0,""))</f>
        <v/>
      </c>
      <c r="T134" s="369" t="str">
        <f ca="1">IF($B134&lt;&gt;"PRC_RESID","",IF(T$7=2005+OFFSET(COM_N_2012!$B$60,$AW134,SUMIF($B$10:$B$16,"NCAP_TLIFE",$AX$10:$AX$16)),0,""))</f>
        <v/>
      </c>
      <c r="U134" s="369" t="str">
        <f ca="1">IF($B134&lt;&gt;"PRC_RESID","",IF(U$7=2005+OFFSET(COM_N_2012!$B$60,$AW134,SUMIF($B$10:$B$16,"NCAP_TLIFE",$AX$10:$AX$16)),0,""))</f>
        <v/>
      </c>
      <c r="V134" s="369" t="str">
        <f ca="1">IF($B134&lt;&gt;"PRC_RESID","",IF(V$7=2005+OFFSET(COM_N_2012!$B$60,$AW134,SUMIF($B$10:$B$16,"NCAP_TLIFE",$AX$10:$AX$16)),0,""))</f>
        <v/>
      </c>
      <c r="W134" s="369" t="str">
        <f ca="1">IF($B134&lt;&gt;"PRC_RESID","",IF(W$7=2005+OFFSET(COM_N_2012!$B$60,$AW134,SUMIF($B$10:$B$16,"NCAP_TLIFE",$AX$10:$AX$16)),0,""))</f>
        <v/>
      </c>
      <c r="X134" s="369" t="str">
        <f ca="1">IF($B134&lt;&gt;"PRC_RESID","",IF(X$7=2005+OFFSET(COM_N_2012!$B$60,$AW134,SUMIF($B$10:$B$16,"NCAP_TLIFE",$AX$10:$AX$16)),0,""))</f>
        <v/>
      </c>
      <c r="Y134" s="369" t="str">
        <f ca="1">IF($B134&lt;&gt;"PRC_RESID","",IF(Y$7=2005+OFFSET(COM_N_2012!$B$60,$AW134,SUMIF($B$10:$B$16,"NCAP_TLIFE",$AX$10:$AX$16)),0,""))</f>
        <v/>
      </c>
      <c r="Z134" s="369" t="str">
        <f ca="1">IF($B134&lt;&gt;"PRC_RESID","",IF(Z$7=2005+OFFSET(COM_N_2012!$B$60,$AW134,SUMIF($B$10:$B$16,"NCAP_TLIFE",$AX$10:$AX$16)),0,""))</f>
        <v/>
      </c>
      <c r="AA134" s="369" t="str">
        <f ca="1">IF($B134&lt;&gt;"PRC_RESID","",IF(AA$7=2005+OFFSET(COM_N_2012!$B$60,$AW134,SUMIF($B$10:$B$16,"NCAP_TLIFE",$AX$10:$AX$16)),0,""))</f>
        <v/>
      </c>
      <c r="AB134" s="369" t="str">
        <f ca="1">IF($B134&lt;&gt;"PRC_RESID","",IF(AB$7=2005+OFFSET(COM_N_2012!$B$60,$AW134,SUMIF($B$10:$B$16,"NCAP_TLIFE",$AX$10:$AX$16)),0,""))</f>
        <v/>
      </c>
      <c r="AC134" s="369" t="str">
        <f ca="1">IF($B134&lt;&gt;"PRC_RESID","",IF(AC$7=2005+OFFSET(COM_N_2012!$B$60,$AW134,SUMIF($B$10:$B$16,"NCAP_TLIFE",$AX$10:$AX$16)),0,""))</f>
        <v/>
      </c>
      <c r="AD134" s="369" t="str">
        <f ca="1">IF($B134&lt;&gt;"PRC_RESID","",IF(AD$7=2005+OFFSET(COM_N_2012!$B$60,$AW134,SUMIF($B$10:$B$16,"NCAP_TLIFE",$AX$10:$AX$16)),0,""))</f>
        <v/>
      </c>
      <c r="AE134" s="369" t="str">
        <f ca="1">IF($B134&lt;&gt;"PRC_RESID","",IF(AE$7=2005+OFFSET(COM_N_2012!$B$60,$AW134,SUMIF($B$10:$B$16,"NCAP_TLIFE",$AX$10:$AX$16)),0,""))</f>
        <v/>
      </c>
      <c r="AF134" s="369" t="str">
        <f ca="1">IF($B134&lt;&gt;"PRC_RESID","",IF(AF$7=2005+OFFSET(COM_N_2012!$B$60,$AW134,SUMIF($B$10:$B$16,"NCAP_TLIFE",$AX$10:$AX$16)),0,""))</f>
        <v/>
      </c>
      <c r="AG134" s="369" t="str">
        <f ca="1">IF($B134&lt;&gt;"PRC_RESID","",IF(AG$7=2005+OFFSET(COM_N_2012!$B$60,$AW134,SUMIF($B$10:$B$16,"NCAP_TLIFE",$AX$10:$AX$16)),0,""))</f>
        <v/>
      </c>
      <c r="AH134" s="369" t="str">
        <f ca="1">IF($B134&lt;&gt;"PRC_RESID","",IF(AH$7=2005+OFFSET(COM_N_2012!$B$60,$AW134,SUMIF($B$10:$B$16,"NCAP_TLIFE",$AX$10:$AX$16)),0,""))</f>
        <v/>
      </c>
      <c r="AI134" s="369" t="str">
        <f ca="1">IF($B134&lt;&gt;"PRC_RESID","",IF(AI$7=2005+OFFSET(COM_N_2012!$B$60,$AW134,SUMIF($B$10:$B$16,"NCAP_TLIFE",$AX$10:$AX$16)),0,""))</f>
        <v/>
      </c>
      <c r="AJ134" s="369" t="str">
        <f ca="1">IF($B134&lt;&gt;"PRC_RESID","",IF(AJ$7=2005+OFFSET(COM_N_2012!$B$60,$AW134,SUMIF($B$10:$B$16,"NCAP_TLIFE",$AX$10:$AX$16)),0,""))</f>
        <v/>
      </c>
      <c r="AK134" s="369" t="str">
        <f ca="1">IF($B134&lt;&gt;"PRC_RESID","",IF(AK$7=2005+OFFSET(COM_N_2012!$B$60,$AW134,SUMIF($B$10:$B$16,"NCAP_TLIFE",$AX$10:$AX$16)),0,""))</f>
        <v/>
      </c>
      <c r="AL134" s="369" t="str">
        <f ca="1">IF($B134&lt;&gt;"PRC_RESID","",IF(AL$7=2005+OFFSET(COM_N_2012!$B$60,$AW134,SUMIF($B$10:$B$16,"NCAP_TLIFE",$AX$10:$AX$16)),0,""))</f>
        <v/>
      </c>
      <c r="AM134" s="369" t="str">
        <f ca="1">IF($B134&lt;&gt;"PRC_RESID","",IF(AM$7=2005+OFFSET(COM_N_2012!$B$60,$AW134,SUMIF($B$10:$B$16,"NCAP_TLIFE",$AX$10:$AX$16)),0,""))</f>
        <v/>
      </c>
      <c r="AN134" s="369" t="str">
        <f ca="1">IF($B134&lt;&gt;"PRC_RESID","",IF(AN$7=2005+OFFSET(COM_N_2012!$B$60,$AW134,SUMIF($B$10:$B$16,"NCAP_TLIFE",$AX$10:$AX$16)),0,""))</f>
        <v/>
      </c>
      <c r="AO134" s="369" t="str">
        <f ca="1">IF($B134&lt;&gt;"PRC_RESID","",IF(AO$7=2005+OFFSET(COM_N_2012!$B$60,$AW134,SUMIF($B$10:$B$16,"NCAP_TLIFE",$AX$10:$AX$16)),0,""))</f>
        <v/>
      </c>
      <c r="AP134" s="369" t="str">
        <f ca="1">IF($B134&lt;&gt;"PRC_RESID","",IF(AP$7=2005+OFFSET(COM_N_2012!$B$60,$AW134,SUMIF($B$10:$B$16,"NCAP_TLIFE",$AX$10:$AX$16)),0,""))</f>
        <v/>
      </c>
      <c r="AQ134" s="369" t="str">
        <f ca="1">IF($B134&lt;&gt;"PRC_RESID","",IF(AQ$7=2005+OFFSET(COM_N_2012!$B$60,$AW134,SUMIF($B$10:$B$16,"NCAP_TLIFE",$AX$10:$AX$16)),0,""))</f>
        <v/>
      </c>
      <c r="AR134" s="369" t="str">
        <f ca="1">IF($B134&lt;&gt;"PRC_RESID","",IF(AR$7=2005+OFFSET(COM_N_2012!$B$60,$AW134,SUMIF($B$10:$B$16,"NCAP_TLIFE",$AX$10:$AX$16)),0,""))</f>
        <v/>
      </c>
      <c r="AS134" s="369" t="str">
        <f ca="1">IF($B134&lt;&gt;"PRC_RESID","",IF(AS$7=2005+OFFSET(COM_N_2012!$B$60,$AW134,SUMIF($B$10:$B$16,"NCAP_TLIFE",$AX$10:$AX$16)),0,""))</f>
        <v/>
      </c>
      <c r="AT134" s="369" t="str">
        <f ca="1">IF($B134&lt;&gt;"PRC_RESID","",IF(AT$7=2005+OFFSET(COM_N_2012!$B$60,$AW134,SUMIF($B$10:$B$16,"NCAP_TLIFE",$AX$10:$AX$16)),0,""))</f>
        <v/>
      </c>
      <c r="AU134" s="369" t="str">
        <f ca="1">IF($B134&lt;&gt;"PRC_RESID","",IF(AU$7=2005+OFFSET(COM_N_2012!$B$60,$AW134,SUMIF($B$10:$B$16,"NCAP_TLIFE",$AX$10:$AX$16)),0,""))</f>
        <v/>
      </c>
      <c r="AV134" s="304">
        <f>IF(AW133=COM_N_2012!$AK$121,AV133+1,AV133)</f>
        <v>2</v>
      </c>
      <c r="AW134" s="304">
        <f t="shared" si="12"/>
        <v>56</v>
      </c>
    </row>
    <row r="135" spans="1:49">
      <c r="A135" s="304" t="str">
        <f ca="1">IF(LEFT(OFFSET(COM_N_2012!$A$60,AW135,0),2)="\I","*","")</f>
        <v/>
      </c>
      <c r="B135" s="369" t="str">
        <f t="shared" ca="1" si="11"/>
        <v>NCAP_BND</v>
      </c>
      <c r="C135" s="369" t="str">
        <f ca="1">IF($A135="*","",OFFSET(COM_N_2012!$B$60,AW135,0))</f>
        <v>CNOOGS-E</v>
      </c>
      <c r="D135" s="369" t="str">
        <f t="shared" ca="1" si="17"/>
        <v>-</v>
      </c>
      <c r="E135" s="369" t="str">
        <f t="shared" ca="1" si="17"/>
        <v>-</v>
      </c>
      <c r="F135" s="369" t="str">
        <f t="shared" ca="1" si="17"/>
        <v>-</v>
      </c>
      <c r="G135" s="369" t="str">
        <f t="shared" ca="1" si="17"/>
        <v>-</v>
      </c>
      <c r="H135" s="369" t="str">
        <f t="shared" ca="1" si="17"/>
        <v>UP</v>
      </c>
      <c r="I135" s="370">
        <f t="shared" ca="1" si="17"/>
        <v>0</v>
      </c>
      <c r="J135" s="391">
        <f ca="1">IF($A135="*","",OFFSET(COM_N_2012!$B$60,AW135,SUMIF($B$10:$B$16,B135,$AX$10:$AX$16)))</f>
        <v>0</v>
      </c>
      <c r="K135" s="369" t="str">
        <f ca="1">IF($B135&lt;&gt;"PRC_RESID","",IF(K$7=2005+OFFSET(COM_N_2012!$B$60,$AW135,SUMIF($B$10:$B$16,"NCAP_TLIFE",$AX$10:$AX$16)),0,""))</f>
        <v/>
      </c>
      <c r="L135" s="369" t="str">
        <f ca="1">IF($B135&lt;&gt;"PRC_RESID","",IF(L$7=2005+OFFSET(COM_N_2012!$B$60,$AW135,SUMIF($B$10:$B$16,"NCAP_TLIFE",$AX$10:$AX$16)),0,""))</f>
        <v/>
      </c>
      <c r="M135" s="369" t="str">
        <f ca="1">IF($B135&lt;&gt;"PRC_RESID","",IF(M$7=2005+OFFSET(COM_N_2012!$B$60,$AW135,SUMIF($B$10:$B$16,"NCAP_TLIFE",$AX$10:$AX$16)),0,""))</f>
        <v/>
      </c>
      <c r="N135" s="369" t="str">
        <f ca="1">IF($B135&lt;&gt;"PRC_RESID","",IF(N$7=2005+OFFSET(COM_N_2012!$B$60,$AW135,SUMIF($B$10:$B$16,"NCAP_TLIFE",$AX$10:$AX$16)),0,""))</f>
        <v/>
      </c>
      <c r="O135" s="369" t="str">
        <f ca="1">IF($B135&lt;&gt;"PRC_RESID","",IF(O$7=2005+OFFSET(COM_N_2012!$B$60,$AW135,SUMIF($B$10:$B$16,"NCAP_TLIFE",$AX$10:$AX$16)),0,""))</f>
        <v/>
      </c>
      <c r="P135" s="369" t="str">
        <f ca="1">IF($B135&lt;&gt;"PRC_RESID","",IF(P$7=2005+OFFSET(COM_N_2012!$B$60,$AW135,SUMIF($B$10:$B$16,"NCAP_TLIFE",$AX$10:$AX$16)),0,""))</f>
        <v/>
      </c>
      <c r="Q135" s="369" t="str">
        <f ca="1">IF($B135&lt;&gt;"PRC_RESID","",IF(Q$7=2005+OFFSET(COM_N_2012!$B$60,$AW135,SUMIF($B$10:$B$16,"NCAP_TLIFE",$AX$10:$AX$16)),0,""))</f>
        <v/>
      </c>
      <c r="R135" s="369" t="str">
        <f ca="1">IF($B135&lt;&gt;"PRC_RESID","",IF(R$7=2005+OFFSET(COM_N_2012!$B$60,$AW135,SUMIF($B$10:$B$16,"NCAP_TLIFE",$AX$10:$AX$16)),0,""))</f>
        <v/>
      </c>
      <c r="S135" s="369" t="str">
        <f ca="1">IF($B135&lt;&gt;"PRC_RESID","",IF(S$7=2005+OFFSET(COM_N_2012!$B$60,$AW135,SUMIF($B$10:$B$16,"NCAP_TLIFE",$AX$10:$AX$16)),0,""))</f>
        <v/>
      </c>
      <c r="T135" s="369" t="str">
        <f ca="1">IF($B135&lt;&gt;"PRC_RESID","",IF(T$7=2005+OFFSET(COM_N_2012!$B$60,$AW135,SUMIF($B$10:$B$16,"NCAP_TLIFE",$AX$10:$AX$16)),0,""))</f>
        <v/>
      </c>
      <c r="U135" s="369" t="str">
        <f ca="1">IF($B135&lt;&gt;"PRC_RESID","",IF(U$7=2005+OFFSET(COM_N_2012!$B$60,$AW135,SUMIF($B$10:$B$16,"NCAP_TLIFE",$AX$10:$AX$16)),0,""))</f>
        <v/>
      </c>
      <c r="V135" s="369" t="str">
        <f ca="1">IF($B135&lt;&gt;"PRC_RESID","",IF(V$7=2005+OFFSET(COM_N_2012!$B$60,$AW135,SUMIF($B$10:$B$16,"NCAP_TLIFE",$AX$10:$AX$16)),0,""))</f>
        <v/>
      </c>
      <c r="W135" s="369" t="str">
        <f ca="1">IF($B135&lt;&gt;"PRC_RESID","",IF(W$7=2005+OFFSET(COM_N_2012!$B$60,$AW135,SUMIF($B$10:$B$16,"NCAP_TLIFE",$AX$10:$AX$16)),0,""))</f>
        <v/>
      </c>
      <c r="X135" s="369" t="str">
        <f ca="1">IF($B135&lt;&gt;"PRC_RESID","",IF(X$7=2005+OFFSET(COM_N_2012!$B$60,$AW135,SUMIF($B$10:$B$16,"NCAP_TLIFE",$AX$10:$AX$16)),0,""))</f>
        <v/>
      </c>
      <c r="Y135" s="369" t="str">
        <f ca="1">IF($B135&lt;&gt;"PRC_RESID","",IF(Y$7=2005+OFFSET(COM_N_2012!$B$60,$AW135,SUMIF($B$10:$B$16,"NCAP_TLIFE",$AX$10:$AX$16)),0,""))</f>
        <v/>
      </c>
      <c r="Z135" s="369" t="str">
        <f ca="1">IF($B135&lt;&gt;"PRC_RESID","",IF(Z$7=2005+OFFSET(COM_N_2012!$B$60,$AW135,SUMIF($B$10:$B$16,"NCAP_TLIFE",$AX$10:$AX$16)),0,""))</f>
        <v/>
      </c>
      <c r="AA135" s="369" t="str">
        <f ca="1">IF($B135&lt;&gt;"PRC_RESID","",IF(AA$7=2005+OFFSET(COM_N_2012!$B$60,$AW135,SUMIF($B$10:$B$16,"NCAP_TLIFE",$AX$10:$AX$16)),0,""))</f>
        <v/>
      </c>
      <c r="AB135" s="369" t="str">
        <f ca="1">IF($B135&lt;&gt;"PRC_RESID","",IF(AB$7=2005+OFFSET(COM_N_2012!$B$60,$AW135,SUMIF($B$10:$B$16,"NCAP_TLIFE",$AX$10:$AX$16)),0,""))</f>
        <v/>
      </c>
      <c r="AC135" s="369" t="str">
        <f ca="1">IF($B135&lt;&gt;"PRC_RESID","",IF(AC$7=2005+OFFSET(COM_N_2012!$B$60,$AW135,SUMIF($B$10:$B$16,"NCAP_TLIFE",$AX$10:$AX$16)),0,""))</f>
        <v/>
      </c>
      <c r="AD135" s="369" t="str">
        <f ca="1">IF($B135&lt;&gt;"PRC_RESID","",IF(AD$7=2005+OFFSET(COM_N_2012!$B$60,$AW135,SUMIF($B$10:$B$16,"NCAP_TLIFE",$AX$10:$AX$16)),0,""))</f>
        <v/>
      </c>
      <c r="AE135" s="369" t="str">
        <f ca="1">IF($B135&lt;&gt;"PRC_RESID","",IF(AE$7=2005+OFFSET(COM_N_2012!$B$60,$AW135,SUMIF($B$10:$B$16,"NCAP_TLIFE",$AX$10:$AX$16)),0,""))</f>
        <v/>
      </c>
      <c r="AF135" s="369" t="str">
        <f ca="1">IF($B135&lt;&gt;"PRC_RESID","",IF(AF$7=2005+OFFSET(COM_N_2012!$B$60,$AW135,SUMIF($B$10:$B$16,"NCAP_TLIFE",$AX$10:$AX$16)),0,""))</f>
        <v/>
      </c>
      <c r="AG135" s="369" t="str">
        <f ca="1">IF($B135&lt;&gt;"PRC_RESID","",IF(AG$7=2005+OFFSET(COM_N_2012!$B$60,$AW135,SUMIF($B$10:$B$16,"NCAP_TLIFE",$AX$10:$AX$16)),0,""))</f>
        <v/>
      </c>
      <c r="AH135" s="369" t="str">
        <f ca="1">IF($B135&lt;&gt;"PRC_RESID","",IF(AH$7=2005+OFFSET(COM_N_2012!$B$60,$AW135,SUMIF($B$10:$B$16,"NCAP_TLIFE",$AX$10:$AX$16)),0,""))</f>
        <v/>
      </c>
      <c r="AI135" s="369" t="str">
        <f ca="1">IF($B135&lt;&gt;"PRC_RESID","",IF(AI$7=2005+OFFSET(COM_N_2012!$B$60,$AW135,SUMIF($B$10:$B$16,"NCAP_TLIFE",$AX$10:$AX$16)),0,""))</f>
        <v/>
      </c>
      <c r="AJ135" s="369" t="str">
        <f ca="1">IF($B135&lt;&gt;"PRC_RESID","",IF(AJ$7=2005+OFFSET(COM_N_2012!$B$60,$AW135,SUMIF($B$10:$B$16,"NCAP_TLIFE",$AX$10:$AX$16)),0,""))</f>
        <v/>
      </c>
      <c r="AK135" s="369" t="str">
        <f ca="1">IF($B135&lt;&gt;"PRC_RESID","",IF(AK$7=2005+OFFSET(COM_N_2012!$B$60,$AW135,SUMIF($B$10:$B$16,"NCAP_TLIFE",$AX$10:$AX$16)),0,""))</f>
        <v/>
      </c>
      <c r="AL135" s="369" t="str">
        <f ca="1">IF($B135&lt;&gt;"PRC_RESID","",IF(AL$7=2005+OFFSET(COM_N_2012!$B$60,$AW135,SUMIF($B$10:$B$16,"NCAP_TLIFE",$AX$10:$AX$16)),0,""))</f>
        <v/>
      </c>
      <c r="AM135" s="369" t="str">
        <f ca="1">IF($B135&lt;&gt;"PRC_RESID","",IF(AM$7=2005+OFFSET(COM_N_2012!$B$60,$AW135,SUMIF($B$10:$B$16,"NCAP_TLIFE",$AX$10:$AX$16)),0,""))</f>
        <v/>
      </c>
      <c r="AN135" s="369" t="str">
        <f ca="1">IF($B135&lt;&gt;"PRC_RESID","",IF(AN$7=2005+OFFSET(COM_N_2012!$B$60,$AW135,SUMIF($B$10:$B$16,"NCAP_TLIFE",$AX$10:$AX$16)),0,""))</f>
        <v/>
      </c>
      <c r="AO135" s="369" t="str">
        <f ca="1">IF($B135&lt;&gt;"PRC_RESID","",IF(AO$7=2005+OFFSET(COM_N_2012!$B$60,$AW135,SUMIF($B$10:$B$16,"NCAP_TLIFE",$AX$10:$AX$16)),0,""))</f>
        <v/>
      </c>
      <c r="AP135" s="369" t="str">
        <f ca="1">IF($B135&lt;&gt;"PRC_RESID","",IF(AP$7=2005+OFFSET(COM_N_2012!$B$60,$AW135,SUMIF($B$10:$B$16,"NCAP_TLIFE",$AX$10:$AX$16)),0,""))</f>
        <v/>
      </c>
      <c r="AQ135" s="369" t="str">
        <f ca="1">IF($B135&lt;&gt;"PRC_RESID","",IF(AQ$7=2005+OFFSET(COM_N_2012!$B$60,$AW135,SUMIF($B$10:$B$16,"NCAP_TLIFE",$AX$10:$AX$16)),0,""))</f>
        <v/>
      </c>
      <c r="AR135" s="369" t="str">
        <f ca="1">IF($B135&lt;&gt;"PRC_RESID","",IF(AR$7=2005+OFFSET(COM_N_2012!$B$60,$AW135,SUMIF($B$10:$B$16,"NCAP_TLIFE",$AX$10:$AX$16)),0,""))</f>
        <v/>
      </c>
      <c r="AS135" s="369" t="str">
        <f ca="1">IF($B135&lt;&gt;"PRC_RESID","",IF(AS$7=2005+OFFSET(COM_N_2012!$B$60,$AW135,SUMIF($B$10:$B$16,"NCAP_TLIFE",$AX$10:$AX$16)),0,""))</f>
        <v/>
      </c>
      <c r="AT135" s="369" t="str">
        <f ca="1">IF($B135&lt;&gt;"PRC_RESID","",IF(AT$7=2005+OFFSET(COM_N_2012!$B$60,$AW135,SUMIF($B$10:$B$16,"NCAP_TLIFE",$AX$10:$AX$16)),0,""))</f>
        <v/>
      </c>
      <c r="AU135" s="369" t="str">
        <f ca="1">IF($B135&lt;&gt;"PRC_RESID","",IF(AU$7=2005+OFFSET(COM_N_2012!$B$60,$AW135,SUMIF($B$10:$B$16,"NCAP_TLIFE",$AX$10:$AX$16)),0,""))</f>
        <v/>
      </c>
      <c r="AV135" s="304">
        <f>IF(AW134=COM_N_2012!$AK$121,AV134+1,AV134)</f>
        <v>2</v>
      </c>
      <c r="AW135" s="304">
        <f t="shared" si="12"/>
        <v>57</v>
      </c>
    </row>
    <row r="136" spans="1:49">
      <c r="A136" s="304" t="str">
        <f ca="1">IF(LEFT(OFFSET(COM_N_2012!$A$60,AW136,0),2)="\I","*","")</f>
        <v/>
      </c>
      <c r="B136" s="369" t="str">
        <f t="shared" ca="1" si="11"/>
        <v>NCAP_BND</v>
      </c>
      <c r="C136" s="369" t="str">
        <f ca="1">IF($A136="*","",OFFSET(COM_N_2012!$B$60,AW136,0))</f>
        <v>CNOOHF-E</v>
      </c>
      <c r="D136" s="369" t="str">
        <f t="shared" ca="1" si="17"/>
        <v>-</v>
      </c>
      <c r="E136" s="369" t="str">
        <f t="shared" ca="1" si="17"/>
        <v>-</v>
      </c>
      <c r="F136" s="369" t="str">
        <f t="shared" ca="1" si="17"/>
        <v>-</v>
      </c>
      <c r="G136" s="369" t="str">
        <f t="shared" ca="1" si="17"/>
        <v>-</v>
      </c>
      <c r="H136" s="369" t="str">
        <f t="shared" ca="1" si="17"/>
        <v>UP</v>
      </c>
      <c r="I136" s="370">
        <f t="shared" ca="1" si="17"/>
        <v>0</v>
      </c>
      <c r="J136" s="391">
        <f ca="1">IF($A136="*","",OFFSET(COM_N_2012!$B$60,AW136,SUMIF($B$10:$B$16,B136,$AX$10:$AX$16)))</f>
        <v>0</v>
      </c>
      <c r="K136" s="369" t="str">
        <f ca="1">IF($B136&lt;&gt;"PRC_RESID","",IF(K$7=2005+OFFSET(COM_N_2012!$B$60,$AW136,SUMIF($B$10:$B$16,"NCAP_TLIFE",$AX$10:$AX$16)),0,""))</f>
        <v/>
      </c>
      <c r="L136" s="369" t="str">
        <f ca="1">IF($B136&lt;&gt;"PRC_RESID","",IF(L$7=2005+OFFSET(COM_N_2012!$B$60,$AW136,SUMIF($B$10:$B$16,"NCAP_TLIFE",$AX$10:$AX$16)),0,""))</f>
        <v/>
      </c>
      <c r="M136" s="369" t="str">
        <f ca="1">IF($B136&lt;&gt;"PRC_RESID","",IF(M$7=2005+OFFSET(COM_N_2012!$B$60,$AW136,SUMIF($B$10:$B$16,"NCAP_TLIFE",$AX$10:$AX$16)),0,""))</f>
        <v/>
      </c>
      <c r="N136" s="369" t="str">
        <f ca="1">IF($B136&lt;&gt;"PRC_RESID","",IF(N$7=2005+OFFSET(COM_N_2012!$B$60,$AW136,SUMIF($B$10:$B$16,"NCAP_TLIFE",$AX$10:$AX$16)),0,""))</f>
        <v/>
      </c>
      <c r="O136" s="369" t="str">
        <f ca="1">IF($B136&lt;&gt;"PRC_RESID","",IF(O$7=2005+OFFSET(COM_N_2012!$B$60,$AW136,SUMIF($B$10:$B$16,"NCAP_TLIFE",$AX$10:$AX$16)),0,""))</f>
        <v/>
      </c>
      <c r="P136" s="369" t="str">
        <f ca="1">IF($B136&lt;&gt;"PRC_RESID","",IF(P$7=2005+OFFSET(COM_N_2012!$B$60,$AW136,SUMIF($B$10:$B$16,"NCAP_TLIFE",$AX$10:$AX$16)),0,""))</f>
        <v/>
      </c>
      <c r="Q136" s="369" t="str">
        <f ca="1">IF($B136&lt;&gt;"PRC_RESID","",IF(Q$7=2005+OFFSET(COM_N_2012!$B$60,$AW136,SUMIF($B$10:$B$16,"NCAP_TLIFE",$AX$10:$AX$16)),0,""))</f>
        <v/>
      </c>
      <c r="R136" s="369" t="str">
        <f ca="1">IF($B136&lt;&gt;"PRC_RESID","",IF(R$7=2005+OFFSET(COM_N_2012!$B$60,$AW136,SUMIF($B$10:$B$16,"NCAP_TLIFE",$AX$10:$AX$16)),0,""))</f>
        <v/>
      </c>
      <c r="S136" s="369" t="str">
        <f ca="1">IF($B136&lt;&gt;"PRC_RESID","",IF(S$7=2005+OFFSET(COM_N_2012!$B$60,$AW136,SUMIF($B$10:$B$16,"NCAP_TLIFE",$AX$10:$AX$16)),0,""))</f>
        <v/>
      </c>
      <c r="T136" s="369" t="str">
        <f ca="1">IF($B136&lt;&gt;"PRC_RESID","",IF(T$7=2005+OFFSET(COM_N_2012!$B$60,$AW136,SUMIF($B$10:$B$16,"NCAP_TLIFE",$AX$10:$AX$16)),0,""))</f>
        <v/>
      </c>
      <c r="U136" s="369" t="str">
        <f ca="1">IF($B136&lt;&gt;"PRC_RESID","",IF(U$7=2005+OFFSET(COM_N_2012!$B$60,$AW136,SUMIF($B$10:$B$16,"NCAP_TLIFE",$AX$10:$AX$16)),0,""))</f>
        <v/>
      </c>
      <c r="V136" s="369" t="str">
        <f ca="1">IF($B136&lt;&gt;"PRC_RESID","",IF(V$7=2005+OFFSET(COM_N_2012!$B$60,$AW136,SUMIF($B$10:$B$16,"NCAP_TLIFE",$AX$10:$AX$16)),0,""))</f>
        <v/>
      </c>
      <c r="W136" s="369" t="str">
        <f ca="1">IF($B136&lt;&gt;"PRC_RESID","",IF(W$7=2005+OFFSET(COM_N_2012!$B$60,$AW136,SUMIF($B$10:$B$16,"NCAP_TLIFE",$AX$10:$AX$16)),0,""))</f>
        <v/>
      </c>
      <c r="X136" s="369" t="str">
        <f ca="1">IF($B136&lt;&gt;"PRC_RESID","",IF(X$7=2005+OFFSET(COM_N_2012!$B$60,$AW136,SUMIF($B$10:$B$16,"NCAP_TLIFE",$AX$10:$AX$16)),0,""))</f>
        <v/>
      </c>
      <c r="Y136" s="369" t="str">
        <f ca="1">IF($B136&lt;&gt;"PRC_RESID","",IF(Y$7=2005+OFFSET(COM_N_2012!$B$60,$AW136,SUMIF($B$10:$B$16,"NCAP_TLIFE",$AX$10:$AX$16)),0,""))</f>
        <v/>
      </c>
      <c r="Z136" s="369" t="str">
        <f ca="1">IF($B136&lt;&gt;"PRC_RESID","",IF(Z$7=2005+OFFSET(COM_N_2012!$B$60,$AW136,SUMIF($B$10:$B$16,"NCAP_TLIFE",$AX$10:$AX$16)),0,""))</f>
        <v/>
      </c>
      <c r="AA136" s="369" t="str">
        <f ca="1">IF($B136&lt;&gt;"PRC_RESID","",IF(AA$7=2005+OFFSET(COM_N_2012!$B$60,$AW136,SUMIF($B$10:$B$16,"NCAP_TLIFE",$AX$10:$AX$16)),0,""))</f>
        <v/>
      </c>
      <c r="AB136" s="369" t="str">
        <f ca="1">IF($B136&lt;&gt;"PRC_RESID","",IF(AB$7=2005+OFFSET(COM_N_2012!$B$60,$AW136,SUMIF($B$10:$B$16,"NCAP_TLIFE",$AX$10:$AX$16)),0,""))</f>
        <v/>
      </c>
      <c r="AC136" s="369" t="str">
        <f ca="1">IF($B136&lt;&gt;"PRC_RESID","",IF(AC$7=2005+OFFSET(COM_N_2012!$B$60,$AW136,SUMIF($B$10:$B$16,"NCAP_TLIFE",$AX$10:$AX$16)),0,""))</f>
        <v/>
      </c>
      <c r="AD136" s="369" t="str">
        <f ca="1">IF($B136&lt;&gt;"PRC_RESID","",IF(AD$7=2005+OFFSET(COM_N_2012!$B$60,$AW136,SUMIF($B$10:$B$16,"NCAP_TLIFE",$AX$10:$AX$16)),0,""))</f>
        <v/>
      </c>
      <c r="AE136" s="369" t="str">
        <f ca="1">IF($B136&lt;&gt;"PRC_RESID","",IF(AE$7=2005+OFFSET(COM_N_2012!$B$60,$AW136,SUMIF($B$10:$B$16,"NCAP_TLIFE",$AX$10:$AX$16)),0,""))</f>
        <v/>
      </c>
      <c r="AF136" s="369" t="str">
        <f ca="1">IF($B136&lt;&gt;"PRC_RESID","",IF(AF$7=2005+OFFSET(COM_N_2012!$B$60,$AW136,SUMIF($B$10:$B$16,"NCAP_TLIFE",$AX$10:$AX$16)),0,""))</f>
        <v/>
      </c>
      <c r="AG136" s="369" t="str">
        <f ca="1">IF($B136&lt;&gt;"PRC_RESID","",IF(AG$7=2005+OFFSET(COM_N_2012!$B$60,$AW136,SUMIF($B$10:$B$16,"NCAP_TLIFE",$AX$10:$AX$16)),0,""))</f>
        <v/>
      </c>
      <c r="AH136" s="369" t="str">
        <f ca="1">IF($B136&lt;&gt;"PRC_RESID","",IF(AH$7=2005+OFFSET(COM_N_2012!$B$60,$AW136,SUMIF($B$10:$B$16,"NCAP_TLIFE",$AX$10:$AX$16)),0,""))</f>
        <v/>
      </c>
      <c r="AI136" s="369" t="str">
        <f ca="1">IF($B136&lt;&gt;"PRC_RESID","",IF(AI$7=2005+OFFSET(COM_N_2012!$B$60,$AW136,SUMIF($B$10:$B$16,"NCAP_TLIFE",$AX$10:$AX$16)),0,""))</f>
        <v/>
      </c>
      <c r="AJ136" s="369" t="str">
        <f ca="1">IF($B136&lt;&gt;"PRC_RESID","",IF(AJ$7=2005+OFFSET(COM_N_2012!$B$60,$AW136,SUMIF($B$10:$B$16,"NCAP_TLIFE",$AX$10:$AX$16)),0,""))</f>
        <v/>
      </c>
      <c r="AK136" s="369" t="str">
        <f ca="1">IF($B136&lt;&gt;"PRC_RESID","",IF(AK$7=2005+OFFSET(COM_N_2012!$B$60,$AW136,SUMIF($B$10:$B$16,"NCAP_TLIFE",$AX$10:$AX$16)),0,""))</f>
        <v/>
      </c>
      <c r="AL136" s="369" t="str">
        <f ca="1">IF($B136&lt;&gt;"PRC_RESID","",IF(AL$7=2005+OFFSET(COM_N_2012!$B$60,$AW136,SUMIF($B$10:$B$16,"NCAP_TLIFE",$AX$10:$AX$16)),0,""))</f>
        <v/>
      </c>
      <c r="AM136" s="369" t="str">
        <f ca="1">IF($B136&lt;&gt;"PRC_RESID","",IF(AM$7=2005+OFFSET(COM_N_2012!$B$60,$AW136,SUMIF($B$10:$B$16,"NCAP_TLIFE",$AX$10:$AX$16)),0,""))</f>
        <v/>
      </c>
      <c r="AN136" s="369" t="str">
        <f ca="1">IF($B136&lt;&gt;"PRC_RESID","",IF(AN$7=2005+OFFSET(COM_N_2012!$B$60,$AW136,SUMIF($B$10:$B$16,"NCAP_TLIFE",$AX$10:$AX$16)),0,""))</f>
        <v/>
      </c>
      <c r="AO136" s="369" t="str">
        <f ca="1">IF($B136&lt;&gt;"PRC_RESID","",IF(AO$7=2005+OFFSET(COM_N_2012!$B$60,$AW136,SUMIF($B$10:$B$16,"NCAP_TLIFE",$AX$10:$AX$16)),0,""))</f>
        <v/>
      </c>
      <c r="AP136" s="369" t="str">
        <f ca="1">IF($B136&lt;&gt;"PRC_RESID","",IF(AP$7=2005+OFFSET(COM_N_2012!$B$60,$AW136,SUMIF($B$10:$B$16,"NCAP_TLIFE",$AX$10:$AX$16)),0,""))</f>
        <v/>
      </c>
      <c r="AQ136" s="369" t="str">
        <f ca="1">IF($B136&lt;&gt;"PRC_RESID","",IF(AQ$7=2005+OFFSET(COM_N_2012!$B$60,$AW136,SUMIF($B$10:$B$16,"NCAP_TLIFE",$AX$10:$AX$16)),0,""))</f>
        <v/>
      </c>
      <c r="AR136" s="369" t="str">
        <f ca="1">IF($B136&lt;&gt;"PRC_RESID","",IF(AR$7=2005+OFFSET(COM_N_2012!$B$60,$AW136,SUMIF($B$10:$B$16,"NCAP_TLIFE",$AX$10:$AX$16)),0,""))</f>
        <v/>
      </c>
      <c r="AS136" s="369" t="str">
        <f ca="1">IF($B136&lt;&gt;"PRC_RESID","",IF(AS$7=2005+OFFSET(COM_N_2012!$B$60,$AW136,SUMIF($B$10:$B$16,"NCAP_TLIFE",$AX$10:$AX$16)),0,""))</f>
        <v/>
      </c>
      <c r="AT136" s="369" t="str">
        <f ca="1">IF($B136&lt;&gt;"PRC_RESID","",IF(AT$7=2005+OFFSET(COM_N_2012!$B$60,$AW136,SUMIF($B$10:$B$16,"NCAP_TLIFE",$AX$10:$AX$16)),0,""))</f>
        <v/>
      </c>
      <c r="AU136" s="369" t="str">
        <f ca="1">IF($B136&lt;&gt;"PRC_RESID","",IF(AU$7=2005+OFFSET(COM_N_2012!$B$60,$AW136,SUMIF($B$10:$B$16,"NCAP_TLIFE",$AX$10:$AX$16)),0,""))</f>
        <v/>
      </c>
      <c r="AV136" s="304">
        <f>IF(AW135=COM_N_2012!$AK$121,AV135+1,AV135)</f>
        <v>2</v>
      </c>
      <c r="AW136" s="304">
        <f t="shared" si="12"/>
        <v>58</v>
      </c>
    </row>
    <row r="137" spans="1:49">
      <c r="A137" s="304" t="str">
        <f ca="1">IF(LEFT(OFFSET(COM_N_2012!$A$60,AW137,0),2)="\I","*","")</f>
        <v/>
      </c>
      <c r="B137" s="369" t="str">
        <f t="shared" ca="1" si="11"/>
        <v>NCAP_BND</v>
      </c>
      <c r="C137" s="369" t="str">
        <f ca="1">IF($A137="*","",OFFSET(COM_N_2012!$B$60,AW137,0))</f>
        <v>CNOOKE-E</v>
      </c>
      <c r="D137" s="369" t="str">
        <f t="shared" ca="1" si="17"/>
        <v>-</v>
      </c>
      <c r="E137" s="369" t="str">
        <f t="shared" ca="1" si="17"/>
        <v>-</v>
      </c>
      <c r="F137" s="369" t="str">
        <f t="shared" ca="1" si="17"/>
        <v>-</v>
      </c>
      <c r="G137" s="369" t="str">
        <f t="shared" ca="1" si="17"/>
        <v>-</v>
      </c>
      <c r="H137" s="369" t="str">
        <f t="shared" ca="1" si="17"/>
        <v>UP</v>
      </c>
      <c r="I137" s="370">
        <f t="shared" ca="1" si="17"/>
        <v>0</v>
      </c>
      <c r="J137" s="391">
        <f ca="1">IF($A137="*","",OFFSET(COM_N_2012!$B$60,AW137,SUMIF($B$10:$B$16,B137,$AX$10:$AX$16)))</f>
        <v>0</v>
      </c>
      <c r="K137" s="369" t="str">
        <f ca="1">IF($B137&lt;&gt;"PRC_RESID","",IF(K$7=2005+OFFSET(COM_N_2012!$B$60,$AW137,SUMIF($B$10:$B$16,"NCAP_TLIFE",$AX$10:$AX$16)),0,""))</f>
        <v/>
      </c>
      <c r="L137" s="369" t="str">
        <f ca="1">IF($B137&lt;&gt;"PRC_RESID","",IF(L$7=2005+OFFSET(COM_N_2012!$B$60,$AW137,SUMIF($B$10:$B$16,"NCAP_TLIFE",$AX$10:$AX$16)),0,""))</f>
        <v/>
      </c>
      <c r="M137" s="369" t="str">
        <f ca="1">IF($B137&lt;&gt;"PRC_RESID","",IF(M$7=2005+OFFSET(COM_N_2012!$B$60,$AW137,SUMIF($B$10:$B$16,"NCAP_TLIFE",$AX$10:$AX$16)),0,""))</f>
        <v/>
      </c>
      <c r="N137" s="369" t="str">
        <f ca="1">IF($B137&lt;&gt;"PRC_RESID","",IF(N$7=2005+OFFSET(COM_N_2012!$B$60,$AW137,SUMIF($B$10:$B$16,"NCAP_TLIFE",$AX$10:$AX$16)),0,""))</f>
        <v/>
      </c>
      <c r="O137" s="369" t="str">
        <f ca="1">IF($B137&lt;&gt;"PRC_RESID","",IF(O$7=2005+OFFSET(COM_N_2012!$B$60,$AW137,SUMIF($B$10:$B$16,"NCAP_TLIFE",$AX$10:$AX$16)),0,""))</f>
        <v/>
      </c>
      <c r="P137" s="369" t="str">
        <f ca="1">IF($B137&lt;&gt;"PRC_RESID","",IF(P$7=2005+OFFSET(COM_N_2012!$B$60,$AW137,SUMIF($B$10:$B$16,"NCAP_TLIFE",$AX$10:$AX$16)),0,""))</f>
        <v/>
      </c>
      <c r="Q137" s="369" t="str">
        <f ca="1">IF($B137&lt;&gt;"PRC_RESID","",IF(Q$7=2005+OFFSET(COM_N_2012!$B$60,$AW137,SUMIF($B$10:$B$16,"NCAP_TLIFE",$AX$10:$AX$16)),0,""))</f>
        <v/>
      </c>
      <c r="R137" s="369" t="str">
        <f ca="1">IF($B137&lt;&gt;"PRC_RESID","",IF(R$7=2005+OFFSET(COM_N_2012!$B$60,$AW137,SUMIF($B$10:$B$16,"NCAP_TLIFE",$AX$10:$AX$16)),0,""))</f>
        <v/>
      </c>
      <c r="S137" s="369" t="str">
        <f ca="1">IF($B137&lt;&gt;"PRC_RESID","",IF(S$7=2005+OFFSET(COM_N_2012!$B$60,$AW137,SUMIF($B$10:$B$16,"NCAP_TLIFE",$AX$10:$AX$16)),0,""))</f>
        <v/>
      </c>
      <c r="T137" s="369" t="str">
        <f ca="1">IF($B137&lt;&gt;"PRC_RESID","",IF(T$7=2005+OFFSET(COM_N_2012!$B$60,$AW137,SUMIF($B$10:$B$16,"NCAP_TLIFE",$AX$10:$AX$16)),0,""))</f>
        <v/>
      </c>
      <c r="U137" s="369" t="str">
        <f ca="1">IF($B137&lt;&gt;"PRC_RESID","",IF(U$7=2005+OFFSET(COM_N_2012!$B$60,$AW137,SUMIF($B$10:$B$16,"NCAP_TLIFE",$AX$10:$AX$16)),0,""))</f>
        <v/>
      </c>
      <c r="V137" s="369" t="str">
        <f ca="1">IF($B137&lt;&gt;"PRC_RESID","",IF(V$7=2005+OFFSET(COM_N_2012!$B$60,$AW137,SUMIF($B$10:$B$16,"NCAP_TLIFE",$AX$10:$AX$16)),0,""))</f>
        <v/>
      </c>
      <c r="W137" s="369" t="str">
        <f ca="1">IF($B137&lt;&gt;"PRC_RESID","",IF(W$7=2005+OFFSET(COM_N_2012!$B$60,$AW137,SUMIF($B$10:$B$16,"NCAP_TLIFE",$AX$10:$AX$16)),0,""))</f>
        <v/>
      </c>
      <c r="X137" s="369" t="str">
        <f ca="1">IF($B137&lt;&gt;"PRC_RESID","",IF(X$7=2005+OFFSET(COM_N_2012!$B$60,$AW137,SUMIF($B$10:$B$16,"NCAP_TLIFE",$AX$10:$AX$16)),0,""))</f>
        <v/>
      </c>
      <c r="Y137" s="369" t="str">
        <f ca="1">IF($B137&lt;&gt;"PRC_RESID","",IF(Y$7=2005+OFFSET(COM_N_2012!$B$60,$AW137,SUMIF($B$10:$B$16,"NCAP_TLIFE",$AX$10:$AX$16)),0,""))</f>
        <v/>
      </c>
      <c r="Z137" s="369" t="str">
        <f ca="1">IF($B137&lt;&gt;"PRC_RESID","",IF(Z$7=2005+OFFSET(COM_N_2012!$B$60,$AW137,SUMIF($B$10:$B$16,"NCAP_TLIFE",$AX$10:$AX$16)),0,""))</f>
        <v/>
      </c>
      <c r="AA137" s="369" t="str">
        <f ca="1">IF($B137&lt;&gt;"PRC_RESID","",IF(AA$7=2005+OFFSET(COM_N_2012!$B$60,$AW137,SUMIF($B$10:$B$16,"NCAP_TLIFE",$AX$10:$AX$16)),0,""))</f>
        <v/>
      </c>
      <c r="AB137" s="369" t="str">
        <f ca="1">IF($B137&lt;&gt;"PRC_RESID","",IF(AB$7=2005+OFFSET(COM_N_2012!$B$60,$AW137,SUMIF($B$10:$B$16,"NCAP_TLIFE",$AX$10:$AX$16)),0,""))</f>
        <v/>
      </c>
      <c r="AC137" s="369" t="str">
        <f ca="1">IF($B137&lt;&gt;"PRC_RESID","",IF(AC$7=2005+OFFSET(COM_N_2012!$B$60,$AW137,SUMIF($B$10:$B$16,"NCAP_TLIFE",$AX$10:$AX$16)),0,""))</f>
        <v/>
      </c>
      <c r="AD137" s="369" t="str">
        <f ca="1">IF($B137&lt;&gt;"PRC_RESID","",IF(AD$7=2005+OFFSET(COM_N_2012!$B$60,$AW137,SUMIF($B$10:$B$16,"NCAP_TLIFE",$AX$10:$AX$16)),0,""))</f>
        <v/>
      </c>
      <c r="AE137" s="369" t="str">
        <f ca="1">IF($B137&lt;&gt;"PRC_RESID","",IF(AE$7=2005+OFFSET(COM_N_2012!$B$60,$AW137,SUMIF($B$10:$B$16,"NCAP_TLIFE",$AX$10:$AX$16)),0,""))</f>
        <v/>
      </c>
      <c r="AF137" s="369" t="str">
        <f ca="1">IF($B137&lt;&gt;"PRC_RESID","",IF(AF$7=2005+OFFSET(COM_N_2012!$B$60,$AW137,SUMIF($B$10:$B$16,"NCAP_TLIFE",$AX$10:$AX$16)),0,""))</f>
        <v/>
      </c>
      <c r="AG137" s="369" t="str">
        <f ca="1">IF($B137&lt;&gt;"PRC_RESID","",IF(AG$7=2005+OFFSET(COM_N_2012!$B$60,$AW137,SUMIF($B$10:$B$16,"NCAP_TLIFE",$AX$10:$AX$16)),0,""))</f>
        <v/>
      </c>
      <c r="AH137" s="369" t="str">
        <f ca="1">IF($B137&lt;&gt;"PRC_RESID","",IF(AH$7=2005+OFFSET(COM_N_2012!$B$60,$AW137,SUMIF($B$10:$B$16,"NCAP_TLIFE",$AX$10:$AX$16)),0,""))</f>
        <v/>
      </c>
      <c r="AI137" s="369" t="str">
        <f ca="1">IF($B137&lt;&gt;"PRC_RESID","",IF(AI$7=2005+OFFSET(COM_N_2012!$B$60,$AW137,SUMIF($B$10:$B$16,"NCAP_TLIFE",$AX$10:$AX$16)),0,""))</f>
        <v/>
      </c>
      <c r="AJ137" s="369" t="str">
        <f ca="1">IF($B137&lt;&gt;"PRC_RESID","",IF(AJ$7=2005+OFFSET(COM_N_2012!$B$60,$AW137,SUMIF($B$10:$B$16,"NCAP_TLIFE",$AX$10:$AX$16)),0,""))</f>
        <v/>
      </c>
      <c r="AK137" s="369" t="str">
        <f ca="1">IF($B137&lt;&gt;"PRC_RESID","",IF(AK$7=2005+OFFSET(COM_N_2012!$B$60,$AW137,SUMIF($B$10:$B$16,"NCAP_TLIFE",$AX$10:$AX$16)),0,""))</f>
        <v/>
      </c>
      <c r="AL137" s="369" t="str">
        <f ca="1">IF($B137&lt;&gt;"PRC_RESID","",IF(AL$7=2005+OFFSET(COM_N_2012!$B$60,$AW137,SUMIF($B$10:$B$16,"NCAP_TLIFE",$AX$10:$AX$16)),0,""))</f>
        <v/>
      </c>
      <c r="AM137" s="369" t="str">
        <f ca="1">IF($B137&lt;&gt;"PRC_RESID","",IF(AM$7=2005+OFFSET(COM_N_2012!$B$60,$AW137,SUMIF($B$10:$B$16,"NCAP_TLIFE",$AX$10:$AX$16)),0,""))</f>
        <v/>
      </c>
      <c r="AN137" s="369" t="str">
        <f ca="1">IF($B137&lt;&gt;"PRC_RESID","",IF(AN$7=2005+OFFSET(COM_N_2012!$B$60,$AW137,SUMIF($B$10:$B$16,"NCAP_TLIFE",$AX$10:$AX$16)),0,""))</f>
        <v/>
      </c>
      <c r="AO137" s="369" t="str">
        <f ca="1">IF($B137&lt;&gt;"PRC_RESID","",IF(AO$7=2005+OFFSET(COM_N_2012!$B$60,$AW137,SUMIF($B$10:$B$16,"NCAP_TLIFE",$AX$10:$AX$16)),0,""))</f>
        <v/>
      </c>
      <c r="AP137" s="369" t="str">
        <f ca="1">IF($B137&lt;&gt;"PRC_RESID","",IF(AP$7=2005+OFFSET(COM_N_2012!$B$60,$AW137,SUMIF($B$10:$B$16,"NCAP_TLIFE",$AX$10:$AX$16)),0,""))</f>
        <v/>
      </c>
      <c r="AQ137" s="369" t="str">
        <f ca="1">IF($B137&lt;&gt;"PRC_RESID","",IF(AQ$7=2005+OFFSET(COM_N_2012!$B$60,$AW137,SUMIF($B$10:$B$16,"NCAP_TLIFE",$AX$10:$AX$16)),0,""))</f>
        <v/>
      </c>
      <c r="AR137" s="369" t="str">
        <f ca="1">IF($B137&lt;&gt;"PRC_RESID","",IF(AR$7=2005+OFFSET(COM_N_2012!$B$60,$AW137,SUMIF($B$10:$B$16,"NCAP_TLIFE",$AX$10:$AX$16)),0,""))</f>
        <v/>
      </c>
      <c r="AS137" s="369" t="str">
        <f ca="1">IF($B137&lt;&gt;"PRC_RESID","",IF(AS$7=2005+OFFSET(COM_N_2012!$B$60,$AW137,SUMIF($B$10:$B$16,"NCAP_TLIFE",$AX$10:$AX$16)),0,""))</f>
        <v/>
      </c>
      <c r="AT137" s="369" t="str">
        <f ca="1">IF($B137&lt;&gt;"PRC_RESID","",IF(AT$7=2005+OFFSET(COM_N_2012!$B$60,$AW137,SUMIF($B$10:$B$16,"NCAP_TLIFE",$AX$10:$AX$16)),0,""))</f>
        <v/>
      </c>
      <c r="AU137" s="369" t="str">
        <f ca="1">IF($B137&lt;&gt;"PRC_RESID","",IF(AU$7=2005+OFFSET(COM_N_2012!$B$60,$AW137,SUMIF($B$10:$B$16,"NCAP_TLIFE",$AX$10:$AX$16)),0,""))</f>
        <v/>
      </c>
      <c r="AV137" s="304">
        <f>IF(AW136=COM_N_2012!$AK$121,AV136+1,AV136)</f>
        <v>2</v>
      </c>
      <c r="AW137" s="304">
        <f t="shared" si="12"/>
        <v>59</v>
      </c>
    </row>
    <row r="138" spans="1:49">
      <c r="A138" s="304" t="str">
        <f ca="1">IF(LEFT(OFFSET(COM_N_2012!$A$60,AW138,0),2)="\I","*","")</f>
        <v>*</v>
      </c>
      <c r="B138" s="369" t="str">
        <f t="shared" ca="1" si="11"/>
        <v/>
      </c>
      <c r="C138" s="369" t="str">
        <f ca="1">IF($A138="*","",OFFSET(COM_N_2012!$B$60,AW138,0))</f>
        <v/>
      </c>
      <c r="D138" s="369" t="str">
        <f t="shared" ref="D138:I147" ca="1" si="18">IF($A138="*","",VLOOKUP($B138,$B$10:$I$16,D$9,FALSE))</f>
        <v/>
      </c>
      <c r="E138" s="369" t="str">
        <f t="shared" ca="1" si="18"/>
        <v/>
      </c>
      <c r="F138" s="369" t="str">
        <f t="shared" ca="1" si="18"/>
        <v/>
      </c>
      <c r="G138" s="369" t="str">
        <f t="shared" ca="1" si="18"/>
        <v/>
      </c>
      <c r="H138" s="369" t="str">
        <f t="shared" ca="1" si="18"/>
        <v/>
      </c>
      <c r="I138" s="370" t="str">
        <f t="shared" ca="1" si="18"/>
        <v/>
      </c>
      <c r="J138" s="391" t="str">
        <f ca="1">IF($A138="*","",OFFSET(COM_N_2012!$B$60,AW138,SUMIF($B$10:$B$16,B138,$AX$10:$AX$16)))</f>
        <v/>
      </c>
      <c r="K138" s="369" t="str">
        <f ca="1">IF($B138&lt;&gt;"PRC_RESID","",IF(K$7=2005+OFFSET(COM_N_2012!$B$60,$AW138,SUMIF($B$10:$B$16,"NCAP_TLIFE",$AX$10:$AX$16)),0,""))</f>
        <v/>
      </c>
      <c r="L138" s="369" t="str">
        <f ca="1">IF($B138&lt;&gt;"PRC_RESID","",IF(L$7=2005+OFFSET(COM_N_2012!$B$60,$AW138,SUMIF($B$10:$B$16,"NCAP_TLIFE",$AX$10:$AX$16)),0,""))</f>
        <v/>
      </c>
      <c r="M138" s="369" t="str">
        <f ca="1">IF($B138&lt;&gt;"PRC_RESID","",IF(M$7=2005+OFFSET(COM_N_2012!$B$60,$AW138,SUMIF($B$10:$B$16,"NCAP_TLIFE",$AX$10:$AX$16)),0,""))</f>
        <v/>
      </c>
      <c r="N138" s="369" t="str">
        <f ca="1">IF($B138&lt;&gt;"PRC_RESID","",IF(N$7=2005+OFFSET(COM_N_2012!$B$60,$AW138,SUMIF($B$10:$B$16,"NCAP_TLIFE",$AX$10:$AX$16)),0,""))</f>
        <v/>
      </c>
      <c r="O138" s="369" t="str">
        <f ca="1">IF($B138&lt;&gt;"PRC_RESID","",IF(O$7=2005+OFFSET(COM_N_2012!$B$60,$AW138,SUMIF($B$10:$B$16,"NCAP_TLIFE",$AX$10:$AX$16)),0,""))</f>
        <v/>
      </c>
      <c r="P138" s="369" t="str">
        <f ca="1">IF($B138&lt;&gt;"PRC_RESID","",IF(P$7=2005+OFFSET(COM_N_2012!$B$60,$AW138,SUMIF($B$10:$B$16,"NCAP_TLIFE",$AX$10:$AX$16)),0,""))</f>
        <v/>
      </c>
      <c r="Q138" s="369" t="str">
        <f ca="1">IF($B138&lt;&gt;"PRC_RESID","",IF(Q$7=2005+OFFSET(COM_N_2012!$B$60,$AW138,SUMIF($B$10:$B$16,"NCAP_TLIFE",$AX$10:$AX$16)),0,""))</f>
        <v/>
      </c>
      <c r="R138" s="369" t="str">
        <f ca="1">IF($B138&lt;&gt;"PRC_RESID","",IF(R$7=2005+OFFSET(COM_N_2012!$B$60,$AW138,SUMIF($B$10:$B$16,"NCAP_TLIFE",$AX$10:$AX$16)),0,""))</f>
        <v/>
      </c>
      <c r="S138" s="369" t="str">
        <f ca="1">IF($B138&lt;&gt;"PRC_RESID","",IF(S$7=2005+OFFSET(COM_N_2012!$B$60,$AW138,SUMIF($B$10:$B$16,"NCAP_TLIFE",$AX$10:$AX$16)),0,""))</f>
        <v/>
      </c>
      <c r="T138" s="369" t="str">
        <f ca="1">IF($B138&lt;&gt;"PRC_RESID","",IF(T$7=2005+OFFSET(COM_N_2012!$B$60,$AW138,SUMIF($B$10:$B$16,"NCAP_TLIFE",$AX$10:$AX$16)),0,""))</f>
        <v/>
      </c>
      <c r="U138" s="369" t="str">
        <f ca="1">IF($B138&lt;&gt;"PRC_RESID","",IF(U$7=2005+OFFSET(COM_N_2012!$B$60,$AW138,SUMIF($B$10:$B$16,"NCAP_TLIFE",$AX$10:$AX$16)),0,""))</f>
        <v/>
      </c>
      <c r="V138" s="369" t="str">
        <f ca="1">IF($B138&lt;&gt;"PRC_RESID","",IF(V$7=2005+OFFSET(COM_N_2012!$B$60,$AW138,SUMIF($B$10:$B$16,"NCAP_TLIFE",$AX$10:$AX$16)),0,""))</f>
        <v/>
      </c>
      <c r="W138" s="369" t="str">
        <f ca="1">IF($B138&lt;&gt;"PRC_RESID","",IF(W$7=2005+OFFSET(COM_N_2012!$B$60,$AW138,SUMIF($B$10:$B$16,"NCAP_TLIFE",$AX$10:$AX$16)),0,""))</f>
        <v/>
      </c>
      <c r="X138" s="369" t="str">
        <f ca="1">IF($B138&lt;&gt;"PRC_RESID","",IF(X$7=2005+OFFSET(COM_N_2012!$B$60,$AW138,SUMIF($B$10:$B$16,"NCAP_TLIFE",$AX$10:$AX$16)),0,""))</f>
        <v/>
      </c>
      <c r="Y138" s="369" t="str">
        <f ca="1">IF($B138&lt;&gt;"PRC_RESID","",IF(Y$7=2005+OFFSET(COM_N_2012!$B$60,$AW138,SUMIF($B$10:$B$16,"NCAP_TLIFE",$AX$10:$AX$16)),0,""))</f>
        <v/>
      </c>
      <c r="Z138" s="369" t="str">
        <f ca="1">IF($B138&lt;&gt;"PRC_RESID","",IF(Z$7=2005+OFFSET(COM_N_2012!$B$60,$AW138,SUMIF($B$10:$B$16,"NCAP_TLIFE",$AX$10:$AX$16)),0,""))</f>
        <v/>
      </c>
      <c r="AA138" s="369" t="str">
        <f ca="1">IF($B138&lt;&gt;"PRC_RESID","",IF(AA$7=2005+OFFSET(COM_N_2012!$B$60,$AW138,SUMIF($B$10:$B$16,"NCAP_TLIFE",$AX$10:$AX$16)),0,""))</f>
        <v/>
      </c>
      <c r="AB138" s="369" t="str">
        <f ca="1">IF($B138&lt;&gt;"PRC_RESID","",IF(AB$7=2005+OFFSET(COM_N_2012!$B$60,$AW138,SUMIF($B$10:$B$16,"NCAP_TLIFE",$AX$10:$AX$16)),0,""))</f>
        <v/>
      </c>
      <c r="AC138" s="369" t="str">
        <f ca="1">IF($B138&lt;&gt;"PRC_RESID","",IF(AC$7=2005+OFFSET(COM_N_2012!$B$60,$AW138,SUMIF($B$10:$B$16,"NCAP_TLIFE",$AX$10:$AX$16)),0,""))</f>
        <v/>
      </c>
      <c r="AD138" s="369" t="str">
        <f ca="1">IF($B138&lt;&gt;"PRC_RESID","",IF(AD$7=2005+OFFSET(COM_N_2012!$B$60,$AW138,SUMIF($B$10:$B$16,"NCAP_TLIFE",$AX$10:$AX$16)),0,""))</f>
        <v/>
      </c>
      <c r="AE138" s="369" t="str">
        <f ca="1">IF($B138&lt;&gt;"PRC_RESID","",IF(AE$7=2005+OFFSET(COM_N_2012!$B$60,$AW138,SUMIF($B$10:$B$16,"NCAP_TLIFE",$AX$10:$AX$16)),0,""))</f>
        <v/>
      </c>
      <c r="AF138" s="369" t="str">
        <f ca="1">IF($B138&lt;&gt;"PRC_RESID","",IF(AF$7=2005+OFFSET(COM_N_2012!$B$60,$AW138,SUMIF($B$10:$B$16,"NCAP_TLIFE",$AX$10:$AX$16)),0,""))</f>
        <v/>
      </c>
      <c r="AG138" s="369" t="str">
        <f ca="1">IF($B138&lt;&gt;"PRC_RESID","",IF(AG$7=2005+OFFSET(COM_N_2012!$B$60,$AW138,SUMIF($B$10:$B$16,"NCAP_TLIFE",$AX$10:$AX$16)),0,""))</f>
        <v/>
      </c>
      <c r="AH138" s="369" t="str">
        <f ca="1">IF($B138&lt;&gt;"PRC_RESID","",IF(AH$7=2005+OFFSET(COM_N_2012!$B$60,$AW138,SUMIF($B$10:$B$16,"NCAP_TLIFE",$AX$10:$AX$16)),0,""))</f>
        <v/>
      </c>
      <c r="AI138" s="369" t="str">
        <f ca="1">IF($B138&lt;&gt;"PRC_RESID","",IF(AI$7=2005+OFFSET(COM_N_2012!$B$60,$AW138,SUMIF($B$10:$B$16,"NCAP_TLIFE",$AX$10:$AX$16)),0,""))</f>
        <v/>
      </c>
      <c r="AJ138" s="369" t="str">
        <f ca="1">IF($B138&lt;&gt;"PRC_RESID","",IF(AJ$7=2005+OFFSET(COM_N_2012!$B$60,$AW138,SUMIF($B$10:$B$16,"NCAP_TLIFE",$AX$10:$AX$16)),0,""))</f>
        <v/>
      </c>
      <c r="AK138" s="369" t="str">
        <f ca="1">IF($B138&lt;&gt;"PRC_RESID","",IF(AK$7=2005+OFFSET(COM_N_2012!$B$60,$AW138,SUMIF($B$10:$B$16,"NCAP_TLIFE",$AX$10:$AX$16)),0,""))</f>
        <v/>
      </c>
      <c r="AL138" s="369" t="str">
        <f ca="1">IF($B138&lt;&gt;"PRC_RESID","",IF(AL$7=2005+OFFSET(COM_N_2012!$B$60,$AW138,SUMIF($B$10:$B$16,"NCAP_TLIFE",$AX$10:$AX$16)),0,""))</f>
        <v/>
      </c>
      <c r="AM138" s="369" t="str">
        <f ca="1">IF($B138&lt;&gt;"PRC_RESID","",IF(AM$7=2005+OFFSET(COM_N_2012!$B$60,$AW138,SUMIF($B$10:$B$16,"NCAP_TLIFE",$AX$10:$AX$16)),0,""))</f>
        <v/>
      </c>
      <c r="AN138" s="369" t="str">
        <f ca="1">IF($B138&lt;&gt;"PRC_RESID","",IF(AN$7=2005+OFFSET(COM_N_2012!$B$60,$AW138,SUMIF($B$10:$B$16,"NCAP_TLIFE",$AX$10:$AX$16)),0,""))</f>
        <v/>
      </c>
      <c r="AO138" s="369" t="str">
        <f ca="1">IF($B138&lt;&gt;"PRC_RESID","",IF(AO$7=2005+OFFSET(COM_N_2012!$B$60,$AW138,SUMIF($B$10:$B$16,"NCAP_TLIFE",$AX$10:$AX$16)),0,""))</f>
        <v/>
      </c>
      <c r="AP138" s="369" t="str">
        <f ca="1">IF($B138&lt;&gt;"PRC_RESID","",IF(AP$7=2005+OFFSET(COM_N_2012!$B$60,$AW138,SUMIF($B$10:$B$16,"NCAP_TLIFE",$AX$10:$AX$16)),0,""))</f>
        <v/>
      </c>
      <c r="AQ138" s="369" t="str">
        <f ca="1">IF($B138&lt;&gt;"PRC_RESID","",IF(AQ$7=2005+OFFSET(COM_N_2012!$B$60,$AW138,SUMIF($B$10:$B$16,"NCAP_TLIFE",$AX$10:$AX$16)),0,""))</f>
        <v/>
      </c>
      <c r="AR138" s="369" t="str">
        <f ca="1">IF($B138&lt;&gt;"PRC_RESID","",IF(AR$7=2005+OFFSET(COM_N_2012!$B$60,$AW138,SUMIF($B$10:$B$16,"NCAP_TLIFE",$AX$10:$AX$16)),0,""))</f>
        <v/>
      </c>
      <c r="AS138" s="369" t="str">
        <f ca="1">IF($B138&lt;&gt;"PRC_RESID","",IF(AS$7=2005+OFFSET(COM_N_2012!$B$60,$AW138,SUMIF($B$10:$B$16,"NCAP_TLIFE",$AX$10:$AX$16)),0,""))</f>
        <v/>
      </c>
      <c r="AT138" s="369" t="str">
        <f ca="1">IF($B138&lt;&gt;"PRC_RESID","",IF(AT$7=2005+OFFSET(COM_N_2012!$B$60,$AW138,SUMIF($B$10:$B$16,"NCAP_TLIFE",$AX$10:$AX$16)),0,""))</f>
        <v/>
      </c>
      <c r="AU138" s="369" t="str">
        <f ca="1">IF($B138&lt;&gt;"PRC_RESID","",IF(AU$7=2005+OFFSET(COM_N_2012!$B$60,$AW138,SUMIF($B$10:$B$16,"NCAP_TLIFE",$AX$10:$AX$16)),0,""))</f>
        <v/>
      </c>
      <c r="AV138" s="304">
        <f>IF(AW137=COM_N_2012!$AK$121,AV137+1,AV137)</f>
        <v>2</v>
      </c>
      <c r="AW138" s="304">
        <f t="shared" si="12"/>
        <v>60</v>
      </c>
    </row>
    <row r="139" spans="1:49">
      <c r="A139" s="304" t="str">
        <f ca="1">IF(LEFT(OFFSET(COM_N_2012!$A$60,AW139,0),2)="\I","*","")</f>
        <v>*</v>
      </c>
      <c r="B139" s="369" t="str">
        <f t="shared" ca="1" si="11"/>
        <v/>
      </c>
      <c r="C139" s="369" t="str">
        <f ca="1">IF($A139="*","",OFFSET(COM_N_2012!$B$60,AW139,0))</f>
        <v/>
      </c>
      <c r="D139" s="369" t="str">
        <f t="shared" ca="1" si="18"/>
        <v/>
      </c>
      <c r="E139" s="369" t="str">
        <f t="shared" ca="1" si="18"/>
        <v/>
      </c>
      <c r="F139" s="369" t="str">
        <f t="shared" ca="1" si="18"/>
        <v/>
      </c>
      <c r="G139" s="369" t="str">
        <f t="shared" ca="1" si="18"/>
        <v/>
      </c>
      <c r="H139" s="369" t="str">
        <f t="shared" ca="1" si="18"/>
        <v/>
      </c>
      <c r="I139" s="370" t="str">
        <f t="shared" ca="1" si="18"/>
        <v/>
      </c>
      <c r="J139" s="391" t="str">
        <f ca="1">IF($A139="*","",OFFSET(COM_N_2012!$B$60,AW139,SUMIF($B$10:$B$16,B139,$AX$10:$AX$16)))</f>
        <v/>
      </c>
      <c r="K139" s="369" t="str">
        <f ca="1">IF($B139&lt;&gt;"PRC_RESID","",IF(K$7=2005+OFFSET(COM_N_2012!$B$60,$AW139,SUMIF($B$10:$B$16,"NCAP_TLIFE",$AX$10:$AX$16)),0,""))</f>
        <v/>
      </c>
      <c r="L139" s="369" t="str">
        <f ca="1">IF($B139&lt;&gt;"PRC_RESID","",IF(L$7=2005+OFFSET(COM_N_2012!$B$60,$AW139,SUMIF($B$10:$B$16,"NCAP_TLIFE",$AX$10:$AX$16)),0,""))</f>
        <v/>
      </c>
      <c r="M139" s="369" t="str">
        <f ca="1">IF($B139&lt;&gt;"PRC_RESID","",IF(M$7=2005+OFFSET(COM_N_2012!$B$60,$AW139,SUMIF($B$10:$B$16,"NCAP_TLIFE",$AX$10:$AX$16)),0,""))</f>
        <v/>
      </c>
      <c r="N139" s="369" t="str">
        <f ca="1">IF($B139&lt;&gt;"PRC_RESID","",IF(N$7=2005+OFFSET(COM_N_2012!$B$60,$AW139,SUMIF($B$10:$B$16,"NCAP_TLIFE",$AX$10:$AX$16)),0,""))</f>
        <v/>
      </c>
      <c r="O139" s="369" t="str">
        <f ca="1">IF($B139&lt;&gt;"PRC_RESID","",IF(O$7=2005+OFFSET(COM_N_2012!$B$60,$AW139,SUMIF($B$10:$B$16,"NCAP_TLIFE",$AX$10:$AX$16)),0,""))</f>
        <v/>
      </c>
      <c r="P139" s="369" t="str">
        <f ca="1">IF($B139&lt;&gt;"PRC_RESID","",IF(P$7=2005+OFFSET(COM_N_2012!$B$60,$AW139,SUMIF($B$10:$B$16,"NCAP_TLIFE",$AX$10:$AX$16)),0,""))</f>
        <v/>
      </c>
      <c r="Q139" s="369" t="str">
        <f ca="1">IF($B139&lt;&gt;"PRC_RESID","",IF(Q$7=2005+OFFSET(COM_N_2012!$B$60,$AW139,SUMIF($B$10:$B$16,"NCAP_TLIFE",$AX$10:$AX$16)),0,""))</f>
        <v/>
      </c>
      <c r="R139" s="369" t="str">
        <f ca="1">IF($B139&lt;&gt;"PRC_RESID","",IF(R$7=2005+OFFSET(COM_N_2012!$B$60,$AW139,SUMIF($B$10:$B$16,"NCAP_TLIFE",$AX$10:$AX$16)),0,""))</f>
        <v/>
      </c>
      <c r="S139" s="369" t="str">
        <f ca="1">IF($B139&lt;&gt;"PRC_RESID","",IF(S$7=2005+OFFSET(COM_N_2012!$B$60,$AW139,SUMIF($B$10:$B$16,"NCAP_TLIFE",$AX$10:$AX$16)),0,""))</f>
        <v/>
      </c>
      <c r="T139" s="369" t="str">
        <f ca="1">IF($B139&lt;&gt;"PRC_RESID","",IF(T$7=2005+OFFSET(COM_N_2012!$B$60,$AW139,SUMIF($B$10:$B$16,"NCAP_TLIFE",$AX$10:$AX$16)),0,""))</f>
        <v/>
      </c>
      <c r="U139" s="369" t="str">
        <f ca="1">IF($B139&lt;&gt;"PRC_RESID","",IF(U$7=2005+OFFSET(COM_N_2012!$B$60,$AW139,SUMIF($B$10:$B$16,"NCAP_TLIFE",$AX$10:$AX$16)),0,""))</f>
        <v/>
      </c>
      <c r="V139" s="369" t="str">
        <f ca="1">IF($B139&lt;&gt;"PRC_RESID","",IF(V$7=2005+OFFSET(COM_N_2012!$B$60,$AW139,SUMIF($B$10:$B$16,"NCAP_TLIFE",$AX$10:$AX$16)),0,""))</f>
        <v/>
      </c>
      <c r="W139" s="369" t="str">
        <f ca="1">IF($B139&lt;&gt;"PRC_RESID","",IF(W$7=2005+OFFSET(COM_N_2012!$B$60,$AW139,SUMIF($B$10:$B$16,"NCAP_TLIFE",$AX$10:$AX$16)),0,""))</f>
        <v/>
      </c>
      <c r="X139" s="369" t="str">
        <f ca="1">IF($B139&lt;&gt;"PRC_RESID","",IF(X$7=2005+OFFSET(COM_N_2012!$B$60,$AW139,SUMIF($B$10:$B$16,"NCAP_TLIFE",$AX$10:$AX$16)),0,""))</f>
        <v/>
      </c>
      <c r="Y139" s="369" t="str">
        <f ca="1">IF($B139&lt;&gt;"PRC_RESID","",IF(Y$7=2005+OFFSET(COM_N_2012!$B$60,$AW139,SUMIF($B$10:$B$16,"NCAP_TLIFE",$AX$10:$AX$16)),0,""))</f>
        <v/>
      </c>
      <c r="Z139" s="369" t="str">
        <f ca="1">IF($B139&lt;&gt;"PRC_RESID","",IF(Z$7=2005+OFFSET(COM_N_2012!$B$60,$AW139,SUMIF($B$10:$B$16,"NCAP_TLIFE",$AX$10:$AX$16)),0,""))</f>
        <v/>
      </c>
      <c r="AA139" s="369" t="str">
        <f ca="1">IF($B139&lt;&gt;"PRC_RESID","",IF(AA$7=2005+OFFSET(COM_N_2012!$B$60,$AW139,SUMIF($B$10:$B$16,"NCAP_TLIFE",$AX$10:$AX$16)),0,""))</f>
        <v/>
      </c>
      <c r="AB139" s="369" t="str">
        <f ca="1">IF($B139&lt;&gt;"PRC_RESID","",IF(AB$7=2005+OFFSET(COM_N_2012!$B$60,$AW139,SUMIF($B$10:$B$16,"NCAP_TLIFE",$AX$10:$AX$16)),0,""))</f>
        <v/>
      </c>
      <c r="AC139" s="369" t="str">
        <f ca="1">IF($B139&lt;&gt;"PRC_RESID","",IF(AC$7=2005+OFFSET(COM_N_2012!$B$60,$AW139,SUMIF($B$10:$B$16,"NCAP_TLIFE",$AX$10:$AX$16)),0,""))</f>
        <v/>
      </c>
      <c r="AD139" s="369" t="str">
        <f ca="1">IF($B139&lt;&gt;"PRC_RESID","",IF(AD$7=2005+OFFSET(COM_N_2012!$B$60,$AW139,SUMIF($B$10:$B$16,"NCAP_TLIFE",$AX$10:$AX$16)),0,""))</f>
        <v/>
      </c>
      <c r="AE139" s="369" t="str">
        <f ca="1">IF($B139&lt;&gt;"PRC_RESID","",IF(AE$7=2005+OFFSET(COM_N_2012!$B$60,$AW139,SUMIF($B$10:$B$16,"NCAP_TLIFE",$AX$10:$AX$16)),0,""))</f>
        <v/>
      </c>
      <c r="AF139" s="369" t="str">
        <f ca="1">IF($B139&lt;&gt;"PRC_RESID","",IF(AF$7=2005+OFFSET(COM_N_2012!$B$60,$AW139,SUMIF($B$10:$B$16,"NCAP_TLIFE",$AX$10:$AX$16)),0,""))</f>
        <v/>
      </c>
      <c r="AG139" s="369" t="str">
        <f ca="1">IF($B139&lt;&gt;"PRC_RESID","",IF(AG$7=2005+OFFSET(COM_N_2012!$B$60,$AW139,SUMIF($B$10:$B$16,"NCAP_TLIFE",$AX$10:$AX$16)),0,""))</f>
        <v/>
      </c>
      <c r="AH139" s="369" t="str">
        <f ca="1">IF($B139&lt;&gt;"PRC_RESID","",IF(AH$7=2005+OFFSET(COM_N_2012!$B$60,$AW139,SUMIF($B$10:$B$16,"NCAP_TLIFE",$AX$10:$AX$16)),0,""))</f>
        <v/>
      </c>
      <c r="AI139" s="369" t="str">
        <f ca="1">IF($B139&lt;&gt;"PRC_RESID","",IF(AI$7=2005+OFFSET(COM_N_2012!$B$60,$AW139,SUMIF($B$10:$B$16,"NCAP_TLIFE",$AX$10:$AX$16)),0,""))</f>
        <v/>
      </c>
      <c r="AJ139" s="369" t="str">
        <f ca="1">IF($B139&lt;&gt;"PRC_RESID","",IF(AJ$7=2005+OFFSET(COM_N_2012!$B$60,$AW139,SUMIF($B$10:$B$16,"NCAP_TLIFE",$AX$10:$AX$16)),0,""))</f>
        <v/>
      </c>
      <c r="AK139" s="369" t="str">
        <f ca="1">IF($B139&lt;&gt;"PRC_RESID","",IF(AK$7=2005+OFFSET(COM_N_2012!$B$60,$AW139,SUMIF($B$10:$B$16,"NCAP_TLIFE",$AX$10:$AX$16)),0,""))</f>
        <v/>
      </c>
      <c r="AL139" s="369" t="str">
        <f ca="1">IF($B139&lt;&gt;"PRC_RESID","",IF(AL$7=2005+OFFSET(COM_N_2012!$B$60,$AW139,SUMIF($B$10:$B$16,"NCAP_TLIFE",$AX$10:$AX$16)),0,""))</f>
        <v/>
      </c>
      <c r="AM139" s="369" t="str">
        <f ca="1">IF($B139&lt;&gt;"PRC_RESID","",IF(AM$7=2005+OFFSET(COM_N_2012!$B$60,$AW139,SUMIF($B$10:$B$16,"NCAP_TLIFE",$AX$10:$AX$16)),0,""))</f>
        <v/>
      </c>
      <c r="AN139" s="369" t="str">
        <f ca="1">IF($B139&lt;&gt;"PRC_RESID","",IF(AN$7=2005+OFFSET(COM_N_2012!$B$60,$AW139,SUMIF($B$10:$B$16,"NCAP_TLIFE",$AX$10:$AX$16)),0,""))</f>
        <v/>
      </c>
      <c r="AO139" s="369" t="str">
        <f ca="1">IF($B139&lt;&gt;"PRC_RESID","",IF(AO$7=2005+OFFSET(COM_N_2012!$B$60,$AW139,SUMIF($B$10:$B$16,"NCAP_TLIFE",$AX$10:$AX$16)),0,""))</f>
        <v/>
      </c>
      <c r="AP139" s="369" t="str">
        <f ca="1">IF($B139&lt;&gt;"PRC_RESID","",IF(AP$7=2005+OFFSET(COM_N_2012!$B$60,$AW139,SUMIF($B$10:$B$16,"NCAP_TLIFE",$AX$10:$AX$16)),0,""))</f>
        <v/>
      </c>
      <c r="AQ139" s="369" t="str">
        <f ca="1">IF($B139&lt;&gt;"PRC_RESID","",IF(AQ$7=2005+OFFSET(COM_N_2012!$B$60,$AW139,SUMIF($B$10:$B$16,"NCAP_TLIFE",$AX$10:$AX$16)),0,""))</f>
        <v/>
      </c>
      <c r="AR139" s="369" t="str">
        <f ca="1">IF($B139&lt;&gt;"PRC_RESID","",IF(AR$7=2005+OFFSET(COM_N_2012!$B$60,$AW139,SUMIF($B$10:$B$16,"NCAP_TLIFE",$AX$10:$AX$16)),0,""))</f>
        <v/>
      </c>
      <c r="AS139" s="369" t="str">
        <f ca="1">IF($B139&lt;&gt;"PRC_RESID","",IF(AS$7=2005+OFFSET(COM_N_2012!$B$60,$AW139,SUMIF($B$10:$B$16,"NCAP_TLIFE",$AX$10:$AX$16)),0,""))</f>
        <v/>
      </c>
      <c r="AT139" s="369" t="str">
        <f ca="1">IF($B139&lt;&gt;"PRC_RESID","",IF(AT$7=2005+OFFSET(COM_N_2012!$B$60,$AW139,SUMIF($B$10:$B$16,"NCAP_TLIFE",$AX$10:$AX$16)),0,""))</f>
        <v/>
      </c>
      <c r="AU139" s="369" t="str">
        <f ca="1">IF($B139&lt;&gt;"PRC_RESID","",IF(AU$7=2005+OFFSET(COM_N_2012!$B$60,$AW139,SUMIF($B$10:$B$16,"NCAP_TLIFE",$AX$10:$AX$16)),0,""))</f>
        <v/>
      </c>
      <c r="AV139" s="304">
        <f>IF(AW138=COM_N_2012!$AK$121,AV138+1,AV138)</f>
        <v>2</v>
      </c>
      <c r="AW139" s="304">
        <f t="shared" si="12"/>
        <v>61</v>
      </c>
    </row>
    <row r="140" spans="1:49">
      <c r="A140" s="304" t="str">
        <f ca="1">IF(LEFT(OFFSET(COM_N_2012!$A$60,AW140,0),2)="\I","*","")</f>
        <v/>
      </c>
      <c r="B140" s="369" t="str">
        <f t="shared" ca="1" si="11"/>
        <v>NCAP_TLIFE</v>
      </c>
      <c r="C140" s="369" t="str">
        <f ca="1">IF($A140="*","",OFFSET(COM_N_2012!$B$60,AW140,0))</f>
        <v>CNCELCCHIL-E</v>
      </c>
      <c r="D140" s="369" t="str">
        <f t="shared" ca="1" si="18"/>
        <v>-</v>
      </c>
      <c r="E140" s="369" t="str">
        <f t="shared" ca="1" si="18"/>
        <v>-</v>
      </c>
      <c r="F140" s="369" t="str">
        <f t="shared" ca="1" si="18"/>
        <v>-</v>
      </c>
      <c r="G140" s="369" t="str">
        <f t="shared" ca="1" si="18"/>
        <v>-</v>
      </c>
      <c r="H140" s="369" t="str">
        <f t="shared" ca="1" si="18"/>
        <v>-</v>
      </c>
      <c r="I140" s="370">
        <f t="shared" ca="1" si="18"/>
        <v>0</v>
      </c>
      <c r="J140" s="391">
        <f ca="1">IF($A140="*","",OFFSET(COM_N_2012!$B$60,AW140,SUMIF($B$10:$B$16,B140,$AX$10:$AX$16)))</f>
        <v>15</v>
      </c>
      <c r="K140" s="369" t="str">
        <f ca="1">IF($B140&lt;&gt;"PRC_RESID","",IF(K$7=2005+OFFSET(COM_N_2012!$B$60,$AW140,SUMIF($B$10:$B$16,"NCAP_TLIFE",$AX$10:$AX$16)),0,""))</f>
        <v/>
      </c>
      <c r="L140" s="369" t="str">
        <f ca="1">IF($B140&lt;&gt;"PRC_RESID","",IF(L$7=2005+OFFSET(COM_N_2012!$B$60,$AW140,SUMIF($B$10:$B$16,"NCAP_TLIFE",$AX$10:$AX$16)),0,""))</f>
        <v/>
      </c>
      <c r="M140" s="369" t="str">
        <f ca="1">IF($B140&lt;&gt;"PRC_RESID","",IF(M$7=2005+OFFSET(COM_N_2012!$B$60,$AW140,SUMIF($B$10:$B$16,"NCAP_TLIFE",$AX$10:$AX$16)),0,""))</f>
        <v/>
      </c>
      <c r="N140" s="369" t="str">
        <f ca="1">IF($B140&lt;&gt;"PRC_RESID","",IF(N$7=2005+OFFSET(COM_N_2012!$B$60,$AW140,SUMIF($B$10:$B$16,"NCAP_TLIFE",$AX$10:$AX$16)),0,""))</f>
        <v/>
      </c>
      <c r="O140" s="369" t="str">
        <f ca="1">IF($B140&lt;&gt;"PRC_RESID","",IF(O$7=2005+OFFSET(COM_N_2012!$B$60,$AW140,SUMIF($B$10:$B$16,"NCAP_TLIFE",$AX$10:$AX$16)),0,""))</f>
        <v/>
      </c>
      <c r="P140" s="369" t="str">
        <f ca="1">IF($B140&lt;&gt;"PRC_RESID","",IF(P$7=2005+OFFSET(COM_N_2012!$B$60,$AW140,SUMIF($B$10:$B$16,"NCAP_TLIFE",$AX$10:$AX$16)),0,""))</f>
        <v/>
      </c>
      <c r="Q140" s="369" t="str">
        <f ca="1">IF($B140&lt;&gt;"PRC_RESID","",IF(Q$7=2005+OFFSET(COM_N_2012!$B$60,$AW140,SUMIF($B$10:$B$16,"NCAP_TLIFE",$AX$10:$AX$16)),0,""))</f>
        <v/>
      </c>
      <c r="R140" s="369" t="str">
        <f ca="1">IF($B140&lt;&gt;"PRC_RESID","",IF(R$7=2005+OFFSET(COM_N_2012!$B$60,$AW140,SUMIF($B$10:$B$16,"NCAP_TLIFE",$AX$10:$AX$16)),0,""))</f>
        <v/>
      </c>
      <c r="S140" s="369" t="str">
        <f ca="1">IF($B140&lt;&gt;"PRC_RESID","",IF(S$7=2005+OFFSET(COM_N_2012!$B$60,$AW140,SUMIF($B$10:$B$16,"NCAP_TLIFE",$AX$10:$AX$16)),0,""))</f>
        <v/>
      </c>
      <c r="T140" s="369" t="str">
        <f ca="1">IF($B140&lt;&gt;"PRC_RESID","",IF(T$7=2005+OFFSET(COM_N_2012!$B$60,$AW140,SUMIF($B$10:$B$16,"NCAP_TLIFE",$AX$10:$AX$16)),0,""))</f>
        <v/>
      </c>
      <c r="U140" s="369" t="str">
        <f ca="1">IF($B140&lt;&gt;"PRC_RESID","",IF(U$7=2005+OFFSET(COM_N_2012!$B$60,$AW140,SUMIF($B$10:$B$16,"NCAP_TLIFE",$AX$10:$AX$16)),0,""))</f>
        <v/>
      </c>
      <c r="V140" s="369" t="str">
        <f ca="1">IF($B140&lt;&gt;"PRC_RESID","",IF(V$7=2005+OFFSET(COM_N_2012!$B$60,$AW140,SUMIF($B$10:$B$16,"NCAP_TLIFE",$AX$10:$AX$16)),0,""))</f>
        <v/>
      </c>
      <c r="W140" s="369" t="str">
        <f ca="1">IF($B140&lt;&gt;"PRC_RESID","",IF(W$7=2005+OFFSET(COM_N_2012!$B$60,$AW140,SUMIF($B$10:$B$16,"NCAP_TLIFE",$AX$10:$AX$16)),0,""))</f>
        <v/>
      </c>
      <c r="X140" s="369" t="str">
        <f ca="1">IF($B140&lt;&gt;"PRC_RESID","",IF(X$7=2005+OFFSET(COM_N_2012!$B$60,$AW140,SUMIF($B$10:$B$16,"NCAP_TLIFE",$AX$10:$AX$16)),0,""))</f>
        <v/>
      </c>
      <c r="Y140" s="369" t="str">
        <f ca="1">IF($B140&lt;&gt;"PRC_RESID","",IF(Y$7=2005+OFFSET(COM_N_2012!$B$60,$AW140,SUMIF($B$10:$B$16,"NCAP_TLIFE",$AX$10:$AX$16)),0,""))</f>
        <v/>
      </c>
      <c r="Z140" s="369" t="str">
        <f ca="1">IF($B140&lt;&gt;"PRC_RESID","",IF(Z$7=2005+OFFSET(COM_N_2012!$B$60,$AW140,SUMIF($B$10:$B$16,"NCAP_TLIFE",$AX$10:$AX$16)),0,""))</f>
        <v/>
      </c>
      <c r="AA140" s="369" t="str">
        <f ca="1">IF($B140&lt;&gt;"PRC_RESID","",IF(AA$7=2005+OFFSET(COM_N_2012!$B$60,$AW140,SUMIF($B$10:$B$16,"NCAP_TLIFE",$AX$10:$AX$16)),0,""))</f>
        <v/>
      </c>
      <c r="AB140" s="369" t="str">
        <f ca="1">IF($B140&lt;&gt;"PRC_RESID","",IF(AB$7=2005+OFFSET(COM_N_2012!$B$60,$AW140,SUMIF($B$10:$B$16,"NCAP_TLIFE",$AX$10:$AX$16)),0,""))</f>
        <v/>
      </c>
      <c r="AC140" s="369" t="str">
        <f ca="1">IF($B140&lt;&gt;"PRC_RESID","",IF(AC$7=2005+OFFSET(COM_N_2012!$B$60,$AW140,SUMIF($B$10:$B$16,"NCAP_TLIFE",$AX$10:$AX$16)),0,""))</f>
        <v/>
      </c>
      <c r="AD140" s="369" t="str">
        <f ca="1">IF($B140&lt;&gt;"PRC_RESID","",IF(AD$7=2005+OFFSET(COM_N_2012!$B$60,$AW140,SUMIF($B$10:$B$16,"NCAP_TLIFE",$AX$10:$AX$16)),0,""))</f>
        <v/>
      </c>
      <c r="AE140" s="369" t="str">
        <f ca="1">IF($B140&lt;&gt;"PRC_RESID","",IF(AE$7=2005+OFFSET(COM_N_2012!$B$60,$AW140,SUMIF($B$10:$B$16,"NCAP_TLIFE",$AX$10:$AX$16)),0,""))</f>
        <v/>
      </c>
      <c r="AF140" s="369" t="str">
        <f ca="1">IF($B140&lt;&gt;"PRC_RESID","",IF(AF$7=2005+OFFSET(COM_N_2012!$B$60,$AW140,SUMIF($B$10:$B$16,"NCAP_TLIFE",$AX$10:$AX$16)),0,""))</f>
        <v/>
      </c>
      <c r="AG140" s="369" t="str">
        <f ca="1">IF($B140&lt;&gt;"PRC_RESID","",IF(AG$7=2005+OFFSET(COM_N_2012!$B$60,$AW140,SUMIF($B$10:$B$16,"NCAP_TLIFE",$AX$10:$AX$16)),0,""))</f>
        <v/>
      </c>
      <c r="AH140" s="369" t="str">
        <f ca="1">IF($B140&lt;&gt;"PRC_RESID","",IF(AH$7=2005+OFFSET(COM_N_2012!$B$60,$AW140,SUMIF($B$10:$B$16,"NCAP_TLIFE",$AX$10:$AX$16)),0,""))</f>
        <v/>
      </c>
      <c r="AI140" s="369" t="str">
        <f ca="1">IF($B140&lt;&gt;"PRC_RESID","",IF(AI$7=2005+OFFSET(COM_N_2012!$B$60,$AW140,SUMIF($B$10:$B$16,"NCAP_TLIFE",$AX$10:$AX$16)),0,""))</f>
        <v/>
      </c>
      <c r="AJ140" s="369" t="str">
        <f ca="1">IF($B140&lt;&gt;"PRC_RESID","",IF(AJ$7=2005+OFFSET(COM_N_2012!$B$60,$AW140,SUMIF($B$10:$B$16,"NCAP_TLIFE",$AX$10:$AX$16)),0,""))</f>
        <v/>
      </c>
      <c r="AK140" s="369" t="str">
        <f ca="1">IF($B140&lt;&gt;"PRC_RESID","",IF(AK$7=2005+OFFSET(COM_N_2012!$B$60,$AW140,SUMIF($B$10:$B$16,"NCAP_TLIFE",$AX$10:$AX$16)),0,""))</f>
        <v/>
      </c>
      <c r="AL140" s="369" t="str">
        <f ca="1">IF($B140&lt;&gt;"PRC_RESID","",IF(AL$7=2005+OFFSET(COM_N_2012!$B$60,$AW140,SUMIF($B$10:$B$16,"NCAP_TLIFE",$AX$10:$AX$16)),0,""))</f>
        <v/>
      </c>
      <c r="AM140" s="369" t="str">
        <f ca="1">IF($B140&lt;&gt;"PRC_RESID","",IF(AM$7=2005+OFFSET(COM_N_2012!$B$60,$AW140,SUMIF($B$10:$B$16,"NCAP_TLIFE",$AX$10:$AX$16)),0,""))</f>
        <v/>
      </c>
      <c r="AN140" s="369" t="str">
        <f ca="1">IF($B140&lt;&gt;"PRC_RESID","",IF(AN$7=2005+OFFSET(COM_N_2012!$B$60,$AW140,SUMIF($B$10:$B$16,"NCAP_TLIFE",$AX$10:$AX$16)),0,""))</f>
        <v/>
      </c>
      <c r="AO140" s="369" t="str">
        <f ca="1">IF($B140&lt;&gt;"PRC_RESID","",IF(AO$7=2005+OFFSET(COM_N_2012!$B$60,$AW140,SUMIF($B$10:$B$16,"NCAP_TLIFE",$AX$10:$AX$16)),0,""))</f>
        <v/>
      </c>
      <c r="AP140" s="369" t="str">
        <f ca="1">IF($B140&lt;&gt;"PRC_RESID","",IF(AP$7=2005+OFFSET(COM_N_2012!$B$60,$AW140,SUMIF($B$10:$B$16,"NCAP_TLIFE",$AX$10:$AX$16)),0,""))</f>
        <v/>
      </c>
      <c r="AQ140" s="369" t="str">
        <f ca="1">IF($B140&lt;&gt;"PRC_RESID","",IF(AQ$7=2005+OFFSET(COM_N_2012!$B$60,$AW140,SUMIF($B$10:$B$16,"NCAP_TLIFE",$AX$10:$AX$16)),0,""))</f>
        <v/>
      </c>
      <c r="AR140" s="369" t="str">
        <f ca="1">IF($B140&lt;&gt;"PRC_RESID","",IF(AR$7=2005+OFFSET(COM_N_2012!$B$60,$AW140,SUMIF($B$10:$B$16,"NCAP_TLIFE",$AX$10:$AX$16)),0,""))</f>
        <v/>
      </c>
      <c r="AS140" s="369" t="str">
        <f ca="1">IF($B140&lt;&gt;"PRC_RESID","",IF(AS$7=2005+OFFSET(COM_N_2012!$B$60,$AW140,SUMIF($B$10:$B$16,"NCAP_TLIFE",$AX$10:$AX$16)),0,""))</f>
        <v/>
      </c>
      <c r="AT140" s="369" t="str">
        <f ca="1">IF($B140&lt;&gt;"PRC_RESID","",IF(AT$7=2005+OFFSET(COM_N_2012!$B$60,$AW140,SUMIF($B$10:$B$16,"NCAP_TLIFE",$AX$10:$AX$16)),0,""))</f>
        <v/>
      </c>
      <c r="AU140" s="369" t="str">
        <f ca="1">IF($B140&lt;&gt;"PRC_RESID","",IF(AU$7=2005+OFFSET(COM_N_2012!$B$60,$AW140,SUMIF($B$10:$B$16,"NCAP_TLIFE",$AX$10:$AX$16)),0,""))</f>
        <v/>
      </c>
      <c r="AV140" s="304">
        <f>IF(AW139=COM_N_2012!$AK$121,AV139+1,AV139)</f>
        <v>3</v>
      </c>
      <c r="AW140" s="304">
        <f t="shared" si="12"/>
        <v>1</v>
      </c>
    </row>
    <row r="141" spans="1:49">
      <c r="A141" s="304" t="str">
        <f ca="1">IF(LEFT(OFFSET(COM_N_2012!$A$60,AW141,0),2)="\I","*","")</f>
        <v/>
      </c>
      <c r="B141" s="369" t="str">
        <f t="shared" ca="1" si="11"/>
        <v>NCAP_TLIFE</v>
      </c>
      <c r="C141" s="369" t="str">
        <f ca="1">IF($A141="*","",OFFSET(COM_N_2012!$B$60,AW141,0))</f>
        <v>CNCELCCEN-E</v>
      </c>
      <c r="D141" s="369" t="str">
        <f t="shared" ca="1" si="18"/>
        <v>-</v>
      </c>
      <c r="E141" s="369" t="str">
        <f t="shared" ca="1" si="18"/>
        <v>-</v>
      </c>
      <c r="F141" s="369" t="str">
        <f t="shared" ca="1" si="18"/>
        <v>-</v>
      </c>
      <c r="G141" s="369" t="str">
        <f t="shared" ca="1" si="18"/>
        <v>-</v>
      </c>
      <c r="H141" s="369" t="str">
        <f t="shared" ca="1" si="18"/>
        <v>-</v>
      </c>
      <c r="I141" s="370">
        <f t="shared" ca="1" si="18"/>
        <v>0</v>
      </c>
      <c r="J141" s="391">
        <f ca="1">IF($A141="*","",OFFSET(COM_N_2012!$B$60,AW141,SUMIF($B$10:$B$16,B141,$AX$10:$AX$16)))</f>
        <v>15</v>
      </c>
      <c r="K141" s="369" t="str">
        <f ca="1">IF($B141&lt;&gt;"PRC_RESID","",IF(K$7=2005+OFFSET(COM_N_2012!$B$60,$AW141,SUMIF($B$10:$B$16,"NCAP_TLIFE",$AX$10:$AX$16)),0,""))</f>
        <v/>
      </c>
      <c r="L141" s="369" t="str">
        <f ca="1">IF($B141&lt;&gt;"PRC_RESID","",IF(L$7=2005+OFFSET(COM_N_2012!$B$60,$AW141,SUMIF($B$10:$B$16,"NCAP_TLIFE",$AX$10:$AX$16)),0,""))</f>
        <v/>
      </c>
      <c r="M141" s="369" t="str">
        <f ca="1">IF($B141&lt;&gt;"PRC_RESID","",IF(M$7=2005+OFFSET(COM_N_2012!$B$60,$AW141,SUMIF($B$10:$B$16,"NCAP_TLIFE",$AX$10:$AX$16)),0,""))</f>
        <v/>
      </c>
      <c r="N141" s="369" t="str">
        <f ca="1">IF($B141&lt;&gt;"PRC_RESID","",IF(N$7=2005+OFFSET(COM_N_2012!$B$60,$AW141,SUMIF($B$10:$B$16,"NCAP_TLIFE",$AX$10:$AX$16)),0,""))</f>
        <v/>
      </c>
      <c r="O141" s="369" t="str">
        <f ca="1">IF($B141&lt;&gt;"PRC_RESID","",IF(O$7=2005+OFFSET(COM_N_2012!$B$60,$AW141,SUMIF($B$10:$B$16,"NCAP_TLIFE",$AX$10:$AX$16)),0,""))</f>
        <v/>
      </c>
      <c r="P141" s="369" t="str">
        <f ca="1">IF($B141&lt;&gt;"PRC_RESID","",IF(P$7=2005+OFFSET(COM_N_2012!$B$60,$AW141,SUMIF($B$10:$B$16,"NCAP_TLIFE",$AX$10:$AX$16)),0,""))</f>
        <v/>
      </c>
      <c r="Q141" s="369" t="str">
        <f ca="1">IF($B141&lt;&gt;"PRC_RESID","",IF(Q$7=2005+OFFSET(COM_N_2012!$B$60,$AW141,SUMIF($B$10:$B$16,"NCAP_TLIFE",$AX$10:$AX$16)),0,""))</f>
        <v/>
      </c>
      <c r="R141" s="369" t="str">
        <f ca="1">IF($B141&lt;&gt;"PRC_RESID","",IF(R$7=2005+OFFSET(COM_N_2012!$B$60,$AW141,SUMIF($B$10:$B$16,"NCAP_TLIFE",$AX$10:$AX$16)),0,""))</f>
        <v/>
      </c>
      <c r="S141" s="369" t="str">
        <f ca="1">IF($B141&lt;&gt;"PRC_RESID","",IF(S$7=2005+OFFSET(COM_N_2012!$B$60,$AW141,SUMIF($B$10:$B$16,"NCAP_TLIFE",$AX$10:$AX$16)),0,""))</f>
        <v/>
      </c>
      <c r="T141" s="369" t="str">
        <f ca="1">IF($B141&lt;&gt;"PRC_RESID","",IF(T$7=2005+OFFSET(COM_N_2012!$B$60,$AW141,SUMIF($B$10:$B$16,"NCAP_TLIFE",$AX$10:$AX$16)),0,""))</f>
        <v/>
      </c>
      <c r="U141" s="369" t="str">
        <f ca="1">IF($B141&lt;&gt;"PRC_RESID","",IF(U$7=2005+OFFSET(COM_N_2012!$B$60,$AW141,SUMIF($B$10:$B$16,"NCAP_TLIFE",$AX$10:$AX$16)),0,""))</f>
        <v/>
      </c>
      <c r="V141" s="369" t="str">
        <f ca="1">IF($B141&lt;&gt;"PRC_RESID","",IF(V$7=2005+OFFSET(COM_N_2012!$B$60,$AW141,SUMIF($B$10:$B$16,"NCAP_TLIFE",$AX$10:$AX$16)),0,""))</f>
        <v/>
      </c>
      <c r="W141" s="369" t="str">
        <f ca="1">IF($B141&lt;&gt;"PRC_RESID","",IF(W$7=2005+OFFSET(COM_N_2012!$B$60,$AW141,SUMIF($B$10:$B$16,"NCAP_TLIFE",$AX$10:$AX$16)),0,""))</f>
        <v/>
      </c>
      <c r="X141" s="369" t="str">
        <f ca="1">IF($B141&lt;&gt;"PRC_RESID","",IF(X$7=2005+OFFSET(COM_N_2012!$B$60,$AW141,SUMIF($B$10:$B$16,"NCAP_TLIFE",$AX$10:$AX$16)),0,""))</f>
        <v/>
      </c>
      <c r="Y141" s="369" t="str">
        <f ca="1">IF($B141&lt;&gt;"PRC_RESID","",IF(Y$7=2005+OFFSET(COM_N_2012!$B$60,$AW141,SUMIF($B$10:$B$16,"NCAP_TLIFE",$AX$10:$AX$16)),0,""))</f>
        <v/>
      </c>
      <c r="Z141" s="369" t="str">
        <f ca="1">IF($B141&lt;&gt;"PRC_RESID","",IF(Z$7=2005+OFFSET(COM_N_2012!$B$60,$AW141,SUMIF($B$10:$B$16,"NCAP_TLIFE",$AX$10:$AX$16)),0,""))</f>
        <v/>
      </c>
      <c r="AA141" s="369" t="str">
        <f ca="1">IF($B141&lt;&gt;"PRC_RESID","",IF(AA$7=2005+OFFSET(COM_N_2012!$B$60,$AW141,SUMIF($B$10:$B$16,"NCAP_TLIFE",$AX$10:$AX$16)),0,""))</f>
        <v/>
      </c>
      <c r="AB141" s="369" t="str">
        <f ca="1">IF($B141&lt;&gt;"PRC_RESID","",IF(AB$7=2005+OFFSET(COM_N_2012!$B$60,$AW141,SUMIF($B$10:$B$16,"NCAP_TLIFE",$AX$10:$AX$16)),0,""))</f>
        <v/>
      </c>
      <c r="AC141" s="369" t="str">
        <f ca="1">IF($B141&lt;&gt;"PRC_RESID","",IF(AC$7=2005+OFFSET(COM_N_2012!$B$60,$AW141,SUMIF($B$10:$B$16,"NCAP_TLIFE",$AX$10:$AX$16)),0,""))</f>
        <v/>
      </c>
      <c r="AD141" s="369" t="str">
        <f ca="1">IF($B141&lt;&gt;"PRC_RESID","",IF(AD$7=2005+OFFSET(COM_N_2012!$B$60,$AW141,SUMIF($B$10:$B$16,"NCAP_TLIFE",$AX$10:$AX$16)),0,""))</f>
        <v/>
      </c>
      <c r="AE141" s="369" t="str">
        <f ca="1">IF($B141&lt;&gt;"PRC_RESID","",IF(AE$7=2005+OFFSET(COM_N_2012!$B$60,$AW141,SUMIF($B$10:$B$16,"NCAP_TLIFE",$AX$10:$AX$16)),0,""))</f>
        <v/>
      </c>
      <c r="AF141" s="369" t="str">
        <f ca="1">IF($B141&lt;&gt;"PRC_RESID","",IF(AF$7=2005+OFFSET(COM_N_2012!$B$60,$AW141,SUMIF($B$10:$B$16,"NCAP_TLIFE",$AX$10:$AX$16)),0,""))</f>
        <v/>
      </c>
      <c r="AG141" s="369" t="str">
        <f ca="1">IF($B141&lt;&gt;"PRC_RESID","",IF(AG$7=2005+OFFSET(COM_N_2012!$B$60,$AW141,SUMIF($B$10:$B$16,"NCAP_TLIFE",$AX$10:$AX$16)),0,""))</f>
        <v/>
      </c>
      <c r="AH141" s="369" t="str">
        <f ca="1">IF($B141&lt;&gt;"PRC_RESID","",IF(AH$7=2005+OFFSET(COM_N_2012!$B$60,$AW141,SUMIF($B$10:$B$16,"NCAP_TLIFE",$AX$10:$AX$16)),0,""))</f>
        <v/>
      </c>
      <c r="AI141" s="369" t="str">
        <f ca="1">IF($B141&lt;&gt;"PRC_RESID","",IF(AI$7=2005+OFFSET(COM_N_2012!$B$60,$AW141,SUMIF($B$10:$B$16,"NCAP_TLIFE",$AX$10:$AX$16)),0,""))</f>
        <v/>
      </c>
      <c r="AJ141" s="369" t="str">
        <f ca="1">IF($B141&lt;&gt;"PRC_RESID","",IF(AJ$7=2005+OFFSET(COM_N_2012!$B$60,$AW141,SUMIF($B$10:$B$16,"NCAP_TLIFE",$AX$10:$AX$16)),0,""))</f>
        <v/>
      </c>
      <c r="AK141" s="369" t="str">
        <f ca="1">IF($B141&lt;&gt;"PRC_RESID","",IF(AK$7=2005+OFFSET(COM_N_2012!$B$60,$AW141,SUMIF($B$10:$B$16,"NCAP_TLIFE",$AX$10:$AX$16)),0,""))</f>
        <v/>
      </c>
      <c r="AL141" s="369" t="str">
        <f ca="1">IF($B141&lt;&gt;"PRC_RESID","",IF(AL$7=2005+OFFSET(COM_N_2012!$B$60,$AW141,SUMIF($B$10:$B$16,"NCAP_TLIFE",$AX$10:$AX$16)),0,""))</f>
        <v/>
      </c>
      <c r="AM141" s="369" t="str">
        <f ca="1">IF($B141&lt;&gt;"PRC_RESID","",IF(AM$7=2005+OFFSET(COM_N_2012!$B$60,$AW141,SUMIF($B$10:$B$16,"NCAP_TLIFE",$AX$10:$AX$16)),0,""))</f>
        <v/>
      </c>
      <c r="AN141" s="369" t="str">
        <f ca="1">IF($B141&lt;&gt;"PRC_RESID","",IF(AN$7=2005+OFFSET(COM_N_2012!$B$60,$AW141,SUMIF($B$10:$B$16,"NCAP_TLIFE",$AX$10:$AX$16)),0,""))</f>
        <v/>
      </c>
      <c r="AO141" s="369" t="str">
        <f ca="1">IF($B141&lt;&gt;"PRC_RESID","",IF(AO$7=2005+OFFSET(COM_N_2012!$B$60,$AW141,SUMIF($B$10:$B$16,"NCAP_TLIFE",$AX$10:$AX$16)),0,""))</f>
        <v/>
      </c>
      <c r="AP141" s="369" t="str">
        <f ca="1">IF($B141&lt;&gt;"PRC_RESID","",IF(AP$7=2005+OFFSET(COM_N_2012!$B$60,$AW141,SUMIF($B$10:$B$16,"NCAP_TLIFE",$AX$10:$AX$16)),0,""))</f>
        <v/>
      </c>
      <c r="AQ141" s="369" t="str">
        <f ca="1">IF($B141&lt;&gt;"PRC_RESID","",IF(AQ$7=2005+OFFSET(COM_N_2012!$B$60,$AW141,SUMIF($B$10:$B$16,"NCAP_TLIFE",$AX$10:$AX$16)),0,""))</f>
        <v/>
      </c>
      <c r="AR141" s="369" t="str">
        <f ca="1">IF($B141&lt;&gt;"PRC_RESID","",IF(AR$7=2005+OFFSET(COM_N_2012!$B$60,$AW141,SUMIF($B$10:$B$16,"NCAP_TLIFE",$AX$10:$AX$16)),0,""))</f>
        <v/>
      </c>
      <c r="AS141" s="369" t="str">
        <f ca="1">IF($B141&lt;&gt;"PRC_RESID","",IF(AS$7=2005+OFFSET(COM_N_2012!$B$60,$AW141,SUMIF($B$10:$B$16,"NCAP_TLIFE",$AX$10:$AX$16)),0,""))</f>
        <v/>
      </c>
      <c r="AT141" s="369" t="str">
        <f ca="1">IF($B141&lt;&gt;"PRC_RESID","",IF(AT$7=2005+OFFSET(COM_N_2012!$B$60,$AW141,SUMIF($B$10:$B$16,"NCAP_TLIFE",$AX$10:$AX$16)),0,""))</f>
        <v/>
      </c>
      <c r="AU141" s="369" t="str">
        <f ca="1">IF($B141&lt;&gt;"PRC_RESID","",IF(AU$7=2005+OFFSET(COM_N_2012!$B$60,$AW141,SUMIF($B$10:$B$16,"NCAP_TLIFE",$AX$10:$AX$16)),0,""))</f>
        <v/>
      </c>
      <c r="AV141" s="304">
        <f>IF(AW140=COM_N_2012!$AK$121,AV140+1,AV140)</f>
        <v>3</v>
      </c>
      <c r="AW141" s="304">
        <f t="shared" si="12"/>
        <v>2</v>
      </c>
    </row>
    <row r="142" spans="1:49">
      <c r="A142" s="304" t="str">
        <f ca="1">IF(LEFT(OFFSET(COM_N_2012!$A$60,AW142,0),2)="\I","*","")</f>
        <v/>
      </c>
      <c r="B142" s="369" t="str">
        <f t="shared" ca="1" si="11"/>
        <v>NCAP_TLIFE</v>
      </c>
      <c r="C142" s="369" t="str">
        <f ca="1">IF($A142="*","",OFFSET(COM_N_2012!$B$60,AW142,0))</f>
        <v>CNCELCHP-E</v>
      </c>
      <c r="D142" s="369" t="str">
        <f t="shared" ca="1" si="18"/>
        <v>-</v>
      </c>
      <c r="E142" s="369" t="str">
        <f t="shared" ca="1" si="18"/>
        <v>-</v>
      </c>
      <c r="F142" s="369" t="str">
        <f t="shared" ca="1" si="18"/>
        <v>-</v>
      </c>
      <c r="G142" s="369" t="str">
        <f t="shared" ca="1" si="18"/>
        <v>-</v>
      </c>
      <c r="H142" s="369" t="str">
        <f t="shared" ca="1" si="18"/>
        <v>-</v>
      </c>
      <c r="I142" s="370">
        <f t="shared" ca="1" si="18"/>
        <v>0</v>
      </c>
      <c r="J142" s="391">
        <f ca="1">IF($A142="*","",OFFSET(COM_N_2012!$B$60,AW142,SUMIF($B$10:$B$16,B142,$AX$10:$AX$16)))</f>
        <v>15</v>
      </c>
      <c r="K142" s="369" t="str">
        <f ca="1">IF($B142&lt;&gt;"PRC_RESID","",IF(K$7=2005+OFFSET(COM_N_2012!$B$60,$AW142,SUMIF($B$10:$B$16,"NCAP_TLIFE",$AX$10:$AX$16)),0,""))</f>
        <v/>
      </c>
      <c r="L142" s="369" t="str">
        <f ca="1">IF($B142&lt;&gt;"PRC_RESID","",IF(L$7=2005+OFFSET(COM_N_2012!$B$60,$AW142,SUMIF($B$10:$B$16,"NCAP_TLIFE",$AX$10:$AX$16)),0,""))</f>
        <v/>
      </c>
      <c r="M142" s="369" t="str">
        <f ca="1">IF($B142&lt;&gt;"PRC_RESID","",IF(M$7=2005+OFFSET(COM_N_2012!$B$60,$AW142,SUMIF($B$10:$B$16,"NCAP_TLIFE",$AX$10:$AX$16)),0,""))</f>
        <v/>
      </c>
      <c r="N142" s="369" t="str">
        <f ca="1">IF($B142&lt;&gt;"PRC_RESID","",IF(N$7=2005+OFFSET(COM_N_2012!$B$60,$AW142,SUMIF($B$10:$B$16,"NCAP_TLIFE",$AX$10:$AX$16)),0,""))</f>
        <v/>
      </c>
      <c r="O142" s="369" t="str">
        <f ca="1">IF($B142&lt;&gt;"PRC_RESID","",IF(O$7=2005+OFFSET(COM_N_2012!$B$60,$AW142,SUMIF($B$10:$B$16,"NCAP_TLIFE",$AX$10:$AX$16)),0,""))</f>
        <v/>
      </c>
      <c r="P142" s="369" t="str">
        <f ca="1">IF($B142&lt;&gt;"PRC_RESID","",IF(P$7=2005+OFFSET(COM_N_2012!$B$60,$AW142,SUMIF($B$10:$B$16,"NCAP_TLIFE",$AX$10:$AX$16)),0,""))</f>
        <v/>
      </c>
      <c r="Q142" s="369" t="str">
        <f ca="1">IF($B142&lt;&gt;"PRC_RESID","",IF(Q$7=2005+OFFSET(COM_N_2012!$B$60,$AW142,SUMIF($B$10:$B$16,"NCAP_TLIFE",$AX$10:$AX$16)),0,""))</f>
        <v/>
      </c>
      <c r="R142" s="369" t="str">
        <f ca="1">IF($B142&lt;&gt;"PRC_RESID","",IF(R$7=2005+OFFSET(COM_N_2012!$B$60,$AW142,SUMIF($B$10:$B$16,"NCAP_TLIFE",$AX$10:$AX$16)),0,""))</f>
        <v/>
      </c>
      <c r="S142" s="369" t="str">
        <f ca="1">IF($B142&lt;&gt;"PRC_RESID","",IF(S$7=2005+OFFSET(COM_N_2012!$B$60,$AW142,SUMIF($B$10:$B$16,"NCAP_TLIFE",$AX$10:$AX$16)),0,""))</f>
        <v/>
      </c>
      <c r="T142" s="369" t="str">
        <f ca="1">IF($B142&lt;&gt;"PRC_RESID","",IF(T$7=2005+OFFSET(COM_N_2012!$B$60,$AW142,SUMIF($B$10:$B$16,"NCAP_TLIFE",$AX$10:$AX$16)),0,""))</f>
        <v/>
      </c>
      <c r="U142" s="369" t="str">
        <f ca="1">IF($B142&lt;&gt;"PRC_RESID","",IF(U$7=2005+OFFSET(COM_N_2012!$B$60,$AW142,SUMIF($B$10:$B$16,"NCAP_TLIFE",$AX$10:$AX$16)),0,""))</f>
        <v/>
      </c>
      <c r="V142" s="369" t="str">
        <f ca="1">IF($B142&lt;&gt;"PRC_RESID","",IF(V$7=2005+OFFSET(COM_N_2012!$B$60,$AW142,SUMIF($B$10:$B$16,"NCAP_TLIFE",$AX$10:$AX$16)),0,""))</f>
        <v/>
      </c>
      <c r="W142" s="369" t="str">
        <f ca="1">IF($B142&lt;&gt;"PRC_RESID","",IF(W$7=2005+OFFSET(COM_N_2012!$B$60,$AW142,SUMIF($B$10:$B$16,"NCAP_TLIFE",$AX$10:$AX$16)),0,""))</f>
        <v/>
      </c>
      <c r="X142" s="369" t="str">
        <f ca="1">IF($B142&lt;&gt;"PRC_RESID","",IF(X$7=2005+OFFSET(COM_N_2012!$B$60,$AW142,SUMIF($B$10:$B$16,"NCAP_TLIFE",$AX$10:$AX$16)),0,""))</f>
        <v/>
      </c>
      <c r="Y142" s="369" t="str">
        <f ca="1">IF($B142&lt;&gt;"PRC_RESID","",IF(Y$7=2005+OFFSET(COM_N_2012!$B$60,$AW142,SUMIF($B$10:$B$16,"NCAP_TLIFE",$AX$10:$AX$16)),0,""))</f>
        <v/>
      </c>
      <c r="Z142" s="369" t="str">
        <f ca="1">IF($B142&lt;&gt;"PRC_RESID","",IF(Z$7=2005+OFFSET(COM_N_2012!$B$60,$AW142,SUMIF($B$10:$B$16,"NCAP_TLIFE",$AX$10:$AX$16)),0,""))</f>
        <v/>
      </c>
      <c r="AA142" s="369" t="str">
        <f ca="1">IF($B142&lt;&gt;"PRC_RESID","",IF(AA$7=2005+OFFSET(COM_N_2012!$B$60,$AW142,SUMIF($B$10:$B$16,"NCAP_TLIFE",$AX$10:$AX$16)),0,""))</f>
        <v/>
      </c>
      <c r="AB142" s="369" t="str">
        <f ca="1">IF($B142&lt;&gt;"PRC_RESID","",IF(AB$7=2005+OFFSET(COM_N_2012!$B$60,$AW142,SUMIF($B$10:$B$16,"NCAP_TLIFE",$AX$10:$AX$16)),0,""))</f>
        <v/>
      </c>
      <c r="AC142" s="369" t="str">
        <f ca="1">IF($B142&lt;&gt;"PRC_RESID","",IF(AC$7=2005+OFFSET(COM_N_2012!$B$60,$AW142,SUMIF($B$10:$B$16,"NCAP_TLIFE",$AX$10:$AX$16)),0,""))</f>
        <v/>
      </c>
      <c r="AD142" s="369" t="str">
        <f ca="1">IF($B142&lt;&gt;"PRC_RESID","",IF(AD$7=2005+OFFSET(COM_N_2012!$B$60,$AW142,SUMIF($B$10:$B$16,"NCAP_TLIFE",$AX$10:$AX$16)),0,""))</f>
        <v/>
      </c>
      <c r="AE142" s="369" t="str">
        <f ca="1">IF($B142&lt;&gt;"PRC_RESID","",IF(AE$7=2005+OFFSET(COM_N_2012!$B$60,$AW142,SUMIF($B$10:$B$16,"NCAP_TLIFE",$AX$10:$AX$16)),0,""))</f>
        <v/>
      </c>
      <c r="AF142" s="369" t="str">
        <f ca="1">IF($B142&lt;&gt;"PRC_RESID","",IF(AF$7=2005+OFFSET(COM_N_2012!$B$60,$AW142,SUMIF($B$10:$B$16,"NCAP_TLIFE",$AX$10:$AX$16)),0,""))</f>
        <v/>
      </c>
      <c r="AG142" s="369" t="str">
        <f ca="1">IF($B142&lt;&gt;"PRC_RESID","",IF(AG$7=2005+OFFSET(COM_N_2012!$B$60,$AW142,SUMIF($B$10:$B$16,"NCAP_TLIFE",$AX$10:$AX$16)),0,""))</f>
        <v/>
      </c>
      <c r="AH142" s="369" t="str">
        <f ca="1">IF($B142&lt;&gt;"PRC_RESID","",IF(AH$7=2005+OFFSET(COM_N_2012!$B$60,$AW142,SUMIF($B$10:$B$16,"NCAP_TLIFE",$AX$10:$AX$16)),0,""))</f>
        <v/>
      </c>
      <c r="AI142" s="369" t="str">
        <f ca="1">IF($B142&lt;&gt;"PRC_RESID","",IF(AI$7=2005+OFFSET(COM_N_2012!$B$60,$AW142,SUMIF($B$10:$B$16,"NCAP_TLIFE",$AX$10:$AX$16)),0,""))</f>
        <v/>
      </c>
      <c r="AJ142" s="369" t="str">
        <f ca="1">IF($B142&lt;&gt;"PRC_RESID","",IF(AJ$7=2005+OFFSET(COM_N_2012!$B$60,$AW142,SUMIF($B$10:$B$16,"NCAP_TLIFE",$AX$10:$AX$16)),0,""))</f>
        <v/>
      </c>
      <c r="AK142" s="369" t="str">
        <f ca="1">IF($B142&lt;&gt;"PRC_RESID","",IF(AK$7=2005+OFFSET(COM_N_2012!$B$60,$AW142,SUMIF($B$10:$B$16,"NCAP_TLIFE",$AX$10:$AX$16)),0,""))</f>
        <v/>
      </c>
      <c r="AL142" s="369" t="str">
        <f ca="1">IF($B142&lt;&gt;"PRC_RESID","",IF(AL$7=2005+OFFSET(COM_N_2012!$B$60,$AW142,SUMIF($B$10:$B$16,"NCAP_TLIFE",$AX$10:$AX$16)),0,""))</f>
        <v/>
      </c>
      <c r="AM142" s="369" t="str">
        <f ca="1">IF($B142&lt;&gt;"PRC_RESID","",IF(AM$7=2005+OFFSET(COM_N_2012!$B$60,$AW142,SUMIF($B$10:$B$16,"NCAP_TLIFE",$AX$10:$AX$16)),0,""))</f>
        <v/>
      </c>
      <c r="AN142" s="369" t="str">
        <f ca="1">IF($B142&lt;&gt;"PRC_RESID","",IF(AN$7=2005+OFFSET(COM_N_2012!$B$60,$AW142,SUMIF($B$10:$B$16,"NCAP_TLIFE",$AX$10:$AX$16)),0,""))</f>
        <v/>
      </c>
      <c r="AO142" s="369" t="str">
        <f ca="1">IF($B142&lt;&gt;"PRC_RESID","",IF(AO$7=2005+OFFSET(COM_N_2012!$B$60,$AW142,SUMIF($B$10:$B$16,"NCAP_TLIFE",$AX$10:$AX$16)),0,""))</f>
        <v/>
      </c>
      <c r="AP142" s="369" t="str">
        <f ca="1">IF($B142&lt;&gt;"PRC_RESID","",IF(AP$7=2005+OFFSET(COM_N_2012!$B$60,$AW142,SUMIF($B$10:$B$16,"NCAP_TLIFE",$AX$10:$AX$16)),0,""))</f>
        <v/>
      </c>
      <c r="AQ142" s="369" t="str">
        <f ca="1">IF($B142&lt;&gt;"PRC_RESID","",IF(AQ$7=2005+OFFSET(COM_N_2012!$B$60,$AW142,SUMIF($B$10:$B$16,"NCAP_TLIFE",$AX$10:$AX$16)),0,""))</f>
        <v/>
      </c>
      <c r="AR142" s="369" t="str">
        <f ca="1">IF($B142&lt;&gt;"PRC_RESID","",IF(AR$7=2005+OFFSET(COM_N_2012!$B$60,$AW142,SUMIF($B$10:$B$16,"NCAP_TLIFE",$AX$10:$AX$16)),0,""))</f>
        <v/>
      </c>
      <c r="AS142" s="369" t="str">
        <f ca="1">IF($B142&lt;&gt;"PRC_RESID","",IF(AS$7=2005+OFFSET(COM_N_2012!$B$60,$AW142,SUMIF($B$10:$B$16,"NCAP_TLIFE",$AX$10:$AX$16)),0,""))</f>
        <v/>
      </c>
      <c r="AT142" s="369" t="str">
        <f ca="1">IF($B142&lt;&gt;"PRC_RESID","",IF(AT$7=2005+OFFSET(COM_N_2012!$B$60,$AW142,SUMIF($B$10:$B$16,"NCAP_TLIFE",$AX$10:$AX$16)),0,""))</f>
        <v/>
      </c>
      <c r="AU142" s="369" t="str">
        <f ca="1">IF($B142&lt;&gt;"PRC_RESID","",IF(AU$7=2005+OFFSET(COM_N_2012!$B$60,$AW142,SUMIF($B$10:$B$16,"NCAP_TLIFE",$AX$10:$AX$16)),0,""))</f>
        <v/>
      </c>
      <c r="AV142" s="304">
        <f>IF(AW141=COM_N_2012!$AK$121,AV141+1,AV141)</f>
        <v>3</v>
      </c>
      <c r="AW142" s="304">
        <f t="shared" si="12"/>
        <v>3</v>
      </c>
    </row>
    <row r="143" spans="1:49">
      <c r="A143" s="304" t="str">
        <f ca="1">IF(LEFT(OFFSET(COM_N_2012!$A$60,AW143,0),2)="\I","*","")</f>
        <v/>
      </c>
      <c r="B143" s="369" t="str">
        <f t="shared" ca="1" si="11"/>
        <v>NCAP_TLIFE</v>
      </c>
      <c r="C143" s="369" t="str">
        <f ca="1">IF($A143="*","",OFFSET(COM_N_2012!$B$60,AW143,0))</f>
        <v>CNCELCROOM-E</v>
      </c>
      <c r="D143" s="369" t="str">
        <f t="shared" ca="1" si="18"/>
        <v>-</v>
      </c>
      <c r="E143" s="369" t="str">
        <f t="shared" ca="1" si="18"/>
        <v>-</v>
      </c>
      <c r="F143" s="369" t="str">
        <f t="shared" ca="1" si="18"/>
        <v>-</v>
      </c>
      <c r="G143" s="369" t="str">
        <f t="shared" ca="1" si="18"/>
        <v>-</v>
      </c>
      <c r="H143" s="369" t="str">
        <f t="shared" ca="1" si="18"/>
        <v>-</v>
      </c>
      <c r="I143" s="370">
        <f t="shared" ca="1" si="18"/>
        <v>0</v>
      </c>
      <c r="J143" s="391">
        <f ca="1">IF($A143="*","",OFFSET(COM_N_2012!$B$60,AW143,SUMIF($B$10:$B$16,B143,$AX$10:$AX$16)))</f>
        <v>15</v>
      </c>
      <c r="K143" s="369" t="str">
        <f ca="1">IF($B143&lt;&gt;"PRC_RESID","",IF(K$7=2005+OFFSET(COM_N_2012!$B$60,$AW143,SUMIF($B$10:$B$16,"NCAP_TLIFE",$AX$10:$AX$16)),0,""))</f>
        <v/>
      </c>
      <c r="L143" s="369" t="str">
        <f ca="1">IF($B143&lt;&gt;"PRC_RESID","",IF(L$7=2005+OFFSET(COM_N_2012!$B$60,$AW143,SUMIF($B$10:$B$16,"NCAP_TLIFE",$AX$10:$AX$16)),0,""))</f>
        <v/>
      </c>
      <c r="M143" s="369" t="str">
        <f ca="1">IF($B143&lt;&gt;"PRC_RESID","",IF(M$7=2005+OFFSET(COM_N_2012!$B$60,$AW143,SUMIF($B$10:$B$16,"NCAP_TLIFE",$AX$10:$AX$16)),0,""))</f>
        <v/>
      </c>
      <c r="N143" s="369" t="str">
        <f ca="1">IF($B143&lt;&gt;"PRC_RESID","",IF(N$7=2005+OFFSET(COM_N_2012!$B$60,$AW143,SUMIF($B$10:$B$16,"NCAP_TLIFE",$AX$10:$AX$16)),0,""))</f>
        <v/>
      </c>
      <c r="O143" s="369" t="str">
        <f ca="1">IF($B143&lt;&gt;"PRC_RESID","",IF(O$7=2005+OFFSET(COM_N_2012!$B$60,$AW143,SUMIF($B$10:$B$16,"NCAP_TLIFE",$AX$10:$AX$16)),0,""))</f>
        <v/>
      </c>
      <c r="P143" s="369" t="str">
        <f ca="1">IF($B143&lt;&gt;"PRC_RESID","",IF(P$7=2005+OFFSET(COM_N_2012!$B$60,$AW143,SUMIF($B$10:$B$16,"NCAP_TLIFE",$AX$10:$AX$16)),0,""))</f>
        <v/>
      </c>
      <c r="Q143" s="369" t="str">
        <f ca="1">IF($B143&lt;&gt;"PRC_RESID","",IF(Q$7=2005+OFFSET(COM_N_2012!$B$60,$AW143,SUMIF($B$10:$B$16,"NCAP_TLIFE",$AX$10:$AX$16)),0,""))</f>
        <v/>
      </c>
      <c r="R143" s="369" t="str">
        <f ca="1">IF($B143&lt;&gt;"PRC_RESID","",IF(R$7=2005+OFFSET(COM_N_2012!$B$60,$AW143,SUMIF($B$10:$B$16,"NCAP_TLIFE",$AX$10:$AX$16)),0,""))</f>
        <v/>
      </c>
      <c r="S143" s="369" t="str">
        <f ca="1">IF($B143&lt;&gt;"PRC_RESID","",IF(S$7=2005+OFFSET(COM_N_2012!$B$60,$AW143,SUMIF($B$10:$B$16,"NCAP_TLIFE",$AX$10:$AX$16)),0,""))</f>
        <v/>
      </c>
      <c r="T143" s="369" t="str">
        <f ca="1">IF($B143&lt;&gt;"PRC_RESID","",IF(T$7=2005+OFFSET(COM_N_2012!$B$60,$AW143,SUMIF($B$10:$B$16,"NCAP_TLIFE",$AX$10:$AX$16)),0,""))</f>
        <v/>
      </c>
      <c r="U143" s="369" t="str">
        <f ca="1">IF($B143&lt;&gt;"PRC_RESID","",IF(U$7=2005+OFFSET(COM_N_2012!$B$60,$AW143,SUMIF($B$10:$B$16,"NCAP_TLIFE",$AX$10:$AX$16)),0,""))</f>
        <v/>
      </c>
      <c r="V143" s="369" t="str">
        <f ca="1">IF($B143&lt;&gt;"PRC_RESID","",IF(V$7=2005+OFFSET(COM_N_2012!$B$60,$AW143,SUMIF($B$10:$B$16,"NCAP_TLIFE",$AX$10:$AX$16)),0,""))</f>
        <v/>
      </c>
      <c r="W143" s="369" t="str">
        <f ca="1">IF($B143&lt;&gt;"PRC_RESID","",IF(W$7=2005+OFFSET(COM_N_2012!$B$60,$AW143,SUMIF($B$10:$B$16,"NCAP_TLIFE",$AX$10:$AX$16)),0,""))</f>
        <v/>
      </c>
      <c r="X143" s="369" t="str">
        <f ca="1">IF($B143&lt;&gt;"PRC_RESID","",IF(X$7=2005+OFFSET(COM_N_2012!$B$60,$AW143,SUMIF($B$10:$B$16,"NCAP_TLIFE",$AX$10:$AX$16)),0,""))</f>
        <v/>
      </c>
      <c r="Y143" s="369" t="str">
        <f ca="1">IF($B143&lt;&gt;"PRC_RESID","",IF(Y$7=2005+OFFSET(COM_N_2012!$B$60,$AW143,SUMIF($B$10:$B$16,"NCAP_TLIFE",$AX$10:$AX$16)),0,""))</f>
        <v/>
      </c>
      <c r="Z143" s="369" t="str">
        <f ca="1">IF($B143&lt;&gt;"PRC_RESID","",IF(Z$7=2005+OFFSET(COM_N_2012!$B$60,$AW143,SUMIF($B$10:$B$16,"NCAP_TLIFE",$AX$10:$AX$16)),0,""))</f>
        <v/>
      </c>
      <c r="AA143" s="369" t="str">
        <f ca="1">IF($B143&lt;&gt;"PRC_RESID","",IF(AA$7=2005+OFFSET(COM_N_2012!$B$60,$AW143,SUMIF($B$10:$B$16,"NCAP_TLIFE",$AX$10:$AX$16)),0,""))</f>
        <v/>
      </c>
      <c r="AB143" s="369" t="str">
        <f ca="1">IF($B143&lt;&gt;"PRC_RESID","",IF(AB$7=2005+OFFSET(COM_N_2012!$B$60,$AW143,SUMIF($B$10:$B$16,"NCAP_TLIFE",$AX$10:$AX$16)),0,""))</f>
        <v/>
      </c>
      <c r="AC143" s="369" t="str">
        <f ca="1">IF($B143&lt;&gt;"PRC_RESID","",IF(AC$7=2005+OFFSET(COM_N_2012!$B$60,$AW143,SUMIF($B$10:$B$16,"NCAP_TLIFE",$AX$10:$AX$16)),0,""))</f>
        <v/>
      </c>
      <c r="AD143" s="369" t="str">
        <f ca="1">IF($B143&lt;&gt;"PRC_RESID","",IF(AD$7=2005+OFFSET(COM_N_2012!$B$60,$AW143,SUMIF($B$10:$B$16,"NCAP_TLIFE",$AX$10:$AX$16)),0,""))</f>
        <v/>
      </c>
      <c r="AE143" s="369" t="str">
        <f ca="1">IF($B143&lt;&gt;"PRC_RESID","",IF(AE$7=2005+OFFSET(COM_N_2012!$B$60,$AW143,SUMIF($B$10:$B$16,"NCAP_TLIFE",$AX$10:$AX$16)),0,""))</f>
        <v/>
      </c>
      <c r="AF143" s="369" t="str">
        <f ca="1">IF($B143&lt;&gt;"PRC_RESID","",IF(AF$7=2005+OFFSET(COM_N_2012!$B$60,$AW143,SUMIF($B$10:$B$16,"NCAP_TLIFE",$AX$10:$AX$16)),0,""))</f>
        <v/>
      </c>
      <c r="AG143" s="369" t="str">
        <f ca="1">IF($B143&lt;&gt;"PRC_RESID","",IF(AG$7=2005+OFFSET(COM_N_2012!$B$60,$AW143,SUMIF($B$10:$B$16,"NCAP_TLIFE",$AX$10:$AX$16)),0,""))</f>
        <v/>
      </c>
      <c r="AH143" s="369" t="str">
        <f ca="1">IF($B143&lt;&gt;"PRC_RESID","",IF(AH$7=2005+OFFSET(COM_N_2012!$B$60,$AW143,SUMIF($B$10:$B$16,"NCAP_TLIFE",$AX$10:$AX$16)),0,""))</f>
        <v/>
      </c>
      <c r="AI143" s="369" t="str">
        <f ca="1">IF($B143&lt;&gt;"PRC_RESID","",IF(AI$7=2005+OFFSET(COM_N_2012!$B$60,$AW143,SUMIF($B$10:$B$16,"NCAP_TLIFE",$AX$10:$AX$16)),0,""))</f>
        <v/>
      </c>
      <c r="AJ143" s="369" t="str">
        <f ca="1">IF($B143&lt;&gt;"PRC_RESID","",IF(AJ$7=2005+OFFSET(COM_N_2012!$B$60,$AW143,SUMIF($B$10:$B$16,"NCAP_TLIFE",$AX$10:$AX$16)),0,""))</f>
        <v/>
      </c>
      <c r="AK143" s="369" t="str">
        <f ca="1">IF($B143&lt;&gt;"PRC_RESID","",IF(AK$7=2005+OFFSET(COM_N_2012!$B$60,$AW143,SUMIF($B$10:$B$16,"NCAP_TLIFE",$AX$10:$AX$16)),0,""))</f>
        <v/>
      </c>
      <c r="AL143" s="369" t="str">
        <f ca="1">IF($B143&lt;&gt;"PRC_RESID","",IF(AL$7=2005+OFFSET(COM_N_2012!$B$60,$AW143,SUMIF($B$10:$B$16,"NCAP_TLIFE",$AX$10:$AX$16)),0,""))</f>
        <v/>
      </c>
      <c r="AM143" s="369" t="str">
        <f ca="1">IF($B143&lt;&gt;"PRC_RESID","",IF(AM$7=2005+OFFSET(COM_N_2012!$B$60,$AW143,SUMIF($B$10:$B$16,"NCAP_TLIFE",$AX$10:$AX$16)),0,""))</f>
        <v/>
      </c>
      <c r="AN143" s="369" t="str">
        <f ca="1">IF($B143&lt;&gt;"PRC_RESID","",IF(AN$7=2005+OFFSET(COM_N_2012!$B$60,$AW143,SUMIF($B$10:$B$16,"NCAP_TLIFE",$AX$10:$AX$16)),0,""))</f>
        <v/>
      </c>
      <c r="AO143" s="369" t="str">
        <f ca="1">IF($B143&lt;&gt;"PRC_RESID","",IF(AO$7=2005+OFFSET(COM_N_2012!$B$60,$AW143,SUMIF($B$10:$B$16,"NCAP_TLIFE",$AX$10:$AX$16)),0,""))</f>
        <v/>
      </c>
      <c r="AP143" s="369" t="str">
        <f ca="1">IF($B143&lt;&gt;"PRC_RESID","",IF(AP$7=2005+OFFSET(COM_N_2012!$B$60,$AW143,SUMIF($B$10:$B$16,"NCAP_TLIFE",$AX$10:$AX$16)),0,""))</f>
        <v/>
      </c>
      <c r="AQ143" s="369" t="str">
        <f ca="1">IF($B143&lt;&gt;"PRC_RESID","",IF(AQ$7=2005+OFFSET(COM_N_2012!$B$60,$AW143,SUMIF($B$10:$B$16,"NCAP_TLIFE",$AX$10:$AX$16)),0,""))</f>
        <v/>
      </c>
      <c r="AR143" s="369" t="str">
        <f ca="1">IF($B143&lt;&gt;"PRC_RESID","",IF(AR$7=2005+OFFSET(COM_N_2012!$B$60,$AW143,SUMIF($B$10:$B$16,"NCAP_TLIFE",$AX$10:$AX$16)),0,""))</f>
        <v/>
      </c>
      <c r="AS143" s="369" t="str">
        <f ca="1">IF($B143&lt;&gt;"PRC_RESID","",IF(AS$7=2005+OFFSET(COM_N_2012!$B$60,$AW143,SUMIF($B$10:$B$16,"NCAP_TLIFE",$AX$10:$AX$16)),0,""))</f>
        <v/>
      </c>
      <c r="AT143" s="369" t="str">
        <f ca="1">IF($B143&lt;&gt;"PRC_RESID","",IF(AT$7=2005+OFFSET(COM_N_2012!$B$60,$AW143,SUMIF($B$10:$B$16,"NCAP_TLIFE",$AX$10:$AX$16)),0,""))</f>
        <v/>
      </c>
      <c r="AU143" s="369" t="str">
        <f ca="1">IF($B143&lt;&gt;"PRC_RESID","",IF(AU$7=2005+OFFSET(COM_N_2012!$B$60,$AW143,SUMIF($B$10:$B$16,"NCAP_TLIFE",$AX$10:$AX$16)),0,""))</f>
        <v/>
      </c>
      <c r="AV143" s="304">
        <f>IF(AW142=COM_N_2012!$AK$121,AV142+1,AV142)</f>
        <v>3</v>
      </c>
      <c r="AW143" s="304">
        <f t="shared" si="12"/>
        <v>4</v>
      </c>
    </row>
    <row r="144" spans="1:49">
      <c r="A144" s="304" t="str">
        <f ca="1">IF(LEFT(OFFSET(COM_N_2012!$A$60,AW144,0),2)="\I","*","")</f>
        <v/>
      </c>
      <c r="B144" s="369" t="str">
        <f t="shared" ca="1" si="11"/>
        <v>NCAP_TLIFE</v>
      </c>
      <c r="C144" s="369" t="str">
        <f ca="1">IF($A144="*","",OFFSET(COM_N_2012!$B$60,AW144,0))</f>
        <v>CNCELCCEN-N</v>
      </c>
      <c r="D144" s="369" t="str">
        <f t="shared" ca="1" si="18"/>
        <v>-</v>
      </c>
      <c r="E144" s="369" t="str">
        <f t="shared" ca="1" si="18"/>
        <v>-</v>
      </c>
      <c r="F144" s="369" t="str">
        <f t="shared" ca="1" si="18"/>
        <v>-</v>
      </c>
      <c r="G144" s="369" t="str">
        <f t="shared" ca="1" si="18"/>
        <v>-</v>
      </c>
      <c r="H144" s="369" t="str">
        <f t="shared" ca="1" si="18"/>
        <v>-</v>
      </c>
      <c r="I144" s="370">
        <f t="shared" ca="1" si="18"/>
        <v>0</v>
      </c>
      <c r="J144" s="391">
        <f ca="1">IF($A144="*","",OFFSET(COM_N_2012!$B$60,AW144,SUMIF($B$10:$B$16,B144,$AX$10:$AX$16)))</f>
        <v>15</v>
      </c>
      <c r="K144" s="369" t="str">
        <f ca="1">IF($B144&lt;&gt;"PRC_RESID","",IF(K$7=2005+OFFSET(COM_N_2012!$B$60,$AW144,SUMIF($B$10:$B$16,"NCAP_TLIFE",$AX$10:$AX$16)),0,""))</f>
        <v/>
      </c>
      <c r="L144" s="369" t="str">
        <f ca="1">IF($B144&lt;&gt;"PRC_RESID","",IF(L$7=2005+OFFSET(COM_N_2012!$B$60,$AW144,SUMIF($B$10:$B$16,"NCAP_TLIFE",$AX$10:$AX$16)),0,""))</f>
        <v/>
      </c>
      <c r="M144" s="369" t="str">
        <f ca="1">IF($B144&lt;&gt;"PRC_RESID","",IF(M$7=2005+OFFSET(COM_N_2012!$B$60,$AW144,SUMIF($B$10:$B$16,"NCAP_TLIFE",$AX$10:$AX$16)),0,""))</f>
        <v/>
      </c>
      <c r="N144" s="369" t="str">
        <f ca="1">IF($B144&lt;&gt;"PRC_RESID","",IF(N$7=2005+OFFSET(COM_N_2012!$B$60,$AW144,SUMIF($B$10:$B$16,"NCAP_TLIFE",$AX$10:$AX$16)),0,""))</f>
        <v/>
      </c>
      <c r="O144" s="369" t="str">
        <f ca="1">IF($B144&lt;&gt;"PRC_RESID","",IF(O$7=2005+OFFSET(COM_N_2012!$B$60,$AW144,SUMIF($B$10:$B$16,"NCAP_TLIFE",$AX$10:$AX$16)),0,""))</f>
        <v/>
      </c>
      <c r="P144" s="369" t="str">
        <f ca="1">IF($B144&lt;&gt;"PRC_RESID","",IF(P$7=2005+OFFSET(COM_N_2012!$B$60,$AW144,SUMIF($B$10:$B$16,"NCAP_TLIFE",$AX$10:$AX$16)),0,""))</f>
        <v/>
      </c>
      <c r="Q144" s="369" t="str">
        <f ca="1">IF($B144&lt;&gt;"PRC_RESID","",IF(Q$7=2005+OFFSET(COM_N_2012!$B$60,$AW144,SUMIF($B$10:$B$16,"NCAP_TLIFE",$AX$10:$AX$16)),0,""))</f>
        <v/>
      </c>
      <c r="R144" s="369" t="str">
        <f ca="1">IF($B144&lt;&gt;"PRC_RESID","",IF(R$7=2005+OFFSET(COM_N_2012!$B$60,$AW144,SUMIF($B$10:$B$16,"NCAP_TLIFE",$AX$10:$AX$16)),0,""))</f>
        <v/>
      </c>
      <c r="S144" s="369" t="str">
        <f ca="1">IF($B144&lt;&gt;"PRC_RESID","",IF(S$7=2005+OFFSET(COM_N_2012!$B$60,$AW144,SUMIF($B$10:$B$16,"NCAP_TLIFE",$AX$10:$AX$16)),0,""))</f>
        <v/>
      </c>
      <c r="T144" s="369" t="str">
        <f ca="1">IF($B144&lt;&gt;"PRC_RESID","",IF(T$7=2005+OFFSET(COM_N_2012!$B$60,$AW144,SUMIF($B$10:$B$16,"NCAP_TLIFE",$AX$10:$AX$16)),0,""))</f>
        <v/>
      </c>
      <c r="U144" s="369" t="str">
        <f ca="1">IF($B144&lt;&gt;"PRC_RESID","",IF(U$7=2005+OFFSET(COM_N_2012!$B$60,$AW144,SUMIF($B$10:$B$16,"NCAP_TLIFE",$AX$10:$AX$16)),0,""))</f>
        <v/>
      </c>
      <c r="V144" s="369" t="str">
        <f ca="1">IF($B144&lt;&gt;"PRC_RESID","",IF(V$7=2005+OFFSET(COM_N_2012!$B$60,$AW144,SUMIF($B$10:$B$16,"NCAP_TLIFE",$AX$10:$AX$16)),0,""))</f>
        <v/>
      </c>
      <c r="W144" s="369" t="str">
        <f ca="1">IF($B144&lt;&gt;"PRC_RESID","",IF(W$7=2005+OFFSET(COM_N_2012!$B$60,$AW144,SUMIF($B$10:$B$16,"NCAP_TLIFE",$AX$10:$AX$16)),0,""))</f>
        <v/>
      </c>
      <c r="X144" s="369" t="str">
        <f ca="1">IF($B144&lt;&gt;"PRC_RESID","",IF(X$7=2005+OFFSET(COM_N_2012!$B$60,$AW144,SUMIF($B$10:$B$16,"NCAP_TLIFE",$AX$10:$AX$16)),0,""))</f>
        <v/>
      </c>
      <c r="Y144" s="369" t="str">
        <f ca="1">IF($B144&lt;&gt;"PRC_RESID","",IF(Y$7=2005+OFFSET(COM_N_2012!$B$60,$AW144,SUMIF($B$10:$B$16,"NCAP_TLIFE",$AX$10:$AX$16)),0,""))</f>
        <v/>
      </c>
      <c r="Z144" s="369" t="str">
        <f ca="1">IF($B144&lt;&gt;"PRC_RESID","",IF(Z$7=2005+OFFSET(COM_N_2012!$B$60,$AW144,SUMIF($B$10:$B$16,"NCAP_TLIFE",$AX$10:$AX$16)),0,""))</f>
        <v/>
      </c>
      <c r="AA144" s="369" t="str">
        <f ca="1">IF($B144&lt;&gt;"PRC_RESID","",IF(AA$7=2005+OFFSET(COM_N_2012!$B$60,$AW144,SUMIF($B$10:$B$16,"NCAP_TLIFE",$AX$10:$AX$16)),0,""))</f>
        <v/>
      </c>
      <c r="AB144" s="369" t="str">
        <f ca="1">IF($B144&lt;&gt;"PRC_RESID","",IF(AB$7=2005+OFFSET(COM_N_2012!$B$60,$AW144,SUMIF($B$10:$B$16,"NCAP_TLIFE",$AX$10:$AX$16)),0,""))</f>
        <v/>
      </c>
      <c r="AC144" s="369" t="str">
        <f ca="1">IF($B144&lt;&gt;"PRC_RESID","",IF(AC$7=2005+OFFSET(COM_N_2012!$B$60,$AW144,SUMIF($B$10:$B$16,"NCAP_TLIFE",$AX$10:$AX$16)),0,""))</f>
        <v/>
      </c>
      <c r="AD144" s="369" t="str">
        <f ca="1">IF($B144&lt;&gt;"PRC_RESID","",IF(AD$7=2005+OFFSET(COM_N_2012!$B$60,$AW144,SUMIF($B$10:$B$16,"NCAP_TLIFE",$AX$10:$AX$16)),0,""))</f>
        <v/>
      </c>
      <c r="AE144" s="369" t="str">
        <f ca="1">IF($B144&lt;&gt;"PRC_RESID","",IF(AE$7=2005+OFFSET(COM_N_2012!$B$60,$AW144,SUMIF($B$10:$B$16,"NCAP_TLIFE",$AX$10:$AX$16)),0,""))</f>
        <v/>
      </c>
      <c r="AF144" s="369" t="str">
        <f ca="1">IF($B144&lt;&gt;"PRC_RESID","",IF(AF$7=2005+OFFSET(COM_N_2012!$B$60,$AW144,SUMIF($B$10:$B$16,"NCAP_TLIFE",$AX$10:$AX$16)),0,""))</f>
        <v/>
      </c>
      <c r="AG144" s="369" t="str">
        <f ca="1">IF($B144&lt;&gt;"PRC_RESID","",IF(AG$7=2005+OFFSET(COM_N_2012!$B$60,$AW144,SUMIF($B$10:$B$16,"NCAP_TLIFE",$AX$10:$AX$16)),0,""))</f>
        <v/>
      </c>
      <c r="AH144" s="369" t="str">
        <f ca="1">IF($B144&lt;&gt;"PRC_RESID","",IF(AH$7=2005+OFFSET(COM_N_2012!$B$60,$AW144,SUMIF($B$10:$B$16,"NCAP_TLIFE",$AX$10:$AX$16)),0,""))</f>
        <v/>
      </c>
      <c r="AI144" s="369" t="str">
        <f ca="1">IF($B144&lt;&gt;"PRC_RESID","",IF(AI$7=2005+OFFSET(COM_N_2012!$B$60,$AW144,SUMIF($B$10:$B$16,"NCAP_TLIFE",$AX$10:$AX$16)),0,""))</f>
        <v/>
      </c>
      <c r="AJ144" s="369" t="str">
        <f ca="1">IF($B144&lt;&gt;"PRC_RESID","",IF(AJ$7=2005+OFFSET(COM_N_2012!$B$60,$AW144,SUMIF($B$10:$B$16,"NCAP_TLIFE",$AX$10:$AX$16)),0,""))</f>
        <v/>
      </c>
      <c r="AK144" s="369" t="str">
        <f ca="1">IF($B144&lt;&gt;"PRC_RESID","",IF(AK$7=2005+OFFSET(COM_N_2012!$B$60,$AW144,SUMIF($B$10:$B$16,"NCAP_TLIFE",$AX$10:$AX$16)),0,""))</f>
        <v/>
      </c>
      <c r="AL144" s="369" t="str">
        <f ca="1">IF($B144&lt;&gt;"PRC_RESID","",IF(AL$7=2005+OFFSET(COM_N_2012!$B$60,$AW144,SUMIF($B$10:$B$16,"NCAP_TLIFE",$AX$10:$AX$16)),0,""))</f>
        <v/>
      </c>
      <c r="AM144" s="369" t="str">
        <f ca="1">IF($B144&lt;&gt;"PRC_RESID","",IF(AM$7=2005+OFFSET(COM_N_2012!$B$60,$AW144,SUMIF($B$10:$B$16,"NCAP_TLIFE",$AX$10:$AX$16)),0,""))</f>
        <v/>
      </c>
      <c r="AN144" s="369" t="str">
        <f ca="1">IF($B144&lt;&gt;"PRC_RESID","",IF(AN$7=2005+OFFSET(COM_N_2012!$B$60,$AW144,SUMIF($B$10:$B$16,"NCAP_TLIFE",$AX$10:$AX$16)),0,""))</f>
        <v/>
      </c>
      <c r="AO144" s="369" t="str">
        <f ca="1">IF($B144&lt;&gt;"PRC_RESID","",IF(AO$7=2005+OFFSET(COM_N_2012!$B$60,$AW144,SUMIF($B$10:$B$16,"NCAP_TLIFE",$AX$10:$AX$16)),0,""))</f>
        <v/>
      </c>
      <c r="AP144" s="369" t="str">
        <f ca="1">IF($B144&lt;&gt;"PRC_RESID","",IF(AP$7=2005+OFFSET(COM_N_2012!$B$60,$AW144,SUMIF($B$10:$B$16,"NCAP_TLIFE",$AX$10:$AX$16)),0,""))</f>
        <v/>
      </c>
      <c r="AQ144" s="369" t="str">
        <f ca="1">IF($B144&lt;&gt;"PRC_RESID","",IF(AQ$7=2005+OFFSET(COM_N_2012!$B$60,$AW144,SUMIF($B$10:$B$16,"NCAP_TLIFE",$AX$10:$AX$16)),0,""))</f>
        <v/>
      </c>
      <c r="AR144" s="369" t="str">
        <f ca="1">IF($B144&lt;&gt;"PRC_RESID","",IF(AR$7=2005+OFFSET(COM_N_2012!$B$60,$AW144,SUMIF($B$10:$B$16,"NCAP_TLIFE",$AX$10:$AX$16)),0,""))</f>
        <v/>
      </c>
      <c r="AS144" s="369" t="str">
        <f ca="1">IF($B144&lt;&gt;"PRC_RESID","",IF(AS$7=2005+OFFSET(COM_N_2012!$B$60,$AW144,SUMIF($B$10:$B$16,"NCAP_TLIFE",$AX$10:$AX$16)),0,""))</f>
        <v/>
      </c>
      <c r="AT144" s="369" t="str">
        <f ca="1">IF($B144&lt;&gt;"PRC_RESID","",IF(AT$7=2005+OFFSET(COM_N_2012!$B$60,$AW144,SUMIF($B$10:$B$16,"NCAP_TLIFE",$AX$10:$AX$16)),0,""))</f>
        <v/>
      </c>
      <c r="AU144" s="369" t="str">
        <f ca="1">IF($B144&lt;&gt;"PRC_RESID","",IF(AU$7=2005+OFFSET(COM_N_2012!$B$60,$AW144,SUMIF($B$10:$B$16,"NCAP_TLIFE",$AX$10:$AX$16)),0,""))</f>
        <v/>
      </c>
      <c r="AV144" s="304">
        <f>IF(AW143=COM_N_2012!$AK$121,AV143+1,AV143)</f>
        <v>3</v>
      </c>
      <c r="AW144" s="304">
        <f t="shared" si="12"/>
        <v>5</v>
      </c>
    </row>
    <row r="145" spans="1:49">
      <c r="A145" s="304" t="str">
        <f ca="1">IF(LEFT(OFFSET(COM_N_2012!$A$60,AW145,0),2)="\I","*","")</f>
        <v/>
      </c>
      <c r="B145" s="369" t="str">
        <f t="shared" ca="1" si="11"/>
        <v>NCAP_TLIFE</v>
      </c>
      <c r="C145" s="369" t="str">
        <f ca="1">IF($A145="*","",OFFSET(COM_N_2012!$B$60,AW145,0))</f>
        <v>CNCELCHP-N</v>
      </c>
      <c r="D145" s="369" t="str">
        <f t="shared" ca="1" si="18"/>
        <v>-</v>
      </c>
      <c r="E145" s="369" t="str">
        <f t="shared" ca="1" si="18"/>
        <v>-</v>
      </c>
      <c r="F145" s="369" t="str">
        <f t="shared" ca="1" si="18"/>
        <v>-</v>
      </c>
      <c r="G145" s="369" t="str">
        <f t="shared" ca="1" si="18"/>
        <v>-</v>
      </c>
      <c r="H145" s="369" t="str">
        <f t="shared" ca="1" si="18"/>
        <v>-</v>
      </c>
      <c r="I145" s="370">
        <f t="shared" ca="1" si="18"/>
        <v>0</v>
      </c>
      <c r="J145" s="391">
        <f ca="1">IF($A145="*","",OFFSET(COM_N_2012!$B$60,AW145,SUMIF($B$10:$B$16,B145,$AX$10:$AX$16)))</f>
        <v>15</v>
      </c>
      <c r="K145" s="369" t="str">
        <f ca="1">IF($B145&lt;&gt;"PRC_RESID","",IF(K$7=2005+OFFSET(COM_N_2012!$B$60,$AW145,SUMIF($B$10:$B$16,"NCAP_TLIFE",$AX$10:$AX$16)),0,""))</f>
        <v/>
      </c>
      <c r="L145" s="369" t="str">
        <f ca="1">IF($B145&lt;&gt;"PRC_RESID","",IF(L$7=2005+OFFSET(COM_N_2012!$B$60,$AW145,SUMIF($B$10:$B$16,"NCAP_TLIFE",$AX$10:$AX$16)),0,""))</f>
        <v/>
      </c>
      <c r="M145" s="369" t="str">
        <f ca="1">IF($B145&lt;&gt;"PRC_RESID","",IF(M$7=2005+OFFSET(COM_N_2012!$B$60,$AW145,SUMIF($B$10:$B$16,"NCAP_TLIFE",$AX$10:$AX$16)),0,""))</f>
        <v/>
      </c>
      <c r="N145" s="369" t="str">
        <f ca="1">IF($B145&lt;&gt;"PRC_RESID","",IF(N$7=2005+OFFSET(COM_N_2012!$B$60,$AW145,SUMIF($B$10:$B$16,"NCAP_TLIFE",$AX$10:$AX$16)),0,""))</f>
        <v/>
      </c>
      <c r="O145" s="369" t="str">
        <f ca="1">IF($B145&lt;&gt;"PRC_RESID","",IF(O$7=2005+OFFSET(COM_N_2012!$B$60,$AW145,SUMIF($B$10:$B$16,"NCAP_TLIFE",$AX$10:$AX$16)),0,""))</f>
        <v/>
      </c>
      <c r="P145" s="369" t="str">
        <f ca="1">IF($B145&lt;&gt;"PRC_RESID","",IF(P$7=2005+OFFSET(COM_N_2012!$B$60,$AW145,SUMIF($B$10:$B$16,"NCAP_TLIFE",$AX$10:$AX$16)),0,""))</f>
        <v/>
      </c>
      <c r="Q145" s="369" t="str">
        <f ca="1">IF($B145&lt;&gt;"PRC_RESID","",IF(Q$7=2005+OFFSET(COM_N_2012!$B$60,$AW145,SUMIF($B$10:$B$16,"NCAP_TLIFE",$AX$10:$AX$16)),0,""))</f>
        <v/>
      </c>
      <c r="R145" s="369" t="str">
        <f ca="1">IF($B145&lt;&gt;"PRC_RESID","",IF(R$7=2005+OFFSET(COM_N_2012!$B$60,$AW145,SUMIF($B$10:$B$16,"NCAP_TLIFE",$AX$10:$AX$16)),0,""))</f>
        <v/>
      </c>
      <c r="S145" s="369" t="str">
        <f ca="1">IF($B145&lt;&gt;"PRC_RESID","",IF(S$7=2005+OFFSET(COM_N_2012!$B$60,$AW145,SUMIF($B$10:$B$16,"NCAP_TLIFE",$AX$10:$AX$16)),0,""))</f>
        <v/>
      </c>
      <c r="T145" s="369" t="str">
        <f ca="1">IF($B145&lt;&gt;"PRC_RESID","",IF(T$7=2005+OFFSET(COM_N_2012!$B$60,$AW145,SUMIF($B$10:$B$16,"NCAP_TLIFE",$AX$10:$AX$16)),0,""))</f>
        <v/>
      </c>
      <c r="U145" s="369" t="str">
        <f ca="1">IF($B145&lt;&gt;"PRC_RESID","",IF(U$7=2005+OFFSET(COM_N_2012!$B$60,$AW145,SUMIF($B$10:$B$16,"NCAP_TLIFE",$AX$10:$AX$16)),0,""))</f>
        <v/>
      </c>
      <c r="V145" s="369" t="str">
        <f ca="1">IF($B145&lt;&gt;"PRC_RESID","",IF(V$7=2005+OFFSET(COM_N_2012!$B$60,$AW145,SUMIF($B$10:$B$16,"NCAP_TLIFE",$AX$10:$AX$16)),0,""))</f>
        <v/>
      </c>
      <c r="W145" s="369" t="str">
        <f ca="1">IF($B145&lt;&gt;"PRC_RESID","",IF(W$7=2005+OFFSET(COM_N_2012!$B$60,$AW145,SUMIF($B$10:$B$16,"NCAP_TLIFE",$AX$10:$AX$16)),0,""))</f>
        <v/>
      </c>
      <c r="X145" s="369" t="str">
        <f ca="1">IF($B145&lt;&gt;"PRC_RESID","",IF(X$7=2005+OFFSET(COM_N_2012!$B$60,$AW145,SUMIF($B$10:$B$16,"NCAP_TLIFE",$AX$10:$AX$16)),0,""))</f>
        <v/>
      </c>
      <c r="Y145" s="369" t="str">
        <f ca="1">IF($B145&lt;&gt;"PRC_RESID","",IF(Y$7=2005+OFFSET(COM_N_2012!$B$60,$AW145,SUMIF($B$10:$B$16,"NCAP_TLIFE",$AX$10:$AX$16)),0,""))</f>
        <v/>
      </c>
      <c r="Z145" s="369" t="str">
        <f ca="1">IF($B145&lt;&gt;"PRC_RESID","",IF(Z$7=2005+OFFSET(COM_N_2012!$B$60,$AW145,SUMIF($B$10:$B$16,"NCAP_TLIFE",$AX$10:$AX$16)),0,""))</f>
        <v/>
      </c>
      <c r="AA145" s="369" t="str">
        <f ca="1">IF($B145&lt;&gt;"PRC_RESID","",IF(AA$7=2005+OFFSET(COM_N_2012!$B$60,$AW145,SUMIF($B$10:$B$16,"NCAP_TLIFE",$AX$10:$AX$16)),0,""))</f>
        <v/>
      </c>
      <c r="AB145" s="369" t="str">
        <f ca="1">IF($B145&lt;&gt;"PRC_RESID","",IF(AB$7=2005+OFFSET(COM_N_2012!$B$60,$AW145,SUMIF($B$10:$B$16,"NCAP_TLIFE",$AX$10:$AX$16)),0,""))</f>
        <v/>
      </c>
      <c r="AC145" s="369" t="str">
        <f ca="1">IF($B145&lt;&gt;"PRC_RESID","",IF(AC$7=2005+OFFSET(COM_N_2012!$B$60,$AW145,SUMIF($B$10:$B$16,"NCAP_TLIFE",$AX$10:$AX$16)),0,""))</f>
        <v/>
      </c>
      <c r="AD145" s="369" t="str">
        <f ca="1">IF($B145&lt;&gt;"PRC_RESID","",IF(AD$7=2005+OFFSET(COM_N_2012!$B$60,$AW145,SUMIF($B$10:$B$16,"NCAP_TLIFE",$AX$10:$AX$16)),0,""))</f>
        <v/>
      </c>
      <c r="AE145" s="369" t="str">
        <f ca="1">IF($B145&lt;&gt;"PRC_RESID","",IF(AE$7=2005+OFFSET(COM_N_2012!$B$60,$AW145,SUMIF($B$10:$B$16,"NCAP_TLIFE",$AX$10:$AX$16)),0,""))</f>
        <v/>
      </c>
      <c r="AF145" s="369" t="str">
        <f ca="1">IF($B145&lt;&gt;"PRC_RESID","",IF(AF$7=2005+OFFSET(COM_N_2012!$B$60,$AW145,SUMIF($B$10:$B$16,"NCAP_TLIFE",$AX$10:$AX$16)),0,""))</f>
        <v/>
      </c>
      <c r="AG145" s="369" t="str">
        <f ca="1">IF($B145&lt;&gt;"PRC_RESID","",IF(AG$7=2005+OFFSET(COM_N_2012!$B$60,$AW145,SUMIF($B$10:$B$16,"NCAP_TLIFE",$AX$10:$AX$16)),0,""))</f>
        <v/>
      </c>
      <c r="AH145" s="369" t="str">
        <f ca="1">IF($B145&lt;&gt;"PRC_RESID","",IF(AH$7=2005+OFFSET(COM_N_2012!$B$60,$AW145,SUMIF($B$10:$B$16,"NCAP_TLIFE",$AX$10:$AX$16)),0,""))</f>
        <v/>
      </c>
      <c r="AI145" s="369" t="str">
        <f ca="1">IF($B145&lt;&gt;"PRC_RESID","",IF(AI$7=2005+OFFSET(COM_N_2012!$B$60,$AW145,SUMIF($B$10:$B$16,"NCAP_TLIFE",$AX$10:$AX$16)),0,""))</f>
        <v/>
      </c>
      <c r="AJ145" s="369" t="str">
        <f ca="1">IF($B145&lt;&gt;"PRC_RESID","",IF(AJ$7=2005+OFFSET(COM_N_2012!$B$60,$AW145,SUMIF($B$10:$B$16,"NCAP_TLIFE",$AX$10:$AX$16)),0,""))</f>
        <v/>
      </c>
      <c r="AK145" s="369" t="str">
        <f ca="1">IF($B145&lt;&gt;"PRC_RESID","",IF(AK$7=2005+OFFSET(COM_N_2012!$B$60,$AW145,SUMIF($B$10:$B$16,"NCAP_TLIFE",$AX$10:$AX$16)),0,""))</f>
        <v/>
      </c>
      <c r="AL145" s="369" t="str">
        <f ca="1">IF($B145&lt;&gt;"PRC_RESID","",IF(AL$7=2005+OFFSET(COM_N_2012!$B$60,$AW145,SUMIF($B$10:$B$16,"NCAP_TLIFE",$AX$10:$AX$16)),0,""))</f>
        <v/>
      </c>
      <c r="AM145" s="369" t="str">
        <f ca="1">IF($B145&lt;&gt;"PRC_RESID","",IF(AM$7=2005+OFFSET(COM_N_2012!$B$60,$AW145,SUMIF($B$10:$B$16,"NCAP_TLIFE",$AX$10:$AX$16)),0,""))</f>
        <v/>
      </c>
      <c r="AN145" s="369" t="str">
        <f ca="1">IF($B145&lt;&gt;"PRC_RESID","",IF(AN$7=2005+OFFSET(COM_N_2012!$B$60,$AW145,SUMIF($B$10:$B$16,"NCAP_TLIFE",$AX$10:$AX$16)),0,""))</f>
        <v/>
      </c>
      <c r="AO145" s="369" t="str">
        <f ca="1">IF($B145&lt;&gt;"PRC_RESID","",IF(AO$7=2005+OFFSET(COM_N_2012!$B$60,$AW145,SUMIF($B$10:$B$16,"NCAP_TLIFE",$AX$10:$AX$16)),0,""))</f>
        <v/>
      </c>
      <c r="AP145" s="369" t="str">
        <f ca="1">IF($B145&lt;&gt;"PRC_RESID","",IF(AP$7=2005+OFFSET(COM_N_2012!$B$60,$AW145,SUMIF($B$10:$B$16,"NCAP_TLIFE",$AX$10:$AX$16)),0,""))</f>
        <v/>
      </c>
      <c r="AQ145" s="369" t="str">
        <f ca="1">IF($B145&lt;&gt;"PRC_RESID","",IF(AQ$7=2005+OFFSET(COM_N_2012!$B$60,$AW145,SUMIF($B$10:$B$16,"NCAP_TLIFE",$AX$10:$AX$16)),0,""))</f>
        <v/>
      </c>
      <c r="AR145" s="369" t="str">
        <f ca="1">IF($B145&lt;&gt;"PRC_RESID","",IF(AR$7=2005+OFFSET(COM_N_2012!$B$60,$AW145,SUMIF($B$10:$B$16,"NCAP_TLIFE",$AX$10:$AX$16)),0,""))</f>
        <v/>
      </c>
      <c r="AS145" s="369" t="str">
        <f ca="1">IF($B145&lt;&gt;"PRC_RESID","",IF(AS$7=2005+OFFSET(COM_N_2012!$B$60,$AW145,SUMIF($B$10:$B$16,"NCAP_TLIFE",$AX$10:$AX$16)),0,""))</f>
        <v/>
      </c>
      <c r="AT145" s="369" t="str">
        <f ca="1">IF($B145&lt;&gt;"PRC_RESID","",IF(AT$7=2005+OFFSET(COM_N_2012!$B$60,$AW145,SUMIF($B$10:$B$16,"NCAP_TLIFE",$AX$10:$AX$16)),0,""))</f>
        <v/>
      </c>
      <c r="AU145" s="369" t="str">
        <f ca="1">IF($B145&lt;&gt;"PRC_RESID","",IF(AU$7=2005+OFFSET(COM_N_2012!$B$60,$AW145,SUMIF($B$10:$B$16,"NCAP_TLIFE",$AX$10:$AX$16)),0,""))</f>
        <v/>
      </c>
      <c r="AV145" s="304">
        <f>IF(AW144=COM_N_2012!$AK$121,AV144+1,AV144)</f>
        <v>3</v>
      </c>
      <c r="AW145" s="304">
        <f t="shared" si="12"/>
        <v>6</v>
      </c>
    </row>
    <row r="146" spans="1:49">
      <c r="A146" s="304" t="str">
        <f ca="1">IF(LEFT(OFFSET(COM_N_2012!$A$60,AW146,0),2)="\I","*","")</f>
        <v>*</v>
      </c>
      <c r="B146" s="369" t="str">
        <f t="shared" ref="B146:B209" ca="1" si="19">IF(A146="*","",VLOOKUP("*"&amp;AV146,$A$9:$B$16,2,FALSE))</f>
        <v/>
      </c>
      <c r="C146" s="369" t="str">
        <f ca="1">IF($A146="*","",OFFSET(COM_N_2012!$B$60,AW146,0))</f>
        <v/>
      </c>
      <c r="D146" s="369" t="str">
        <f t="shared" ca="1" si="18"/>
        <v/>
      </c>
      <c r="E146" s="369" t="str">
        <f t="shared" ca="1" si="18"/>
        <v/>
      </c>
      <c r="F146" s="369" t="str">
        <f t="shared" ca="1" si="18"/>
        <v/>
      </c>
      <c r="G146" s="369" t="str">
        <f t="shared" ca="1" si="18"/>
        <v/>
      </c>
      <c r="H146" s="369" t="str">
        <f t="shared" ca="1" si="18"/>
        <v/>
      </c>
      <c r="I146" s="370" t="str">
        <f t="shared" ca="1" si="18"/>
        <v/>
      </c>
      <c r="J146" s="391" t="str">
        <f ca="1">IF($A146="*","",OFFSET(COM_N_2012!$B$60,AW146,SUMIF($B$10:$B$16,B146,$AX$10:$AX$16)))</f>
        <v/>
      </c>
      <c r="K146" s="369" t="str">
        <f ca="1">IF($B146&lt;&gt;"PRC_RESID","",IF(K$7=2005+OFFSET(COM_N_2012!$B$60,$AW146,SUMIF($B$10:$B$16,"NCAP_TLIFE",$AX$10:$AX$16)),0,""))</f>
        <v/>
      </c>
      <c r="L146" s="369" t="str">
        <f ca="1">IF($B146&lt;&gt;"PRC_RESID","",IF(L$7=2005+OFFSET(COM_N_2012!$B$60,$AW146,SUMIF($B$10:$B$16,"NCAP_TLIFE",$AX$10:$AX$16)),0,""))</f>
        <v/>
      </c>
      <c r="M146" s="369" t="str">
        <f ca="1">IF($B146&lt;&gt;"PRC_RESID","",IF(M$7=2005+OFFSET(COM_N_2012!$B$60,$AW146,SUMIF($B$10:$B$16,"NCAP_TLIFE",$AX$10:$AX$16)),0,""))</f>
        <v/>
      </c>
      <c r="N146" s="369" t="str">
        <f ca="1">IF($B146&lt;&gt;"PRC_RESID","",IF(N$7=2005+OFFSET(COM_N_2012!$B$60,$AW146,SUMIF($B$10:$B$16,"NCAP_TLIFE",$AX$10:$AX$16)),0,""))</f>
        <v/>
      </c>
      <c r="O146" s="369" t="str">
        <f ca="1">IF($B146&lt;&gt;"PRC_RESID","",IF(O$7=2005+OFFSET(COM_N_2012!$B$60,$AW146,SUMIF($B$10:$B$16,"NCAP_TLIFE",$AX$10:$AX$16)),0,""))</f>
        <v/>
      </c>
      <c r="P146" s="369" t="str">
        <f ca="1">IF($B146&lt;&gt;"PRC_RESID","",IF(P$7=2005+OFFSET(COM_N_2012!$B$60,$AW146,SUMIF($B$10:$B$16,"NCAP_TLIFE",$AX$10:$AX$16)),0,""))</f>
        <v/>
      </c>
      <c r="Q146" s="369" t="str">
        <f ca="1">IF($B146&lt;&gt;"PRC_RESID","",IF(Q$7=2005+OFFSET(COM_N_2012!$B$60,$AW146,SUMIF($B$10:$B$16,"NCAP_TLIFE",$AX$10:$AX$16)),0,""))</f>
        <v/>
      </c>
      <c r="R146" s="369" t="str">
        <f ca="1">IF($B146&lt;&gt;"PRC_RESID","",IF(R$7=2005+OFFSET(COM_N_2012!$B$60,$AW146,SUMIF($B$10:$B$16,"NCAP_TLIFE",$AX$10:$AX$16)),0,""))</f>
        <v/>
      </c>
      <c r="S146" s="369" t="str">
        <f ca="1">IF($B146&lt;&gt;"PRC_RESID","",IF(S$7=2005+OFFSET(COM_N_2012!$B$60,$AW146,SUMIF($B$10:$B$16,"NCAP_TLIFE",$AX$10:$AX$16)),0,""))</f>
        <v/>
      </c>
      <c r="T146" s="369" t="str">
        <f ca="1">IF($B146&lt;&gt;"PRC_RESID","",IF(T$7=2005+OFFSET(COM_N_2012!$B$60,$AW146,SUMIF($B$10:$B$16,"NCAP_TLIFE",$AX$10:$AX$16)),0,""))</f>
        <v/>
      </c>
      <c r="U146" s="369" t="str">
        <f ca="1">IF($B146&lt;&gt;"PRC_RESID","",IF(U$7=2005+OFFSET(COM_N_2012!$B$60,$AW146,SUMIF($B$10:$B$16,"NCAP_TLIFE",$AX$10:$AX$16)),0,""))</f>
        <v/>
      </c>
      <c r="V146" s="369" t="str">
        <f ca="1">IF($B146&lt;&gt;"PRC_RESID","",IF(V$7=2005+OFFSET(COM_N_2012!$B$60,$AW146,SUMIF($B$10:$B$16,"NCAP_TLIFE",$AX$10:$AX$16)),0,""))</f>
        <v/>
      </c>
      <c r="W146" s="369" t="str">
        <f ca="1">IF($B146&lt;&gt;"PRC_RESID","",IF(W$7=2005+OFFSET(COM_N_2012!$B$60,$AW146,SUMIF($B$10:$B$16,"NCAP_TLIFE",$AX$10:$AX$16)),0,""))</f>
        <v/>
      </c>
      <c r="X146" s="369" t="str">
        <f ca="1">IF($B146&lt;&gt;"PRC_RESID","",IF(X$7=2005+OFFSET(COM_N_2012!$B$60,$AW146,SUMIF($B$10:$B$16,"NCAP_TLIFE",$AX$10:$AX$16)),0,""))</f>
        <v/>
      </c>
      <c r="Y146" s="369" t="str">
        <f ca="1">IF($B146&lt;&gt;"PRC_RESID","",IF(Y$7=2005+OFFSET(COM_N_2012!$B$60,$AW146,SUMIF($B$10:$B$16,"NCAP_TLIFE",$AX$10:$AX$16)),0,""))</f>
        <v/>
      </c>
      <c r="Z146" s="369" t="str">
        <f ca="1">IF($B146&lt;&gt;"PRC_RESID","",IF(Z$7=2005+OFFSET(COM_N_2012!$B$60,$AW146,SUMIF($B$10:$B$16,"NCAP_TLIFE",$AX$10:$AX$16)),0,""))</f>
        <v/>
      </c>
      <c r="AA146" s="369" t="str">
        <f ca="1">IF($B146&lt;&gt;"PRC_RESID","",IF(AA$7=2005+OFFSET(COM_N_2012!$B$60,$AW146,SUMIF($B$10:$B$16,"NCAP_TLIFE",$AX$10:$AX$16)),0,""))</f>
        <v/>
      </c>
      <c r="AB146" s="369" t="str">
        <f ca="1">IF($B146&lt;&gt;"PRC_RESID","",IF(AB$7=2005+OFFSET(COM_N_2012!$B$60,$AW146,SUMIF($B$10:$B$16,"NCAP_TLIFE",$AX$10:$AX$16)),0,""))</f>
        <v/>
      </c>
      <c r="AC146" s="369" t="str">
        <f ca="1">IF($B146&lt;&gt;"PRC_RESID","",IF(AC$7=2005+OFFSET(COM_N_2012!$B$60,$AW146,SUMIF($B$10:$B$16,"NCAP_TLIFE",$AX$10:$AX$16)),0,""))</f>
        <v/>
      </c>
      <c r="AD146" s="369" t="str">
        <f ca="1">IF($B146&lt;&gt;"PRC_RESID","",IF(AD$7=2005+OFFSET(COM_N_2012!$B$60,$AW146,SUMIF($B$10:$B$16,"NCAP_TLIFE",$AX$10:$AX$16)),0,""))</f>
        <v/>
      </c>
      <c r="AE146" s="369" t="str">
        <f ca="1">IF($B146&lt;&gt;"PRC_RESID","",IF(AE$7=2005+OFFSET(COM_N_2012!$B$60,$AW146,SUMIF($B$10:$B$16,"NCAP_TLIFE",$AX$10:$AX$16)),0,""))</f>
        <v/>
      </c>
      <c r="AF146" s="369" t="str">
        <f ca="1">IF($B146&lt;&gt;"PRC_RESID","",IF(AF$7=2005+OFFSET(COM_N_2012!$B$60,$AW146,SUMIF($B$10:$B$16,"NCAP_TLIFE",$AX$10:$AX$16)),0,""))</f>
        <v/>
      </c>
      <c r="AG146" s="369" t="str">
        <f ca="1">IF($B146&lt;&gt;"PRC_RESID","",IF(AG$7=2005+OFFSET(COM_N_2012!$B$60,$AW146,SUMIF($B$10:$B$16,"NCAP_TLIFE",$AX$10:$AX$16)),0,""))</f>
        <v/>
      </c>
      <c r="AH146" s="369" t="str">
        <f ca="1">IF($B146&lt;&gt;"PRC_RESID","",IF(AH$7=2005+OFFSET(COM_N_2012!$B$60,$AW146,SUMIF($B$10:$B$16,"NCAP_TLIFE",$AX$10:$AX$16)),0,""))</f>
        <v/>
      </c>
      <c r="AI146" s="369" t="str">
        <f ca="1">IF($B146&lt;&gt;"PRC_RESID","",IF(AI$7=2005+OFFSET(COM_N_2012!$B$60,$AW146,SUMIF($B$10:$B$16,"NCAP_TLIFE",$AX$10:$AX$16)),0,""))</f>
        <v/>
      </c>
      <c r="AJ146" s="369" t="str">
        <f ca="1">IF($B146&lt;&gt;"PRC_RESID","",IF(AJ$7=2005+OFFSET(COM_N_2012!$B$60,$AW146,SUMIF($B$10:$B$16,"NCAP_TLIFE",$AX$10:$AX$16)),0,""))</f>
        <v/>
      </c>
      <c r="AK146" s="369" t="str">
        <f ca="1">IF($B146&lt;&gt;"PRC_RESID","",IF(AK$7=2005+OFFSET(COM_N_2012!$B$60,$AW146,SUMIF($B$10:$B$16,"NCAP_TLIFE",$AX$10:$AX$16)),0,""))</f>
        <v/>
      </c>
      <c r="AL146" s="369" t="str">
        <f ca="1">IF($B146&lt;&gt;"PRC_RESID","",IF(AL$7=2005+OFFSET(COM_N_2012!$B$60,$AW146,SUMIF($B$10:$B$16,"NCAP_TLIFE",$AX$10:$AX$16)),0,""))</f>
        <v/>
      </c>
      <c r="AM146" s="369" t="str">
        <f ca="1">IF($B146&lt;&gt;"PRC_RESID","",IF(AM$7=2005+OFFSET(COM_N_2012!$B$60,$AW146,SUMIF($B$10:$B$16,"NCAP_TLIFE",$AX$10:$AX$16)),0,""))</f>
        <v/>
      </c>
      <c r="AN146" s="369" t="str">
        <f ca="1">IF($B146&lt;&gt;"PRC_RESID","",IF(AN$7=2005+OFFSET(COM_N_2012!$B$60,$AW146,SUMIF($B$10:$B$16,"NCAP_TLIFE",$AX$10:$AX$16)),0,""))</f>
        <v/>
      </c>
      <c r="AO146" s="369" t="str">
        <f ca="1">IF($B146&lt;&gt;"PRC_RESID","",IF(AO$7=2005+OFFSET(COM_N_2012!$B$60,$AW146,SUMIF($B$10:$B$16,"NCAP_TLIFE",$AX$10:$AX$16)),0,""))</f>
        <v/>
      </c>
      <c r="AP146" s="369" t="str">
        <f ca="1">IF($B146&lt;&gt;"PRC_RESID","",IF(AP$7=2005+OFFSET(COM_N_2012!$B$60,$AW146,SUMIF($B$10:$B$16,"NCAP_TLIFE",$AX$10:$AX$16)),0,""))</f>
        <v/>
      </c>
      <c r="AQ146" s="369" t="str">
        <f ca="1">IF($B146&lt;&gt;"PRC_RESID","",IF(AQ$7=2005+OFFSET(COM_N_2012!$B$60,$AW146,SUMIF($B$10:$B$16,"NCAP_TLIFE",$AX$10:$AX$16)),0,""))</f>
        <v/>
      </c>
      <c r="AR146" s="369" t="str">
        <f ca="1">IF($B146&lt;&gt;"PRC_RESID","",IF(AR$7=2005+OFFSET(COM_N_2012!$B$60,$AW146,SUMIF($B$10:$B$16,"NCAP_TLIFE",$AX$10:$AX$16)),0,""))</f>
        <v/>
      </c>
      <c r="AS146" s="369" t="str">
        <f ca="1">IF($B146&lt;&gt;"PRC_RESID","",IF(AS$7=2005+OFFSET(COM_N_2012!$B$60,$AW146,SUMIF($B$10:$B$16,"NCAP_TLIFE",$AX$10:$AX$16)),0,""))</f>
        <v/>
      </c>
      <c r="AT146" s="369" t="str">
        <f ca="1">IF($B146&lt;&gt;"PRC_RESID","",IF(AT$7=2005+OFFSET(COM_N_2012!$B$60,$AW146,SUMIF($B$10:$B$16,"NCAP_TLIFE",$AX$10:$AX$16)),0,""))</f>
        <v/>
      </c>
      <c r="AU146" s="369" t="str">
        <f ca="1">IF($B146&lt;&gt;"PRC_RESID","",IF(AU$7=2005+OFFSET(COM_N_2012!$B$60,$AW146,SUMIF($B$10:$B$16,"NCAP_TLIFE",$AX$10:$AX$16)),0,""))</f>
        <v/>
      </c>
      <c r="AV146" s="304">
        <f>IF(AW145=COM_N_2012!$AK$121,AV145+1,AV145)</f>
        <v>3</v>
      </c>
      <c r="AW146" s="304">
        <f t="shared" si="12"/>
        <v>7</v>
      </c>
    </row>
    <row r="147" spans="1:49">
      <c r="A147" s="304" t="str">
        <f ca="1">IF(LEFT(OFFSET(COM_N_2012!$A$60,AW147,0),2)="\I","*","")</f>
        <v>*</v>
      </c>
      <c r="B147" s="369" t="str">
        <f t="shared" ca="1" si="19"/>
        <v/>
      </c>
      <c r="C147" s="369" t="str">
        <f ca="1">IF($A147="*","",OFFSET(COM_N_2012!$B$60,AW147,0))</f>
        <v/>
      </c>
      <c r="D147" s="369" t="str">
        <f t="shared" ca="1" si="18"/>
        <v/>
      </c>
      <c r="E147" s="369" t="str">
        <f t="shared" ca="1" si="18"/>
        <v/>
      </c>
      <c r="F147" s="369" t="str">
        <f t="shared" ca="1" si="18"/>
        <v/>
      </c>
      <c r="G147" s="369" t="str">
        <f t="shared" ca="1" si="18"/>
        <v/>
      </c>
      <c r="H147" s="369" t="str">
        <f t="shared" ca="1" si="18"/>
        <v/>
      </c>
      <c r="I147" s="370" t="str">
        <f t="shared" ca="1" si="18"/>
        <v/>
      </c>
      <c r="J147" s="391" t="str">
        <f ca="1">IF($A147="*","",OFFSET(COM_N_2012!$B$60,AW147,SUMIF($B$10:$B$16,B147,$AX$10:$AX$16)))</f>
        <v/>
      </c>
      <c r="K147" s="369" t="str">
        <f ca="1">IF($B147&lt;&gt;"PRC_RESID","",IF(K$7=2005+OFFSET(COM_N_2012!$B$60,$AW147,SUMIF($B$10:$B$16,"NCAP_TLIFE",$AX$10:$AX$16)),0,""))</f>
        <v/>
      </c>
      <c r="L147" s="369" t="str">
        <f ca="1">IF($B147&lt;&gt;"PRC_RESID","",IF(L$7=2005+OFFSET(COM_N_2012!$B$60,$AW147,SUMIF($B$10:$B$16,"NCAP_TLIFE",$AX$10:$AX$16)),0,""))</f>
        <v/>
      </c>
      <c r="M147" s="369" t="str">
        <f ca="1">IF($B147&lt;&gt;"PRC_RESID","",IF(M$7=2005+OFFSET(COM_N_2012!$B$60,$AW147,SUMIF($B$10:$B$16,"NCAP_TLIFE",$AX$10:$AX$16)),0,""))</f>
        <v/>
      </c>
      <c r="N147" s="369" t="str">
        <f ca="1">IF($B147&lt;&gt;"PRC_RESID","",IF(N$7=2005+OFFSET(COM_N_2012!$B$60,$AW147,SUMIF($B$10:$B$16,"NCAP_TLIFE",$AX$10:$AX$16)),0,""))</f>
        <v/>
      </c>
      <c r="O147" s="369" t="str">
        <f ca="1">IF($B147&lt;&gt;"PRC_RESID","",IF(O$7=2005+OFFSET(COM_N_2012!$B$60,$AW147,SUMIF($B$10:$B$16,"NCAP_TLIFE",$AX$10:$AX$16)),0,""))</f>
        <v/>
      </c>
      <c r="P147" s="369" t="str">
        <f ca="1">IF($B147&lt;&gt;"PRC_RESID","",IF(P$7=2005+OFFSET(COM_N_2012!$B$60,$AW147,SUMIF($B$10:$B$16,"NCAP_TLIFE",$AX$10:$AX$16)),0,""))</f>
        <v/>
      </c>
      <c r="Q147" s="369" t="str">
        <f ca="1">IF($B147&lt;&gt;"PRC_RESID","",IF(Q$7=2005+OFFSET(COM_N_2012!$B$60,$AW147,SUMIF($B$10:$B$16,"NCAP_TLIFE",$AX$10:$AX$16)),0,""))</f>
        <v/>
      </c>
      <c r="R147" s="369" t="str">
        <f ca="1">IF($B147&lt;&gt;"PRC_RESID","",IF(R$7=2005+OFFSET(COM_N_2012!$B$60,$AW147,SUMIF($B$10:$B$16,"NCAP_TLIFE",$AX$10:$AX$16)),0,""))</f>
        <v/>
      </c>
      <c r="S147" s="369" t="str">
        <f ca="1">IF($B147&lt;&gt;"PRC_RESID","",IF(S$7=2005+OFFSET(COM_N_2012!$B$60,$AW147,SUMIF($B$10:$B$16,"NCAP_TLIFE",$AX$10:$AX$16)),0,""))</f>
        <v/>
      </c>
      <c r="T147" s="369" t="str">
        <f ca="1">IF($B147&lt;&gt;"PRC_RESID","",IF(T$7=2005+OFFSET(COM_N_2012!$B$60,$AW147,SUMIF($B$10:$B$16,"NCAP_TLIFE",$AX$10:$AX$16)),0,""))</f>
        <v/>
      </c>
      <c r="U147" s="369" t="str">
        <f ca="1">IF($B147&lt;&gt;"PRC_RESID","",IF(U$7=2005+OFFSET(COM_N_2012!$B$60,$AW147,SUMIF($B$10:$B$16,"NCAP_TLIFE",$AX$10:$AX$16)),0,""))</f>
        <v/>
      </c>
      <c r="V147" s="369" t="str">
        <f ca="1">IF($B147&lt;&gt;"PRC_RESID","",IF(V$7=2005+OFFSET(COM_N_2012!$B$60,$AW147,SUMIF($B$10:$B$16,"NCAP_TLIFE",$AX$10:$AX$16)),0,""))</f>
        <v/>
      </c>
      <c r="W147" s="369" t="str">
        <f ca="1">IF($B147&lt;&gt;"PRC_RESID","",IF(W$7=2005+OFFSET(COM_N_2012!$B$60,$AW147,SUMIF($B$10:$B$16,"NCAP_TLIFE",$AX$10:$AX$16)),0,""))</f>
        <v/>
      </c>
      <c r="X147" s="369" t="str">
        <f ca="1">IF($B147&lt;&gt;"PRC_RESID","",IF(X$7=2005+OFFSET(COM_N_2012!$B$60,$AW147,SUMIF($B$10:$B$16,"NCAP_TLIFE",$AX$10:$AX$16)),0,""))</f>
        <v/>
      </c>
      <c r="Y147" s="369" t="str">
        <f ca="1">IF($B147&lt;&gt;"PRC_RESID","",IF(Y$7=2005+OFFSET(COM_N_2012!$B$60,$AW147,SUMIF($B$10:$B$16,"NCAP_TLIFE",$AX$10:$AX$16)),0,""))</f>
        <v/>
      </c>
      <c r="Z147" s="369" t="str">
        <f ca="1">IF($B147&lt;&gt;"PRC_RESID","",IF(Z$7=2005+OFFSET(COM_N_2012!$B$60,$AW147,SUMIF($B$10:$B$16,"NCAP_TLIFE",$AX$10:$AX$16)),0,""))</f>
        <v/>
      </c>
      <c r="AA147" s="369" t="str">
        <f ca="1">IF($B147&lt;&gt;"PRC_RESID","",IF(AA$7=2005+OFFSET(COM_N_2012!$B$60,$AW147,SUMIF($B$10:$B$16,"NCAP_TLIFE",$AX$10:$AX$16)),0,""))</f>
        <v/>
      </c>
      <c r="AB147" s="369" t="str">
        <f ca="1">IF($B147&lt;&gt;"PRC_RESID","",IF(AB$7=2005+OFFSET(COM_N_2012!$B$60,$AW147,SUMIF($B$10:$B$16,"NCAP_TLIFE",$AX$10:$AX$16)),0,""))</f>
        <v/>
      </c>
      <c r="AC147" s="369" t="str">
        <f ca="1">IF($B147&lt;&gt;"PRC_RESID","",IF(AC$7=2005+OFFSET(COM_N_2012!$B$60,$AW147,SUMIF($B$10:$B$16,"NCAP_TLIFE",$AX$10:$AX$16)),0,""))</f>
        <v/>
      </c>
      <c r="AD147" s="369" t="str">
        <f ca="1">IF($B147&lt;&gt;"PRC_RESID","",IF(AD$7=2005+OFFSET(COM_N_2012!$B$60,$AW147,SUMIF($B$10:$B$16,"NCAP_TLIFE",$AX$10:$AX$16)),0,""))</f>
        <v/>
      </c>
      <c r="AE147" s="369" t="str">
        <f ca="1">IF($B147&lt;&gt;"PRC_RESID","",IF(AE$7=2005+OFFSET(COM_N_2012!$B$60,$AW147,SUMIF($B$10:$B$16,"NCAP_TLIFE",$AX$10:$AX$16)),0,""))</f>
        <v/>
      </c>
      <c r="AF147" s="369" t="str">
        <f ca="1">IF($B147&lt;&gt;"PRC_RESID","",IF(AF$7=2005+OFFSET(COM_N_2012!$B$60,$AW147,SUMIF($B$10:$B$16,"NCAP_TLIFE",$AX$10:$AX$16)),0,""))</f>
        <v/>
      </c>
      <c r="AG147" s="369" t="str">
        <f ca="1">IF($B147&lt;&gt;"PRC_RESID","",IF(AG$7=2005+OFFSET(COM_N_2012!$B$60,$AW147,SUMIF($B$10:$B$16,"NCAP_TLIFE",$AX$10:$AX$16)),0,""))</f>
        <v/>
      </c>
      <c r="AH147" s="369" t="str">
        <f ca="1">IF($B147&lt;&gt;"PRC_RESID","",IF(AH$7=2005+OFFSET(COM_N_2012!$B$60,$AW147,SUMIF($B$10:$B$16,"NCAP_TLIFE",$AX$10:$AX$16)),0,""))</f>
        <v/>
      </c>
      <c r="AI147" s="369" t="str">
        <f ca="1">IF($B147&lt;&gt;"PRC_RESID","",IF(AI$7=2005+OFFSET(COM_N_2012!$B$60,$AW147,SUMIF($B$10:$B$16,"NCAP_TLIFE",$AX$10:$AX$16)),0,""))</f>
        <v/>
      </c>
      <c r="AJ147" s="369" t="str">
        <f ca="1">IF($B147&lt;&gt;"PRC_RESID","",IF(AJ$7=2005+OFFSET(COM_N_2012!$B$60,$AW147,SUMIF($B$10:$B$16,"NCAP_TLIFE",$AX$10:$AX$16)),0,""))</f>
        <v/>
      </c>
      <c r="AK147" s="369" t="str">
        <f ca="1">IF($B147&lt;&gt;"PRC_RESID","",IF(AK$7=2005+OFFSET(COM_N_2012!$B$60,$AW147,SUMIF($B$10:$B$16,"NCAP_TLIFE",$AX$10:$AX$16)),0,""))</f>
        <v/>
      </c>
      <c r="AL147" s="369" t="str">
        <f ca="1">IF($B147&lt;&gt;"PRC_RESID","",IF(AL$7=2005+OFFSET(COM_N_2012!$B$60,$AW147,SUMIF($B$10:$B$16,"NCAP_TLIFE",$AX$10:$AX$16)),0,""))</f>
        <v/>
      </c>
      <c r="AM147" s="369" t="str">
        <f ca="1">IF($B147&lt;&gt;"PRC_RESID","",IF(AM$7=2005+OFFSET(COM_N_2012!$B$60,$AW147,SUMIF($B$10:$B$16,"NCAP_TLIFE",$AX$10:$AX$16)),0,""))</f>
        <v/>
      </c>
      <c r="AN147" s="369" t="str">
        <f ca="1">IF($B147&lt;&gt;"PRC_RESID","",IF(AN$7=2005+OFFSET(COM_N_2012!$B$60,$AW147,SUMIF($B$10:$B$16,"NCAP_TLIFE",$AX$10:$AX$16)),0,""))</f>
        <v/>
      </c>
      <c r="AO147" s="369" t="str">
        <f ca="1">IF($B147&lt;&gt;"PRC_RESID","",IF(AO$7=2005+OFFSET(COM_N_2012!$B$60,$AW147,SUMIF($B$10:$B$16,"NCAP_TLIFE",$AX$10:$AX$16)),0,""))</f>
        <v/>
      </c>
      <c r="AP147" s="369" t="str">
        <f ca="1">IF($B147&lt;&gt;"PRC_RESID","",IF(AP$7=2005+OFFSET(COM_N_2012!$B$60,$AW147,SUMIF($B$10:$B$16,"NCAP_TLIFE",$AX$10:$AX$16)),0,""))</f>
        <v/>
      </c>
      <c r="AQ147" s="369" t="str">
        <f ca="1">IF($B147&lt;&gt;"PRC_RESID","",IF(AQ$7=2005+OFFSET(COM_N_2012!$B$60,$AW147,SUMIF($B$10:$B$16,"NCAP_TLIFE",$AX$10:$AX$16)),0,""))</f>
        <v/>
      </c>
      <c r="AR147" s="369" t="str">
        <f ca="1">IF($B147&lt;&gt;"PRC_RESID","",IF(AR$7=2005+OFFSET(COM_N_2012!$B$60,$AW147,SUMIF($B$10:$B$16,"NCAP_TLIFE",$AX$10:$AX$16)),0,""))</f>
        <v/>
      </c>
      <c r="AS147" s="369" t="str">
        <f ca="1">IF($B147&lt;&gt;"PRC_RESID","",IF(AS$7=2005+OFFSET(COM_N_2012!$B$60,$AW147,SUMIF($B$10:$B$16,"NCAP_TLIFE",$AX$10:$AX$16)),0,""))</f>
        <v/>
      </c>
      <c r="AT147" s="369" t="str">
        <f ca="1">IF($B147&lt;&gt;"PRC_RESID","",IF(AT$7=2005+OFFSET(COM_N_2012!$B$60,$AW147,SUMIF($B$10:$B$16,"NCAP_TLIFE",$AX$10:$AX$16)),0,""))</f>
        <v/>
      </c>
      <c r="AU147" s="369" t="str">
        <f ca="1">IF($B147&lt;&gt;"PRC_RESID","",IF(AU$7=2005+OFFSET(COM_N_2012!$B$60,$AW147,SUMIF($B$10:$B$16,"NCAP_TLIFE",$AX$10:$AX$16)),0,""))</f>
        <v/>
      </c>
      <c r="AV147" s="304">
        <f>IF(AW146=COM_N_2012!$AK$121,AV146+1,AV146)</f>
        <v>3</v>
      </c>
      <c r="AW147" s="304">
        <f t="shared" ref="AW147:AW210" si="20">IF(AV147=AV146,AW146+1,1)</f>
        <v>8</v>
      </c>
    </row>
    <row r="148" spans="1:49">
      <c r="A148" s="304" t="str">
        <f ca="1">IF(LEFT(OFFSET(COM_N_2012!$A$60,AW148,0),2)="\I","*","")</f>
        <v/>
      </c>
      <c r="B148" s="369" t="str">
        <f t="shared" ca="1" si="19"/>
        <v>NCAP_TLIFE</v>
      </c>
      <c r="C148" s="369" t="str">
        <f ca="1">IF($A148="*","",OFFSET(COM_N_2012!$B$60,AW148,0))</f>
        <v>CNHCOA-E</v>
      </c>
      <c r="D148" s="369" t="str">
        <f t="shared" ref="D148:I157" ca="1" si="21">IF($A148="*","",VLOOKUP($B148,$B$10:$I$16,D$9,FALSE))</f>
        <v>-</v>
      </c>
      <c r="E148" s="369" t="str">
        <f t="shared" ca="1" si="21"/>
        <v>-</v>
      </c>
      <c r="F148" s="369" t="str">
        <f t="shared" ca="1" si="21"/>
        <v>-</v>
      </c>
      <c r="G148" s="369" t="str">
        <f t="shared" ca="1" si="21"/>
        <v>-</v>
      </c>
      <c r="H148" s="369" t="str">
        <f t="shared" ca="1" si="21"/>
        <v>-</v>
      </c>
      <c r="I148" s="370">
        <f t="shared" ca="1" si="21"/>
        <v>0</v>
      </c>
      <c r="J148" s="391">
        <f ca="1">IF($A148="*","",OFFSET(COM_N_2012!$B$60,AW148,SUMIF($B$10:$B$16,B148,$AX$10:$AX$16)))</f>
        <v>15</v>
      </c>
      <c r="K148" s="369" t="str">
        <f ca="1">IF($B148&lt;&gt;"PRC_RESID","",IF(K$7=2005+OFFSET(COM_N_2012!$B$60,$AW148,SUMIF($B$10:$B$16,"NCAP_TLIFE",$AX$10:$AX$16)),0,""))</f>
        <v/>
      </c>
      <c r="L148" s="369" t="str">
        <f ca="1">IF($B148&lt;&gt;"PRC_RESID","",IF(L$7=2005+OFFSET(COM_N_2012!$B$60,$AW148,SUMIF($B$10:$B$16,"NCAP_TLIFE",$AX$10:$AX$16)),0,""))</f>
        <v/>
      </c>
      <c r="M148" s="369" t="str">
        <f ca="1">IF($B148&lt;&gt;"PRC_RESID","",IF(M$7=2005+OFFSET(COM_N_2012!$B$60,$AW148,SUMIF($B$10:$B$16,"NCAP_TLIFE",$AX$10:$AX$16)),0,""))</f>
        <v/>
      </c>
      <c r="N148" s="369" t="str">
        <f ca="1">IF($B148&lt;&gt;"PRC_RESID","",IF(N$7=2005+OFFSET(COM_N_2012!$B$60,$AW148,SUMIF($B$10:$B$16,"NCAP_TLIFE",$AX$10:$AX$16)),0,""))</f>
        <v/>
      </c>
      <c r="O148" s="369" t="str">
        <f ca="1">IF($B148&lt;&gt;"PRC_RESID","",IF(O$7=2005+OFFSET(COM_N_2012!$B$60,$AW148,SUMIF($B$10:$B$16,"NCAP_TLIFE",$AX$10:$AX$16)),0,""))</f>
        <v/>
      </c>
      <c r="P148" s="369" t="str">
        <f ca="1">IF($B148&lt;&gt;"PRC_RESID","",IF(P$7=2005+OFFSET(COM_N_2012!$B$60,$AW148,SUMIF($B$10:$B$16,"NCAP_TLIFE",$AX$10:$AX$16)),0,""))</f>
        <v/>
      </c>
      <c r="Q148" s="369" t="str">
        <f ca="1">IF($B148&lt;&gt;"PRC_RESID","",IF(Q$7=2005+OFFSET(COM_N_2012!$B$60,$AW148,SUMIF($B$10:$B$16,"NCAP_TLIFE",$AX$10:$AX$16)),0,""))</f>
        <v/>
      </c>
      <c r="R148" s="369" t="str">
        <f ca="1">IF($B148&lt;&gt;"PRC_RESID","",IF(R$7=2005+OFFSET(COM_N_2012!$B$60,$AW148,SUMIF($B$10:$B$16,"NCAP_TLIFE",$AX$10:$AX$16)),0,""))</f>
        <v/>
      </c>
      <c r="S148" s="369" t="str">
        <f ca="1">IF($B148&lt;&gt;"PRC_RESID","",IF(S$7=2005+OFFSET(COM_N_2012!$B$60,$AW148,SUMIF($B$10:$B$16,"NCAP_TLIFE",$AX$10:$AX$16)),0,""))</f>
        <v/>
      </c>
      <c r="T148" s="369" t="str">
        <f ca="1">IF($B148&lt;&gt;"PRC_RESID","",IF(T$7=2005+OFFSET(COM_N_2012!$B$60,$AW148,SUMIF($B$10:$B$16,"NCAP_TLIFE",$AX$10:$AX$16)),0,""))</f>
        <v/>
      </c>
      <c r="U148" s="369" t="str">
        <f ca="1">IF($B148&lt;&gt;"PRC_RESID","",IF(U$7=2005+OFFSET(COM_N_2012!$B$60,$AW148,SUMIF($B$10:$B$16,"NCAP_TLIFE",$AX$10:$AX$16)),0,""))</f>
        <v/>
      </c>
      <c r="V148" s="369" t="str">
        <f ca="1">IF($B148&lt;&gt;"PRC_RESID","",IF(V$7=2005+OFFSET(COM_N_2012!$B$60,$AW148,SUMIF($B$10:$B$16,"NCAP_TLIFE",$AX$10:$AX$16)),0,""))</f>
        <v/>
      </c>
      <c r="W148" s="369" t="str">
        <f ca="1">IF($B148&lt;&gt;"PRC_RESID","",IF(W$7=2005+OFFSET(COM_N_2012!$B$60,$AW148,SUMIF($B$10:$B$16,"NCAP_TLIFE",$AX$10:$AX$16)),0,""))</f>
        <v/>
      </c>
      <c r="X148" s="369" t="str">
        <f ca="1">IF($B148&lt;&gt;"PRC_RESID","",IF(X$7=2005+OFFSET(COM_N_2012!$B$60,$AW148,SUMIF($B$10:$B$16,"NCAP_TLIFE",$AX$10:$AX$16)),0,""))</f>
        <v/>
      </c>
      <c r="Y148" s="369" t="str">
        <f ca="1">IF($B148&lt;&gt;"PRC_RESID","",IF(Y$7=2005+OFFSET(COM_N_2012!$B$60,$AW148,SUMIF($B$10:$B$16,"NCAP_TLIFE",$AX$10:$AX$16)),0,""))</f>
        <v/>
      </c>
      <c r="Z148" s="369" t="str">
        <f ca="1">IF($B148&lt;&gt;"PRC_RESID","",IF(Z$7=2005+OFFSET(COM_N_2012!$B$60,$AW148,SUMIF($B$10:$B$16,"NCAP_TLIFE",$AX$10:$AX$16)),0,""))</f>
        <v/>
      </c>
      <c r="AA148" s="369" t="str">
        <f ca="1">IF($B148&lt;&gt;"PRC_RESID","",IF(AA$7=2005+OFFSET(COM_N_2012!$B$60,$AW148,SUMIF($B$10:$B$16,"NCAP_TLIFE",$AX$10:$AX$16)),0,""))</f>
        <v/>
      </c>
      <c r="AB148" s="369" t="str">
        <f ca="1">IF($B148&lt;&gt;"PRC_RESID","",IF(AB$7=2005+OFFSET(COM_N_2012!$B$60,$AW148,SUMIF($B$10:$B$16,"NCAP_TLIFE",$AX$10:$AX$16)),0,""))</f>
        <v/>
      </c>
      <c r="AC148" s="369" t="str">
        <f ca="1">IF($B148&lt;&gt;"PRC_RESID","",IF(AC$7=2005+OFFSET(COM_N_2012!$B$60,$AW148,SUMIF($B$10:$B$16,"NCAP_TLIFE",$AX$10:$AX$16)),0,""))</f>
        <v/>
      </c>
      <c r="AD148" s="369" t="str">
        <f ca="1">IF($B148&lt;&gt;"PRC_RESID","",IF(AD$7=2005+OFFSET(COM_N_2012!$B$60,$AW148,SUMIF($B$10:$B$16,"NCAP_TLIFE",$AX$10:$AX$16)),0,""))</f>
        <v/>
      </c>
      <c r="AE148" s="369" t="str">
        <f ca="1">IF($B148&lt;&gt;"PRC_RESID","",IF(AE$7=2005+OFFSET(COM_N_2012!$B$60,$AW148,SUMIF($B$10:$B$16,"NCAP_TLIFE",$AX$10:$AX$16)),0,""))</f>
        <v/>
      </c>
      <c r="AF148" s="369" t="str">
        <f ca="1">IF($B148&lt;&gt;"PRC_RESID","",IF(AF$7=2005+OFFSET(COM_N_2012!$B$60,$AW148,SUMIF($B$10:$B$16,"NCAP_TLIFE",$AX$10:$AX$16)),0,""))</f>
        <v/>
      </c>
      <c r="AG148" s="369" t="str">
        <f ca="1">IF($B148&lt;&gt;"PRC_RESID","",IF(AG$7=2005+OFFSET(COM_N_2012!$B$60,$AW148,SUMIF($B$10:$B$16,"NCAP_TLIFE",$AX$10:$AX$16)),0,""))</f>
        <v/>
      </c>
      <c r="AH148" s="369" t="str">
        <f ca="1">IF($B148&lt;&gt;"PRC_RESID","",IF(AH$7=2005+OFFSET(COM_N_2012!$B$60,$AW148,SUMIF($B$10:$B$16,"NCAP_TLIFE",$AX$10:$AX$16)),0,""))</f>
        <v/>
      </c>
      <c r="AI148" s="369" t="str">
        <f ca="1">IF($B148&lt;&gt;"PRC_RESID","",IF(AI$7=2005+OFFSET(COM_N_2012!$B$60,$AW148,SUMIF($B$10:$B$16,"NCAP_TLIFE",$AX$10:$AX$16)),0,""))</f>
        <v/>
      </c>
      <c r="AJ148" s="369" t="str">
        <f ca="1">IF($B148&lt;&gt;"PRC_RESID","",IF(AJ$7=2005+OFFSET(COM_N_2012!$B$60,$AW148,SUMIF($B$10:$B$16,"NCAP_TLIFE",$AX$10:$AX$16)),0,""))</f>
        <v/>
      </c>
      <c r="AK148" s="369" t="str">
        <f ca="1">IF($B148&lt;&gt;"PRC_RESID","",IF(AK$7=2005+OFFSET(COM_N_2012!$B$60,$AW148,SUMIF($B$10:$B$16,"NCAP_TLIFE",$AX$10:$AX$16)),0,""))</f>
        <v/>
      </c>
      <c r="AL148" s="369" t="str">
        <f ca="1">IF($B148&lt;&gt;"PRC_RESID","",IF(AL$7=2005+OFFSET(COM_N_2012!$B$60,$AW148,SUMIF($B$10:$B$16,"NCAP_TLIFE",$AX$10:$AX$16)),0,""))</f>
        <v/>
      </c>
      <c r="AM148" s="369" t="str">
        <f ca="1">IF($B148&lt;&gt;"PRC_RESID","",IF(AM$7=2005+OFFSET(COM_N_2012!$B$60,$AW148,SUMIF($B$10:$B$16,"NCAP_TLIFE",$AX$10:$AX$16)),0,""))</f>
        <v/>
      </c>
      <c r="AN148" s="369" t="str">
        <f ca="1">IF($B148&lt;&gt;"PRC_RESID","",IF(AN$7=2005+OFFSET(COM_N_2012!$B$60,$AW148,SUMIF($B$10:$B$16,"NCAP_TLIFE",$AX$10:$AX$16)),0,""))</f>
        <v/>
      </c>
      <c r="AO148" s="369" t="str">
        <f ca="1">IF($B148&lt;&gt;"PRC_RESID","",IF(AO$7=2005+OFFSET(COM_N_2012!$B$60,$AW148,SUMIF($B$10:$B$16,"NCAP_TLIFE",$AX$10:$AX$16)),0,""))</f>
        <v/>
      </c>
      <c r="AP148" s="369" t="str">
        <f ca="1">IF($B148&lt;&gt;"PRC_RESID","",IF(AP$7=2005+OFFSET(COM_N_2012!$B$60,$AW148,SUMIF($B$10:$B$16,"NCAP_TLIFE",$AX$10:$AX$16)),0,""))</f>
        <v/>
      </c>
      <c r="AQ148" s="369" t="str">
        <f ca="1">IF($B148&lt;&gt;"PRC_RESID","",IF(AQ$7=2005+OFFSET(COM_N_2012!$B$60,$AW148,SUMIF($B$10:$B$16,"NCAP_TLIFE",$AX$10:$AX$16)),0,""))</f>
        <v/>
      </c>
      <c r="AR148" s="369" t="str">
        <f ca="1">IF($B148&lt;&gt;"PRC_RESID","",IF(AR$7=2005+OFFSET(COM_N_2012!$B$60,$AW148,SUMIF($B$10:$B$16,"NCAP_TLIFE",$AX$10:$AX$16)),0,""))</f>
        <v/>
      </c>
      <c r="AS148" s="369" t="str">
        <f ca="1">IF($B148&lt;&gt;"PRC_RESID","",IF(AS$7=2005+OFFSET(COM_N_2012!$B$60,$AW148,SUMIF($B$10:$B$16,"NCAP_TLIFE",$AX$10:$AX$16)),0,""))</f>
        <v/>
      </c>
      <c r="AT148" s="369" t="str">
        <f ca="1">IF($B148&lt;&gt;"PRC_RESID","",IF(AT$7=2005+OFFSET(COM_N_2012!$B$60,$AW148,SUMIF($B$10:$B$16,"NCAP_TLIFE",$AX$10:$AX$16)),0,""))</f>
        <v/>
      </c>
      <c r="AU148" s="369" t="str">
        <f ca="1">IF($B148&lt;&gt;"PRC_RESID","",IF(AU$7=2005+OFFSET(COM_N_2012!$B$60,$AW148,SUMIF($B$10:$B$16,"NCAP_TLIFE",$AX$10:$AX$16)),0,""))</f>
        <v/>
      </c>
      <c r="AV148" s="304">
        <f>IF(AW147=COM_N_2012!$AK$121,AV147+1,AV147)</f>
        <v>3</v>
      </c>
      <c r="AW148" s="304">
        <f t="shared" si="20"/>
        <v>9</v>
      </c>
    </row>
    <row r="149" spans="1:49">
      <c r="A149" s="304" t="str">
        <f ca="1">IF(LEFT(OFFSET(COM_N_2012!$A$60,AW149,0),2)="\I","*","")</f>
        <v/>
      </c>
      <c r="B149" s="369" t="str">
        <f t="shared" ca="1" si="19"/>
        <v>NCAP_TLIFE</v>
      </c>
      <c r="C149" s="369" t="str">
        <f ca="1">IF($A149="*","",OFFSET(COM_N_2012!$B$60,AW149,0))</f>
        <v>CNHELC-E</v>
      </c>
      <c r="D149" s="369" t="str">
        <f t="shared" ca="1" si="21"/>
        <v>-</v>
      </c>
      <c r="E149" s="369" t="str">
        <f t="shared" ca="1" si="21"/>
        <v>-</v>
      </c>
      <c r="F149" s="369" t="str">
        <f t="shared" ca="1" si="21"/>
        <v>-</v>
      </c>
      <c r="G149" s="369" t="str">
        <f t="shared" ca="1" si="21"/>
        <v>-</v>
      </c>
      <c r="H149" s="369" t="str">
        <f t="shared" ca="1" si="21"/>
        <v>-</v>
      </c>
      <c r="I149" s="370">
        <f t="shared" ca="1" si="21"/>
        <v>0</v>
      </c>
      <c r="J149" s="391">
        <f ca="1">IF($A149="*","",OFFSET(COM_N_2012!$B$60,AW149,SUMIF($B$10:$B$16,B149,$AX$10:$AX$16)))</f>
        <v>15</v>
      </c>
      <c r="K149" s="369" t="str">
        <f ca="1">IF($B149&lt;&gt;"PRC_RESID","",IF(K$7=2005+OFFSET(COM_N_2012!$B$60,$AW149,SUMIF($B$10:$B$16,"NCAP_TLIFE",$AX$10:$AX$16)),0,""))</f>
        <v/>
      </c>
      <c r="L149" s="369" t="str">
        <f ca="1">IF($B149&lt;&gt;"PRC_RESID","",IF(L$7=2005+OFFSET(COM_N_2012!$B$60,$AW149,SUMIF($B$10:$B$16,"NCAP_TLIFE",$AX$10:$AX$16)),0,""))</f>
        <v/>
      </c>
      <c r="M149" s="369" t="str">
        <f ca="1">IF($B149&lt;&gt;"PRC_RESID","",IF(M$7=2005+OFFSET(COM_N_2012!$B$60,$AW149,SUMIF($B$10:$B$16,"NCAP_TLIFE",$AX$10:$AX$16)),0,""))</f>
        <v/>
      </c>
      <c r="N149" s="369" t="str">
        <f ca="1">IF($B149&lt;&gt;"PRC_RESID","",IF(N$7=2005+OFFSET(COM_N_2012!$B$60,$AW149,SUMIF($B$10:$B$16,"NCAP_TLIFE",$AX$10:$AX$16)),0,""))</f>
        <v/>
      </c>
      <c r="O149" s="369" t="str">
        <f ca="1">IF($B149&lt;&gt;"PRC_RESID","",IF(O$7=2005+OFFSET(COM_N_2012!$B$60,$AW149,SUMIF($B$10:$B$16,"NCAP_TLIFE",$AX$10:$AX$16)),0,""))</f>
        <v/>
      </c>
      <c r="P149" s="369" t="str">
        <f ca="1">IF($B149&lt;&gt;"PRC_RESID","",IF(P$7=2005+OFFSET(COM_N_2012!$B$60,$AW149,SUMIF($B$10:$B$16,"NCAP_TLIFE",$AX$10:$AX$16)),0,""))</f>
        <v/>
      </c>
      <c r="Q149" s="369" t="str">
        <f ca="1">IF($B149&lt;&gt;"PRC_RESID","",IF(Q$7=2005+OFFSET(COM_N_2012!$B$60,$AW149,SUMIF($B$10:$B$16,"NCAP_TLIFE",$AX$10:$AX$16)),0,""))</f>
        <v/>
      </c>
      <c r="R149" s="369" t="str">
        <f ca="1">IF($B149&lt;&gt;"PRC_RESID","",IF(R$7=2005+OFFSET(COM_N_2012!$B$60,$AW149,SUMIF($B$10:$B$16,"NCAP_TLIFE",$AX$10:$AX$16)),0,""))</f>
        <v/>
      </c>
      <c r="S149" s="369" t="str">
        <f ca="1">IF($B149&lt;&gt;"PRC_RESID","",IF(S$7=2005+OFFSET(COM_N_2012!$B$60,$AW149,SUMIF($B$10:$B$16,"NCAP_TLIFE",$AX$10:$AX$16)),0,""))</f>
        <v/>
      </c>
      <c r="T149" s="369" t="str">
        <f ca="1">IF($B149&lt;&gt;"PRC_RESID","",IF(T$7=2005+OFFSET(COM_N_2012!$B$60,$AW149,SUMIF($B$10:$B$16,"NCAP_TLIFE",$AX$10:$AX$16)),0,""))</f>
        <v/>
      </c>
      <c r="U149" s="369" t="str">
        <f ca="1">IF($B149&lt;&gt;"PRC_RESID","",IF(U$7=2005+OFFSET(COM_N_2012!$B$60,$AW149,SUMIF($B$10:$B$16,"NCAP_TLIFE",$AX$10:$AX$16)),0,""))</f>
        <v/>
      </c>
      <c r="V149" s="369" t="str">
        <f ca="1">IF($B149&lt;&gt;"PRC_RESID","",IF(V$7=2005+OFFSET(COM_N_2012!$B$60,$AW149,SUMIF($B$10:$B$16,"NCAP_TLIFE",$AX$10:$AX$16)),0,""))</f>
        <v/>
      </c>
      <c r="W149" s="369" t="str">
        <f ca="1">IF($B149&lt;&gt;"PRC_RESID","",IF(W$7=2005+OFFSET(COM_N_2012!$B$60,$AW149,SUMIF($B$10:$B$16,"NCAP_TLIFE",$AX$10:$AX$16)),0,""))</f>
        <v/>
      </c>
      <c r="X149" s="369" t="str">
        <f ca="1">IF($B149&lt;&gt;"PRC_RESID","",IF(X$7=2005+OFFSET(COM_N_2012!$B$60,$AW149,SUMIF($B$10:$B$16,"NCAP_TLIFE",$AX$10:$AX$16)),0,""))</f>
        <v/>
      </c>
      <c r="Y149" s="369" t="str">
        <f ca="1">IF($B149&lt;&gt;"PRC_RESID","",IF(Y$7=2005+OFFSET(COM_N_2012!$B$60,$AW149,SUMIF($B$10:$B$16,"NCAP_TLIFE",$AX$10:$AX$16)),0,""))</f>
        <v/>
      </c>
      <c r="Z149" s="369" t="str">
        <f ca="1">IF($B149&lt;&gt;"PRC_RESID","",IF(Z$7=2005+OFFSET(COM_N_2012!$B$60,$AW149,SUMIF($B$10:$B$16,"NCAP_TLIFE",$AX$10:$AX$16)),0,""))</f>
        <v/>
      </c>
      <c r="AA149" s="369" t="str">
        <f ca="1">IF($B149&lt;&gt;"PRC_RESID","",IF(AA$7=2005+OFFSET(COM_N_2012!$B$60,$AW149,SUMIF($B$10:$B$16,"NCAP_TLIFE",$AX$10:$AX$16)),0,""))</f>
        <v/>
      </c>
      <c r="AB149" s="369" t="str">
        <f ca="1">IF($B149&lt;&gt;"PRC_RESID","",IF(AB$7=2005+OFFSET(COM_N_2012!$B$60,$AW149,SUMIF($B$10:$B$16,"NCAP_TLIFE",$AX$10:$AX$16)),0,""))</f>
        <v/>
      </c>
      <c r="AC149" s="369" t="str">
        <f ca="1">IF($B149&lt;&gt;"PRC_RESID","",IF(AC$7=2005+OFFSET(COM_N_2012!$B$60,$AW149,SUMIF($B$10:$B$16,"NCAP_TLIFE",$AX$10:$AX$16)),0,""))</f>
        <v/>
      </c>
      <c r="AD149" s="369" t="str">
        <f ca="1">IF($B149&lt;&gt;"PRC_RESID","",IF(AD$7=2005+OFFSET(COM_N_2012!$B$60,$AW149,SUMIF($B$10:$B$16,"NCAP_TLIFE",$AX$10:$AX$16)),0,""))</f>
        <v/>
      </c>
      <c r="AE149" s="369" t="str">
        <f ca="1">IF($B149&lt;&gt;"PRC_RESID","",IF(AE$7=2005+OFFSET(COM_N_2012!$B$60,$AW149,SUMIF($B$10:$B$16,"NCAP_TLIFE",$AX$10:$AX$16)),0,""))</f>
        <v/>
      </c>
      <c r="AF149" s="369" t="str">
        <f ca="1">IF($B149&lt;&gt;"PRC_RESID","",IF(AF$7=2005+OFFSET(COM_N_2012!$B$60,$AW149,SUMIF($B$10:$B$16,"NCAP_TLIFE",$AX$10:$AX$16)),0,""))</f>
        <v/>
      </c>
      <c r="AG149" s="369" t="str">
        <f ca="1">IF($B149&lt;&gt;"PRC_RESID","",IF(AG$7=2005+OFFSET(COM_N_2012!$B$60,$AW149,SUMIF($B$10:$B$16,"NCAP_TLIFE",$AX$10:$AX$16)),0,""))</f>
        <v/>
      </c>
      <c r="AH149" s="369" t="str">
        <f ca="1">IF($B149&lt;&gt;"PRC_RESID","",IF(AH$7=2005+OFFSET(COM_N_2012!$B$60,$AW149,SUMIF($B$10:$B$16,"NCAP_TLIFE",$AX$10:$AX$16)),0,""))</f>
        <v/>
      </c>
      <c r="AI149" s="369" t="str">
        <f ca="1">IF($B149&lt;&gt;"PRC_RESID","",IF(AI$7=2005+OFFSET(COM_N_2012!$B$60,$AW149,SUMIF($B$10:$B$16,"NCAP_TLIFE",$AX$10:$AX$16)),0,""))</f>
        <v/>
      </c>
      <c r="AJ149" s="369" t="str">
        <f ca="1">IF($B149&lt;&gt;"PRC_RESID","",IF(AJ$7=2005+OFFSET(COM_N_2012!$B$60,$AW149,SUMIF($B$10:$B$16,"NCAP_TLIFE",$AX$10:$AX$16)),0,""))</f>
        <v/>
      </c>
      <c r="AK149" s="369" t="str">
        <f ca="1">IF($B149&lt;&gt;"PRC_RESID","",IF(AK$7=2005+OFFSET(COM_N_2012!$B$60,$AW149,SUMIF($B$10:$B$16,"NCAP_TLIFE",$AX$10:$AX$16)),0,""))</f>
        <v/>
      </c>
      <c r="AL149" s="369" t="str">
        <f ca="1">IF($B149&lt;&gt;"PRC_RESID","",IF(AL$7=2005+OFFSET(COM_N_2012!$B$60,$AW149,SUMIF($B$10:$B$16,"NCAP_TLIFE",$AX$10:$AX$16)),0,""))</f>
        <v/>
      </c>
      <c r="AM149" s="369" t="str">
        <f ca="1">IF($B149&lt;&gt;"PRC_RESID","",IF(AM$7=2005+OFFSET(COM_N_2012!$B$60,$AW149,SUMIF($B$10:$B$16,"NCAP_TLIFE",$AX$10:$AX$16)),0,""))</f>
        <v/>
      </c>
      <c r="AN149" s="369" t="str">
        <f ca="1">IF($B149&lt;&gt;"PRC_RESID","",IF(AN$7=2005+OFFSET(COM_N_2012!$B$60,$AW149,SUMIF($B$10:$B$16,"NCAP_TLIFE",$AX$10:$AX$16)),0,""))</f>
        <v/>
      </c>
      <c r="AO149" s="369" t="str">
        <f ca="1">IF($B149&lt;&gt;"PRC_RESID","",IF(AO$7=2005+OFFSET(COM_N_2012!$B$60,$AW149,SUMIF($B$10:$B$16,"NCAP_TLIFE",$AX$10:$AX$16)),0,""))</f>
        <v/>
      </c>
      <c r="AP149" s="369" t="str">
        <f ca="1">IF($B149&lt;&gt;"PRC_RESID","",IF(AP$7=2005+OFFSET(COM_N_2012!$B$60,$AW149,SUMIF($B$10:$B$16,"NCAP_TLIFE",$AX$10:$AX$16)),0,""))</f>
        <v/>
      </c>
      <c r="AQ149" s="369" t="str">
        <f ca="1">IF($B149&lt;&gt;"PRC_RESID","",IF(AQ$7=2005+OFFSET(COM_N_2012!$B$60,$AW149,SUMIF($B$10:$B$16,"NCAP_TLIFE",$AX$10:$AX$16)),0,""))</f>
        <v/>
      </c>
      <c r="AR149" s="369" t="str">
        <f ca="1">IF($B149&lt;&gt;"PRC_RESID","",IF(AR$7=2005+OFFSET(COM_N_2012!$B$60,$AW149,SUMIF($B$10:$B$16,"NCAP_TLIFE",$AX$10:$AX$16)),0,""))</f>
        <v/>
      </c>
      <c r="AS149" s="369" t="str">
        <f ca="1">IF($B149&lt;&gt;"PRC_RESID","",IF(AS$7=2005+OFFSET(COM_N_2012!$B$60,$AW149,SUMIF($B$10:$B$16,"NCAP_TLIFE",$AX$10:$AX$16)),0,""))</f>
        <v/>
      </c>
      <c r="AT149" s="369" t="str">
        <f ca="1">IF($B149&lt;&gt;"PRC_RESID","",IF(AT$7=2005+OFFSET(COM_N_2012!$B$60,$AW149,SUMIF($B$10:$B$16,"NCAP_TLIFE",$AX$10:$AX$16)),0,""))</f>
        <v/>
      </c>
      <c r="AU149" s="369" t="str">
        <f ca="1">IF($B149&lt;&gt;"PRC_RESID","",IF(AU$7=2005+OFFSET(COM_N_2012!$B$60,$AW149,SUMIF($B$10:$B$16,"NCAP_TLIFE",$AX$10:$AX$16)),0,""))</f>
        <v/>
      </c>
      <c r="AV149" s="304">
        <f>IF(AW148=COM_N_2012!$AK$121,AV148+1,AV148)</f>
        <v>3</v>
      </c>
      <c r="AW149" s="304">
        <f t="shared" si="20"/>
        <v>10</v>
      </c>
    </row>
    <row r="150" spans="1:49">
      <c r="A150" s="304" t="str">
        <f ca="1">IF(LEFT(OFFSET(COM_N_2012!$A$60,AW150,0),2)="\I","*","")</f>
        <v/>
      </c>
      <c r="B150" s="369" t="str">
        <f t="shared" ca="1" si="19"/>
        <v>NCAP_TLIFE</v>
      </c>
      <c r="C150" s="369" t="str">
        <f ca="1">IF($A150="*","",OFFSET(COM_N_2012!$B$60,AW150,0))</f>
        <v>CNHGAS-E</v>
      </c>
      <c r="D150" s="369" t="str">
        <f t="shared" ca="1" si="21"/>
        <v>-</v>
      </c>
      <c r="E150" s="369" t="str">
        <f t="shared" ca="1" si="21"/>
        <v>-</v>
      </c>
      <c r="F150" s="369" t="str">
        <f t="shared" ca="1" si="21"/>
        <v>-</v>
      </c>
      <c r="G150" s="369" t="str">
        <f t="shared" ca="1" si="21"/>
        <v>-</v>
      </c>
      <c r="H150" s="369" t="str">
        <f t="shared" ca="1" si="21"/>
        <v>-</v>
      </c>
      <c r="I150" s="370">
        <f t="shared" ca="1" si="21"/>
        <v>0</v>
      </c>
      <c r="J150" s="391">
        <f ca="1">IF($A150="*","",OFFSET(COM_N_2012!$B$60,AW150,SUMIF($B$10:$B$16,B150,$AX$10:$AX$16)))</f>
        <v>15</v>
      </c>
      <c r="K150" s="369" t="str">
        <f ca="1">IF($B150&lt;&gt;"PRC_RESID","",IF(K$7=2005+OFFSET(COM_N_2012!$B$60,$AW150,SUMIF($B$10:$B$16,"NCAP_TLIFE",$AX$10:$AX$16)),0,""))</f>
        <v/>
      </c>
      <c r="L150" s="369" t="str">
        <f ca="1">IF($B150&lt;&gt;"PRC_RESID","",IF(L$7=2005+OFFSET(COM_N_2012!$B$60,$AW150,SUMIF($B$10:$B$16,"NCAP_TLIFE",$AX$10:$AX$16)),0,""))</f>
        <v/>
      </c>
      <c r="M150" s="369" t="str">
        <f ca="1">IF($B150&lt;&gt;"PRC_RESID","",IF(M$7=2005+OFFSET(COM_N_2012!$B$60,$AW150,SUMIF($B$10:$B$16,"NCAP_TLIFE",$AX$10:$AX$16)),0,""))</f>
        <v/>
      </c>
      <c r="N150" s="369" t="str">
        <f ca="1">IF($B150&lt;&gt;"PRC_RESID","",IF(N$7=2005+OFFSET(COM_N_2012!$B$60,$AW150,SUMIF($B$10:$B$16,"NCAP_TLIFE",$AX$10:$AX$16)),0,""))</f>
        <v/>
      </c>
      <c r="O150" s="369" t="str">
        <f ca="1">IF($B150&lt;&gt;"PRC_RESID","",IF(O$7=2005+OFFSET(COM_N_2012!$B$60,$AW150,SUMIF($B$10:$B$16,"NCAP_TLIFE",$AX$10:$AX$16)),0,""))</f>
        <v/>
      </c>
      <c r="P150" s="369" t="str">
        <f ca="1">IF($B150&lt;&gt;"PRC_RESID","",IF(P$7=2005+OFFSET(COM_N_2012!$B$60,$AW150,SUMIF($B$10:$B$16,"NCAP_TLIFE",$AX$10:$AX$16)),0,""))</f>
        <v/>
      </c>
      <c r="Q150" s="369" t="str">
        <f ca="1">IF($B150&lt;&gt;"PRC_RESID","",IF(Q$7=2005+OFFSET(COM_N_2012!$B$60,$AW150,SUMIF($B$10:$B$16,"NCAP_TLIFE",$AX$10:$AX$16)),0,""))</f>
        <v/>
      </c>
      <c r="R150" s="369" t="str">
        <f ca="1">IF($B150&lt;&gt;"PRC_RESID","",IF(R$7=2005+OFFSET(COM_N_2012!$B$60,$AW150,SUMIF($B$10:$B$16,"NCAP_TLIFE",$AX$10:$AX$16)),0,""))</f>
        <v/>
      </c>
      <c r="S150" s="369" t="str">
        <f ca="1">IF($B150&lt;&gt;"PRC_RESID","",IF(S$7=2005+OFFSET(COM_N_2012!$B$60,$AW150,SUMIF($B$10:$B$16,"NCAP_TLIFE",$AX$10:$AX$16)),0,""))</f>
        <v/>
      </c>
      <c r="T150" s="369" t="str">
        <f ca="1">IF($B150&lt;&gt;"PRC_RESID","",IF(T$7=2005+OFFSET(COM_N_2012!$B$60,$AW150,SUMIF($B$10:$B$16,"NCAP_TLIFE",$AX$10:$AX$16)),0,""))</f>
        <v/>
      </c>
      <c r="U150" s="369" t="str">
        <f ca="1">IF($B150&lt;&gt;"PRC_RESID","",IF(U$7=2005+OFFSET(COM_N_2012!$B$60,$AW150,SUMIF($B$10:$B$16,"NCAP_TLIFE",$AX$10:$AX$16)),0,""))</f>
        <v/>
      </c>
      <c r="V150" s="369" t="str">
        <f ca="1">IF($B150&lt;&gt;"PRC_RESID","",IF(V$7=2005+OFFSET(COM_N_2012!$B$60,$AW150,SUMIF($B$10:$B$16,"NCAP_TLIFE",$AX$10:$AX$16)),0,""))</f>
        <v/>
      </c>
      <c r="W150" s="369" t="str">
        <f ca="1">IF($B150&lt;&gt;"PRC_RESID","",IF(W$7=2005+OFFSET(COM_N_2012!$B$60,$AW150,SUMIF($B$10:$B$16,"NCAP_TLIFE",$AX$10:$AX$16)),0,""))</f>
        <v/>
      </c>
      <c r="X150" s="369" t="str">
        <f ca="1">IF($B150&lt;&gt;"PRC_RESID","",IF(X$7=2005+OFFSET(COM_N_2012!$B$60,$AW150,SUMIF($B$10:$B$16,"NCAP_TLIFE",$AX$10:$AX$16)),0,""))</f>
        <v/>
      </c>
      <c r="Y150" s="369" t="str">
        <f ca="1">IF($B150&lt;&gt;"PRC_RESID","",IF(Y$7=2005+OFFSET(COM_N_2012!$B$60,$AW150,SUMIF($B$10:$B$16,"NCAP_TLIFE",$AX$10:$AX$16)),0,""))</f>
        <v/>
      </c>
      <c r="Z150" s="369" t="str">
        <f ca="1">IF($B150&lt;&gt;"PRC_RESID","",IF(Z$7=2005+OFFSET(COM_N_2012!$B$60,$AW150,SUMIF($B$10:$B$16,"NCAP_TLIFE",$AX$10:$AX$16)),0,""))</f>
        <v/>
      </c>
      <c r="AA150" s="369" t="str">
        <f ca="1">IF($B150&lt;&gt;"PRC_RESID","",IF(AA$7=2005+OFFSET(COM_N_2012!$B$60,$AW150,SUMIF($B$10:$B$16,"NCAP_TLIFE",$AX$10:$AX$16)),0,""))</f>
        <v/>
      </c>
      <c r="AB150" s="369" t="str">
        <f ca="1">IF($B150&lt;&gt;"PRC_RESID","",IF(AB$7=2005+OFFSET(COM_N_2012!$B$60,$AW150,SUMIF($B$10:$B$16,"NCAP_TLIFE",$AX$10:$AX$16)),0,""))</f>
        <v/>
      </c>
      <c r="AC150" s="369" t="str">
        <f ca="1">IF($B150&lt;&gt;"PRC_RESID","",IF(AC$7=2005+OFFSET(COM_N_2012!$B$60,$AW150,SUMIF($B$10:$B$16,"NCAP_TLIFE",$AX$10:$AX$16)),0,""))</f>
        <v/>
      </c>
      <c r="AD150" s="369" t="str">
        <f ca="1">IF($B150&lt;&gt;"PRC_RESID","",IF(AD$7=2005+OFFSET(COM_N_2012!$B$60,$AW150,SUMIF($B$10:$B$16,"NCAP_TLIFE",$AX$10:$AX$16)),0,""))</f>
        <v/>
      </c>
      <c r="AE150" s="369" t="str">
        <f ca="1">IF($B150&lt;&gt;"PRC_RESID","",IF(AE$7=2005+OFFSET(COM_N_2012!$B$60,$AW150,SUMIF($B$10:$B$16,"NCAP_TLIFE",$AX$10:$AX$16)),0,""))</f>
        <v/>
      </c>
      <c r="AF150" s="369" t="str">
        <f ca="1">IF($B150&lt;&gt;"PRC_RESID","",IF(AF$7=2005+OFFSET(COM_N_2012!$B$60,$AW150,SUMIF($B$10:$B$16,"NCAP_TLIFE",$AX$10:$AX$16)),0,""))</f>
        <v/>
      </c>
      <c r="AG150" s="369" t="str">
        <f ca="1">IF($B150&lt;&gt;"PRC_RESID","",IF(AG$7=2005+OFFSET(COM_N_2012!$B$60,$AW150,SUMIF($B$10:$B$16,"NCAP_TLIFE",$AX$10:$AX$16)),0,""))</f>
        <v/>
      </c>
      <c r="AH150" s="369" t="str">
        <f ca="1">IF($B150&lt;&gt;"PRC_RESID","",IF(AH$7=2005+OFFSET(COM_N_2012!$B$60,$AW150,SUMIF($B$10:$B$16,"NCAP_TLIFE",$AX$10:$AX$16)),0,""))</f>
        <v/>
      </c>
      <c r="AI150" s="369" t="str">
        <f ca="1">IF($B150&lt;&gt;"PRC_RESID","",IF(AI$7=2005+OFFSET(COM_N_2012!$B$60,$AW150,SUMIF($B$10:$B$16,"NCAP_TLIFE",$AX$10:$AX$16)),0,""))</f>
        <v/>
      </c>
      <c r="AJ150" s="369" t="str">
        <f ca="1">IF($B150&lt;&gt;"PRC_RESID","",IF(AJ$7=2005+OFFSET(COM_N_2012!$B$60,$AW150,SUMIF($B$10:$B$16,"NCAP_TLIFE",$AX$10:$AX$16)),0,""))</f>
        <v/>
      </c>
      <c r="AK150" s="369" t="str">
        <f ca="1">IF($B150&lt;&gt;"PRC_RESID","",IF(AK$7=2005+OFFSET(COM_N_2012!$B$60,$AW150,SUMIF($B$10:$B$16,"NCAP_TLIFE",$AX$10:$AX$16)),0,""))</f>
        <v/>
      </c>
      <c r="AL150" s="369" t="str">
        <f ca="1">IF($B150&lt;&gt;"PRC_RESID","",IF(AL$7=2005+OFFSET(COM_N_2012!$B$60,$AW150,SUMIF($B$10:$B$16,"NCAP_TLIFE",$AX$10:$AX$16)),0,""))</f>
        <v/>
      </c>
      <c r="AM150" s="369" t="str">
        <f ca="1">IF($B150&lt;&gt;"PRC_RESID","",IF(AM$7=2005+OFFSET(COM_N_2012!$B$60,$AW150,SUMIF($B$10:$B$16,"NCAP_TLIFE",$AX$10:$AX$16)),0,""))</f>
        <v/>
      </c>
      <c r="AN150" s="369" t="str">
        <f ca="1">IF($B150&lt;&gt;"PRC_RESID","",IF(AN$7=2005+OFFSET(COM_N_2012!$B$60,$AW150,SUMIF($B$10:$B$16,"NCAP_TLIFE",$AX$10:$AX$16)),0,""))</f>
        <v/>
      </c>
      <c r="AO150" s="369" t="str">
        <f ca="1">IF($B150&lt;&gt;"PRC_RESID","",IF(AO$7=2005+OFFSET(COM_N_2012!$B$60,$AW150,SUMIF($B$10:$B$16,"NCAP_TLIFE",$AX$10:$AX$16)),0,""))</f>
        <v/>
      </c>
      <c r="AP150" s="369" t="str">
        <f ca="1">IF($B150&lt;&gt;"PRC_RESID","",IF(AP$7=2005+OFFSET(COM_N_2012!$B$60,$AW150,SUMIF($B$10:$B$16,"NCAP_TLIFE",$AX$10:$AX$16)),0,""))</f>
        <v/>
      </c>
      <c r="AQ150" s="369" t="str">
        <f ca="1">IF($B150&lt;&gt;"PRC_RESID","",IF(AQ$7=2005+OFFSET(COM_N_2012!$B$60,$AW150,SUMIF($B$10:$B$16,"NCAP_TLIFE",$AX$10:$AX$16)),0,""))</f>
        <v/>
      </c>
      <c r="AR150" s="369" t="str">
        <f ca="1">IF($B150&lt;&gt;"PRC_RESID","",IF(AR$7=2005+OFFSET(COM_N_2012!$B$60,$AW150,SUMIF($B$10:$B$16,"NCAP_TLIFE",$AX$10:$AX$16)),0,""))</f>
        <v/>
      </c>
      <c r="AS150" s="369" t="str">
        <f ca="1">IF($B150&lt;&gt;"PRC_RESID","",IF(AS$7=2005+OFFSET(COM_N_2012!$B$60,$AW150,SUMIF($B$10:$B$16,"NCAP_TLIFE",$AX$10:$AX$16)),0,""))</f>
        <v/>
      </c>
      <c r="AT150" s="369" t="str">
        <f ca="1">IF($B150&lt;&gt;"PRC_RESID","",IF(AT$7=2005+OFFSET(COM_N_2012!$B$60,$AW150,SUMIF($B$10:$B$16,"NCAP_TLIFE",$AX$10:$AX$16)),0,""))</f>
        <v/>
      </c>
      <c r="AU150" s="369" t="str">
        <f ca="1">IF($B150&lt;&gt;"PRC_RESID","",IF(AU$7=2005+OFFSET(COM_N_2012!$B$60,$AW150,SUMIF($B$10:$B$16,"NCAP_TLIFE",$AX$10:$AX$16)),0,""))</f>
        <v/>
      </c>
      <c r="AV150" s="304">
        <f>IF(AW149=COM_N_2012!$AK$121,AV149+1,AV149)</f>
        <v>3</v>
      </c>
      <c r="AW150" s="304">
        <f t="shared" si="20"/>
        <v>11</v>
      </c>
    </row>
    <row r="151" spans="1:49">
      <c r="A151" s="304" t="str">
        <f ca="1">IF(LEFT(OFFSET(COM_N_2012!$A$60,AW151,0),2)="\I","*","")</f>
        <v/>
      </c>
      <c r="B151" s="369" t="str">
        <f t="shared" ca="1" si="19"/>
        <v>NCAP_TLIFE</v>
      </c>
      <c r="C151" s="369" t="str">
        <f ca="1">IF($A151="*","",OFFSET(COM_N_2012!$B$60,AW151,0))</f>
        <v>CNHELC-N</v>
      </c>
      <c r="D151" s="369" t="str">
        <f t="shared" ca="1" si="21"/>
        <v>-</v>
      </c>
      <c r="E151" s="369" t="str">
        <f t="shared" ca="1" si="21"/>
        <v>-</v>
      </c>
      <c r="F151" s="369" t="str">
        <f t="shared" ca="1" si="21"/>
        <v>-</v>
      </c>
      <c r="G151" s="369" t="str">
        <f t="shared" ca="1" si="21"/>
        <v>-</v>
      </c>
      <c r="H151" s="369" t="str">
        <f t="shared" ca="1" si="21"/>
        <v>-</v>
      </c>
      <c r="I151" s="370">
        <f t="shared" ca="1" si="21"/>
        <v>0</v>
      </c>
      <c r="J151" s="391">
        <f ca="1">IF($A151="*","",OFFSET(COM_N_2012!$B$60,AW151,SUMIF($B$10:$B$16,B151,$AX$10:$AX$16)))</f>
        <v>15</v>
      </c>
      <c r="K151" s="369" t="str">
        <f ca="1">IF($B151&lt;&gt;"PRC_RESID","",IF(K$7=2005+OFFSET(COM_N_2012!$B$60,$AW151,SUMIF($B$10:$B$16,"NCAP_TLIFE",$AX$10:$AX$16)),0,""))</f>
        <v/>
      </c>
      <c r="L151" s="369" t="str">
        <f ca="1">IF($B151&lt;&gt;"PRC_RESID","",IF(L$7=2005+OFFSET(COM_N_2012!$B$60,$AW151,SUMIF($B$10:$B$16,"NCAP_TLIFE",$AX$10:$AX$16)),0,""))</f>
        <v/>
      </c>
      <c r="M151" s="369" t="str">
        <f ca="1">IF($B151&lt;&gt;"PRC_RESID","",IF(M$7=2005+OFFSET(COM_N_2012!$B$60,$AW151,SUMIF($B$10:$B$16,"NCAP_TLIFE",$AX$10:$AX$16)),0,""))</f>
        <v/>
      </c>
      <c r="N151" s="369" t="str">
        <f ca="1">IF($B151&lt;&gt;"PRC_RESID","",IF(N$7=2005+OFFSET(COM_N_2012!$B$60,$AW151,SUMIF($B$10:$B$16,"NCAP_TLIFE",$AX$10:$AX$16)),0,""))</f>
        <v/>
      </c>
      <c r="O151" s="369" t="str">
        <f ca="1">IF($B151&lt;&gt;"PRC_RESID","",IF(O$7=2005+OFFSET(COM_N_2012!$B$60,$AW151,SUMIF($B$10:$B$16,"NCAP_TLIFE",$AX$10:$AX$16)),0,""))</f>
        <v/>
      </c>
      <c r="P151" s="369" t="str">
        <f ca="1">IF($B151&lt;&gt;"PRC_RESID","",IF(P$7=2005+OFFSET(COM_N_2012!$B$60,$AW151,SUMIF($B$10:$B$16,"NCAP_TLIFE",$AX$10:$AX$16)),0,""))</f>
        <v/>
      </c>
      <c r="Q151" s="369" t="str">
        <f ca="1">IF($B151&lt;&gt;"PRC_RESID","",IF(Q$7=2005+OFFSET(COM_N_2012!$B$60,$AW151,SUMIF($B$10:$B$16,"NCAP_TLIFE",$AX$10:$AX$16)),0,""))</f>
        <v/>
      </c>
      <c r="R151" s="369" t="str">
        <f ca="1">IF($B151&lt;&gt;"PRC_RESID","",IF(R$7=2005+OFFSET(COM_N_2012!$B$60,$AW151,SUMIF($B$10:$B$16,"NCAP_TLIFE",$AX$10:$AX$16)),0,""))</f>
        <v/>
      </c>
      <c r="S151" s="369" t="str">
        <f ca="1">IF($B151&lt;&gt;"PRC_RESID","",IF(S$7=2005+OFFSET(COM_N_2012!$B$60,$AW151,SUMIF($B$10:$B$16,"NCAP_TLIFE",$AX$10:$AX$16)),0,""))</f>
        <v/>
      </c>
      <c r="T151" s="369" t="str">
        <f ca="1">IF($B151&lt;&gt;"PRC_RESID","",IF(T$7=2005+OFFSET(COM_N_2012!$B$60,$AW151,SUMIF($B$10:$B$16,"NCAP_TLIFE",$AX$10:$AX$16)),0,""))</f>
        <v/>
      </c>
      <c r="U151" s="369" t="str">
        <f ca="1">IF($B151&lt;&gt;"PRC_RESID","",IF(U$7=2005+OFFSET(COM_N_2012!$B$60,$AW151,SUMIF($B$10:$B$16,"NCAP_TLIFE",$AX$10:$AX$16)),0,""))</f>
        <v/>
      </c>
      <c r="V151" s="369" t="str">
        <f ca="1">IF($B151&lt;&gt;"PRC_RESID","",IF(V$7=2005+OFFSET(COM_N_2012!$B$60,$AW151,SUMIF($B$10:$B$16,"NCAP_TLIFE",$AX$10:$AX$16)),0,""))</f>
        <v/>
      </c>
      <c r="W151" s="369" t="str">
        <f ca="1">IF($B151&lt;&gt;"PRC_RESID","",IF(W$7=2005+OFFSET(COM_N_2012!$B$60,$AW151,SUMIF($B$10:$B$16,"NCAP_TLIFE",$AX$10:$AX$16)),0,""))</f>
        <v/>
      </c>
      <c r="X151" s="369" t="str">
        <f ca="1">IF($B151&lt;&gt;"PRC_RESID","",IF(X$7=2005+OFFSET(COM_N_2012!$B$60,$AW151,SUMIF($B$10:$B$16,"NCAP_TLIFE",$AX$10:$AX$16)),0,""))</f>
        <v/>
      </c>
      <c r="Y151" s="369" t="str">
        <f ca="1">IF($B151&lt;&gt;"PRC_RESID","",IF(Y$7=2005+OFFSET(COM_N_2012!$B$60,$AW151,SUMIF($B$10:$B$16,"NCAP_TLIFE",$AX$10:$AX$16)),0,""))</f>
        <v/>
      </c>
      <c r="Z151" s="369" t="str">
        <f ca="1">IF($B151&lt;&gt;"PRC_RESID","",IF(Z$7=2005+OFFSET(COM_N_2012!$B$60,$AW151,SUMIF($B$10:$B$16,"NCAP_TLIFE",$AX$10:$AX$16)),0,""))</f>
        <v/>
      </c>
      <c r="AA151" s="369" t="str">
        <f ca="1">IF($B151&lt;&gt;"PRC_RESID","",IF(AA$7=2005+OFFSET(COM_N_2012!$B$60,$AW151,SUMIF($B$10:$B$16,"NCAP_TLIFE",$AX$10:$AX$16)),0,""))</f>
        <v/>
      </c>
      <c r="AB151" s="369" t="str">
        <f ca="1">IF($B151&lt;&gt;"PRC_RESID","",IF(AB$7=2005+OFFSET(COM_N_2012!$B$60,$AW151,SUMIF($B$10:$B$16,"NCAP_TLIFE",$AX$10:$AX$16)),0,""))</f>
        <v/>
      </c>
      <c r="AC151" s="369" t="str">
        <f ca="1">IF($B151&lt;&gt;"PRC_RESID","",IF(AC$7=2005+OFFSET(COM_N_2012!$B$60,$AW151,SUMIF($B$10:$B$16,"NCAP_TLIFE",$AX$10:$AX$16)),0,""))</f>
        <v/>
      </c>
      <c r="AD151" s="369" t="str">
        <f ca="1">IF($B151&lt;&gt;"PRC_RESID","",IF(AD$7=2005+OFFSET(COM_N_2012!$B$60,$AW151,SUMIF($B$10:$B$16,"NCAP_TLIFE",$AX$10:$AX$16)),0,""))</f>
        <v/>
      </c>
      <c r="AE151" s="369" t="str">
        <f ca="1">IF($B151&lt;&gt;"PRC_RESID","",IF(AE$7=2005+OFFSET(COM_N_2012!$B$60,$AW151,SUMIF($B$10:$B$16,"NCAP_TLIFE",$AX$10:$AX$16)),0,""))</f>
        <v/>
      </c>
      <c r="AF151" s="369" t="str">
        <f ca="1">IF($B151&lt;&gt;"PRC_RESID","",IF(AF$7=2005+OFFSET(COM_N_2012!$B$60,$AW151,SUMIF($B$10:$B$16,"NCAP_TLIFE",$AX$10:$AX$16)),0,""))</f>
        <v/>
      </c>
      <c r="AG151" s="369" t="str">
        <f ca="1">IF($B151&lt;&gt;"PRC_RESID","",IF(AG$7=2005+OFFSET(COM_N_2012!$B$60,$AW151,SUMIF($B$10:$B$16,"NCAP_TLIFE",$AX$10:$AX$16)),0,""))</f>
        <v/>
      </c>
      <c r="AH151" s="369" t="str">
        <f ca="1">IF($B151&lt;&gt;"PRC_RESID","",IF(AH$7=2005+OFFSET(COM_N_2012!$B$60,$AW151,SUMIF($B$10:$B$16,"NCAP_TLIFE",$AX$10:$AX$16)),0,""))</f>
        <v/>
      </c>
      <c r="AI151" s="369" t="str">
        <f ca="1">IF($B151&lt;&gt;"PRC_RESID","",IF(AI$7=2005+OFFSET(COM_N_2012!$B$60,$AW151,SUMIF($B$10:$B$16,"NCAP_TLIFE",$AX$10:$AX$16)),0,""))</f>
        <v/>
      </c>
      <c r="AJ151" s="369" t="str">
        <f ca="1">IF($B151&lt;&gt;"PRC_RESID","",IF(AJ$7=2005+OFFSET(COM_N_2012!$B$60,$AW151,SUMIF($B$10:$B$16,"NCAP_TLIFE",$AX$10:$AX$16)),0,""))</f>
        <v/>
      </c>
      <c r="AK151" s="369" t="str">
        <f ca="1">IF($B151&lt;&gt;"PRC_RESID","",IF(AK$7=2005+OFFSET(COM_N_2012!$B$60,$AW151,SUMIF($B$10:$B$16,"NCAP_TLIFE",$AX$10:$AX$16)),0,""))</f>
        <v/>
      </c>
      <c r="AL151" s="369" t="str">
        <f ca="1">IF($B151&lt;&gt;"PRC_RESID","",IF(AL$7=2005+OFFSET(COM_N_2012!$B$60,$AW151,SUMIF($B$10:$B$16,"NCAP_TLIFE",$AX$10:$AX$16)),0,""))</f>
        <v/>
      </c>
      <c r="AM151" s="369" t="str">
        <f ca="1">IF($B151&lt;&gt;"PRC_RESID","",IF(AM$7=2005+OFFSET(COM_N_2012!$B$60,$AW151,SUMIF($B$10:$B$16,"NCAP_TLIFE",$AX$10:$AX$16)),0,""))</f>
        <v/>
      </c>
      <c r="AN151" s="369" t="str">
        <f ca="1">IF($B151&lt;&gt;"PRC_RESID","",IF(AN$7=2005+OFFSET(COM_N_2012!$B$60,$AW151,SUMIF($B$10:$B$16,"NCAP_TLIFE",$AX$10:$AX$16)),0,""))</f>
        <v/>
      </c>
      <c r="AO151" s="369" t="str">
        <f ca="1">IF($B151&lt;&gt;"PRC_RESID","",IF(AO$7=2005+OFFSET(COM_N_2012!$B$60,$AW151,SUMIF($B$10:$B$16,"NCAP_TLIFE",$AX$10:$AX$16)),0,""))</f>
        <v/>
      </c>
      <c r="AP151" s="369" t="str">
        <f ca="1">IF($B151&lt;&gt;"PRC_RESID","",IF(AP$7=2005+OFFSET(COM_N_2012!$B$60,$AW151,SUMIF($B$10:$B$16,"NCAP_TLIFE",$AX$10:$AX$16)),0,""))</f>
        <v/>
      </c>
      <c r="AQ151" s="369" t="str">
        <f ca="1">IF($B151&lt;&gt;"PRC_RESID","",IF(AQ$7=2005+OFFSET(COM_N_2012!$B$60,$AW151,SUMIF($B$10:$B$16,"NCAP_TLIFE",$AX$10:$AX$16)),0,""))</f>
        <v/>
      </c>
      <c r="AR151" s="369" t="str">
        <f ca="1">IF($B151&lt;&gt;"PRC_RESID","",IF(AR$7=2005+OFFSET(COM_N_2012!$B$60,$AW151,SUMIF($B$10:$B$16,"NCAP_TLIFE",$AX$10:$AX$16)),0,""))</f>
        <v/>
      </c>
      <c r="AS151" s="369" t="str">
        <f ca="1">IF($B151&lt;&gt;"PRC_RESID","",IF(AS$7=2005+OFFSET(COM_N_2012!$B$60,$AW151,SUMIF($B$10:$B$16,"NCAP_TLIFE",$AX$10:$AX$16)),0,""))</f>
        <v/>
      </c>
      <c r="AT151" s="369" t="str">
        <f ca="1">IF($B151&lt;&gt;"PRC_RESID","",IF(AT$7=2005+OFFSET(COM_N_2012!$B$60,$AW151,SUMIF($B$10:$B$16,"NCAP_TLIFE",$AX$10:$AX$16)),0,""))</f>
        <v/>
      </c>
      <c r="AU151" s="369" t="str">
        <f ca="1">IF($B151&lt;&gt;"PRC_RESID","",IF(AU$7=2005+OFFSET(COM_N_2012!$B$60,$AW151,SUMIF($B$10:$B$16,"NCAP_TLIFE",$AX$10:$AX$16)),0,""))</f>
        <v/>
      </c>
      <c r="AV151" s="304">
        <f>IF(AW150=COM_N_2012!$AK$121,AV150+1,AV150)</f>
        <v>3</v>
      </c>
      <c r="AW151" s="304">
        <f t="shared" si="20"/>
        <v>12</v>
      </c>
    </row>
    <row r="152" spans="1:49">
      <c r="A152" s="304" t="str">
        <f ca="1">IF(LEFT(OFFSET(COM_N_2012!$A$60,AW152,0),2)="\I","*","")</f>
        <v/>
      </c>
      <c r="B152" s="369" t="str">
        <f t="shared" ca="1" si="19"/>
        <v>NCAP_TLIFE</v>
      </c>
      <c r="C152" s="369" t="str">
        <f ca="1">IF($A152="*","",OFFSET(COM_N_2012!$B$60,AW152,0))</f>
        <v>CNHGAS-N</v>
      </c>
      <c r="D152" s="369" t="str">
        <f t="shared" ca="1" si="21"/>
        <v>-</v>
      </c>
      <c r="E152" s="369" t="str">
        <f t="shared" ca="1" si="21"/>
        <v>-</v>
      </c>
      <c r="F152" s="369" t="str">
        <f t="shared" ca="1" si="21"/>
        <v>-</v>
      </c>
      <c r="G152" s="369" t="str">
        <f t="shared" ca="1" si="21"/>
        <v>-</v>
      </c>
      <c r="H152" s="369" t="str">
        <f t="shared" ca="1" si="21"/>
        <v>-</v>
      </c>
      <c r="I152" s="370">
        <f t="shared" ca="1" si="21"/>
        <v>0</v>
      </c>
      <c r="J152" s="391">
        <f ca="1">IF($A152="*","",OFFSET(COM_N_2012!$B$60,AW152,SUMIF($B$10:$B$16,B152,$AX$10:$AX$16)))</f>
        <v>15</v>
      </c>
      <c r="K152" s="369" t="str">
        <f ca="1">IF($B152&lt;&gt;"PRC_RESID","",IF(K$7=2005+OFFSET(COM_N_2012!$B$60,$AW152,SUMIF($B$10:$B$16,"NCAP_TLIFE",$AX$10:$AX$16)),0,""))</f>
        <v/>
      </c>
      <c r="L152" s="369" t="str">
        <f ca="1">IF($B152&lt;&gt;"PRC_RESID","",IF(L$7=2005+OFFSET(COM_N_2012!$B$60,$AW152,SUMIF($B$10:$B$16,"NCAP_TLIFE",$AX$10:$AX$16)),0,""))</f>
        <v/>
      </c>
      <c r="M152" s="369" t="str">
        <f ca="1">IF($B152&lt;&gt;"PRC_RESID","",IF(M$7=2005+OFFSET(COM_N_2012!$B$60,$AW152,SUMIF($B$10:$B$16,"NCAP_TLIFE",$AX$10:$AX$16)),0,""))</f>
        <v/>
      </c>
      <c r="N152" s="369" t="str">
        <f ca="1">IF($B152&lt;&gt;"PRC_RESID","",IF(N$7=2005+OFFSET(COM_N_2012!$B$60,$AW152,SUMIF($B$10:$B$16,"NCAP_TLIFE",$AX$10:$AX$16)),0,""))</f>
        <v/>
      </c>
      <c r="O152" s="369" t="str">
        <f ca="1">IF($B152&lt;&gt;"PRC_RESID","",IF(O$7=2005+OFFSET(COM_N_2012!$B$60,$AW152,SUMIF($B$10:$B$16,"NCAP_TLIFE",$AX$10:$AX$16)),0,""))</f>
        <v/>
      </c>
      <c r="P152" s="369" t="str">
        <f ca="1">IF($B152&lt;&gt;"PRC_RESID","",IF(P$7=2005+OFFSET(COM_N_2012!$B$60,$AW152,SUMIF($B$10:$B$16,"NCAP_TLIFE",$AX$10:$AX$16)),0,""))</f>
        <v/>
      </c>
      <c r="Q152" s="369" t="str">
        <f ca="1">IF($B152&lt;&gt;"PRC_RESID","",IF(Q$7=2005+OFFSET(COM_N_2012!$B$60,$AW152,SUMIF($B$10:$B$16,"NCAP_TLIFE",$AX$10:$AX$16)),0,""))</f>
        <v/>
      </c>
      <c r="R152" s="369" t="str">
        <f ca="1">IF($B152&lt;&gt;"PRC_RESID","",IF(R$7=2005+OFFSET(COM_N_2012!$B$60,$AW152,SUMIF($B$10:$B$16,"NCAP_TLIFE",$AX$10:$AX$16)),0,""))</f>
        <v/>
      </c>
      <c r="S152" s="369" t="str">
        <f ca="1">IF($B152&lt;&gt;"PRC_RESID","",IF(S$7=2005+OFFSET(COM_N_2012!$B$60,$AW152,SUMIF($B$10:$B$16,"NCAP_TLIFE",$AX$10:$AX$16)),0,""))</f>
        <v/>
      </c>
      <c r="T152" s="369" t="str">
        <f ca="1">IF($B152&lt;&gt;"PRC_RESID","",IF(T$7=2005+OFFSET(COM_N_2012!$B$60,$AW152,SUMIF($B$10:$B$16,"NCAP_TLIFE",$AX$10:$AX$16)),0,""))</f>
        <v/>
      </c>
      <c r="U152" s="369" t="str">
        <f ca="1">IF($B152&lt;&gt;"PRC_RESID","",IF(U$7=2005+OFFSET(COM_N_2012!$B$60,$AW152,SUMIF($B$10:$B$16,"NCAP_TLIFE",$AX$10:$AX$16)),0,""))</f>
        <v/>
      </c>
      <c r="V152" s="369" t="str">
        <f ca="1">IF($B152&lt;&gt;"PRC_RESID","",IF(V$7=2005+OFFSET(COM_N_2012!$B$60,$AW152,SUMIF($B$10:$B$16,"NCAP_TLIFE",$AX$10:$AX$16)),0,""))</f>
        <v/>
      </c>
      <c r="W152" s="369" t="str">
        <f ca="1">IF($B152&lt;&gt;"PRC_RESID","",IF(W$7=2005+OFFSET(COM_N_2012!$B$60,$AW152,SUMIF($B$10:$B$16,"NCAP_TLIFE",$AX$10:$AX$16)),0,""))</f>
        <v/>
      </c>
      <c r="X152" s="369" t="str">
        <f ca="1">IF($B152&lt;&gt;"PRC_RESID","",IF(X$7=2005+OFFSET(COM_N_2012!$B$60,$AW152,SUMIF($B$10:$B$16,"NCAP_TLIFE",$AX$10:$AX$16)),0,""))</f>
        <v/>
      </c>
      <c r="Y152" s="369" t="str">
        <f ca="1">IF($B152&lt;&gt;"PRC_RESID","",IF(Y$7=2005+OFFSET(COM_N_2012!$B$60,$AW152,SUMIF($B$10:$B$16,"NCAP_TLIFE",$AX$10:$AX$16)),0,""))</f>
        <v/>
      </c>
      <c r="Z152" s="369" t="str">
        <f ca="1">IF($B152&lt;&gt;"PRC_RESID","",IF(Z$7=2005+OFFSET(COM_N_2012!$B$60,$AW152,SUMIF($B$10:$B$16,"NCAP_TLIFE",$AX$10:$AX$16)),0,""))</f>
        <v/>
      </c>
      <c r="AA152" s="369" t="str">
        <f ca="1">IF($B152&lt;&gt;"PRC_RESID","",IF(AA$7=2005+OFFSET(COM_N_2012!$B$60,$AW152,SUMIF($B$10:$B$16,"NCAP_TLIFE",$AX$10:$AX$16)),0,""))</f>
        <v/>
      </c>
      <c r="AB152" s="369" t="str">
        <f ca="1">IF($B152&lt;&gt;"PRC_RESID","",IF(AB$7=2005+OFFSET(COM_N_2012!$B$60,$AW152,SUMIF($B$10:$B$16,"NCAP_TLIFE",$AX$10:$AX$16)),0,""))</f>
        <v/>
      </c>
      <c r="AC152" s="369" t="str">
        <f ca="1">IF($B152&lt;&gt;"PRC_RESID","",IF(AC$7=2005+OFFSET(COM_N_2012!$B$60,$AW152,SUMIF($B$10:$B$16,"NCAP_TLIFE",$AX$10:$AX$16)),0,""))</f>
        <v/>
      </c>
      <c r="AD152" s="369" t="str">
        <f ca="1">IF($B152&lt;&gt;"PRC_RESID","",IF(AD$7=2005+OFFSET(COM_N_2012!$B$60,$AW152,SUMIF($B$10:$B$16,"NCAP_TLIFE",$AX$10:$AX$16)),0,""))</f>
        <v/>
      </c>
      <c r="AE152" s="369" t="str">
        <f ca="1">IF($B152&lt;&gt;"PRC_RESID","",IF(AE$7=2005+OFFSET(COM_N_2012!$B$60,$AW152,SUMIF($B$10:$B$16,"NCAP_TLIFE",$AX$10:$AX$16)),0,""))</f>
        <v/>
      </c>
      <c r="AF152" s="369" t="str">
        <f ca="1">IF($B152&lt;&gt;"PRC_RESID","",IF(AF$7=2005+OFFSET(COM_N_2012!$B$60,$AW152,SUMIF($B$10:$B$16,"NCAP_TLIFE",$AX$10:$AX$16)),0,""))</f>
        <v/>
      </c>
      <c r="AG152" s="369" t="str">
        <f ca="1">IF($B152&lt;&gt;"PRC_RESID","",IF(AG$7=2005+OFFSET(COM_N_2012!$B$60,$AW152,SUMIF($B$10:$B$16,"NCAP_TLIFE",$AX$10:$AX$16)),0,""))</f>
        <v/>
      </c>
      <c r="AH152" s="369" t="str">
        <f ca="1">IF($B152&lt;&gt;"PRC_RESID","",IF(AH$7=2005+OFFSET(COM_N_2012!$B$60,$AW152,SUMIF($B$10:$B$16,"NCAP_TLIFE",$AX$10:$AX$16)),0,""))</f>
        <v/>
      </c>
      <c r="AI152" s="369" t="str">
        <f ca="1">IF($B152&lt;&gt;"PRC_RESID","",IF(AI$7=2005+OFFSET(COM_N_2012!$B$60,$AW152,SUMIF($B$10:$B$16,"NCAP_TLIFE",$AX$10:$AX$16)),0,""))</f>
        <v/>
      </c>
      <c r="AJ152" s="369" t="str">
        <f ca="1">IF($B152&lt;&gt;"PRC_RESID","",IF(AJ$7=2005+OFFSET(COM_N_2012!$B$60,$AW152,SUMIF($B$10:$B$16,"NCAP_TLIFE",$AX$10:$AX$16)),0,""))</f>
        <v/>
      </c>
      <c r="AK152" s="369" t="str">
        <f ca="1">IF($B152&lt;&gt;"PRC_RESID","",IF(AK$7=2005+OFFSET(COM_N_2012!$B$60,$AW152,SUMIF($B$10:$B$16,"NCAP_TLIFE",$AX$10:$AX$16)),0,""))</f>
        <v/>
      </c>
      <c r="AL152" s="369" t="str">
        <f ca="1">IF($B152&lt;&gt;"PRC_RESID","",IF(AL$7=2005+OFFSET(COM_N_2012!$B$60,$AW152,SUMIF($B$10:$B$16,"NCAP_TLIFE",$AX$10:$AX$16)),0,""))</f>
        <v/>
      </c>
      <c r="AM152" s="369" t="str">
        <f ca="1">IF($B152&lt;&gt;"PRC_RESID","",IF(AM$7=2005+OFFSET(COM_N_2012!$B$60,$AW152,SUMIF($B$10:$B$16,"NCAP_TLIFE",$AX$10:$AX$16)),0,""))</f>
        <v/>
      </c>
      <c r="AN152" s="369" t="str">
        <f ca="1">IF($B152&lt;&gt;"PRC_RESID","",IF(AN$7=2005+OFFSET(COM_N_2012!$B$60,$AW152,SUMIF($B$10:$B$16,"NCAP_TLIFE",$AX$10:$AX$16)),0,""))</f>
        <v/>
      </c>
      <c r="AO152" s="369" t="str">
        <f ca="1">IF($B152&lt;&gt;"PRC_RESID","",IF(AO$7=2005+OFFSET(COM_N_2012!$B$60,$AW152,SUMIF($B$10:$B$16,"NCAP_TLIFE",$AX$10:$AX$16)),0,""))</f>
        <v/>
      </c>
      <c r="AP152" s="369" t="str">
        <f ca="1">IF($B152&lt;&gt;"PRC_RESID","",IF(AP$7=2005+OFFSET(COM_N_2012!$B$60,$AW152,SUMIF($B$10:$B$16,"NCAP_TLIFE",$AX$10:$AX$16)),0,""))</f>
        <v/>
      </c>
      <c r="AQ152" s="369" t="str">
        <f ca="1">IF($B152&lt;&gt;"PRC_RESID","",IF(AQ$7=2005+OFFSET(COM_N_2012!$B$60,$AW152,SUMIF($B$10:$B$16,"NCAP_TLIFE",$AX$10:$AX$16)),0,""))</f>
        <v/>
      </c>
      <c r="AR152" s="369" t="str">
        <f ca="1">IF($B152&lt;&gt;"PRC_RESID","",IF(AR$7=2005+OFFSET(COM_N_2012!$B$60,$AW152,SUMIF($B$10:$B$16,"NCAP_TLIFE",$AX$10:$AX$16)),0,""))</f>
        <v/>
      </c>
      <c r="AS152" s="369" t="str">
        <f ca="1">IF($B152&lt;&gt;"PRC_RESID","",IF(AS$7=2005+OFFSET(COM_N_2012!$B$60,$AW152,SUMIF($B$10:$B$16,"NCAP_TLIFE",$AX$10:$AX$16)),0,""))</f>
        <v/>
      </c>
      <c r="AT152" s="369" t="str">
        <f ca="1">IF($B152&lt;&gt;"PRC_RESID","",IF(AT$7=2005+OFFSET(COM_N_2012!$B$60,$AW152,SUMIF($B$10:$B$16,"NCAP_TLIFE",$AX$10:$AX$16)),0,""))</f>
        <v/>
      </c>
      <c r="AU152" s="369" t="str">
        <f ca="1">IF($B152&lt;&gt;"PRC_RESID","",IF(AU$7=2005+OFFSET(COM_N_2012!$B$60,$AW152,SUMIF($B$10:$B$16,"NCAP_TLIFE",$AX$10:$AX$16)),0,""))</f>
        <v/>
      </c>
      <c r="AV152" s="304">
        <f>IF(AW151=COM_N_2012!$AK$121,AV151+1,AV151)</f>
        <v>3</v>
      </c>
      <c r="AW152" s="304">
        <f t="shared" si="20"/>
        <v>13</v>
      </c>
    </row>
    <row r="153" spans="1:49">
      <c r="A153" s="304" t="str">
        <f ca="1">IF(LEFT(OFFSET(COM_N_2012!$A$60,AW153,0),2)="\I","*","")</f>
        <v>*</v>
      </c>
      <c r="B153" s="369" t="str">
        <f t="shared" ca="1" si="19"/>
        <v/>
      </c>
      <c r="C153" s="369" t="str">
        <f ca="1">IF($A153="*","",OFFSET(COM_N_2012!$B$60,AW153,0))</f>
        <v/>
      </c>
      <c r="D153" s="369" t="str">
        <f t="shared" ca="1" si="21"/>
        <v/>
      </c>
      <c r="E153" s="369" t="str">
        <f t="shared" ca="1" si="21"/>
        <v/>
      </c>
      <c r="F153" s="369" t="str">
        <f t="shared" ca="1" si="21"/>
        <v/>
      </c>
      <c r="G153" s="369" t="str">
        <f t="shared" ca="1" si="21"/>
        <v/>
      </c>
      <c r="H153" s="369" t="str">
        <f t="shared" ca="1" si="21"/>
        <v/>
      </c>
      <c r="I153" s="370" t="str">
        <f t="shared" ca="1" si="21"/>
        <v/>
      </c>
      <c r="J153" s="391" t="str">
        <f ca="1">IF($A153="*","",OFFSET(COM_N_2012!$B$60,AW153,SUMIF($B$10:$B$16,B153,$AX$10:$AX$16)))</f>
        <v/>
      </c>
      <c r="K153" s="369" t="str">
        <f ca="1">IF($B153&lt;&gt;"PRC_RESID","",IF(K$7=2005+OFFSET(COM_N_2012!$B$60,$AW153,SUMIF($B$10:$B$16,"NCAP_TLIFE",$AX$10:$AX$16)),0,""))</f>
        <v/>
      </c>
      <c r="L153" s="369" t="str">
        <f ca="1">IF($B153&lt;&gt;"PRC_RESID","",IF(L$7=2005+OFFSET(COM_N_2012!$B$60,$AW153,SUMIF($B$10:$B$16,"NCAP_TLIFE",$AX$10:$AX$16)),0,""))</f>
        <v/>
      </c>
      <c r="M153" s="369" t="str">
        <f ca="1">IF($B153&lt;&gt;"PRC_RESID","",IF(M$7=2005+OFFSET(COM_N_2012!$B$60,$AW153,SUMIF($B$10:$B$16,"NCAP_TLIFE",$AX$10:$AX$16)),0,""))</f>
        <v/>
      </c>
      <c r="N153" s="369" t="str">
        <f ca="1">IF($B153&lt;&gt;"PRC_RESID","",IF(N$7=2005+OFFSET(COM_N_2012!$B$60,$AW153,SUMIF($B$10:$B$16,"NCAP_TLIFE",$AX$10:$AX$16)),0,""))</f>
        <v/>
      </c>
      <c r="O153" s="369" t="str">
        <f ca="1">IF($B153&lt;&gt;"PRC_RESID","",IF(O$7=2005+OFFSET(COM_N_2012!$B$60,$AW153,SUMIF($B$10:$B$16,"NCAP_TLIFE",$AX$10:$AX$16)),0,""))</f>
        <v/>
      </c>
      <c r="P153" s="369" t="str">
        <f ca="1">IF($B153&lt;&gt;"PRC_RESID","",IF(P$7=2005+OFFSET(COM_N_2012!$B$60,$AW153,SUMIF($B$10:$B$16,"NCAP_TLIFE",$AX$10:$AX$16)),0,""))</f>
        <v/>
      </c>
      <c r="Q153" s="369" t="str">
        <f ca="1">IF($B153&lt;&gt;"PRC_RESID","",IF(Q$7=2005+OFFSET(COM_N_2012!$B$60,$AW153,SUMIF($B$10:$B$16,"NCAP_TLIFE",$AX$10:$AX$16)),0,""))</f>
        <v/>
      </c>
      <c r="R153" s="369" t="str">
        <f ca="1">IF($B153&lt;&gt;"PRC_RESID","",IF(R$7=2005+OFFSET(COM_N_2012!$B$60,$AW153,SUMIF($B$10:$B$16,"NCAP_TLIFE",$AX$10:$AX$16)),0,""))</f>
        <v/>
      </c>
      <c r="S153" s="369" t="str">
        <f ca="1">IF($B153&lt;&gt;"PRC_RESID","",IF(S$7=2005+OFFSET(COM_N_2012!$B$60,$AW153,SUMIF($B$10:$B$16,"NCAP_TLIFE",$AX$10:$AX$16)),0,""))</f>
        <v/>
      </c>
      <c r="T153" s="369" t="str">
        <f ca="1">IF($B153&lt;&gt;"PRC_RESID","",IF(T$7=2005+OFFSET(COM_N_2012!$B$60,$AW153,SUMIF($B$10:$B$16,"NCAP_TLIFE",$AX$10:$AX$16)),0,""))</f>
        <v/>
      </c>
      <c r="U153" s="369" t="str">
        <f ca="1">IF($B153&lt;&gt;"PRC_RESID","",IF(U$7=2005+OFFSET(COM_N_2012!$B$60,$AW153,SUMIF($B$10:$B$16,"NCAP_TLIFE",$AX$10:$AX$16)),0,""))</f>
        <v/>
      </c>
      <c r="V153" s="369" t="str">
        <f ca="1">IF($B153&lt;&gt;"PRC_RESID","",IF(V$7=2005+OFFSET(COM_N_2012!$B$60,$AW153,SUMIF($B$10:$B$16,"NCAP_TLIFE",$AX$10:$AX$16)),0,""))</f>
        <v/>
      </c>
      <c r="W153" s="369" t="str">
        <f ca="1">IF($B153&lt;&gt;"PRC_RESID","",IF(W$7=2005+OFFSET(COM_N_2012!$B$60,$AW153,SUMIF($B$10:$B$16,"NCAP_TLIFE",$AX$10:$AX$16)),0,""))</f>
        <v/>
      </c>
      <c r="X153" s="369" t="str">
        <f ca="1">IF($B153&lt;&gt;"PRC_RESID","",IF(X$7=2005+OFFSET(COM_N_2012!$B$60,$AW153,SUMIF($B$10:$B$16,"NCAP_TLIFE",$AX$10:$AX$16)),0,""))</f>
        <v/>
      </c>
      <c r="Y153" s="369" t="str">
        <f ca="1">IF($B153&lt;&gt;"PRC_RESID","",IF(Y$7=2005+OFFSET(COM_N_2012!$B$60,$AW153,SUMIF($B$10:$B$16,"NCAP_TLIFE",$AX$10:$AX$16)),0,""))</f>
        <v/>
      </c>
      <c r="Z153" s="369" t="str">
        <f ca="1">IF($B153&lt;&gt;"PRC_RESID","",IF(Z$7=2005+OFFSET(COM_N_2012!$B$60,$AW153,SUMIF($B$10:$B$16,"NCAP_TLIFE",$AX$10:$AX$16)),0,""))</f>
        <v/>
      </c>
      <c r="AA153" s="369" t="str">
        <f ca="1">IF($B153&lt;&gt;"PRC_RESID","",IF(AA$7=2005+OFFSET(COM_N_2012!$B$60,$AW153,SUMIF($B$10:$B$16,"NCAP_TLIFE",$AX$10:$AX$16)),0,""))</f>
        <v/>
      </c>
      <c r="AB153" s="369" t="str">
        <f ca="1">IF($B153&lt;&gt;"PRC_RESID","",IF(AB$7=2005+OFFSET(COM_N_2012!$B$60,$AW153,SUMIF($B$10:$B$16,"NCAP_TLIFE",$AX$10:$AX$16)),0,""))</f>
        <v/>
      </c>
      <c r="AC153" s="369" t="str">
        <f ca="1">IF($B153&lt;&gt;"PRC_RESID","",IF(AC$7=2005+OFFSET(COM_N_2012!$B$60,$AW153,SUMIF($B$10:$B$16,"NCAP_TLIFE",$AX$10:$AX$16)),0,""))</f>
        <v/>
      </c>
      <c r="AD153" s="369" t="str">
        <f ca="1">IF($B153&lt;&gt;"PRC_RESID","",IF(AD$7=2005+OFFSET(COM_N_2012!$B$60,$AW153,SUMIF($B$10:$B$16,"NCAP_TLIFE",$AX$10:$AX$16)),0,""))</f>
        <v/>
      </c>
      <c r="AE153" s="369" t="str">
        <f ca="1">IF($B153&lt;&gt;"PRC_RESID","",IF(AE$7=2005+OFFSET(COM_N_2012!$B$60,$AW153,SUMIF($B$10:$B$16,"NCAP_TLIFE",$AX$10:$AX$16)),0,""))</f>
        <v/>
      </c>
      <c r="AF153" s="369" t="str">
        <f ca="1">IF($B153&lt;&gt;"PRC_RESID","",IF(AF$7=2005+OFFSET(COM_N_2012!$B$60,$AW153,SUMIF($B$10:$B$16,"NCAP_TLIFE",$AX$10:$AX$16)),0,""))</f>
        <v/>
      </c>
      <c r="AG153" s="369" t="str">
        <f ca="1">IF($B153&lt;&gt;"PRC_RESID","",IF(AG$7=2005+OFFSET(COM_N_2012!$B$60,$AW153,SUMIF($B$10:$B$16,"NCAP_TLIFE",$AX$10:$AX$16)),0,""))</f>
        <v/>
      </c>
      <c r="AH153" s="369" t="str">
        <f ca="1">IF($B153&lt;&gt;"PRC_RESID","",IF(AH$7=2005+OFFSET(COM_N_2012!$B$60,$AW153,SUMIF($B$10:$B$16,"NCAP_TLIFE",$AX$10:$AX$16)),0,""))</f>
        <v/>
      </c>
      <c r="AI153" s="369" t="str">
        <f ca="1">IF($B153&lt;&gt;"PRC_RESID","",IF(AI$7=2005+OFFSET(COM_N_2012!$B$60,$AW153,SUMIF($B$10:$B$16,"NCAP_TLIFE",$AX$10:$AX$16)),0,""))</f>
        <v/>
      </c>
      <c r="AJ153" s="369" t="str">
        <f ca="1">IF($B153&lt;&gt;"PRC_RESID","",IF(AJ$7=2005+OFFSET(COM_N_2012!$B$60,$AW153,SUMIF($B$10:$B$16,"NCAP_TLIFE",$AX$10:$AX$16)),0,""))</f>
        <v/>
      </c>
      <c r="AK153" s="369" t="str">
        <f ca="1">IF($B153&lt;&gt;"PRC_RESID","",IF(AK$7=2005+OFFSET(COM_N_2012!$B$60,$AW153,SUMIF($B$10:$B$16,"NCAP_TLIFE",$AX$10:$AX$16)),0,""))</f>
        <v/>
      </c>
      <c r="AL153" s="369" t="str">
        <f ca="1">IF($B153&lt;&gt;"PRC_RESID","",IF(AL$7=2005+OFFSET(COM_N_2012!$B$60,$AW153,SUMIF($B$10:$B$16,"NCAP_TLIFE",$AX$10:$AX$16)),0,""))</f>
        <v/>
      </c>
      <c r="AM153" s="369" t="str">
        <f ca="1">IF($B153&lt;&gt;"PRC_RESID","",IF(AM$7=2005+OFFSET(COM_N_2012!$B$60,$AW153,SUMIF($B$10:$B$16,"NCAP_TLIFE",$AX$10:$AX$16)),0,""))</f>
        <v/>
      </c>
      <c r="AN153" s="369" t="str">
        <f ca="1">IF($B153&lt;&gt;"PRC_RESID","",IF(AN$7=2005+OFFSET(COM_N_2012!$B$60,$AW153,SUMIF($B$10:$B$16,"NCAP_TLIFE",$AX$10:$AX$16)),0,""))</f>
        <v/>
      </c>
      <c r="AO153" s="369" t="str">
        <f ca="1">IF($B153&lt;&gt;"PRC_RESID","",IF(AO$7=2005+OFFSET(COM_N_2012!$B$60,$AW153,SUMIF($B$10:$B$16,"NCAP_TLIFE",$AX$10:$AX$16)),0,""))</f>
        <v/>
      </c>
      <c r="AP153" s="369" t="str">
        <f ca="1">IF($B153&lt;&gt;"PRC_RESID","",IF(AP$7=2005+OFFSET(COM_N_2012!$B$60,$AW153,SUMIF($B$10:$B$16,"NCAP_TLIFE",$AX$10:$AX$16)),0,""))</f>
        <v/>
      </c>
      <c r="AQ153" s="369" t="str">
        <f ca="1">IF($B153&lt;&gt;"PRC_RESID","",IF(AQ$7=2005+OFFSET(COM_N_2012!$B$60,$AW153,SUMIF($B$10:$B$16,"NCAP_TLIFE",$AX$10:$AX$16)),0,""))</f>
        <v/>
      </c>
      <c r="AR153" s="369" t="str">
        <f ca="1">IF($B153&lt;&gt;"PRC_RESID","",IF(AR$7=2005+OFFSET(COM_N_2012!$B$60,$AW153,SUMIF($B$10:$B$16,"NCAP_TLIFE",$AX$10:$AX$16)),0,""))</f>
        <v/>
      </c>
      <c r="AS153" s="369" t="str">
        <f ca="1">IF($B153&lt;&gt;"PRC_RESID","",IF(AS$7=2005+OFFSET(COM_N_2012!$B$60,$AW153,SUMIF($B$10:$B$16,"NCAP_TLIFE",$AX$10:$AX$16)),0,""))</f>
        <v/>
      </c>
      <c r="AT153" s="369" t="str">
        <f ca="1">IF($B153&lt;&gt;"PRC_RESID","",IF(AT$7=2005+OFFSET(COM_N_2012!$B$60,$AW153,SUMIF($B$10:$B$16,"NCAP_TLIFE",$AX$10:$AX$16)),0,""))</f>
        <v/>
      </c>
      <c r="AU153" s="369" t="str">
        <f ca="1">IF($B153&lt;&gt;"PRC_RESID","",IF(AU$7=2005+OFFSET(COM_N_2012!$B$60,$AW153,SUMIF($B$10:$B$16,"NCAP_TLIFE",$AX$10:$AX$16)),0,""))</f>
        <v/>
      </c>
      <c r="AV153" s="304">
        <f>IF(AW152=COM_N_2012!$AK$121,AV152+1,AV152)</f>
        <v>3</v>
      </c>
      <c r="AW153" s="304">
        <f t="shared" si="20"/>
        <v>14</v>
      </c>
    </row>
    <row r="154" spans="1:49">
      <c r="A154" s="304" t="str">
        <f ca="1">IF(LEFT(OFFSET(COM_N_2012!$A$60,AW154,0),2)="\I","*","")</f>
        <v>*</v>
      </c>
      <c r="B154" s="369" t="str">
        <f t="shared" ca="1" si="19"/>
        <v/>
      </c>
      <c r="C154" s="369" t="str">
        <f ca="1">IF($A154="*","",OFFSET(COM_N_2012!$B$60,AW154,0))</f>
        <v/>
      </c>
      <c r="D154" s="369" t="str">
        <f t="shared" ca="1" si="21"/>
        <v/>
      </c>
      <c r="E154" s="369" t="str">
        <f t="shared" ca="1" si="21"/>
        <v/>
      </c>
      <c r="F154" s="369" t="str">
        <f t="shared" ca="1" si="21"/>
        <v/>
      </c>
      <c r="G154" s="369" t="str">
        <f t="shared" ca="1" si="21"/>
        <v/>
      </c>
      <c r="H154" s="369" t="str">
        <f t="shared" ca="1" si="21"/>
        <v/>
      </c>
      <c r="I154" s="370" t="str">
        <f t="shared" ca="1" si="21"/>
        <v/>
      </c>
      <c r="J154" s="391" t="str">
        <f ca="1">IF($A154="*","",OFFSET(COM_N_2012!$B$60,AW154,SUMIF($B$10:$B$16,B154,$AX$10:$AX$16)))</f>
        <v/>
      </c>
      <c r="K154" s="369" t="str">
        <f ca="1">IF($B154&lt;&gt;"PRC_RESID","",IF(K$7=2005+OFFSET(COM_N_2012!$B$60,$AW154,SUMIF($B$10:$B$16,"NCAP_TLIFE",$AX$10:$AX$16)),0,""))</f>
        <v/>
      </c>
      <c r="L154" s="369" t="str">
        <f ca="1">IF($B154&lt;&gt;"PRC_RESID","",IF(L$7=2005+OFFSET(COM_N_2012!$B$60,$AW154,SUMIF($B$10:$B$16,"NCAP_TLIFE",$AX$10:$AX$16)),0,""))</f>
        <v/>
      </c>
      <c r="M154" s="369" t="str">
        <f ca="1">IF($B154&lt;&gt;"PRC_RESID","",IF(M$7=2005+OFFSET(COM_N_2012!$B$60,$AW154,SUMIF($B$10:$B$16,"NCAP_TLIFE",$AX$10:$AX$16)),0,""))</f>
        <v/>
      </c>
      <c r="N154" s="369" t="str">
        <f ca="1">IF($B154&lt;&gt;"PRC_RESID","",IF(N$7=2005+OFFSET(COM_N_2012!$B$60,$AW154,SUMIF($B$10:$B$16,"NCAP_TLIFE",$AX$10:$AX$16)),0,""))</f>
        <v/>
      </c>
      <c r="O154" s="369" t="str">
        <f ca="1">IF($B154&lt;&gt;"PRC_RESID","",IF(O$7=2005+OFFSET(COM_N_2012!$B$60,$AW154,SUMIF($B$10:$B$16,"NCAP_TLIFE",$AX$10:$AX$16)),0,""))</f>
        <v/>
      </c>
      <c r="P154" s="369" t="str">
        <f ca="1">IF($B154&lt;&gt;"PRC_RESID","",IF(P$7=2005+OFFSET(COM_N_2012!$B$60,$AW154,SUMIF($B$10:$B$16,"NCAP_TLIFE",$AX$10:$AX$16)),0,""))</f>
        <v/>
      </c>
      <c r="Q154" s="369" t="str">
        <f ca="1">IF($B154&lt;&gt;"PRC_RESID","",IF(Q$7=2005+OFFSET(COM_N_2012!$B$60,$AW154,SUMIF($B$10:$B$16,"NCAP_TLIFE",$AX$10:$AX$16)),0,""))</f>
        <v/>
      </c>
      <c r="R154" s="369" t="str">
        <f ca="1">IF($B154&lt;&gt;"PRC_RESID","",IF(R$7=2005+OFFSET(COM_N_2012!$B$60,$AW154,SUMIF($B$10:$B$16,"NCAP_TLIFE",$AX$10:$AX$16)),0,""))</f>
        <v/>
      </c>
      <c r="S154" s="369" t="str">
        <f ca="1">IF($B154&lt;&gt;"PRC_RESID","",IF(S$7=2005+OFFSET(COM_N_2012!$B$60,$AW154,SUMIF($B$10:$B$16,"NCAP_TLIFE",$AX$10:$AX$16)),0,""))</f>
        <v/>
      </c>
      <c r="T154" s="369" t="str">
        <f ca="1">IF($B154&lt;&gt;"PRC_RESID","",IF(T$7=2005+OFFSET(COM_N_2012!$B$60,$AW154,SUMIF($B$10:$B$16,"NCAP_TLIFE",$AX$10:$AX$16)),0,""))</f>
        <v/>
      </c>
      <c r="U154" s="369" t="str">
        <f ca="1">IF($B154&lt;&gt;"PRC_RESID","",IF(U$7=2005+OFFSET(COM_N_2012!$B$60,$AW154,SUMIF($B$10:$B$16,"NCAP_TLIFE",$AX$10:$AX$16)),0,""))</f>
        <v/>
      </c>
      <c r="V154" s="369" t="str">
        <f ca="1">IF($B154&lt;&gt;"PRC_RESID","",IF(V$7=2005+OFFSET(COM_N_2012!$B$60,$AW154,SUMIF($B$10:$B$16,"NCAP_TLIFE",$AX$10:$AX$16)),0,""))</f>
        <v/>
      </c>
      <c r="W154" s="369" t="str">
        <f ca="1">IF($B154&lt;&gt;"PRC_RESID","",IF(W$7=2005+OFFSET(COM_N_2012!$B$60,$AW154,SUMIF($B$10:$B$16,"NCAP_TLIFE",$AX$10:$AX$16)),0,""))</f>
        <v/>
      </c>
      <c r="X154" s="369" t="str">
        <f ca="1">IF($B154&lt;&gt;"PRC_RESID","",IF(X$7=2005+OFFSET(COM_N_2012!$B$60,$AW154,SUMIF($B$10:$B$16,"NCAP_TLIFE",$AX$10:$AX$16)),0,""))</f>
        <v/>
      </c>
      <c r="Y154" s="369" t="str">
        <f ca="1">IF($B154&lt;&gt;"PRC_RESID","",IF(Y$7=2005+OFFSET(COM_N_2012!$B$60,$AW154,SUMIF($B$10:$B$16,"NCAP_TLIFE",$AX$10:$AX$16)),0,""))</f>
        <v/>
      </c>
      <c r="Z154" s="369" t="str">
        <f ca="1">IF($B154&lt;&gt;"PRC_RESID","",IF(Z$7=2005+OFFSET(COM_N_2012!$B$60,$AW154,SUMIF($B$10:$B$16,"NCAP_TLIFE",$AX$10:$AX$16)),0,""))</f>
        <v/>
      </c>
      <c r="AA154" s="369" t="str">
        <f ca="1">IF($B154&lt;&gt;"PRC_RESID","",IF(AA$7=2005+OFFSET(COM_N_2012!$B$60,$AW154,SUMIF($B$10:$B$16,"NCAP_TLIFE",$AX$10:$AX$16)),0,""))</f>
        <v/>
      </c>
      <c r="AB154" s="369" t="str">
        <f ca="1">IF($B154&lt;&gt;"PRC_RESID","",IF(AB$7=2005+OFFSET(COM_N_2012!$B$60,$AW154,SUMIF($B$10:$B$16,"NCAP_TLIFE",$AX$10:$AX$16)),0,""))</f>
        <v/>
      </c>
      <c r="AC154" s="369" t="str">
        <f ca="1">IF($B154&lt;&gt;"PRC_RESID","",IF(AC$7=2005+OFFSET(COM_N_2012!$B$60,$AW154,SUMIF($B$10:$B$16,"NCAP_TLIFE",$AX$10:$AX$16)),0,""))</f>
        <v/>
      </c>
      <c r="AD154" s="369" t="str">
        <f ca="1">IF($B154&lt;&gt;"PRC_RESID","",IF(AD$7=2005+OFFSET(COM_N_2012!$B$60,$AW154,SUMIF($B$10:$B$16,"NCAP_TLIFE",$AX$10:$AX$16)),0,""))</f>
        <v/>
      </c>
      <c r="AE154" s="369" t="str">
        <f ca="1">IF($B154&lt;&gt;"PRC_RESID","",IF(AE$7=2005+OFFSET(COM_N_2012!$B$60,$AW154,SUMIF($B$10:$B$16,"NCAP_TLIFE",$AX$10:$AX$16)),0,""))</f>
        <v/>
      </c>
      <c r="AF154" s="369" t="str">
        <f ca="1">IF($B154&lt;&gt;"PRC_RESID","",IF(AF$7=2005+OFFSET(COM_N_2012!$B$60,$AW154,SUMIF($B$10:$B$16,"NCAP_TLIFE",$AX$10:$AX$16)),0,""))</f>
        <v/>
      </c>
      <c r="AG154" s="369" t="str">
        <f ca="1">IF($B154&lt;&gt;"PRC_RESID","",IF(AG$7=2005+OFFSET(COM_N_2012!$B$60,$AW154,SUMIF($B$10:$B$16,"NCAP_TLIFE",$AX$10:$AX$16)),0,""))</f>
        <v/>
      </c>
      <c r="AH154" s="369" t="str">
        <f ca="1">IF($B154&lt;&gt;"PRC_RESID","",IF(AH$7=2005+OFFSET(COM_N_2012!$B$60,$AW154,SUMIF($B$10:$B$16,"NCAP_TLIFE",$AX$10:$AX$16)),0,""))</f>
        <v/>
      </c>
      <c r="AI154" s="369" t="str">
        <f ca="1">IF($B154&lt;&gt;"PRC_RESID","",IF(AI$7=2005+OFFSET(COM_N_2012!$B$60,$AW154,SUMIF($B$10:$B$16,"NCAP_TLIFE",$AX$10:$AX$16)),0,""))</f>
        <v/>
      </c>
      <c r="AJ154" s="369" t="str">
        <f ca="1">IF($B154&lt;&gt;"PRC_RESID","",IF(AJ$7=2005+OFFSET(COM_N_2012!$B$60,$AW154,SUMIF($B$10:$B$16,"NCAP_TLIFE",$AX$10:$AX$16)),0,""))</f>
        <v/>
      </c>
      <c r="AK154" s="369" t="str">
        <f ca="1">IF($B154&lt;&gt;"PRC_RESID","",IF(AK$7=2005+OFFSET(COM_N_2012!$B$60,$AW154,SUMIF($B$10:$B$16,"NCAP_TLIFE",$AX$10:$AX$16)),0,""))</f>
        <v/>
      </c>
      <c r="AL154" s="369" t="str">
        <f ca="1">IF($B154&lt;&gt;"PRC_RESID","",IF(AL$7=2005+OFFSET(COM_N_2012!$B$60,$AW154,SUMIF($B$10:$B$16,"NCAP_TLIFE",$AX$10:$AX$16)),0,""))</f>
        <v/>
      </c>
      <c r="AM154" s="369" t="str">
        <f ca="1">IF($B154&lt;&gt;"PRC_RESID","",IF(AM$7=2005+OFFSET(COM_N_2012!$B$60,$AW154,SUMIF($B$10:$B$16,"NCAP_TLIFE",$AX$10:$AX$16)),0,""))</f>
        <v/>
      </c>
      <c r="AN154" s="369" t="str">
        <f ca="1">IF($B154&lt;&gt;"PRC_RESID","",IF(AN$7=2005+OFFSET(COM_N_2012!$B$60,$AW154,SUMIF($B$10:$B$16,"NCAP_TLIFE",$AX$10:$AX$16)),0,""))</f>
        <v/>
      </c>
      <c r="AO154" s="369" t="str">
        <f ca="1">IF($B154&lt;&gt;"PRC_RESID","",IF(AO$7=2005+OFFSET(COM_N_2012!$B$60,$AW154,SUMIF($B$10:$B$16,"NCAP_TLIFE",$AX$10:$AX$16)),0,""))</f>
        <v/>
      </c>
      <c r="AP154" s="369" t="str">
        <f ca="1">IF($B154&lt;&gt;"PRC_RESID","",IF(AP$7=2005+OFFSET(COM_N_2012!$B$60,$AW154,SUMIF($B$10:$B$16,"NCAP_TLIFE",$AX$10:$AX$16)),0,""))</f>
        <v/>
      </c>
      <c r="AQ154" s="369" t="str">
        <f ca="1">IF($B154&lt;&gt;"PRC_RESID","",IF(AQ$7=2005+OFFSET(COM_N_2012!$B$60,$AW154,SUMIF($B$10:$B$16,"NCAP_TLIFE",$AX$10:$AX$16)),0,""))</f>
        <v/>
      </c>
      <c r="AR154" s="369" t="str">
        <f ca="1">IF($B154&lt;&gt;"PRC_RESID","",IF(AR$7=2005+OFFSET(COM_N_2012!$B$60,$AW154,SUMIF($B$10:$B$16,"NCAP_TLIFE",$AX$10:$AX$16)),0,""))</f>
        <v/>
      </c>
      <c r="AS154" s="369" t="str">
        <f ca="1">IF($B154&lt;&gt;"PRC_RESID","",IF(AS$7=2005+OFFSET(COM_N_2012!$B$60,$AW154,SUMIF($B$10:$B$16,"NCAP_TLIFE",$AX$10:$AX$16)),0,""))</f>
        <v/>
      </c>
      <c r="AT154" s="369" t="str">
        <f ca="1">IF($B154&lt;&gt;"PRC_RESID","",IF(AT$7=2005+OFFSET(COM_N_2012!$B$60,$AW154,SUMIF($B$10:$B$16,"NCAP_TLIFE",$AX$10:$AX$16)),0,""))</f>
        <v/>
      </c>
      <c r="AU154" s="369" t="str">
        <f ca="1">IF($B154&lt;&gt;"PRC_RESID","",IF(AU$7=2005+OFFSET(COM_N_2012!$B$60,$AW154,SUMIF($B$10:$B$16,"NCAP_TLIFE",$AX$10:$AX$16)),0,""))</f>
        <v/>
      </c>
      <c r="AV154" s="304">
        <f>IF(AW153=COM_N_2012!$AK$121,AV153+1,AV153)</f>
        <v>3</v>
      </c>
      <c r="AW154" s="304">
        <f t="shared" si="20"/>
        <v>15</v>
      </c>
    </row>
    <row r="155" spans="1:49">
      <c r="A155" s="304" t="str">
        <f ca="1">IF(LEFT(OFFSET(COM_N_2012!$A$60,AW155,0),2)="\I","*","")</f>
        <v/>
      </c>
      <c r="B155" s="369" t="str">
        <f t="shared" ca="1" si="19"/>
        <v>NCAP_TLIFE</v>
      </c>
      <c r="C155" s="369" t="str">
        <f ca="1">IF($A155="*","",OFFSET(COM_N_2012!$B$60,AW155,0))</f>
        <v>CNKOLP-E</v>
      </c>
      <c r="D155" s="369" t="str">
        <f t="shared" ca="1" si="21"/>
        <v>-</v>
      </c>
      <c r="E155" s="369" t="str">
        <f t="shared" ca="1" si="21"/>
        <v>-</v>
      </c>
      <c r="F155" s="369" t="str">
        <f t="shared" ca="1" si="21"/>
        <v>-</v>
      </c>
      <c r="G155" s="369" t="str">
        <f t="shared" ca="1" si="21"/>
        <v>-</v>
      </c>
      <c r="H155" s="369" t="str">
        <f t="shared" ca="1" si="21"/>
        <v>-</v>
      </c>
      <c r="I155" s="370">
        <f t="shared" ca="1" si="21"/>
        <v>0</v>
      </c>
      <c r="J155" s="391">
        <f ca="1">IF($A155="*","",OFFSET(COM_N_2012!$B$60,AW155,SUMIF($B$10:$B$16,B155,$AX$10:$AX$16)))</f>
        <v>15</v>
      </c>
      <c r="K155" s="369" t="str">
        <f ca="1">IF($B155&lt;&gt;"PRC_RESID","",IF(K$7=2005+OFFSET(COM_N_2012!$B$60,$AW155,SUMIF($B$10:$B$16,"NCAP_TLIFE",$AX$10:$AX$16)),0,""))</f>
        <v/>
      </c>
      <c r="L155" s="369" t="str">
        <f ca="1">IF($B155&lt;&gt;"PRC_RESID","",IF(L$7=2005+OFFSET(COM_N_2012!$B$60,$AW155,SUMIF($B$10:$B$16,"NCAP_TLIFE",$AX$10:$AX$16)),0,""))</f>
        <v/>
      </c>
      <c r="M155" s="369" t="str">
        <f ca="1">IF($B155&lt;&gt;"PRC_RESID","",IF(M$7=2005+OFFSET(COM_N_2012!$B$60,$AW155,SUMIF($B$10:$B$16,"NCAP_TLIFE",$AX$10:$AX$16)),0,""))</f>
        <v/>
      </c>
      <c r="N155" s="369" t="str">
        <f ca="1">IF($B155&lt;&gt;"PRC_RESID","",IF(N$7=2005+OFFSET(COM_N_2012!$B$60,$AW155,SUMIF($B$10:$B$16,"NCAP_TLIFE",$AX$10:$AX$16)),0,""))</f>
        <v/>
      </c>
      <c r="O155" s="369" t="str">
        <f ca="1">IF($B155&lt;&gt;"PRC_RESID","",IF(O$7=2005+OFFSET(COM_N_2012!$B$60,$AW155,SUMIF($B$10:$B$16,"NCAP_TLIFE",$AX$10:$AX$16)),0,""))</f>
        <v/>
      </c>
      <c r="P155" s="369" t="str">
        <f ca="1">IF($B155&lt;&gt;"PRC_RESID","",IF(P$7=2005+OFFSET(COM_N_2012!$B$60,$AW155,SUMIF($B$10:$B$16,"NCAP_TLIFE",$AX$10:$AX$16)),0,""))</f>
        <v/>
      </c>
      <c r="Q155" s="369" t="str">
        <f ca="1">IF($B155&lt;&gt;"PRC_RESID","",IF(Q$7=2005+OFFSET(COM_N_2012!$B$60,$AW155,SUMIF($B$10:$B$16,"NCAP_TLIFE",$AX$10:$AX$16)),0,""))</f>
        <v/>
      </c>
      <c r="R155" s="369" t="str">
        <f ca="1">IF($B155&lt;&gt;"PRC_RESID","",IF(R$7=2005+OFFSET(COM_N_2012!$B$60,$AW155,SUMIF($B$10:$B$16,"NCAP_TLIFE",$AX$10:$AX$16)),0,""))</f>
        <v/>
      </c>
      <c r="S155" s="369" t="str">
        <f ca="1">IF($B155&lt;&gt;"PRC_RESID","",IF(S$7=2005+OFFSET(COM_N_2012!$B$60,$AW155,SUMIF($B$10:$B$16,"NCAP_TLIFE",$AX$10:$AX$16)),0,""))</f>
        <v/>
      </c>
      <c r="T155" s="369" t="str">
        <f ca="1">IF($B155&lt;&gt;"PRC_RESID","",IF(T$7=2005+OFFSET(COM_N_2012!$B$60,$AW155,SUMIF($B$10:$B$16,"NCAP_TLIFE",$AX$10:$AX$16)),0,""))</f>
        <v/>
      </c>
      <c r="U155" s="369" t="str">
        <f ca="1">IF($B155&lt;&gt;"PRC_RESID","",IF(U$7=2005+OFFSET(COM_N_2012!$B$60,$AW155,SUMIF($B$10:$B$16,"NCAP_TLIFE",$AX$10:$AX$16)),0,""))</f>
        <v/>
      </c>
      <c r="V155" s="369" t="str">
        <f ca="1">IF($B155&lt;&gt;"PRC_RESID","",IF(V$7=2005+OFFSET(COM_N_2012!$B$60,$AW155,SUMIF($B$10:$B$16,"NCAP_TLIFE",$AX$10:$AX$16)),0,""))</f>
        <v/>
      </c>
      <c r="W155" s="369" t="str">
        <f ca="1">IF($B155&lt;&gt;"PRC_RESID","",IF(W$7=2005+OFFSET(COM_N_2012!$B$60,$AW155,SUMIF($B$10:$B$16,"NCAP_TLIFE",$AX$10:$AX$16)),0,""))</f>
        <v/>
      </c>
      <c r="X155" s="369" t="str">
        <f ca="1">IF($B155&lt;&gt;"PRC_RESID","",IF(X$7=2005+OFFSET(COM_N_2012!$B$60,$AW155,SUMIF($B$10:$B$16,"NCAP_TLIFE",$AX$10:$AX$16)),0,""))</f>
        <v/>
      </c>
      <c r="Y155" s="369" t="str">
        <f ca="1">IF($B155&lt;&gt;"PRC_RESID","",IF(Y$7=2005+OFFSET(COM_N_2012!$B$60,$AW155,SUMIF($B$10:$B$16,"NCAP_TLIFE",$AX$10:$AX$16)),0,""))</f>
        <v/>
      </c>
      <c r="Z155" s="369" t="str">
        <f ca="1">IF($B155&lt;&gt;"PRC_RESID","",IF(Z$7=2005+OFFSET(COM_N_2012!$B$60,$AW155,SUMIF($B$10:$B$16,"NCAP_TLIFE",$AX$10:$AX$16)),0,""))</f>
        <v/>
      </c>
      <c r="AA155" s="369" t="str">
        <f ca="1">IF($B155&lt;&gt;"PRC_RESID","",IF(AA$7=2005+OFFSET(COM_N_2012!$B$60,$AW155,SUMIF($B$10:$B$16,"NCAP_TLIFE",$AX$10:$AX$16)),0,""))</f>
        <v/>
      </c>
      <c r="AB155" s="369" t="str">
        <f ca="1">IF($B155&lt;&gt;"PRC_RESID","",IF(AB$7=2005+OFFSET(COM_N_2012!$B$60,$AW155,SUMIF($B$10:$B$16,"NCAP_TLIFE",$AX$10:$AX$16)),0,""))</f>
        <v/>
      </c>
      <c r="AC155" s="369" t="str">
        <f ca="1">IF($B155&lt;&gt;"PRC_RESID","",IF(AC$7=2005+OFFSET(COM_N_2012!$B$60,$AW155,SUMIF($B$10:$B$16,"NCAP_TLIFE",$AX$10:$AX$16)),0,""))</f>
        <v/>
      </c>
      <c r="AD155" s="369" t="str">
        <f ca="1">IF($B155&lt;&gt;"PRC_RESID","",IF(AD$7=2005+OFFSET(COM_N_2012!$B$60,$AW155,SUMIF($B$10:$B$16,"NCAP_TLIFE",$AX$10:$AX$16)),0,""))</f>
        <v/>
      </c>
      <c r="AE155" s="369" t="str">
        <f ca="1">IF($B155&lt;&gt;"PRC_RESID","",IF(AE$7=2005+OFFSET(COM_N_2012!$B$60,$AW155,SUMIF($B$10:$B$16,"NCAP_TLIFE",$AX$10:$AX$16)),0,""))</f>
        <v/>
      </c>
      <c r="AF155" s="369" t="str">
        <f ca="1">IF($B155&lt;&gt;"PRC_RESID","",IF(AF$7=2005+OFFSET(COM_N_2012!$B$60,$AW155,SUMIF($B$10:$B$16,"NCAP_TLIFE",$AX$10:$AX$16)),0,""))</f>
        <v/>
      </c>
      <c r="AG155" s="369" t="str">
        <f ca="1">IF($B155&lt;&gt;"PRC_RESID","",IF(AG$7=2005+OFFSET(COM_N_2012!$B$60,$AW155,SUMIF($B$10:$B$16,"NCAP_TLIFE",$AX$10:$AX$16)),0,""))</f>
        <v/>
      </c>
      <c r="AH155" s="369" t="str">
        <f ca="1">IF($B155&lt;&gt;"PRC_RESID","",IF(AH$7=2005+OFFSET(COM_N_2012!$B$60,$AW155,SUMIF($B$10:$B$16,"NCAP_TLIFE",$AX$10:$AX$16)),0,""))</f>
        <v/>
      </c>
      <c r="AI155" s="369" t="str">
        <f ca="1">IF($B155&lt;&gt;"PRC_RESID","",IF(AI$7=2005+OFFSET(COM_N_2012!$B$60,$AW155,SUMIF($B$10:$B$16,"NCAP_TLIFE",$AX$10:$AX$16)),0,""))</f>
        <v/>
      </c>
      <c r="AJ155" s="369" t="str">
        <f ca="1">IF($B155&lt;&gt;"PRC_RESID","",IF(AJ$7=2005+OFFSET(COM_N_2012!$B$60,$AW155,SUMIF($B$10:$B$16,"NCAP_TLIFE",$AX$10:$AX$16)),0,""))</f>
        <v/>
      </c>
      <c r="AK155" s="369" t="str">
        <f ca="1">IF($B155&lt;&gt;"PRC_RESID","",IF(AK$7=2005+OFFSET(COM_N_2012!$B$60,$AW155,SUMIF($B$10:$B$16,"NCAP_TLIFE",$AX$10:$AX$16)),0,""))</f>
        <v/>
      </c>
      <c r="AL155" s="369" t="str">
        <f ca="1">IF($B155&lt;&gt;"PRC_RESID","",IF(AL$7=2005+OFFSET(COM_N_2012!$B$60,$AW155,SUMIF($B$10:$B$16,"NCAP_TLIFE",$AX$10:$AX$16)),0,""))</f>
        <v/>
      </c>
      <c r="AM155" s="369" t="str">
        <f ca="1">IF($B155&lt;&gt;"PRC_RESID","",IF(AM$7=2005+OFFSET(COM_N_2012!$B$60,$AW155,SUMIF($B$10:$B$16,"NCAP_TLIFE",$AX$10:$AX$16)),0,""))</f>
        <v/>
      </c>
      <c r="AN155" s="369" t="str">
        <f ca="1">IF($B155&lt;&gt;"PRC_RESID","",IF(AN$7=2005+OFFSET(COM_N_2012!$B$60,$AW155,SUMIF($B$10:$B$16,"NCAP_TLIFE",$AX$10:$AX$16)),0,""))</f>
        <v/>
      </c>
      <c r="AO155" s="369" t="str">
        <f ca="1">IF($B155&lt;&gt;"PRC_RESID","",IF(AO$7=2005+OFFSET(COM_N_2012!$B$60,$AW155,SUMIF($B$10:$B$16,"NCAP_TLIFE",$AX$10:$AX$16)),0,""))</f>
        <v/>
      </c>
      <c r="AP155" s="369" t="str">
        <f ca="1">IF($B155&lt;&gt;"PRC_RESID","",IF(AP$7=2005+OFFSET(COM_N_2012!$B$60,$AW155,SUMIF($B$10:$B$16,"NCAP_TLIFE",$AX$10:$AX$16)),0,""))</f>
        <v/>
      </c>
      <c r="AQ155" s="369" t="str">
        <f ca="1">IF($B155&lt;&gt;"PRC_RESID","",IF(AQ$7=2005+OFFSET(COM_N_2012!$B$60,$AW155,SUMIF($B$10:$B$16,"NCAP_TLIFE",$AX$10:$AX$16)),0,""))</f>
        <v/>
      </c>
      <c r="AR155" s="369" t="str">
        <f ca="1">IF($B155&lt;&gt;"PRC_RESID","",IF(AR$7=2005+OFFSET(COM_N_2012!$B$60,$AW155,SUMIF($B$10:$B$16,"NCAP_TLIFE",$AX$10:$AX$16)),0,""))</f>
        <v/>
      </c>
      <c r="AS155" s="369" t="str">
        <f ca="1">IF($B155&lt;&gt;"PRC_RESID","",IF(AS$7=2005+OFFSET(COM_N_2012!$B$60,$AW155,SUMIF($B$10:$B$16,"NCAP_TLIFE",$AX$10:$AX$16)),0,""))</f>
        <v/>
      </c>
      <c r="AT155" s="369" t="str">
        <f ca="1">IF($B155&lt;&gt;"PRC_RESID","",IF(AT$7=2005+OFFSET(COM_N_2012!$B$60,$AW155,SUMIF($B$10:$B$16,"NCAP_TLIFE",$AX$10:$AX$16)),0,""))</f>
        <v/>
      </c>
      <c r="AU155" s="369" t="str">
        <f ca="1">IF($B155&lt;&gt;"PRC_RESID","",IF(AU$7=2005+OFFSET(COM_N_2012!$B$60,$AW155,SUMIF($B$10:$B$16,"NCAP_TLIFE",$AX$10:$AX$16)),0,""))</f>
        <v/>
      </c>
      <c r="AV155" s="304">
        <f>IF(AW154=COM_N_2012!$AK$121,AV154+1,AV154)</f>
        <v>3</v>
      </c>
      <c r="AW155" s="304">
        <f t="shared" si="20"/>
        <v>16</v>
      </c>
    </row>
    <row r="156" spans="1:49">
      <c r="A156" s="304" t="str">
        <f ca="1">IF(LEFT(OFFSET(COM_N_2012!$A$60,AW156,0),2)="\I","*","")</f>
        <v/>
      </c>
      <c r="B156" s="369" t="str">
        <f t="shared" ca="1" si="19"/>
        <v>NCAP_TLIFE</v>
      </c>
      <c r="C156" s="369" t="str">
        <f ca="1">IF($A156="*","",OFFSET(COM_N_2012!$B$60,AW156,0))</f>
        <v>CNKELC-E</v>
      </c>
      <c r="D156" s="369" t="str">
        <f t="shared" ca="1" si="21"/>
        <v>-</v>
      </c>
      <c r="E156" s="369" t="str">
        <f t="shared" ca="1" si="21"/>
        <v>-</v>
      </c>
      <c r="F156" s="369" t="str">
        <f t="shared" ca="1" si="21"/>
        <v>-</v>
      </c>
      <c r="G156" s="369" t="str">
        <f t="shared" ca="1" si="21"/>
        <v>-</v>
      </c>
      <c r="H156" s="369" t="str">
        <f t="shared" ca="1" si="21"/>
        <v>-</v>
      </c>
      <c r="I156" s="370">
        <f t="shared" ca="1" si="21"/>
        <v>0</v>
      </c>
      <c r="J156" s="391">
        <f ca="1">IF($A156="*","",OFFSET(COM_N_2012!$B$60,AW156,SUMIF($B$10:$B$16,B156,$AX$10:$AX$16)))</f>
        <v>15</v>
      </c>
      <c r="K156" s="369" t="str">
        <f ca="1">IF($B156&lt;&gt;"PRC_RESID","",IF(K$7=2005+OFFSET(COM_N_2012!$B$60,$AW156,SUMIF($B$10:$B$16,"NCAP_TLIFE",$AX$10:$AX$16)),0,""))</f>
        <v/>
      </c>
      <c r="L156" s="369" t="str">
        <f ca="1">IF($B156&lt;&gt;"PRC_RESID","",IF(L$7=2005+OFFSET(COM_N_2012!$B$60,$AW156,SUMIF($B$10:$B$16,"NCAP_TLIFE",$AX$10:$AX$16)),0,""))</f>
        <v/>
      </c>
      <c r="M156" s="369" t="str">
        <f ca="1">IF($B156&lt;&gt;"PRC_RESID","",IF(M$7=2005+OFFSET(COM_N_2012!$B$60,$AW156,SUMIF($B$10:$B$16,"NCAP_TLIFE",$AX$10:$AX$16)),0,""))</f>
        <v/>
      </c>
      <c r="N156" s="369" t="str">
        <f ca="1">IF($B156&lt;&gt;"PRC_RESID","",IF(N$7=2005+OFFSET(COM_N_2012!$B$60,$AW156,SUMIF($B$10:$B$16,"NCAP_TLIFE",$AX$10:$AX$16)),0,""))</f>
        <v/>
      </c>
      <c r="O156" s="369" t="str">
        <f ca="1">IF($B156&lt;&gt;"PRC_RESID","",IF(O$7=2005+OFFSET(COM_N_2012!$B$60,$AW156,SUMIF($B$10:$B$16,"NCAP_TLIFE",$AX$10:$AX$16)),0,""))</f>
        <v/>
      </c>
      <c r="P156" s="369" t="str">
        <f ca="1">IF($B156&lt;&gt;"PRC_RESID","",IF(P$7=2005+OFFSET(COM_N_2012!$B$60,$AW156,SUMIF($B$10:$B$16,"NCAP_TLIFE",$AX$10:$AX$16)),0,""))</f>
        <v/>
      </c>
      <c r="Q156" s="369" t="str">
        <f ca="1">IF($B156&lt;&gt;"PRC_RESID","",IF(Q$7=2005+OFFSET(COM_N_2012!$B$60,$AW156,SUMIF($B$10:$B$16,"NCAP_TLIFE",$AX$10:$AX$16)),0,""))</f>
        <v/>
      </c>
      <c r="R156" s="369" t="str">
        <f ca="1">IF($B156&lt;&gt;"PRC_RESID","",IF(R$7=2005+OFFSET(COM_N_2012!$B$60,$AW156,SUMIF($B$10:$B$16,"NCAP_TLIFE",$AX$10:$AX$16)),0,""))</f>
        <v/>
      </c>
      <c r="S156" s="369" t="str">
        <f ca="1">IF($B156&lt;&gt;"PRC_RESID","",IF(S$7=2005+OFFSET(COM_N_2012!$B$60,$AW156,SUMIF($B$10:$B$16,"NCAP_TLIFE",$AX$10:$AX$16)),0,""))</f>
        <v/>
      </c>
      <c r="T156" s="369" t="str">
        <f ca="1">IF($B156&lt;&gt;"PRC_RESID","",IF(T$7=2005+OFFSET(COM_N_2012!$B$60,$AW156,SUMIF($B$10:$B$16,"NCAP_TLIFE",$AX$10:$AX$16)),0,""))</f>
        <v/>
      </c>
      <c r="U156" s="369" t="str">
        <f ca="1">IF($B156&lt;&gt;"PRC_RESID","",IF(U$7=2005+OFFSET(COM_N_2012!$B$60,$AW156,SUMIF($B$10:$B$16,"NCAP_TLIFE",$AX$10:$AX$16)),0,""))</f>
        <v/>
      </c>
      <c r="V156" s="369" t="str">
        <f ca="1">IF($B156&lt;&gt;"PRC_RESID","",IF(V$7=2005+OFFSET(COM_N_2012!$B$60,$AW156,SUMIF($B$10:$B$16,"NCAP_TLIFE",$AX$10:$AX$16)),0,""))</f>
        <v/>
      </c>
      <c r="W156" s="369" t="str">
        <f ca="1">IF($B156&lt;&gt;"PRC_RESID","",IF(W$7=2005+OFFSET(COM_N_2012!$B$60,$AW156,SUMIF($B$10:$B$16,"NCAP_TLIFE",$AX$10:$AX$16)),0,""))</f>
        <v/>
      </c>
      <c r="X156" s="369" t="str">
        <f ca="1">IF($B156&lt;&gt;"PRC_RESID","",IF(X$7=2005+OFFSET(COM_N_2012!$B$60,$AW156,SUMIF($B$10:$B$16,"NCAP_TLIFE",$AX$10:$AX$16)),0,""))</f>
        <v/>
      </c>
      <c r="Y156" s="369" t="str">
        <f ca="1">IF($B156&lt;&gt;"PRC_RESID","",IF(Y$7=2005+OFFSET(COM_N_2012!$B$60,$AW156,SUMIF($B$10:$B$16,"NCAP_TLIFE",$AX$10:$AX$16)),0,""))</f>
        <v/>
      </c>
      <c r="Z156" s="369" t="str">
        <f ca="1">IF($B156&lt;&gt;"PRC_RESID","",IF(Z$7=2005+OFFSET(COM_N_2012!$B$60,$AW156,SUMIF($B$10:$B$16,"NCAP_TLIFE",$AX$10:$AX$16)),0,""))</f>
        <v/>
      </c>
      <c r="AA156" s="369" t="str">
        <f ca="1">IF($B156&lt;&gt;"PRC_RESID","",IF(AA$7=2005+OFFSET(COM_N_2012!$B$60,$AW156,SUMIF($B$10:$B$16,"NCAP_TLIFE",$AX$10:$AX$16)),0,""))</f>
        <v/>
      </c>
      <c r="AB156" s="369" t="str">
        <f ca="1">IF($B156&lt;&gt;"PRC_RESID","",IF(AB$7=2005+OFFSET(COM_N_2012!$B$60,$AW156,SUMIF($B$10:$B$16,"NCAP_TLIFE",$AX$10:$AX$16)),0,""))</f>
        <v/>
      </c>
      <c r="AC156" s="369" t="str">
        <f ca="1">IF($B156&lt;&gt;"PRC_RESID","",IF(AC$7=2005+OFFSET(COM_N_2012!$B$60,$AW156,SUMIF($B$10:$B$16,"NCAP_TLIFE",$AX$10:$AX$16)),0,""))</f>
        <v/>
      </c>
      <c r="AD156" s="369" t="str">
        <f ca="1">IF($B156&lt;&gt;"PRC_RESID","",IF(AD$7=2005+OFFSET(COM_N_2012!$B$60,$AW156,SUMIF($B$10:$B$16,"NCAP_TLIFE",$AX$10:$AX$16)),0,""))</f>
        <v/>
      </c>
      <c r="AE156" s="369" t="str">
        <f ca="1">IF($B156&lt;&gt;"PRC_RESID","",IF(AE$7=2005+OFFSET(COM_N_2012!$B$60,$AW156,SUMIF($B$10:$B$16,"NCAP_TLIFE",$AX$10:$AX$16)),0,""))</f>
        <v/>
      </c>
      <c r="AF156" s="369" t="str">
        <f ca="1">IF($B156&lt;&gt;"PRC_RESID","",IF(AF$7=2005+OFFSET(COM_N_2012!$B$60,$AW156,SUMIF($B$10:$B$16,"NCAP_TLIFE",$AX$10:$AX$16)),0,""))</f>
        <v/>
      </c>
      <c r="AG156" s="369" t="str">
        <f ca="1">IF($B156&lt;&gt;"PRC_RESID","",IF(AG$7=2005+OFFSET(COM_N_2012!$B$60,$AW156,SUMIF($B$10:$B$16,"NCAP_TLIFE",$AX$10:$AX$16)),0,""))</f>
        <v/>
      </c>
      <c r="AH156" s="369" t="str">
        <f ca="1">IF($B156&lt;&gt;"PRC_RESID","",IF(AH$7=2005+OFFSET(COM_N_2012!$B$60,$AW156,SUMIF($B$10:$B$16,"NCAP_TLIFE",$AX$10:$AX$16)),0,""))</f>
        <v/>
      </c>
      <c r="AI156" s="369" t="str">
        <f ca="1">IF($B156&lt;&gt;"PRC_RESID","",IF(AI$7=2005+OFFSET(COM_N_2012!$B$60,$AW156,SUMIF($B$10:$B$16,"NCAP_TLIFE",$AX$10:$AX$16)),0,""))</f>
        <v/>
      </c>
      <c r="AJ156" s="369" t="str">
        <f ca="1">IF($B156&lt;&gt;"PRC_RESID","",IF(AJ$7=2005+OFFSET(COM_N_2012!$B$60,$AW156,SUMIF($B$10:$B$16,"NCAP_TLIFE",$AX$10:$AX$16)),0,""))</f>
        <v/>
      </c>
      <c r="AK156" s="369" t="str">
        <f ca="1">IF($B156&lt;&gt;"PRC_RESID","",IF(AK$7=2005+OFFSET(COM_N_2012!$B$60,$AW156,SUMIF($B$10:$B$16,"NCAP_TLIFE",$AX$10:$AX$16)),0,""))</f>
        <v/>
      </c>
      <c r="AL156" s="369" t="str">
        <f ca="1">IF($B156&lt;&gt;"PRC_RESID","",IF(AL$7=2005+OFFSET(COM_N_2012!$B$60,$AW156,SUMIF($B$10:$B$16,"NCAP_TLIFE",$AX$10:$AX$16)),0,""))</f>
        <v/>
      </c>
      <c r="AM156" s="369" t="str">
        <f ca="1">IF($B156&lt;&gt;"PRC_RESID","",IF(AM$7=2005+OFFSET(COM_N_2012!$B$60,$AW156,SUMIF($B$10:$B$16,"NCAP_TLIFE",$AX$10:$AX$16)),0,""))</f>
        <v/>
      </c>
      <c r="AN156" s="369" t="str">
        <f ca="1">IF($B156&lt;&gt;"PRC_RESID","",IF(AN$7=2005+OFFSET(COM_N_2012!$B$60,$AW156,SUMIF($B$10:$B$16,"NCAP_TLIFE",$AX$10:$AX$16)),0,""))</f>
        <v/>
      </c>
      <c r="AO156" s="369" t="str">
        <f ca="1">IF($B156&lt;&gt;"PRC_RESID","",IF(AO$7=2005+OFFSET(COM_N_2012!$B$60,$AW156,SUMIF($B$10:$B$16,"NCAP_TLIFE",$AX$10:$AX$16)),0,""))</f>
        <v/>
      </c>
      <c r="AP156" s="369" t="str">
        <f ca="1">IF($B156&lt;&gt;"PRC_RESID","",IF(AP$7=2005+OFFSET(COM_N_2012!$B$60,$AW156,SUMIF($B$10:$B$16,"NCAP_TLIFE",$AX$10:$AX$16)),0,""))</f>
        <v/>
      </c>
      <c r="AQ156" s="369" t="str">
        <f ca="1">IF($B156&lt;&gt;"PRC_RESID","",IF(AQ$7=2005+OFFSET(COM_N_2012!$B$60,$AW156,SUMIF($B$10:$B$16,"NCAP_TLIFE",$AX$10:$AX$16)),0,""))</f>
        <v/>
      </c>
      <c r="AR156" s="369" t="str">
        <f ca="1">IF($B156&lt;&gt;"PRC_RESID","",IF(AR$7=2005+OFFSET(COM_N_2012!$B$60,$AW156,SUMIF($B$10:$B$16,"NCAP_TLIFE",$AX$10:$AX$16)),0,""))</f>
        <v/>
      </c>
      <c r="AS156" s="369" t="str">
        <f ca="1">IF($B156&lt;&gt;"PRC_RESID","",IF(AS$7=2005+OFFSET(COM_N_2012!$B$60,$AW156,SUMIF($B$10:$B$16,"NCAP_TLIFE",$AX$10:$AX$16)),0,""))</f>
        <v/>
      </c>
      <c r="AT156" s="369" t="str">
        <f ca="1">IF($B156&lt;&gt;"PRC_RESID","",IF(AT$7=2005+OFFSET(COM_N_2012!$B$60,$AW156,SUMIF($B$10:$B$16,"NCAP_TLIFE",$AX$10:$AX$16)),0,""))</f>
        <v/>
      </c>
      <c r="AU156" s="369" t="str">
        <f ca="1">IF($B156&lt;&gt;"PRC_RESID","",IF(AU$7=2005+OFFSET(COM_N_2012!$B$60,$AW156,SUMIF($B$10:$B$16,"NCAP_TLIFE",$AX$10:$AX$16)),0,""))</f>
        <v/>
      </c>
      <c r="AV156" s="304">
        <f>IF(AW155=COM_N_2012!$AK$121,AV155+1,AV155)</f>
        <v>3</v>
      </c>
      <c r="AW156" s="304">
        <f t="shared" si="20"/>
        <v>17</v>
      </c>
    </row>
    <row r="157" spans="1:49">
      <c r="A157" s="304" t="str">
        <f ca="1">IF(LEFT(OFFSET(COM_N_2012!$A$60,AW157,0),2)="\I","*","")</f>
        <v/>
      </c>
      <c r="B157" s="369" t="str">
        <f t="shared" ca="1" si="19"/>
        <v>NCAP_TLIFE</v>
      </c>
      <c r="C157" s="369" t="str">
        <f ca="1">IF($A157="*","",OFFSET(COM_N_2012!$B$60,AW157,0))</f>
        <v>CNKCOA-E</v>
      </c>
      <c r="D157" s="369" t="str">
        <f t="shared" ca="1" si="21"/>
        <v>-</v>
      </c>
      <c r="E157" s="369" t="str">
        <f t="shared" ca="1" si="21"/>
        <v>-</v>
      </c>
      <c r="F157" s="369" t="str">
        <f t="shared" ca="1" si="21"/>
        <v>-</v>
      </c>
      <c r="G157" s="369" t="str">
        <f t="shared" ca="1" si="21"/>
        <v>-</v>
      </c>
      <c r="H157" s="369" t="str">
        <f t="shared" ca="1" si="21"/>
        <v>-</v>
      </c>
      <c r="I157" s="370">
        <f t="shared" ca="1" si="21"/>
        <v>0</v>
      </c>
      <c r="J157" s="391">
        <f ca="1">IF($A157="*","",OFFSET(COM_N_2012!$B$60,AW157,SUMIF($B$10:$B$16,B157,$AX$10:$AX$16)))</f>
        <v>15</v>
      </c>
      <c r="K157" s="369" t="str">
        <f ca="1">IF($B157&lt;&gt;"PRC_RESID","",IF(K$7=2005+OFFSET(COM_N_2012!$B$60,$AW157,SUMIF($B$10:$B$16,"NCAP_TLIFE",$AX$10:$AX$16)),0,""))</f>
        <v/>
      </c>
      <c r="L157" s="369" t="str">
        <f ca="1">IF($B157&lt;&gt;"PRC_RESID","",IF(L$7=2005+OFFSET(COM_N_2012!$B$60,$AW157,SUMIF($B$10:$B$16,"NCAP_TLIFE",$AX$10:$AX$16)),0,""))</f>
        <v/>
      </c>
      <c r="M157" s="369" t="str">
        <f ca="1">IF($B157&lt;&gt;"PRC_RESID","",IF(M$7=2005+OFFSET(COM_N_2012!$B$60,$AW157,SUMIF($B$10:$B$16,"NCAP_TLIFE",$AX$10:$AX$16)),0,""))</f>
        <v/>
      </c>
      <c r="N157" s="369" t="str">
        <f ca="1">IF($B157&lt;&gt;"PRC_RESID","",IF(N$7=2005+OFFSET(COM_N_2012!$B$60,$AW157,SUMIF($B$10:$B$16,"NCAP_TLIFE",$AX$10:$AX$16)),0,""))</f>
        <v/>
      </c>
      <c r="O157" s="369" t="str">
        <f ca="1">IF($B157&lt;&gt;"PRC_RESID","",IF(O$7=2005+OFFSET(COM_N_2012!$B$60,$AW157,SUMIF($B$10:$B$16,"NCAP_TLIFE",$AX$10:$AX$16)),0,""))</f>
        <v/>
      </c>
      <c r="P157" s="369" t="str">
        <f ca="1">IF($B157&lt;&gt;"PRC_RESID","",IF(P$7=2005+OFFSET(COM_N_2012!$B$60,$AW157,SUMIF($B$10:$B$16,"NCAP_TLIFE",$AX$10:$AX$16)),0,""))</f>
        <v/>
      </c>
      <c r="Q157" s="369" t="str">
        <f ca="1">IF($B157&lt;&gt;"PRC_RESID","",IF(Q$7=2005+OFFSET(COM_N_2012!$B$60,$AW157,SUMIF($B$10:$B$16,"NCAP_TLIFE",$AX$10:$AX$16)),0,""))</f>
        <v/>
      </c>
      <c r="R157" s="369" t="str">
        <f ca="1">IF($B157&lt;&gt;"PRC_RESID","",IF(R$7=2005+OFFSET(COM_N_2012!$B$60,$AW157,SUMIF($B$10:$B$16,"NCAP_TLIFE",$AX$10:$AX$16)),0,""))</f>
        <v/>
      </c>
      <c r="S157" s="369" t="str">
        <f ca="1">IF($B157&lt;&gt;"PRC_RESID","",IF(S$7=2005+OFFSET(COM_N_2012!$B$60,$AW157,SUMIF($B$10:$B$16,"NCAP_TLIFE",$AX$10:$AX$16)),0,""))</f>
        <v/>
      </c>
      <c r="T157" s="369" t="str">
        <f ca="1">IF($B157&lt;&gt;"PRC_RESID","",IF(T$7=2005+OFFSET(COM_N_2012!$B$60,$AW157,SUMIF($B$10:$B$16,"NCAP_TLIFE",$AX$10:$AX$16)),0,""))</f>
        <v/>
      </c>
      <c r="U157" s="369" t="str">
        <f ca="1">IF($B157&lt;&gt;"PRC_RESID","",IF(U$7=2005+OFFSET(COM_N_2012!$B$60,$AW157,SUMIF($B$10:$B$16,"NCAP_TLIFE",$AX$10:$AX$16)),0,""))</f>
        <v/>
      </c>
      <c r="V157" s="369" t="str">
        <f ca="1">IF($B157&lt;&gt;"PRC_RESID","",IF(V$7=2005+OFFSET(COM_N_2012!$B$60,$AW157,SUMIF($B$10:$B$16,"NCAP_TLIFE",$AX$10:$AX$16)),0,""))</f>
        <v/>
      </c>
      <c r="W157" s="369" t="str">
        <f ca="1">IF($B157&lt;&gt;"PRC_RESID","",IF(W$7=2005+OFFSET(COM_N_2012!$B$60,$AW157,SUMIF($B$10:$B$16,"NCAP_TLIFE",$AX$10:$AX$16)),0,""))</f>
        <v/>
      </c>
      <c r="X157" s="369" t="str">
        <f ca="1">IF($B157&lt;&gt;"PRC_RESID","",IF(X$7=2005+OFFSET(COM_N_2012!$B$60,$AW157,SUMIF($B$10:$B$16,"NCAP_TLIFE",$AX$10:$AX$16)),0,""))</f>
        <v/>
      </c>
      <c r="Y157" s="369" t="str">
        <f ca="1">IF($B157&lt;&gt;"PRC_RESID","",IF(Y$7=2005+OFFSET(COM_N_2012!$B$60,$AW157,SUMIF($B$10:$B$16,"NCAP_TLIFE",$AX$10:$AX$16)),0,""))</f>
        <v/>
      </c>
      <c r="Z157" s="369" t="str">
        <f ca="1">IF($B157&lt;&gt;"PRC_RESID","",IF(Z$7=2005+OFFSET(COM_N_2012!$B$60,$AW157,SUMIF($B$10:$B$16,"NCAP_TLIFE",$AX$10:$AX$16)),0,""))</f>
        <v/>
      </c>
      <c r="AA157" s="369" t="str">
        <f ca="1">IF($B157&lt;&gt;"PRC_RESID","",IF(AA$7=2005+OFFSET(COM_N_2012!$B$60,$AW157,SUMIF($B$10:$B$16,"NCAP_TLIFE",$AX$10:$AX$16)),0,""))</f>
        <v/>
      </c>
      <c r="AB157" s="369" t="str">
        <f ca="1">IF($B157&lt;&gt;"PRC_RESID","",IF(AB$7=2005+OFFSET(COM_N_2012!$B$60,$AW157,SUMIF($B$10:$B$16,"NCAP_TLIFE",$AX$10:$AX$16)),0,""))</f>
        <v/>
      </c>
      <c r="AC157" s="369" t="str">
        <f ca="1">IF($B157&lt;&gt;"PRC_RESID","",IF(AC$7=2005+OFFSET(COM_N_2012!$B$60,$AW157,SUMIF($B$10:$B$16,"NCAP_TLIFE",$AX$10:$AX$16)),0,""))</f>
        <v/>
      </c>
      <c r="AD157" s="369" t="str">
        <f ca="1">IF($B157&lt;&gt;"PRC_RESID","",IF(AD$7=2005+OFFSET(COM_N_2012!$B$60,$AW157,SUMIF($B$10:$B$16,"NCAP_TLIFE",$AX$10:$AX$16)),0,""))</f>
        <v/>
      </c>
      <c r="AE157" s="369" t="str">
        <f ca="1">IF($B157&lt;&gt;"PRC_RESID","",IF(AE$7=2005+OFFSET(COM_N_2012!$B$60,$AW157,SUMIF($B$10:$B$16,"NCAP_TLIFE",$AX$10:$AX$16)),0,""))</f>
        <v/>
      </c>
      <c r="AF157" s="369" t="str">
        <f ca="1">IF($B157&lt;&gt;"PRC_RESID","",IF(AF$7=2005+OFFSET(COM_N_2012!$B$60,$AW157,SUMIF($B$10:$B$16,"NCAP_TLIFE",$AX$10:$AX$16)),0,""))</f>
        <v/>
      </c>
      <c r="AG157" s="369" t="str">
        <f ca="1">IF($B157&lt;&gt;"PRC_RESID","",IF(AG$7=2005+OFFSET(COM_N_2012!$B$60,$AW157,SUMIF($B$10:$B$16,"NCAP_TLIFE",$AX$10:$AX$16)),0,""))</f>
        <v/>
      </c>
      <c r="AH157" s="369" t="str">
        <f ca="1">IF($B157&lt;&gt;"PRC_RESID","",IF(AH$7=2005+OFFSET(COM_N_2012!$B$60,$AW157,SUMIF($B$10:$B$16,"NCAP_TLIFE",$AX$10:$AX$16)),0,""))</f>
        <v/>
      </c>
      <c r="AI157" s="369" t="str">
        <f ca="1">IF($B157&lt;&gt;"PRC_RESID","",IF(AI$7=2005+OFFSET(COM_N_2012!$B$60,$AW157,SUMIF($B$10:$B$16,"NCAP_TLIFE",$AX$10:$AX$16)),0,""))</f>
        <v/>
      </c>
      <c r="AJ157" s="369" t="str">
        <f ca="1">IF($B157&lt;&gt;"PRC_RESID","",IF(AJ$7=2005+OFFSET(COM_N_2012!$B$60,$AW157,SUMIF($B$10:$B$16,"NCAP_TLIFE",$AX$10:$AX$16)),0,""))</f>
        <v/>
      </c>
      <c r="AK157" s="369" t="str">
        <f ca="1">IF($B157&lt;&gt;"PRC_RESID","",IF(AK$7=2005+OFFSET(COM_N_2012!$B$60,$AW157,SUMIF($B$10:$B$16,"NCAP_TLIFE",$AX$10:$AX$16)),0,""))</f>
        <v/>
      </c>
      <c r="AL157" s="369" t="str">
        <f ca="1">IF($B157&lt;&gt;"PRC_RESID","",IF(AL$7=2005+OFFSET(COM_N_2012!$B$60,$AW157,SUMIF($B$10:$B$16,"NCAP_TLIFE",$AX$10:$AX$16)),0,""))</f>
        <v/>
      </c>
      <c r="AM157" s="369" t="str">
        <f ca="1">IF($B157&lt;&gt;"PRC_RESID","",IF(AM$7=2005+OFFSET(COM_N_2012!$B$60,$AW157,SUMIF($B$10:$B$16,"NCAP_TLIFE",$AX$10:$AX$16)),0,""))</f>
        <v/>
      </c>
      <c r="AN157" s="369" t="str">
        <f ca="1">IF($B157&lt;&gt;"PRC_RESID","",IF(AN$7=2005+OFFSET(COM_N_2012!$B$60,$AW157,SUMIF($B$10:$B$16,"NCAP_TLIFE",$AX$10:$AX$16)),0,""))</f>
        <v/>
      </c>
      <c r="AO157" s="369" t="str">
        <f ca="1">IF($B157&lt;&gt;"PRC_RESID","",IF(AO$7=2005+OFFSET(COM_N_2012!$B$60,$AW157,SUMIF($B$10:$B$16,"NCAP_TLIFE",$AX$10:$AX$16)),0,""))</f>
        <v/>
      </c>
      <c r="AP157" s="369" t="str">
        <f ca="1">IF($B157&lt;&gt;"PRC_RESID","",IF(AP$7=2005+OFFSET(COM_N_2012!$B$60,$AW157,SUMIF($B$10:$B$16,"NCAP_TLIFE",$AX$10:$AX$16)),0,""))</f>
        <v/>
      </c>
      <c r="AQ157" s="369" t="str">
        <f ca="1">IF($B157&lt;&gt;"PRC_RESID","",IF(AQ$7=2005+OFFSET(COM_N_2012!$B$60,$AW157,SUMIF($B$10:$B$16,"NCAP_TLIFE",$AX$10:$AX$16)),0,""))</f>
        <v/>
      </c>
      <c r="AR157" s="369" t="str">
        <f ca="1">IF($B157&lt;&gt;"PRC_RESID","",IF(AR$7=2005+OFFSET(COM_N_2012!$B$60,$AW157,SUMIF($B$10:$B$16,"NCAP_TLIFE",$AX$10:$AX$16)),0,""))</f>
        <v/>
      </c>
      <c r="AS157" s="369" t="str">
        <f ca="1">IF($B157&lt;&gt;"PRC_RESID","",IF(AS$7=2005+OFFSET(COM_N_2012!$B$60,$AW157,SUMIF($B$10:$B$16,"NCAP_TLIFE",$AX$10:$AX$16)),0,""))</f>
        <v/>
      </c>
      <c r="AT157" s="369" t="str">
        <f ca="1">IF($B157&lt;&gt;"PRC_RESID","",IF(AT$7=2005+OFFSET(COM_N_2012!$B$60,$AW157,SUMIF($B$10:$B$16,"NCAP_TLIFE",$AX$10:$AX$16)),0,""))</f>
        <v/>
      </c>
      <c r="AU157" s="369" t="str">
        <f ca="1">IF($B157&lt;&gt;"PRC_RESID","",IF(AU$7=2005+OFFSET(COM_N_2012!$B$60,$AW157,SUMIF($B$10:$B$16,"NCAP_TLIFE",$AX$10:$AX$16)),0,""))</f>
        <v/>
      </c>
      <c r="AV157" s="304">
        <f>IF(AW156=COM_N_2012!$AK$121,AV156+1,AV156)</f>
        <v>3</v>
      </c>
      <c r="AW157" s="304">
        <f t="shared" si="20"/>
        <v>18</v>
      </c>
    </row>
    <row r="158" spans="1:49">
      <c r="A158" s="304" t="str">
        <f ca="1">IF(LEFT(OFFSET(COM_N_2012!$A$60,AW158,0),2)="\I","*","")</f>
        <v>*</v>
      </c>
      <c r="B158" s="369" t="str">
        <f t="shared" ca="1" si="19"/>
        <v/>
      </c>
      <c r="C158" s="369" t="str">
        <f ca="1">IF($A158="*","",OFFSET(COM_N_2012!$B$60,AW158,0))</f>
        <v/>
      </c>
      <c r="D158" s="369" t="str">
        <f t="shared" ref="D158:I167" ca="1" si="22">IF($A158="*","",VLOOKUP($B158,$B$10:$I$16,D$9,FALSE))</f>
        <v/>
      </c>
      <c r="E158" s="369" t="str">
        <f t="shared" ca="1" si="22"/>
        <v/>
      </c>
      <c r="F158" s="369" t="str">
        <f t="shared" ca="1" si="22"/>
        <v/>
      </c>
      <c r="G158" s="369" t="str">
        <f t="shared" ca="1" si="22"/>
        <v/>
      </c>
      <c r="H158" s="369" t="str">
        <f t="shared" ca="1" si="22"/>
        <v/>
      </c>
      <c r="I158" s="370" t="str">
        <f t="shared" ca="1" si="22"/>
        <v/>
      </c>
      <c r="J158" s="391" t="str">
        <f ca="1">IF($A158="*","",OFFSET(COM_N_2012!$B$60,AW158,SUMIF($B$10:$B$16,B158,$AX$10:$AX$16)))</f>
        <v/>
      </c>
      <c r="K158" s="369" t="str">
        <f ca="1">IF($B158&lt;&gt;"PRC_RESID","",IF(K$7=2005+OFFSET(COM_N_2012!$B$60,$AW158,SUMIF($B$10:$B$16,"NCAP_TLIFE",$AX$10:$AX$16)),0,""))</f>
        <v/>
      </c>
      <c r="L158" s="369" t="str">
        <f ca="1">IF($B158&lt;&gt;"PRC_RESID","",IF(L$7=2005+OFFSET(COM_N_2012!$B$60,$AW158,SUMIF($B$10:$B$16,"NCAP_TLIFE",$AX$10:$AX$16)),0,""))</f>
        <v/>
      </c>
      <c r="M158" s="369" t="str">
        <f ca="1">IF($B158&lt;&gt;"PRC_RESID","",IF(M$7=2005+OFFSET(COM_N_2012!$B$60,$AW158,SUMIF($B$10:$B$16,"NCAP_TLIFE",$AX$10:$AX$16)),0,""))</f>
        <v/>
      </c>
      <c r="N158" s="369" t="str">
        <f ca="1">IF($B158&lt;&gt;"PRC_RESID","",IF(N$7=2005+OFFSET(COM_N_2012!$B$60,$AW158,SUMIF($B$10:$B$16,"NCAP_TLIFE",$AX$10:$AX$16)),0,""))</f>
        <v/>
      </c>
      <c r="O158" s="369" t="str">
        <f ca="1">IF($B158&lt;&gt;"PRC_RESID","",IF(O$7=2005+OFFSET(COM_N_2012!$B$60,$AW158,SUMIF($B$10:$B$16,"NCAP_TLIFE",$AX$10:$AX$16)),0,""))</f>
        <v/>
      </c>
      <c r="P158" s="369" t="str">
        <f ca="1">IF($B158&lt;&gt;"PRC_RESID","",IF(P$7=2005+OFFSET(COM_N_2012!$B$60,$AW158,SUMIF($B$10:$B$16,"NCAP_TLIFE",$AX$10:$AX$16)),0,""))</f>
        <v/>
      </c>
      <c r="Q158" s="369" t="str">
        <f ca="1">IF($B158&lt;&gt;"PRC_RESID","",IF(Q$7=2005+OFFSET(COM_N_2012!$B$60,$AW158,SUMIF($B$10:$B$16,"NCAP_TLIFE",$AX$10:$AX$16)),0,""))</f>
        <v/>
      </c>
      <c r="R158" s="369" t="str">
        <f ca="1">IF($B158&lt;&gt;"PRC_RESID","",IF(R$7=2005+OFFSET(COM_N_2012!$B$60,$AW158,SUMIF($B$10:$B$16,"NCAP_TLIFE",$AX$10:$AX$16)),0,""))</f>
        <v/>
      </c>
      <c r="S158" s="369" t="str">
        <f ca="1">IF($B158&lt;&gt;"PRC_RESID","",IF(S$7=2005+OFFSET(COM_N_2012!$B$60,$AW158,SUMIF($B$10:$B$16,"NCAP_TLIFE",$AX$10:$AX$16)),0,""))</f>
        <v/>
      </c>
      <c r="T158" s="369" t="str">
        <f ca="1">IF($B158&lt;&gt;"PRC_RESID","",IF(T$7=2005+OFFSET(COM_N_2012!$B$60,$AW158,SUMIF($B$10:$B$16,"NCAP_TLIFE",$AX$10:$AX$16)),0,""))</f>
        <v/>
      </c>
      <c r="U158" s="369" t="str">
        <f ca="1">IF($B158&lt;&gt;"PRC_RESID","",IF(U$7=2005+OFFSET(COM_N_2012!$B$60,$AW158,SUMIF($B$10:$B$16,"NCAP_TLIFE",$AX$10:$AX$16)),0,""))</f>
        <v/>
      </c>
      <c r="V158" s="369" t="str">
        <f ca="1">IF($B158&lt;&gt;"PRC_RESID","",IF(V$7=2005+OFFSET(COM_N_2012!$B$60,$AW158,SUMIF($B$10:$B$16,"NCAP_TLIFE",$AX$10:$AX$16)),0,""))</f>
        <v/>
      </c>
      <c r="W158" s="369" t="str">
        <f ca="1">IF($B158&lt;&gt;"PRC_RESID","",IF(W$7=2005+OFFSET(COM_N_2012!$B$60,$AW158,SUMIF($B$10:$B$16,"NCAP_TLIFE",$AX$10:$AX$16)),0,""))</f>
        <v/>
      </c>
      <c r="X158" s="369" t="str">
        <f ca="1">IF($B158&lt;&gt;"PRC_RESID","",IF(X$7=2005+OFFSET(COM_N_2012!$B$60,$AW158,SUMIF($B$10:$B$16,"NCAP_TLIFE",$AX$10:$AX$16)),0,""))</f>
        <v/>
      </c>
      <c r="Y158" s="369" t="str">
        <f ca="1">IF($B158&lt;&gt;"PRC_RESID","",IF(Y$7=2005+OFFSET(COM_N_2012!$B$60,$AW158,SUMIF($B$10:$B$16,"NCAP_TLIFE",$AX$10:$AX$16)),0,""))</f>
        <v/>
      </c>
      <c r="Z158" s="369" t="str">
        <f ca="1">IF($B158&lt;&gt;"PRC_RESID","",IF(Z$7=2005+OFFSET(COM_N_2012!$B$60,$AW158,SUMIF($B$10:$B$16,"NCAP_TLIFE",$AX$10:$AX$16)),0,""))</f>
        <v/>
      </c>
      <c r="AA158" s="369" t="str">
        <f ca="1">IF($B158&lt;&gt;"PRC_RESID","",IF(AA$7=2005+OFFSET(COM_N_2012!$B$60,$AW158,SUMIF($B$10:$B$16,"NCAP_TLIFE",$AX$10:$AX$16)),0,""))</f>
        <v/>
      </c>
      <c r="AB158" s="369" t="str">
        <f ca="1">IF($B158&lt;&gt;"PRC_RESID","",IF(AB$7=2005+OFFSET(COM_N_2012!$B$60,$AW158,SUMIF($B$10:$B$16,"NCAP_TLIFE",$AX$10:$AX$16)),0,""))</f>
        <v/>
      </c>
      <c r="AC158" s="369" t="str">
        <f ca="1">IF($B158&lt;&gt;"PRC_RESID","",IF(AC$7=2005+OFFSET(COM_N_2012!$B$60,$AW158,SUMIF($B$10:$B$16,"NCAP_TLIFE",$AX$10:$AX$16)),0,""))</f>
        <v/>
      </c>
      <c r="AD158" s="369" t="str">
        <f ca="1">IF($B158&lt;&gt;"PRC_RESID","",IF(AD$7=2005+OFFSET(COM_N_2012!$B$60,$AW158,SUMIF($B$10:$B$16,"NCAP_TLIFE",$AX$10:$AX$16)),0,""))</f>
        <v/>
      </c>
      <c r="AE158" s="369" t="str">
        <f ca="1">IF($B158&lt;&gt;"PRC_RESID","",IF(AE$7=2005+OFFSET(COM_N_2012!$B$60,$AW158,SUMIF($B$10:$B$16,"NCAP_TLIFE",$AX$10:$AX$16)),0,""))</f>
        <v/>
      </c>
      <c r="AF158" s="369" t="str">
        <f ca="1">IF($B158&lt;&gt;"PRC_RESID","",IF(AF$7=2005+OFFSET(COM_N_2012!$B$60,$AW158,SUMIF($B$10:$B$16,"NCAP_TLIFE",$AX$10:$AX$16)),0,""))</f>
        <v/>
      </c>
      <c r="AG158" s="369" t="str">
        <f ca="1">IF($B158&lt;&gt;"PRC_RESID","",IF(AG$7=2005+OFFSET(COM_N_2012!$B$60,$AW158,SUMIF($B$10:$B$16,"NCAP_TLIFE",$AX$10:$AX$16)),0,""))</f>
        <v/>
      </c>
      <c r="AH158" s="369" t="str">
        <f ca="1">IF($B158&lt;&gt;"PRC_RESID","",IF(AH$7=2005+OFFSET(COM_N_2012!$B$60,$AW158,SUMIF($B$10:$B$16,"NCAP_TLIFE",$AX$10:$AX$16)),0,""))</f>
        <v/>
      </c>
      <c r="AI158" s="369" t="str">
        <f ca="1">IF($B158&lt;&gt;"PRC_RESID","",IF(AI$7=2005+OFFSET(COM_N_2012!$B$60,$AW158,SUMIF($B$10:$B$16,"NCAP_TLIFE",$AX$10:$AX$16)),0,""))</f>
        <v/>
      </c>
      <c r="AJ158" s="369" t="str">
        <f ca="1">IF($B158&lt;&gt;"PRC_RESID","",IF(AJ$7=2005+OFFSET(COM_N_2012!$B$60,$AW158,SUMIF($B$10:$B$16,"NCAP_TLIFE",$AX$10:$AX$16)),0,""))</f>
        <v/>
      </c>
      <c r="AK158" s="369" t="str">
        <f ca="1">IF($B158&lt;&gt;"PRC_RESID","",IF(AK$7=2005+OFFSET(COM_N_2012!$B$60,$AW158,SUMIF($B$10:$B$16,"NCAP_TLIFE",$AX$10:$AX$16)),0,""))</f>
        <v/>
      </c>
      <c r="AL158" s="369" t="str">
        <f ca="1">IF($B158&lt;&gt;"PRC_RESID","",IF(AL$7=2005+OFFSET(COM_N_2012!$B$60,$AW158,SUMIF($B$10:$B$16,"NCAP_TLIFE",$AX$10:$AX$16)),0,""))</f>
        <v/>
      </c>
      <c r="AM158" s="369" t="str">
        <f ca="1">IF($B158&lt;&gt;"PRC_RESID","",IF(AM$7=2005+OFFSET(COM_N_2012!$B$60,$AW158,SUMIF($B$10:$B$16,"NCAP_TLIFE",$AX$10:$AX$16)),0,""))</f>
        <v/>
      </c>
      <c r="AN158" s="369" t="str">
        <f ca="1">IF($B158&lt;&gt;"PRC_RESID","",IF(AN$7=2005+OFFSET(COM_N_2012!$B$60,$AW158,SUMIF($B$10:$B$16,"NCAP_TLIFE",$AX$10:$AX$16)),0,""))</f>
        <v/>
      </c>
      <c r="AO158" s="369" t="str">
        <f ca="1">IF($B158&lt;&gt;"PRC_RESID","",IF(AO$7=2005+OFFSET(COM_N_2012!$B$60,$AW158,SUMIF($B$10:$B$16,"NCAP_TLIFE",$AX$10:$AX$16)),0,""))</f>
        <v/>
      </c>
      <c r="AP158" s="369" t="str">
        <f ca="1">IF($B158&lt;&gt;"PRC_RESID","",IF(AP$7=2005+OFFSET(COM_N_2012!$B$60,$AW158,SUMIF($B$10:$B$16,"NCAP_TLIFE",$AX$10:$AX$16)),0,""))</f>
        <v/>
      </c>
      <c r="AQ158" s="369" t="str">
        <f ca="1">IF($B158&lt;&gt;"PRC_RESID","",IF(AQ$7=2005+OFFSET(COM_N_2012!$B$60,$AW158,SUMIF($B$10:$B$16,"NCAP_TLIFE",$AX$10:$AX$16)),0,""))</f>
        <v/>
      </c>
      <c r="AR158" s="369" t="str">
        <f ca="1">IF($B158&lt;&gt;"PRC_RESID","",IF(AR$7=2005+OFFSET(COM_N_2012!$B$60,$AW158,SUMIF($B$10:$B$16,"NCAP_TLIFE",$AX$10:$AX$16)),0,""))</f>
        <v/>
      </c>
      <c r="AS158" s="369" t="str">
        <f ca="1">IF($B158&lt;&gt;"PRC_RESID","",IF(AS$7=2005+OFFSET(COM_N_2012!$B$60,$AW158,SUMIF($B$10:$B$16,"NCAP_TLIFE",$AX$10:$AX$16)),0,""))</f>
        <v/>
      </c>
      <c r="AT158" s="369" t="str">
        <f ca="1">IF($B158&lt;&gt;"PRC_RESID","",IF(AT$7=2005+OFFSET(COM_N_2012!$B$60,$AW158,SUMIF($B$10:$B$16,"NCAP_TLIFE",$AX$10:$AX$16)),0,""))</f>
        <v/>
      </c>
      <c r="AU158" s="369" t="str">
        <f ca="1">IF($B158&lt;&gt;"PRC_RESID","",IF(AU$7=2005+OFFSET(COM_N_2012!$B$60,$AW158,SUMIF($B$10:$B$16,"NCAP_TLIFE",$AX$10:$AX$16)),0,""))</f>
        <v/>
      </c>
      <c r="AV158" s="304">
        <f>IF(AW157=COM_N_2012!$AK$121,AV157+1,AV157)</f>
        <v>3</v>
      </c>
      <c r="AW158" s="304">
        <f t="shared" si="20"/>
        <v>19</v>
      </c>
    </row>
    <row r="159" spans="1:49">
      <c r="A159" s="304" t="str">
        <f ca="1">IF(LEFT(OFFSET(COM_N_2012!$A$60,AW159,0),2)="\I","*","")</f>
        <v>*</v>
      </c>
      <c r="B159" s="369" t="str">
        <f t="shared" ca="1" si="19"/>
        <v/>
      </c>
      <c r="C159" s="369" t="str">
        <f ca="1">IF($A159="*","",OFFSET(COM_N_2012!$B$60,AW159,0))</f>
        <v/>
      </c>
      <c r="D159" s="369" t="str">
        <f t="shared" ca="1" si="22"/>
        <v/>
      </c>
      <c r="E159" s="369" t="str">
        <f t="shared" ca="1" si="22"/>
        <v/>
      </c>
      <c r="F159" s="369" t="str">
        <f t="shared" ca="1" si="22"/>
        <v/>
      </c>
      <c r="G159" s="369" t="str">
        <f t="shared" ca="1" si="22"/>
        <v/>
      </c>
      <c r="H159" s="369" t="str">
        <f t="shared" ca="1" si="22"/>
        <v/>
      </c>
      <c r="I159" s="370" t="str">
        <f t="shared" ca="1" si="22"/>
        <v/>
      </c>
      <c r="J159" s="391" t="str">
        <f ca="1">IF($A159="*","",OFFSET(COM_N_2012!$B$60,AW159,SUMIF($B$10:$B$16,B159,$AX$10:$AX$16)))</f>
        <v/>
      </c>
      <c r="K159" s="369" t="str">
        <f ca="1">IF($B159&lt;&gt;"PRC_RESID","",IF(K$7=2005+OFFSET(COM_N_2012!$B$60,$AW159,SUMIF($B$10:$B$16,"NCAP_TLIFE",$AX$10:$AX$16)),0,""))</f>
        <v/>
      </c>
      <c r="L159" s="369" t="str">
        <f ca="1">IF($B159&lt;&gt;"PRC_RESID","",IF(L$7=2005+OFFSET(COM_N_2012!$B$60,$AW159,SUMIF($B$10:$B$16,"NCAP_TLIFE",$AX$10:$AX$16)),0,""))</f>
        <v/>
      </c>
      <c r="M159" s="369" t="str">
        <f ca="1">IF($B159&lt;&gt;"PRC_RESID","",IF(M$7=2005+OFFSET(COM_N_2012!$B$60,$AW159,SUMIF($B$10:$B$16,"NCAP_TLIFE",$AX$10:$AX$16)),0,""))</f>
        <v/>
      </c>
      <c r="N159" s="369" t="str">
        <f ca="1">IF($B159&lt;&gt;"PRC_RESID","",IF(N$7=2005+OFFSET(COM_N_2012!$B$60,$AW159,SUMIF($B$10:$B$16,"NCAP_TLIFE",$AX$10:$AX$16)),0,""))</f>
        <v/>
      </c>
      <c r="O159" s="369" t="str">
        <f ca="1">IF($B159&lt;&gt;"PRC_RESID","",IF(O$7=2005+OFFSET(COM_N_2012!$B$60,$AW159,SUMIF($B$10:$B$16,"NCAP_TLIFE",$AX$10:$AX$16)),0,""))</f>
        <v/>
      </c>
      <c r="P159" s="369" t="str">
        <f ca="1">IF($B159&lt;&gt;"PRC_RESID","",IF(P$7=2005+OFFSET(COM_N_2012!$B$60,$AW159,SUMIF($B$10:$B$16,"NCAP_TLIFE",$AX$10:$AX$16)),0,""))</f>
        <v/>
      </c>
      <c r="Q159" s="369" t="str">
        <f ca="1">IF($B159&lt;&gt;"PRC_RESID","",IF(Q$7=2005+OFFSET(COM_N_2012!$B$60,$AW159,SUMIF($B$10:$B$16,"NCAP_TLIFE",$AX$10:$AX$16)),0,""))</f>
        <v/>
      </c>
      <c r="R159" s="369" t="str">
        <f ca="1">IF($B159&lt;&gt;"PRC_RESID","",IF(R$7=2005+OFFSET(COM_N_2012!$B$60,$AW159,SUMIF($B$10:$B$16,"NCAP_TLIFE",$AX$10:$AX$16)),0,""))</f>
        <v/>
      </c>
      <c r="S159" s="369" t="str">
        <f ca="1">IF($B159&lt;&gt;"PRC_RESID","",IF(S$7=2005+OFFSET(COM_N_2012!$B$60,$AW159,SUMIF($B$10:$B$16,"NCAP_TLIFE",$AX$10:$AX$16)),0,""))</f>
        <v/>
      </c>
      <c r="T159" s="369" t="str">
        <f ca="1">IF($B159&lt;&gt;"PRC_RESID","",IF(T$7=2005+OFFSET(COM_N_2012!$B$60,$AW159,SUMIF($B$10:$B$16,"NCAP_TLIFE",$AX$10:$AX$16)),0,""))</f>
        <v/>
      </c>
      <c r="U159" s="369" t="str">
        <f ca="1">IF($B159&lt;&gt;"PRC_RESID","",IF(U$7=2005+OFFSET(COM_N_2012!$B$60,$AW159,SUMIF($B$10:$B$16,"NCAP_TLIFE",$AX$10:$AX$16)),0,""))</f>
        <v/>
      </c>
      <c r="V159" s="369" t="str">
        <f ca="1">IF($B159&lt;&gt;"PRC_RESID","",IF(V$7=2005+OFFSET(COM_N_2012!$B$60,$AW159,SUMIF($B$10:$B$16,"NCAP_TLIFE",$AX$10:$AX$16)),0,""))</f>
        <v/>
      </c>
      <c r="W159" s="369" t="str">
        <f ca="1">IF($B159&lt;&gt;"PRC_RESID","",IF(W$7=2005+OFFSET(COM_N_2012!$B$60,$AW159,SUMIF($B$10:$B$16,"NCAP_TLIFE",$AX$10:$AX$16)),0,""))</f>
        <v/>
      </c>
      <c r="X159" s="369" t="str">
        <f ca="1">IF($B159&lt;&gt;"PRC_RESID","",IF(X$7=2005+OFFSET(COM_N_2012!$B$60,$AW159,SUMIF($B$10:$B$16,"NCAP_TLIFE",$AX$10:$AX$16)),0,""))</f>
        <v/>
      </c>
      <c r="Y159" s="369" t="str">
        <f ca="1">IF($B159&lt;&gt;"PRC_RESID","",IF(Y$7=2005+OFFSET(COM_N_2012!$B$60,$AW159,SUMIF($B$10:$B$16,"NCAP_TLIFE",$AX$10:$AX$16)),0,""))</f>
        <v/>
      </c>
      <c r="Z159" s="369" t="str">
        <f ca="1">IF($B159&lt;&gt;"PRC_RESID","",IF(Z$7=2005+OFFSET(COM_N_2012!$B$60,$AW159,SUMIF($B$10:$B$16,"NCAP_TLIFE",$AX$10:$AX$16)),0,""))</f>
        <v/>
      </c>
      <c r="AA159" s="369" t="str">
        <f ca="1">IF($B159&lt;&gt;"PRC_RESID","",IF(AA$7=2005+OFFSET(COM_N_2012!$B$60,$AW159,SUMIF($B$10:$B$16,"NCAP_TLIFE",$AX$10:$AX$16)),0,""))</f>
        <v/>
      </c>
      <c r="AB159" s="369" t="str">
        <f ca="1">IF($B159&lt;&gt;"PRC_RESID","",IF(AB$7=2005+OFFSET(COM_N_2012!$B$60,$AW159,SUMIF($B$10:$B$16,"NCAP_TLIFE",$AX$10:$AX$16)),0,""))</f>
        <v/>
      </c>
      <c r="AC159" s="369" t="str">
        <f ca="1">IF($B159&lt;&gt;"PRC_RESID","",IF(AC$7=2005+OFFSET(COM_N_2012!$B$60,$AW159,SUMIF($B$10:$B$16,"NCAP_TLIFE",$AX$10:$AX$16)),0,""))</f>
        <v/>
      </c>
      <c r="AD159" s="369" t="str">
        <f ca="1">IF($B159&lt;&gt;"PRC_RESID","",IF(AD$7=2005+OFFSET(COM_N_2012!$B$60,$AW159,SUMIF($B$10:$B$16,"NCAP_TLIFE",$AX$10:$AX$16)),0,""))</f>
        <v/>
      </c>
      <c r="AE159" s="369" t="str">
        <f ca="1">IF($B159&lt;&gt;"PRC_RESID","",IF(AE$7=2005+OFFSET(COM_N_2012!$B$60,$AW159,SUMIF($B$10:$B$16,"NCAP_TLIFE",$AX$10:$AX$16)),0,""))</f>
        <v/>
      </c>
      <c r="AF159" s="369" t="str">
        <f ca="1">IF($B159&lt;&gt;"PRC_RESID","",IF(AF$7=2005+OFFSET(COM_N_2012!$B$60,$AW159,SUMIF($B$10:$B$16,"NCAP_TLIFE",$AX$10:$AX$16)),0,""))</f>
        <v/>
      </c>
      <c r="AG159" s="369" t="str">
        <f ca="1">IF($B159&lt;&gt;"PRC_RESID","",IF(AG$7=2005+OFFSET(COM_N_2012!$B$60,$AW159,SUMIF($B$10:$B$16,"NCAP_TLIFE",$AX$10:$AX$16)),0,""))</f>
        <v/>
      </c>
      <c r="AH159" s="369" t="str">
        <f ca="1">IF($B159&lt;&gt;"PRC_RESID","",IF(AH$7=2005+OFFSET(COM_N_2012!$B$60,$AW159,SUMIF($B$10:$B$16,"NCAP_TLIFE",$AX$10:$AX$16)),0,""))</f>
        <v/>
      </c>
      <c r="AI159" s="369" t="str">
        <f ca="1">IF($B159&lt;&gt;"PRC_RESID","",IF(AI$7=2005+OFFSET(COM_N_2012!$B$60,$AW159,SUMIF($B$10:$B$16,"NCAP_TLIFE",$AX$10:$AX$16)),0,""))</f>
        <v/>
      </c>
      <c r="AJ159" s="369" t="str">
        <f ca="1">IF($B159&lt;&gt;"PRC_RESID","",IF(AJ$7=2005+OFFSET(COM_N_2012!$B$60,$AW159,SUMIF($B$10:$B$16,"NCAP_TLIFE",$AX$10:$AX$16)),0,""))</f>
        <v/>
      </c>
      <c r="AK159" s="369" t="str">
        <f ca="1">IF($B159&lt;&gt;"PRC_RESID","",IF(AK$7=2005+OFFSET(COM_N_2012!$B$60,$AW159,SUMIF($B$10:$B$16,"NCAP_TLIFE",$AX$10:$AX$16)),0,""))</f>
        <v/>
      </c>
      <c r="AL159" s="369" t="str">
        <f ca="1">IF($B159&lt;&gt;"PRC_RESID","",IF(AL$7=2005+OFFSET(COM_N_2012!$B$60,$AW159,SUMIF($B$10:$B$16,"NCAP_TLIFE",$AX$10:$AX$16)),0,""))</f>
        <v/>
      </c>
      <c r="AM159" s="369" t="str">
        <f ca="1">IF($B159&lt;&gt;"PRC_RESID","",IF(AM$7=2005+OFFSET(COM_N_2012!$B$60,$AW159,SUMIF($B$10:$B$16,"NCAP_TLIFE",$AX$10:$AX$16)),0,""))</f>
        <v/>
      </c>
      <c r="AN159" s="369" t="str">
        <f ca="1">IF($B159&lt;&gt;"PRC_RESID","",IF(AN$7=2005+OFFSET(COM_N_2012!$B$60,$AW159,SUMIF($B$10:$B$16,"NCAP_TLIFE",$AX$10:$AX$16)),0,""))</f>
        <v/>
      </c>
      <c r="AO159" s="369" t="str">
        <f ca="1">IF($B159&lt;&gt;"PRC_RESID","",IF(AO$7=2005+OFFSET(COM_N_2012!$B$60,$AW159,SUMIF($B$10:$B$16,"NCAP_TLIFE",$AX$10:$AX$16)),0,""))</f>
        <v/>
      </c>
      <c r="AP159" s="369" t="str">
        <f ca="1">IF($B159&lt;&gt;"PRC_RESID","",IF(AP$7=2005+OFFSET(COM_N_2012!$B$60,$AW159,SUMIF($B$10:$B$16,"NCAP_TLIFE",$AX$10:$AX$16)),0,""))</f>
        <v/>
      </c>
      <c r="AQ159" s="369" t="str">
        <f ca="1">IF($B159&lt;&gt;"PRC_RESID","",IF(AQ$7=2005+OFFSET(COM_N_2012!$B$60,$AW159,SUMIF($B$10:$B$16,"NCAP_TLIFE",$AX$10:$AX$16)),0,""))</f>
        <v/>
      </c>
      <c r="AR159" s="369" t="str">
        <f ca="1">IF($B159&lt;&gt;"PRC_RESID","",IF(AR$7=2005+OFFSET(COM_N_2012!$B$60,$AW159,SUMIF($B$10:$B$16,"NCAP_TLIFE",$AX$10:$AX$16)),0,""))</f>
        <v/>
      </c>
      <c r="AS159" s="369" t="str">
        <f ca="1">IF($B159&lt;&gt;"PRC_RESID","",IF(AS$7=2005+OFFSET(COM_N_2012!$B$60,$AW159,SUMIF($B$10:$B$16,"NCAP_TLIFE",$AX$10:$AX$16)),0,""))</f>
        <v/>
      </c>
      <c r="AT159" s="369" t="str">
        <f ca="1">IF($B159&lt;&gt;"PRC_RESID","",IF(AT$7=2005+OFFSET(COM_N_2012!$B$60,$AW159,SUMIF($B$10:$B$16,"NCAP_TLIFE",$AX$10:$AX$16)),0,""))</f>
        <v/>
      </c>
      <c r="AU159" s="369" t="str">
        <f ca="1">IF($B159&lt;&gt;"PRC_RESID","",IF(AU$7=2005+OFFSET(COM_N_2012!$B$60,$AW159,SUMIF($B$10:$B$16,"NCAP_TLIFE",$AX$10:$AX$16)),0,""))</f>
        <v/>
      </c>
      <c r="AV159" s="304">
        <f>IF(AW158=COM_N_2012!$AK$121,AV158+1,AV158)</f>
        <v>3</v>
      </c>
      <c r="AW159" s="304">
        <f t="shared" si="20"/>
        <v>20</v>
      </c>
    </row>
    <row r="160" spans="1:49">
      <c r="A160" s="304" t="str">
        <f ca="1">IF(LEFT(OFFSET(COM_N_2012!$A$60,AW160,0),2)="\I","*","")</f>
        <v/>
      </c>
      <c r="B160" s="369" t="str">
        <f t="shared" ca="1" si="19"/>
        <v>NCAP_TLIFE</v>
      </c>
      <c r="C160" s="369" t="str">
        <f ca="1">IF($A160="*","",OFFSET(COM_N_2012!$B$60,AW160,0))</f>
        <v>CNLELCCFL-E</v>
      </c>
      <c r="D160" s="369" t="str">
        <f t="shared" ca="1" si="22"/>
        <v>-</v>
      </c>
      <c r="E160" s="369" t="str">
        <f t="shared" ca="1" si="22"/>
        <v>-</v>
      </c>
      <c r="F160" s="369" t="str">
        <f t="shared" ca="1" si="22"/>
        <v>-</v>
      </c>
      <c r="G160" s="369" t="str">
        <f t="shared" ca="1" si="22"/>
        <v>-</v>
      </c>
      <c r="H160" s="369" t="str">
        <f t="shared" ca="1" si="22"/>
        <v>-</v>
      </c>
      <c r="I160" s="370">
        <f t="shared" ca="1" si="22"/>
        <v>0</v>
      </c>
      <c r="J160" s="391">
        <f ca="1">IF($A160="*","",OFFSET(COM_N_2012!$B$60,AW160,SUMIF($B$10:$B$16,B160,$AX$10:$AX$16)))</f>
        <v>5</v>
      </c>
      <c r="K160" s="369" t="str">
        <f ca="1">IF($B160&lt;&gt;"PRC_RESID","",IF(K$7=2005+OFFSET(COM_N_2012!$B$60,$AW160,SUMIF($B$10:$B$16,"NCAP_TLIFE",$AX$10:$AX$16)),0,""))</f>
        <v/>
      </c>
      <c r="L160" s="369" t="str">
        <f ca="1">IF($B160&lt;&gt;"PRC_RESID","",IF(L$7=2005+OFFSET(COM_N_2012!$B$60,$AW160,SUMIF($B$10:$B$16,"NCAP_TLIFE",$AX$10:$AX$16)),0,""))</f>
        <v/>
      </c>
      <c r="M160" s="369" t="str">
        <f ca="1">IF($B160&lt;&gt;"PRC_RESID","",IF(M$7=2005+OFFSET(COM_N_2012!$B$60,$AW160,SUMIF($B$10:$B$16,"NCAP_TLIFE",$AX$10:$AX$16)),0,""))</f>
        <v/>
      </c>
      <c r="N160" s="369" t="str">
        <f ca="1">IF($B160&lt;&gt;"PRC_RESID","",IF(N$7=2005+OFFSET(COM_N_2012!$B$60,$AW160,SUMIF($B$10:$B$16,"NCAP_TLIFE",$AX$10:$AX$16)),0,""))</f>
        <v/>
      </c>
      <c r="O160" s="369" t="str">
        <f ca="1">IF($B160&lt;&gt;"PRC_RESID","",IF(O$7=2005+OFFSET(COM_N_2012!$B$60,$AW160,SUMIF($B$10:$B$16,"NCAP_TLIFE",$AX$10:$AX$16)),0,""))</f>
        <v/>
      </c>
      <c r="P160" s="369" t="str">
        <f ca="1">IF($B160&lt;&gt;"PRC_RESID","",IF(P$7=2005+OFFSET(COM_N_2012!$B$60,$AW160,SUMIF($B$10:$B$16,"NCAP_TLIFE",$AX$10:$AX$16)),0,""))</f>
        <v/>
      </c>
      <c r="Q160" s="369" t="str">
        <f ca="1">IF($B160&lt;&gt;"PRC_RESID","",IF(Q$7=2005+OFFSET(COM_N_2012!$B$60,$AW160,SUMIF($B$10:$B$16,"NCAP_TLIFE",$AX$10:$AX$16)),0,""))</f>
        <v/>
      </c>
      <c r="R160" s="369" t="str">
        <f ca="1">IF($B160&lt;&gt;"PRC_RESID","",IF(R$7=2005+OFFSET(COM_N_2012!$B$60,$AW160,SUMIF($B$10:$B$16,"NCAP_TLIFE",$AX$10:$AX$16)),0,""))</f>
        <v/>
      </c>
      <c r="S160" s="369" t="str">
        <f ca="1">IF($B160&lt;&gt;"PRC_RESID","",IF(S$7=2005+OFFSET(COM_N_2012!$B$60,$AW160,SUMIF($B$10:$B$16,"NCAP_TLIFE",$AX$10:$AX$16)),0,""))</f>
        <v/>
      </c>
      <c r="T160" s="369" t="str">
        <f ca="1">IF($B160&lt;&gt;"PRC_RESID","",IF(T$7=2005+OFFSET(COM_N_2012!$B$60,$AW160,SUMIF($B$10:$B$16,"NCAP_TLIFE",$AX$10:$AX$16)),0,""))</f>
        <v/>
      </c>
      <c r="U160" s="369" t="str">
        <f ca="1">IF($B160&lt;&gt;"PRC_RESID","",IF(U$7=2005+OFFSET(COM_N_2012!$B$60,$AW160,SUMIF($B$10:$B$16,"NCAP_TLIFE",$AX$10:$AX$16)),0,""))</f>
        <v/>
      </c>
      <c r="V160" s="369" t="str">
        <f ca="1">IF($B160&lt;&gt;"PRC_RESID","",IF(V$7=2005+OFFSET(COM_N_2012!$B$60,$AW160,SUMIF($B$10:$B$16,"NCAP_TLIFE",$AX$10:$AX$16)),0,""))</f>
        <v/>
      </c>
      <c r="W160" s="369" t="str">
        <f ca="1">IF($B160&lt;&gt;"PRC_RESID","",IF(W$7=2005+OFFSET(COM_N_2012!$B$60,$AW160,SUMIF($B$10:$B$16,"NCAP_TLIFE",$AX$10:$AX$16)),0,""))</f>
        <v/>
      </c>
      <c r="X160" s="369" t="str">
        <f ca="1">IF($B160&lt;&gt;"PRC_RESID","",IF(X$7=2005+OFFSET(COM_N_2012!$B$60,$AW160,SUMIF($B$10:$B$16,"NCAP_TLIFE",$AX$10:$AX$16)),0,""))</f>
        <v/>
      </c>
      <c r="Y160" s="369" t="str">
        <f ca="1">IF($B160&lt;&gt;"PRC_RESID","",IF(Y$7=2005+OFFSET(COM_N_2012!$B$60,$AW160,SUMIF($B$10:$B$16,"NCAP_TLIFE",$AX$10:$AX$16)),0,""))</f>
        <v/>
      </c>
      <c r="Z160" s="369" t="str">
        <f ca="1">IF($B160&lt;&gt;"PRC_RESID","",IF(Z$7=2005+OFFSET(COM_N_2012!$B$60,$AW160,SUMIF($B$10:$B$16,"NCAP_TLIFE",$AX$10:$AX$16)),0,""))</f>
        <v/>
      </c>
      <c r="AA160" s="369" t="str">
        <f ca="1">IF($B160&lt;&gt;"PRC_RESID","",IF(AA$7=2005+OFFSET(COM_N_2012!$B$60,$AW160,SUMIF($B$10:$B$16,"NCAP_TLIFE",$AX$10:$AX$16)),0,""))</f>
        <v/>
      </c>
      <c r="AB160" s="369" t="str">
        <f ca="1">IF($B160&lt;&gt;"PRC_RESID","",IF(AB$7=2005+OFFSET(COM_N_2012!$B$60,$AW160,SUMIF($B$10:$B$16,"NCAP_TLIFE",$AX$10:$AX$16)),0,""))</f>
        <v/>
      </c>
      <c r="AC160" s="369" t="str">
        <f ca="1">IF($B160&lt;&gt;"PRC_RESID","",IF(AC$7=2005+OFFSET(COM_N_2012!$B$60,$AW160,SUMIF($B$10:$B$16,"NCAP_TLIFE",$AX$10:$AX$16)),0,""))</f>
        <v/>
      </c>
      <c r="AD160" s="369" t="str">
        <f ca="1">IF($B160&lt;&gt;"PRC_RESID","",IF(AD$7=2005+OFFSET(COM_N_2012!$B$60,$AW160,SUMIF($B$10:$B$16,"NCAP_TLIFE",$AX$10:$AX$16)),0,""))</f>
        <v/>
      </c>
      <c r="AE160" s="369" t="str">
        <f ca="1">IF($B160&lt;&gt;"PRC_RESID","",IF(AE$7=2005+OFFSET(COM_N_2012!$B$60,$AW160,SUMIF($B$10:$B$16,"NCAP_TLIFE",$AX$10:$AX$16)),0,""))</f>
        <v/>
      </c>
      <c r="AF160" s="369" t="str">
        <f ca="1">IF($B160&lt;&gt;"PRC_RESID","",IF(AF$7=2005+OFFSET(COM_N_2012!$B$60,$AW160,SUMIF($B$10:$B$16,"NCAP_TLIFE",$AX$10:$AX$16)),0,""))</f>
        <v/>
      </c>
      <c r="AG160" s="369" t="str">
        <f ca="1">IF($B160&lt;&gt;"PRC_RESID","",IF(AG$7=2005+OFFSET(COM_N_2012!$B$60,$AW160,SUMIF($B$10:$B$16,"NCAP_TLIFE",$AX$10:$AX$16)),0,""))</f>
        <v/>
      </c>
      <c r="AH160" s="369" t="str">
        <f ca="1">IF($B160&lt;&gt;"PRC_RESID","",IF(AH$7=2005+OFFSET(COM_N_2012!$B$60,$AW160,SUMIF($B$10:$B$16,"NCAP_TLIFE",$AX$10:$AX$16)),0,""))</f>
        <v/>
      </c>
      <c r="AI160" s="369" t="str">
        <f ca="1">IF($B160&lt;&gt;"PRC_RESID","",IF(AI$7=2005+OFFSET(COM_N_2012!$B$60,$AW160,SUMIF($B$10:$B$16,"NCAP_TLIFE",$AX$10:$AX$16)),0,""))</f>
        <v/>
      </c>
      <c r="AJ160" s="369" t="str">
        <f ca="1">IF($B160&lt;&gt;"PRC_RESID","",IF(AJ$7=2005+OFFSET(COM_N_2012!$B$60,$AW160,SUMIF($B$10:$B$16,"NCAP_TLIFE",$AX$10:$AX$16)),0,""))</f>
        <v/>
      </c>
      <c r="AK160" s="369" t="str">
        <f ca="1">IF($B160&lt;&gt;"PRC_RESID","",IF(AK$7=2005+OFFSET(COM_N_2012!$B$60,$AW160,SUMIF($B$10:$B$16,"NCAP_TLIFE",$AX$10:$AX$16)),0,""))</f>
        <v/>
      </c>
      <c r="AL160" s="369" t="str">
        <f ca="1">IF($B160&lt;&gt;"PRC_RESID","",IF(AL$7=2005+OFFSET(COM_N_2012!$B$60,$AW160,SUMIF($B$10:$B$16,"NCAP_TLIFE",$AX$10:$AX$16)),0,""))</f>
        <v/>
      </c>
      <c r="AM160" s="369" t="str">
        <f ca="1">IF($B160&lt;&gt;"PRC_RESID","",IF(AM$7=2005+OFFSET(COM_N_2012!$B$60,$AW160,SUMIF($B$10:$B$16,"NCAP_TLIFE",$AX$10:$AX$16)),0,""))</f>
        <v/>
      </c>
      <c r="AN160" s="369" t="str">
        <f ca="1">IF($B160&lt;&gt;"PRC_RESID","",IF(AN$7=2005+OFFSET(COM_N_2012!$B$60,$AW160,SUMIF($B$10:$B$16,"NCAP_TLIFE",$AX$10:$AX$16)),0,""))</f>
        <v/>
      </c>
      <c r="AO160" s="369" t="str">
        <f ca="1">IF($B160&lt;&gt;"PRC_RESID","",IF(AO$7=2005+OFFSET(COM_N_2012!$B$60,$AW160,SUMIF($B$10:$B$16,"NCAP_TLIFE",$AX$10:$AX$16)),0,""))</f>
        <v/>
      </c>
      <c r="AP160" s="369" t="str">
        <f ca="1">IF($B160&lt;&gt;"PRC_RESID","",IF(AP$7=2005+OFFSET(COM_N_2012!$B$60,$AW160,SUMIF($B$10:$B$16,"NCAP_TLIFE",$AX$10:$AX$16)),0,""))</f>
        <v/>
      </c>
      <c r="AQ160" s="369" t="str">
        <f ca="1">IF($B160&lt;&gt;"PRC_RESID","",IF(AQ$7=2005+OFFSET(COM_N_2012!$B$60,$AW160,SUMIF($B$10:$B$16,"NCAP_TLIFE",$AX$10:$AX$16)),0,""))</f>
        <v/>
      </c>
      <c r="AR160" s="369" t="str">
        <f ca="1">IF($B160&lt;&gt;"PRC_RESID","",IF(AR$7=2005+OFFSET(COM_N_2012!$B$60,$AW160,SUMIF($B$10:$B$16,"NCAP_TLIFE",$AX$10:$AX$16)),0,""))</f>
        <v/>
      </c>
      <c r="AS160" s="369" t="str">
        <f ca="1">IF($B160&lt;&gt;"PRC_RESID","",IF(AS$7=2005+OFFSET(COM_N_2012!$B$60,$AW160,SUMIF($B$10:$B$16,"NCAP_TLIFE",$AX$10:$AX$16)),0,""))</f>
        <v/>
      </c>
      <c r="AT160" s="369" t="str">
        <f ca="1">IF($B160&lt;&gt;"PRC_RESID","",IF(AT$7=2005+OFFSET(COM_N_2012!$B$60,$AW160,SUMIF($B$10:$B$16,"NCAP_TLIFE",$AX$10:$AX$16)),0,""))</f>
        <v/>
      </c>
      <c r="AU160" s="369" t="str">
        <f ca="1">IF($B160&lt;&gt;"PRC_RESID","",IF(AU$7=2005+OFFSET(COM_N_2012!$B$60,$AW160,SUMIF($B$10:$B$16,"NCAP_TLIFE",$AX$10:$AX$16)),0,""))</f>
        <v/>
      </c>
      <c r="AV160" s="304">
        <f>IF(AW159=COM_N_2012!$AK$121,AV159+1,AV159)</f>
        <v>3</v>
      </c>
      <c r="AW160" s="304">
        <f t="shared" si="20"/>
        <v>21</v>
      </c>
    </row>
    <row r="161" spans="1:49">
      <c r="A161" s="304" t="str">
        <f ca="1">IF(LEFT(OFFSET(COM_N_2012!$A$60,AW161,0),2)="\I","*","")</f>
        <v/>
      </c>
      <c r="B161" s="369" t="str">
        <f t="shared" ca="1" si="19"/>
        <v>NCAP_TLIFE</v>
      </c>
      <c r="C161" s="369" t="str">
        <f ca="1">IF($A161="*","",OFFSET(COM_N_2012!$B$60,AW161,0))</f>
        <v>CNLELCFLU-E</v>
      </c>
      <c r="D161" s="369" t="str">
        <f t="shared" ca="1" si="22"/>
        <v>-</v>
      </c>
      <c r="E161" s="369" t="str">
        <f t="shared" ca="1" si="22"/>
        <v>-</v>
      </c>
      <c r="F161" s="369" t="str">
        <f t="shared" ca="1" si="22"/>
        <v>-</v>
      </c>
      <c r="G161" s="369" t="str">
        <f t="shared" ca="1" si="22"/>
        <v>-</v>
      </c>
      <c r="H161" s="369" t="str">
        <f t="shared" ca="1" si="22"/>
        <v>-</v>
      </c>
      <c r="I161" s="370">
        <f t="shared" ca="1" si="22"/>
        <v>0</v>
      </c>
      <c r="J161" s="391">
        <f ca="1">IF($A161="*","",OFFSET(COM_N_2012!$B$60,AW161,SUMIF($B$10:$B$16,B161,$AX$10:$AX$16)))</f>
        <v>5</v>
      </c>
      <c r="K161" s="369" t="str">
        <f ca="1">IF($B161&lt;&gt;"PRC_RESID","",IF(K$7=2005+OFFSET(COM_N_2012!$B$60,$AW161,SUMIF($B$10:$B$16,"NCAP_TLIFE",$AX$10:$AX$16)),0,""))</f>
        <v/>
      </c>
      <c r="L161" s="369" t="str">
        <f ca="1">IF($B161&lt;&gt;"PRC_RESID","",IF(L$7=2005+OFFSET(COM_N_2012!$B$60,$AW161,SUMIF($B$10:$B$16,"NCAP_TLIFE",$AX$10:$AX$16)),0,""))</f>
        <v/>
      </c>
      <c r="M161" s="369" t="str">
        <f ca="1">IF($B161&lt;&gt;"PRC_RESID","",IF(M$7=2005+OFFSET(COM_N_2012!$B$60,$AW161,SUMIF($B$10:$B$16,"NCAP_TLIFE",$AX$10:$AX$16)),0,""))</f>
        <v/>
      </c>
      <c r="N161" s="369" t="str">
        <f ca="1">IF($B161&lt;&gt;"PRC_RESID","",IF(N$7=2005+OFFSET(COM_N_2012!$B$60,$AW161,SUMIF($B$10:$B$16,"NCAP_TLIFE",$AX$10:$AX$16)),0,""))</f>
        <v/>
      </c>
      <c r="O161" s="369" t="str">
        <f ca="1">IF($B161&lt;&gt;"PRC_RESID","",IF(O$7=2005+OFFSET(COM_N_2012!$B$60,$AW161,SUMIF($B$10:$B$16,"NCAP_TLIFE",$AX$10:$AX$16)),0,""))</f>
        <v/>
      </c>
      <c r="P161" s="369" t="str">
        <f ca="1">IF($B161&lt;&gt;"PRC_RESID","",IF(P$7=2005+OFFSET(COM_N_2012!$B$60,$AW161,SUMIF($B$10:$B$16,"NCAP_TLIFE",$AX$10:$AX$16)),0,""))</f>
        <v/>
      </c>
      <c r="Q161" s="369" t="str">
        <f ca="1">IF($B161&lt;&gt;"PRC_RESID","",IF(Q$7=2005+OFFSET(COM_N_2012!$B$60,$AW161,SUMIF($B$10:$B$16,"NCAP_TLIFE",$AX$10:$AX$16)),0,""))</f>
        <v/>
      </c>
      <c r="R161" s="369" t="str">
        <f ca="1">IF($B161&lt;&gt;"PRC_RESID","",IF(R$7=2005+OFFSET(COM_N_2012!$B$60,$AW161,SUMIF($B$10:$B$16,"NCAP_TLIFE",$AX$10:$AX$16)),0,""))</f>
        <v/>
      </c>
      <c r="S161" s="369" t="str">
        <f ca="1">IF($B161&lt;&gt;"PRC_RESID","",IF(S$7=2005+OFFSET(COM_N_2012!$B$60,$AW161,SUMIF($B$10:$B$16,"NCAP_TLIFE",$AX$10:$AX$16)),0,""))</f>
        <v/>
      </c>
      <c r="T161" s="369" t="str">
        <f ca="1">IF($B161&lt;&gt;"PRC_RESID","",IF(T$7=2005+OFFSET(COM_N_2012!$B$60,$AW161,SUMIF($B$10:$B$16,"NCAP_TLIFE",$AX$10:$AX$16)),0,""))</f>
        <v/>
      </c>
      <c r="U161" s="369" t="str">
        <f ca="1">IF($B161&lt;&gt;"PRC_RESID","",IF(U$7=2005+OFFSET(COM_N_2012!$B$60,$AW161,SUMIF($B$10:$B$16,"NCAP_TLIFE",$AX$10:$AX$16)),0,""))</f>
        <v/>
      </c>
      <c r="V161" s="369" t="str">
        <f ca="1">IF($B161&lt;&gt;"PRC_RESID","",IF(V$7=2005+OFFSET(COM_N_2012!$B$60,$AW161,SUMIF($B$10:$B$16,"NCAP_TLIFE",$AX$10:$AX$16)),0,""))</f>
        <v/>
      </c>
      <c r="W161" s="369" t="str">
        <f ca="1">IF($B161&lt;&gt;"PRC_RESID","",IF(W$7=2005+OFFSET(COM_N_2012!$B$60,$AW161,SUMIF($B$10:$B$16,"NCAP_TLIFE",$AX$10:$AX$16)),0,""))</f>
        <v/>
      </c>
      <c r="X161" s="369" t="str">
        <f ca="1">IF($B161&lt;&gt;"PRC_RESID","",IF(X$7=2005+OFFSET(COM_N_2012!$B$60,$AW161,SUMIF($B$10:$B$16,"NCAP_TLIFE",$AX$10:$AX$16)),0,""))</f>
        <v/>
      </c>
      <c r="Y161" s="369" t="str">
        <f ca="1">IF($B161&lt;&gt;"PRC_RESID","",IF(Y$7=2005+OFFSET(COM_N_2012!$B$60,$AW161,SUMIF($B$10:$B$16,"NCAP_TLIFE",$AX$10:$AX$16)),0,""))</f>
        <v/>
      </c>
      <c r="Z161" s="369" t="str">
        <f ca="1">IF($B161&lt;&gt;"PRC_RESID","",IF(Z$7=2005+OFFSET(COM_N_2012!$B$60,$AW161,SUMIF($B$10:$B$16,"NCAP_TLIFE",$AX$10:$AX$16)),0,""))</f>
        <v/>
      </c>
      <c r="AA161" s="369" t="str">
        <f ca="1">IF($B161&lt;&gt;"PRC_RESID","",IF(AA$7=2005+OFFSET(COM_N_2012!$B$60,$AW161,SUMIF($B$10:$B$16,"NCAP_TLIFE",$AX$10:$AX$16)),0,""))</f>
        <v/>
      </c>
      <c r="AB161" s="369" t="str">
        <f ca="1">IF($B161&lt;&gt;"PRC_RESID","",IF(AB$7=2005+OFFSET(COM_N_2012!$B$60,$AW161,SUMIF($B$10:$B$16,"NCAP_TLIFE",$AX$10:$AX$16)),0,""))</f>
        <v/>
      </c>
      <c r="AC161" s="369" t="str">
        <f ca="1">IF($B161&lt;&gt;"PRC_RESID","",IF(AC$7=2005+OFFSET(COM_N_2012!$B$60,$AW161,SUMIF($B$10:$B$16,"NCAP_TLIFE",$AX$10:$AX$16)),0,""))</f>
        <v/>
      </c>
      <c r="AD161" s="369" t="str">
        <f ca="1">IF($B161&lt;&gt;"PRC_RESID","",IF(AD$7=2005+OFFSET(COM_N_2012!$B$60,$AW161,SUMIF($B$10:$B$16,"NCAP_TLIFE",$AX$10:$AX$16)),0,""))</f>
        <v/>
      </c>
      <c r="AE161" s="369" t="str">
        <f ca="1">IF($B161&lt;&gt;"PRC_RESID","",IF(AE$7=2005+OFFSET(COM_N_2012!$B$60,$AW161,SUMIF($B$10:$B$16,"NCAP_TLIFE",$AX$10:$AX$16)),0,""))</f>
        <v/>
      </c>
      <c r="AF161" s="369" t="str">
        <f ca="1">IF($B161&lt;&gt;"PRC_RESID","",IF(AF$7=2005+OFFSET(COM_N_2012!$B$60,$AW161,SUMIF($B$10:$B$16,"NCAP_TLIFE",$AX$10:$AX$16)),0,""))</f>
        <v/>
      </c>
      <c r="AG161" s="369" t="str">
        <f ca="1">IF($B161&lt;&gt;"PRC_RESID","",IF(AG$7=2005+OFFSET(COM_N_2012!$B$60,$AW161,SUMIF($B$10:$B$16,"NCAP_TLIFE",$AX$10:$AX$16)),0,""))</f>
        <v/>
      </c>
      <c r="AH161" s="369" t="str">
        <f ca="1">IF($B161&lt;&gt;"PRC_RESID","",IF(AH$7=2005+OFFSET(COM_N_2012!$B$60,$AW161,SUMIF($B$10:$B$16,"NCAP_TLIFE",$AX$10:$AX$16)),0,""))</f>
        <v/>
      </c>
      <c r="AI161" s="369" t="str">
        <f ca="1">IF($B161&lt;&gt;"PRC_RESID","",IF(AI$7=2005+OFFSET(COM_N_2012!$B$60,$AW161,SUMIF($B$10:$B$16,"NCAP_TLIFE",$AX$10:$AX$16)),0,""))</f>
        <v/>
      </c>
      <c r="AJ161" s="369" t="str">
        <f ca="1">IF($B161&lt;&gt;"PRC_RESID","",IF(AJ$7=2005+OFFSET(COM_N_2012!$B$60,$AW161,SUMIF($B$10:$B$16,"NCAP_TLIFE",$AX$10:$AX$16)),0,""))</f>
        <v/>
      </c>
      <c r="AK161" s="369" t="str">
        <f ca="1">IF($B161&lt;&gt;"PRC_RESID","",IF(AK$7=2005+OFFSET(COM_N_2012!$B$60,$AW161,SUMIF($B$10:$B$16,"NCAP_TLIFE",$AX$10:$AX$16)),0,""))</f>
        <v/>
      </c>
      <c r="AL161" s="369" t="str">
        <f ca="1">IF($B161&lt;&gt;"PRC_RESID","",IF(AL$7=2005+OFFSET(COM_N_2012!$B$60,$AW161,SUMIF($B$10:$B$16,"NCAP_TLIFE",$AX$10:$AX$16)),0,""))</f>
        <v/>
      </c>
      <c r="AM161" s="369" t="str">
        <f ca="1">IF($B161&lt;&gt;"PRC_RESID","",IF(AM$7=2005+OFFSET(COM_N_2012!$B$60,$AW161,SUMIF($B$10:$B$16,"NCAP_TLIFE",$AX$10:$AX$16)),0,""))</f>
        <v/>
      </c>
      <c r="AN161" s="369" t="str">
        <f ca="1">IF($B161&lt;&gt;"PRC_RESID","",IF(AN$7=2005+OFFSET(COM_N_2012!$B$60,$AW161,SUMIF($B$10:$B$16,"NCAP_TLIFE",$AX$10:$AX$16)),0,""))</f>
        <v/>
      </c>
      <c r="AO161" s="369" t="str">
        <f ca="1">IF($B161&lt;&gt;"PRC_RESID","",IF(AO$7=2005+OFFSET(COM_N_2012!$B$60,$AW161,SUMIF($B$10:$B$16,"NCAP_TLIFE",$AX$10:$AX$16)),0,""))</f>
        <v/>
      </c>
      <c r="AP161" s="369" t="str">
        <f ca="1">IF($B161&lt;&gt;"PRC_RESID","",IF(AP$7=2005+OFFSET(COM_N_2012!$B$60,$AW161,SUMIF($B$10:$B$16,"NCAP_TLIFE",$AX$10:$AX$16)),0,""))</f>
        <v/>
      </c>
      <c r="AQ161" s="369" t="str">
        <f ca="1">IF($B161&lt;&gt;"PRC_RESID","",IF(AQ$7=2005+OFFSET(COM_N_2012!$B$60,$AW161,SUMIF($B$10:$B$16,"NCAP_TLIFE",$AX$10:$AX$16)),0,""))</f>
        <v/>
      </c>
      <c r="AR161" s="369" t="str">
        <f ca="1">IF($B161&lt;&gt;"PRC_RESID","",IF(AR$7=2005+OFFSET(COM_N_2012!$B$60,$AW161,SUMIF($B$10:$B$16,"NCAP_TLIFE",$AX$10:$AX$16)),0,""))</f>
        <v/>
      </c>
      <c r="AS161" s="369" t="str">
        <f ca="1">IF($B161&lt;&gt;"PRC_RESID","",IF(AS$7=2005+OFFSET(COM_N_2012!$B$60,$AW161,SUMIF($B$10:$B$16,"NCAP_TLIFE",$AX$10:$AX$16)),0,""))</f>
        <v/>
      </c>
      <c r="AT161" s="369" t="str">
        <f ca="1">IF($B161&lt;&gt;"PRC_RESID","",IF(AT$7=2005+OFFSET(COM_N_2012!$B$60,$AW161,SUMIF($B$10:$B$16,"NCAP_TLIFE",$AX$10:$AX$16)),0,""))</f>
        <v/>
      </c>
      <c r="AU161" s="369" t="str">
        <f ca="1">IF($B161&lt;&gt;"PRC_RESID","",IF(AU$7=2005+OFFSET(COM_N_2012!$B$60,$AW161,SUMIF($B$10:$B$16,"NCAP_TLIFE",$AX$10:$AX$16)),0,""))</f>
        <v/>
      </c>
      <c r="AV161" s="304">
        <f>IF(AW160=COM_N_2012!$AK$121,AV160+1,AV160)</f>
        <v>3</v>
      </c>
      <c r="AW161" s="304">
        <f t="shared" si="20"/>
        <v>22</v>
      </c>
    </row>
    <row r="162" spans="1:49">
      <c r="A162" s="304" t="str">
        <f ca="1">IF(LEFT(OFFSET(COM_N_2012!$A$60,AW162,0),2)="\I","*","")</f>
        <v/>
      </c>
      <c r="B162" s="369" t="str">
        <f t="shared" ca="1" si="19"/>
        <v>NCAP_TLIFE</v>
      </c>
      <c r="C162" s="369" t="str">
        <f ca="1">IF($A162="*","",OFFSET(COM_N_2012!$B$60,AW162,0))</f>
        <v>CNLELCHAL-E</v>
      </c>
      <c r="D162" s="369" t="str">
        <f t="shared" ca="1" si="22"/>
        <v>-</v>
      </c>
      <c r="E162" s="369" t="str">
        <f t="shared" ca="1" si="22"/>
        <v>-</v>
      </c>
      <c r="F162" s="369" t="str">
        <f t="shared" ca="1" si="22"/>
        <v>-</v>
      </c>
      <c r="G162" s="369" t="str">
        <f t="shared" ca="1" si="22"/>
        <v>-</v>
      </c>
      <c r="H162" s="369" t="str">
        <f t="shared" ca="1" si="22"/>
        <v>-</v>
      </c>
      <c r="I162" s="370">
        <f t="shared" ca="1" si="22"/>
        <v>0</v>
      </c>
      <c r="J162" s="391">
        <f ca="1">IF($A162="*","",OFFSET(COM_N_2012!$B$60,AW162,SUMIF($B$10:$B$16,B162,$AX$10:$AX$16)))</f>
        <v>5</v>
      </c>
      <c r="K162" s="369" t="str">
        <f ca="1">IF($B162&lt;&gt;"PRC_RESID","",IF(K$7=2005+OFFSET(COM_N_2012!$B$60,$AW162,SUMIF($B$10:$B$16,"NCAP_TLIFE",$AX$10:$AX$16)),0,""))</f>
        <v/>
      </c>
      <c r="L162" s="369" t="str">
        <f ca="1">IF($B162&lt;&gt;"PRC_RESID","",IF(L$7=2005+OFFSET(COM_N_2012!$B$60,$AW162,SUMIF($B$10:$B$16,"NCAP_TLIFE",$AX$10:$AX$16)),0,""))</f>
        <v/>
      </c>
      <c r="M162" s="369" t="str">
        <f ca="1">IF($B162&lt;&gt;"PRC_RESID","",IF(M$7=2005+OFFSET(COM_N_2012!$B$60,$AW162,SUMIF($B$10:$B$16,"NCAP_TLIFE",$AX$10:$AX$16)),0,""))</f>
        <v/>
      </c>
      <c r="N162" s="369" t="str">
        <f ca="1">IF($B162&lt;&gt;"PRC_RESID","",IF(N$7=2005+OFFSET(COM_N_2012!$B$60,$AW162,SUMIF($B$10:$B$16,"NCAP_TLIFE",$AX$10:$AX$16)),0,""))</f>
        <v/>
      </c>
      <c r="O162" s="369" t="str">
        <f ca="1">IF($B162&lt;&gt;"PRC_RESID","",IF(O$7=2005+OFFSET(COM_N_2012!$B$60,$AW162,SUMIF($B$10:$B$16,"NCAP_TLIFE",$AX$10:$AX$16)),0,""))</f>
        <v/>
      </c>
      <c r="P162" s="369" t="str">
        <f ca="1">IF($B162&lt;&gt;"PRC_RESID","",IF(P$7=2005+OFFSET(COM_N_2012!$B$60,$AW162,SUMIF($B$10:$B$16,"NCAP_TLIFE",$AX$10:$AX$16)),0,""))</f>
        <v/>
      </c>
      <c r="Q162" s="369" t="str">
        <f ca="1">IF($B162&lt;&gt;"PRC_RESID","",IF(Q$7=2005+OFFSET(COM_N_2012!$B$60,$AW162,SUMIF($B$10:$B$16,"NCAP_TLIFE",$AX$10:$AX$16)),0,""))</f>
        <v/>
      </c>
      <c r="R162" s="369" t="str">
        <f ca="1">IF($B162&lt;&gt;"PRC_RESID","",IF(R$7=2005+OFFSET(COM_N_2012!$B$60,$AW162,SUMIF($B$10:$B$16,"NCAP_TLIFE",$AX$10:$AX$16)),0,""))</f>
        <v/>
      </c>
      <c r="S162" s="369" t="str">
        <f ca="1">IF($B162&lt;&gt;"PRC_RESID","",IF(S$7=2005+OFFSET(COM_N_2012!$B$60,$AW162,SUMIF($B$10:$B$16,"NCAP_TLIFE",$AX$10:$AX$16)),0,""))</f>
        <v/>
      </c>
      <c r="T162" s="369" t="str">
        <f ca="1">IF($B162&lt;&gt;"PRC_RESID","",IF(T$7=2005+OFFSET(COM_N_2012!$B$60,$AW162,SUMIF($B$10:$B$16,"NCAP_TLIFE",$AX$10:$AX$16)),0,""))</f>
        <v/>
      </c>
      <c r="U162" s="369" t="str">
        <f ca="1">IF($B162&lt;&gt;"PRC_RESID","",IF(U$7=2005+OFFSET(COM_N_2012!$B$60,$AW162,SUMIF($B$10:$B$16,"NCAP_TLIFE",$AX$10:$AX$16)),0,""))</f>
        <v/>
      </c>
      <c r="V162" s="369" t="str">
        <f ca="1">IF($B162&lt;&gt;"PRC_RESID","",IF(V$7=2005+OFFSET(COM_N_2012!$B$60,$AW162,SUMIF($B$10:$B$16,"NCAP_TLIFE",$AX$10:$AX$16)),0,""))</f>
        <v/>
      </c>
      <c r="W162" s="369" t="str">
        <f ca="1">IF($B162&lt;&gt;"PRC_RESID","",IF(W$7=2005+OFFSET(COM_N_2012!$B$60,$AW162,SUMIF($B$10:$B$16,"NCAP_TLIFE",$AX$10:$AX$16)),0,""))</f>
        <v/>
      </c>
      <c r="X162" s="369" t="str">
        <f ca="1">IF($B162&lt;&gt;"PRC_RESID","",IF(X$7=2005+OFFSET(COM_N_2012!$B$60,$AW162,SUMIF($B$10:$B$16,"NCAP_TLIFE",$AX$10:$AX$16)),0,""))</f>
        <v/>
      </c>
      <c r="Y162" s="369" t="str">
        <f ca="1">IF($B162&lt;&gt;"PRC_RESID","",IF(Y$7=2005+OFFSET(COM_N_2012!$B$60,$AW162,SUMIF($B$10:$B$16,"NCAP_TLIFE",$AX$10:$AX$16)),0,""))</f>
        <v/>
      </c>
      <c r="Z162" s="369" t="str">
        <f ca="1">IF($B162&lt;&gt;"PRC_RESID","",IF(Z$7=2005+OFFSET(COM_N_2012!$B$60,$AW162,SUMIF($B$10:$B$16,"NCAP_TLIFE",$AX$10:$AX$16)),0,""))</f>
        <v/>
      </c>
      <c r="AA162" s="369" t="str">
        <f ca="1">IF($B162&lt;&gt;"PRC_RESID","",IF(AA$7=2005+OFFSET(COM_N_2012!$B$60,$AW162,SUMIF($B$10:$B$16,"NCAP_TLIFE",$AX$10:$AX$16)),0,""))</f>
        <v/>
      </c>
      <c r="AB162" s="369" t="str">
        <f ca="1">IF($B162&lt;&gt;"PRC_RESID","",IF(AB$7=2005+OFFSET(COM_N_2012!$B$60,$AW162,SUMIF($B$10:$B$16,"NCAP_TLIFE",$AX$10:$AX$16)),0,""))</f>
        <v/>
      </c>
      <c r="AC162" s="369" t="str">
        <f ca="1">IF($B162&lt;&gt;"PRC_RESID","",IF(AC$7=2005+OFFSET(COM_N_2012!$B$60,$AW162,SUMIF($B$10:$B$16,"NCAP_TLIFE",$AX$10:$AX$16)),0,""))</f>
        <v/>
      </c>
      <c r="AD162" s="369" t="str">
        <f ca="1">IF($B162&lt;&gt;"PRC_RESID","",IF(AD$7=2005+OFFSET(COM_N_2012!$B$60,$AW162,SUMIF($B$10:$B$16,"NCAP_TLIFE",$AX$10:$AX$16)),0,""))</f>
        <v/>
      </c>
      <c r="AE162" s="369" t="str">
        <f ca="1">IF($B162&lt;&gt;"PRC_RESID","",IF(AE$7=2005+OFFSET(COM_N_2012!$B$60,$AW162,SUMIF($B$10:$B$16,"NCAP_TLIFE",$AX$10:$AX$16)),0,""))</f>
        <v/>
      </c>
      <c r="AF162" s="369" t="str">
        <f ca="1">IF($B162&lt;&gt;"PRC_RESID","",IF(AF$7=2005+OFFSET(COM_N_2012!$B$60,$AW162,SUMIF($B$10:$B$16,"NCAP_TLIFE",$AX$10:$AX$16)),0,""))</f>
        <v/>
      </c>
      <c r="AG162" s="369" t="str">
        <f ca="1">IF($B162&lt;&gt;"PRC_RESID","",IF(AG$7=2005+OFFSET(COM_N_2012!$B$60,$AW162,SUMIF($B$10:$B$16,"NCAP_TLIFE",$AX$10:$AX$16)),0,""))</f>
        <v/>
      </c>
      <c r="AH162" s="369" t="str">
        <f ca="1">IF($B162&lt;&gt;"PRC_RESID","",IF(AH$7=2005+OFFSET(COM_N_2012!$B$60,$AW162,SUMIF($B$10:$B$16,"NCAP_TLIFE",$AX$10:$AX$16)),0,""))</f>
        <v/>
      </c>
      <c r="AI162" s="369" t="str">
        <f ca="1">IF($B162&lt;&gt;"PRC_RESID","",IF(AI$7=2005+OFFSET(COM_N_2012!$B$60,$AW162,SUMIF($B$10:$B$16,"NCAP_TLIFE",$AX$10:$AX$16)),0,""))</f>
        <v/>
      </c>
      <c r="AJ162" s="369" t="str">
        <f ca="1">IF($B162&lt;&gt;"PRC_RESID","",IF(AJ$7=2005+OFFSET(COM_N_2012!$B$60,$AW162,SUMIF($B$10:$B$16,"NCAP_TLIFE",$AX$10:$AX$16)),0,""))</f>
        <v/>
      </c>
      <c r="AK162" s="369" t="str">
        <f ca="1">IF($B162&lt;&gt;"PRC_RESID","",IF(AK$7=2005+OFFSET(COM_N_2012!$B$60,$AW162,SUMIF($B$10:$B$16,"NCAP_TLIFE",$AX$10:$AX$16)),0,""))</f>
        <v/>
      </c>
      <c r="AL162" s="369" t="str">
        <f ca="1">IF($B162&lt;&gt;"PRC_RESID","",IF(AL$7=2005+OFFSET(COM_N_2012!$B$60,$AW162,SUMIF($B$10:$B$16,"NCAP_TLIFE",$AX$10:$AX$16)),0,""))</f>
        <v/>
      </c>
      <c r="AM162" s="369" t="str">
        <f ca="1">IF($B162&lt;&gt;"PRC_RESID","",IF(AM$7=2005+OFFSET(COM_N_2012!$B$60,$AW162,SUMIF($B$10:$B$16,"NCAP_TLIFE",$AX$10:$AX$16)),0,""))</f>
        <v/>
      </c>
      <c r="AN162" s="369" t="str">
        <f ca="1">IF($B162&lt;&gt;"PRC_RESID","",IF(AN$7=2005+OFFSET(COM_N_2012!$B$60,$AW162,SUMIF($B$10:$B$16,"NCAP_TLIFE",$AX$10:$AX$16)),0,""))</f>
        <v/>
      </c>
      <c r="AO162" s="369" t="str">
        <f ca="1">IF($B162&lt;&gt;"PRC_RESID","",IF(AO$7=2005+OFFSET(COM_N_2012!$B$60,$AW162,SUMIF($B$10:$B$16,"NCAP_TLIFE",$AX$10:$AX$16)),0,""))</f>
        <v/>
      </c>
      <c r="AP162" s="369" t="str">
        <f ca="1">IF($B162&lt;&gt;"PRC_RESID","",IF(AP$7=2005+OFFSET(COM_N_2012!$B$60,$AW162,SUMIF($B$10:$B$16,"NCAP_TLIFE",$AX$10:$AX$16)),0,""))</f>
        <v/>
      </c>
      <c r="AQ162" s="369" t="str">
        <f ca="1">IF($B162&lt;&gt;"PRC_RESID","",IF(AQ$7=2005+OFFSET(COM_N_2012!$B$60,$AW162,SUMIF($B$10:$B$16,"NCAP_TLIFE",$AX$10:$AX$16)),0,""))</f>
        <v/>
      </c>
      <c r="AR162" s="369" t="str">
        <f ca="1">IF($B162&lt;&gt;"PRC_RESID","",IF(AR$7=2005+OFFSET(COM_N_2012!$B$60,$AW162,SUMIF($B$10:$B$16,"NCAP_TLIFE",$AX$10:$AX$16)),0,""))</f>
        <v/>
      </c>
      <c r="AS162" s="369" t="str">
        <f ca="1">IF($B162&lt;&gt;"PRC_RESID","",IF(AS$7=2005+OFFSET(COM_N_2012!$B$60,$AW162,SUMIF($B$10:$B$16,"NCAP_TLIFE",$AX$10:$AX$16)),0,""))</f>
        <v/>
      </c>
      <c r="AT162" s="369" t="str">
        <f ca="1">IF($B162&lt;&gt;"PRC_RESID","",IF(AT$7=2005+OFFSET(COM_N_2012!$B$60,$AW162,SUMIF($B$10:$B$16,"NCAP_TLIFE",$AX$10:$AX$16)),0,""))</f>
        <v/>
      </c>
      <c r="AU162" s="369" t="str">
        <f ca="1">IF($B162&lt;&gt;"PRC_RESID","",IF(AU$7=2005+OFFSET(COM_N_2012!$B$60,$AW162,SUMIF($B$10:$B$16,"NCAP_TLIFE",$AX$10:$AX$16)),0,""))</f>
        <v/>
      </c>
      <c r="AV162" s="304">
        <f>IF(AW161=COM_N_2012!$AK$121,AV161+1,AV161)</f>
        <v>3</v>
      </c>
      <c r="AW162" s="304">
        <f t="shared" si="20"/>
        <v>23</v>
      </c>
    </row>
    <row r="163" spans="1:49">
      <c r="A163" s="304" t="str">
        <f ca="1">IF(LEFT(OFFSET(COM_N_2012!$A$60,AW163,0),2)="\I","*","")</f>
        <v/>
      </c>
      <c r="B163" s="369" t="str">
        <f t="shared" ca="1" si="19"/>
        <v>NCAP_TLIFE</v>
      </c>
      <c r="C163" s="369" t="str">
        <f ca="1">IF($A163="*","",OFFSET(COM_N_2012!$B$60,AW163,0))</f>
        <v>CNLELCHID-E</v>
      </c>
      <c r="D163" s="369" t="str">
        <f t="shared" ca="1" si="22"/>
        <v>-</v>
      </c>
      <c r="E163" s="369" t="str">
        <f t="shared" ca="1" si="22"/>
        <v>-</v>
      </c>
      <c r="F163" s="369" t="str">
        <f t="shared" ca="1" si="22"/>
        <v>-</v>
      </c>
      <c r="G163" s="369" t="str">
        <f t="shared" ca="1" si="22"/>
        <v>-</v>
      </c>
      <c r="H163" s="369" t="str">
        <f t="shared" ca="1" si="22"/>
        <v>-</v>
      </c>
      <c r="I163" s="370">
        <f t="shared" ca="1" si="22"/>
        <v>0</v>
      </c>
      <c r="J163" s="391">
        <f ca="1">IF($A163="*","",OFFSET(COM_N_2012!$B$60,AW163,SUMIF($B$10:$B$16,B163,$AX$10:$AX$16)))</f>
        <v>5</v>
      </c>
      <c r="K163" s="369" t="str">
        <f ca="1">IF($B163&lt;&gt;"PRC_RESID","",IF(K$7=2005+OFFSET(COM_N_2012!$B$60,$AW163,SUMIF($B$10:$B$16,"NCAP_TLIFE",$AX$10:$AX$16)),0,""))</f>
        <v/>
      </c>
      <c r="L163" s="369" t="str">
        <f ca="1">IF($B163&lt;&gt;"PRC_RESID","",IF(L$7=2005+OFFSET(COM_N_2012!$B$60,$AW163,SUMIF($B$10:$B$16,"NCAP_TLIFE",$AX$10:$AX$16)),0,""))</f>
        <v/>
      </c>
      <c r="M163" s="369" t="str">
        <f ca="1">IF($B163&lt;&gt;"PRC_RESID","",IF(M$7=2005+OFFSET(COM_N_2012!$B$60,$AW163,SUMIF($B$10:$B$16,"NCAP_TLIFE",$AX$10:$AX$16)),0,""))</f>
        <v/>
      </c>
      <c r="N163" s="369" t="str">
        <f ca="1">IF($B163&lt;&gt;"PRC_RESID","",IF(N$7=2005+OFFSET(COM_N_2012!$B$60,$AW163,SUMIF($B$10:$B$16,"NCAP_TLIFE",$AX$10:$AX$16)),0,""))</f>
        <v/>
      </c>
      <c r="O163" s="369" t="str">
        <f ca="1">IF($B163&lt;&gt;"PRC_RESID","",IF(O$7=2005+OFFSET(COM_N_2012!$B$60,$AW163,SUMIF($B$10:$B$16,"NCAP_TLIFE",$AX$10:$AX$16)),0,""))</f>
        <v/>
      </c>
      <c r="P163" s="369" t="str">
        <f ca="1">IF($B163&lt;&gt;"PRC_RESID","",IF(P$7=2005+OFFSET(COM_N_2012!$B$60,$AW163,SUMIF($B$10:$B$16,"NCAP_TLIFE",$AX$10:$AX$16)),0,""))</f>
        <v/>
      </c>
      <c r="Q163" s="369" t="str">
        <f ca="1">IF($B163&lt;&gt;"PRC_RESID","",IF(Q$7=2005+OFFSET(COM_N_2012!$B$60,$AW163,SUMIF($B$10:$B$16,"NCAP_TLIFE",$AX$10:$AX$16)),0,""))</f>
        <v/>
      </c>
      <c r="R163" s="369" t="str">
        <f ca="1">IF($B163&lt;&gt;"PRC_RESID","",IF(R$7=2005+OFFSET(COM_N_2012!$B$60,$AW163,SUMIF($B$10:$B$16,"NCAP_TLIFE",$AX$10:$AX$16)),0,""))</f>
        <v/>
      </c>
      <c r="S163" s="369" t="str">
        <f ca="1">IF($B163&lt;&gt;"PRC_RESID","",IF(S$7=2005+OFFSET(COM_N_2012!$B$60,$AW163,SUMIF($B$10:$B$16,"NCAP_TLIFE",$AX$10:$AX$16)),0,""))</f>
        <v/>
      </c>
      <c r="T163" s="369" t="str">
        <f ca="1">IF($B163&lt;&gt;"PRC_RESID","",IF(T$7=2005+OFFSET(COM_N_2012!$B$60,$AW163,SUMIF($B$10:$B$16,"NCAP_TLIFE",$AX$10:$AX$16)),0,""))</f>
        <v/>
      </c>
      <c r="U163" s="369" t="str">
        <f ca="1">IF($B163&lt;&gt;"PRC_RESID","",IF(U$7=2005+OFFSET(COM_N_2012!$B$60,$AW163,SUMIF($B$10:$B$16,"NCAP_TLIFE",$AX$10:$AX$16)),0,""))</f>
        <v/>
      </c>
      <c r="V163" s="369" t="str">
        <f ca="1">IF($B163&lt;&gt;"PRC_RESID","",IF(V$7=2005+OFFSET(COM_N_2012!$B$60,$AW163,SUMIF($B$10:$B$16,"NCAP_TLIFE",$AX$10:$AX$16)),0,""))</f>
        <v/>
      </c>
      <c r="W163" s="369" t="str">
        <f ca="1">IF($B163&lt;&gt;"PRC_RESID","",IF(W$7=2005+OFFSET(COM_N_2012!$B$60,$AW163,SUMIF($B$10:$B$16,"NCAP_TLIFE",$AX$10:$AX$16)),0,""))</f>
        <v/>
      </c>
      <c r="X163" s="369" t="str">
        <f ca="1">IF($B163&lt;&gt;"PRC_RESID","",IF(X$7=2005+OFFSET(COM_N_2012!$B$60,$AW163,SUMIF($B$10:$B$16,"NCAP_TLIFE",$AX$10:$AX$16)),0,""))</f>
        <v/>
      </c>
      <c r="Y163" s="369" t="str">
        <f ca="1">IF($B163&lt;&gt;"PRC_RESID","",IF(Y$7=2005+OFFSET(COM_N_2012!$B$60,$AW163,SUMIF($B$10:$B$16,"NCAP_TLIFE",$AX$10:$AX$16)),0,""))</f>
        <v/>
      </c>
      <c r="Z163" s="369" t="str">
        <f ca="1">IF($B163&lt;&gt;"PRC_RESID","",IF(Z$7=2005+OFFSET(COM_N_2012!$B$60,$AW163,SUMIF($B$10:$B$16,"NCAP_TLIFE",$AX$10:$AX$16)),0,""))</f>
        <v/>
      </c>
      <c r="AA163" s="369" t="str">
        <f ca="1">IF($B163&lt;&gt;"PRC_RESID","",IF(AA$7=2005+OFFSET(COM_N_2012!$B$60,$AW163,SUMIF($B$10:$B$16,"NCAP_TLIFE",$AX$10:$AX$16)),0,""))</f>
        <v/>
      </c>
      <c r="AB163" s="369" t="str">
        <f ca="1">IF($B163&lt;&gt;"PRC_RESID","",IF(AB$7=2005+OFFSET(COM_N_2012!$B$60,$AW163,SUMIF($B$10:$B$16,"NCAP_TLIFE",$AX$10:$AX$16)),0,""))</f>
        <v/>
      </c>
      <c r="AC163" s="369" t="str">
        <f ca="1">IF($B163&lt;&gt;"PRC_RESID","",IF(AC$7=2005+OFFSET(COM_N_2012!$B$60,$AW163,SUMIF($B$10:$B$16,"NCAP_TLIFE",$AX$10:$AX$16)),0,""))</f>
        <v/>
      </c>
      <c r="AD163" s="369" t="str">
        <f ca="1">IF($B163&lt;&gt;"PRC_RESID","",IF(AD$7=2005+OFFSET(COM_N_2012!$B$60,$AW163,SUMIF($B$10:$B$16,"NCAP_TLIFE",$AX$10:$AX$16)),0,""))</f>
        <v/>
      </c>
      <c r="AE163" s="369" t="str">
        <f ca="1">IF($B163&lt;&gt;"PRC_RESID","",IF(AE$7=2005+OFFSET(COM_N_2012!$B$60,$AW163,SUMIF($B$10:$B$16,"NCAP_TLIFE",$AX$10:$AX$16)),0,""))</f>
        <v/>
      </c>
      <c r="AF163" s="369" t="str">
        <f ca="1">IF($B163&lt;&gt;"PRC_RESID","",IF(AF$7=2005+OFFSET(COM_N_2012!$B$60,$AW163,SUMIF($B$10:$B$16,"NCAP_TLIFE",$AX$10:$AX$16)),0,""))</f>
        <v/>
      </c>
      <c r="AG163" s="369" t="str">
        <f ca="1">IF($B163&lt;&gt;"PRC_RESID","",IF(AG$7=2005+OFFSET(COM_N_2012!$B$60,$AW163,SUMIF($B$10:$B$16,"NCAP_TLIFE",$AX$10:$AX$16)),0,""))</f>
        <v/>
      </c>
      <c r="AH163" s="369" t="str">
        <f ca="1">IF($B163&lt;&gt;"PRC_RESID","",IF(AH$7=2005+OFFSET(COM_N_2012!$B$60,$AW163,SUMIF($B$10:$B$16,"NCAP_TLIFE",$AX$10:$AX$16)),0,""))</f>
        <v/>
      </c>
      <c r="AI163" s="369" t="str">
        <f ca="1">IF($B163&lt;&gt;"PRC_RESID","",IF(AI$7=2005+OFFSET(COM_N_2012!$B$60,$AW163,SUMIF($B$10:$B$16,"NCAP_TLIFE",$AX$10:$AX$16)),0,""))</f>
        <v/>
      </c>
      <c r="AJ163" s="369" t="str">
        <f ca="1">IF($B163&lt;&gt;"PRC_RESID","",IF(AJ$7=2005+OFFSET(COM_N_2012!$B$60,$AW163,SUMIF($B$10:$B$16,"NCAP_TLIFE",$AX$10:$AX$16)),0,""))</f>
        <v/>
      </c>
      <c r="AK163" s="369" t="str">
        <f ca="1">IF($B163&lt;&gt;"PRC_RESID","",IF(AK$7=2005+OFFSET(COM_N_2012!$B$60,$AW163,SUMIF($B$10:$B$16,"NCAP_TLIFE",$AX$10:$AX$16)),0,""))</f>
        <v/>
      </c>
      <c r="AL163" s="369" t="str">
        <f ca="1">IF($B163&lt;&gt;"PRC_RESID","",IF(AL$7=2005+OFFSET(COM_N_2012!$B$60,$AW163,SUMIF($B$10:$B$16,"NCAP_TLIFE",$AX$10:$AX$16)),0,""))</f>
        <v/>
      </c>
      <c r="AM163" s="369" t="str">
        <f ca="1">IF($B163&lt;&gt;"PRC_RESID","",IF(AM$7=2005+OFFSET(COM_N_2012!$B$60,$AW163,SUMIF($B$10:$B$16,"NCAP_TLIFE",$AX$10:$AX$16)),0,""))</f>
        <v/>
      </c>
      <c r="AN163" s="369" t="str">
        <f ca="1">IF($B163&lt;&gt;"PRC_RESID","",IF(AN$7=2005+OFFSET(COM_N_2012!$B$60,$AW163,SUMIF($B$10:$B$16,"NCAP_TLIFE",$AX$10:$AX$16)),0,""))</f>
        <v/>
      </c>
      <c r="AO163" s="369" t="str">
        <f ca="1">IF($B163&lt;&gt;"PRC_RESID","",IF(AO$7=2005+OFFSET(COM_N_2012!$B$60,$AW163,SUMIF($B$10:$B$16,"NCAP_TLIFE",$AX$10:$AX$16)),0,""))</f>
        <v/>
      </c>
      <c r="AP163" s="369" t="str">
        <f ca="1">IF($B163&lt;&gt;"PRC_RESID","",IF(AP$7=2005+OFFSET(COM_N_2012!$B$60,$AW163,SUMIF($B$10:$B$16,"NCAP_TLIFE",$AX$10:$AX$16)),0,""))</f>
        <v/>
      </c>
      <c r="AQ163" s="369" t="str">
        <f ca="1">IF($B163&lt;&gt;"PRC_RESID","",IF(AQ$7=2005+OFFSET(COM_N_2012!$B$60,$AW163,SUMIF($B$10:$B$16,"NCAP_TLIFE",$AX$10:$AX$16)),0,""))</f>
        <v/>
      </c>
      <c r="AR163" s="369" t="str">
        <f ca="1">IF($B163&lt;&gt;"PRC_RESID","",IF(AR$7=2005+OFFSET(COM_N_2012!$B$60,$AW163,SUMIF($B$10:$B$16,"NCAP_TLIFE",$AX$10:$AX$16)),0,""))</f>
        <v/>
      </c>
      <c r="AS163" s="369" t="str">
        <f ca="1">IF($B163&lt;&gt;"PRC_RESID","",IF(AS$7=2005+OFFSET(COM_N_2012!$B$60,$AW163,SUMIF($B$10:$B$16,"NCAP_TLIFE",$AX$10:$AX$16)),0,""))</f>
        <v/>
      </c>
      <c r="AT163" s="369" t="str">
        <f ca="1">IF($B163&lt;&gt;"PRC_RESID","",IF(AT$7=2005+OFFSET(COM_N_2012!$B$60,$AW163,SUMIF($B$10:$B$16,"NCAP_TLIFE",$AX$10:$AX$16)),0,""))</f>
        <v/>
      </c>
      <c r="AU163" s="369" t="str">
        <f ca="1">IF($B163&lt;&gt;"PRC_RESID","",IF(AU$7=2005+OFFSET(COM_N_2012!$B$60,$AW163,SUMIF($B$10:$B$16,"NCAP_TLIFE",$AX$10:$AX$16)),0,""))</f>
        <v/>
      </c>
      <c r="AV163" s="304">
        <f>IF(AW162=COM_N_2012!$AK$121,AV162+1,AV162)</f>
        <v>3</v>
      </c>
      <c r="AW163" s="304">
        <f t="shared" si="20"/>
        <v>24</v>
      </c>
    </row>
    <row r="164" spans="1:49">
      <c r="A164" s="304" t="str">
        <f ca="1">IF(LEFT(OFFSET(COM_N_2012!$A$60,AW164,0),2)="\I","*","")</f>
        <v/>
      </c>
      <c r="B164" s="369" t="str">
        <f t="shared" ca="1" si="19"/>
        <v>NCAP_TLIFE</v>
      </c>
      <c r="C164" s="369" t="str">
        <f ca="1">IF($A164="*","",OFFSET(COM_N_2012!$B$60,AW164,0))</f>
        <v>CNLELCINC-E</v>
      </c>
      <c r="D164" s="369" t="str">
        <f t="shared" ca="1" si="22"/>
        <v>-</v>
      </c>
      <c r="E164" s="369" t="str">
        <f t="shared" ca="1" si="22"/>
        <v>-</v>
      </c>
      <c r="F164" s="369" t="str">
        <f t="shared" ca="1" si="22"/>
        <v>-</v>
      </c>
      <c r="G164" s="369" t="str">
        <f t="shared" ca="1" si="22"/>
        <v>-</v>
      </c>
      <c r="H164" s="369" t="str">
        <f t="shared" ca="1" si="22"/>
        <v>-</v>
      </c>
      <c r="I164" s="370">
        <f t="shared" ca="1" si="22"/>
        <v>0</v>
      </c>
      <c r="J164" s="391">
        <f ca="1">IF($A164="*","",OFFSET(COM_N_2012!$B$60,AW164,SUMIF($B$10:$B$16,B164,$AX$10:$AX$16)))</f>
        <v>2</v>
      </c>
      <c r="K164" s="369" t="str">
        <f ca="1">IF($B164&lt;&gt;"PRC_RESID","",IF(K$7=2005+OFFSET(COM_N_2012!$B$60,$AW164,SUMIF($B$10:$B$16,"NCAP_TLIFE",$AX$10:$AX$16)),0,""))</f>
        <v/>
      </c>
      <c r="L164" s="369" t="str">
        <f ca="1">IF($B164&lt;&gt;"PRC_RESID","",IF(L$7=2005+OFFSET(COM_N_2012!$B$60,$AW164,SUMIF($B$10:$B$16,"NCAP_TLIFE",$AX$10:$AX$16)),0,""))</f>
        <v/>
      </c>
      <c r="M164" s="369" t="str">
        <f ca="1">IF($B164&lt;&gt;"PRC_RESID","",IF(M$7=2005+OFFSET(COM_N_2012!$B$60,$AW164,SUMIF($B$10:$B$16,"NCAP_TLIFE",$AX$10:$AX$16)),0,""))</f>
        <v/>
      </c>
      <c r="N164" s="369" t="str">
        <f ca="1">IF($B164&lt;&gt;"PRC_RESID","",IF(N$7=2005+OFFSET(COM_N_2012!$B$60,$AW164,SUMIF($B$10:$B$16,"NCAP_TLIFE",$AX$10:$AX$16)),0,""))</f>
        <v/>
      </c>
      <c r="O164" s="369" t="str">
        <f ca="1">IF($B164&lt;&gt;"PRC_RESID","",IF(O$7=2005+OFFSET(COM_N_2012!$B$60,$AW164,SUMIF($B$10:$B$16,"NCAP_TLIFE",$AX$10:$AX$16)),0,""))</f>
        <v/>
      </c>
      <c r="P164" s="369" t="str">
        <f ca="1">IF($B164&lt;&gt;"PRC_RESID","",IF(P$7=2005+OFFSET(COM_N_2012!$B$60,$AW164,SUMIF($B$10:$B$16,"NCAP_TLIFE",$AX$10:$AX$16)),0,""))</f>
        <v/>
      </c>
      <c r="Q164" s="369" t="str">
        <f ca="1">IF($B164&lt;&gt;"PRC_RESID","",IF(Q$7=2005+OFFSET(COM_N_2012!$B$60,$AW164,SUMIF($B$10:$B$16,"NCAP_TLIFE",$AX$10:$AX$16)),0,""))</f>
        <v/>
      </c>
      <c r="R164" s="369" t="str">
        <f ca="1">IF($B164&lt;&gt;"PRC_RESID","",IF(R$7=2005+OFFSET(COM_N_2012!$B$60,$AW164,SUMIF($B$10:$B$16,"NCAP_TLIFE",$AX$10:$AX$16)),0,""))</f>
        <v/>
      </c>
      <c r="S164" s="369" t="str">
        <f ca="1">IF($B164&lt;&gt;"PRC_RESID","",IF(S$7=2005+OFFSET(COM_N_2012!$B$60,$AW164,SUMIF($B$10:$B$16,"NCAP_TLIFE",$AX$10:$AX$16)),0,""))</f>
        <v/>
      </c>
      <c r="T164" s="369" t="str">
        <f ca="1">IF($B164&lt;&gt;"PRC_RESID","",IF(T$7=2005+OFFSET(COM_N_2012!$B$60,$AW164,SUMIF($B$10:$B$16,"NCAP_TLIFE",$AX$10:$AX$16)),0,""))</f>
        <v/>
      </c>
      <c r="U164" s="369" t="str">
        <f ca="1">IF($B164&lt;&gt;"PRC_RESID","",IF(U$7=2005+OFFSET(COM_N_2012!$B$60,$AW164,SUMIF($B$10:$B$16,"NCAP_TLIFE",$AX$10:$AX$16)),0,""))</f>
        <v/>
      </c>
      <c r="V164" s="369" t="str">
        <f ca="1">IF($B164&lt;&gt;"PRC_RESID","",IF(V$7=2005+OFFSET(COM_N_2012!$B$60,$AW164,SUMIF($B$10:$B$16,"NCAP_TLIFE",$AX$10:$AX$16)),0,""))</f>
        <v/>
      </c>
      <c r="W164" s="369" t="str">
        <f ca="1">IF($B164&lt;&gt;"PRC_RESID","",IF(W$7=2005+OFFSET(COM_N_2012!$B$60,$AW164,SUMIF($B$10:$B$16,"NCAP_TLIFE",$AX$10:$AX$16)),0,""))</f>
        <v/>
      </c>
      <c r="X164" s="369" t="str">
        <f ca="1">IF($B164&lt;&gt;"PRC_RESID","",IF(X$7=2005+OFFSET(COM_N_2012!$B$60,$AW164,SUMIF($B$10:$B$16,"NCAP_TLIFE",$AX$10:$AX$16)),0,""))</f>
        <v/>
      </c>
      <c r="Y164" s="369" t="str">
        <f ca="1">IF($B164&lt;&gt;"PRC_RESID","",IF(Y$7=2005+OFFSET(COM_N_2012!$B$60,$AW164,SUMIF($B$10:$B$16,"NCAP_TLIFE",$AX$10:$AX$16)),0,""))</f>
        <v/>
      </c>
      <c r="Z164" s="369" t="str">
        <f ca="1">IF($B164&lt;&gt;"PRC_RESID","",IF(Z$7=2005+OFFSET(COM_N_2012!$B$60,$AW164,SUMIF($B$10:$B$16,"NCAP_TLIFE",$AX$10:$AX$16)),0,""))</f>
        <v/>
      </c>
      <c r="AA164" s="369" t="str">
        <f ca="1">IF($B164&lt;&gt;"PRC_RESID","",IF(AA$7=2005+OFFSET(COM_N_2012!$B$60,$AW164,SUMIF($B$10:$B$16,"NCAP_TLIFE",$AX$10:$AX$16)),0,""))</f>
        <v/>
      </c>
      <c r="AB164" s="369" t="str">
        <f ca="1">IF($B164&lt;&gt;"PRC_RESID","",IF(AB$7=2005+OFFSET(COM_N_2012!$B$60,$AW164,SUMIF($B$10:$B$16,"NCAP_TLIFE",$AX$10:$AX$16)),0,""))</f>
        <v/>
      </c>
      <c r="AC164" s="369" t="str">
        <f ca="1">IF($B164&lt;&gt;"PRC_RESID","",IF(AC$7=2005+OFFSET(COM_N_2012!$B$60,$AW164,SUMIF($B$10:$B$16,"NCAP_TLIFE",$AX$10:$AX$16)),0,""))</f>
        <v/>
      </c>
      <c r="AD164" s="369" t="str">
        <f ca="1">IF($B164&lt;&gt;"PRC_RESID","",IF(AD$7=2005+OFFSET(COM_N_2012!$B$60,$AW164,SUMIF($B$10:$B$16,"NCAP_TLIFE",$AX$10:$AX$16)),0,""))</f>
        <v/>
      </c>
      <c r="AE164" s="369" t="str">
        <f ca="1">IF($B164&lt;&gt;"PRC_RESID","",IF(AE$7=2005+OFFSET(COM_N_2012!$B$60,$AW164,SUMIF($B$10:$B$16,"NCAP_TLIFE",$AX$10:$AX$16)),0,""))</f>
        <v/>
      </c>
      <c r="AF164" s="369" t="str">
        <f ca="1">IF($B164&lt;&gt;"PRC_RESID","",IF(AF$7=2005+OFFSET(COM_N_2012!$B$60,$AW164,SUMIF($B$10:$B$16,"NCAP_TLIFE",$AX$10:$AX$16)),0,""))</f>
        <v/>
      </c>
      <c r="AG164" s="369" t="str">
        <f ca="1">IF($B164&lt;&gt;"PRC_RESID","",IF(AG$7=2005+OFFSET(COM_N_2012!$B$60,$AW164,SUMIF($B$10:$B$16,"NCAP_TLIFE",$AX$10:$AX$16)),0,""))</f>
        <v/>
      </c>
      <c r="AH164" s="369" t="str">
        <f ca="1">IF($B164&lt;&gt;"PRC_RESID","",IF(AH$7=2005+OFFSET(COM_N_2012!$B$60,$AW164,SUMIF($B$10:$B$16,"NCAP_TLIFE",$AX$10:$AX$16)),0,""))</f>
        <v/>
      </c>
      <c r="AI164" s="369" t="str">
        <f ca="1">IF($B164&lt;&gt;"PRC_RESID","",IF(AI$7=2005+OFFSET(COM_N_2012!$B$60,$AW164,SUMIF($B$10:$B$16,"NCAP_TLIFE",$AX$10:$AX$16)),0,""))</f>
        <v/>
      </c>
      <c r="AJ164" s="369" t="str">
        <f ca="1">IF($B164&lt;&gt;"PRC_RESID","",IF(AJ$7=2005+OFFSET(COM_N_2012!$B$60,$AW164,SUMIF($B$10:$B$16,"NCAP_TLIFE",$AX$10:$AX$16)),0,""))</f>
        <v/>
      </c>
      <c r="AK164" s="369" t="str">
        <f ca="1">IF($B164&lt;&gt;"PRC_RESID","",IF(AK$7=2005+OFFSET(COM_N_2012!$B$60,$AW164,SUMIF($B$10:$B$16,"NCAP_TLIFE",$AX$10:$AX$16)),0,""))</f>
        <v/>
      </c>
      <c r="AL164" s="369" t="str">
        <f ca="1">IF($B164&lt;&gt;"PRC_RESID","",IF(AL$7=2005+OFFSET(COM_N_2012!$B$60,$AW164,SUMIF($B$10:$B$16,"NCAP_TLIFE",$AX$10:$AX$16)),0,""))</f>
        <v/>
      </c>
      <c r="AM164" s="369" t="str">
        <f ca="1">IF($B164&lt;&gt;"PRC_RESID","",IF(AM$7=2005+OFFSET(COM_N_2012!$B$60,$AW164,SUMIF($B$10:$B$16,"NCAP_TLIFE",$AX$10:$AX$16)),0,""))</f>
        <v/>
      </c>
      <c r="AN164" s="369" t="str">
        <f ca="1">IF($B164&lt;&gt;"PRC_RESID","",IF(AN$7=2005+OFFSET(COM_N_2012!$B$60,$AW164,SUMIF($B$10:$B$16,"NCAP_TLIFE",$AX$10:$AX$16)),0,""))</f>
        <v/>
      </c>
      <c r="AO164" s="369" t="str">
        <f ca="1">IF($B164&lt;&gt;"PRC_RESID","",IF(AO$7=2005+OFFSET(COM_N_2012!$B$60,$AW164,SUMIF($B$10:$B$16,"NCAP_TLIFE",$AX$10:$AX$16)),0,""))</f>
        <v/>
      </c>
      <c r="AP164" s="369" t="str">
        <f ca="1">IF($B164&lt;&gt;"PRC_RESID","",IF(AP$7=2005+OFFSET(COM_N_2012!$B$60,$AW164,SUMIF($B$10:$B$16,"NCAP_TLIFE",$AX$10:$AX$16)),0,""))</f>
        <v/>
      </c>
      <c r="AQ164" s="369" t="str">
        <f ca="1">IF($B164&lt;&gt;"PRC_RESID","",IF(AQ$7=2005+OFFSET(COM_N_2012!$B$60,$AW164,SUMIF($B$10:$B$16,"NCAP_TLIFE",$AX$10:$AX$16)),0,""))</f>
        <v/>
      </c>
      <c r="AR164" s="369" t="str">
        <f ca="1">IF($B164&lt;&gt;"PRC_RESID","",IF(AR$7=2005+OFFSET(COM_N_2012!$B$60,$AW164,SUMIF($B$10:$B$16,"NCAP_TLIFE",$AX$10:$AX$16)),0,""))</f>
        <v/>
      </c>
      <c r="AS164" s="369" t="str">
        <f ca="1">IF($B164&lt;&gt;"PRC_RESID","",IF(AS$7=2005+OFFSET(COM_N_2012!$B$60,$AW164,SUMIF($B$10:$B$16,"NCAP_TLIFE",$AX$10:$AX$16)),0,""))</f>
        <v/>
      </c>
      <c r="AT164" s="369" t="str">
        <f ca="1">IF($B164&lt;&gt;"PRC_RESID","",IF(AT$7=2005+OFFSET(COM_N_2012!$B$60,$AW164,SUMIF($B$10:$B$16,"NCAP_TLIFE",$AX$10:$AX$16)),0,""))</f>
        <v/>
      </c>
      <c r="AU164" s="369" t="str">
        <f ca="1">IF($B164&lt;&gt;"PRC_RESID","",IF(AU$7=2005+OFFSET(COM_N_2012!$B$60,$AW164,SUMIF($B$10:$B$16,"NCAP_TLIFE",$AX$10:$AX$16)),0,""))</f>
        <v/>
      </c>
      <c r="AV164" s="304">
        <f>IF(AW163=COM_N_2012!$AK$121,AV163+1,AV163)</f>
        <v>3</v>
      </c>
      <c r="AW164" s="304">
        <f t="shared" si="20"/>
        <v>25</v>
      </c>
    </row>
    <row r="165" spans="1:49">
      <c r="A165" s="304" t="str">
        <f ca="1">IF(LEFT(OFFSET(COM_N_2012!$A$60,AW165,0),2)="\I","*","")</f>
        <v/>
      </c>
      <c r="B165" s="369" t="str">
        <f t="shared" ca="1" si="19"/>
        <v>NCAP_TLIFE</v>
      </c>
      <c r="C165" s="369" t="str">
        <f ca="1">IF($A165="*","",OFFSET(COM_N_2012!$B$60,AW165,0))</f>
        <v>CNLELCLED-N</v>
      </c>
      <c r="D165" s="369" t="str">
        <f t="shared" ca="1" si="22"/>
        <v>-</v>
      </c>
      <c r="E165" s="369" t="str">
        <f t="shared" ca="1" si="22"/>
        <v>-</v>
      </c>
      <c r="F165" s="369" t="str">
        <f t="shared" ca="1" si="22"/>
        <v>-</v>
      </c>
      <c r="G165" s="369" t="str">
        <f t="shared" ca="1" si="22"/>
        <v>-</v>
      </c>
      <c r="H165" s="369" t="str">
        <f t="shared" ca="1" si="22"/>
        <v>-</v>
      </c>
      <c r="I165" s="370">
        <f t="shared" ca="1" si="22"/>
        <v>0</v>
      </c>
      <c r="J165" s="391">
        <f ca="1">IF($A165="*","",OFFSET(COM_N_2012!$B$60,AW165,SUMIF($B$10:$B$16,B165,$AX$10:$AX$16)))</f>
        <v>10</v>
      </c>
      <c r="K165" s="369" t="str">
        <f ca="1">IF($B165&lt;&gt;"PRC_RESID","",IF(K$7=2005+OFFSET(COM_N_2012!$B$60,$AW165,SUMIF($B$10:$B$16,"NCAP_TLIFE",$AX$10:$AX$16)),0,""))</f>
        <v/>
      </c>
      <c r="L165" s="369" t="str">
        <f ca="1">IF($B165&lt;&gt;"PRC_RESID","",IF(L$7=2005+OFFSET(COM_N_2012!$B$60,$AW165,SUMIF($B$10:$B$16,"NCAP_TLIFE",$AX$10:$AX$16)),0,""))</f>
        <v/>
      </c>
      <c r="M165" s="369" t="str">
        <f ca="1">IF($B165&lt;&gt;"PRC_RESID","",IF(M$7=2005+OFFSET(COM_N_2012!$B$60,$AW165,SUMIF($B$10:$B$16,"NCAP_TLIFE",$AX$10:$AX$16)),0,""))</f>
        <v/>
      </c>
      <c r="N165" s="369" t="str">
        <f ca="1">IF($B165&lt;&gt;"PRC_RESID","",IF(N$7=2005+OFFSET(COM_N_2012!$B$60,$AW165,SUMIF($B$10:$B$16,"NCAP_TLIFE",$AX$10:$AX$16)),0,""))</f>
        <v/>
      </c>
      <c r="O165" s="369" t="str">
        <f ca="1">IF($B165&lt;&gt;"PRC_RESID","",IF(O$7=2005+OFFSET(COM_N_2012!$B$60,$AW165,SUMIF($B$10:$B$16,"NCAP_TLIFE",$AX$10:$AX$16)),0,""))</f>
        <v/>
      </c>
      <c r="P165" s="369" t="str">
        <f ca="1">IF($B165&lt;&gt;"PRC_RESID","",IF(P$7=2005+OFFSET(COM_N_2012!$B$60,$AW165,SUMIF($B$10:$B$16,"NCAP_TLIFE",$AX$10:$AX$16)),0,""))</f>
        <v/>
      </c>
      <c r="Q165" s="369" t="str">
        <f ca="1">IF($B165&lt;&gt;"PRC_RESID","",IF(Q$7=2005+OFFSET(COM_N_2012!$B$60,$AW165,SUMIF($B$10:$B$16,"NCAP_TLIFE",$AX$10:$AX$16)),0,""))</f>
        <v/>
      </c>
      <c r="R165" s="369" t="str">
        <f ca="1">IF($B165&lt;&gt;"PRC_RESID","",IF(R$7=2005+OFFSET(COM_N_2012!$B$60,$AW165,SUMIF($B$10:$B$16,"NCAP_TLIFE",$AX$10:$AX$16)),0,""))</f>
        <v/>
      </c>
      <c r="S165" s="369" t="str">
        <f ca="1">IF($B165&lt;&gt;"PRC_RESID","",IF(S$7=2005+OFFSET(COM_N_2012!$B$60,$AW165,SUMIF($B$10:$B$16,"NCAP_TLIFE",$AX$10:$AX$16)),0,""))</f>
        <v/>
      </c>
      <c r="T165" s="369" t="str">
        <f ca="1">IF($B165&lt;&gt;"PRC_RESID","",IF(T$7=2005+OFFSET(COM_N_2012!$B$60,$AW165,SUMIF($B$10:$B$16,"NCAP_TLIFE",$AX$10:$AX$16)),0,""))</f>
        <v/>
      </c>
      <c r="U165" s="369" t="str">
        <f ca="1">IF($B165&lt;&gt;"PRC_RESID","",IF(U$7=2005+OFFSET(COM_N_2012!$B$60,$AW165,SUMIF($B$10:$B$16,"NCAP_TLIFE",$AX$10:$AX$16)),0,""))</f>
        <v/>
      </c>
      <c r="V165" s="369" t="str">
        <f ca="1">IF($B165&lt;&gt;"PRC_RESID","",IF(V$7=2005+OFFSET(COM_N_2012!$B$60,$AW165,SUMIF($B$10:$B$16,"NCAP_TLIFE",$AX$10:$AX$16)),0,""))</f>
        <v/>
      </c>
      <c r="W165" s="369" t="str">
        <f ca="1">IF($B165&lt;&gt;"PRC_RESID","",IF(W$7=2005+OFFSET(COM_N_2012!$B$60,$AW165,SUMIF($B$10:$B$16,"NCAP_TLIFE",$AX$10:$AX$16)),0,""))</f>
        <v/>
      </c>
      <c r="X165" s="369" t="str">
        <f ca="1">IF($B165&lt;&gt;"PRC_RESID","",IF(X$7=2005+OFFSET(COM_N_2012!$B$60,$AW165,SUMIF($B$10:$B$16,"NCAP_TLIFE",$AX$10:$AX$16)),0,""))</f>
        <v/>
      </c>
      <c r="Y165" s="369" t="str">
        <f ca="1">IF($B165&lt;&gt;"PRC_RESID","",IF(Y$7=2005+OFFSET(COM_N_2012!$B$60,$AW165,SUMIF($B$10:$B$16,"NCAP_TLIFE",$AX$10:$AX$16)),0,""))</f>
        <v/>
      </c>
      <c r="Z165" s="369" t="str">
        <f ca="1">IF($B165&lt;&gt;"PRC_RESID","",IF(Z$7=2005+OFFSET(COM_N_2012!$B$60,$AW165,SUMIF($B$10:$B$16,"NCAP_TLIFE",$AX$10:$AX$16)),0,""))</f>
        <v/>
      </c>
      <c r="AA165" s="369" t="str">
        <f ca="1">IF($B165&lt;&gt;"PRC_RESID","",IF(AA$7=2005+OFFSET(COM_N_2012!$B$60,$AW165,SUMIF($B$10:$B$16,"NCAP_TLIFE",$AX$10:$AX$16)),0,""))</f>
        <v/>
      </c>
      <c r="AB165" s="369" t="str">
        <f ca="1">IF($B165&lt;&gt;"PRC_RESID","",IF(AB$7=2005+OFFSET(COM_N_2012!$B$60,$AW165,SUMIF($B$10:$B$16,"NCAP_TLIFE",$AX$10:$AX$16)),0,""))</f>
        <v/>
      </c>
      <c r="AC165" s="369" t="str">
        <f ca="1">IF($B165&lt;&gt;"PRC_RESID","",IF(AC$7=2005+OFFSET(COM_N_2012!$B$60,$AW165,SUMIF($B$10:$B$16,"NCAP_TLIFE",$AX$10:$AX$16)),0,""))</f>
        <v/>
      </c>
      <c r="AD165" s="369" t="str">
        <f ca="1">IF($B165&lt;&gt;"PRC_RESID","",IF(AD$7=2005+OFFSET(COM_N_2012!$B$60,$AW165,SUMIF($B$10:$B$16,"NCAP_TLIFE",$AX$10:$AX$16)),0,""))</f>
        <v/>
      </c>
      <c r="AE165" s="369" t="str">
        <f ca="1">IF($B165&lt;&gt;"PRC_RESID","",IF(AE$7=2005+OFFSET(COM_N_2012!$B$60,$AW165,SUMIF($B$10:$B$16,"NCAP_TLIFE",$AX$10:$AX$16)),0,""))</f>
        <v/>
      </c>
      <c r="AF165" s="369" t="str">
        <f ca="1">IF($B165&lt;&gt;"PRC_RESID","",IF(AF$7=2005+OFFSET(COM_N_2012!$B$60,$AW165,SUMIF($B$10:$B$16,"NCAP_TLIFE",$AX$10:$AX$16)),0,""))</f>
        <v/>
      </c>
      <c r="AG165" s="369" t="str">
        <f ca="1">IF($B165&lt;&gt;"PRC_RESID","",IF(AG$7=2005+OFFSET(COM_N_2012!$B$60,$AW165,SUMIF($B$10:$B$16,"NCAP_TLIFE",$AX$10:$AX$16)),0,""))</f>
        <v/>
      </c>
      <c r="AH165" s="369" t="str">
        <f ca="1">IF($B165&lt;&gt;"PRC_RESID","",IF(AH$7=2005+OFFSET(COM_N_2012!$B$60,$AW165,SUMIF($B$10:$B$16,"NCAP_TLIFE",$AX$10:$AX$16)),0,""))</f>
        <v/>
      </c>
      <c r="AI165" s="369" t="str">
        <f ca="1">IF($B165&lt;&gt;"PRC_RESID","",IF(AI$7=2005+OFFSET(COM_N_2012!$B$60,$AW165,SUMIF($B$10:$B$16,"NCAP_TLIFE",$AX$10:$AX$16)),0,""))</f>
        <v/>
      </c>
      <c r="AJ165" s="369" t="str">
        <f ca="1">IF($B165&lt;&gt;"PRC_RESID","",IF(AJ$7=2005+OFFSET(COM_N_2012!$B$60,$AW165,SUMIF($B$10:$B$16,"NCAP_TLIFE",$AX$10:$AX$16)),0,""))</f>
        <v/>
      </c>
      <c r="AK165" s="369" t="str">
        <f ca="1">IF($B165&lt;&gt;"PRC_RESID","",IF(AK$7=2005+OFFSET(COM_N_2012!$B$60,$AW165,SUMIF($B$10:$B$16,"NCAP_TLIFE",$AX$10:$AX$16)),0,""))</f>
        <v/>
      </c>
      <c r="AL165" s="369" t="str">
        <f ca="1">IF($B165&lt;&gt;"PRC_RESID","",IF(AL$7=2005+OFFSET(COM_N_2012!$B$60,$AW165,SUMIF($B$10:$B$16,"NCAP_TLIFE",$AX$10:$AX$16)),0,""))</f>
        <v/>
      </c>
      <c r="AM165" s="369" t="str">
        <f ca="1">IF($B165&lt;&gt;"PRC_RESID","",IF(AM$7=2005+OFFSET(COM_N_2012!$B$60,$AW165,SUMIF($B$10:$B$16,"NCAP_TLIFE",$AX$10:$AX$16)),0,""))</f>
        <v/>
      </c>
      <c r="AN165" s="369" t="str">
        <f ca="1">IF($B165&lt;&gt;"PRC_RESID","",IF(AN$7=2005+OFFSET(COM_N_2012!$B$60,$AW165,SUMIF($B$10:$B$16,"NCAP_TLIFE",$AX$10:$AX$16)),0,""))</f>
        <v/>
      </c>
      <c r="AO165" s="369" t="str">
        <f ca="1">IF($B165&lt;&gt;"PRC_RESID","",IF(AO$7=2005+OFFSET(COM_N_2012!$B$60,$AW165,SUMIF($B$10:$B$16,"NCAP_TLIFE",$AX$10:$AX$16)),0,""))</f>
        <v/>
      </c>
      <c r="AP165" s="369" t="str">
        <f ca="1">IF($B165&lt;&gt;"PRC_RESID","",IF(AP$7=2005+OFFSET(COM_N_2012!$B$60,$AW165,SUMIF($B$10:$B$16,"NCAP_TLIFE",$AX$10:$AX$16)),0,""))</f>
        <v/>
      </c>
      <c r="AQ165" s="369" t="str">
        <f ca="1">IF($B165&lt;&gt;"PRC_RESID","",IF(AQ$7=2005+OFFSET(COM_N_2012!$B$60,$AW165,SUMIF($B$10:$B$16,"NCAP_TLIFE",$AX$10:$AX$16)),0,""))</f>
        <v/>
      </c>
      <c r="AR165" s="369" t="str">
        <f ca="1">IF($B165&lt;&gt;"PRC_RESID","",IF(AR$7=2005+OFFSET(COM_N_2012!$B$60,$AW165,SUMIF($B$10:$B$16,"NCAP_TLIFE",$AX$10:$AX$16)),0,""))</f>
        <v/>
      </c>
      <c r="AS165" s="369" t="str">
        <f ca="1">IF($B165&lt;&gt;"PRC_RESID","",IF(AS$7=2005+OFFSET(COM_N_2012!$B$60,$AW165,SUMIF($B$10:$B$16,"NCAP_TLIFE",$AX$10:$AX$16)),0,""))</f>
        <v/>
      </c>
      <c r="AT165" s="369" t="str">
        <f ca="1">IF($B165&lt;&gt;"PRC_RESID","",IF(AT$7=2005+OFFSET(COM_N_2012!$B$60,$AW165,SUMIF($B$10:$B$16,"NCAP_TLIFE",$AX$10:$AX$16)),0,""))</f>
        <v/>
      </c>
      <c r="AU165" s="369" t="str">
        <f ca="1">IF($B165&lt;&gt;"PRC_RESID","",IF(AU$7=2005+OFFSET(COM_N_2012!$B$60,$AW165,SUMIF($B$10:$B$16,"NCAP_TLIFE",$AX$10:$AX$16)),0,""))</f>
        <v/>
      </c>
      <c r="AV165" s="304">
        <f>IF(AW164=COM_N_2012!$AK$121,AV164+1,AV164)</f>
        <v>3</v>
      </c>
      <c r="AW165" s="304">
        <f t="shared" si="20"/>
        <v>26</v>
      </c>
    </row>
    <row r="166" spans="1:49">
      <c r="A166" s="304" t="str">
        <f ca="1">IF(LEFT(OFFSET(COM_N_2012!$A$60,AW166,0),2)="\I","*","")</f>
        <v>*</v>
      </c>
      <c r="B166" s="369" t="str">
        <f t="shared" ca="1" si="19"/>
        <v/>
      </c>
      <c r="C166" s="369" t="str">
        <f ca="1">IF($A166="*","",OFFSET(COM_N_2012!$B$60,AW166,0))</f>
        <v/>
      </c>
      <c r="D166" s="369" t="str">
        <f t="shared" ca="1" si="22"/>
        <v/>
      </c>
      <c r="E166" s="369" t="str">
        <f t="shared" ca="1" si="22"/>
        <v/>
      </c>
      <c r="F166" s="369" t="str">
        <f t="shared" ca="1" si="22"/>
        <v/>
      </c>
      <c r="G166" s="369" t="str">
        <f t="shared" ca="1" si="22"/>
        <v/>
      </c>
      <c r="H166" s="369" t="str">
        <f t="shared" ca="1" si="22"/>
        <v/>
      </c>
      <c r="I166" s="370" t="str">
        <f t="shared" ca="1" si="22"/>
        <v/>
      </c>
      <c r="J166" s="391" t="str">
        <f ca="1">IF($A166="*","",OFFSET(COM_N_2012!$B$60,AW166,SUMIF($B$10:$B$16,B166,$AX$10:$AX$16)))</f>
        <v/>
      </c>
      <c r="K166" s="369" t="str">
        <f ca="1">IF($B166&lt;&gt;"PRC_RESID","",IF(K$7=2005+OFFSET(COM_N_2012!$B$60,$AW166,SUMIF($B$10:$B$16,"NCAP_TLIFE",$AX$10:$AX$16)),0,""))</f>
        <v/>
      </c>
      <c r="L166" s="369" t="str">
        <f ca="1">IF($B166&lt;&gt;"PRC_RESID","",IF(L$7=2005+OFFSET(COM_N_2012!$B$60,$AW166,SUMIF($B$10:$B$16,"NCAP_TLIFE",$AX$10:$AX$16)),0,""))</f>
        <v/>
      </c>
      <c r="M166" s="369" t="str">
        <f ca="1">IF($B166&lt;&gt;"PRC_RESID","",IF(M$7=2005+OFFSET(COM_N_2012!$B$60,$AW166,SUMIF($B$10:$B$16,"NCAP_TLIFE",$AX$10:$AX$16)),0,""))</f>
        <v/>
      </c>
      <c r="N166" s="369" t="str">
        <f ca="1">IF($B166&lt;&gt;"PRC_RESID","",IF(N$7=2005+OFFSET(COM_N_2012!$B$60,$AW166,SUMIF($B$10:$B$16,"NCAP_TLIFE",$AX$10:$AX$16)),0,""))</f>
        <v/>
      </c>
      <c r="O166" s="369" t="str">
        <f ca="1">IF($B166&lt;&gt;"PRC_RESID","",IF(O$7=2005+OFFSET(COM_N_2012!$B$60,$AW166,SUMIF($B$10:$B$16,"NCAP_TLIFE",$AX$10:$AX$16)),0,""))</f>
        <v/>
      </c>
      <c r="P166" s="369" t="str">
        <f ca="1">IF($B166&lt;&gt;"PRC_RESID","",IF(P$7=2005+OFFSET(COM_N_2012!$B$60,$AW166,SUMIF($B$10:$B$16,"NCAP_TLIFE",$AX$10:$AX$16)),0,""))</f>
        <v/>
      </c>
      <c r="Q166" s="369" t="str">
        <f ca="1">IF($B166&lt;&gt;"PRC_RESID","",IF(Q$7=2005+OFFSET(COM_N_2012!$B$60,$AW166,SUMIF($B$10:$B$16,"NCAP_TLIFE",$AX$10:$AX$16)),0,""))</f>
        <v/>
      </c>
      <c r="R166" s="369" t="str">
        <f ca="1">IF($B166&lt;&gt;"PRC_RESID","",IF(R$7=2005+OFFSET(COM_N_2012!$B$60,$AW166,SUMIF($B$10:$B$16,"NCAP_TLIFE",$AX$10:$AX$16)),0,""))</f>
        <v/>
      </c>
      <c r="S166" s="369" t="str">
        <f ca="1">IF($B166&lt;&gt;"PRC_RESID","",IF(S$7=2005+OFFSET(COM_N_2012!$B$60,$AW166,SUMIF($B$10:$B$16,"NCAP_TLIFE",$AX$10:$AX$16)),0,""))</f>
        <v/>
      </c>
      <c r="T166" s="369" t="str">
        <f ca="1">IF($B166&lt;&gt;"PRC_RESID","",IF(T$7=2005+OFFSET(COM_N_2012!$B$60,$AW166,SUMIF($B$10:$B$16,"NCAP_TLIFE",$AX$10:$AX$16)),0,""))</f>
        <v/>
      </c>
      <c r="U166" s="369" t="str">
        <f ca="1">IF($B166&lt;&gt;"PRC_RESID","",IF(U$7=2005+OFFSET(COM_N_2012!$B$60,$AW166,SUMIF($B$10:$B$16,"NCAP_TLIFE",$AX$10:$AX$16)),0,""))</f>
        <v/>
      </c>
      <c r="V166" s="369" t="str">
        <f ca="1">IF($B166&lt;&gt;"PRC_RESID","",IF(V$7=2005+OFFSET(COM_N_2012!$B$60,$AW166,SUMIF($B$10:$B$16,"NCAP_TLIFE",$AX$10:$AX$16)),0,""))</f>
        <v/>
      </c>
      <c r="W166" s="369" t="str">
        <f ca="1">IF($B166&lt;&gt;"PRC_RESID","",IF(W$7=2005+OFFSET(COM_N_2012!$B$60,$AW166,SUMIF($B$10:$B$16,"NCAP_TLIFE",$AX$10:$AX$16)),0,""))</f>
        <v/>
      </c>
      <c r="X166" s="369" t="str">
        <f ca="1">IF($B166&lt;&gt;"PRC_RESID","",IF(X$7=2005+OFFSET(COM_N_2012!$B$60,$AW166,SUMIF($B$10:$B$16,"NCAP_TLIFE",$AX$10:$AX$16)),0,""))</f>
        <v/>
      </c>
      <c r="Y166" s="369" t="str">
        <f ca="1">IF($B166&lt;&gt;"PRC_RESID","",IF(Y$7=2005+OFFSET(COM_N_2012!$B$60,$AW166,SUMIF($B$10:$B$16,"NCAP_TLIFE",$AX$10:$AX$16)),0,""))</f>
        <v/>
      </c>
      <c r="Z166" s="369" t="str">
        <f ca="1">IF($B166&lt;&gt;"PRC_RESID","",IF(Z$7=2005+OFFSET(COM_N_2012!$B$60,$AW166,SUMIF($B$10:$B$16,"NCAP_TLIFE",$AX$10:$AX$16)),0,""))</f>
        <v/>
      </c>
      <c r="AA166" s="369" t="str">
        <f ca="1">IF($B166&lt;&gt;"PRC_RESID","",IF(AA$7=2005+OFFSET(COM_N_2012!$B$60,$AW166,SUMIF($B$10:$B$16,"NCAP_TLIFE",$AX$10:$AX$16)),0,""))</f>
        <v/>
      </c>
      <c r="AB166" s="369" t="str">
        <f ca="1">IF($B166&lt;&gt;"PRC_RESID","",IF(AB$7=2005+OFFSET(COM_N_2012!$B$60,$AW166,SUMIF($B$10:$B$16,"NCAP_TLIFE",$AX$10:$AX$16)),0,""))</f>
        <v/>
      </c>
      <c r="AC166" s="369" t="str">
        <f ca="1">IF($B166&lt;&gt;"PRC_RESID","",IF(AC$7=2005+OFFSET(COM_N_2012!$B$60,$AW166,SUMIF($B$10:$B$16,"NCAP_TLIFE",$AX$10:$AX$16)),0,""))</f>
        <v/>
      </c>
      <c r="AD166" s="369" t="str">
        <f ca="1">IF($B166&lt;&gt;"PRC_RESID","",IF(AD$7=2005+OFFSET(COM_N_2012!$B$60,$AW166,SUMIF($B$10:$B$16,"NCAP_TLIFE",$AX$10:$AX$16)),0,""))</f>
        <v/>
      </c>
      <c r="AE166" s="369" t="str">
        <f ca="1">IF($B166&lt;&gt;"PRC_RESID","",IF(AE$7=2005+OFFSET(COM_N_2012!$B$60,$AW166,SUMIF($B$10:$B$16,"NCAP_TLIFE",$AX$10:$AX$16)),0,""))</f>
        <v/>
      </c>
      <c r="AF166" s="369" t="str">
        <f ca="1">IF($B166&lt;&gt;"PRC_RESID","",IF(AF$7=2005+OFFSET(COM_N_2012!$B$60,$AW166,SUMIF($B$10:$B$16,"NCAP_TLIFE",$AX$10:$AX$16)),0,""))</f>
        <v/>
      </c>
      <c r="AG166" s="369" t="str">
        <f ca="1">IF($B166&lt;&gt;"PRC_RESID","",IF(AG$7=2005+OFFSET(COM_N_2012!$B$60,$AW166,SUMIF($B$10:$B$16,"NCAP_TLIFE",$AX$10:$AX$16)),0,""))</f>
        <v/>
      </c>
      <c r="AH166" s="369" t="str">
        <f ca="1">IF($B166&lt;&gt;"PRC_RESID","",IF(AH$7=2005+OFFSET(COM_N_2012!$B$60,$AW166,SUMIF($B$10:$B$16,"NCAP_TLIFE",$AX$10:$AX$16)),0,""))</f>
        <v/>
      </c>
      <c r="AI166" s="369" t="str">
        <f ca="1">IF($B166&lt;&gt;"PRC_RESID","",IF(AI$7=2005+OFFSET(COM_N_2012!$B$60,$AW166,SUMIF($B$10:$B$16,"NCAP_TLIFE",$AX$10:$AX$16)),0,""))</f>
        <v/>
      </c>
      <c r="AJ166" s="369" t="str">
        <f ca="1">IF($B166&lt;&gt;"PRC_RESID","",IF(AJ$7=2005+OFFSET(COM_N_2012!$B$60,$AW166,SUMIF($B$10:$B$16,"NCAP_TLIFE",$AX$10:$AX$16)),0,""))</f>
        <v/>
      </c>
      <c r="AK166" s="369" t="str">
        <f ca="1">IF($B166&lt;&gt;"PRC_RESID","",IF(AK$7=2005+OFFSET(COM_N_2012!$B$60,$AW166,SUMIF($B$10:$B$16,"NCAP_TLIFE",$AX$10:$AX$16)),0,""))</f>
        <v/>
      </c>
      <c r="AL166" s="369" t="str">
        <f ca="1">IF($B166&lt;&gt;"PRC_RESID","",IF(AL$7=2005+OFFSET(COM_N_2012!$B$60,$AW166,SUMIF($B$10:$B$16,"NCAP_TLIFE",$AX$10:$AX$16)),0,""))</f>
        <v/>
      </c>
      <c r="AM166" s="369" t="str">
        <f ca="1">IF($B166&lt;&gt;"PRC_RESID","",IF(AM$7=2005+OFFSET(COM_N_2012!$B$60,$AW166,SUMIF($B$10:$B$16,"NCAP_TLIFE",$AX$10:$AX$16)),0,""))</f>
        <v/>
      </c>
      <c r="AN166" s="369" t="str">
        <f ca="1">IF($B166&lt;&gt;"PRC_RESID","",IF(AN$7=2005+OFFSET(COM_N_2012!$B$60,$AW166,SUMIF($B$10:$B$16,"NCAP_TLIFE",$AX$10:$AX$16)),0,""))</f>
        <v/>
      </c>
      <c r="AO166" s="369" t="str">
        <f ca="1">IF($B166&lt;&gt;"PRC_RESID","",IF(AO$7=2005+OFFSET(COM_N_2012!$B$60,$AW166,SUMIF($B$10:$B$16,"NCAP_TLIFE",$AX$10:$AX$16)),0,""))</f>
        <v/>
      </c>
      <c r="AP166" s="369" t="str">
        <f ca="1">IF($B166&lt;&gt;"PRC_RESID","",IF(AP$7=2005+OFFSET(COM_N_2012!$B$60,$AW166,SUMIF($B$10:$B$16,"NCAP_TLIFE",$AX$10:$AX$16)),0,""))</f>
        <v/>
      </c>
      <c r="AQ166" s="369" t="str">
        <f ca="1">IF($B166&lt;&gt;"PRC_RESID","",IF(AQ$7=2005+OFFSET(COM_N_2012!$B$60,$AW166,SUMIF($B$10:$B$16,"NCAP_TLIFE",$AX$10:$AX$16)),0,""))</f>
        <v/>
      </c>
      <c r="AR166" s="369" t="str">
        <f ca="1">IF($B166&lt;&gt;"PRC_RESID","",IF(AR$7=2005+OFFSET(COM_N_2012!$B$60,$AW166,SUMIF($B$10:$B$16,"NCAP_TLIFE",$AX$10:$AX$16)),0,""))</f>
        <v/>
      </c>
      <c r="AS166" s="369" t="str">
        <f ca="1">IF($B166&lt;&gt;"PRC_RESID","",IF(AS$7=2005+OFFSET(COM_N_2012!$B$60,$AW166,SUMIF($B$10:$B$16,"NCAP_TLIFE",$AX$10:$AX$16)),0,""))</f>
        <v/>
      </c>
      <c r="AT166" s="369" t="str">
        <f ca="1">IF($B166&lt;&gt;"PRC_RESID","",IF(AT$7=2005+OFFSET(COM_N_2012!$B$60,$AW166,SUMIF($B$10:$B$16,"NCAP_TLIFE",$AX$10:$AX$16)),0,""))</f>
        <v/>
      </c>
      <c r="AU166" s="369" t="str">
        <f ca="1">IF($B166&lt;&gt;"PRC_RESID","",IF(AU$7=2005+OFFSET(COM_N_2012!$B$60,$AW166,SUMIF($B$10:$B$16,"NCAP_TLIFE",$AX$10:$AX$16)),0,""))</f>
        <v/>
      </c>
      <c r="AV166" s="304">
        <f>IF(AW165=COM_N_2012!$AK$121,AV165+1,AV165)</f>
        <v>3</v>
      </c>
      <c r="AW166" s="304">
        <f t="shared" si="20"/>
        <v>27</v>
      </c>
    </row>
    <row r="167" spans="1:49">
      <c r="A167" s="304" t="str">
        <f ca="1">IF(LEFT(OFFSET(COM_N_2012!$A$60,AW167,0),2)="\I","*","")</f>
        <v>*</v>
      </c>
      <c r="B167" s="369" t="str">
        <f t="shared" ca="1" si="19"/>
        <v/>
      </c>
      <c r="C167" s="369" t="str">
        <f ca="1">IF($A167="*","",OFFSET(COM_N_2012!$B$60,AW167,0))</f>
        <v/>
      </c>
      <c r="D167" s="369" t="str">
        <f t="shared" ca="1" si="22"/>
        <v/>
      </c>
      <c r="E167" s="369" t="str">
        <f t="shared" ca="1" si="22"/>
        <v/>
      </c>
      <c r="F167" s="369" t="str">
        <f t="shared" ca="1" si="22"/>
        <v/>
      </c>
      <c r="G167" s="369" t="str">
        <f t="shared" ca="1" si="22"/>
        <v/>
      </c>
      <c r="H167" s="369" t="str">
        <f t="shared" ca="1" si="22"/>
        <v/>
      </c>
      <c r="I167" s="370" t="str">
        <f t="shared" ca="1" si="22"/>
        <v/>
      </c>
      <c r="J167" s="391" t="str">
        <f ca="1">IF($A167="*","",OFFSET(COM_N_2012!$B$60,AW167,SUMIF($B$10:$B$16,B167,$AX$10:$AX$16)))</f>
        <v/>
      </c>
      <c r="K167" s="369" t="str">
        <f ca="1">IF($B167&lt;&gt;"PRC_RESID","",IF(K$7=2005+OFFSET(COM_N_2012!$B$60,$AW167,SUMIF($B$10:$B$16,"NCAP_TLIFE",$AX$10:$AX$16)),0,""))</f>
        <v/>
      </c>
      <c r="L167" s="369" t="str">
        <f ca="1">IF($B167&lt;&gt;"PRC_RESID","",IF(L$7=2005+OFFSET(COM_N_2012!$B$60,$AW167,SUMIF($B$10:$B$16,"NCAP_TLIFE",$AX$10:$AX$16)),0,""))</f>
        <v/>
      </c>
      <c r="M167" s="369" t="str">
        <f ca="1">IF($B167&lt;&gt;"PRC_RESID","",IF(M$7=2005+OFFSET(COM_N_2012!$B$60,$AW167,SUMIF($B$10:$B$16,"NCAP_TLIFE",$AX$10:$AX$16)),0,""))</f>
        <v/>
      </c>
      <c r="N167" s="369" t="str">
        <f ca="1">IF($B167&lt;&gt;"PRC_RESID","",IF(N$7=2005+OFFSET(COM_N_2012!$B$60,$AW167,SUMIF($B$10:$B$16,"NCAP_TLIFE",$AX$10:$AX$16)),0,""))</f>
        <v/>
      </c>
      <c r="O167" s="369" t="str">
        <f ca="1">IF($B167&lt;&gt;"PRC_RESID","",IF(O$7=2005+OFFSET(COM_N_2012!$B$60,$AW167,SUMIF($B$10:$B$16,"NCAP_TLIFE",$AX$10:$AX$16)),0,""))</f>
        <v/>
      </c>
      <c r="P167" s="369" t="str">
        <f ca="1">IF($B167&lt;&gt;"PRC_RESID","",IF(P$7=2005+OFFSET(COM_N_2012!$B$60,$AW167,SUMIF($B$10:$B$16,"NCAP_TLIFE",$AX$10:$AX$16)),0,""))</f>
        <v/>
      </c>
      <c r="Q167" s="369" t="str">
        <f ca="1">IF($B167&lt;&gt;"PRC_RESID","",IF(Q$7=2005+OFFSET(COM_N_2012!$B$60,$AW167,SUMIF($B$10:$B$16,"NCAP_TLIFE",$AX$10:$AX$16)),0,""))</f>
        <v/>
      </c>
      <c r="R167" s="369" t="str">
        <f ca="1">IF($B167&lt;&gt;"PRC_RESID","",IF(R$7=2005+OFFSET(COM_N_2012!$B$60,$AW167,SUMIF($B$10:$B$16,"NCAP_TLIFE",$AX$10:$AX$16)),0,""))</f>
        <v/>
      </c>
      <c r="S167" s="369" t="str">
        <f ca="1">IF($B167&lt;&gt;"PRC_RESID","",IF(S$7=2005+OFFSET(COM_N_2012!$B$60,$AW167,SUMIF($B$10:$B$16,"NCAP_TLIFE",$AX$10:$AX$16)),0,""))</f>
        <v/>
      </c>
      <c r="T167" s="369" t="str">
        <f ca="1">IF($B167&lt;&gt;"PRC_RESID","",IF(T$7=2005+OFFSET(COM_N_2012!$B$60,$AW167,SUMIF($B$10:$B$16,"NCAP_TLIFE",$AX$10:$AX$16)),0,""))</f>
        <v/>
      </c>
      <c r="U167" s="369" t="str">
        <f ca="1">IF($B167&lt;&gt;"PRC_RESID","",IF(U$7=2005+OFFSET(COM_N_2012!$B$60,$AW167,SUMIF($B$10:$B$16,"NCAP_TLIFE",$AX$10:$AX$16)),0,""))</f>
        <v/>
      </c>
      <c r="V167" s="369" t="str">
        <f ca="1">IF($B167&lt;&gt;"PRC_RESID","",IF(V$7=2005+OFFSET(COM_N_2012!$B$60,$AW167,SUMIF($B$10:$B$16,"NCAP_TLIFE",$AX$10:$AX$16)),0,""))</f>
        <v/>
      </c>
      <c r="W167" s="369" t="str">
        <f ca="1">IF($B167&lt;&gt;"PRC_RESID","",IF(W$7=2005+OFFSET(COM_N_2012!$B$60,$AW167,SUMIF($B$10:$B$16,"NCAP_TLIFE",$AX$10:$AX$16)),0,""))</f>
        <v/>
      </c>
      <c r="X167" s="369" t="str">
        <f ca="1">IF($B167&lt;&gt;"PRC_RESID","",IF(X$7=2005+OFFSET(COM_N_2012!$B$60,$AW167,SUMIF($B$10:$B$16,"NCAP_TLIFE",$AX$10:$AX$16)),0,""))</f>
        <v/>
      </c>
      <c r="Y167" s="369" t="str">
        <f ca="1">IF($B167&lt;&gt;"PRC_RESID","",IF(Y$7=2005+OFFSET(COM_N_2012!$B$60,$AW167,SUMIF($B$10:$B$16,"NCAP_TLIFE",$AX$10:$AX$16)),0,""))</f>
        <v/>
      </c>
      <c r="Z167" s="369" t="str">
        <f ca="1">IF($B167&lt;&gt;"PRC_RESID","",IF(Z$7=2005+OFFSET(COM_N_2012!$B$60,$AW167,SUMIF($B$10:$B$16,"NCAP_TLIFE",$AX$10:$AX$16)),0,""))</f>
        <v/>
      </c>
      <c r="AA167" s="369" t="str">
        <f ca="1">IF($B167&lt;&gt;"PRC_RESID","",IF(AA$7=2005+OFFSET(COM_N_2012!$B$60,$AW167,SUMIF($B$10:$B$16,"NCAP_TLIFE",$AX$10:$AX$16)),0,""))</f>
        <v/>
      </c>
      <c r="AB167" s="369" t="str">
        <f ca="1">IF($B167&lt;&gt;"PRC_RESID","",IF(AB$7=2005+OFFSET(COM_N_2012!$B$60,$AW167,SUMIF($B$10:$B$16,"NCAP_TLIFE",$AX$10:$AX$16)),0,""))</f>
        <v/>
      </c>
      <c r="AC167" s="369" t="str">
        <f ca="1">IF($B167&lt;&gt;"PRC_RESID","",IF(AC$7=2005+OFFSET(COM_N_2012!$B$60,$AW167,SUMIF($B$10:$B$16,"NCAP_TLIFE",$AX$10:$AX$16)),0,""))</f>
        <v/>
      </c>
      <c r="AD167" s="369" t="str">
        <f ca="1">IF($B167&lt;&gt;"PRC_RESID","",IF(AD$7=2005+OFFSET(COM_N_2012!$B$60,$AW167,SUMIF($B$10:$B$16,"NCAP_TLIFE",$AX$10:$AX$16)),0,""))</f>
        <v/>
      </c>
      <c r="AE167" s="369" t="str">
        <f ca="1">IF($B167&lt;&gt;"PRC_RESID","",IF(AE$7=2005+OFFSET(COM_N_2012!$B$60,$AW167,SUMIF($B$10:$B$16,"NCAP_TLIFE",$AX$10:$AX$16)),0,""))</f>
        <v/>
      </c>
      <c r="AF167" s="369" t="str">
        <f ca="1">IF($B167&lt;&gt;"PRC_RESID","",IF(AF$7=2005+OFFSET(COM_N_2012!$B$60,$AW167,SUMIF($B$10:$B$16,"NCAP_TLIFE",$AX$10:$AX$16)),0,""))</f>
        <v/>
      </c>
      <c r="AG167" s="369" t="str">
        <f ca="1">IF($B167&lt;&gt;"PRC_RESID","",IF(AG$7=2005+OFFSET(COM_N_2012!$B$60,$AW167,SUMIF($B$10:$B$16,"NCAP_TLIFE",$AX$10:$AX$16)),0,""))</f>
        <v/>
      </c>
      <c r="AH167" s="369" t="str">
        <f ca="1">IF($B167&lt;&gt;"PRC_RESID","",IF(AH$7=2005+OFFSET(COM_N_2012!$B$60,$AW167,SUMIF($B$10:$B$16,"NCAP_TLIFE",$AX$10:$AX$16)),0,""))</f>
        <v/>
      </c>
      <c r="AI167" s="369" t="str">
        <f ca="1">IF($B167&lt;&gt;"PRC_RESID","",IF(AI$7=2005+OFFSET(COM_N_2012!$B$60,$AW167,SUMIF($B$10:$B$16,"NCAP_TLIFE",$AX$10:$AX$16)),0,""))</f>
        <v/>
      </c>
      <c r="AJ167" s="369" t="str">
        <f ca="1">IF($B167&lt;&gt;"PRC_RESID","",IF(AJ$7=2005+OFFSET(COM_N_2012!$B$60,$AW167,SUMIF($B$10:$B$16,"NCAP_TLIFE",$AX$10:$AX$16)),0,""))</f>
        <v/>
      </c>
      <c r="AK167" s="369" t="str">
        <f ca="1">IF($B167&lt;&gt;"PRC_RESID","",IF(AK$7=2005+OFFSET(COM_N_2012!$B$60,$AW167,SUMIF($B$10:$B$16,"NCAP_TLIFE",$AX$10:$AX$16)),0,""))</f>
        <v/>
      </c>
      <c r="AL167" s="369" t="str">
        <f ca="1">IF($B167&lt;&gt;"PRC_RESID","",IF(AL$7=2005+OFFSET(COM_N_2012!$B$60,$AW167,SUMIF($B$10:$B$16,"NCAP_TLIFE",$AX$10:$AX$16)),0,""))</f>
        <v/>
      </c>
      <c r="AM167" s="369" t="str">
        <f ca="1">IF($B167&lt;&gt;"PRC_RESID","",IF(AM$7=2005+OFFSET(COM_N_2012!$B$60,$AW167,SUMIF($B$10:$B$16,"NCAP_TLIFE",$AX$10:$AX$16)),0,""))</f>
        <v/>
      </c>
      <c r="AN167" s="369" t="str">
        <f ca="1">IF($B167&lt;&gt;"PRC_RESID","",IF(AN$7=2005+OFFSET(COM_N_2012!$B$60,$AW167,SUMIF($B$10:$B$16,"NCAP_TLIFE",$AX$10:$AX$16)),0,""))</f>
        <v/>
      </c>
      <c r="AO167" s="369" t="str">
        <f ca="1">IF($B167&lt;&gt;"PRC_RESID","",IF(AO$7=2005+OFFSET(COM_N_2012!$B$60,$AW167,SUMIF($B$10:$B$16,"NCAP_TLIFE",$AX$10:$AX$16)),0,""))</f>
        <v/>
      </c>
      <c r="AP167" s="369" t="str">
        <f ca="1">IF($B167&lt;&gt;"PRC_RESID","",IF(AP$7=2005+OFFSET(COM_N_2012!$B$60,$AW167,SUMIF($B$10:$B$16,"NCAP_TLIFE",$AX$10:$AX$16)),0,""))</f>
        <v/>
      </c>
      <c r="AQ167" s="369" t="str">
        <f ca="1">IF($B167&lt;&gt;"PRC_RESID","",IF(AQ$7=2005+OFFSET(COM_N_2012!$B$60,$AW167,SUMIF($B$10:$B$16,"NCAP_TLIFE",$AX$10:$AX$16)),0,""))</f>
        <v/>
      </c>
      <c r="AR167" s="369" t="str">
        <f ca="1">IF($B167&lt;&gt;"PRC_RESID","",IF(AR$7=2005+OFFSET(COM_N_2012!$B$60,$AW167,SUMIF($B$10:$B$16,"NCAP_TLIFE",$AX$10:$AX$16)),0,""))</f>
        <v/>
      </c>
      <c r="AS167" s="369" t="str">
        <f ca="1">IF($B167&lt;&gt;"PRC_RESID","",IF(AS$7=2005+OFFSET(COM_N_2012!$B$60,$AW167,SUMIF($B$10:$B$16,"NCAP_TLIFE",$AX$10:$AX$16)),0,""))</f>
        <v/>
      </c>
      <c r="AT167" s="369" t="str">
        <f ca="1">IF($B167&lt;&gt;"PRC_RESID","",IF(AT$7=2005+OFFSET(COM_N_2012!$B$60,$AW167,SUMIF($B$10:$B$16,"NCAP_TLIFE",$AX$10:$AX$16)),0,""))</f>
        <v/>
      </c>
      <c r="AU167" s="369" t="str">
        <f ca="1">IF($B167&lt;&gt;"PRC_RESID","",IF(AU$7=2005+OFFSET(COM_N_2012!$B$60,$AW167,SUMIF($B$10:$B$16,"NCAP_TLIFE",$AX$10:$AX$16)),0,""))</f>
        <v/>
      </c>
      <c r="AV167" s="304">
        <f>IF(AW166=COM_N_2012!$AK$121,AV166+1,AV166)</f>
        <v>3</v>
      </c>
      <c r="AW167" s="304">
        <f t="shared" si="20"/>
        <v>28</v>
      </c>
    </row>
    <row r="168" spans="1:49">
      <c r="A168" s="304" t="str">
        <f ca="1">IF(LEFT(OFFSET(COM_N_2012!$A$60,AW168,0),2)="\I","*","")</f>
        <v/>
      </c>
      <c r="B168" s="369" t="str">
        <f t="shared" ca="1" si="19"/>
        <v>NCAP_TLIFE</v>
      </c>
      <c r="C168" s="369" t="str">
        <f ca="1">IF($A168="*","",OFFSET(COM_N_2012!$B$60,AW168,0))</f>
        <v>CNRELC-E</v>
      </c>
      <c r="D168" s="369" t="str">
        <f t="shared" ref="D168:I177" ca="1" si="23">IF($A168="*","",VLOOKUP($B168,$B$10:$I$16,D$9,FALSE))</f>
        <v>-</v>
      </c>
      <c r="E168" s="369" t="str">
        <f t="shared" ca="1" si="23"/>
        <v>-</v>
      </c>
      <c r="F168" s="369" t="str">
        <f t="shared" ca="1" si="23"/>
        <v>-</v>
      </c>
      <c r="G168" s="369" t="str">
        <f t="shared" ca="1" si="23"/>
        <v>-</v>
      </c>
      <c r="H168" s="369" t="str">
        <f t="shared" ca="1" si="23"/>
        <v>-</v>
      </c>
      <c r="I168" s="370">
        <f t="shared" ca="1" si="23"/>
        <v>0</v>
      </c>
      <c r="J168" s="391">
        <f ca="1">IF($A168="*","",OFFSET(COM_N_2012!$B$60,AW168,SUMIF($B$10:$B$16,B168,$AX$10:$AX$16)))</f>
        <v>10</v>
      </c>
      <c r="K168" s="369" t="str">
        <f ca="1">IF($B168&lt;&gt;"PRC_RESID","",IF(K$7=2005+OFFSET(COM_N_2012!$B$60,$AW168,SUMIF($B$10:$B$16,"NCAP_TLIFE",$AX$10:$AX$16)),0,""))</f>
        <v/>
      </c>
      <c r="L168" s="369" t="str">
        <f ca="1">IF($B168&lt;&gt;"PRC_RESID","",IF(L$7=2005+OFFSET(COM_N_2012!$B$60,$AW168,SUMIF($B$10:$B$16,"NCAP_TLIFE",$AX$10:$AX$16)),0,""))</f>
        <v/>
      </c>
      <c r="M168" s="369" t="str">
        <f ca="1">IF($B168&lt;&gt;"PRC_RESID","",IF(M$7=2005+OFFSET(COM_N_2012!$B$60,$AW168,SUMIF($B$10:$B$16,"NCAP_TLIFE",$AX$10:$AX$16)),0,""))</f>
        <v/>
      </c>
      <c r="N168" s="369" t="str">
        <f ca="1">IF($B168&lt;&gt;"PRC_RESID","",IF(N$7=2005+OFFSET(COM_N_2012!$B$60,$AW168,SUMIF($B$10:$B$16,"NCAP_TLIFE",$AX$10:$AX$16)),0,""))</f>
        <v/>
      </c>
      <c r="O168" s="369" t="str">
        <f ca="1">IF($B168&lt;&gt;"PRC_RESID","",IF(O$7=2005+OFFSET(COM_N_2012!$B$60,$AW168,SUMIF($B$10:$B$16,"NCAP_TLIFE",$AX$10:$AX$16)),0,""))</f>
        <v/>
      </c>
      <c r="P168" s="369" t="str">
        <f ca="1">IF($B168&lt;&gt;"PRC_RESID","",IF(P$7=2005+OFFSET(COM_N_2012!$B$60,$AW168,SUMIF($B$10:$B$16,"NCAP_TLIFE",$AX$10:$AX$16)),0,""))</f>
        <v/>
      </c>
      <c r="Q168" s="369" t="str">
        <f ca="1">IF($B168&lt;&gt;"PRC_RESID","",IF(Q$7=2005+OFFSET(COM_N_2012!$B$60,$AW168,SUMIF($B$10:$B$16,"NCAP_TLIFE",$AX$10:$AX$16)),0,""))</f>
        <v/>
      </c>
      <c r="R168" s="369" t="str">
        <f ca="1">IF($B168&lt;&gt;"PRC_RESID","",IF(R$7=2005+OFFSET(COM_N_2012!$B$60,$AW168,SUMIF($B$10:$B$16,"NCAP_TLIFE",$AX$10:$AX$16)),0,""))</f>
        <v/>
      </c>
      <c r="S168" s="369" t="str">
        <f ca="1">IF($B168&lt;&gt;"PRC_RESID","",IF(S$7=2005+OFFSET(COM_N_2012!$B$60,$AW168,SUMIF($B$10:$B$16,"NCAP_TLIFE",$AX$10:$AX$16)),0,""))</f>
        <v/>
      </c>
      <c r="T168" s="369" t="str">
        <f ca="1">IF($B168&lt;&gt;"PRC_RESID","",IF(T$7=2005+OFFSET(COM_N_2012!$B$60,$AW168,SUMIF($B$10:$B$16,"NCAP_TLIFE",$AX$10:$AX$16)),0,""))</f>
        <v/>
      </c>
      <c r="U168" s="369" t="str">
        <f ca="1">IF($B168&lt;&gt;"PRC_RESID","",IF(U$7=2005+OFFSET(COM_N_2012!$B$60,$AW168,SUMIF($B$10:$B$16,"NCAP_TLIFE",$AX$10:$AX$16)),0,""))</f>
        <v/>
      </c>
      <c r="V168" s="369" t="str">
        <f ca="1">IF($B168&lt;&gt;"PRC_RESID","",IF(V$7=2005+OFFSET(COM_N_2012!$B$60,$AW168,SUMIF($B$10:$B$16,"NCAP_TLIFE",$AX$10:$AX$16)),0,""))</f>
        <v/>
      </c>
      <c r="W168" s="369" t="str">
        <f ca="1">IF($B168&lt;&gt;"PRC_RESID","",IF(W$7=2005+OFFSET(COM_N_2012!$B$60,$AW168,SUMIF($B$10:$B$16,"NCAP_TLIFE",$AX$10:$AX$16)),0,""))</f>
        <v/>
      </c>
      <c r="X168" s="369" t="str">
        <f ca="1">IF($B168&lt;&gt;"PRC_RESID","",IF(X$7=2005+OFFSET(COM_N_2012!$B$60,$AW168,SUMIF($B$10:$B$16,"NCAP_TLIFE",$AX$10:$AX$16)),0,""))</f>
        <v/>
      </c>
      <c r="Y168" s="369" t="str">
        <f ca="1">IF($B168&lt;&gt;"PRC_RESID","",IF(Y$7=2005+OFFSET(COM_N_2012!$B$60,$AW168,SUMIF($B$10:$B$16,"NCAP_TLIFE",$AX$10:$AX$16)),0,""))</f>
        <v/>
      </c>
      <c r="Z168" s="369" t="str">
        <f ca="1">IF($B168&lt;&gt;"PRC_RESID","",IF(Z$7=2005+OFFSET(COM_N_2012!$B$60,$AW168,SUMIF($B$10:$B$16,"NCAP_TLIFE",$AX$10:$AX$16)),0,""))</f>
        <v/>
      </c>
      <c r="AA168" s="369" t="str">
        <f ca="1">IF($B168&lt;&gt;"PRC_RESID","",IF(AA$7=2005+OFFSET(COM_N_2012!$B$60,$AW168,SUMIF($B$10:$B$16,"NCAP_TLIFE",$AX$10:$AX$16)),0,""))</f>
        <v/>
      </c>
      <c r="AB168" s="369" t="str">
        <f ca="1">IF($B168&lt;&gt;"PRC_RESID","",IF(AB$7=2005+OFFSET(COM_N_2012!$B$60,$AW168,SUMIF($B$10:$B$16,"NCAP_TLIFE",$AX$10:$AX$16)),0,""))</f>
        <v/>
      </c>
      <c r="AC168" s="369" t="str">
        <f ca="1">IF($B168&lt;&gt;"PRC_RESID","",IF(AC$7=2005+OFFSET(COM_N_2012!$B$60,$AW168,SUMIF($B$10:$B$16,"NCAP_TLIFE",$AX$10:$AX$16)),0,""))</f>
        <v/>
      </c>
      <c r="AD168" s="369" t="str">
        <f ca="1">IF($B168&lt;&gt;"PRC_RESID","",IF(AD$7=2005+OFFSET(COM_N_2012!$B$60,$AW168,SUMIF($B$10:$B$16,"NCAP_TLIFE",$AX$10:$AX$16)),0,""))</f>
        <v/>
      </c>
      <c r="AE168" s="369" t="str">
        <f ca="1">IF($B168&lt;&gt;"PRC_RESID","",IF(AE$7=2005+OFFSET(COM_N_2012!$B$60,$AW168,SUMIF($B$10:$B$16,"NCAP_TLIFE",$AX$10:$AX$16)),0,""))</f>
        <v/>
      </c>
      <c r="AF168" s="369" t="str">
        <f ca="1">IF($B168&lt;&gt;"PRC_RESID","",IF(AF$7=2005+OFFSET(COM_N_2012!$B$60,$AW168,SUMIF($B$10:$B$16,"NCAP_TLIFE",$AX$10:$AX$16)),0,""))</f>
        <v/>
      </c>
      <c r="AG168" s="369" t="str">
        <f ca="1">IF($B168&lt;&gt;"PRC_RESID","",IF(AG$7=2005+OFFSET(COM_N_2012!$B$60,$AW168,SUMIF($B$10:$B$16,"NCAP_TLIFE",$AX$10:$AX$16)),0,""))</f>
        <v/>
      </c>
      <c r="AH168" s="369" t="str">
        <f ca="1">IF($B168&lt;&gt;"PRC_RESID","",IF(AH$7=2005+OFFSET(COM_N_2012!$B$60,$AW168,SUMIF($B$10:$B$16,"NCAP_TLIFE",$AX$10:$AX$16)),0,""))</f>
        <v/>
      </c>
      <c r="AI168" s="369" t="str">
        <f ca="1">IF($B168&lt;&gt;"PRC_RESID","",IF(AI$7=2005+OFFSET(COM_N_2012!$B$60,$AW168,SUMIF($B$10:$B$16,"NCAP_TLIFE",$AX$10:$AX$16)),0,""))</f>
        <v/>
      </c>
      <c r="AJ168" s="369" t="str">
        <f ca="1">IF($B168&lt;&gt;"PRC_RESID","",IF(AJ$7=2005+OFFSET(COM_N_2012!$B$60,$AW168,SUMIF($B$10:$B$16,"NCAP_TLIFE",$AX$10:$AX$16)),0,""))</f>
        <v/>
      </c>
      <c r="AK168" s="369" t="str">
        <f ca="1">IF($B168&lt;&gt;"PRC_RESID","",IF(AK$7=2005+OFFSET(COM_N_2012!$B$60,$AW168,SUMIF($B$10:$B$16,"NCAP_TLIFE",$AX$10:$AX$16)),0,""))</f>
        <v/>
      </c>
      <c r="AL168" s="369" t="str">
        <f ca="1">IF($B168&lt;&gt;"PRC_RESID","",IF(AL$7=2005+OFFSET(COM_N_2012!$B$60,$AW168,SUMIF($B$10:$B$16,"NCAP_TLIFE",$AX$10:$AX$16)),0,""))</f>
        <v/>
      </c>
      <c r="AM168" s="369" t="str">
        <f ca="1">IF($B168&lt;&gt;"PRC_RESID","",IF(AM$7=2005+OFFSET(COM_N_2012!$B$60,$AW168,SUMIF($B$10:$B$16,"NCAP_TLIFE",$AX$10:$AX$16)),0,""))</f>
        <v/>
      </c>
      <c r="AN168" s="369" t="str">
        <f ca="1">IF($B168&lt;&gt;"PRC_RESID","",IF(AN$7=2005+OFFSET(COM_N_2012!$B$60,$AW168,SUMIF($B$10:$B$16,"NCAP_TLIFE",$AX$10:$AX$16)),0,""))</f>
        <v/>
      </c>
      <c r="AO168" s="369" t="str">
        <f ca="1">IF($B168&lt;&gt;"PRC_RESID","",IF(AO$7=2005+OFFSET(COM_N_2012!$B$60,$AW168,SUMIF($B$10:$B$16,"NCAP_TLIFE",$AX$10:$AX$16)),0,""))</f>
        <v/>
      </c>
      <c r="AP168" s="369" t="str">
        <f ca="1">IF($B168&lt;&gt;"PRC_RESID","",IF(AP$7=2005+OFFSET(COM_N_2012!$B$60,$AW168,SUMIF($B$10:$B$16,"NCAP_TLIFE",$AX$10:$AX$16)),0,""))</f>
        <v/>
      </c>
      <c r="AQ168" s="369" t="str">
        <f ca="1">IF($B168&lt;&gt;"PRC_RESID","",IF(AQ$7=2005+OFFSET(COM_N_2012!$B$60,$AW168,SUMIF($B$10:$B$16,"NCAP_TLIFE",$AX$10:$AX$16)),0,""))</f>
        <v/>
      </c>
      <c r="AR168" s="369" t="str">
        <f ca="1">IF($B168&lt;&gt;"PRC_RESID","",IF(AR$7=2005+OFFSET(COM_N_2012!$B$60,$AW168,SUMIF($B$10:$B$16,"NCAP_TLIFE",$AX$10:$AX$16)),0,""))</f>
        <v/>
      </c>
      <c r="AS168" s="369" t="str">
        <f ca="1">IF($B168&lt;&gt;"PRC_RESID","",IF(AS$7=2005+OFFSET(COM_N_2012!$B$60,$AW168,SUMIF($B$10:$B$16,"NCAP_TLIFE",$AX$10:$AX$16)),0,""))</f>
        <v/>
      </c>
      <c r="AT168" s="369" t="str">
        <f ca="1">IF($B168&lt;&gt;"PRC_RESID","",IF(AT$7=2005+OFFSET(COM_N_2012!$B$60,$AW168,SUMIF($B$10:$B$16,"NCAP_TLIFE",$AX$10:$AX$16)),0,""))</f>
        <v/>
      </c>
      <c r="AU168" s="369" t="str">
        <f ca="1">IF($B168&lt;&gt;"PRC_RESID","",IF(AU$7=2005+OFFSET(COM_N_2012!$B$60,$AW168,SUMIF($B$10:$B$16,"NCAP_TLIFE",$AX$10:$AX$16)),0,""))</f>
        <v/>
      </c>
      <c r="AV168" s="304">
        <f>IF(AW167=COM_N_2012!$AK$121,AV167+1,AV167)</f>
        <v>3</v>
      </c>
      <c r="AW168" s="304">
        <f t="shared" si="20"/>
        <v>29</v>
      </c>
    </row>
    <row r="169" spans="1:49">
      <c r="A169" s="304" t="str">
        <f ca="1">IF(LEFT(OFFSET(COM_N_2012!$A$60,AW169,0),2)="\I","*","")</f>
        <v/>
      </c>
      <c r="B169" s="369" t="str">
        <f t="shared" ca="1" si="19"/>
        <v>NCAP_TLIFE</v>
      </c>
      <c r="C169" s="369" t="str">
        <f ca="1">IF($A169="*","",OFFSET(COM_N_2012!$B$60,AW169,0))</f>
        <v>CNRELC-N</v>
      </c>
      <c r="D169" s="369" t="str">
        <f t="shared" ca="1" si="23"/>
        <v>-</v>
      </c>
      <c r="E169" s="369" t="str">
        <f t="shared" ca="1" si="23"/>
        <v>-</v>
      </c>
      <c r="F169" s="369" t="str">
        <f t="shared" ca="1" si="23"/>
        <v>-</v>
      </c>
      <c r="G169" s="369" t="str">
        <f t="shared" ca="1" si="23"/>
        <v>-</v>
      </c>
      <c r="H169" s="369" t="str">
        <f t="shared" ca="1" si="23"/>
        <v>-</v>
      </c>
      <c r="I169" s="370">
        <f t="shared" ca="1" si="23"/>
        <v>0</v>
      </c>
      <c r="J169" s="391">
        <f ca="1">IF($A169="*","",OFFSET(COM_N_2012!$B$60,AW169,SUMIF($B$10:$B$16,B169,$AX$10:$AX$16)))</f>
        <v>10</v>
      </c>
      <c r="K169" s="369" t="str">
        <f ca="1">IF($B169&lt;&gt;"PRC_RESID","",IF(K$7=2005+OFFSET(COM_N_2012!$B$60,$AW169,SUMIF($B$10:$B$16,"NCAP_TLIFE",$AX$10:$AX$16)),0,""))</f>
        <v/>
      </c>
      <c r="L169" s="369" t="str">
        <f ca="1">IF($B169&lt;&gt;"PRC_RESID","",IF(L$7=2005+OFFSET(COM_N_2012!$B$60,$AW169,SUMIF($B$10:$B$16,"NCAP_TLIFE",$AX$10:$AX$16)),0,""))</f>
        <v/>
      </c>
      <c r="M169" s="369" t="str">
        <f ca="1">IF($B169&lt;&gt;"PRC_RESID","",IF(M$7=2005+OFFSET(COM_N_2012!$B$60,$AW169,SUMIF($B$10:$B$16,"NCAP_TLIFE",$AX$10:$AX$16)),0,""))</f>
        <v/>
      </c>
      <c r="N169" s="369" t="str">
        <f ca="1">IF($B169&lt;&gt;"PRC_RESID","",IF(N$7=2005+OFFSET(COM_N_2012!$B$60,$AW169,SUMIF($B$10:$B$16,"NCAP_TLIFE",$AX$10:$AX$16)),0,""))</f>
        <v/>
      </c>
      <c r="O169" s="369" t="str">
        <f ca="1">IF($B169&lt;&gt;"PRC_RESID","",IF(O$7=2005+OFFSET(COM_N_2012!$B$60,$AW169,SUMIF($B$10:$B$16,"NCAP_TLIFE",$AX$10:$AX$16)),0,""))</f>
        <v/>
      </c>
      <c r="P169" s="369" t="str">
        <f ca="1">IF($B169&lt;&gt;"PRC_RESID","",IF(P$7=2005+OFFSET(COM_N_2012!$B$60,$AW169,SUMIF($B$10:$B$16,"NCAP_TLIFE",$AX$10:$AX$16)),0,""))</f>
        <v/>
      </c>
      <c r="Q169" s="369" t="str">
        <f ca="1">IF($B169&lt;&gt;"PRC_RESID","",IF(Q$7=2005+OFFSET(COM_N_2012!$B$60,$AW169,SUMIF($B$10:$B$16,"NCAP_TLIFE",$AX$10:$AX$16)),0,""))</f>
        <v/>
      </c>
      <c r="R169" s="369" t="str">
        <f ca="1">IF($B169&lt;&gt;"PRC_RESID","",IF(R$7=2005+OFFSET(COM_N_2012!$B$60,$AW169,SUMIF($B$10:$B$16,"NCAP_TLIFE",$AX$10:$AX$16)),0,""))</f>
        <v/>
      </c>
      <c r="S169" s="369" t="str">
        <f ca="1">IF($B169&lt;&gt;"PRC_RESID","",IF(S$7=2005+OFFSET(COM_N_2012!$B$60,$AW169,SUMIF($B$10:$B$16,"NCAP_TLIFE",$AX$10:$AX$16)),0,""))</f>
        <v/>
      </c>
      <c r="T169" s="369" t="str">
        <f ca="1">IF($B169&lt;&gt;"PRC_RESID","",IF(T$7=2005+OFFSET(COM_N_2012!$B$60,$AW169,SUMIF($B$10:$B$16,"NCAP_TLIFE",$AX$10:$AX$16)),0,""))</f>
        <v/>
      </c>
      <c r="U169" s="369" t="str">
        <f ca="1">IF($B169&lt;&gt;"PRC_RESID","",IF(U$7=2005+OFFSET(COM_N_2012!$B$60,$AW169,SUMIF($B$10:$B$16,"NCAP_TLIFE",$AX$10:$AX$16)),0,""))</f>
        <v/>
      </c>
      <c r="V169" s="369" t="str">
        <f ca="1">IF($B169&lt;&gt;"PRC_RESID","",IF(V$7=2005+OFFSET(COM_N_2012!$B$60,$AW169,SUMIF($B$10:$B$16,"NCAP_TLIFE",$AX$10:$AX$16)),0,""))</f>
        <v/>
      </c>
      <c r="W169" s="369" t="str">
        <f ca="1">IF($B169&lt;&gt;"PRC_RESID","",IF(W$7=2005+OFFSET(COM_N_2012!$B$60,$AW169,SUMIF($B$10:$B$16,"NCAP_TLIFE",$AX$10:$AX$16)),0,""))</f>
        <v/>
      </c>
      <c r="X169" s="369" t="str">
        <f ca="1">IF($B169&lt;&gt;"PRC_RESID","",IF(X$7=2005+OFFSET(COM_N_2012!$B$60,$AW169,SUMIF($B$10:$B$16,"NCAP_TLIFE",$AX$10:$AX$16)),0,""))</f>
        <v/>
      </c>
      <c r="Y169" s="369" t="str">
        <f ca="1">IF($B169&lt;&gt;"PRC_RESID","",IF(Y$7=2005+OFFSET(COM_N_2012!$B$60,$AW169,SUMIF($B$10:$B$16,"NCAP_TLIFE",$AX$10:$AX$16)),0,""))</f>
        <v/>
      </c>
      <c r="Z169" s="369" t="str">
        <f ca="1">IF($B169&lt;&gt;"PRC_RESID","",IF(Z$7=2005+OFFSET(COM_N_2012!$B$60,$AW169,SUMIF($B$10:$B$16,"NCAP_TLIFE",$AX$10:$AX$16)),0,""))</f>
        <v/>
      </c>
      <c r="AA169" s="369" t="str">
        <f ca="1">IF($B169&lt;&gt;"PRC_RESID","",IF(AA$7=2005+OFFSET(COM_N_2012!$B$60,$AW169,SUMIF($B$10:$B$16,"NCAP_TLIFE",$AX$10:$AX$16)),0,""))</f>
        <v/>
      </c>
      <c r="AB169" s="369" t="str">
        <f ca="1">IF($B169&lt;&gt;"PRC_RESID","",IF(AB$7=2005+OFFSET(COM_N_2012!$B$60,$AW169,SUMIF($B$10:$B$16,"NCAP_TLIFE",$AX$10:$AX$16)),0,""))</f>
        <v/>
      </c>
      <c r="AC169" s="369" t="str">
        <f ca="1">IF($B169&lt;&gt;"PRC_RESID","",IF(AC$7=2005+OFFSET(COM_N_2012!$B$60,$AW169,SUMIF($B$10:$B$16,"NCAP_TLIFE",$AX$10:$AX$16)),0,""))</f>
        <v/>
      </c>
      <c r="AD169" s="369" t="str">
        <f ca="1">IF($B169&lt;&gt;"PRC_RESID","",IF(AD$7=2005+OFFSET(COM_N_2012!$B$60,$AW169,SUMIF($B$10:$B$16,"NCAP_TLIFE",$AX$10:$AX$16)),0,""))</f>
        <v/>
      </c>
      <c r="AE169" s="369" t="str">
        <f ca="1">IF($B169&lt;&gt;"PRC_RESID","",IF(AE$7=2005+OFFSET(COM_N_2012!$B$60,$AW169,SUMIF($B$10:$B$16,"NCAP_TLIFE",$AX$10:$AX$16)),0,""))</f>
        <v/>
      </c>
      <c r="AF169" s="369" t="str">
        <f ca="1">IF($B169&lt;&gt;"PRC_RESID","",IF(AF$7=2005+OFFSET(COM_N_2012!$B$60,$AW169,SUMIF($B$10:$B$16,"NCAP_TLIFE",$AX$10:$AX$16)),0,""))</f>
        <v/>
      </c>
      <c r="AG169" s="369" t="str">
        <f ca="1">IF($B169&lt;&gt;"PRC_RESID","",IF(AG$7=2005+OFFSET(COM_N_2012!$B$60,$AW169,SUMIF($B$10:$B$16,"NCAP_TLIFE",$AX$10:$AX$16)),0,""))</f>
        <v/>
      </c>
      <c r="AH169" s="369" t="str">
        <f ca="1">IF($B169&lt;&gt;"PRC_RESID","",IF(AH$7=2005+OFFSET(COM_N_2012!$B$60,$AW169,SUMIF($B$10:$B$16,"NCAP_TLIFE",$AX$10:$AX$16)),0,""))</f>
        <v/>
      </c>
      <c r="AI169" s="369" t="str">
        <f ca="1">IF($B169&lt;&gt;"PRC_RESID","",IF(AI$7=2005+OFFSET(COM_N_2012!$B$60,$AW169,SUMIF($B$10:$B$16,"NCAP_TLIFE",$AX$10:$AX$16)),0,""))</f>
        <v/>
      </c>
      <c r="AJ169" s="369" t="str">
        <f ca="1">IF($B169&lt;&gt;"PRC_RESID","",IF(AJ$7=2005+OFFSET(COM_N_2012!$B$60,$AW169,SUMIF($B$10:$B$16,"NCAP_TLIFE",$AX$10:$AX$16)),0,""))</f>
        <v/>
      </c>
      <c r="AK169" s="369" t="str">
        <f ca="1">IF($B169&lt;&gt;"PRC_RESID","",IF(AK$7=2005+OFFSET(COM_N_2012!$B$60,$AW169,SUMIF($B$10:$B$16,"NCAP_TLIFE",$AX$10:$AX$16)),0,""))</f>
        <v/>
      </c>
      <c r="AL169" s="369" t="str">
        <f ca="1">IF($B169&lt;&gt;"PRC_RESID","",IF(AL$7=2005+OFFSET(COM_N_2012!$B$60,$AW169,SUMIF($B$10:$B$16,"NCAP_TLIFE",$AX$10:$AX$16)),0,""))</f>
        <v/>
      </c>
      <c r="AM169" s="369" t="str">
        <f ca="1">IF($B169&lt;&gt;"PRC_RESID","",IF(AM$7=2005+OFFSET(COM_N_2012!$B$60,$AW169,SUMIF($B$10:$B$16,"NCAP_TLIFE",$AX$10:$AX$16)),0,""))</f>
        <v/>
      </c>
      <c r="AN169" s="369" t="str">
        <f ca="1">IF($B169&lt;&gt;"PRC_RESID","",IF(AN$7=2005+OFFSET(COM_N_2012!$B$60,$AW169,SUMIF($B$10:$B$16,"NCAP_TLIFE",$AX$10:$AX$16)),0,""))</f>
        <v/>
      </c>
      <c r="AO169" s="369" t="str">
        <f ca="1">IF($B169&lt;&gt;"PRC_RESID","",IF(AO$7=2005+OFFSET(COM_N_2012!$B$60,$AW169,SUMIF($B$10:$B$16,"NCAP_TLIFE",$AX$10:$AX$16)),0,""))</f>
        <v/>
      </c>
      <c r="AP169" s="369" t="str">
        <f ca="1">IF($B169&lt;&gt;"PRC_RESID","",IF(AP$7=2005+OFFSET(COM_N_2012!$B$60,$AW169,SUMIF($B$10:$B$16,"NCAP_TLIFE",$AX$10:$AX$16)),0,""))</f>
        <v/>
      </c>
      <c r="AQ169" s="369" t="str">
        <f ca="1">IF($B169&lt;&gt;"PRC_RESID","",IF(AQ$7=2005+OFFSET(COM_N_2012!$B$60,$AW169,SUMIF($B$10:$B$16,"NCAP_TLIFE",$AX$10:$AX$16)),0,""))</f>
        <v/>
      </c>
      <c r="AR169" s="369" t="str">
        <f ca="1">IF($B169&lt;&gt;"PRC_RESID","",IF(AR$7=2005+OFFSET(COM_N_2012!$B$60,$AW169,SUMIF($B$10:$B$16,"NCAP_TLIFE",$AX$10:$AX$16)),0,""))</f>
        <v/>
      </c>
      <c r="AS169" s="369" t="str">
        <f ca="1">IF($B169&lt;&gt;"PRC_RESID","",IF(AS$7=2005+OFFSET(COM_N_2012!$B$60,$AW169,SUMIF($B$10:$B$16,"NCAP_TLIFE",$AX$10:$AX$16)),0,""))</f>
        <v/>
      </c>
      <c r="AT169" s="369" t="str">
        <f ca="1">IF($B169&lt;&gt;"PRC_RESID","",IF(AT$7=2005+OFFSET(COM_N_2012!$B$60,$AW169,SUMIF($B$10:$B$16,"NCAP_TLIFE",$AX$10:$AX$16)),0,""))</f>
        <v/>
      </c>
      <c r="AU169" s="369" t="str">
        <f ca="1">IF($B169&lt;&gt;"PRC_RESID","",IF(AU$7=2005+OFFSET(COM_N_2012!$B$60,$AW169,SUMIF($B$10:$B$16,"NCAP_TLIFE",$AX$10:$AX$16)),0,""))</f>
        <v/>
      </c>
      <c r="AV169" s="304">
        <f>IF(AW168=COM_N_2012!$AK$121,AV168+1,AV168)</f>
        <v>3</v>
      </c>
      <c r="AW169" s="304">
        <f t="shared" si="20"/>
        <v>30</v>
      </c>
    </row>
    <row r="170" spans="1:49">
      <c r="A170" s="304" t="str">
        <f ca="1">IF(LEFT(OFFSET(COM_N_2012!$A$60,AW170,0),2)="\I","*","")</f>
        <v>*</v>
      </c>
      <c r="B170" s="369" t="str">
        <f t="shared" ca="1" si="19"/>
        <v/>
      </c>
      <c r="C170" s="369" t="str">
        <f ca="1">IF($A170="*","",OFFSET(COM_N_2012!$B$60,AW170,0))</f>
        <v/>
      </c>
      <c r="D170" s="369" t="str">
        <f t="shared" ca="1" si="23"/>
        <v/>
      </c>
      <c r="E170" s="369" t="str">
        <f t="shared" ca="1" si="23"/>
        <v/>
      </c>
      <c r="F170" s="369" t="str">
        <f t="shared" ca="1" si="23"/>
        <v/>
      </c>
      <c r="G170" s="369" t="str">
        <f t="shared" ca="1" si="23"/>
        <v/>
      </c>
      <c r="H170" s="369" t="str">
        <f t="shared" ca="1" si="23"/>
        <v/>
      </c>
      <c r="I170" s="370" t="str">
        <f t="shared" ca="1" si="23"/>
        <v/>
      </c>
      <c r="J170" s="391" t="str">
        <f ca="1">IF($A170="*","",OFFSET(COM_N_2012!$B$60,AW170,SUMIF($B$10:$B$16,B170,$AX$10:$AX$16)))</f>
        <v/>
      </c>
      <c r="K170" s="369" t="str">
        <f ca="1">IF($B170&lt;&gt;"PRC_RESID","",IF(K$7=2005+OFFSET(COM_N_2012!$B$60,$AW170,SUMIF($B$10:$B$16,"NCAP_TLIFE",$AX$10:$AX$16)),0,""))</f>
        <v/>
      </c>
      <c r="L170" s="369" t="str">
        <f ca="1">IF($B170&lt;&gt;"PRC_RESID","",IF(L$7=2005+OFFSET(COM_N_2012!$B$60,$AW170,SUMIF($B$10:$B$16,"NCAP_TLIFE",$AX$10:$AX$16)),0,""))</f>
        <v/>
      </c>
      <c r="M170" s="369" t="str">
        <f ca="1">IF($B170&lt;&gt;"PRC_RESID","",IF(M$7=2005+OFFSET(COM_N_2012!$B$60,$AW170,SUMIF($B$10:$B$16,"NCAP_TLIFE",$AX$10:$AX$16)),0,""))</f>
        <v/>
      </c>
      <c r="N170" s="369" t="str">
        <f ca="1">IF($B170&lt;&gt;"PRC_RESID","",IF(N$7=2005+OFFSET(COM_N_2012!$B$60,$AW170,SUMIF($B$10:$B$16,"NCAP_TLIFE",$AX$10:$AX$16)),0,""))</f>
        <v/>
      </c>
      <c r="O170" s="369" t="str">
        <f ca="1">IF($B170&lt;&gt;"PRC_RESID","",IF(O$7=2005+OFFSET(COM_N_2012!$B$60,$AW170,SUMIF($B$10:$B$16,"NCAP_TLIFE",$AX$10:$AX$16)),0,""))</f>
        <v/>
      </c>
      <c r="P170" s="369" t="str">
        <f ca="1">IF($B170&lt;&gt;"PRC_RESID","",IF(P$7=2005+OFFSET(COM_N_2012!$B$60,$AW170,SUMIF($B$10:$B$16,"NCAP_TLIFE",$AX$10:$AX$16)),0,""))</f>
        <v/>
      </c>
      <c r="Q170" s="369" t="str">
        <f ca="1">IF($B170&lt;&gt;"PRC_RESID","",IF(Q$7=2005+OFFSET(COM_N_2012!$B$60,$AW170,SUMIF($B$10:$B$16,"NCAP_TLIFE",$AX$10:$AX$16)),0,""))</f>
        <v/>
      </c>
      <c r="R170" s="369" t="str">
        <f ca="1">IF($B170&lt;&gt;"PRC_RESID","",IF(R$7=2005+OFFSET(COM_N_2012!$B$60,$AW170,SUMIF($B$10:$B$16,"NCAP_TLIFE",$AX$10:$AX$16)),0,""))</f>
        <v/>
      </c>
      <c r="S170" s="369" t="str">
        <f ca="1">IF($B170&lt;&gt;"PRC_RESID","",IF(S$7=2005+OFFSET(COM_N_2012!$B$60,$AW170,SUMIF($B$10:$B$16,"NCAP_TLIFE",$AX$10:$AX$16)),0,""))</f>
        <v/>
      </c>
      <c r="T170" s="369" t="str">
        <f ca="1">IF($B170&lt;&gt;"PRC_RESID","",IF(T$7=2005+OFFSET(COM_N_2012!$B$60,$AW170,SUMIF($B$10:$B$16,"NCAP_TLIFE",$AX$10:$AX$16)),0,""))</f>
        <v/>
      </c>
      <c r="U170" s="369" t="str">
        <f ca="1">IF($B170&lt;&gt;"PRC_RESID","",IF(U$7=2005+OFFSET(COM_N_2012!$B$60,$AW170,SUMIF($B$10:$B$16,"NCAP_TLIFE",$AX$10:$AX$16)),0,""))</f>
        <v/>
      </c>
      <c r="V170" s="369" t="str">
        <f ca="1">IF($B170&lt;&gt;"PRC_RESID","",IF(V$7=2005+OFFSET(COM_N_2012!$B$60,$AW170,SUMIF($B$10:$B$16,"NCAP_TLIFE",$AX$10:$AX$16)),0,""))</f>
        <v/>
      </c>
      <c r="W170" s="369" t="str">
        <f ca="1">IF($B170&lt;&gt;"PRC_RESID","",IF(W$7=2005+OFFSET(COM_N_2012!$B$60,$AW170,SUMIF($B$10:$B$16,"NCAP_TLIFE",$AX$10:$AX$16)),0,""))</f>
        <v/>
      </c>
      <c r="X170" s="369" t="str">
        <f ca="1">IF($B170&lt;&gt;"PRC_RESID","",IF(X$7=2005+OFFSET(COM_N_2012!$B$60,$AW170,SUMIF($B$10:$B$16,"NCAP_TLIFE",$AX$10:$AX$16)),0,""))</f>
        <v/>
      </c>
      <c r="Y170" s="369" t="str">
        <f ca="1">IF($B170&lt;&gt;"PRC_RESID","",IF(Y$7=2005+OFFSET(COM_N_2012!$B$60,$AW170,SUMIF($B$10:$B$16,"NCAP_TLIFE",$AX$10:$AX$16)),0,""))</f>
        <v/>
      </c>
      <c r="Z170" s="369" t="str">
        <f ca="1">IF($B170&lt;&gt;"PRC_RESID","",IF(Z$7=2005+OFFSET(COM_N_2012!$B$60,$AW170,SUMIF($B$10:$B$16,"NCAP_TLIFE",$AX$10:$AX$16)),0,""))</f>
        <v/>
      </c>
      <c r="AA170" s="369" t="str">
        <f ca="1">IF($B170&lt;&gt;"PRC_RESID","",IF(AA$7=2005+OFFSET(COM_N_2012!$B$60,$AW170,SUMIF($B$10:$B$16,"NCAP_TLIFE",$AX$10:$AX$16)),0,""))</f>
        <v/>
      </c>
      <c r="AB170" s="369" t="str">
        <f ca="1">IF($B170&lt;&gt;"PRC_RESID","",IF(AB$7=2005+OFFSET(COM_N_2012!$B$60,$AW170,SUMIF($B$10:$B$16,"NCAP_TLIFE",$AX$10:$AX$16)),0,""))</f>
        <v/>
      </c>
      <c r="AC170" s="369" t="str">
        <f ca="1">IF($B170&lt;&gt;"PRC_RESID","",IF(AC$7=2005+OFFSET(COM_N_2012!$B$60,$AW170,SUMIF($B$10:$B$16,"NCAP_TLIFE",$AX$10:$AX$16)),0,""))</f>
        <v/>
      </c>
      <c r="AD170" s="369" t="str">
        <f ca="1">IF($B170&lt;&gt;"PRC_RESID","",IF(AD$7=2005+OFFSET(COM_N_2012!$B$60,$AW170,SUMIF($B$10:$B$16,"NCAP_TLIFE",$AX$10:$AX$16)),0,""))</f>
        <v/>
      </c>
      <c r="AE170" s="369" t="str">
        <f ca="1">IF($B170&lt;&gt;"PRC_RESID","",IF(AE$7=2005+OFFSET(COM_N_2012!$B$60,$AW170,SUMIF($B$10:$B$16,"NCAP_TLIFE",$AX$10:$AX$16)),0,""))</f>
        <v/>
      </c>
      <c r="AF170" s="369" t="str">
        <f ca="1">IF($B170&lt;&gt;"PRC_RESID","",IF(AF$7=2005+OFFSET(COM_N_2012!$B$60,$AW170,SUMIF($B$10:$B$16,"NCAP_TLIFE",$AX$10:$AX$16)),0,""))</f>
        <v/>
      </c>
      <c r="AG170" s="369" t="str">
        <f ca="1">IF($B170&lt;&gt;"PRC_RESID","",IF(AG$7=2005+OFFSET(COM_N_2012!$B$60,$AW170,SUMIF($B$10:$B$16,"NCAP_TLIFE",$AX$10:$AX$16)),0,""))</f>
        <v/>
      </c>
      <c r="AH170" s="369" t="str">
        <f ca="1">IF($B170&lt;&gt;"PRC_RESID","",IF(AH$7=2005+OFFSET(COM_N_2012!$B$60,$AW170,SUMIF($B$10:$B$16,"NCAP_TLIFE",$AX$10:$AX$16)),0,""))</f>
        <v/>
      </c>
      <c r="AI170" s="369" t="str">
        <f ca="1">IF($B170&lt;&gt;"PRC_RESID","",IF(AI$7=2005+OFFSET(COM_N_2012!$B$60,$AW170,SUMIF($B$10:$B$16,"NCAP_TLIFE",$AX$10:$AX$16)),0,""))</f>
        <v/>
      </c>
      <c r="AJ170" s="369" t="str">
        <f ca="1">IF($B170&lt;&gt;"PRC_RESID","",IF(AJ$7=2005+OFFSET(COM_N_2012!$B$60,$AW170,SUMIF($B$10:$B$16,"NCAP_TLIFE",$AX$10:$AX$16)),0,""))</f>
        <v/>
      </c>
      <c r="AK170" s="369" t="str">
        <f ca="1">IF($B170&lt;&gt;"PRC_RESID","",IF(AK$7=2005+OFFSET(COM_N_2012!$B$60,$AW170,SUMIF($B$10:$B$16,"NCAP_TLIFE",$AX$10:$AX$16)),0,""))</f>
        <v/>
      </c>
      <c r="AL170" s="369" t="str">
        <f ca="1">IF($B170&lt;&gt;"PRC_RESID","",IF(AL$7=2005+OFFSET(COM_N_2012!$B$60,$AW170,SUMIF($B$10:$B$16,"NCAP_TLIFE",$AX$10:$AX$16)),0,""))</f>
        <v/>
      </c>
      <c r="AM170" s="369" t="str">
        <f ca="1">IF($B170&lt;&gt;"PRC_RESID","",IF(AM$7=2005+OFFSET(COM_N_2012!$B$60,$AW170,SUMIF($B$10:$B$16,"NCAP_TLIFE",$AX$10:$AX$16)),0,""))</f>
        <v/>
      </c>
      <c r="AN170" s="369" t="str">
        <f ca="1">IF($B170&lt;&gt;"PRC_RESID","",IF(AN$7=2005+OFFSET(COM_N_2012!$B$60,$AW170,SUMIF($B$10:$B$16,"NCAP_TLIFE",$AX$10:$AX$16)),0,""))</f>
        <v/>
      </c>
      <c r="AO170" s="369" t="str">
        <f ca="1">IF($B170&lt;&gt;"PRC_RESID","",IF(AO$7=2005+OFFSET(COM_N_2012!$B$60,$AW170,SUMIF($B$10:$B$16,"NCAP_TLIFE",$AX$10:$AX$16)),0,""))</f>
        <v/>
      </c>
      <c r="AP170" s="369" t="str">
        <f ca="1">IF($B170&lt;&gt;"PRC_RESID","",IF(AP$7=2005+OFFSET(COM_N_2012!$B$60,$AW170,SUMIF($B$10:$B$16,"NCAP_TLIFE",$AX$10:$AX$16)),0,""))</f>
        <v/>
      </c>
      <c r="AQ170" s="369" t="str">
        <f ca="1">IF($B170&lt;&gt;"PRC_RESID","",IF(AQ$7=2005+OFFSET(COM_N_2012!$B$60,$AW170,SUMIF($B$10:$B$16,"NCAP_TLIFE",$AX$10:$AX$16)),0,""))</f>
        <v/>
      </c>
      <c r="AR170" s="369" t="str">
        <f ca="1">IF($B170&lt;&gt;"PRC_RESID","",IF(AR$7=2005+OFFSET(COM_N_2012!$B$60,$AW170,SUMIF($B$10:$B$16,"NCAP_TLIFE",$AX$10:$AX$16)),0,""))</f>
        <v/>
      </c>
      <c r="AS170" s="369" t="str">
        <f ca="1">IF($B170&lt;&gt;"PRC_RESID","",IF(AS$7=2005+OFFSET(COM_N_2012!$B$60,$AW170,SUMIF($B$10:$B$16,"NCAP_TLIFE",$AX$10:$AX$16)),0,""))</f>
        <v/>
      </c>
      <c r="AT170" s="369" t="str">
        <f ca="1">IF($B170&lt;&gt;"PRC_RESID","",IF(AT$7=2005+OFFSET(COM_N_2012!$B$60,$AW170,SUMIF($B$10:$B$16,"NCAP_TLIFE",$AX$10:$AX$16)),0,""))</f>
        <v/>
      </c>
      <c r="AU170" s="369" t="str">
        <f ca="1">IF($B170&lt;&gt;"PRC_RESID","",IF(AU$7=2005+OFFSET(COM_N_2012!$B$60,$AW170,SUMIF($B$10:$B$16,"NCAP_TLIFE",$AX$10:$AX$16)),0,""))</f>
        <v/>
      </c>
      <c r="AV170" s="304">
        <f>IF(AW169=COM_N_2012!$AK$121,AV169+1,AV169)</f>
        <v>3</v>
      </c>
      <c r="AW170" s="304">
        <f t="shared" si="20"/>
        <v>31</v>
      </c>
    </row>
    <row r="171" spans="1:49">
      <c r="A171" s="304" t="str">
        <f ca="1">IF(LEFT(OFFSET(COM_N_2012!$A$60,AW171,0),2)="\I","*","")</f>
        <v>*</v>
      </c>
      <c r="B171" s="369" t="str">
        <f t="shared" ca="1" si="19"/>
        <v/>
      </c>
      <c r="C171" s="369" t="str">
        <f ca="1">IF($A171="*","",OFFSET(COM_N_2012!$B$60,AW171,0))</f>
        <v/>
      </c>
      <c r="D171" s="369" t="str">
        <f t="shared" ca="1" si="23"/>
        <v/>
      </c>
      <c r="E171" s="369" t="str">
        <f t="shared" ca="1" si="23"/>
        <v/>
      </c>
      <c r="F171" s="369" t="str">
        <f t="shared" ca="1" si="23"/>
        <v/>
      </c>
      <c r="G171" s="369" t="str">
        <f t="shared" ca="1" si="23"/>
        <v/>
      </c>
      <c r="H171" s="369" t="str">
        <f t="shared" ca="1" si="23"/>
        <v/>
      </c>
      <c r="I171" s="370" t="str">
        <f t="shared" ca="1" si="23"/>
        <v/>
      </c>
      <c r="J171" s="391" t="str">
        <f ca="1">IF($A171="*","",OFFSET(COM_N_2012!$B$60,AW171,SUMIF($B$10:$B$16,B171,$AX$10:$AX$16)))</f>
        <v/>
      </c>
      <c r="K171" s="369" t="str">
        <f ca="1">IF($B171&lt;&gt;"PRC_RESID","",IF(K$7=2005+OFFSET(COM_N_2012!$B$60,$AW171,SUMIF($B$10:$B$16,"NCAP_TLIFE",$AX$10:$AX$16)),0,""))</f>
        <v/>
      </c>
      <c r="L171" s="369" t="str">
        <f ca="1">IF($B171&lt;&gt;"PRC_RESID","",IF(L$7=2005+OFFSET(COM_N_2012!$B$60,$AW171,SUMIF($B$10:$B$16,"NCAP_TLIFE",$AX$10:$AX$16)),0,""))</f>
        <v/>
      </c>
      <c r="M171" s="369" t="str">
        <f ca="1">IF($B171&lt;&gt;"PRC_RESID","",IF(M$7=2005+OFFSET(COM_N_2012!$B$60,$AW171,SUMIF($B$10:$B$16,"NCAP_TLIFE",$AX$10:$AX$16)),0,""))</f>
        <v/>
      </c>
      <c r="N171" s="369" t="str">
        <f ca="1">IF($B171&lt;&gt;"PRC_RESID","",IF(N$7=2005+OFFSET(COM_N_2012!$B$60,$AW171,SUMIF($B$10:$B$16,"NCAP_TLIFE",$AX$10:$AX$16)),0,""))</f>
        <v/>
      </c>
      <c r="O171" s="369" t="str">
        <f ca="1">IF($B171&lt;&gt;"PRC_RESID","",IF(O$7=2005+OFFSET(COM_N_2012!$B$60,$AW171,SUMIF($B$10:$B$16,"NCAP_TLIFE",$AX$10:$AX$16)),0,""))</f>
        <v/>
      </c>
      <c r="P171" s="369" t="str">
        <f ca="1">IF($B171&lt;&gt;"PRC_RESID","",IF(P$7=2005+OFFSET(COM_N_2012!$B$60,$AW171,SUMIF($B$10:$B$16,"NCAP_TLIFE",$AX$10:$AX$16)),0,""))</f>
        <v/>
      </c>
      <c r="Q171" s="369" t="str">
        <f ca="1">IF($B171&lt;&gt;"PRC_RESID","",IF(Q$7=2005+OFFSET(COM_N_2012!$B$60,$AW171,SUMIF($B$10:$B$16,"NCAP_TLIFE",$AX$10:$AX$16)),0,""))</f>
        <v/>
      </c>
      <c r="R171" s="369" t="str">
        <f ca="1">IF($B171&lt;&gt;"PRC_RESID","",IF(R$7=2005+OFFSET(COM_N_2012!$B$60,$AW171,SUMIF($B$10:$B$16,"NCAP_TLIFE",$AX$10:$AX$16)),0,""))</f>
        <v/>
      </c>
      <c r="S171" s="369" t="str">
        <f ca="1">IF($B171&lt;&gt;"PRC_RESID","",IF(S$7=2005+OFFSET(COM_N_2012!$B$60,$AW171,SUMIF($B$10:$B$16,"NCAP_TLIFE",$AX$10:$AX$16)),0,""))</f>
        <v/>
      </c>
      <c r="T171" s="369" t="str">
        <f ca="1">IF($B171&lt;&gt;"PRC_RESID","",IF(T$7=2005+OFFSET(COM_N_2012!$B$60,$AW171,SUMIF($B$10:$B$16,"NCAP_TLIFE",$AX$10:$AX$16)),0,""))</f>
        <v/>
      </c>
      <c r="U171" s="369" t="str">
        <f ca="1">IF($B171&lt;&gt;"PRC_RESID","",IF(U$7=2005+OFFSET(COM_N_2012!$B$60,$AW171,SUMIF($B$10:$B$16,"NCAP_TLIFE",$AX$10:$AX$16)),0,""))</f>
        <v/>
      </c>
      <c r="V171" s="369" t="str">
        <f ca="1">IF($B171&lt;&gt;"PRC_RESID","",IF(V$7=2005+OFFSET(COM_N_2012!$B$60,$AW171,SUMIF($B$10:$B$16,"NCAP_TLIFE",$AX$10:$AX$16)),0,""))</f>
        <v/>
      </c>
      <c r="W171" s="369" t="str">
        <f ca="1">IF($B171&lt;&gt;"PRC_RESID","",IF(W$7=2005+OFFSET(COM_N_2012!$B$60,$AW171,SUMIF($B$10:$B$16,"NCAP_TLIFE",$AX$10:$AX$16)),0,""))</f>
        <v/>
      </c>
      <c r="X171" s="369" t="str">
        <f ca="1">IF($B171&lt;&gt;"PRC_RESID","",IF(X$7=2005+OFFSET(COM_N_2012!$B$60,$AW171,SUMIF($B$10:$B$16,"NCAP_TLIFE",$AX$10:$AX$16)),0,""))</f>
        <v/>
      </c>
      <c r="Y171" s="369" t="str">
        <f ca="1">IF($B171&lt;&gt;"PRC_RESID","",IF(Y$7=2005+OFFSET(COM_N_2012!$B$60,$AW171,SUMIF($B$10:$B$16,"NCAP_TLIFE",$AX$10:$AX$16)),0,""))</f>
        <v/>
      </c>
      <c r="Z171" s="369" t="str">
        <f ca="1">IF($B171&lt;&gt;"PRC_RESID","",IF(Z$7=2005+OFFSET(COM_N_2012!$B$60,$AW171,SUMIF($B$10:$B$16,"NCAP_TLIFE",$AX$10:$AX$16)),0,""))</f>
        <v/>
      </c>
      <c r="AA171" s="369" t="str">
        <f ca="1">IF($B171&lt;&gt;"PRC_RESID","",IF(AA$7=2005+OFFSET(COM_N_2012!$B$60,$AW171,SUMIF($B$10:$B$16,"NCAP_TLIFE",$AX$10:$AX$16)),0,""))</f>
        <v/>
      </c>
      <c r="AB171" s="369" t="str">
        <f ca="1">IF($B171&lt;&gt;"PRC_RESID","",IF(AB$7=2005+OFFSET(COM_N_2012!$B$60,$AW171,SUMIF($B$10:$B$16,"NCAP_TLIFE",$AX$10:$AX$16)),0,""))</f>
        <v/>
      </c>
      <c r="AC171" s="369" t="str">
        <f ca="1">IF($B171&lt;&gt;"PRC_RESID","",IF(AC$7=2005+OFFSET(COM_N_2012!$B$60,$AW171,SUMIF($B$10:$B$16,"NCAP_TLIFE",$AX$10:$AX$16)),0,""))</f>
        <v/>
      </c>
      <c r="AD171" s="369" t="str">
        <f ca="1">IF($B171&lt;&gt;"PRC_RESID","",IF(AD$7=2005+OFFSET(COM_N_2012!$B$60,$AW171,SUMIF($B$10:$B$16,"NCAP_TLIFE",$AX$10:$AX$16)),0,""))</f>
        <v/>
      </c>
      <c r="AE171" s="369" t="str">
        <f ca="1">IF($B171&lt;&gt;"PRC_RESID","",IF(AE$7=2005+OFFSET(COM_N_2012!$B$60,$AW171,SUMIF($B$10:$B$16,"NCAP_TLIFE",$AX$10:$AX$16)),0,""))</f>
        <v/>
      </c>
      <c r="AF171" s="369" t="str">
        <f ca="1">IF($B171&lt;&gt;"PRC_RESID","",IF(AF$7=2005+OFFSET(COM_N_2012!$B$60,$AW171,SUMIF($B$10:$B$16,"NCAP_TLIFE",$AX$10:$AX$16)),0,""))</f>
        <v/>
      </c>
      <c r="AG171" s="369" t="str">
        <f ca="1">IF($B171&lt;&gt;"PRC_RESID","",IF(AG$7=2005+OFFSET(COM_N_2012!$B$60,$AW171,SUMIF($B$10:$B$16,"NCAP_TLIFE",$AX$10:$AX$16)),0,""))</f>
        <v/>
      </c>
      <c r="AH171" s="369" t="str">
        <f ca="1">IF($B171&lt;&gt;"PRC_RESID","",IF(AH$7=2005+OFFSET(COM_N_2012!$B$60,$AW171,SUMIF($B$10:$B$16,"NCAP_TLIFE",$AX$10:$AX$16)),0,""))</f>
        <v/>
      </c>
      <c r="AI171" s="369" t="str">
        <f ca="1">IF($B171&lt;&gt;"PRC_RESID","",IF(AI$7=2005+OFFSET(COM_N_2012!$B$60,$AW171,SUMIF($B$10:$B$16,"NCAP_TLIFE",$AX$10:$AX$16)),0,""))</f>
        <v/>
      </c>
      <c r="AJ171" s="369" t="str">
        <f ca="1">IF($B171&lt;&gt;"PRC_RESID","",IF(AJ$7=2005+OFFSET(COM_N_2012!$B$60,$AW171,SUMIF($B$10:$B$16,"NCAP_TLIFE",$AX$10:$AX$16)),0,""))</f>
        <v/>
      </c>
      <c r="AK171" s="369" t="str">
        <f ca="1">IF($B171&lt;&gt;"PRC_RESID","",IF(AK$7=2005+OFFSET(COM_N_2012!$B$60,$AW171,SUMIF($B$10:$B$16,"NCAP_TLIFE",$AX$10:$AX$16)),0,""))</f>
        <v/>
      </c>
      <c r="AL171" s="369" t="str">
        <f ca="1">IF($B171&lt;&gt;"PRC_RESID","",IF(AL$7=2005+OFFSET(COM_N_2012!$B$60,$AW171,SUMIF($B$10:$B$16,"NCAP_TLIFE",$AX$10:$AX$16)),0,""))</f>
        <v/>
      </c>
      <c r="AM171" s="369" t="str">
        <f ca="1">IF($B171&lt;&gt;"PRC_RESID","",IF(AM$7=2005+OFFSET(COM_N_2012!$B$60,$AW171,SUMIF($B$10:$B$16,"NCAP_TLIFE",$AX$10:$AX$16)),0,""))</f>
        <v/>
      </c>
      <c r="AN171" s="369" t="str">
        <f ca="1">IF($B171&lt;&gt;"PRC_RESID","",IF(AN$7=2005+OFFSET(COM_N_2012!$B$60,$AW171,SUMIF($B$10:$B$16,"NCAP_TLIFE",$AX$10:$AX$16)),0,""))</f>
        <v/>
      </c>
      <c r="AO171" s="369" t="str">
        <f ca="1">IF($B171&lt;&gt;"PRC_RESID","",IF(AO$7=2005+OFFSET(COM_N_2012!$B$60,$AW171,SUMIF($B$10:$B$16,"NCAP_TLIFE",$AX$10:$AX$16)),0,""))</f>
        <v/>
      </c>
      <c r="AP171" s="369" t="str">
        <f ca="1">IF($B171&lt;&gt;"PRC_RESID","",IF(AP$7=2005+OFFSET(COM_N_2012!$B$60,$AW171,SUMIF($B$10:$B$16,"NCAP_TLIFE",$AX$10:$AX$16)),0,""))</f>
        <v/>
      </c>
      <c r="AQ171" s="369" t="str">
        <f ca="1">IF($B171&lt;&gt;"PRC_RESID","",IF(AQ$7=2005+OFFSET(COM_N_2012!$B$60,$AW171,SUMIF($B$10:$B$16,"NCAP_TLIFE",$AX$10:$AX$16)),0,""))</f>
        <v/>
      </c>
      <c r="AR171" s="369" t="str">
        <f ca="1">IF($B171&lt;&gt;"PRC_RESID","",IF(AR$7=2005+OFFSET(COM_N_2012!$B$60,$AW171,SUMIF($B$10:$B$16,"NCAP_TLIFE",$AX$10:$AX$16)),0,""))</f>
        <v/>
      </c>
      <c r="AS171" s="369" t="str">
        <f ca="1">IF($B171&lt;&gt;"PRC_RESID","",IF(AS$7=2005+OFFSET(COM_N_2012!$B$60,$AW171,SUMIF($B$10:$B$16,"NCAP_TLIFE",$AX$10:$AX$16)),0,""))</f>
        <v/>
      </c>
      <c r="AT171" s="369" t="str">
        <f ca="1">IF($B171&lt;&gt;"PRC_RESID","",IF(AT$7=2005+OFFSET(COM_N_2012!$B$60,$AW171,SUMIF($B$10:$B$16,"NCAP_TLIFE",$AX$10:$AX$16)),0,""))</f>
        <v/>
      </c>
      <c r="AU171" s="369" t="str">
        <f ca="1">IF($B171&lt;&gt;"PRC_RESID","",IF(AU$7=2005+OFFSET(COM_N_2012!$B$60,$AW171,SUMIF($B$10:$B$16,"NCAP_TLIFE",$AX$10:$AX$16)),0,""))</f>
        <v/>
      </c>
      <c r="AV171" s="304">
        <f>IF(AW170=COM_N_2012!$AK$121,AV170+1,AV170)</f>
        <v>3</v>
      </c>
      <c r="AW171" s="304">
        <f t="shared" si="20"/>
        <v>32</v>
      </c>
    </row>
    <row r="172" spans="1:49">
      <c r="A172" s="304" t="str">
        <f ca="1">IF(LEFT(OFFSET(COM_N_2012!$A$60,AW172,0),2)="\I","*","")</f>
        <v/>
      </c>
      <c r="B172" s="369" t="str">
        <f t="shared" ca="1" si="19"/>
        <v>NCAP_TLIFE</v>
      </c>
      <c r="C172" s="369" t="str">
        <f ca="1">IF($A172="*","",OFFSET(COM_N_2012!$B$60,AW172,0))</f>
        <v>CNWELC-E</v>
      </c>
      <c r="D172" s="369" t="str">
        <f t="shared" ca="1" si="23"/>
        <v>-</v>
      </c>
      <c r="E172" s="369" t="str">
        <f t="shared" ca="1" si="23"/>
        <v>-</v>
      </c>
      <c r="F172" s="369" t="str">
        <f t="shared" ca="1" si="23"/>
        <v>-</v>
      </c>
      <c r="G172" s="369" t="str">
        <f t="shared" ca="1" si="23"/>
        <v>-</v>
      </c>
      <c r="H172" s="369" t="str">
        <f t="shared" ca="1" si="23"/>
        <v>-</v>
      </c>
      <c r="I172" s="370">
        <f t="shared" ca="1" si="23"/>
        <v>0</v>
      </c>
      <c r="J172" s="391">
        <f ca="1">IF($A172="*","",OFFSET(COM_N_2012!$B$60,AW172,SUMIF($B$10:$B$16,B172,$AX$10:$AX$16)))</f>
        <v>14</v>
      </c>
      <c r="K172" s="369" t="str">
        <f ca="1">IF($B172&lt;&gt;"PRC_RESID","",IF(K$7=2005+OFFSET(COM_N_2012!$B$60,$AW172,SUMIF($B$10:$B$16,"NCAP_TLIFE",$AX$10:$AX$16)),0,""))</f>
        <v/>
      </c>
      <c r="L172" s="369" t="str">
        <f ca="1">IF($B172&lt;&gt;"PRC_RESID","",IF(L$7=2005+OFFSET(COM_N_2012!$B$60,$AW172,SUMIF($B$10:$B$16,"NCAP_TLIFE",$AX$10:$AX$16)),0,""))</f>
        <v/>
      </c>
      <c r="M172" s="369" t="str">
        <f ca="1">IF($B172&lt;&gt;"PRC_RESID","",IF(M$7=2005+OFFSET(COM_N_2012!$B$60,$AW172,SUMIF($B$10:$B$16,"NCAP_TLIFE",$AX$10:$AX$16)),0,""))</f>
        <v/>
      </c>
      <c r="N172" s="369" t="str">
        <f ca="1">IF($B172&lt;&gt;"PRC_RESID","",IF(N$7=2005+OFFSET(COM_N_2012!$B$60,$AW172,SUMIF($B$10:$B$16,"NCAP_TLIFE",$AX$10:$AX$16)),0,""))</f>
        <v/>
      </c>
      <c r="O172" s="369" t="str">
        <f ca="1">IF($B172&lt;&gt;"PRC_RESID","",IF(O$7=2005+OFFSET(COM_N_2012!$B$60,$AW172,SUMIF($B$10:$B$16,"NCAP_TLIFE",$AX$10:$AX$16)),0,""))</f>
        <v/>
      </c>
      <c r="P172" s="369" t="str">
        <f ca="1">IF($B172&lt;&gt;"PRC_RESID","",IF(P$7=2005+OFFSET(COM_N_2012!$B$60,$AW172,SUMIF($B$10:$B$16,"NCAP_TLIFE",$AX$10:$AX$16)),0,""))</f>
        <v/>
      </c>
      <c r="Q172" s="369" t="str">
        <f ca="1">IF($B172&lt;&gt;"PRC_RESID","",IF(Q$7=2005+OFFSET(COM_N_2012!$B$60,$AW172,SUMIF($B$10:$B$16,"NCAP_TLIFE",$AX$10:$AX$16)),0,""))</f>
        <v/>
      </c>
      <c r="R172" s="369" t="str">
        <f ca="1">IF($B172&lt;&gt;"PRC_RESID","",IF(R$7=2005+OFFSET(COM_N_2012!$B$60,$AW172,SUMIF($B$10:$B$16,"NCAP_TLIFE",$AX$10:$AX$16)),0,""))</f>
        <v/>
      </c>
      <c r="S172" s="369" t="str">
        <f ca="1">IF($B172&lt;&gt;"PRC_RESID","",IF(S$7=2005+OFFSET(COM_N_2012!$B$60,$AW172,SUMIF($B$10:$B$16,"NCAP_TLIFE",$AX$10:$AX$16)),0,""))</f>
        <v/>
      </c>
      <c r="T172" s="369" t="str">
        <f ca="1">IF($B172&lt;&gt;"PRC_RESID","",IF(T$7=2005+OFFSET(COM_N_2012!$B$60,$AW172,SUMIF($B$10:$B$16,"NCAP_TLIFE",$AX$10:$AX$16)),0,""))</f>
        <v/>
      </c>
      <c r="U172" s="369" t="str">
        <f ca="1">IF($B172&lt;&gt;"PRC_RESID","",IF(U$7=2005+OFFSET(COM_N_2012!$B$60,$AW172,SUMIF($B$10:$B$16,"NCAP_TLIFE",$AX$10:$AX$16)),0,""))</f>
        <v/>
      </c>
      <c r="V172" s="369" t="str">
        <f ca="1">IF($B172&lt;&gt;"PRC_RESID","",IF(V$7=2005+OFFSET(COM_N_2012!$B$60,$AW172,SUMIF($B$10:$B$16,"NCAP_TLIFE",$AX$10:$AX$16)),0,""))</f>
        <v/>
      </c>
      <c r="W172" s="369" t="str">
        <f ca="1">IF($B172&lt;&gt;"PRC_RESID","",IF(W$7=2005+OFFSET(COM_N_2012!$B$60,$AW172,SUMIF($B$10:$B$16,"NCAP_TLIFE",$AX$10:$AX$16)),0,""))</f>
        <v/>
      </c>
      <c r="X172" s="369" t="str">
        <f ca="1">IF($B172&lt;&gt;"PRC_RESID","",IF(X$7=2005+OFFSET(COM_N_2012!$B$60,$AW172,SUMIF($B$10:$B$16,"NCAP_TLIFE",$AX$10:$AX$16)),0,""))</f>
        <v/>
      </c>
      <c r="Y172" s="369" t="str">
        <f ca="1">IF($B172&lt;&gt;"PRC_RESID","",IF(Y$7=2005+OFFSET(COM_N_2012!$B$60,$AW172,SUMIF($B$10:$B$16,"NCAP_TLIFE",$AX$10:$AX$16)),0,""))</f>
        <v/>
      </c>
      <c r="Z172" s="369" t="str">
        <f ca="1">IF($B172&lt;&gt;"PRC_RESID","",IF(Z$7=2005+OFFSET(COM_N_2012!$B$60,$AW172,SUMIF($B$10:$B$16,"NCAP_TLIFE",$AX$10:$AX$16)),0,""))</f>
        <v/>
      </c>
      <c r="AA172" s="369" t="str">
        <f ca="1">IF($B172&lt;&gt;"PRC_RESID","",IF(AA$7=2005+OFFSET(COM_N_2012!$B$60,$AW172,SUMIF($B$10:$B$16,"NCAP_TLIFE",$AX$10:$AX$16)),0,""))</f>
        <v/>
      </c>
      <c r="AB172" s="369" t="str">
        <f ca="1">IF($B172&lt;&gt;"PRC_RESID","",IF(AB$7=2005+OFFSET(COM_N_2012!$B$60,$AW172,SUMIF($B$10:$B$16,"NCAP_TLIFE",$AX$10:$AX$16)),0,""))</f>
        <v/>
      </c>
      <c r="AC172" s="369" t="str">
        <f ca="1">IF($B172&lt;&gt;"PRC_RESID","",IF(AC$7=2005+OFFSET(COM_N_2012!$B$60,$AW172,SUMIF($B$10:$B$16,"NCAP_TLIFE",$AX$10:$AX$16)),0,""))</f>
        <v/>
      </c>
      <c r="AD172" s="369" t="str">
        <f ca="1">IF($B172&lt;&gt;"PRC_RESID","",IF(AD$7=2005+OFFSET(COM_N_2012!$B$60,$AW172,SUMIF($B$10:$B$16,"NCAP_TLIFE",$AX$10:$AX$16)),0,""))</f>
        <v/>
      </c>
      <c r="AE172" s="369" t="str">
        <f ca="1">IF($B172&lt;&gt;"PRC_RESID","",IF(AE$7=2005+OFFSET(COM_N_2012!$B$60,$AW172,SUMIF($B$10:$B$16,"NCAP_TLIFE",$AX$10:$AX$16)),0,""))</f>
        <v/>
      </c>
      <c r="AF172" s="369" t="str">
        <f ca="1">IF($B172&lt;&gt;"PRC_RESID","",IF(AF$7=2005+OFFSET(COM_N_2012!$B$60,$AW172,SUMIF($B$10:$B$16,"NCAP_TLIFE",$AX$10:$AX$16)),0,""))</f>
        <v/>
      </c>
      <c r="AG172" s="369" t="str">
        <f ca="1">IF($B172&lt;&gt;"PRC_RESID","",IF(AG$7=2005+OFFSET(COM_N_2012!$B$60,$AW172,SUMIF($B$10:$B$16,"NCAP_TLIFE",$AX$10:$AX$16)),0,""))</f>
        <v/>
      </c>
      <c r="AH172" s="369" t="str">
        <f ca="1">IF($B172&lt;&gt;"PRC_RESID","",IF(AH$7=2005+OFFSET(COM_N_2012!$B$60,$AW172,SUMIF($B$10:$B$16,"NCAP_TLIFE",$AX$10:$AX$16)),0,""))</f>
        <v/>
      </c>
      <c r="AI172" s="369" t="str">
        <f ca="1">IF($B172&lt;&gt;"PRC_RESID","",IF(AI$7=2005+OFFSET(COM_N_2012!$B$60,$AW172,SUMIF($B$10:$B$16,"NCAP_TLIFE",$AX$10:$AX$16)),0,""))</f>
        <v/>
      </c>
      <c r="AJ172" s="369" t="str">
        <f ca="1">IF($B172&lt;&gt;"PRC_RESID","",IF(AJ$7=2005+OFFSET(COM_N_2012!$B$60,$AW172,SUMIF($B$10:$B$16,"NCAP_TLIFE",$AX$10:$AX$16)),0,""))</f>
        <v/>
      </c>
      <c r="AK172" s="369" t="str">
        <f ca="1">IF($B172&lt;&gt;"PRC_RESID","",IF(AK$7=2005+OFFSET(COM_N_2012!$B$60,$AW172,SUMIF($B$10:$B$16,"NCAP_TLIFE",$AX$10:$AX$16)),0,""))</f>
        <v/>
      </c>
      <c r="AL172" s="369" t="str">
        <f ca="1">IF($B172&lt;&gt;"PRC_RESID","",IF(AL$7=2005+OFFSET(COM_N_2012!$B$60,$AW172,SUMIF($B$10:$B$16,"NCAP_TLIFE",$AX$10:$AX$16)),0,""))</f>
        <v/>
      </c>
      <c r="AM172" s="369" t="str">
        <f ca="1">IF($B172&lt;&gt;"PRC_RESID","",IF(AM$7=2005+OFFSET(COM_N_2012!$B$60,$AW172,SUMIF($B$10:$B$16,"NCAP_TLIFE",$AX$10:$AX$16)),0,""))</f>
        <v/>
      </c>
      <c r="AN172" s="369" t="str">
        <f ca="1">IF($B172&lt;&gt;"PRC_RESID","",IF(AN$7=2005+OFFSET(COM_N_2012!$B$60,$AW172,SUMIF($B$10:$B$16,"NCAP_TLIFE",$AX$10:$AX$16)),0,""))</f>
        <v/>
      </c>
      <c r="AO172" s="369" t="str">
        <f ca="1">IF($B172&lt;&gt;"PRC_RESID","",IF(AO$7=2005+OFFSET(COM_N_2012!$B$60,$AW172,SUMIF($B$10:$B$16,"NCAP_TLIFE",$AX$10:$AX$16)),0,""))</f>
        <v/>
      </c>
      <c r="AP172" s="369" t="str">
        <f ca="1">IF($B172&lt;&gt;"PRC_RESID","",IF(AP$7=2005+OFFSET(COM_N_2012!$B$60,$AW172,SUMIF($B$10:$B$16,"NCAP_TLIFE",$AX$10:$AX$16)),0,""))</f>
        <v/>
      </c>
      <c r="AQ172" s="369" t="str">
        <f ca="1">IF($B172&lt;&gt;"PRC_RESID","",IF(AQ$7=2005+OFFSET(COM_N_2012!$B$60,$AW172,SUMIF($B$10:$B$16,"NCAP_TLIFE",$AX$10:$AX$16)),0,""))</f>
        <v/>
      </c>
      <c r="AR172" s="369" t="str">
        <f ca="1">IF($B172&lt;&gt;"PRC_RESID","",IF(AR$7=2005+OFFSET(COM_N_2012!$B$60,$AW172,SUMIF($B$10:$B$16,"NCAP_TLIFE",$AX$10:$AX$16)),0,""))</f>
        <v/>
      </c>
      <c r="AS172" s="369" t="str">
        <f ca="1">IF($B172&lt;&gt;"PRC_RESID","",IF(AS$7=2005+OFFSET(COM_N_2012!$B$60,$AW172,SUMIF($B$10:$B$16,"NCAP_TLIFE",$AX$10:$AX$16)),0,""))</f>
        <v/>
      </c>
      <c r="AT172" s="369" t="str">
        <f ca="1">IF($B172&lt;&gt;"PRC_RESID","",IF(AT$7=2005+OFFSET(COM_N_2012!$B$60,$AW172,SUMIF($B$10:$B$16,"NCAP_TLIFE",$AX$10:$AX$16)),0,""))</f>
        <v/>
      </c>
      <c r="AU172" s="369" t="str">
        <f ca="1">IF($B172&lt;&gt;"PRC_RESID","",IF(AU$7=2005+OFFSET(COM_N_2012!$B$60,$AW172,SUMIF($B$10:$B$16,"NCAP_TLIFE",$AX$10:$AX$16)),0,""))</f>
        <v/>
      </c>
      <c r="AV172" s="304">
        <f>IF(AW171=COM_N_2012!$AK$121,AV171+1,AV171)</f>
        <v>3</v>
      </c>
      <c r="AW172" s="304">
        <f t="shared" si="20"/>
        <v>33</v>
      </c>
    </row>
    <row r="173" spans="1:49">
      <c r="A173" s="304" t="str">
        <f ca="1">IF(LEFT(OFFSET(COM_N_2012!$A$60,AW173,0),2)="\I","*","")</f>
        <v/>
      </c>
      <c r="B173" s="369" t="str">
        <f t="shared" ca="1" si="19"/>
        <v>NCAP_TLIFE</v>
      </c>
      <c r="C173" s="369" t="str">
        <f ca="1">IF($A173="*","",OFFSET(COM_N_2012!$B$60,AW173,0))</f>
        <v>CNWCOA-E</v>
      </c>
      <c r="D173" s="369" t="str">
        <f t="shared" ca="1" si="23"/>
        <v>-</v>
      </c>
      <c r="E173" s="369" t="str">
        <f t="shared" ca="1" si="23"/>
        <v>-</v>
      </c>
      <c r="F173" s="369" t="str">
        <f t="shared" ca="1" si="23"/>
        <v>-</v>
      </c>
      <c r="G173" s="369" t="str">
        <f t="shared" ca="1" si="23"/>
        <v>-</v>
      </c>
      <c r="H173" s="369" t="str">
        <f t="shared" ca="1" si="23"/>
        <v>-</v>
      </c>
      <c r="I173" s="370">
        <f t="shared" ca="1" si="23"/>
        <v>0</v>
      </c>
      <c r="J173" s="391">
        <f ca="1">IF($A173="*","",OFFSET(COM_N_2012!$B$60,AW173,SUMIF($B$10:$B$16,B173,$AX$10:$AX$16)))</f>
        <v>14</v>
      </c>
      <c r="K173" s="369" t="str">
        <f ca="1">IF($B173&lt;&gt;"PRC_RESID","",IF(K$7=2005+OFFSET(COM_N_2012!$B$60,$AW173,SUMIF($B$10:$B$16,"NCAP_TLIFE",$AX$10:$AX$16)),0,""))</f>
        <v/>
      </c>
      <c r="L173" s="369" t="str">
        <f ca="1">IF($B173&lt;&gt;"PRC_RESID","",IF(L$7=2005+OFFSET(COM_N_2012!$B$60,$AW173,SUMIF($B$10:$B$16,"NCAP_TLIFE",$AX$10:$AX$16)),0,""))</f>
        <v/>
      </c>
      <c r="M173" s="369" t="str">
        <f ca="1">IF($B173&lt;&gt;"PRC_RESID","",IF(M$7=2005+OFFSET(COM_N_2012!$B$60,$AW173,SUMIF($B$10:$B$16,"NCAP_TLIFE",$AX$10:$AX$16)),0,""))</f>
        <v/>
      </c>
      <c r="N173" s="369" t="str">
        <f ca="1">IF($B173&lt;&gt;"PRC_RESID","",IF(N$7=2005+OFFSET(COM_N_2012!$B$60,$AW173,SUMIF($B$10:$B$16,"NCAP_TLIFE",$AX$10:$AX$16)),0,""))</f>
        <v/>
      </c>
      <c r="O173" s="369" t="str">
        <f ca="1">IF($B173&lt;&gt;"PRC_RESID","",IF(O$7=2005+OFFSET(COM_N_2012!$B$60,$AW173,SUMIF($B$10:$B$16,"NCAP_TLIFE",$AX$10:$AX$16)),0,""))</f>
        <v/>
      </c>
      <c r="P173" s="369" t="str">
        <f ca="1">IF($B173&lt;&gt;"PRC_RESID","",IF(P$7=2005+OFFSET(COM_N_2012!$B$60,$AW173,SUMIF($B$10:$B$16,"NCAP_TLIFE",$AX$10:$AX$16)),0,""))</f>
        <v/>
      </c>
      <c r="Q173" s="369" t="str">
        <f ca="1">IF($B173&lt;&gt;"PRC_RESID","",IF(Q$7=2005+OFFSET(COM_N_2012!$B$60,$AW173,SUMIF($B$10:$B$16,"NCAP_TLIFE",$AX$10:$AX$16)),0,""))</f>
        <v/>
      </c>
      <c r="R173" s="369" t="str">
        <f ca="1">IF($B173&lt;&gt;"PRC_RESID","",IF(R$7=2005+OFFSET(COM_N_2012!$B$60,$AW173,SUMIF($B$10:$B$16,"NCAP_TLIFE",$AX$10:$AX$16)),0,""))</f>
        <v/>
      </c>
      <c r="S173" s="369" t="str">
        <f ca="1">IF($B173&lt;&gt;"PRC_RESID","",IF(S$7=2005+OFFSET(COM_N_2012!$B$60,$AW173,SUMIF($B$10:$B$16,"NCAP_TLIFE",$AX$10:$AX$16)),0,""))</f>
        <v/>
      </c>
      <c r="T173" s="369" t="str">
        <f ca="1">IF($B173&lt;&gt;"PRC_RESID","",IF(T$7=2005+OFFSET(COM_N_2012!$B$60,$AW173,SUMIF($B$10:$B$16,"NCAP_TLIFE",$AX$10:$AX$16)),0,""))</f>
        <v/>
      </c>
      <c r="U173" s="369" t="str">
        <f ca="1">IF($B173&lt;&gt;"PRC_RESID","",IF(U$7=2005+OFFSET(COM_N_2012!$B$60,$AW173,SUMIF($B$10:$B$16,"NCAP_TLIFE",$AX$10:$AX$16)),0,""))</f>
        <v/>
      </c>
      <c r="V173" s="369" t="str">
        <f ca="1">IF($B173&lt;&gt;"PRC_RESID","",IF(V$7=2005+OFFSET(COM_N_2012!$B$60,$AW173,SUMIF($B$10:$B$16,"NCAP_TLIFE",$AX$10:$AX$16)),0,""))</f>
        <v/>
      </c>
      <c r="W173" s="369" t="str">
        <f ca="1">IF($B173&lt;&gt;"PRC_RESID","",IF(W$7=2005+OFFSET(COM_N_2012!$B$60,$AW173,SUMIF($B$10:$B$16,"NCAP_TLIFE",$AX$10:$AX$16)),0,""))</f>
        <v/>
      </c>
      <c r="X173" s="369" t="str">
        <f ca="1">IF($B173&lt;&gt;"PRC_RESID","",IF(X$7=2005+OFFSET(COM_N_2012!$B$60,$AW173,SUMIF($B$10:$B$16,"NCAP_TLIFE",$AX$10:$AX$16)),0,""))</f>
        <v/>
      </c>
      <c r="Y173" s="369" t="str">
        <f ca="1">IF($B173&lt;&gt;"PRC_RESID","",IF(Y$7=2005+OFFSET(COM_N_2012!$B$60,$AW173,SUMIF($B$10:$B$16,"NCAP_TLIFE",$AX$10:$AX$16)),0,""))</f>
        <v/>
      </c>
      <c r="Z173" s="369" t="str">
        <f ca="1">IF($B173&lt;&gt;"PRC_RESID","",IF(Z$7=2005+OFFSET(COM_N_2012!$B$60,$AW173,SUMIF($B$10:$B$16,"NCAP_TLIFE",$AX$10:$AX$16)),0,""))</f>
        <v/>
      </c>
      <c r="AA173" s="369" t="str">
        <f ca="1">IF($B173&lt;&gt;"PRC_RESID","",IF(AA$7=2005+OFFSET(COM_N_2012!$B$60,$AW173,SUMIF($B$10:$B$16,"NCAP_TLIFE",$AX$10:$AX$16)),0,""))</f>
        <v/>
      </c>
      <c r="AB173" s="369" t="str">
        <f ca="1">IF($B173&lt;&gt;"PRC_RESID","",IF(AB$7=2005+OFFSET(COM_N_2012!$B$60,$AW173,SUMIF($B$10:$B$16,"NCAP_TLIFE",$AX$10:$AX$16)),0,""))</f>
        <v/>
      </c>
      <c r="AC173" s="369" t="str">
        <f ca="1">IF($B173&lt;&gt;"PRC_RESID","",IF(AC$7=2005+OFFSET(COM_N_2012!$B$60,$AW173,SUMIF($B$10:$B$16,"NCAP_TLIFE",$AX$10:$AX$16)),0,""))</f>
        <v/>
      </c>
      <c r="AD173" s="369" t="str">
        <f ca="1">IF($B173&lt;&gt;"PRC_RESID","",IF(AD$7=2005+OFFSET(COM_N_2012!$B$60,$AW173,SUMIF($B$10:$B$16,"NCAP_TLIFE",$AX$10:$AX$16)),0,""))</f>
        <v/>
      </c>
      <c r="AE173" s="369" t="str">
        <f ca="1">IF($B173&lt;&gt;"PRC_RESID","",IF(AE$7=2005+OFFSET(COM_N_2012!$B$60,$AW173,SUMIF($B$10:$B$16,"NCAP_TLIFE",$AX$10:$AX$16)),0,""))</f>
        <v/>
      </c>
      <c r="AF173" s="369" t="str">
        <f ca="1">IF($B173&lt;&gt;"PRC_RESID","",IF(AF$7=2005+OFFSET(COM_N_2012!$B$60,$AW173,SUMIF($B$10:$B$16,"NCAP_TLIFE",$AX$10:$AX$16)),0,""))</f>
        <v/>
      </c>
      <c r="AG173" s="369" t="str">
        <f ca="1">IF($B173&lt;&gt;"PRC_RESID","",IF(AG$7=2005+OFFSET(COM_N_2012!$B$60,$AW173,SUMIF($B$10:$B$16,"NCAP_TLIFE",$AX$10:$AX$16)),0,""))</f>
        <v/>
      </c>
      <c r="AH173" s="369" t="str">
        <f ca="1">IF($B173&lt;&gt;"PRC_RESID","",IF(AH$7=2005+OFFSET(COM_N_2012!$B$60,$AW173,SUMIF($B$10:$B$16,"NCAP_TLIFE",$AX$10:$AX$16)),0,""))</f>
        <v/>
      </c>
      <c r="AI173" s="369" t="str">
        <f ca="1">IF($B173&lt;&gt;"PRC_RESID","",IF(AI$7=2005+OFFSET(COM_N_2012!$B$60,$AW173,SUMIF($B$10:$B$16,"NCAP_TLIFE",$AX$10:$AX$16)),0,""))</f>
        <v/>
      </c>
      <c r="AJ173" s="369" t="str">
        <f ca="1">IF($B173&lt;&gt;"PRC_RESID","",IF(AJ$7=2005+OFFSET(COM_N_2012!$B$60,$AW173,SUMIF($B$10:$B$16,"NCAP_TLIFE",$AX$10:$AX$16)),0,""))</f>
        <v/>
      </c>
      <c r="AK173" s="369" t="str">
        <f ca="1">IF($B173&lt;&gt;"PRC_RESID","",IF(AK$7=2005+OFFSET(COM_N_2012!$B$60,$AW173,SUMIF($B$10:$B$16,"NCAP_TLIFE",$AX$10:$AX$16)),0,""))</f>
        <v/>
      </c>
      <c r="AL173" s="369" t="str">
        <f ca="1">IF($B173&lt;&gt;"PRC_RESID","",IF(AL$7=2005+OFFSET(COM_N_2012!$B$60,$AW173,SUMIF($B$10:$B$16,"NCAP_TLIFE",$AX$10:$AX$16)),0,""))</f>
        <v/>
      </c>
      <c r="AM173" s="369" t="str">
        <f ca="1">IF($B173&lt;&gt;"PRC_RESID","",IF(AM$7=2005+OFFSET(COM_N_2012!$B$60,$AW173,SUMIF($B$10:$B$16,"NCAP_TLIFE",$AX$10:$AX$16)),0,""))</f>
        <v/>
      </c>
      <c r="AN173" s="369" t="str">
        <f ca="1">IF($B173&lt;&gt;"PRC_RESID","",IF(AN$7=2005+OFFSET(COM_N_2012!$B$60,$AW173,SUMIF($B$10:$B$16,"NCAP_TLIFE",$AX$10:$AX$16)),0,""))</f>
        <v/>
      </c>
      <c r="AO173" s="369" t="str">
        <f ca="1">IF($B173&lt;&gt;"PRC_RESID","",IF(AO$7=2005+OFFSET(COM_N_2012!$B$60,$AW173,SUMIF($B$10:$B$16,"NCAP_TLIFE",$AX$10:$AX$16)),0,""))</f>
        <v/>
      </c>
      <c r="AP173" s="369" t="str">
        <f ca="1">IF($B173&lt;&gt;"PRC_RESID","",IF(AP$7=2005+OFFSET(COM_N_2012!$B$60,$AW173,SUMIF($B$10:$B$16,"NCAP_TLIFE",$AX$10:$AX$16)),0,""))</f>
        <v/>
      </c>
      <c r="AQ173" s="369" t="str">
        <f ca="1">IF($B173&lt;&gt;"PRC_RESID","",IF(AQ$7=2005+OFFSET(COM_N_2012!$B$60,$AW173,SUMIF($B$10:$B$16,"NCAP_TLIFE",$AX$10:$AX$16)),0,""))</f>
        <v/>
      </c>
      <c r="AR173" s="369" t="str">
        <f ca="1">IF($B173&lt;&gt;"PRC_RESID","",IF(AR$7=2005+OFFSET(COM_N_2012!$B$60,$AW173,SUMIF($B$10:$B$16,"NCAP_TLIFE",$AX$10:$AX$16)),0,""))</f>
        <v/>
      </c>
      <c r="AS173" s="369" t="str">
        <f ca="1">IF($B173&lt;&gt;"PRC_RESID","",IF(AS$7=2005+OFFSET(COM_N_2012!$B$60,$AW173,SUMIF($B$10:$B$16,"NCAP_TLIFE",$AX$10:$AX$16)),0,""))</f>
        <v/>
      </c>
      <c r="AT173" s="369" t="str">
        <f ca="1">IF($B173&lt;&gt;"PRC_RESID","",IF(AT$7=2005+OFFSET(COM_N_2012!$B$60,$AW173,SUMIF($B$10:$B$16,"NCAP_TLIFE",$AX$10:$AX$16)),0,""))</f>
        <v/>
      </c>
      <c r="AU173" s="369" t="str">
        <f ca="1">IF($B173&lt;&gt;"PRC_RESID","",IF(AU$7=2005+OFFSET(COM_N_2012!$B$60,$AW173,SUMIF($B$10:$B$16,"NCAP_TLIFE",$AX$10:$AX$16)),0,""))</f>
        <v/>
      </c>
      <c r="AV173" s="304">
        <f>IF(AW172=COM_N_2012!$AK$121,AV172+1,AV172)</f>
        <v>3</v>
      </c>
      <c r="AW173" s="304">
        <f t="shared" si="20"/>
        <v>34</v>
      </c>
    </row>
    <row r="174" spans="1:49">
      <c r="A174" s="304" t="str">
        <f ca="1">IF(LEFT(OFFSET(COM_N_2012!$A$60,AW174,0),2)="\I","*","")</f>
        <v/>
      </c>
      <c r="B174" s="369" t="str">
        <f t="shared" ca="1" si="19"/>
        <v>NCAP_TLIFE</v>
      </c>
      <c r="C174" s="369" t="str">
        <f ca="1">IF($A174="*","",OFFSET(COM_N_2012!$B$60,AW174,0))</f>
        <v>CNWOLP-E</v>
      </c>
      <c r="D174" s="369" t="str">
        <f t="shared" ca="1" si="23"/>
        <v>-</v>
      </c>
      <c r="E174" s="369" t="str">
        <f t="shared" ca="1" si="23"/>
        <v>-</v>
      </c>
      <c r="F174" s="369" t="str">
        <f t="shared" ca="1" si="23"/>
        <v>-</v>
      </c>
      <c r="G174" s="369" t="str">
        <f t="shared" ca="1" si="23"/>
        <v>-</v>
      </c>
      <c r="H174" s="369" t="str">
        <f t="shared" ca="1" si="23"/>
        <v>-</v>
      </c>
      <c r="I174" s="370">
        <f t="shared" ca="1" si="23"/>
        <v>0</v>
      </c>
      <c r="J174" s="391">
        <f ca="1">IF($A174="*","",OFFSET(COM_N_2012!$B$60,AW174,SUMIF($B$10:$B$16,B174,$AX$10:$AX$16)))</f>
        <v>12</v>
      </c>
      <c r="K174" s="369" t="str">
        <f ca="1">IF($B174&lt;&gt;"PRC_RESID","",IF(K$7=2005+OFFSET(COM_N_2012!$B$60,$AW174,SUMIF($B$10:$B$16,"NCAP_TLIFE",$AX$10:$AX$16)),0,""))</f>
        <v/>
      </c>
      <c r="L174" s="369" t="str">
        <f ca="1">IF($B174&lt;&gt;"PRC_RESID","",IF(L$7=2005+OFFSET(COM_N_2012!$B$60,$AW174,SUMIF($B$10:$B$16,"NCAP_TLIFE",$AX$10:$AX$16)),0,""))</f>
        <v/>
      </c>
      <c r="M174" s="369" t="str">
        <f ca="1">IF($B174&lt;&gt;"PRC_RESID","",IF(M$7=2005+OFFSET(COM_N_2012!$B$60,$AW174,SUMIF($B$10:$B$16,"NCAP_TLIFE",$AX$10:$AX$16)),0,""))</f>
        <v/>
      </c>
      <c r="N174" s="369" t="str">
        <f ca="1">IF($B174&lt;&gt;"PRC_RESID","",IF(N$7=2005+OFFSET(COM_N_2012!$B$60,$AW174,SUMIF($B$10:$B$16,"NCAP_TLIFE",$AX$10:$AX$16)),0,""))</f>
        <v/>
      </c>
      <c r="O174" s="369" t="str">
        <f ca="1">IF($B174&lt;&gt;"PRC_RESID","",IF(O$7=2005+OFFSET(COM_N_2012!$B$60,$AW174,SUMIF($B$10:$B$16,"NCAP_TLIFE",$AX$10:$AX$16)),0,""))</f>
        <v/>
      </c>
      <c r="P174" s="369" t="str">
        <f ca="1">IF($B174&lt;&gt;"PRC_RESID","",IF(P$7=2005+OFFSET(COM_N_2012!$B$60,$AW174,SUMIF($B$10:$B$16,"NCAP_TLIFE",$AX$10:$AX$16)),0,""))</f>
        <v/>
      </c>
      <c r="Q174" s="369" t="str">
        <f ca="1">IF($B174&lt;&gt;"PRC_RESID","",IF(Q$7=2005+OFFSET(COM_N_2012!$B$60,$AW174,SUMIF($B$10:$B$16,"NCAP_TLIFE",$AX$10:$AX$16)),0,""))</f>
        <v/>
      </c>
      <c r="R174" s="369" t="str">
        <f ca="1">IF($B174&lt;&gt;"PRC_RESID","",IF(R$7=2005+OFFSET(COM_N_2012!$B$60,$AW174,SUMIF($B$10:$B$16,"NCAP_TLIFE",$AX$10:$AX$16)),0,""))</f>
        <v/>
      </c>
      <c r="S174" s="369" t="str">
        <f ca="1">IF($B174&lt;&gt;"PRC_RESID","",IF(S$7=2005+OFFSET(COM_N_2012!$B$60,$AW174,SUMIF($B$10:$B$16,"NCAP_TLIFE",$AX$10:$AX$16)),0,""))</f>
        <v/>
      </c>
      <c r="T174" s="369" t="str">
        <f ca="1">IF($B174&lt;&gt;"PRC_RESID","",IF(T$7=2005+OFFSET(COM_N_2012!$B$60,$AW174,SUMIF($B$10:$B$16,"NCAP_TLIFE",$AX$10:$AX$16)),0,""))</f>
        <v/>
      </c>
      <c r="U174" s="369" t="str">
        <f ca="1">IF($B174&lt;&gt;"PRC_RESID","",IF(U$7=2005+OFFSET(COM_N_2012!$B$60,$AW174,SUMIF($B$10:$B$16,"NCAP_TLIFE",$AX$10:$AX$16)),0,""))</f>
        <v/>
      </c>
      <c r="V174" s="369" t="str">
        <f ca="1">IF($B174&lt;&gt;"PRC_RESID","",IF(V$7=2005+OFFSET(COM_N_2012!$B$60,$AW174,SUMIF($B$10:$B$16,"NCAP_TLIFE",$AX$10:$AX$16)),0,""))</f>
        <v/>
      </c>
      <c r="W174" s="369" t="str">
        <f ca="1">IF($B174&lt;&gt;"PRC_RESID","",IF(W$7=2005+OFFSET(COM_N_2012!$B$60,$AW174,SUMIF($B$10:$B$16,"NCAP_TLIFE",$AX$10:$AX$16)),0,""))</f>
        <v/>
      </c>
      <c r="X174" s="369" t="str">
        <f ca="1">IF($B174&lt;&gt;"PRC_RESID","",IF(X$7=2005+OFFSET(COM_N_2012!$B$60,$AW174,SUMIF($B$10:$B$16,"NCAP_TLIFE",$AX$10:$AX$16)),0,""))</f>
        <v/>
      </c>
      <c r="Y174" s="369" t="str">
        <f ca="1">IF($B174&lt;&gt;"PRC_RESID","",IF(Y$7=2005+OFFSET(COM_N_2012!$B$60,$AW174,SUMIF($B$10:$B$16,"NCAP_TLIFE",$AX$10:$AX$16)),0,""))</f>
        <v/>
      </c>
      <c r="Z174" s="369" t="str">
        <f ca="1">IF($B174&lt;&gt;"PRC_RESID","",IF(Z$7=2005+OFFSET(COM_N_2012!$B$60,$AW174,SUMIF($B$10:$B$16,"NCAP_TLIFE",$AX$10:$AX$16)),0,""))</f>
        <v/>
      </c>
      <c r="AA174" s="369" t="str">
        <f ca="1">IF($B174&lt;&gt;"PRC_RESID","",IF(AA$7=2005+OFFSET(COM_N_2012!$B$60,$AW174,SUMIF($B$10:$B$16,"NCAP_TLIFE",$AX$10:$AX$16)),0,""))</f>
        <v/>
      </c>
      <c r="AB174" s="369" t="str">
        <f ca="1">IF($B174&lt;&gt;"PRC_RESID","",IF(AB$7=2005+OFFSET(COM_N_2012!$B$60,$AW174,SUMIF($B$10:$B$16,"NCAP_TLIFE",$AX$10:$AX$16)),0,""))</f>
        <v/>
      </c>
      <c r="AC174" s="369" t="str">
        <f ca="1">IF($B174&lt;&gt;"PRC_RESID","",IF(AC$7=2005+OFFSET(COM_N_2012!$B$60,$AW174,SUMIF($B$10:$B$16,"NCAP_TLIFE",$AX$10:$AX$16)),0,""))</f>
        <v/>
      </c>
      <c r="AD174" s="369" t="str">
        <f ca="1">IF($B174&lt;&gt;"PRC_RESID","",IF(AD$7=2005+OFFSET(COM_N_2012!$B$60,$AW174,SUMIF($B$10:$B$16,"NCAP_TLIFE",$AX$10:$AX$16)),0,""))</f>
        <v/>
      </c>
      <c r="AE174" s="369" t="str">
        <f ca="1">IF($B174&lt;&gt;"PRC_RESID","",IF(AE$7=2005+OFFSET(COM_N_2012!$B$60,$AW174,SUMIF($B$10:$B$16,"NCAP_TLIFE",$AX$10:$AX$16)),0,""))</f>
        <v/>
      </c>
      <c r="AF174" s="369" t="str">
        <f ca="1">IF($B174&lt;&gt;"PRC_RESID","",IF(AF$7=2005+OFFSET(COM_N_2012!$B$60,$AW174,SUMIF($B$10:$B$16,"NCAP_TLIFE",$AX$10:$AX$16)),0,""))</f>
        <v/>
      </c>
      <c r="AG174" s="369" t="str">
        <f ca="1">IF($B174&lt;&gt;"PRC_RESID","",IF(AG$7=2005+OFFSET(COM_N_2012!$B$60,$AW174,SUMIF($B$10:$B$16,"NCAP_TLIFE",$AX$10:$AX$16)),0,""))</f>
        <v/>
      </c>
      <c r="AH174" s="369" t="str">
        <f ca="1">IF($B174&lt;&gt;"PRC_RESID","",IF(AH$7=2005+OFFSET(COM_N_2012!$B$60,$AW174,SUMIF($B$10:$B$16,"NCAP_TLIFE",$AX$10:$AX$16)),0,""))</f>
        <v/>
      </c>
      <c r="AI174" s="369" t="str">
        <f ca="1">IF($B174&lt;&gt;"PRC_RESID","",IF(AI$7=2005+OFFSET(COM_N_2012!$B$60,$AW174,SUMIF($B$10:$B$16,"NCAP_TLIFE",$AX$10:$AX$16)),0,""))</f>
        <v/>
      </c>
      <c r="AJ174" s="369" t="str">
        <f ca="1">IF($B174&lt;&gt;"PRC_RESID","",IF(AJ$7=2005+OFFSET(COM_N_2012!$B$60,$AW174,SUMIF($B$10:$B$16,"NCAP_TLIFE",$AX$10:$AX$16)),0,""))</f>
        <v/>
      </c>
      <c r="AK174" s="369" t="str">
        <f ca="1">IF($B174&lt;&gt;"PRC_RESID","",IF(AK$7=2005+OFFSET(COM_N_2012!$B$60,$AW174,SUMIF($B$10:$B$16,"NCAP_TLIFE",$AX$10:$AX$16)),0,""))</f>
        <v/>
      </c>
      <c r="AL174" s="369" t="str">
        <f ca="1">IF($B174&lt;&gt;"PRC_RESID","",IF(AL$7=2005+OFFSET(COM_N_2012!$B$60,$AW174,SUMIF($B$10:$B$16,"NCAP_TLIFE",$AX$10:$AX$16)),0,""))</f>
        <v/>
      </c>
      <c r="AM174" s="369" t="str">
        <f ca="1">IF($B174&lt;&gt;"PRC_RESID","",IF(AM$7=2005+OFFSET(COM_N_2012!$B$60,$AW174,SUMIF($B$10:$B$16,"NCAP_TLIFE",$AX$10:$AX$16)),0,""))</f>
        <v/>
      </c>
      <c r="AN174" s="369" t="str">
        <f ca="1">IF($B174&lt;&gt;"PRC_RESID","",IF(AN$7=2005+OFFSET(COM_N_2012!$B$60,$AW174,SUMIF($B$10:$B$16,"NCAP_TLIFE",$AX$10:$AX$16)),0,""))</f>
        <v/>
      </c>
      <c r="AO174" s="369" t="str">
        <f ca="1">IF($B174&lt;&gt;"PRC_RESID","",IF(AO$7=2005+OFFSET(COM_N_2012!$B$60,$AW174,SUMIF($B$10:$B$16,"NCAP_TLIFE",$AX$10:$AX$16)),0,""))</f>
        <v/>
      </c>
      <c r="AP174" s="369" t="str">
        <f ca="1">IF($B174&lt;&gt;"PRC_RESID","",IF(AP$7=2005+OFFSET(COM_N_2012!$B$60,$AW174,SUMIF($B$10:$B$16,"NCAP_TLIFE",$AX$10:$AX$16)),0,""))</f>
        <v/>
      </c>
      <c r="AQ174" s="369" t="str">
        <f ca="1">IF($B174&lt;&gt;"PRC_RESID","",IF(AQ$7=2005+OFFSET(COM_N_2012!$B$60,$AW174,SUMIF($B$10:$B$16,"NCAP_TLIFE",$AX$10:$AX$16)),0,""))</f>
        <v/>
      </c>
      <c r="AR174" s="369" t="str">
        <f ca="1">IF($B174&lt;&gt;"PRC_RESID","",IF(AR$7=2005+OFFSET(COM_N_2012!$B$60,$AW174,SUMIF($B$10:$B$16,"NCAP_TLIFE",$AX$10:$AX$16)),0,""))</f>
        <v/>
      </c>
      <c r="AS174" s="369" t="str">
        <f ca="1">IF($B174&lt;&gt;"PRC_RESID","",IF(AS$7=2005+OFFSET(COM_N_2012!$B$60,$AW174,SUMIF($B$10:$B$16,"NCAP_TLIFE",$AX$10:$AX$16)),0,""))</f>
        <v/>
      </c>
      <c r="AT174" s="369" t="str">
        <f ca="1">IF($B174&lt;&gt;"PRC_RESID","",IF(AT$7=2005+OFFSET(COM_N_2012!$B$60,$AW174,SUMIF($B$10:$B$16,"NCAP_TLIFE",$AX$10:$AX$16)),0,""))</f>
        <v/>
      </c>
      <c r="AU174" s="369" t="str">
        <f ca="1">IF($B174&lt;&gt;"PRC_RESID","",IF(AU$7=2005+OFFSET(COM_N_2012!$B$60,$AW174,SUMIF($B$10:$B$16,"NCAP_TLIFE",$AX$10:$AX$16)),0,""))</f>
        <v/>
      </c>
      <c r="AV174" s="304">
        <f>IF(AW173=COM_N_2012!$AK$121,AV173+1,AV173)</f>
        <v>3</v>
      </c>
      <c r="AW174" s="304">
        <f t="shared" si="20"/>
        <v>35</v>
      </c>
    </row>
    <row r="175" spans="1:49">
      <c r="A175" s="304" t="str">
        <f ca="1">IF(LEFT(OFFSET(COM_N_2012!$A$60,AW175,0),2)="\I","*","")</f>
        <v/>
      </c>
      <c r="B175" s="369" t="str">
        <f t="shared" ca="1" si="19"/>
        <v>NCAP_TLIFE</v>
      </c>
      <c r="C175" s="369" t="str">
        <f ca="1">IF($A175="*","",OFFSET(COM_N_2012!$B$60,AW175,0))</f>
        <v>CNWGAS-E</v>
      </c>
      <c r="D175" s="369" t="str">
        <f t="shared" ca="1" si="23"/>
        <v>-</v>
      </c>
      <c r="E175" s="369" t="str">
        <f t="shared" ca="1" si="23"/>
        <v>-</v>
      </c>
      <c r="F175" s="369" t="str">
        <f t="shared" ca="1" si="23"/>
        <v>-</v>
      </c>
      <c r="G175" s="369" t="str">
        <f t="shared" ca="1" si="23"/>
        <v>-</v>
      </c>
      <c r="H175" s="369" t="str">
        <f t="shared" ca="1" si="23"/>
        <v>-</v>
      </c>
      <c r="I175" s="370">
        <f t="shared" ca="1" si="23"/>
        <v>0</v>
      </c>
      <c r="J175" s="391">
        <f ca="1">IF($A175="*","",OFFSET(COM_N_2012!$B$60,AW175,SUMIF($B$10:$B$16,B175,$AX$10:$AX$16)))</f>
        <v>12</v>
      </c>
      <c r="K175" s="369" t="str">
        <f ca="1">IF($B175&lt;&gt;"PRC_RESID","",IF(K$7=2005+OFFSET(COM_N_2012!$B$60,$AW175,SUMIF($B$10:$B$16,"NCAP_TLIFE",$AX$10:$AX$16)),0,""))</f>
        <v/>
      </c>
      <c r="L175" s="369" t="str">
        <f ca="1">IF($B175&lt;&gt;"PRC_RESID","",IF(L$7=2005+OFFSET(COM_N_2012!$B$60,$AW175,SUMIF($B$10:$B$16,"NCAP_TLIFE",$AX$10:$AX$16)),0,""))</f>
        <v/>
      </c>
      <c r="M175" s="369" t="str">
        <f ca="1">IF($B175&lt;&gt;"PRC_RESID","",IF(M$7=2005+OFFSET(COM_N_2012!$B$60,$AW175,SUMIF($B$10:$B$16,"NCAP_TLIFE",$AX$10:$AX$16)),0,""))</f>
        <v/>
      </c>
      <c r="N175" s="369" t="str">
        <f ca="1">IF($B175&lt;&gt;"PRC_RESID","",IF(N$7=2005+OFFSET(COM_N_2012!$B$60,$AW175,SUMIF($B$10:$B$16,"NCAP_TLIFE",$AX$10:$AX$16)),0,""))</f>
        <v/>
      </c>
      <c r="O175" s="369" t="str">
        <f ca="1">IF($B175&lt;&gt;"PRC_RESID","",IF(O$7=2005+OFFSET(COM_N_2012!$B$60,$AW175,SUMIF($B$10:$B$16,"NCAP_TLIFE",$AX$10:$AX$16)),0,""))</f>
        <v/>
      </c>
      <c r="P175" s="369" t="str">
        <f ca="1">IF($B175&lt;&gt;"PRC_RESID","",IF(P$7=2005+OFFSET(COM_N_2012!$B$60,$AW175,SUMIF($B$10:$B$16,"NCAP_TLIFE",$AX$10:$AX$16)),0,""))</f>
        <v/>
      </c>
      <c r="Q175" s="369" t="str">
        <f ca="1">IF($B175&lt;&gt;"PRC_RESID","",IF(Q$7=2005+OFFSET(COM_N_2012!$B$60,$AW175,SUMIF($B$10:$B$16,"NCAP_TLIFE",$AX$10:$AX$16)),0,""))</f>
        <v/>
      </c>
      <c r="R175" s="369" t="str">
        <f ca="1">IF($B175&lt;&gt;"PRC_RESID","",IF(R$7=2005+OFFSET(COM_N_2012!$B$60,$AW175,SUMIF($B$10:$B$16,"NCAP_TLIFE",$AX$10:$AX$16)),0,""))</f>
        <v/>
      </c>
      <c r="S175" s="369" t="str">
        <f ca="1">IF($B175&lt;&gt;"PRC_RESID","",IF(S$7=2005+OFFSET(COM_N_2012!$B$60,$AW175,SUMIF($B$10:$B$16,"NCAP_TLIFE",$AX$10:$AX$16)),0,""))</f>
        <v/>
      </c>
      <c r="T175" s="369" t="str">
        <f ca="1">IF($B175&lt;&gt;"PRC_RESID","",IF(T$7=2005+OFFSET(COM_N_2012!$B$60,$AW175,SUMIF($B$10:$B$16,"NCAP_TLIFE",$AX$10:$AX$16)),0,""))</f>
        <v/>
      </c>
      <c r="U175" s="369" t="str">
        <f ca="1">IF($B175&lt;&gt;"PRC_RESID","",IF(U$7=2005+OFFSET(COM_N_2012!$B$60,$AW175,SUMIF($B$10:$B$16,"NCAP_TLIFE",$AX$10:$AX$16)),0,""))</f>
        <v/>
      </c>
      <c r="V175" s="369" t="str">
        <f ca="1">IF($B175&lt;&gt;"PRC_RESID","",IF(V$7=2005+OFFSET(COM_N_2012!$B$60,$AW175,SUMIF($B$10:$B$16,"NCAP_TLIFE",$AX$10:$AX$16)),0,""))</f>
        <v/>
      </c>
      <c r="W175" s="369" t="str">
        <f ca="1">IF($B175&lt;&gt;"PRC_RESID","",IF(W$7=2005+OFFSET(COM_N_2012!$B$60,$AW175,SUMIF($B$10:$B$16,"NCAP_TLIFE",$AX$10:$AX$16)),0,""))</f>
        <v/>
      </c>
      <c r="X175" s="369" t="str">
        <f ca="1">IF($B175&lt;&gt;"PRC_RESID","",IF(X$7=2005+OFFSET(COM_N_2012!$B$60,$AW175,SUMIF($B$10:$B$16,"NCAP_TLIFE",$AX$10:$AX$16)),0,""))</f>
        <v/>
      </c>
      <c r="Y175" s="369" t="str">
        <f ca="1">IF($B175&lt;&gt;"PRC_RESID","",IF(Y$7=2005+OFFSET(COM_N_2012!$B$60,$AW175,SUMIF($B$10:$B$16,"NCAP_TLIFE",$AX$10:$AX$16)),0,""))</f>
        <v/>
      </c>
      <c r="Z175" s="369" t="str">
        <f ca="1">IF($B175&lt;&gt;"PRC_RESID","",IF(Z$7=2005+OFFSET(COM_N_2012!$B$60,$AW175,SUMIF($B$10:$B$16,"NCAP_TLIFE",$AX$10:$AX$16)),0,""))</f>
        <v/>
      </c>
      <c r="AA175" s="369" t="str">
        <f ca="1">IF($B175&lt;&gt;"PRC_RESID","",IF(AA$7=2005+OFFSET(COM_N_2012!$B$60,$AW175,SUMIF($B$10:$B$16,"NCAP_TLIFE",$AX$10:$AX$16)),0,""))</f>
        <v/>
      </c>
      <c r="AB175" s="369" t="str">
        <f ca="1">IF($B175&lt;&gt;"PRC_RESID","",IF(AB$7=2005+OFFSET(COM_N_2012!$B$60,$AW175,SUMIF($B$10:$B$16,"NCAP_TLIFE",$AX$10:$AX$16)),0,""))</f>
        <v/>
      </c>
      <c r="AC175" s="369" t="str">
        <f ca="1">IF($B175&lt;&gt;"PRC_RESID","",IF(AC$7=2005+OFFSET(COM_N_2012!$B$60,$AW175,SUMIF($B$10:$B$16,"NCAP_TLIFE",$AX$10:$AX$16)),0,""))</f>
        <v/>
      </c>
      <c r="AD175" s="369" t="str">
        <f ca="1">IF($B175&lt;&gt;"PRC_RESID","",IF(AD$7=2005+OFFSET(COM_N_2012!$B$60,$AW175,SUMIF($B$10:$B$16,"NCAP_TLIFE",$AX$10:$AX$16)),0,""))</f>
        <v/>
      </c>
      <c r="AE175" s="369" t="str">
        <f ca="1">IF($B175&lt;&gt;"PRC_RESID","",IF(AE$7=2005+OFFSET(COM_N_2012!$B$60,$AW175,SUMIF($B$10:$B$16,"NCAP_TLIFE",$AX$10:$AX$16)),0,""))</f>
        <v/>
      </c>
      <c r="AF175" s="369" t="str">
        <f ca="1">IF($B175&lt;&gt;"PRC_RESID","",IF(AF$7=2005+OFFSET(COM_N_2012!$B$60,$AW175,SUMIF($B$10:$B$16,"NCAP_TLIFE",$AX$10:$AX$16)),0,""))</f>
        <v/>
      </c>
      <c r="AG175" s="369" t="str">
        <f ca="1">IF($B175&lt;&gt;"PRC_RESID","",IF(AG$7=2005+OFFSET(COM_N_2012!$B$60,$AW175,SUMIF($B$10:$B$16,"NCAP_TLIFE",$AX$10:$AX$16)),0,""))</f>
        <v/>
      </c>
      <c r="AH175" s="369" t="str">
        <f ca="1">IF($B175&lt;&gt;"PRC_RESID","",IF(AH$7=2005+OFFSET(COM_N_2012!$B$60,$AW175,SUMIF($B$10:$B$16,"NCAP_TLIFE",$AX$10:$AX$16)),0,""))</f>
        <v/>
      </c>
      <c r="AI175" s="369" t="str">
        <f ca="1">IF($B175&lt;&gt;"PRC_RESID","",IF(AI$7=2005+OFFSET(COM_N_2012!$B$60,$AW175,SUMIF($B$10:$B$16,"NCAP_TLIFE",$AX$10:$AX$16)),0,""))</f>
        <v/>
      </c>
      <c r="AJ175" s="369" t="str">
        <f ca="1">IF($B175&lt;&gt;"PRC_RESID","",IF(AJ$7=2005+OFFSET(COM_N_2012!$B$60,$AW175,SUMIF($B$10:$B$16,"NCAP_TLIFE",$AX$10:$AX$16)),0,""))</f>
        <v/>
      </c>
      <c r="AK175" s="369" t="str">
        <f ca="1">IF($B175&lt;&gt;"PRC_RESID","",IF(AK$7=2005+OFFSET(COM_N_2012!$B$60,$AW175,SUMIF($B$10:$B$16,"NCAP_TLIFE",$AX$10:$AX$16)),0,""))</f>
        <v/>
      </c>
      <c r="AL175" s="369" t="str">
        <f ca="1">IF($B175&lt;&gt;"PRC_RESID","",IF(AL$7=2005+OFFSET(COM_N_2012!$B$60,$AW175,SUMIF($B$10:$B$16,"NCAP_TLIFE",$AX$10:$AX$16)),0,""))</f>
        <v/>
      </c>
      <c r="AM175" s="369" t="str">
        <f ca="1">IF($B175&lt;&gt;"PRC_RESID","",IF(AM$7=2005+OFFSET(COM_N_2012!$B$60,$AW175,SUMIF($B$10:$B$16,"NCAP_TLIFE",$AX$10:$AX$16)),0,""))</f>
        <v/>
      </c>
      <c r="AN175" s="369" t="str">
        <f ca="1">IF($B175&lt;&gt;"PRC_RESID","",IF(AN$7=2005+OFFSET(COM_N_2012!$B$60,$AW175,SUMIF($B$10:$B$16,"NCAP_TLIFE",$AX$10:$AX$16)),0,""))</f>
        <v/>
      </c>
      <c r="AO175" s="369" t="str">
        <f ca="1">IF($B175&lt;&gt;"PRC_RESID","",IF(AO$7=2005+OFFSET(COM_N_2012!$B$60,$AW175,SUMIF($B$10:$B$16,"NCAP_TLIFE",$AX$10:$AX$16)),0,""))</f>
        <v/>
      </c>
      <c r="AP175" s="369" t="str">
        <f ca="1">IF($B175&lt;&gt;"PRC_RESID","",IF(AP$7=2005+OFFSET(COM_N_2012!$B$60,$AW175,SUMIF($B$10:$B$16,"NCAP_TLIFE",$AX$10:$AX$16)),0,""))</f>
        <v/>
      </c>
      <c r="AQ175" s="369" t="str">
        <f ca="1">IF($B175&lt;&gt;"PRC_RESID","",IF(AQ$7=2005+OFFSET(COM_N_2012!$B$60,$AW175,SUMIF($B$10:$B$16,"NCAP_TLIFE",$AX$10:$AX$16)),0,""))</f>
        <v/>
      </c>
      <c r="AR175" s="369" t="str">
        <f ca="1">IF($B175&lt;&gt;"PRC_RESID","",IF(AR$7=2005+OFFSET(COM_N_2012!$B$60,$AW175,SUMIF($B$10:$B$16,"NCAP_TLIFE",$AX$10:$AX$16)),0,""))</f>
        <v/>
      </c>
      <c r="AS175" s="369" t="str">
        <f ca="1">IF($B175&lt;&gt;"PRC_RESID","",IF(AS$7=2005+OFFSET(COM_N_2012!$B$60,$AW175,SUMIF($B$10:$B$16,"NCAP_TLIFE",$AX$10:$AX$16)),0,""))</f>
        <v/>
      </c>
      <c r="AT175" s="369" t="str">
        <f ca="1">IF($B175&lt;&gt;"PRC_RESID","",IF(AT$7=2005+OFFSET(COM_N_2012!$B$60,$AW175,SUMIF($B$10:$B$16,"NCAP_TLIFE",$AX$10:$AX$16)),0,""))</f>
        <v/>
      </c>
      <c r="AU175" s="369" t="str">
        <f ca="1">IF($B175&lt;&gt;"PRC_RESID","",IF(AU$7=2005+OFFSET(COM_N_2012!$B$60,$AW175,SUMIF($B$10:$B$16,"NCAP_TLIFE",$AX$10:$AX$16)),0,""))</f>
        <v/>
      </c>
      <c r="AV175" s="304">
        <f>IF(AW174=COM_N_2012!$AK$121,AV174+1,AV174)</f>
        <v>3</v>
      </c>
      <c r="AW175" s="304">
        <f t="shared" si="20"/>
        <v>36</v>
      </c>
    </row>
    <row r="176" spans="1:49">
      <c r="A176" s="304" t="str">
        <f ca="1">IF(LEFT(OFFSET(COM_N_2012!$A$60,AW176,0),2)="\I","*","")</f>
        <v/>
      </c>
      <c r="B176" s="369" t="str">
        <f t="shared" ca="1" si="19"/>
        <v>NCAP_TLIFE</v>
      </c>
      <c r="C176" s="369" t="str">
        <f ca="1">IF($A176="*","",OFFSET(COM_N_2012!$B$60,AW176,0))</f>
        <v>CNWOKE-E</v>
      </c>
      <c r="D176" s="369" t="str">
        <f t="shared" ca="1" si="23"/>
        <v>-</v>
      </c>
      <c r="E176" s="369" t="str">
        <f t="shared" ca="1" si="23"/>
        <v>-</v>
      </c>
      <c r="F176" s="369" t="str">
        <f t="shared" ca="1" si="23"/>
        <v>-</v>
      </c>
      <c r="G176" s="369" t="str">
        <f t="shared" ca="1" si="23"/>
        <v>-</v>
      </c>
      <c r="H176" s="369" t="str">
        <f t="shared" ca="1" si="23"/>
        <v>-</v>
      </c>
      <c r="I176" s="370">
        <f t="shared" ca="1" si="23"/>
        <v>0</v>
      </c>
      <c r="J176" s="391">
        <f ca="1">IF($A176="*","",OFFSET(COM_N_2012!$B$60,AW176,SUMIF($B$10:$B$16,B176,$AX$10:$AX$16)))</f>
        <v>12</v>
      </c>
      <c r="K176" s="369" t="str">
        <f ca="1">IF($B176&lt;&gt;"PRC_RESID","",IF(K$7=2005+OFFSET(COM_N_2012!$B$60,$AW176,SUMIF($B$10:$B$16,"NCAP_TLIFE",$AX$10:$AX$16)),0,""))</f>
        <v/>
      </c>
      <c r="L176" s="369" t="str">
        <f ca="1">IF($B176&lt;&gt;"PRC_RESID","",IF(L$7=2005+OFFSET(COM_N_2012!$B$60,$AW176,SUMIF($B$10:$B$16,"NCAP_TLIFE",$AX$10:$AX$16)),0,""))</f>
        <v/>
      </c>
      <c r="M176" s="369" t="str">
        <f ca="1">IF($B176&lt;&gt;"PRC_RESID","",IF(M$7=2005+OFFSET(COM_N_2012!$B$60,$AW176,SUMIF($B$10:$B$16,"NCAP_TLIFE",$AX$10:$AX$16)),0,""))</f>
        <v/>
      </c>
      <c r="N176" s="369" t="str">
        <f ca="1">IF($B176&lt;&gt;"PRC_RESID","",IF(N$7=2005+OFFSET(COM_N_2012!$B$60,$AW176,SUMIF($B$10:$B$16,"NCAP_TLIFE",$AX$10:$AX$16)),0,""))</f>
        <v/>
      </c>
      <c r="O176" s="369" t="str">
        <f ca="1">IF($B176&lt;&gt;"PRC_RESID","",IF(O$7=2005+OFFSET(COM_N_2012!$B$60,$AW176,SUMIF($B$10:$B$16,"NCAP_TLIFE",$AX$10:$AX$16)),0,""))</f>
        <v/>
      </c>
      <c r="P176" s="369" t="str">
        <f ca="1">IF($B176&lt;&gt;"PRC_RESID","",IF(P$7=2005+OFFSET(COM_N_2012!$B$60,$AW176,SUMIF($B$10:$B$16,"NCAP_TLIFE",$AX$10:$AX$16)),0,""))</f>
        <v/>
      </c>
      <c r="Q176" s="369" t="str">
        <f ca="1">IF($B176&lt;&gt;"PRC_RESID","",IF(Q$7=2005+OFFSET(COM_N_2012!$B$60,$AW176,SUMIF($B$10:$B$16,"NCAP_TLIFE",$AX$10:$AX$16)),0,""))</f>
        <v/>
      </c>
      <c r="R176" s="369" t="str">
        <f ca="1">IF($B176&lt;&gt;"PRC_RESID","",IF(R$7=2005+OFFSET(COM_N_2012!$B$60,$AW176,SUMIF($B$10:$B$16,"NCAP_TLIFE",$AX$10:$AX$16)),0,""))</f>
        <v/>
      </c>
      <c r="S176" s="369" t="str">
        <f ca="1">IF($B176&lt;&gt;"PRC_RESID","",IF(S$7=2005+OFFSET(COM_N_2012!$B$60,$AW176,SUMIF($B$10:$B$16,"NCAP_TLIFE",$AX$10:$AX$16)),0,""))</f>
        <v/>
      </c>
      <c r="T176" s="369" t="str">
        <f ca="1">IF($B176&lt;&gt;"PRC_RESID","",IF(T$7=2005+OFFSET(COM_N_2012!$B$60,$AW176,SUMIF($B$10:$B$16,"NCAP_TLIFE",$AX$10:$AX$16)),0,""))</f>
        <v/>
      </c>
      <c r="U176" s="369" t="str">
        <f ca="1">IF($B176&lt;&gt;"PRC_RESID","",IF(U$7=2005+OFFSET(COM_N_2012!$B$60,$AW176,SUMIF($B$10:$B$16,"NCAP_TLIFE",$AX$10:$AX$16)),0,""))</f>
        <v/>
      </c>
      <c r="V176" s="369" t="str">
        <f ca="1">IF($B176&lt;&gt;"PRC_RESID","",IF(V$7=2005+OFFSET(COM_N_2012!$B$60,$AW176,SUMIF($B$10:$B$16,"NCAP_TLIFE",$AX$10:$AX$16)),0,""))</f>
        <v/>
      </c>
      <c r="W176" s="369" t="str">
        <f ca="1">IF($B176&lt;&gt;"PRC_RESID","",IF(W$7=2005+OFFSET(COM_N_2012!$B$60,$AW176,SUMIF($B$10:$B$16,"NCAP_TLIFE",$AX$10:$AX$16)),0,""))</f>
        <v/>
      </c>
      <c r="X176" s="369" t="str">
        <f ca="1">IF($B176&lt;&gt;"PRC_RESID","",IF(X$7=2005+OFFSET(COM_N_2012!$B$60,$AW176,SUMIF($B$10:$B$16,"NCAP_TLIFE",$AX$10:$AX$16)),0,""))</f>
        <v/>
      </c>
      <c r="Y176" s="369" t="str">
        <f ca="1">IF($B176&lt;&gt;"PRC_RESID","",IF(Y$7=2005+OFFSET(COM_N_2012!$B$60,$AW176,SUMIF($B$10:$B$16,"NCAP_TLIFE",$AX$10:$AX$16)),0,""))</f>
        <v/>
      </c>
      <c r="Z176" s="369" t="str">
        <f ca="1">IF($B176&lt;&gt;"PRC_RESID","",IF(Z$7=2005+OFFSET(COM_N_2012!$B$60,$AW176,SUMIF($B$10:$B$16,"NCAP_TLIFE",$AX$10:$AX$16)),0,""))</f>
        <v/>
      </c>
      <c r="AA176" s="369" t="str">
        <f ca="1">IF($B176&lt;&gt;"PRC_RESID","",IF(AA$7=2005+OFFSET(COM_N_2012!$B$60,$AW176,SUMIF($B$10:$B$16,"NCAP_TLIFE",$AX$10:$AX$16)),0,""))</f>
        <v/>
      </c>
      <c r="AB176" s="369" t="str">
        <f ca="1">IF($B176&lt;&gt;"PRC_RESID","",IF(AB$7=2005+OFFSET(COM_N_2012!$B$60,$AW176,SUMIF($B$10:$B$16,"NCAP_TLIFE",$AX$10:$AX$16)),0,""))</f>
        <v/>
      </c>
      <c r="AC176" s="369" t="str">
        <f ca="1">IF($B176&lt;&gt;"PRC_RESID","",IF(AC$7=2005+OFFSET(COM_N_2012!$B$60,$AW176,SUMIF($B$10:$B$16,"NCAP_TLIFE",$AX$10:$AX$16)),0,""))</f>
        <v/>
      </c>
      <c r="AD176" s="369" t="str">
        <f ca="1">IF($B176&lt;&gt;"PRC_RESID","",IF(AD$7=2005+OFFSET(COM_N_2012!$B$60,$AW176,SUMIF($B$10:$B$16,"NCAP_TLIFE",$AX$10:$AX$16)),0,""))</f>
        <v/>
      </c>
      <c r="AE176" s="369" t="str">
        <f ca="1">IF($B176&lt;&gt;"PRC_RESID","",IF(AE$7=2005+OFFSET(COM_N_2012!$B$60,$AW176,SUMIF($B$10:$B$16,"NCAP_TLIFE",$AX$10:$AX$16)),0,""))</f>
        <v/>
      </c>
      <c r="AF176" s="369" t="str">
        <f ca="1">IF($B176&lt;&gt;"PRC_RESID","",IF(AF$7=2005+OFFSET(COM_N_2012!$B$60,$AW176,SUMIF($B$10:$B$16,"NCAP_TLIFE",$AX$10:$AX$16)),0,""))</f>
        <v/>
      </c>
      <c r="AG176" s="369" t="str">
        <f ca="1">IF($B176&lt;&gt;"PRC_RESID","",IF(AG$7=2005+OFFSET(COM_N_2012!$B$60,$AW176,SUMIF($B$10:$B$16,"NCAP_TLIFE",$AX$10:$AX$16)),0,""))</f>
        <v/>
      </c>
      <c r="AH176" s="369" t="str">
        <f ca="1">IF($B176&lt;&gt;"PRC_RESID","",IF(AH$7=2005+OFFSET(COM_N_2012!$B$60,$AW176,SUMIF($B$10:$B$16,"NCAP_TLIFE",$AX$10:$AX$16)),0,""))</f>
        <v/>
      </c>
      <c r="AI176" s="369" t="str">
        <f ca="1">IF($B176&lt;&gt;"PRC_RESID","",IF(AI$7=2005+OFFSET(COM_N_2012!$B$60,$AW176,SUMIF($B$10:$B$16,"NCAP_TLIFE",$AX$10:$AX$16)),0,""))</f>
        <v/>
      </c>
      <c r="AJ176" s="369" t="str">
        <f ca="1">IF($B176&lt;&gt;"PRC_RESID","",IF(AJ$7=2005+OFFSET(COM_N_2012!$B$60,$AW176,SUMIF($B$10:$B$16,"NCAP_TLIFE",$AX$10:$AX$16)),0,""))</f>
        <v/>
      </c>
      <c r="AK176" s="369" t="str">
        <f ca="1">IF($B176&lt;&gt;"PRC_RESID","",IF(AK$7=2005+OFFSET(COM_N_2012!$B$60,$AW176,SUMIF($B$10:$B$16,"NCAP_TLIFE",$AX$10:$AX$16)),0,""))</f>
        <v/>
      </c>
      <c r="AL176" s="369" t="str">
        <f ca="1">IF($B176&lt;&gt;"PRC_RESID","",IF(AL$7=2005+OFFSET(COM_N_2012!$B$60,$AW176,SUMIF($B$10:$B$16,"NCAP_TLIFE",$AX$10:$AX$16)),0,""))</f>
        <v/>
      </c>
      <c r="AM176" s="369" t="str">
        <f ca="1">IF($B176&lt;&gt;"PRC_RESID","",IF(AM$7=2005+OFFSET(COM_N_2012!$B$60,$AW176,SUMIF($B$10:$B$16,"NCAP_TLIFE",$AX$10:$AX$16)),0,""))</f>
        <v/>
      </c>
      <c r="AN176" s="369" t="str">
        <f ca="1">IF($B176&lt;&gt;"PRC_RESID","",IF(AN$7=2005+OFFSET(COM_N_2012!$B$60,$AW176,SUMIF($B$10:$B$16,"NCAP_TLIFE",$AX$10:$AX$16)),0,""))</f>
        <v/>
      </c>
      <c r="AO176" s="369" t="str">
        <f ca="1">IF($B176&lt;&gt;"PRC_RESID","",IF(AO$7=2005+OFFSET(COM_N_2012!$B$60,$AW176,SUMIF($B$10:$B$16,"NCAP_TLIFE",$AX$10:$AX$16)),0,""))</f>
        <v/>
      </c>
      <c r="AP176" s="369" t="str">
        <f ca="1">IF($B176&lt;&gt;"PRC_RESID","",IF(AP$7=2005+OFFSET(COM_N_2012!$B$60,$AW176,SUMIF($B$10:$B$16,"NCAP_TLIFE",$AX$10:$AX$16)),0,""))</f>
        <v/>
      </c>
      <c r="AQ176" s="369" t="str">
        <f ca="1">IF($B176&lt;&gt;"PRC_RESID","",IF(AQ$7=2005+OFFSET(COM_N_2012!$B$60,$AW176,SUMIF($B$10:$B$16,"NCAP_TLIFE",$AX$10:$AX$16)),0,""))</f>
        <v/>
      </c>
      <c r="AR176" s="369" t="str">
        <f ca="1">IF($B176&lt;&gt;"PRC_RESID","",IF(AR$7=2005+OFFSET(COM_N_2012!$B$60,$AW176,SUMIF($B$10:$B$16,"NCAP_TLIFE",$AX$10:$AX$16)),0,""))</f>
        <v/>
      </c>
      <c r="AS176" s="369" t="str">
        <f ca="1">IF($B176&lt;&gt;"PRC_RESID","",IF(AS$7=2005+OFFSET(COM_N_2012!$B$60,$AW176,SUMIF($B$10:$B$16,"NCAP_TLIFE",$AX$10:$AX$16)),0,""))</f>
        <v/>
      </c>
      <c r="AT176" s="369" t="str">
        <f ca="1">IF($B176&lt;&gt;"PRC_RESID","",IF(AT$7=2005+OFFSET(COM_N_2012!$B$60,$AW176,SUMIF($B$10:$B$16,"NCAP_TLIFE",$AX$10:$AX$16)),0,""))</f>
        <v/>
      </c>
      <c r="AU176" s="369" t="str">
        <f ca="1">IF($B176&lt;&gt;"PRC_RESID","",IF(AU$7=2005+OFFSET(COM_N_2012!$B$60,$AW176,SUMIF($B$10:$B$16,"NCAP_TLIFE",$AX$10:$AX$16)),0,""))</f>
        <v/>
      </c>
      <c r="AV176" s="304">
        <f>IF(AW175=COM_N_2012!$AK$121,AV175+1,AV175)</f>
        <v>3</v>
      </c>
      <c r="AW176" s="304">
        <f t="shared" si="20"/>
        <v>37</v>
      </c>
    </row>
    <row r="177" spans="1:49">
      <c r="A177" s="304" t="str">
        <f ca="1">IF(LEFT(OFFSET(COM_N_2012!$A$60,AW177,0),2)="\I","*","")</f>
        <v/>
      </c>
      <c r="B177" s="369" t="str">
        <f t="shared" ca="1" si="19"/>
        <v>NCAP_TLIFE</v>
      </c>
      <c r="C177" s="369" t="str">
        <f ca="1">IF($A177="*","",OFFSET(COM_N_2012!$B$60,AW177,0))</f>
        <v>CNWELC-N</v>
      </c>
      <c r="D177" s="369" t="str">
        <f t="shared" ca="1" si="23"/>
        <v>-</v>
      </c>
      <c r="E177" s="369" t="str">
        <f t="shared" ca="1" si="23"/>
        <v>-</v>
      </c>
      <c r="F177" s="369" t="str">
        <f t="shared" ca="1" si="23"/>
        <v>-</v>
      </c>
      <c r="G177" s="369" t="str">
        <f t="shared" ca="1" si="23"/>
        <v>-</v>
      </c>
      <c r="H177" s="369" t="str">
        <f t="shared" ca="1" si="23"/>
        <v>-</v>
      </c>
      <c r="I177" s="370">
        <f t="shared" ca="1" si="23"/>
        <v>0</v>
      </c>
      <c r="J177" s="391">
        <f ca="1">IF($A177="*","",OFFSET(COM_N_2012!$B$60,AW177,SUMIF($B$10:$B$16,B177,$AX$10:$AX$16)))</f>
        <v>14</v>
      </c>
      <c r="K177" s="369" t="str">
        <f ca="1">IF($B177&lt;&gt;"PRC_RESID","",IF(K$7=2005+OFFSET(COM_N_2012!$B$60,$AW177,SUMIF($B$10:$B$16,"NCAP_TLIFE",$AX$10:$AX$16)),0,""))</f>
        <v/>
      </c>
      <c r="L177" s="369" t="str">
        <f ca="1">IF($B177&lt;&gt;"PRC_RESID","",IF(L$7=2005+OFFSET(COM_N_2012!$B$60,$AW177,SUMIF($B$10:$B$16,"NCAP_TLIFE",$AX$10:$AX$16)),0,""))</f>
        <v/>
      </c>
      <c r="M177" s="369" t="str">
        <f ca="1">IF($B177&lt;&gt;"PRC_RESID","",IF(M$7=2005+OFFSET(COM_N_2012!$B$60,$AW177,SUMIF($B$10:$B$16,"NCAP_TLIFE",$AX$10:$AX$16)),0,""))</f>
        <v/>
      </c>
      <c r="N177" s="369" t="str">
        <f ca="1">IF($B177&lt;&gt;"PRC_RESID","",IF(N$7=2005+OFFSET(COM_N_2012!$B$60,$AW177,SUMIF($B$10:$B$16,"NCAP_TLIFE",$AX$10:$AX$16)),0,""))</f>
        <v/>
      </c>
      <c r="O177" s="369" t="str">
        <f ca="1">IF($B177&lt;&gt;"PRC_RESID","",IF(O$7=2005+OFFSET(COM_N_2012!$B$60,$AW177,SUMIF($B$10:$B$16,"NCAP_TLIFE",$AX$10:$AX$16)),0,""))</f>
        <v/>
      </c>
      <c r="P177" s="369" t="str">
        <f ca="1">IF($B177&lt;&gt;"PRC_RESID","",IF(P$7=2005+OFFSET(COM_N_2012!$B$60,$AW177,SUMIF($B$10:$B$16,"NCAP_TLIFE",$AX$10:$AX$16)),0,""))</f>
        <v/>
      </c>
      <c r="Q177" s="369" t="str">
        <f ca="1">IF($B177&lt;&gt;"PRC_RESID","",IF(Q$7=2005+OFFSET(COM_N_2012!$B$60,$AW177,SUMIF($B$10:$B$16,"NCAP_TLIFE",$AX$10:$AX$16)),0,""))</f>
        <v/>
      </c>
      <c r="R177" s="369" t="str">
        <f ca="1">IF($B177&lt;&gt;"PRC_RESID","",IF(R$7=2005+OFFSET(COM_N_2012!$B$60,$AW177,SUMIF($B$10:$B$16,"NCAP_TLIFE",$AX$10:$AX$16)),0,""))</f>
        <v/>
      </c>
      <c r="S177" s="369" t="str">
        <f ca="1">IF($B177&lt;&gt;"PRC_RESID","",IF(S$7=2005+OFFSET(COM_N_2012!$B$60,$AW177,SUMIF($B$10:$B$16,"NCAP_TLIFE",$AX$10:$AX$16)),0,""))</f>
        <v/>
      </c>
      <c r="T177" s="369" t="str">
        <f ca="1">IF($B177&lt;&gt;"PRC_RESID","",IF(T$7=2005+OFFSET(COM_N_2012!$B$60,$AW177,SUMIF($B$10:$B$16,"NCAP_TLIFE",$AX$10:$AX$16)),0,""))</f>
        <v/>
      </c>
      <c r="U177" s="369" t="str">
        <f ca="1">IF($B177&lt;&gt;"PRC_RESID","",IF(U$7=2005+OFFSET(COM_N_2012!$B$60,$AW177,SUMIF($B$10:$B$16,"NCAP_TLIFE",$AX$10:$AX$16)),0,""))</f>
        <v/>
      </c>
      <c r="V177" s="369" t="str">
        <f ca="1">IF($B177&lt;&gt;"PRC_RESID","",IF(V$7=2005+OFFSET(COM_N_2012!$B$60,$AW177,SUMIF($B$10:$B$16,"NCAP_TLIFE",$AX$10:$AX$16)),0,""))</f>
        <v/>
      </c>
      <c r="W177" s="369" t="str">
        <f ca="1">IF($B177&lt;&gt;"PRC_RESID","",IF(W$7=2005+OFFSET(COM_N_2012!$B$60,$AW177,SUMIF($B$10:$B$16,"NCAP_TLIFE",$AX$10:$AX$16)),0,""))</f>
        <v/>
      </c>
      <c r="X177" s="369" t="str">
        <f ca="1">IF($B177&lt;&gt;"PRC_RESID","",IF(X$7=2005+OFFSET(COM_N_2012!$B$60,$AW177,SUMIF($B$10:$B$16,"NCAP_TLIFE",$AX$10:$AX$16)),0,""))</f>
        <v/>
      </c>
      <c r="Y177" s="369" t="str">
        <f ca="1">IF($B177&lt;&gt;"PRC_RESID","",IF(Y$7=2005+OFFSET(COM_N_2012!$B$60,$AW177,SUMIF($B$10:$B$16,"NCAP_TLIFE",$AX$10:$AX$16)),0,""))</f>
        <v/>
      </c>
      <c r="Z177" s="369" t="str">
        <f ca="1">IF($B177&lt;&gt;"PRC_RESID","",IF(Z$7=2005+OFFSET(COM_N_2012!$B$60,$AW177,SUMIF($B$10:$B$16,"NCAP_TLIFE",$AX$10:$AX$16)),0,""))</f>
        <v/>
      </c>
      <c r="AA177" s="369" t="str">
        <f ca="1">IF($B177&lt;&gt;"PRC_RESID","",IF(AA$7=2005+OFFSET(COM_N_2012!$B$60,$AW177,SUMIF($B$10:$B$16,"NCAP_TLIFE",$AX$10:$AX$16)),0,""))</f>
        <v/>
      </c>
      <c r="AB177" s="369" t="str">
        <f ca="1">IF($B177&lt;&gt;"PRC_RESID","",IF(AB$7=2005+OFFSET(COM_N_2012!$B$60,$AW177,SUMIF($B$10:$B$16,"NCAP_TLIFE",$AX$10:$AX$16)),0,""))</f>
        <v/>
      </c>
      <c r="AC177" s="369" t="str">
        <f ca="1">IF($B177&lt;&gt;"PRC_RESID","",IF(AC$7=2005+OFFSET(COM_N_2012!$B$60,$AW177,SUMIF($B$10:$B$16,"NCAP_TLIFE",$AX$10:$AX$16)),0,""))</f>
        <v/>
      </c>
      <c r="AD177" s="369" t="str">
        <f ca="1">IF($B177&lt;&gt;"PRC_RESID","",IF(AD$7=2005+OFFSET(COM_N_2012!$B$60,$AW177,SUMIF($B$10:$B$16,"NCAP_TLIFE",$AX$10:$AX$16)),0,""))</f>
        <v/>
      </c>
      <c r="AE177" s="369" t="str">
        <f ca="1">IF($B177&lt;&gt;"PRC_RESID","",IF(AE$7=2005+OFFSET(COM_N_2012!$B$60,$AW177,SUMIF($B$10:$B$16,"NCAP_TLIFE",$AX$10:$AX$16)),0,""))</f>
        <v/>
      </c>
      <c r="AF177" s="369" t="str">
        <f ca="1">IF($B177&lt;&gt;"PRC_RESID","",IF(AF$7=2005+OFFSET(COM_N_2012!$B$60,$AW177,SUMIF($B$10:$B$16,"NCAP_TLIFE",$AX$10:$AX$16)),0,""))</f>
        <v/>
      </c>
      <c r="AG177" s="369" t="str">
        <f ca="1">IF($B177&lt;&gt;"PRC_RESID","",IF(AG$7=2005+OFFSET(COM_N_2012!$B$60,$AW177,SUMIF($B$10:$B$16,"NCAP_TLIFE",$AX$10:$AX$16)),0,""))</f>
        <v/>
      </c>
      <c r="AH177" s="369" t="str">
        <f ca="1">IF($B177&lt;&gt;"PRC_RESID","",IF(AH$7=2005+OFFSET(COM_N_2012!$B$60,$AW177,SUMIF($B$10:$B$16,"NCAP_TLIFE",$AX$10:$AX$16)),0,""))</f>
        <v/>
      </c>
      <c r="AI177" s="369" t="str">
        <f ca="1">IF($B177&lt;&gt;"PRC_RESID","",IF(AI$7=2005+OFFSET(COM_N_2012!$B$60,$AW177,SUMIF($B$10:$B$16,"NCAP_TLIFE",$AX$10:$AX$16)),0,""))</f>
        <v/>
      </c>
      <c r="AJ177" s="369" t="str">
        <f ca="1">IF($B177&lt;&gt;"PRC_RESID","",IF(AJ$7=2005+OFFSET(COM_N_2012!$B$60,$AW177,SUMIF($B$10:$B$16,"NCAP_TLIFE",$AX$10:$AX$16)),0,""))</f>
        <v/>
      </c>
      <c r="AK177" s="369" t="str">
        <f ca="1">IF($B177&lt;&gt;"PRC_RESID","",IF(AK$7=2005+OFFSET(COM_N_2012!$B$60,$AW177,SUMIF($B$10:$B$16,"NCAP_TLIFE",$AX$10:$AX$16)),0,""))</f>
        <v/>
      </c>
      <c r="AL177" s="369" t="str">
        <f ca="1">IF($B177&lt;&gt;"PRC_RESID","",IF(AL$7=2005+OFFSET(COM_N_2012!$B$60,$AW177,SUMIF($B$10:$B$16,"NCAP_TLIFE",$AX$10:$AX$16)),0,""))</f>
        <v/>
      </c>
      <c r="AM177" s="369" t="str">
        <f ca="1">IF($B177&lt;&gt;"PRC_RESID","",IF(AM$7=2005+OFFSET(COM_N_2012!$B$60,$AW177,SUMIF($B$10:$B$16,"NCAP_TLIFE",$AX$10:$AX$16)),0,""))</f>
        <v/>
      </c>
      <c r="AN177" s="369" t="str">
        <f ca="1">IF($B177&lt;&gt;"PRC_RESID","",IF(AN$7=2005+OFFSET(COM_N_2012!$B$60,$AW177,SUMIF($B$10:$B$16,"NCAP_TLIFE",$AX$10:$AX$16)),0,""))</f>
        <v/>
      </c>
      <c r="AO177" s="369" t="str">
        <f ca="1">IF($B177&lt;&gt;"PRC_RESID","",IF(AO$7=2005+OFFSET(COM_N_2012!$B$60,$AW177,SUMIF($B$10:$B$16,"NCAP_TLIFE",$AX$10:$AX$16)),0,""))</f>
        <v/>
      </c>
      <c r="AP177" s="369" t="str">
        <f ca="1">IF($B177&lt;&gt;"PRC_RESID","",IF(AP$7=2005+OFFSET(COM_N_2012!$B$60,$AW177,SUMIF($B$10:$B$16,"NCAP_TLIFE",$AX$10:$AX$16)),0,""))</f>
        <v/>
      </c>
      <c r="AQ177" s="369" t="str">
        <f ca="1">IF($B177&lt;&gt;"PRC_RESID","",IF(AQ$7=2005+OFFSET(COM_N_2012!$B$60,$AW177,SUMIF($B$10:$B$16,"NCAP_TLIFE",$AX$10:$AX$16)),0,""))</f>
        <v/>
      </c>
      <c r="AR177" s="369" t="str">
        <f ca="1">IF($B177&lt;&gt;"PRC_RESID","",IF(AR$7=2005+OFFSET(COM_N_2012!$B$60,$AW177,SUMIF($B$10:$B$16,"NCAP_TLIFE",$AX$10:$AX$16)),0,""))</f>
        <v/>
      </c>
      <c r="AS177" s="369" t="str">
        <f ca="1">IF($B177&lt;&gt;"PRC_RESID","",IF(AS$7=2005+OFFSET(COM_N_2012!$B$60,$AW177,SUMIF($B$10:$B$16,"NCAP_TLIFE",$AX$10:$AX$16)),0,""))</f>
        <v/>
      </c>
      <c r="AT177" s="369" t="str">
        <f ca="1">IF($B177&lt;&gt;"PRC_RESID","",IF(AT$7=2005+OFFSET(COM_N_2012!$B$60,$AW177,SUMIF($B$10:$B$16,"NCAP_TLIFE",$AX$10:$AX$16)),0,""))</f>
        <v/>
      </c>
      <c r="AU177" s="369" t="str">
        <f ca="1">IF($B177&lt;&gt;"PRC_RESID","",IF(AU$7=2005+OFFSET(COM_N_2012!$B$60,$AW177,SUMIF($B$10:$B$16,"NCAP_TLIFE",$AX$10:$AX$16)),0,""))</f>
        <v/>
      </c>
      <c r="AV177" s="304">
        <f>IF(AW176=COM_N_2012!$AK$121,AV176+1,AV176)</f>
        <v>3</v>
      </c>
      <c r="AW177" s="304">
        <f t="shared" si="20"/>
        <v>38</v>
      </c>
    </row>
    <row r="178" spans="1:49">
      <c r="A178" s="304" t="str">
        <f ca="1">IF(LEFT(OFFSET(COM_N_2012!$A$60,AW178,0),2)="\I","*","")</f>
        <v/>
      </c>
      <c r="B178" s="369" t="str">
        <f t="shared" ca="1" si="19"/>
        <v>NCAP_TLIFE</v>
      </c>
      <c r="C178" s="369" t="str">
        <f ca="1">IF($A178="*","",OFFSET(COM_N_2012!$B$60,AW178,0))</f>
        <v>CNWELCHP-N</v>
      </c>
      <c r="D178" s="369" t="str">
        <f t="shared" ref="D178:I187" ca="1" si="24">IF($A178="*","",VLOOKUP($B178,$B$10:$I$16,D$9,FALSE))</f>
        <v>-</v>
      </c>
      <c r="E178" s="369" t="str">
        <f t="shared" ca="1" si="24"/>
        <v>-</v>
      </c>
      <c r="F178" s="369" t="str">
        <f t="shared" ca="1" si="24"/>
        <v>-</v>
      </c>
      <c r="G178" s="369" t="str">
        <f t="shared" ca="1" si="24"/>
        <v>-</v>
      </c>
      <c r="H178" s="369" t="str">
        <f t="shared" ca="1" si="24"/>
        <v>-</v>
      </c>
      <c r="I178" s="370">
        <f t="shared" ca="1" si="24"/>
        <v>0</v>
      </c>
      <c r="J178" s="391">
        <f ca="1">IF($A178="*","",OFFSET(COM_N_2012!$B$60,AW178,SUMIF($B$10:$B$16,B178,$AX$10:$AX$16)))</f>
        <v>10</v>
      </c>
      <c r="K178" s="369" t="str">
        <f ca="1">IF($B178&lt;&gt;"PRC_RESID","",IF(K$7=2005+OFFSET(COM_N_2012!$B$60,$AW178,SUMIF($B$10:$B$16,"NCAP_TLIFE",$AX$10:$AX$16)),0,""))</f>
        <v/>
      </c>
      <c r="L178" s="369" t="str">
        <f ca="1">IF($B178&lt;&gt;"PRC_RESID","",IF(L$7=2005+OFFSET(COM_N_2012!$B$60,$AW178,SUMIF($B$10:$B$16,"NCAP_TLIFE",$AX$10:$AX$16)),0,""))</f>
        <v/>
      </c>
      <c r="M178" s="369" t="str">
        <f ca="1">IF($B178&lt;&gt;"PRC_RESID","",IF(M$7=2005+OFFSET(COM_N_2012!$B$60,$AW178,SUMIF($B$10:$B$16,"NCAP_TLIFE",$AX$10:$AX$16)),0,""))</f>
        <v/>
      </c>
      <c r="N178" s="369" t="str">
        <f ca="1">IF($B178&lt;&gt;"PRC_RESID","",IF(N$7=2005+OFFSET(COM_N_2012!$B$60,$AW178,SUMIF($B$10:$B$16,"NCAP_TLIFE",$AX$10:$AX$16)),0,""))</f>
        <v/>
      </c>
      <c r="O178" s="369" t="str">
        <f ca="1">IF($B178&lt;&gt;"PRC_RESID","",IF(O$7=2005+OFFSET(COM_N_2012!$B$60,$AW178,SUMIF($B$10:$B$16,"NCAP_TLIFE",$AX$10:$AX$16)),0,""))</f>
        <v/>
      </c>
      <c r="P178" s="369" t="str">
        <f ca="1">IF($B178&lt;&gt;"PRC_RESID","",IF(P$7=2005+OFFSET(COM_N_2012!$B$60,$AW178,SUMIF($B$10:$B$16,"NCAP_TLIFE",$AX$10:$AX$16)),0,""))</f>
        <v/>
      </c>
      <c r="Q178" s="369" t="str">
        <f ca="1">IF($B178&lt;&gt;"PRC_RESID","",IF(Q$7=2005+OFFSET(COM_N_2012!$B$60,$AW178,SUMIF($B$10:$B$16,"NCAP_TLIFE",$AX$10:$AX$16)),0,""))</f>
        <v/>
      </c>
      <c r="R178" s="369" t="str">
        <f ca="1">IF($B178&lt;&gt;"PRC_RESID","",IF(R$7=2005+OFFSET(COM_N_2012!$B$60,$AW178,SUMIF($B$10:$B$16,"NCAP_TLIFE",$AX$10:$AX$16)),0,""))</f>
        <v/>
      </c>
      <c r="S178" s="369" t="str">
        <f ca="1">IF($B178&lt;&gt;"PRC_RESID","",IF(S$7=2005+OFFSET(COM_N_2012!$B$60,$AW178,SUMIF($B$10:$B$16,"NCAP_TLIFE",$AX$10:$AX$16)),0,""))</f>
        <v/>
      </c>
      <c r="T178" s="369" t="str">
        <f ca="1">IF($B178&lt;&gt;"PRC_RESID","",IF(T$7=2005+OFFSET(COM_N_2012!$B$60,$AW178,SUMIF($B$10:$B$16,"NCAP_TLIFE",$AX$10:$AX$16)),0,""))</f>
        <v/>
      </c>
      <c r="U178" s="369" t="str">
        <f ca="1">IF($B178&lt;&gt;"PRC_RESID","",IF(U$7=2005+OFFSET(COM_N_2012!$B$60,$AW178,SUMIF($B$10:$B$16,"NCAP_TLIFE",$AX$10:$AX$16)),0,""))</f>
        <v/>
      </c>
      <c r="V178" s="369" t="str">
        <f ca="1">IF($B178&lt;&gt;"PRC_RESID","",IF(V$7=2005+OFFSET(COM_N_2012!$B$60,$AW178,SUMIF($B$10:$B$16,"NCAP_TLIFE",$AX$10:$AX$16)),0,""))</f>
        <v/>
      </c>
      <c r="W178" s="369" t="str">
        <f ca="1">IF($B178&lt;&gt;"PRC_RESID","",IF(W$7=2005+OFFSET(COM_N_2012!$B$60,$AW178,SUMIF($B$10:$B$16,"NCAP_TLIFE",$AX$10:$AX$16)),0,""))</f>
        <v/>
      </c>
      <c r="X178" s="369" t="str">
        <f ca="1">IF($B178&lt;&gt;"PRC_RESID","",IF(X$7=2005+OFFSET(COM_N_2012!$B$60,$AW178,SUMIF($B$10:$B$16,"NCAP_TLIFE",$AX$10:$AX$16)),0,""))</f>
        <v/>
      </c>
      <c r="Y178" s="369" t="str">
        <f ca="1">IF($B178&lt;&gt;"PRC_RESID","",IF(Y$7=2005+OFFSET(COM_N_2012!$B$60,$AW178,SUMIF($B$10:$B$16,"NCAP_TLIFE",$AX$10:$AX$16)),0,""))</f>
        <v/>
      </c>
      <c r="Z178" s="369" t="str">
        <f ca="1">IF($B178&lt;&gt;"PRC_RESID","",IF(Z$7=2005+OFFSET(COM_N_2012!$B$60,$AW178,SUMIF($B$10:$B$16,"NCAP_TLIFE",$AX$10:$AX$16)),0,""))</f>
        <v/>
      </c>
      <c r="AA178" s="369" t="str">
        <f ca="1">IF($B178&lt;&gt;"PRC_RESID","",IF(AA$7=2005+OFFSET(COM_N_2012!$B$60,$AW178,SUMIF($B$10:$B$16,"NCAP_TLIFE",$AX$10:$AX$16)),0,""))</f>
        <v/>
      </c>
      <c r="AB178" s="369" t="str">
        <f ca="1">IF($B178&lt;&gt;"PRC_RESID","",IF(AB$7=2005+OFFSET(COM_N_2012!$B$60,$AW178,SUMIF($B$10:$B$16,"NCAP_TLIFE",$AX$10:$AX$16)),0,""))</f>
        <v/>
      </c>
      <c r="AC178" s="369" t="str">
        <f ca="1">IF($B178&lt;&gt;"PRC_RESID","",IF(AC$7=2005+OFFSET(COM_N_2012!$B$60,$AW178,SUMIF($B$10:$B$16,"NCAP_TLIFE",$AX$10:$AX$16)),0,""))</f>
        <v/>
      </c>
      <c r="AD178" s="369" t="str">
        <f ca="1">IF($B178&lt;&gt;"PRC_RESID","",IF(AD$7=2005+OFFSET(COM_N_2012!$B$60,$AW178,SUMIF($B$10:$B$16,"NCAP_TLIFE",$AX$10:$AX$16)),0,""))</f>
        <v/>
      </c>
      <c r="AE178" s="369" t="str">
        <f ca="1">IF($B178&lt;&gt;"PRC_RESID","",IF(AE$7=2005+OFFSET(COM_N_2012!$B$60,$AW178,SUMIF($B$10:$B$16,"NCAP_TLIFE",$AX$10:$AX$16)),0,""))</f>
        <v/>
      </c>
      <c r="AF178" s="369" t="str">
        <f ca="1">IF($B178&lt;&gt;"PRC_RESID","",IF(AF$7=2005+OFFSET(COM_N_2012!$B$60,$AW178,SUMIF($B$10:$B$16,"NCAP_TLIFE",$AX$10:$AX$16)),0,""))</f>
        <v/>
      </c>
      <c r="AG178" s="369" t="str">
        <f ca="1">IF($B178&lt;&gt;"PRC_RESID","",IF(AG$7=2005+OFFSET(COM_N_2012!$B$60,$AW178,SUMIF($B$10:$B$16,"NCAP_TLIFE",$AX$10:$AX$16)),0,""))</f>
        <v/>
      </c>
      <c r="AH178" s="369" t="str">
        <f ca="1">IF($B178&lt;&gt;"PRC_RESID","",IF(AH$7=2005+OFFSET(COM_N_2012!$B$60,$AW178,SUMIF($B$10:$B$16,"NCAP_TLIFE",$AX$10:$AX$16)),0,""))</f>
        <v/>
      </c>
      <c r="AI178" s="369" t="str">
        <f ca="1">IF($B178&lt;&gt;"PRC_RESID","",IF(AI$7=2005+OFFSET(COM_N_2012!$B$60,$AW178,SUMIF($B$10:$B$16,"NCAP_TLIFE",$AX$10:$AX$16)),0,""))</f>
        <v/>
      </c>
      <c r="AJ178" s="369" t="str">
        <f ca="1">IF($B178&lt;&gt;"PRC_RESID","",IF(AJ$7=2005+OFFSET(COM_N_2012!$B$60,$AW178,SUMIF($B$10:$B$16,"NCAP_TLIFE",$AX$10:$AX$16)),0,""))</f>
        <v/>
      </c>
      <c r="AK178" s="369" t="str">
        <f ca="1">IF($B178&lt;&gt;"PRC_RESID","",IF(AK$7=2005+OFFSET(COM_N_2012!$B$60,$AW178,SUMIF($B$10:$B$16,"NCAP_TLIFE",$AX$10:$AX$16)),0,""))</f>
        <v/>
      </c>
      <c r="AL178" s="369" t="str">
        <f ca="1">IF($B178&lt;&gt;"PRC_RESID","",IF(AL$7=2005+OFFSET(COM_N_2012!$B$60,$AW178,SUMIF($B$10:$B$16,"NCAP_TLIFE",$AX$10:$AX$16)),0,""))</f>
        <v/>
      </c>
      <c r="AM178" s="369" t="str">
        <f ca="1">IF($B178&lt;&gt;"PRC_RESID","",IF(AM$7=2005+OFFSET(COM_N_2012!$B$60,$AW178,SUMIF($B$10:$B$16,"NCAP_TLIFE",$AX$10:$AX$16)),0,""))</f>
        <v/>
      </c>
      <c r="AN178" s="369" t="str">
        <f ca="1">IF($B178&lt;&gt;"PRC_RESID","",IF(AN$7=2005+OFFSET(COM_N_2012!$B$60,$AW178,SUMIF($B$10:$B$16,"NCAP_TLIFE",$AX$10:$AX$16)),0,""))</f>
        <v/>
      </c>
      <c r="AO178" s="369" t="str">
        <f ca="1">IF($B178&lt;&gt;"PRC_RESID","",IF(AO$7=2005+OFFSET(COM_N_2012!$B$60,$AW178,SUMIF($B$10:$B$16,"NCAP_TLIFE",$AX$10:$AX$16)),0,""))</f>
        <v/>
      </c>
      <c r="AP178" s="369" t="str">
        <f ca="1">IF($B178&lt;&gt;"PRC_RESID","",IF(AP$7=2005+OFFSET(COM_N_2012!$B$60,$AW178,SUMIF($B$10:$B$16,"NCAP_TLIFE",$AX$10:$AX$16)),0,""))</f>
        <v/>
      </c>
      <c r="AQ178" s="369" t="str">
        <f ca="1">IF($B178&lt;&gt;"PRC_RESID","",IF(AQ$7=2005+OFFSET(COM_N_2012!$B$60,$AW178,SUMIF($B$10:$B$16,"NCAP_TLIFE",$AX$10:$AX$16)),0,""))</f>
        <v/>
      </c>
      <c r="AR178" s="369" t="str">
        <f ca="1">IF($B178&lt;&gt;"PRC_RESID","",IF(AR$7=2005+OFFSET(COM_N_2012!$B$60,$AW178,SUMIF($B$10:$B$16,"NCAP_TLIFE",$AX$10:$AX$16)),0,""))</f>
        <v/>
      </c>
      <c r="AS178" s="369" t="str">
        <f ca="1">IF($B178&lt;&gt;"PRC_RESID","",IF(AS$7=2005+OFFSET(COM_N_2012!$B$60,$AW178,SUMIF($B$10:$B$16,"NCAP_TLIFE",$AX$10:$AX$16)),0,""))</f>
        <v/>
      </c>
      <c r="AT178" s="369" t="str">
        <f ca="1">IF($B178&lt;&gt;"PRC_RESID","",IF(AT$7=2005+OFFSET(COM_N_2012!$B$60,$AW178,SUMIF($B$10:$B$16,"NCAP_TLIFE",$AX$10:$AX$16)),0,""))</f>
        <v/>
      </c>
      <c r="AU178" s="369" t="str">
        <f ca="1">IF($B178&lt;&gt;"PRC_RESID","",IF(AU$7=2005+OFFSET(COM_N_2012!$B$60,$AW178,SUMIF($B$10:$B$16,"NCAP_TLIFE",$AX$10:$AX$16)),0,""))</f>
        <v/>
      </c>
      <c r="AV178" s="304">
        <f>IF(AW177=COM_N_2012!$AK$121,AV177+1,AV177)</f>
        <v>3</v>
      </c>
      <c r="AW178" s="304">
        <f t="shared" si="20"/>
        <v>39</v>
      </c>
    </row>
    <row r="179" spans="1:49">
      <c r="A179" s="304" t="str">
        <f ca="1">IF(LEFT(OFFSET(COM_N_2012!$A$60,AW179,0),2)="\I","*","")</f>
        <v>*</v>
      </c>
      <c r="B179" s="369" t="str">
        <f t="shared" ca="1" si="19"/>
        <v/>
      </c>
      <c r="C179" s="369" t="str">
        <f ca="1">IF($A179="*","",OFFSET(COM_N_2012!$B$60,AW179,0))</f>
        <v/>
      </c>
      <c r="D179" s="369" t="str">
        <f t="shared" ca="1" si="24"/>
        <v/>
      </c>
      <c r="E179" s="369" t="str">
        <f t="shared" ca="1" si="24"/>
        <v/>
      </c>
      <c r="F179" s="369" t="str">
        <f t="shared" ca="1" si="24"/>
        <v/>
      </c>
      <c r="G179" s="369" t="str">
        <f t="shared" ca="1" si="24"/>
        <v/>
      </c>
      <c r="H179" s="369" t="str">
        <f t="shared" ca="1" si="24"/>
        <v/>
      </c>
      <c r="I179" s="370" t="str">
        <f t="shared" ca="1" si="24"/>
        <v/>
      </c>
      <c r="J179" s="391" t="str">
        <f ca="1">IF($A179="*","",OFFSET(COM_N_2012!$B$60,AW179,SUMIF($B$10:$B$16,B179,$AX$10:$AX$16)))</f>
        <v/>
      </c>
      <c r="K179" s="369" t="str">
        <f ca="1">IF($B179&lt;&gt;"PRC_RESID","",IF(K$7=2005+OFFSET(COM_N_2012!$B$60,$AW179,SUMIF($B$10:$B$16,"NCAP_TLIFE",$AX$10:$AX$16)),0,""))</f>
        <v/>
      </c>
      <c r="L179" s="369" t="str">
        <f ca="1">IF($B179&lt;&gt;"PRC_RESID","",IF(L$7=2005+OFFSET(COM_N_2012!$B$60,$AW179,SUMIF($B$10:$B$16,"NCAP_TLIFE",$AX$10:$AX$16)),0,""))</f>
        <v/>
      </c>
      <c r="M179" s="369" t="str">
        <f ca="1">IF($B179&lt;&gt;"PRC_RESID","",IF(M$7=2005+OFFSET(COM_N_2012!$B$60,$AW179,SUMIF($B$10:$B$16,"NCAP_TLIFE",$AX$10:$AX$16)),0,""))</f>
        <v/>
      </c>
      <c r="N179" s="369" t="str">
        <f ca="1">IF($B179&lt;&gt;"PRC_RESID","",IF(N$7=2005+OFFSET(COM_N_2012!$B$60,$AW179,SUMIF($B$10:$B$16,"NCAP_TLIFE",$AX$10:$AX$16)),0,""))</f>
        <v/>
      </c>
      <c r="O179" s="369" t="str">
        <f ca="1">IF($B179&lt;&gt;"PRC_RESID","",IF(O$7=2005+OFFSET(COM_N_2012!$B$60,$AW179,SUMIF($B$10:$B$16,"NCAP_TLIFE",$AX$10:$AX$16)),0,""))</f>
        <v/>
      </c>
      <c r="P179" s="369" t="str">
        <f ca="1">IF($B179&lt;&gt;"PRC_RESID","",IF(P$7=2005+OFFSET(COM_N_2012!$B$60,$AW179,SUMIF($B$10:$B$16,"NCAP_TLIFE",$AX$10:$AX$16)),0,""))</f>
        <v/>
      </c>
      <c r="Q179" s="369" t="str">
        <f ca="1">IF($B179&lt;&gt;"PRC_RESID","",IF(Q$7=2005+OFFSET(COM_N_2012!$B$60,$AW179,SUMIF($B$10:$B$16,"NCAP_TLIFE",$AX$10:$AX$16)),0,""))</f>
        <v/>
      </c>
      <c r="R179" s="369" t="str">
        <f ca="1">IF($B179&lt;&gt;"PRC_RESID","",IF(R$7=2005+OFFSET(COM_N_2012!$B$60,$AW179,SUMIF($B$10:$B$16,"NCAP_TLIFE",$AX$10:$AX$16)),0,""))</f>
        <v/>
      </c>
      <c r="S179" s="369" t="str">
        <f ca="1">IF($B179&lt;&gt;"PRC_RESID","",IF(S$7=2005+OFFSET(COM_N_2012!$B$60,$AW179,SUMIF($B$10:$B$16,"NCAP_TLIFE",$AX$10:$AX$16)),0,""))</f>
        <v/>
      </c>
      <c r="T179" s="369" t="str">
        <f ca="1">IF($B179&lt;&gt;"PRC_RESID","",IF(T$7=2005+OFFSET(COM_N_2012!$B$60,$AW179,SUMIF($B$10:$B$16,"NCAP_TLIFE",$AX$10:$AX$16)),0,""))</f>
        <v/>
      </c>
      <c r="U179" s="369" t="str">
        <f ca="1">IF($B179&lt;&gt;"PRC_RESID","",IF(U$7=2005+OFFSET(COM_N_2012!$B$60,$AW179,SUMIF($B$10:$B$16,"NCAP_TLIFE",$AX$10:$AX$16)),0,""))</f>
        <v/>
      </c>
      <c r="V179" s="369" t="str">
        <f ca="1">IF($B179&lt;&gt;"PRC_RESID","",IF(V$7=2005+OFFSET(COM_N_2012!$B$60,$AW179,SUMIF($B$10:$B$16,"NCAP_TLIFE",$AX$10:$AX$16)),0,""))</f>
        <v/>
      </c>
      <c r="W179" s="369" t="str">
        <f ca="1">IF($B179&lt;&gt;"PRC_RESID","",IF(W$7=2005+OFFSET(COM_N_2012!$B$60,$AW179,SUMIF($B$10:$B$16,"NCAP_TLIFE",$AX$10:$AX$16)),0,""))</f>
        <v/>
      </c>
      <c r="X179" s="369" t="str">
        <f ca="1">IF($B179&lt;&gt;"PRC_RESID","",IF(X$7=2005+OFFSET(COM_N_2012!$B$60,$AW179,SUMIF($B$10:$B$16,"NCAP_TLIFE",$AX$10:$AX$16)),0,""))</f>
        <v/>
      </c>
      <c r="Y179" s="369" t="str">
        <f ca="1">IF($B179&lt;&gt;"PRC_RESID","",IF(Y$7=2005+OFFSET(COM_N_2012!$B$60,$AW179,SUMIF($B$10:$B$16,"NCAP_TLIFE",$AX$10:$AX$16)),0,""))</f>
        <v/>
      </c>
      <c r="Z179" s="369" t="str">
        <f ca="1">IF($B179&lt;&gt;"PRC_RESID","",IF(Z$7=2005+OFFSET(COM_N_2012!$B$60,$AW179,SUMIF($B$10:$B$16,"NCAP_TLIFE",$AX$10:$AX$16)),0,""))</f>
        <v/>
      </c>
      <c r="AA179" s="369" t="str">
        <f ca="1">IF($B179&lt;&gt;"PRC_RESID","",IF(AA$7=2005+OFFSET(COM_N_2012!$B$60,$AW179,SUMIF($B$10:$B$16,"NCAP_TLIFE",$AX$10:$AX$16)),0,""))</f>
        <v/>
      </c>
      <c r="AB179" s="369" t="str">
        <f ca="1">IF($B179&lt;&gt;"PRC_RESID","",IF(AB$7=2005+OFFSET(COM_N_2012!$B$60,$AW179,SUMIF($B$10:$B$16,"NCAP_TLIFE",$AX$10:$AX$16)),0,""))</f>
        <v/>
      </c>
      <c r="AC179" s="369" t="str">
        <f ca="1">IF($B179&lt;&gt;"PRC_RESID","",IF(AC$7=2005+OFFSET(COM_N_2012!$B$60,$AW179,SUMIF($B$10:$B$16,"NCAP_TLIFE",$AX$10:$AX$16)),0,""))</f>
        <v/>
      </c>
      <c r="AD179" s="369" t="str">
        <f ca="1">IF($B179&lt;&gt;"PRC_RESID","",IF(AD$7=2005+OFFSET(COM_N_2012!$B$60,$AW179,SUMIF($B$10:$B$16,"NCAP_TLIFE",$AX$10:$AX$16)),0,""))</f>
        <v/>
      </c>
      <c r="AE179" s="369" t="str">
        <f ca="1">IF($B179&lt;&gt;"PRC_RESID","",IF(AE$7=2005+OFFSET(COM_N_2012!$B$60,$AW179,SUMIF($B$10:$B$16,"NCAP_TLIFE",$AX$10:$AX$16)),0,""))</f>
        <v/>
      </c>
      <c r="AF179" s="369" t="str">
        <f ca="1">IF($B179&lt;&gt;"PRC_RESID","",IF(AF$7=2005+OFFSET(COM_N_2012!$B$60,$AW179,SUMIF($B$10:$B$16,"NCAP_TLIFE",$AX$10:$AX$16)),0,""))</f>
        <v/>
      </c>
      <c r="AG179" s="369" t="str">
        <f ca="1">IF($B179&lt;&gt;"PRC_RESID","",IF(AG$7=2005+OFFSET(COM_N_2012!$B$60,$AW179,SUMIF($B$10:$B$16,"NCAP_TLIFE",$AX$10:$AX$16)),0,""))</f>
        <v/>
      </c>
      <c r="AH179" s="369" t="str">
        <f ca="1">IF($B179&lt;&gt;"PRC_RESID","",IF(AH$7=2005+OFFSET(COM_N_2012!$B$60,$AW179,SUMIF($B$10:$B$16,"NCAP_TLIFE",$AX$10:$AX$16)),0,""))</f>
        <v/>
      </c>
      <c r="AI179" s="369" t="str">
        <f ca="1">IF($B179&lt;&gt;"PRC_RESID","",IF(AI$7=2005+OFFSET(COM_N_2012!$B$60,$AW179,SUMIF($B$10:$B$16,"NCAP_TLIFE",$AX$10:$AX$16)),0,""))</f>
        <v/>
      </c>
      <c r="AJ179" s="369" t="str">
        <f ca="1">IF($B179&lt;&gt;"PRC_RESID","",IF(AJ$7=2005+OFFSET(COM_N_2012!$B$60,$AW179,SUMIF($B$10:$B$16,"NCAP_TLIFE",$AX$10:$AX$16)),0,""))</f>
        <v/>
      </c>
      <c r="AK179" s="369" t="str">
        <f ca="1">IF($B179&lt;&gt;"PRC_RESID","",IF(AK$7=2005+OFFSET(COM_N_2012!$B$60,$AW179,SUMIF($B$10:$B$16,"NCAP_TLIFE",$AX$10:$AX$16)),0,""))</f>
        <v/>
      </c>
      <c r="AL179" s="369" t="str">
        <f ca="1">IF($B179&lt;&gt;"PRC_RESID","",IF(AL$7=2005+OFFSET(COM_N_2012!$B$60,$AW179,SUMIF($B$10:$B$16,"NCAP_TLIFE",$AX$10:$AX$16)),0,""))</f>
        <v/>
      </c>
      <c r="AM179" s="369" t="str">
        <f ca="1">IF($B179&lt;&gt;"PRC_RESID","",IF(AM$7=2005+OFFSET(COM_N_2012!$B$60,$AW179,SUMIF($B$10:$B$16,"NCAP_TLIFE",$AX$10:$AX$16)),0,""))</f>
        <v/>
      </c>
      <c r="AN179" s="369" t="str">
        <f ca="1">IF($B179&lt;&gt;"PRC_RESID","",IF(AN$7=2005+OFFSET(COM_N_2012!$B$60,$AW179,SUMIF($B$10:$B$16,"NCAP_TLIFE",$AX$10:$AX$16)),0,""))</f>
        <v/>
      </c>
      <c r="AO179" s="369" t="str">
        <f ca="1">IF($B179&lt;&gt;"PRC_RESID","",IF(AO$7=2005+OFFSET(COM_N_2012!$B$60,$AW179,SUMIF($B$10:$B$16,"NCAP_TLIFE",$AX$10:$AX$16)),0,""))</f>
        <v/>
      </c>
      <c r="AP179" s="369" t="str">
        <f ca="1">IF($B179&lt;&gt;"PRC_RESID","",IF(AP$7=2005+OFFSET(COM_N_2012!$B$60,$AW179,SUMIF($B$10:$B$16,"NCAP_TLIFE",$AX$10:$AX$16)),0,""))</f>
        <v/>
      </c>
      <c r="AQ179" s="369" t="str">
        <f ca="1">IF($B179&lt;&gt;"PRC_RESID","",IF(AQ$7=2005+OFFSET(COM_N_2012!$B$60,$AW179,SUMIF($B$10:$B$16,"NCAP_TLIFE",$AX$10:$AX$16)),0,""))</f>
        <v/>
      </c>
      <c r="AR179" s="369" t="str">
        <f ca="1">IF($B179&lt;&gt;"PRC_RESID","",IF(AR$7=2005+OFFSET(COM_N_2012!$B$60,$AW179,SUMIF($B$10:$B$16,"NCAP_TLIFE",$AX$10:$AX$16)),0,""))</f>
        <v/>
      </c>
      <c r="AS179" s="369" t="str">
        <f ca="1">IF($B179&lt;&gt;"PRC_RESID","",IF(AS$7=2005+OFFSET(COM_N_2012!$B$60,$AW179,SUMIF($B$10:$B$16,"NCAP_TLIFE",$AX$10:$AX$16)),0,""))</f>
        <v/>
      </c>
      <c r="AT179" s="369" t="str">
        <f ca="1">IF($B179&lt;&gt;"PRC_RESID","",IF(AT$7=2005+OFFSET(COM_N_2012!$B$60,$AW179,SUMIF($B$10:$B$16,"NCAP_TLIFE",$AX$10:$AX$16)),0,""))</f>
        <v/>
      </c>
      <c r="AU179" s="369" t="str">
        <f ca="1">IF($B179&lt;&gt;"PRC_RESID","",IF(AU$7=2005+OFFSET(COM_N_2012!$B$60,$AW179,SUMIF($B$10:$B$16,"NCAP_TLIFE",$AX$10:$AX$16)),0,""))</f>
        <v/>
      </c>
      <c r="AV179" s="304">
        <f>IF(AW178=COM_N_2012!$AK$121,AV178+1,AV178)</f>
        <v>3</v>
      </c>
      <c r="AW179" s="304">
        <f t="shared" si="20"/>
        <v>40</v>
      </c>
    </row>
    <row r="180" spans="1:49">
      <c r="A180" s="304" t="str">
        <f ca="1">IF(LEFT(OFFSET(COM_N_2012!$A$60,AW180,0),2)="\I","*","")</f>
        <v>*</v>
      </c>
      <c r="B180" s="369" t="str">
        <f t="shared" ca="1" si="19"/>
        <v/>
      </c>
      <c r="C180" s="369" t="str">
        <f ca="1">IF($A180="*","",OFFSET(COM_N_2012!$B$60,AW180,0))</f>
        <v/>
      </c>
      <c r="D180" s="369" t="str">
        <f t="shared" ca="1" si="24"/>
        <v/>
      </c>
      <c r="E180" s="369" t="str">
        <f t="shared" ca="1" si="24"/>
        <v/>
      </c>
      <c r="F180" s="369" t="str">
        <f t="shared" ca="1" si="24"/>
        <v/>
      </c>
      <c r="G180" s="369" t="str">
        <f t="shared" ca="1" si="24"/>
        <v/>
      </c>
      <c r="H180" s="369" t="str">
        <f t="shared" ca="1" si="24"/>
        <v/>
      </c>
      <c r="I180" s="370" t="str">
        <f t="shared" ca="1" si="24"/>
        <v/>
      </c>
      <c r="J180" s="391" t="str">
        <f ca="1">IF($A180="*","",OFFSET(COM_N_2012!$B$60,AW180,SUMIF($B$10:$B$16,B180,$AX$10:$AX$16)))</f>
        <v/>
      </c>
      <c r="K180" s="369" t="str">
        <f ca="1">IF($B180&lt;&gt;"PRC_RESID","",IF(K$7=2005+OFFSET(COM_N_2012!$B$60,$AW180,SUMIF($B$10:$B$16,"NCAP_TLIFE",$AX$10:$AX$16)),0,""))</f>
        <v/>
      </c>
      <c r="L180" s="369" t="str">
        <f ca="1">IF($B180&lt;&gt;"PRC_RESID","",IF(L$7=2005+OFFSET(COM_N_2012!$B$60,$AW180,SUMIF($B$10:$B$16,"NCAP_TLIFE",$AX$10:$AX$16)),0,""))</f>
        <v/>
      </c>
      <c r="M180" s="369" t="str">
        <f ca="1">IF($B180&lt;&gt;"PRC_RESID","",IF(M$7=2005+OFFSET(COM_N_2012!$B$60,$AW180,SUMIF($B$10:$B$16,"NCAP_TLIFE",$AX$10:$AX$16)),0,""))</f>
        <v/>
      </c>
      <c r="N180" s="369" t="str">
        <f ca="1">IF($B180&lt;&gt;"PRC_RESID","",IF(N$7=2005+OFFSET(COM_N_2012!$B$60,$AW180,SUMIF($B$10:$B$16,"NCAP_TLIFE",$AX$10:$AX$16)),0,""))</f>
        <v/>
      </c>
      <c r="O180" s="369" t="str">
        <f ca="1">IF($B180&lt;&gt;"PRC_RESID","",IF(O$7=2005+OFFSET(COM_N_2012!$B$60,$AW180,SUMIF($B$10:$B$16,"NCAP_TLIFE",$AX$10:$AX$16)),0,""))</f>
        <v/>
      </c>
      <c r="P180" s="369" t="str">
        <f ca="1">IF($B180&lt;&gt;"PRC_RESID","",IF(P$7=2005+OFFSET(COM_N_2012!$B$60,$AW180,SUMIF($B$10:$B$16,"NCAP_TLIFE",$AX$10:$AX$16)),0,""))</f>
        <v/>
      </c>
      <c r="Q180" s="369" t="str">
        <f ca="1">IF($B180&lt;&gt;"PRC_RESID","",IF(Q$7=2005+OFFSET(COM_N_2012!$B$60,$AW180,SUMIF($B$10:$B$16,"NCAP_TLIFE",$AX$10:$AX$16)),0,""))</f>
        <v/>
      </c>
      <c r="R180" s="369" t="str">
        <f ca="1">IF($B180&lt;&gt;"PRC_RESID","",IF(R$7=2005+OFFSET(COM_N_2012!$B$60,$AW180,SUMIF($B$10:$B$16,"NCAP_TLIFE",$AX$10:$AX$16)),0,""))</f>
        <v/>
      </c>
      <c r="S180" s="369" t="str">
        <f ca="1">IF($B180&lt;&gt;"PRC_RESID","",IF(S$7=2005+OFFSET(COM_N_2012!$B$60,$AW180,SUMIF($B$10:$B$16,"NCAP_TLIFE",$AX$10:$AX$16)),0,""))</f>
        <v/>
      </c>
      <c r="T180" s="369" t="str">
        <f ca="1">IF($B180&lt;&gt;"PRC_RESID","",IF(T$7=2005+OFFSET(COM_N_2012!$B$60,$AW180,SUMIF($B$10:$B$16,"NCAP_TLIFE",$AX$10:$AX$16)),0,""))</f>
        <v/>
      </c>
      <c r="U180" s="369" t="str">
        <f ca="1">IF($B180&lt;&gt;"PRC_RESID","",IF(U$7=2005+OFFSET(COM_N_2012!$B$60,$AW180,SUMIF($B$10:$B$16,"NCAP_TLIFE",$AX$10:$AX$16)),0,""))</f>
        <v/>
      </c>
      <c r="V180" s="369" t="str">
        <f ca="1">IF($B180&lt;&gt;"PRC_RESID","",IF(V$7=2005+OFFSET(COM_N_2012!$B$60,$AW180,SUMIF($B$10:$B$16,"NCAP_TLIFE",$AX$10:$AX$16)),0,""))</f>
        <v/>
      </c>
      <c r="W180" s="369" t="str">
        <f ca="1">IF($B180&lt;&gt;"PRC_RESID","",IF(W$7=2005+OFFSET(COM_N_2012!$B$60,$AW180,SUMIF($B$10:$B$16,"NCAP_TLIFE",$AX$10:$AX$16)),0,""))</f>
        <v/>
      </c>
      <c r="X180" s="369" t="str">
        <f ca="1">IF($B180&lt;&gt;"PRC_RESID","",IF(X$7=2005+OFFSET(COM_N_2012!$B$60,$AW180,SUMIF($B$10:$B$16,"NCAP_TLIFE",$AX$10:$AX$16)),0,""))</f>
        <v/>
      </c>
      <c r="Y180" s="369" t="str">
        <f ca="1">IF($B180&lt;&gt;"PRC_RESID","",IF(Y$7=2005+OFFSET(COM_N_2012!$B$60,$AW180,SUMIF($B$10:$B$16,"NCAP_TLIFE",$AX$10:$AX$16)),0,""))</f>
        <v/>
      </c>
      <c r="Z180" s="369" t="str">
        <f ca="1">IF($B180&lt;&gt;"PRC_RESID","",IF(Z$7=2005+OFFSET(COM_N_2012!$B$60,$AW180,SUMIF($B$10:$B$16,"NCAP_TLIFE",$AX$10:$AX$16)),0,""))</f>
        <v/>
      </c>
      <c r="AA180" s="369" t="str">
        <f ca="1">IF($B180&lt;&gt;"PRC_RESID","",IF(AA$7=2005+OFFSET(COM_N_2012!$B$60,$AW180,SUMIF($B$10:$B$16,"NCAP_TLIFE",$AX$10:$AX$16)),0,""))</f>
        <v/>
      </c>
      <c r="AB180" s="369" t="str">
        <f ca="1">IF($B180&lt;&gt;"PRC_RESID","",IF(AB$7=2005+OFFSET(COM_N_2012!$B$60,$AW180,SUMIF($B$10:$B$16,"NCAP_TLIFE",$AX$10:$AX$16)),0,""))</f>
        <v/>
      </c>
      <c r="AC180" s="369" t="str">
        <f ca="1">IF($B180&lt;&gt;"PRC_RESID","",IF(AC$7=2005+OFFSET(COM_N_2012!$B$60,$AW180,SUMIF($B$10:$B$16,"NCAP_TLIFE",$AX$10:$AX$16)),0,""))</f>
        <v/>
      </c>
      <c r="AD180" s="369" t="str">
        <f ca="1">IF($B180&lt;&gt;"PRC_RESID","",IF(AD$7=2005+OFFSET(COM_N_2012!$B$60,$AW180,SUMIF($B$10:$B$16,"NCAP_TLIFE",$AX$10:$AX$16)),0,""))</f>
        <v/>
      </c>
      <c r="AE180" s="369" t="str">
        <f ca="1">IF($B180&lt;&gt;"PRC_RESID","",IF(AE$7=2005+OFFSET(COM_N_2012!$B$60,$AW180,SUMIF($B$10:$B$16,"NCAP_TLIFE",$AX$10:$AX$16)),0,""))</f>
        <v/>
      </c>
      <c r="AF180" s="369" t="str">
        <f ca="1">IF($B180&lt;&gt;"PRC_RESID","",IF(AF$7=2005+OFFSET(COM_N_2012!$B$60,$AW180,SUMIF($B$10:$B$16,"NCAP_TLIFE",$AX$10:$AX$16)),0,""))</f>
        <v/>
      </c>
      <c r="AG180" s="369" t="str">
        <f ca="1">IF($B180&lt;&gt;"PRC_RESID","",IF(AG$7=2005+OFFSET(COM_N_2012!$B$60,$AW180,SUMIF($B$10:$B$16,"NCAP_TLIFE",$AX$10:$AX$16)),0,""))</f>
        <v/>
      </c>
      <c r="AH180" s="369" t="str">
        <f ca="1">IF($B180&lt;&gt;"PRC_RESID","",IF(AH$7=2005+OFFSET(COM_N_2012!$B$60,$AW180,SUMIF($B$10:$B$16,"NCAP_TLIFE",$AX$10:$AX$16)),0,""))</f>
        <v/>
      </c>
      <c r="AI180" s="369" t="str">
        <f ca="1">IF($B180&lt;&gt;"PRC_RESID","",IF(AI$7=2005+OFFSET(COM_N_2012!$B$60,$AW180,SUMIF($B$10:$B$16,"NCAP_TLIFE",$AX$10:$AX$16)),0,""))</f>
        <v/>
      </c>
      <c r="AJ180" s="369" t="str">
        <f ca="1">IF($B180&lt;&gt;"PRC_RESID","",IF(AJ$7=2005+OFFSET(COM_N_2012!$B$60,$AW180,SUMIF($B$10:$B$16,"NCAP_TLIFE",$AX$10:$AX$16)),0,""))</f>
        <v/>
      </c>
      <c r="AK180" s="369" t="str">
        <f ca="1">IF($B180&lt;&gt;"PRC_RESID","",IF(AK$7=2005+OFFSET(COM_N_2012!$B$60,$AW180,SUMIF($B$10:$B$16,"NCAP_TLIFE",$AX$10:$AX$16)),0,""))</f>
        <v/>
      </c>
      <c r="AL180" s="369" t="str">
        <f ca="1">IF($B180&lt;&gt;"PRC_RESID","",IF(AL$7=2005+OFFSET(COM_N_2012!$B$60,$AW180,SUMIF($B$10:$B$16,"NCAP_TLIFE",$AX$10:$AX$16)),0,""))</f>
        <v/>
      </c>
      <c r="AM180" s="369" t="str">
        <f ca="1">IF($B180&lt;&gt;"PRC_RESID","",IF(AM$7=2005+OFFSET(COM_N_2012!$B$60,$AW180,SUMIF($B$10:$B$16,"NCAP_TLIFE",$AX$10:$AX$16)),0,""))</f>
        <v/>
      </c>
      <c r="AN180" s="369" t="str">
        <f ca="1">IF($B180&lt;&gt;"PRC_RESID","",IF(AN$7=2005+OFFSET(COM_N_2012!$B$60,$AW180,SUMIF($B$10:$B$16,"NCAP_TLIFE",$AX$10:$AX$16)),0,""))</f>
        <v/>
      </c>
      <c r="AO180" s="369" t="str">
        <f ca="1">IF($B180&lt;&gt;"PRC_RESID","",IF(AO$7=2005+OFFSET(COM_N_2012!$B$60,$AW180,SUMIF($B$10:$B$16,"NCAP_TLIFE",$AX$10:$AX$16)),0,""))</f>
        <v/>
      </c>
      <c r="AP180" s="369" t="str">
        <f ca="1">IF($B180&lt;&gt;"PRC_RESID","",IF(AP$7=2005+OFFSET(COM_N_2012!$B$60,$AW180,SUMIF($B$10:$B$16,"NCAP_TLIFE",$AX$10:$AX$16)),0,""))</f>
        <v/>
      </c>
      <c r="AQ180" s="369" t="str">
        <f ca="1">IF($B180&lt;&gt;"PRC_RESID","",IF(AQ$7=2005+OFFSET(COM_N_2012!$B$60,$AW180,SUMIF($B$10:$B$16,"NCAP_TLIFE",$AX$10:$AX$16)),0,""))</f>
        <v/>
      </c>
      <c r="AR180" s="369" t="str">
        <f ca="1">IF($B180&lt;&gt;"PRC_RESID","",IF(AR$7=2005+OFFSET(COM_N_2012!$B$60,$AW180,SUMIF($B$10:$B$16,"NCAP_TLIFE",$AX$10:$AX$16)),0,""))</f>
        <v/>
      </c>
      <c r="AS180" s="369" t="str">
        <f ca="1">IF($B180&lt;&gt;"PRC_RESID","",IF(AS$7=2005+OFFSET(COM_N_2012!$B$60,$AW180,SUMIF($B$10:$B$16,"NCAP_TLIFE",$AX$10:$AX$16)),0,""))</f>
        <v/>
      </c>
      <c r="AT180" s="369" t="str">
        <f ca="1">IF($B180&lt;&gt;"PRC_RESID","",IF(AT$7=2005+OFFSET(COM_N_2012!$B$60,$AW180,SUMIF($B$10:$B$16,"NCAP_TLIFE",$AX$10:$AX$16)),0,""))</f>
        <v/>
      </c>
      <c r="AU180" s="369" t="str">
        <f ca="1">IF($B180&lt;&gt;"PRC_RESID","",IF(AU$7=2005+OFFSET(COM_N_2012!$B$60,$AW180,SUMIF($B$10:$B$16,"NCAP_TLIFE",$AX$10:$AX$16)),0,""))</f>
        <v/>
      </c>
      <c r="AV180" s="304">
        <f>IF(AW179=COM_N_2012!$AK$121,AV179+1,AV179)</f>
        <v>3</v>
      </c>
      <c r="AW180" s="304">
        <f t="shared" si="20"/>
        <v>41</v>
      </c>
    </row>
    <row r="181" spans="1:49">
      <c r="A181" s="304" t="str">
        <f ca="1">IF(LEFT(OFFSET(COM_N_2012!$A$60,AW181,0),2)="\I","*","")</f>
        <v/>
      </c>
      <c r="B181" s="369" t="str">
        <f t="shared" ca="1" si="19"/>
        <v>NCAP_TLIFE</v>
      </c>
      <c r="C181" s="369" t="str">
        <f ca="1">IF($A181="*","",OFFSET(COM_N_2012!$B$60,AW181,0))</f>
        <v>CNGELCINC-E</v>
      </c>
      <c r="D181" s="369" t="str">
        <f t="shared" ca="1" si="24"/>
        <v>-</v>
      </c>
      <c r="E181" s="369" t="str">
        <f t="shared" ca="1" si="24"/>
        <v>-</v>
      </c>
      <c r="F181" s="369" t="str">
        <f t="shared" ca="1" si="24"/>
        <v>-</v>
      </c>
      <c r="G181" s="369" t="str">
        <f t="shared" ca="1" si="24"/>
        <v>-</v>
      </c>
      <c r="H181" s="369" t="str">
        <f t="shared" ca="1" si="24"/>
        <v>-</v>
      </c>
      <c r="I181" s="370">
        <f t="shared" ca="1" si="24"/>
        <v>0</v>
      </c>
      <c r="J181" s="391">
        <f ca="1">IF($A181="*","",OFFSET(COM_N_2012!$B$60,AW181,SUMIF($B$10:$B$16,B181,$AX$10:$AX$16)))</f>
        <v>9</v>
      </c>
      <c r="K181" s="369" t="str">
        <f ca="1">IF($B181&lt;&gt;"PRC_RESID","",IF(K$7=2005+OFFSET(COM_N_2012!$B$60,$AW181,SUMIF($B$10:$B$16,"NCAP_TLIFE",$AX$10:$AX$16)),0,""))</f>
        <v/>
      </c>
      <c r="L181" s="369" t="str">
        <f ca="1">IF($B181&lt;&gt;"PRC_RESID","",IF(L$7=2005+OFFSET(COM_N_2012!$B$60,$AW181,SUMIF($B$10:$B$16,"NCAP_TLIFE",$AX$10:$AX$16)),0,""))</f>
        <v/>
      </c>
      <c r="M181" s="369" t="str">
        <f ca="1">IF($B181&lt;&gt;"PRC_RESID","",IF(M$7=2005+OFFSET(COM_N_2012!$B$60,$AW181,SUMIF($B$10:$B$16,"NCAP_TLIFE",$AX$10:$AX$16)),0,""))</f>
        <v/>
      </c>
      <c r="N181" s="369" t="str">
        <f ca="1">IF($B181&lt;&gt;"PRC_RESID","",IF(N$7=2005+OFFSET(COM_N_2012!$B$60,$AW181,SUMIF($B$10:$B$16,"NCAP_TLIFE",$AX$10:$AX$16)),0,""))</f>
        <v/>
      </c>
      <c r="O181" s="369" t="str">
        <f ca="1">IF($B181&lt;&gt;"PRC_RESID","",IF(O$7=2005+OFFSET(COM_N_2012!$B$60,$AW181,SUMIF($B$10:$B$16,"NCAP_TLIFE",$AX$10:$AX$16)),0,""))</f>
        <v/>
      </c>
      <c r="P181" s="369" t="str">
        <f ca="1">IF($B181&lt;&gt;"PRC_RESID","",IF(P$7=2005+OFFSET(COM_N_2012!$B$60,$AW181,SUMIF($B$10:$B$16,"NCAP_TLIFE",$AX$10:$AX$16)),0,""))</f>
        <v/>
      </c>
      <c r="Q181" s="369" t="str">
        <f ca="1">IF($B181&lt;&gt;"PRC_RESID","",IF(Q$7=2005+OFFSET(COM_N_2012!$B$60,$AW181,SUMIF($B$10:$B$16,"NCAP_TLIFE",$AX$10:$AX$16)),0,""))</f>
        <v/>
      </c>
      <c r="R181" s="369" t="str">
        <f ca="1">IF($B181&lt;&gt;"PRC_RESID","",IF(R$7=2005+OFFSET(COM_N_2012!$B$60,$AW181,SUMIF($B$10:$B$16,"NCAP_TLIFE",$AX$10:$AX$16)),0,""))</f>
        <v/>
      </c>
      <c r="S181" s="369" t="str">
        <f ca="1">IF($B181&lt;&gt;"PRC_RESID","",IF(S$7=2005+OFFSET(COM_N_2012!$B$60,$AW181,SUMIF($B$10:$B$16,"NCAP_TLIFE",$AX$10:$AX$16)),0,""))</f>
        <v/>
      </c>
      <c r="T181" s="369" t="str">
        <f ca="1">IF($B181&lt;&gt;"PRC_RESID","",IF(T$7=2005+OFFSET(COM_N_2012!$B$60,$AW181,SUMIF($B$10:$B$16,"NCAP_TLIFE",$AX$10:$AX$16)),0,""))</f>
        <v/>
      </c>
      <c r="U181" s="369" t="str">
        <f ca="1">IF($B181&lt;&gt;"PRC_RESID","",IF(U$7=2005+OFFSET(COM_N_2012!$B$60,$AW181,SUMIF($B$10:$B$16,"NCAP_TLIFE",$AX$10:$AX$16)),0,""))</f>
        <v/>
      </c>
      <c r="V181" s="369" t="str">
        <f ca="1">IF($B181&lt;&gt;"PRC_RESID","",IF(V$7=2005+OFFSET(COM_N_2012!$B$60,$AW181,SUMIF($B$10:$B$16,"NCAP_TLIFE",$AX$10:$AX$16)),0,""))</f>
        <v/>
      </c>
      <c r="W181" s="369" t="str">
        <f ca="1">IF($B181&lt;&gt;"PRC_RESID","",IF(W$7=2005+OFFSET(COM_N_2012!$B$60,$AW181,SUMIF($B$10:$B$16,"NCAP_TLIFE",$AX$10:$AX$16)),0,""))</f>
        <v/>
      </c>
      <c r="X181" s="369" t="str">
        <f ca="1">IF($B181&lt;&gt;"PRC_RESID","",IF(X$7=2005+OFFSET(COM_N_2012!$B$60,$AW181,SUMIF($B$10:$B$16,"NCAP_TLIFE",$AX$10:$AX$16)),0,""))</f>
        <v/>
      </c>
      <c r="Y181" s="369" t="str">
        <f ca="1">IF($B181&lt;&gt;"PRC_RESID","",IF(Y$7=2005+OFFSET(COM_N_2012!$B$60,$AW181,SUMIF($B$10:$B$16,"NCAP_TLIFE",$AX$10:$AX$16)),0,""))</f>
        <v/>
      </c>
      <c r="Z181" s="369" t="str">
        <f ca="1">IF($B181&lt;&gt;"PRC_RESID","",IF(Z$7=2005+OFFSET(COM_N_2012!$B$60,$AW181,SUMIF($B$10:$B$16,"NCAP_TLIFE",$AX$10:$AX$16)),0,""))</f>
        <v/>
      </c>
      <c r="AA181" s="369" t="str">
        <f ca="1">IF($B181&lt;&gt;"PRC_RESID","",IF(AA$7=2005+OFFSET(COM_N_2012!$B$60,$AW181,SUMIF($B$10:$B$16,"NCAP_TLIFE",$AX$10:$AX$16)),0,""))</f>
        <v/>
      </c>
      <c r="AB181" s="369" t="str">
        <f ca="1">IF($B181&lt;&gt;"PRC_RESID","",IF(AB$7=2005+OFFSET(COM_N_2012!$B$60,$AW181,SUMIF($B$10:$B$16,"NCAP_TLIFE",$AX$10:$AX$16)),0,""))</f>
        <v/>
      </c>
      <c r="AC181" s="369" t="str">
        <f ca="1">IF($B181&lt;&gt;"PRC_RESID","",IF(AC$7=2005+OFFSET(COM_N_2012!$B$60,$AW181,SUMIF($B$10:$B$16,"NCAP_TLIFE",$AX$10:$AX$16)),0,""))</f>
        <v/>
      </c>
      <c r="AD181" s="369" t="str">
        <f ca="1">IF($B181&lt;&gt;"PRC_RESID","",IF(AD$7=2005+OFFSET(COM_N_2012!$B$60,$AW181,SUMIF($B$10:$B$16,"NCAP_TLIFE",$AX$10:$AX$16)),0,""))</f>
        <v/>
      </c>
      <c r="AE181" s="369" t="str">
        <f ca="1">IF($B181&lt;&gt;"PRC_RESID","",IF(AE$7=2005+OFFSET(COM_N_2012!$B$60,$AW181,SUMIF($B$10:$B$16,"NCAP_TLIFE",$AX$10:$AX$16)),0,""))</f>
        <v/>
      </c>
      <c r="AF181" s="369" t="str">
        <f ca="1">IF($B181&lt;&gt;"PRC_RESID","",IF(AF$7=2005+OFFSET(COM_N_2012!$B$60,$AW181,SUMIF($B$10:$B$16,"NCAP_TLIFE",$AX$10:$AX$16)),0,""))</f>
        <v/>
      </c>
      <c r="AG181" s="369" t="str">
        <f ca="1">IF($B181&lt;&gt;"PRC_RESID","",IF(AG$7=2005+OFFSET(COM_N_2012!$B$60,$AW181,SUMIF($B$10:$B$16,"NCAP_TLIFE",$AX$10:$AX$16)),0,""))</f>
        <v/>
      </c>
      <c r="AH181" s="369" t="str">
        <f ca="1">IF($B181&lt;&gt;"PRC_RESID","",IF(AH$7=2005+OFFSET(COM_N_2012!$B$60,$AW181,SUMIF($B$10:$B$16,"NCAP_TLIFE",$AX$10:$AX$16)),0,""))</f>
        <v/>
      </c>
      <c r="AI181" s="369" t="str">
        <f ca="1">IF($B181&lt;&gt;"PRC_RESID","",IF(AI$7=2005+OFFSET(COM_N_2012!$B$60,$AW181,SUMIF($B$10:$B$16,"NCAP_TLIFE",$AX$10:$AX$16)),0,""))</f>
        <v/>
      </c>
      <c r="AJ181" s="369" t="str">
        <f ca="1">IF($B181&lt;&gt;"PRC_RESID","",IF(AJ$7=2005+OFFSET(COM_N_2012!$B$60,$AW181,SUMIF($B$10:$B$16,"NCAP_TLIFE",$AX$10:$AX$16)),0,""))</f>
        <v/>
      </c>
      <c r="AK181" s="369" t="str">
        <f ca="1">IF($B181&lt;&gt;"PRC_RESID","",IF(AK$7=2005+OFFSET(COM_N_2012!$B$60,$AW181,SUMIF($B$10:$B$16,"NCAP_TLIFE",$AX$10:$AX$16)),0,""))</f>
        <v/>
      </c>
      <c r="AL181" s="369" t="str">
        <f ca="1">IF($B181&lt;&gt;"PRC_RESID","",IF(AL$7=2005+OFFSET(COM_N_2012!$B$60,$AW181,SUMIF($B$10:$B$16,"NCAP_TLIFE",$AX$10:$AX$16)),0,""))</f>
        <v/>
      </c>
      <c r="AM181" s="369" t="str">
        <f ca="1">IF($B181&lt;&gt;"PRC_RESID","",IF(AM$7=2005+OFFSET(COM_N_2012!$B$60,$AW181,SUMIF($B$10:$B$16,"NCAP_TLIFE",$AX$10:$AX$16)),0,""))</f>
        <v/>
      </c>
      <c r="AN181" s="369" t="str">
        <f ca="1">IF($B181&lt;&gt;"PRC_RESID","",IF(AN$7=2005+OFFSET(COM_N_2012!$B$60,$AW181,SUMIF($B$10:$B$16,"NCAP_TLIFE",$AX$10:$AX$16)),0,""))</f>
        <v/>
      </c>
      <c r="AO181" s="369" t="str">
        <f ca="1">IF($B181&lt;&gt;"PRC_RESID","",IF(AO$7=2005+OFFSET(COM_N_2012!$B$60,$AW181,SUMIF($B$10:$B$16,"NCAP_TLIFE",$AX$10:$AX$16)),0,""))</f>
        <v/>
      </c>
      <c r="AP181" s="369" t="str">
        <f ca="1">IF($B181&lt;&gt;"PRC_RESID","",IF(AP$7=2005+OFFSET(COM_N_2012!$B$60,$AW181,SUMIF($B$10:$B$16,"NCAP_TLIFE",$AX$10:$AX$16)),0,""))</f>
        <v/>
      </c>
      <c r="AQ181" s="369" t="str">
        <f ca="1">IF($B181&lt;&gt;"PRC_RESID","",IF(AQ$7=2005+OFFSET(COM_N_2012!$B$60,$AW181,SUMIF($B$10:$B$16,"NCAP_TLIFE",$AX$10:$AX$16)),0,""))</f>
        <v/>
      </c>
      <c r="AR181" s="369" t="str">
        <f ca="1">IF($B181&lt;&gt;"PRC_RESID","",IF(AR$7=2005+OFFSET(COM_N_2012!$B$60,$AW181,SUMIF($B$10:$B$16,"NCAP_TLIFE",$AX$10:$AX$16)),0,""))</f>
        <v/>
      </c>
      <c r="AS181" s="369" t="str">
        <f ca="1">IF($B181&lt;&gt;"PRC_RESID","",IF(AS$7=2005+OFFSET(COM_N_2012!$B$60,$AW181,SUMIF($B$10:$B$16,"NCAP_TLIFE",$AX$10:$AX$16)),0,""))</f>
        <v/>
      </c>
      <c r="AT181" s="369" t="str">
        <f ca="1">IF($B181&lt;&gt;"PRC_RESID","",IF(AT$7=2005+OFFSET(COM_N_2012!$B$60,$AW181,SUMIF($B$10:$B$16,"NCAP_TLIFE",$AX$10:$AX$16)),0,""))</f>
        <v/>
      </c>
      <c r="AU181" s="369" t="str">
        <f ca="1">IF($B181&lt;&gt;"PRC_RESID","",IF(AU$7=2005+OFFSET(COM_N_2012!$B$60,$AW181,SUMIF($B$10:$B$16,"NCAP_TLIFE",$AX$10:$AX$16)),0,""))</f>
        <v/>
      </c>
      <c r="AV181" s="304">
        <f>IF(AW180=COM_N_2012!$AK$121,AV180+1,AV180)</f>
        <v>3</v>
      </c>
      <c r="AW181" s="304">
        <f t="shared" si="20"/>
        <v>42</v>
      </c>
    </row>
    <row r="182" spans="1:49">
      <c r="A182" s="304" t="str">
        <f ca="1">IF(LEFT(OFFSET(COM_N_2012!$A$60,AW182,0),2)="\I","*","")</f>
        <v/>
      </c>
      <c r="B182" s="369" t="str">
        <f t="shared" ca="1" si="19"/>
        <v>NCAP_TLIFE</v>
      </c>
      <c r="C182" s="369" t="str">
        <f ca="1">IF($A182="*","",OFFSET(COM_N_2012!$B$60,AW182,0))</f>
        <v>CNGELCHAL-E</v>
      </c>
      <c r="D182" s="369" t="str">
        <f t="shared" ca="1" si="24"/>
        <v>-</v>
      </c>
      <c r="E182" s="369" t="str">
        <f t="shared" ca="1" si="24"/>
        <v>-</v>
      </c>
      <c r="F182" s="369" t="str">
        <f t="shared" ca="1" si="24"/>
        <v>-</v>
      </c>
      <c r="G182" s="369" t="str">
        <f t="shared" ca="1" si="24"/>
        <v>-</v>
      </c>
      <c r="H182" s="369" t="str">
        <f t="shared" ca="1" si="24"/>
        <v>-</v>
      </c>
      <c r="I182" s="370">
        <f t="shared" ca="1" si="24"/>
        <v>0</v>
      </c>
      <c r="J182" s="391">
        <f ca="1">IF($A182="*","",OFFSET(COM_N_2012!$B$60,AW182,SUMIF($B$10:$B$16,B182,$AX$10:$AX$16)))</f>
        <v>10</v>
      </c>
      <c r="K182" s="369" t="str">
        <f ca="1">IF($B182&lt;&gt;"PRC_RESID","",IF(K$7=2005+OFFSET(COM_N_2012!$B$60,$AW182,SUMIF($B$10:$B$16,"NCAP_TLIFE",$AX$10:$AX$16)),0,""))</f>
        <v/>
      </c>
      <c r="L182" s="369" t="str">
        <f ca="1">IF($B182&lt;&gt;"PRC_RESID","",IF(L$7=2005+OFFSET(COM_N_2012!$B$60,$AW182,SUMIF($B$10:$B$16,"NCAP_TLIFE",$AX$10:$AX$16)),0,""))</f>
        <v/>
      </c>
      <c r="M182" s="369" t="str">
        <f ca="1">IF($B182&lt;&gt;"PRC_RESID","",IF(M$7=2005+OFFSET(COM_N_2012!$B$60,$AW182,SUMIF($B$10:$B$16,"NCAP_TLIFE",$AX$10:$AX$16)),0,""))</f>
        <v/>
      </c>
      <c r="N182" s="369" t="str">
        <f ca="1">IF($B182&lt;&gt;"PRC_RESID","",IF(N$7=2005+OFFSET(COM_N_2012!$B$60,$AW182,SUMIF($B$10:$B$16,"NCAP_TLIFE",$AX$10:$AX$16)),0,""))</f>
        <v/>
      </c>
      <c r="O182" s="369" t="str">
        <f ca="1">IF($B182&lt;&gt;"PRC_RESID","",IF(O$7=2005+OFFSET(COM_N_2012!$B$60,$AW182,SUMIF($B$10:$B$16,"NCAP_TLIFE",$AX$10:$AX$16)),0,""))</f>
        <v/>
      </c>
      <c r="P182" s="369" t="str">
        <f ca="1">IF($B182&lt;&gt;"PRC_RESID","",IF(P$7=2005+OFFSET(COM_N_2012!$B$60,$AW182,SUMIF($B$10:$B$16,"NCAP_TLIFE",$AX$10:$AX$16)),0,""))</f>
        <v/>
      </c>
      <c r="Q182" s="369" t="str">
        <f ca="1">IF($B182&lt;&gt;"PRC_RESID","",IF(Q$7=2005+OFFSET(COM_N_2012!$B$60,$AW182,SUMIF($B$10:$B$16,"NCAP_TLIFE",$AX$10:$AX$16)),0,""))</f>
        <v/>
      </c>
      <c r="R182" s="369" t="str">
        <f ca="1">IF($B182&lt;&gt;"PRC_RESID","",IF(R$7=2005+OFFSET(COM_N_2012!$B$60,$AW182,SUMIF($B$10:$B$16,"NCAP_TLIFE",$AX$10:$AX$16)),0,""))</f>
        <v/>
      </c>
      <c r="S182" s="369" t="str">
        <f ca="1">IF($B182&lt;&gt;"PRC_RESID","",IF(S$7=2005+OFFSET(COM_N_2012!$B$60,$AW182,SUMIF($B$10:$B$16,"NCAP_TLIFE",$AX$10:$AX$16)),0,""))</f>
        <v/>
      </c>
      <c r="T182" s="369" t="str">
        <f ca="1">IF($B182&lt;&gt;"PRC_RESID","",IF(T$7=2005+OFFSET(COM_N_2012!$B$60,$AW182,SUMIF($B$10:$B$16,"NCAP_TLIFE",$AX$10:$AX$16)),0,""))</f>
        <v/>
      </c>
      <c r="U182" s="369" t="str">
        <f ca="1">IF($B182&lt;&gt;"PRC_RESID","",IF(U$7=2005+OFFSET(COM_N_2012!$B$60,$AW182,SUMIF($B$10:$B$16,"NCAP_TLIFE",$AX$10:$AX$16)),0,""))</f>
        <v/>
      </c>
      <c r="V182" s="369" t="str">
        <f ca="1">IF($B182&lt;&gt;"PRC_RESID","",IF(V$7=2005+OFFSET(COM_N_2012!$B$60,$AW182,SUMIF($B$10:$B$16,"NCAP_TLIFE",$AX$10:$AX$16)),0,""))</f>
        <v/>
      </c>
      <c r="W182" s="369" t="str">
        <f ca="1">IF($B182&lt;&gt;"PRC_RESID","",IF(W$7=2005+OFFSET(COM_N_2012!$B$60,$AW182,SUMIF($B$10:$B$16,"NCAP_TLIFE",$AX$10:$AX$16)),0,""))</f>
        <v/>
      </c>
      <c r="X182" s="369" t="str">
        <f ca="1">IF($B182&lt;&gt;"PRC_RESID","",IF(X$7=2005+OFFSET(COM_N_2012!$B$60,$AW182,SUMIF($B$10:$B$16,"NCAP_TLIFE",$AX$10:$AX$16)),0,""))</f>
        <v/>
      </c>
      <c r="Y182" s="369" t="str">
        <f ca="1">IF($B182&lt;&gt;"PRC_RESID","",IF(Y$7=2005+OFFSET(COM_N_2012!$B$60,$AW182,SUMIF($B$10:$B$16,"NCAP_TLIFE",$AX$10:$AX$16)),0,""))</f>
        <v/>
      </c>
      <c r="Z182" s="369" t="str">
        <f ca="1">IF($B182&lt;&gt;"PRC_RESID","",IF(Z$7=2005+OFFSET(COM_N_2012!$B$60,$AW182,SUMIF($B$10:$B$16,"NCAP_TLIFE",$AX$10:$AX$16)),0,""))</f>
        <v/>
      </c>
      <c r="AA182" s="369" t="str">
        <f ca="1">IF($B182&lt;&gt;"PRC_RESID","",IF(AA$7=2005+OFFSET(COM_N_2012!$B$60,$AW182,SUMIF($B$10:$B$16,"NCAP_TLIFE",$AX$10:$AX$16)),0,""))</f>
        <v/>
      </c>
      <c r="AB182" s="369" t="str">
        <f ca="1">IF($B182&lt;&gt;"PRC_RESID","",IF(AB$7=2005+OFFSET(COM_N_2012!$B$60,$AW182,SUMIF($B$10:$B$16,"NCAP_TLIFE",$AX$10:$AX$16)),0,""))</f>
        <v/>
      </c>
      <c r="AC182" s="369" t="str">
        <f ca="1">IF($B182&lt;&gt;"PRC_RESID","",IF(AC$7=2005+OFFSET(COM_N_2012!$B$60,$AW182,SUMIF($B$10:$B$16,"NCAP_TLIFE",$AX$10:$AX$16)),0,""))</f>
        <v/>
      </c>
      <c r="AD182" s="369" t="str">
        <f ca="1">IF($B182&lt;&gt;"PRC_RESID","",IF(AD$7=2005+OFFSET(COM_N_2012!$B$60,$AW182,SUMIF($B$10:$B$16,"NCAP_TLIFE",$AX$10:$AX$16)),0,""))</f>
        <v/>
      </c>
      <c r="AE182" s="369" t="str">
        <f ca="1">IF($B182&lt;&gt;"PRC_RESID","",IF(AE$7=2005+OFFSET(COM_N_2012!$B$60,$AW182,SUMIF($B$10:$B$16,"NCAP_TLIFE",$AX$10:$AX$16)),0,""))</f>
        <v/>
      </c>
      <c r="AF182" s="369" t="str">
        <f ca="1">IF($B182&lt;&gt;"PRC_RESID","",IF(AF$7=2005+OFFSET(COM_N_2012!$B$60,$AW182,SUMIF($B$10:$B$16,"NCAP_TLIFE",$AX$10:$AX$16)),0,""))</f>
        <v/>
      </c>
      <c r="AG182" s="369" t="str">
        <f ca="1">IF($B182&lt;&gt;"PRC_RESID","",IF(AG$7=2005+OFFSET(COM_N_2012!$B$60,$AW182,SUMIF($B$10:$B$16,"NCAP_TLIFE",$AX$10:$AX$16)),0,""))</f>
        <v/>
      </c>
      <c r="AH182" s="369" t="str">
        <f ca="1">IF($B182&lt;&gt;"PRC_RESID","",IF(AH$7=2005+OFFSET(COM_N_2012!$B$60,$AW182,SUMIF($B$10:$B$16,"NCAP_TLIFE",$AX$10:$AX$16)),0,""))</f>
        <v/>
      </c>
      <c r="AI182" s="369" t="str">
        <f ca="1">IF($B182&lt;&gt;"PRC_RESID","",IF(AI$7=2005+OFFSET(COM_N_2012!$B$60,$AW182,SUMIF($B$10:$B$16,"NCAP_TLIFE",$AX$10:$AX$16)),0,""))</f>
        <v/>
      </c>
      <c r="AJ182" s="369" t="str">
        <f ca="1">IF($B182&lt;&gt;"PRC_RESID","",IF(AJ$7=2005+OFFSET(COM_N_2012!$B$60,$AW182,SUMIF($B$10:$B$16,"NCAP_TLIFE",$AX$10:$AX$16)),0,""))</f>
        <v/>
      </c>
      <c r="AK182" s="369" t="str">
        <f ca="1">IF($B182&lt;&gt;"PRC_RESID","",IF(AK$7=2005+OFFSET(COM_N_2012!$B$60,$AW182,SUMIF($B$10:$B$16,"NCAP_TLIFE",$AX$10:$AX$16)),0,""))</f>
        <v/>
      </c>
      <c r="AL182" s="369" t="str">
        <f ca="1">IF($B182&lt;&gt;"PRC_RESID","",IF(AL$7=2005+OFFSET(COM_N_2012!$B$60,$AW182,SUMIF($B$10:$B$16,"NCAP_TLIFE",$AX$10:$AX$16)),0,""))</f>
        <v/>
      </c>
      <c r="AM182" s="369" t="str">
        <f ca="1">IF($B182&lt;&gt;"PRC_RESID","",IF(AM$7=2005+OFFSET(COM_N_2012!$B$60,$AW182,SUMIF($B$10:$B$16,"NCAP_TLIFE",$AX$10:$AX$16)),0,""))</f>
        <v/>
      </c>
      <c r="AN182" s="369" t="str">
        <f ca="1">IF($B182&lt;&gt;"PRC_RESID","",IF(AN$7=2005+OFFSET(COM_N_2012!$B$60,$AW182,SUMIF($B$10:$B$16,"NCAP_TLIFE",$AX$10:$AX$16)),0,""))</f>
        <v/>
      </c>
      <c r="AO182" s="369" t="str">
        <f ca="1">IF($B182&lt;&gt;"PRC_RESID","",IF(AO$7=2005+OFFSET(COM_N_2012!$B$60,$AW182,SUMIF($B$10:$B$16,"NCAP_TLIFE",$AX$10:$AX$16)),0,""))</f>
        <v/>
      </c>
      <c r="AP182" s="369" t="str">
        <f ca="1">IF($B182&lt;&gt;"PRC_RESID","",IF(AP$7=2005+OFFSET(COM_N_2012!$B$60,$AW182,SUMIF($B$10:$B$16,"NCAP_TLIFE",$AX$10:$AX$16)),0,""))</f>
        <v/>
      </c>
      <c r="AQ182" s="369" t="str">
        <f ca="1">IF($B182&lt;&gt;"PRC_RESID","",IF(AQ$7=2005+OFFSET(COM_N_2012!$B$60,$AW182,SUMIF($B$10:$B$16,"NCAP_TLIFE",$AX$10:$AX$16)),0,""))</f>
        <v/>
      </c>
      <c r="AR182" s="369" t="str">
        <f ca="1">IF($B182&lt;&gt;"PRC_RESID","",IF(AR$7=2005+OFFSET(COM_N_2012!$B$60,$AW182,SUMIF($B$10:$B$16,"NCAP_TLIFE",$AX$10:$AX$16)),0,""))</f>
        <v/>
      </c>
      <c r="AS182" s="369" t="str">
        <f ca="1">IF($B182&lt;&gt;"PRC_RESID","",IF(AS$7=2005+OFFSET(COM_N_2012!$B$60,$AW182,SUMIF($B$10:$B$16,"NCAP_TLIFE",$AX$10:$AX$16)),0,""))</f>
        <v/>
      </c>
      <c r="AT182" s="369" t="str">
        <f ca="1">IF($B182&lt;&gt;"PRC_RESID","",IF(AT$7=2005+OFFSET(COM_N_2012!$B$60,$AW182,SUMIF($B$10:$B$16,"NCAP_TLIFE",$AX$10:$AX$16)),0,""))</f>
        <v/>
      </c>
      <c r="AU182" s="369" t="str">
        <f ca="1">IF($B182&lt;&gt;"PRC_RESID","",IF(AU$7=2005+OFFSET(COM_N_2012!$B$60,$AW182,SUMIF($B$10:$B$16,"NCAP_TLIFE",$AX$10:$AX$16)),0,""))</f>
        <v/>
      </c>
      <c r="AV182" s="304">
        <f>IF(AW181=COM_N_2012!$AK$121,AV181+1,AV181)</f>
        <v>3</v>
      </c>
      <c r="AW182" s="304">
        <f t="shared" si="20"/>
        <v>43</v>
      </c>
    </row>
    <row r="183" spans="1:49">
      <c r="A183" s="304" t="str">
        <f ca="1">IF(LEFT(OFFSET(COM_N_2012!$A$60,AW183,0),2)="\I","*","")</f>
        <v/>
      </c>
      <c r="B183" s="369" t="str">
        <f t="shared" ca="1" si="19"/>
        <v>NCAP_TLIFE</v>
      </c>
      <c r="C183" s="369" t="str">
        <f ca="1">IF($A183="*","",OFFSET(COM_N_2012!$B$60,AW183,0))</f>
        <v>CNGELCHPM-E</v>
      </c>
      <c r="D183" s="369" t="str">
        <f t="shared" ca="1" si="24"/>
        <v>-</v>
      </c>
      <c r="E183" s="369" t="str">
        <f t="shared" ca="1" si="24"/>
        <v>-</v>
      </c>
      <c r="F183" s="369" t="str">
        <f t="shared" ca="1" si="24"/>
        <v>-</v>
      </c>
      <c r="G183" s="369" t="str">
        <f t="shared" ca="1" si="24"/>
        <v>-</v>
      </c>
      <c r="H183" s="369" t="str">
        <f t="shared" ca="1" si="24"/>
        <v>-</v>
      </c>
      <c r="I183" s="370">
        <f t="shared" ca="1" si="24"/>
        <v>0</v>
      </c>
      <c r="J183" s="391">
        <f ca="1">IF($A183="*","",OFFSET(COM_N_2012!$B$60,AW183,SUMIF($B$10:$B$16,B183,$AX$10:$AX$16)))</f>
        <v>11</v>
      </c>
      <c r="K183" s="369" t="str">
        <f ca="1">IF($B183&lt;&gt;"PRC_RESID","",IF(K$7=2005+OFFSET(COM_N_2012!$B$60,$AW183,SUMIF($B$10:$B$16,"NCAP_TLIFE",$AX$10:$AX$16)),0,""))</f>
        <v/>
      </c>
      <c r="L183" s="369" t="str">
        <f ca="1">IF($B183&lt;&gt;"PRC_RESID","",IF(L$7=2005+OFFSET(COM_N_2012!$B$60,$AW183,SUMIF($B$10:$B$16,"NCAP_TLIFE",$AX$10:$AX$16)),0,""))</f>
        <v/>
      </c>
      <c r="M183" s="369" t="str">
        <f ca="1">IF($B183&lt;&gt;"PRC_RESID","",IF(M$7=2005+OFFSET(COM_N_2012!$B$60,$AW183,SUMIF($B$10:$B$16,"NCAP_TLIFE",$AX$10:$AX$16)),0,""))</f>
        <v/>
      </c>
      <c r="N183" s="369" t="str">
        <f ca="1">IF($B183&lt;&gt;"PRC_RESID","",IF(N$7=2005+OFFSET(COM_N_2012!$B$60,$AW183,SUMIF($B$10:$B$16,"NCAP_TLIFE",$AX$10:$AX$16)),0,""))</f>
        <v/>
      </c>
      <c r="O183" s="369" t="str">
        <f ca="1">IF($B183&lt;&gt;"PRC_RESID","",IF(O$7=2005+OFFSET(COM_N_2012!$B$60,$AW183,SUMIF($B$10:$B$16,"NCAP_TLIFE",$AX$10:$AX$16)),0,""))</f>
        <v/>
      </c>
      <c r="P183" s="369" t="str">
        <f ca="1">IF($B183&lt;&gt;"PRC_RESID","",IF(P$7=2005+OFFSET(COM_N_2012!$B$60,$AW183,SUMIF($B$10:$B$16,"NCAP_TLIFE",$AX$10:$AX$16)),0,""))</f>
        <v/>
      </c>
      <c r="Q183" s="369" t="str">
        <f ca="1">IF($B183&lt;&gt;"PRC_RESID","",IF(Q$7=2005+OFFSET(COM_N_2012!$B$60,$AW183,SUMIF($B$10:$B$16,"NCAP_TLIFE",$AX$10:$AX$16)),0,""))</f>
        <v/>
      </c>
      <c r="R183" s="369" t="str">
        <f ca="1">IF($B183&lt;&gt;"PRC_RESID","",IF(R$7=2005+OFFSET(COM_N_2012!$B$60,$AW183,SUMIF($B$10:$B$16,"NCAP_TLIFE",$AX$10:$AX$16)),0,""))</f>
        <v/>
      </c>
      <c r="S183" s="369" t="str">
        <f ca="1">IF($B183&lt;&gt;"PRC_RESID","",IF(S$7=2005+OFFSET(COM_N_2012!$B$60,$AW183,SUMIF($B$10:$B$16,"NCAP_TLIFE",$AX$10:$AX$16)),0,""))</f>
        <v/>
      </c>
      <c r="T183" s="369" t="str">
        <f ca="1">IF($B183&lt;&gt;"PRC_RESID","",IF(T$7=2005+OFFSET(COM_N_2012!$B$60,$AW183,SUMIF($B$10:$B$16,"NCAP_TLIFE",$AX$10:$AX$16)),0,""))</f>
        <v/>
      </c>
      <c r="U183" s="369" t="str">
        <f ca="1">IF($B183&lt;&gt;"PRC_RESID","",IF(U$7=2005+OFFSET(COM_N_2012!$B$60,$AW183,SUMIF($B$10:$B$16,"NCAP_TLIFE",$AX$10:$AX$16)),0,""))</f>
        <v/>
      </c>
      <c r="V183" s="369" t="str">
        <f ca="1">IF($B183&lt;&gt;"PRC_RESID","",IF(V$7=2005+OFFSET(COM_N_2012!$B$60,$AW183,SUMIF($B$10:$B$16,"NCAP_TLIFE",$AX$10:$AX$16)),0,""))</f>
        <v/>
      </c>
      <c r="W183" s="369" t="str">
        <f ca="1">IF($B183&lt;&gt;"PRC_RESID","",IF(W$7=2005+OFFSET(COM_N_2012!$B$60,$AW183,SUMIF($B$10:$B$16,"NCAP_TLIFE",$AX$10:$AX$16)),0,""))</f>
        <v/>
      </c>
      <c r="X183" s="369" t="str">
        <f ca="1">IF($B183&lt;&gt;"PRC_RESID","",IF(X$7=2005+OFFSET(COM_N_2012!$B$60,$AW183,SUMIF($B$10:$B$16,"NCAP_TLIFE",$AX$10:$AX$16)),0,""))</f>
        <v/>
      </c>
      <c r="Y183" s="369" t="str">
        <f ca="1">IF($B183&lt;&gt;"PRC_RESID","",IF(Y$7=2005+OFFSET(COM_N_2012!$B$60,$AW183,SUMIF($B$10:$B$16,"NCAP_TLIFE",$AX$10:$AX$16)),0,""))</f>
        <v/>
      </c>
      <c r="Z183" s="369" t="str">
        <f ca="1">IF($B183&lt;&gt;"PRC_RESID","",IF(Z$7=2005+OFFSET(COM_N_2012!$B$60,$AW183,SUMIF($B$10:$B$16,"NCAP_TLIFE",$AX$10:$AX$16)),0,""))</f>
        <v/>
      </c>
      <c r="AA183" s="369" t="str">
        <f ca="1">IF($B183&lt;&gt;"PRC_RESID","",IF(AA$7=2005+OFFSET(COM_N_2012!$B$60,$AW183,SUMIF($B$10:$B$16,"NCAP_TLIFE",$AX$10:$AX$16)),0,""))</f>
        <v/>
      </c>
      <c r="AB183" s="369" t="str">
        <f ca="1">IF($B183&lt;&gt;"PRC_RESID","",IF(AB$7=2005+OFFSET(COM_N_2012!$B$60,$AW183,SUMIF($B$10:$B$16,"NCAP_TLIFE",$AX$10:$AX$16)),0,""))</f>
        <v/>
      </c>
      <c r="AC183" s="369" t="str">
        <f ca="1">IF($B183&lt;&gt;"PRC_RESID","",IF(AC$7=2005+OFFSET(COM_N_2012!$B$60,$AW183,SUMIF($B$10:$B$16,"NCAP_TLIFE",$AX$10:$AX$16)),0,""))</f>
        <v/>
      </c>
      <c r="AD183" s="369" t="str">
        <f ca="1">IF($B183&lt;&gt;"PRC_RESID","",IF(AD$7=2005+OFFSET(COM_N_2012!$B$60,$AW183,SUMIF($B$10:$B$16,"NCAP_TLIFE",$AX$10:$AX$16)),0,""))</f>
        <v/>
      </c>
      <c r="AE183" s="369" t="str">
        <f ca="1">IF($B183&lt;&gt;"PRC_RESID","",IF(AE$7=2005+OFFSET(COM_N_2012!$B$60,$AW183,SUMIF($B$10:$B$16,"NCAP_TLIFE",$AX$10:$AX$16)),0,""))</f>
        <v/>
      </c>
      <c r="AF183" s="369" t="str">
        <f ca="1">IF($B183&lt;&gt;"PRC_RESID","",IF(AF$7=2005+OFFSET(COM_N_2012!$B$60,$AW183,SUMIF($B$10:$B$16,"NCAP_TLIFE",$AX$10:$AX$16)),0,""))</f>
        <v/>
      </c>
      <c r="AG183" s="369" t="str">
        <f ca="1">IF($B183&lt;&gt;"PRC_RESID","",IF(AG$7=2005+OFFSET(COM_N_2012!$B$60,$AW183,SUMIF($B$10:$B$16,"NCAP_TLIFE",$AX$10:$AX$16)),0,""))</f>
        <v/>
      </c>
      <c r="AH183" s="369" t="str">
        <f ca="1">IF($B183&lt;&gt;"PRC_RESID","",IF(AH$7=2005+OFFSET(COM_N_2012!$B$60,$AW183,SUMIF($B$10:$B$16,"NCAP_TLIFE",$AX$10:$AX$16)),0,""))</f>
        <v/>
      </c>
      <c r="AI183" s="369" t="str">
        <f ca="1">IF($B183&lt;&gt;"PRC_RESID","",IF(AI$7=2005+OFFSET(COM_N_2012!$B$60,$AW183,SUMIF($B$10:$B$16,"NCAP_TLIFE",$AX$10:$AX$16)),0,""))</f>
        <v/>
      </c>
      <c r="AJ183" s="369" t="str">
        <f ca="1">IF($B183&lt;&gt;"PRC_RESID","",IF(AJ$7=2005+OFFSET(COM_N_2012!$B$60,$AW183,SUMIF($B$10:$B$16,"NCAP_TLIFE",$AX$10:$AX$16)),0,""))</f>
        <v/>
      </c>
      <c r="AK183" s="369" t="str">
        <f ca="1">IF($B183&lt;&gt;"PRC_RESID","",IF(AK$7=2005+OFFSET(COM_N_2012!$B$60,$AW183,SUMIF($B$10:$B$16,"NCAP_TLIFE",$AX$10:$AX$16)),0,""))</f>
        <v/>
      </c>
      <c r="AL183" s="369" t="str">
        <f ca="1">IF($B183&lt;&gt;"PRC_RESID","",IF(AL$7=2005+OFFSET(COM_N_2012!$B$60,$AW183,SUMIF($B$10:$B$16,"NCAP_TLIFE",$AX$10:$AX$16)),0,""))</f>
        <v/>
      </c>
      <c r="AM183" s="369" t="str">
        <f ca="1">IF($B183&lt;&gt;"PRC_RESID","",IF(AM$7=2005+OFFSET(COM_N_2012!$B$60,$AW183,SUMIF($B$10:$B$16,"NCAP_TLIFE",$AX$10:$AX$16)),0,""))</f>
        <v/>
      </c>
      <c r="AN183" s="369" t="str">
        <f ca="1">IF($B183&lt;&gt;"PRC_RESID","",IF(AN$7=2005+OFFSET(COM_N_2012!$B$60,$AW183,SUMIF($B$10:$B$16,"NCAP_TLIFE",$AX$10:$AX$16)),0,""))</f>
        <v/>
      </c>
      <c r="AO183" s="369" t="str">
        <f ca="1">IF($B183&lt;&gt;"PRC_RESID","",IF(AO$7=2005+OFFSET(COM_N_2012!$B$60,$AW183,SUMIF($B$10:$B$16,"NCAP_TLIFE",$AX$10:$AX$16)),0,""))</f>
        <v/>
      </c>
      <c r="AP183" s="369" t="str">
        <f ca="1">IF($B183&lt;&gt;"PRC_RESID","",IF(AP$7=2005+OFFSET(COM_N_2012!$B$60,$AW183,SUMIF($B$10:$B$16,"NCAP_TLIFE",$AX$10:$AX$16)),0,""))</f>
        <v/>
      </c>
      <c r="AQ183" s="369" t="str">
        <f ca="1">IF($B183&lt;&gt;"PRC_RESID","",IF(AQ$7=2005+OFFSET(COM_N_2012!$B$60,$AW183,SUMIF($B$10:$B$16,"NCAP_TLIFE",$AX$10:$AX$16)),0,""))</f>
        <v/>
      </c>
      <c r="AR183" s="369" t="str">
        <f ca="1">IF($B183&lt;&gt;"PRC_RESID","",IF(AR$7=2005+OFFSET(COM_N_2012!$B$60,$AW183,SUMIF($B$10:$B$16,"NCAP_TLIFE",$AX$10:$AX$16)),0,""))</f>
        <v/>
      </c>
      <c r="AS183" s="369" t="str">
        <f ca="1">IF($B183&lt;&gt;"PRC_RESID","",IF(AS$7=2005+OFFSET(COM_N_2012!$B$60,$AW183,SUMIF($B$10:$B$16,"NCAP_TLIFE",$AX$10:$AX$16)),0,""))</f>
        <v/>
      </c>
      <c r="AT183" s="369" t="str">
        <f ca="1">IF($B183&lt;&gt;"PRC_RESID","",IF(AT$7=2005+OFFSET(COM_N_2012!$B$60,$AW183,SUMIF($B$10:$B$16,"NCAP_TLIFE",$AX$10:$AX$16)),0,""))</f>
        <v/>
      </c>
      <c r="AU183" s="369" t="str">
        <f ca="1">IF($B183&lt;&gt;"PRC_RESID","",IF(AU$7=2005+OFFSET(COM_N_2012!$B$60,$AW183,SUMIF($B$10:$B$16,"NCAP_TLIFE",$AX$10:$AX$16)),0,""))</f>
        <v/>
      </c>
      <c r="AV183" s="304">
        <f>IF(AW182=COM_N_2012!$AK$121,AV182+1,AV182)</f>
        <v>3</v>
      </c>
      <c r="AW183" s="304">
        <f t="shared" si="20"/>
        <v>44</v>
      </c>
    </row>
    <row r="184" spans="1:49">
      <c r="A184" s="304" t="str">
        <f ca="1">IF(LEFT(OFFSET(COM_N_2012!$A$60,AW184,0),2)="\I","*","")</f>
        <v/>
      </c>
      <c r="B184" s="369" t="str">
        <f t="shared" ca="1" si="19"/>
        <v>NCAP_TLIFE</v>
      </c>
      <c r="C184" s="369" t="str">
        <f ca="1">IF($A184="*","",OFFSET(COM_N_2012!$B$60,AW184,0))</f>
        <v>CNGELCHPS-E</v>
      </c>
      <c r="D184" s="369" t="str">
        <f t="shared" ca="1" si="24"/>
        <v>-</v>
      </c>
      <c r="E184" s="369" t="str">
        <f t="shared" ca="1" si="24"/>
        <v>-</v>
      </c>
      <c r="F184" s="369" t="str">
        <f t="shared" ca="1" si="24"/>
        <v>-</v>
      </c>
      <c r="G184" s="369" t="str">
        <f t="shared" ca="1" si="24"/>
        <v>-</v>
      </c>
      <c r="H184" s="369" t="str">
        <f t="shared" ca="1" si="24"/>
        <v>-</v>
      </c>
      <c r="I184" s="370">
        <f t="shared" ca="1" si="24"/>
        <v>0</v>
      </c>
      <c r="J184" s="391">
        <f ca="1">IF($A184="*","",OFFSET(COM_N_2012!$B$60,AW184,SUMIF($B$10:$B$16,B184,$AX$10:$AX$16)))</f>
        <v>12</v>
      </c>
      <c r="K184" s="369" t="str">
        <f ca="1">IF($B184&lt;&gt;"PRC_RESID","",IF(K$7=2005+OFFSET(COM_N_2012!$B$60,$AW184,SUMIF($B$10:$B$16,"NCAP_TLIFE",$AX$10:$AX$16)),0,""))</f>
        <v/>
      </c>
      <c r="L184" s="369" t="str">
        <f ca="1">IF($B184&lt;&gt;"PRC_RESID","",IF(L$7=2005+OFFSET(COM_N_2012!$B$60,$AW184,SUMIF($B$10:$B$16,"NCAP_TLIFE",$AX$10:$AX$16)),0,""))</f>
        <v/>
      </c>
      <c r="M184" s="369" t="str">
        <f ca="1">IF($B184&lt;&gt;"PRC_RESID","",IF(M$7=2005+OFFSET(COM_N_2012!$B$60,$AW184,SUMIF($B$10:$B$16,"NCAP_TLIFE",$AX$10:$AX$16)),0,""))</f>
        <v/>
      </c>
      <c r="N184" s="369" t="str">
        <f ca="1">IF($B184&lt;&gt;"PRC_RESID","",IF(N$7=2005+OFFSET(COM_N_2012!$B$60,$AW184,SUMIF($B$10:$B$16,"NCAP_TLIFE",$AX$10:$AX$16)),0,""))</f>
        <v/>
      </c>
      <c r="O184" s="369" t="str">
        <f ca="1">IF($B184&lt;&gt;"PRC_RESID","",IF(O$7=2005+OFFSET(COM_N_2012!$B$60,$AW184,SUMIF($B$10:$B$16,"NCAP_TLIFE",$AX$10:$AX$16)),0,""))</f>
        <v/>
      </c>
      <c r="P184" s="369" t="str">
        <f ca="1">IF($B184&lt;&gt;"PRC_RESID","",IF(P$7=2005+OFFSET(COM_N_2012!$B$60,$AW184,SUMIF($B$10:$B$16,"NCAP_TLIFE",$AX$10:$AX$16)),0,""))</f>
        <v/>
      </c>
      <c r="Q184" s="369" t="str">
        <f ca="1">IF($B184&lt;&gt;"PRC_RESID","",IF(Q$7=2005+OFFSET(COM_N_2012!$B$60,$AW184,SUMIF($B$10:$B$16,"NCAP_TLIFE",$AX$10:$AX$16)),0,""))</f>
        <v/>
      </c>
      <c r="R184" s="369" t="str">
        <f ca="1">IF($B184&lt;&gt;"PRC_RESID","",IF(R$7=2005+OFFSET(COM_N_2012!$B$60,$AW184,SUMIF($B$10:$B$16,"NCAP_TLIFE",$AX$10:$AX$16)),0,""))</f>
        <v/>
      </c>
      <c r="S184" s="369" t="str">
        <f ca="1">IF($B184&lt;&gt;"PRC_RESID","",IF(S$7=2005+OFFSET(COM_N_2012!$B$60,$AW184,SUMIF($B$10:$B$16,"NCAP_TLIFE",$AX$10:$AX$16)),0,""))</f>
        <v/>
      </c>
      <c r="T184" s="369" t="str">
        <f ca="1">IF($B184&lt;&gt;"PRC_RESID","",IF(T$7=2005+OFFSET(COM_N_2012!$B$60,$AW184,SUMIF($B$10:$B$16,"NCAP_TLIFE",$AX$10:$AX$16)),0,""))</f>
        <v/>
      </c>
      <c r="U184" s="369" t="str">
        <f ca="1">IF($B184&lt;&gt;"PRC_RESID","",IF(U$7=2005+OFFSET(COM_N_2012!$B$60,$AW184,SUMIF($B$10:$B$16,"NCAP_TLIFE",$AX$10:$AX$16)),0,""))</f>
        <v/>
      </c>
      <c r="V184" s="369" t="str">
        <f ca="1">IF($B184&lt;&gt;"PRC_RESID","",IF(V$7=2005+OFFSET(COM_N_2012!$B$60,$AW184,SUMIF($B$10:$B$16,"NCAP_TLIFE",$AX$10:$AX$16)),0,""))</f>
        <v/>
      </c>
      <c r="W184" s="369" t="str">
        <f ca="1">IF($B184&lt;&gt;"PRC_RESID","",IF(W$7=2005+OFFSET(COM_N_2012!$B$60,$AW184,SUMIF($B$10:$B$16,"NCAP_TLIFE",$AX$10:$AX$16)),0,""))</f>
        <v/>
      </c>
      <c r="X184" s="369" t="str">
        <f ca="1">IF($B184&lt;&gt;"PRC_RESID","",IF(X$7=2005+OFFSET(COM_N_2012!$B$60,$AW184,SUMIF($B$10:$B$16,"NCAP_TLIFE",$AX$10:$AX$16)),0,""))</f>
        <v/>
      </c>
      <c r="Y184" s="369" t="str">
        <f ca="1">IF($B184&lt;&gt;"PRC_RESID","",IF(Y$7=2005+OFFSET(COM_N_2012!$B$60,$AW184,SUMIF($B$10:$B$16,"NCAP_TLIFE",$AX$10:$AX$16)),0,""))</f>
        <v/>
      </c>
      <c r="Z184" s="369" t="str">
        <f ca="1">IF($B184&lt;&gt;"PRC_RESID","",IF(Z$7=2005+OFFSET(COM_N_2012!$B$60,$AW184,SUMIF($B$10:$B$16,"NCAP_TLIFE",$AX$10:$AX$16)),0,""))</f>
        <v/>
      </c>
      <c r="AA184" s="369" t="str">
        <f ca="1">IF($B184&lt;&gt;"PRC_RESID","",IF(AA$7=2005+OFFSET(COM_N_2012!$B$60,$AW184,SUMIF($B$10:$B$16,"NCAP_TLIFE",$AX$10:$AX$16)),0,""))</f>
        <v/>
      </c>
      <c r="AB184" s="369" t="str">
        <f ca="1">IF($B184&lt;&gt;"PRC_RESID","",IF(AB$7=2005+OFFSET(COM_N_2012!$B$60,$AW184,SUMIF($B$10:$B$16,"NCAP_TLIFE",$AX$10:$AX$16)),0,""))</f>
        <v/>
      </c>
      <c r="AC184" s="369" t="str">
        <f ca="1">IF($B184&lt;&gt;"PRC_RESID","",IF(AC$7=2005+OFFSET(COM_N_2012!$B$60,$AW184,SUMIF($B$10:$B$16,"NCAP_TLIFE",$AX$10:$AX$16)),0,""))</f>
        <v/>
      </c>
      <c r="AD184" s="369" t="str">
        <f ca="1">IF($B184&lt;&gt;"PRC_RESID","",IF(AD$7=2005+OFFSET(COM_N_2012!$B$60,$AW184,SUMIF($B$10:$B$16,"NCAP_TLIFE",$AX$10:$AX$16)),0,""))</f>
        <v/>
      </c>
      <c r="AE184" s="369" t="str">
        <f ca="1">IF($B184&lt;&gt;"PRC_RESID","",IF(AE$7=2005+OFFSET(COM_N_2012!$B$60,$AW184,SUMIF($B$10:$B$16,"NCAP_TLIFE",$AX$10:$AX$16)),0,""))</f>
        <v/>
      </c>
      <c r="AF184" s="369" t="str">
        <f ca="1">IF($B184&lt;&gt;"PRC_RESID","",IF(AF$7=2005+OFFSET(COM_N_2012!$B$60,$AW184,SUMIF($B$10:$B$16,"NCAP_TLIFE",$AX$10:$AX$16)),0,""))</f>
        <v/>
      </c>
      <c r="AG184" s="369" t="str">
        <f ca="1">IF($B184&lt;&gt;"PRC_RESID","",IF(AG$7=2005+OFFSET(COM_N_2012!$B$60,$AW184,SUMIF($B$10:$B$16,"NCAP_TLIFE",$AX$10:$AX$16)),0,""))</f>
        <v/>
      </c>
      <c r="AH184" s="369" t="str">
        <f ca="1">IF($B184&lt;&gt;"PRC_RESID","",IF(AH$7=2005+OFFSET(COM_N_2012!$B$60,$AW184,SUMIF($B$10:$B$16,"NCAP_TLIFE",$AX$10:$AX$16)),0,""))</f>
        <v/>
      </c>
      <c r="AI184" s="369" t="str">
        <f ca="1">IF($B184&lt;&gt;"PRC_RESID","",IF(AI$7=2005+OFFSET(COM_N_2012!$B$60,$AW184,SUMIF($B$10:$B$16,"NCAP_TLIFE",$AX$10:$AX$16)),0,""))</f>
        <v/>
      </c>
      <c r="AJ184" s="369" t="str">
        <f ca="1">IF($B184&lt;&gt;"PRC_RESID","",IF(AJ$7=2005+OFFSET(COM_N_2012!$B$60,$AW184,SUMIF($B$10:$B$16,"NCAP_TLIFE",$AX$10:$AX$16)),0,""))</f>
        <v/>
      </c>
      <c r="AK184" s="369" t="str">
        <f ca="1">IF($B184&lt;&gt;"PRC_RESID","",IF(AK$7=2005+OFFSET(COM_N_2012!$B$60,$AW184,SUMIF($B$10:$B$16,"NCAP_TLIFE",$AX$10:$AX$16)),0,""))</f>
        <v/>
      </c>
      <c r="AL184" s="369" t="str">
        <f ca="1">IF($B184&lt;&gt;"PRC_RESID","",IF(AL$7=2005+OFFSET(COM_N_2012!$B$60,$AW184,SUMIF($B$10:$B$16,"NCAP_TLIFE",$AX$10:$AX$16)),0,""))</f>
        <v/>
      </c>
      <c r="AM184" s="369" t="str">
        <f ca="1">IF($B184&lt;&gt;"PRC_RESID","",IF(AM$7=2005+OFFSET(COM_N_2012!$B$60,$AW184,SUMIF($B$10:$B$16,"NCAP_TLIFE",$AX$10:$AX$16)),0,""))</f>
        <v/>
      </c>
      <c r="AN184" s="369" t="str">
        <f ca="1">IF($B184&lt;&gt;"PRC_RESID","",IF(AN$7=2005+OFFSET(COM_N_2012!$B$60,$AW184,SUMIF($B$10:$B$16,"NCAP_TLIFE",$AX$10:$AX$16)),0,""))</f>
        <v/>
      </c>
      <c r="AO184" s="369" t="str">
        <f ca="1">IF($B184&lt;&gt;"PRC_RESID","",IF(AO$7=2005+OFFSET(COM_N_2012!$B$60,$AW184,SUMIF($B$10:$B$16,"NCAP_TLIFE",$AX$10:$AX$16)),0,""))</f>
        <v/>
      </c>
      <c r="AP184" s="369" t="str">
        <f ca="1">IF($B184&lt;&gt;"PRC_RESID","",IF(AP$7=2005+OFFSET(COM_N_2012!$B$60,$AW184,SUMIF($B$10:$B$16,"NCAP_TLIFE",$AX$10:$AX$16)),0,""))</f>
        <v/>
      </c>
      <c r="AQ184" s="369" t="str">
        <f ca="1">IF($B184&lt;&gt;"PRC_RESID","",IF(AQ$7=2005+OFFSET(COM_N_2012!$B$60,$AW184,SUMIF($B$10:$B$16,"NCAP_TLIFE",$AX$10:$AX$16)),0,""))</f>
        <v/>
      </c>
      <c r="AR184" s="369" t="str">
        <f ca="1">IF($B184&lt;&gt;"PRC_RESID","",IF(AR$7=2005+OFFSET(COM_N_2012!$B$60,$AW184,SUMIF($B$10:$B$16,"NCAP_TLIFE",$AX$10:$AX$16)),0,""))</f>
        <v/>
      </c>
      <c r="AS184" s="369" t="str">
        <f ca="1">IF($B184&lt;&gt;"PRC_RESID","",IF(AS$7=2005+OFFSET(COM_N_2012!$B$60,$AW184,SUMIF($B$10:$B$16,"NCAP_TLIFE",$AX$10:$AX$16)),0,""))</f>
        <v/>
      </c>
      <c r="AT184" s="369" t="str">
        <f ca="1">IF($B184&lt;&gt;"PRC_RESID","",IF(AT$7=2005+OFFSET(COM_N_2012!$B$60,$AW184,SUMIF($B$10:$B$16,"NCAP_TLIFE",$AX$10:$AX$16)),0,""))</f>
        <v/>
      </c>
      <c r="AU184" s="369" t="str">
        <f ca="1">IF($B184&lt;&gt;"PRC_RESID","",IF(AU$7=2005+OFFSET(COM_N_2012!$B$60,$AW184,SUMIF($B$10:$B$16,"NCAP_TLIFE",$AX$10:$AX$16)),0,""))</f>
        <v/>
      </c>
      <c r="AV184" s="304">
        <f>IF(AW183=COM_N_2012!$AK$121,AV183+1,AV183)</f>
        <v>3</v>
      </c>
      <c r="AW184" s="304">
        <f t="shared" si="20"/>
        <v>45</v>
      </c>
    </row>
    <row r="185" spans="1:49">
      <c r="A185" s="304" t="str">
        <f ca="1">IF(LEFT(OFFSET(COM_N_2012!$A$60,AW185,0),2)="\I","*","")</f>
        <v/>
      </c>
      <c r="B185" s="369" t="str">
        <f t="shared" ca="1" si="19"/>
        <v>NCAP_TLIFE</v>
      </c>
      <c r="C185" s="369" t="str">
        <f ca="1">IF($A185="*","",OFFSET(COM_N_2012!$B$60,AW185,0))</f>
        <v>CNGELCMHL-E</v>
      </c>
      <c r="D185" s="369" t="str">
        <f t="shared" ca="1" si="24"/>
        <v>-</v>
      </c>
      <c r="E185" s="369" t="str">
        <f t="shared" ca="1" si="24"/>
        <v>-</v>
      </c>
      <c r="F185" s="369" t="str">
        <f t="shared" ca="1" si="24"/>
        <v>-</v>
      </c>
      <c r="G185" s="369" t="str">
        <f t="shared" ca="1" si="24"/>
        <v>-</v>
      </c>
      <c r="H185" s="369" t="str">
        <f t="shared" ca="1" si="24"/>
        <v>-</v>
      </c>
      <c r="I185" s="370">
        <f t="shared" ca="1" si="24"/>
        <v>0</v>
      </c>
      <c r="J185" s="391">
        <f ca="1">IF($A185="*","",OFFSET(COM_N_2012!$B$60,AW185,SUMIF($B$10:$B$16,B185,$AX$10:$AX$16)))</f>
        <v>10</v>
      </c>
      <c r="K185" s="369" t="str">
        <f ca="1">IF($B185&lt;&gt;"PRC_RESID","",IF(K$7=2005+OFFSET(COM_N_2012!$B$60,$AW185,SUMIF($B$10:$B$16,"NCAP_TLIFE",$AX$10:$AX$16)),0,""))</f>
        <v/>
      </c>
      <c r="L185" s="369" t="str">
        <f ca="1">IF($B185&lt;&gt;"PRC_RESID","",IF(L$7=2005+OFFSET(COM_N_2012!$B$60,$AW185,SUMIF($B$10:$B$16,"NCAP_TLIFE",$AX$10:$AX$16)),0,""))</f>
        <v/>
      </c>
      <c r="M185" s="369" t="str">
        <f ca="1">IF($B185&lt;&gt;"PRC_RESID","",IF(M$7=2005+OFFSET(COM_N_2012!$B$60,$AW185,SUMIF($B$10:$B$16,"NCAP_TLIFE",$AX$10:$AX$16)),0,""))</f>
        <v/>
      </c>
      <c r="N185" s="369" t="str">
        <f ca="1">IF($B185&lt;&gt;"PRC_RESID","",IF(N$7=2005+OFFSET(COM_N_2012!$B$60,$AW185,SUMIF($B$10:$B$16,"NCAP_TLIFE",$AX$10:$AX$16)),0,""))</f>
        <v/>
      </c>
      <c r="O185" s="369" t="str">
        <f ca="1">IF($B185&lt;&gt;"PRC_RESID","",IF(O$7=2005+OFFSET(COM_N_2012!$B$60,$AW185,SUMIF($B$10:$B$16,"NCAP_TLIFE",$AX$10:$AX$16)),0,""))</f>
        <v/>
      </c>
      <c r="P185" s="369" t="str">
        <f ca="1">IF($B185&lt;&gt;"PRC_RESID","",IF(P$7=2005+OFFSET(COM_N_2012!$B$60,$AW185,SUMIF($B$10:$B$16,"NCAP_TLIFE",$AX$10:$AX$16)),0,""))</f>
        <v/>
      </c>
      <c r="Q185" s="369" t="str">
        <f ca="1">IF($B185&lt;&gt;"PRC_RESID","",IF(Q$7=2005+OFFSET(COM_N_2012!$B$60,$AW185,SUMIF($B$10:$B$16,"NCAP_TLIFE",$AX$10:$AX$16)),0,""))</f>
        <v/>
      </c>
      <c r="R185" s="369" t="str">
        <f ca="1">IF($B185&lt;&gt;"PRC_RESID","",IF(R$7=2005+OFFSET(COM_N_2012!$B$60,$AW185,SUMIF($B$10:$B$16,"NCAP_TLIFE",$AX$10:$AX$16)),0,""))</f>
        <v/>
      </c>
      <c r="S185" s="369" t="str">
        <f ca="1">IF($B185&lt;&gt;"PRC_RESID","",IF(S$7=2005+OFFSET(COM_N_2012!$B$60,$AW185,SUMIF($B$10:$B$16,"NCAP_TLIFE",$AX$10:$AX$16)),0,""))</f>
        <v/>
      </c>
      <c r="T185" s="369" t="str">
        <f ca="1">IF($B185&lt;&gt;"PRC_RESID","",IF(T$7=2005+OFFSET(COM_N_2012!$B$60,$AW185,SUMIF($B$10:$B$16,"NCAP_TLIFE",$AX$10:$AX$16)),0,""))</f>
        <v/>
      </c>
      <c r="U185" s="369" t="str">
        <f ca="1">IF($B185&lt;&gt;"PRC_RESID","",IF(U$7=2005+OFFSET(COM_N_2012!$B$60,$AW185,SUMIF($B$10:$B$16,"NCAP_TLIFE",$AX$10:$AX$16)),0,""))</f>
        <v/>
      </c>
      <c r="V185" s="369" t="str">
        <f ca="1">IF($B185&lt;&gt;"PRC_RESID","",IF(V$7=2005+OFFSET(COM_N_2012!$B$60,$AW185,SUMIF($B$10:$B$16,"NCAP_TLIFE",$AX$10:$AX$16)),0,""))</f>
        <v/>
      </c>
      <c r="W185" s="369" t="str">
        <f ca="1">IF($B185&lt;&gt;"PRC_RESID","",IF(W$7=2005+OFFSET(COM_N_2012!$B$60,$AW185,SUMIF($B$10:$B$16,"NCAP_TLIFE",$AX$10:$AX$16)),0,""))</f>
        <v/>
      </c>
      <c r="X185" s="369" t="str">
        <f ca="1">IF($B185&lt;&gt;"PRC_RESID","",IF(X$7=2005+OFFSET(COM_N_2012!$B$60,$AW185,SUMIF($B$10:$B$16,"NCAP_TLIFE",$AX$10:$AX$16)),0,""))</f>
        <v/>
      </c>
      <c r="Y185" s="369" t="str">
        <f ca="1">IF($B185&lt;&gt;"PRC_RESID","",IF(Y$7=2005+OFFSET(COM_N_2012!$B$60,$AW185,SUMIF($B$10:$B$16,"NCAP_TLIFE",$AX$10:$AX$16)),0,""))</f>
        <v/>
      </c>
      <c r="Z185" s="369" t="str">
        <f ca="1">IF($B185&lt;&gt;"PRC_RESID","",IF(Z$7=2005+OFFSET(COM_N_2012!$B$60,$AW185,SUMIF($B$10:$B$16,"NCAP_TLIFE",$AX$10:$AX$16)),0,""))</f>
        <v/>
      </c>
      <c r="AA185" s="369" t="str">
        <f ca="1">IF($B185&lt;&gt;"PRC_RESID","",IF(AA$7=2005+OFFSET(COM_N_2012!$B$60,$AW185,SUMIF($B$10:$B$16,"NCAP_TLIFE",$AX$10:$AX$16)),0,""))</f>
        <v/>
      </c>
      <c r="AB185" s="369" t="str">
        <f ca="1">IF($B185&lt;&gt;"PRC_RESID","",IF(AB$7=2005+OFFSET(COM_N_2012!$B$60,$AW185,SUMIF($B$10:$B$16,"NCAP_TLIFE",$AX$10:$AX$16)),0,""))</f>
        <v/>
      </c>
      <c r="AC185" s="369" t="str">
        <f ca="1">IF($B185&lt;&gt;"PRC_RESID","",IF(AC$7=2005+OFFSET(COM_N_2012!$B$60,$AW185,SUMIF($B$10:$B$16,"NCAP_TLIFE",$AX$10:$AX$16)),0,""))</f>
        <v/>
      </c>
      <c r="AD185" s="369" t="str">
        <f ca="1">IF($B185&lt;&gt;"PRC_RESID","",IF(AD$7=2005+OFFSET(COM_N_2012!$B$60,$AW185,SUMIF($B$10:$B$16,"NCAP_TLIFE",$AX$10:$AX$16)),0,""))</f>
        <v/>
      </c>
      <c r="AE185" s="369" t="str">
        <f ca="1">IF($B185&lt;&gt;"PRC_RESID","",IF(AE$7=2005+OFFSET(COM_N_2012!$B$60,$AW185,SUMIF($B$10:$B$16,"NCAP_TLIFE",$AX$10:$AX$16)),0,""))</f>
        <v/>
      </c>
      <c r="AF185" s="369" t="str">
        <f ca="1">IF($B185&lt;&gt;"PRC_RESID","",IF(AF$7=2005+OFFSET(COM_N_2012!$B$60,$AW185,SUMIF($B$10:$B$16,"NCAP_TLIFE",$AX$10:$AX$16)),0,""))</f>
        <v/>
      </c>
      <c r="AG185" s="369" t="str">
        <f ca="1">IF($B185&lt;&gt;"PRC_RESID","",IF(AG$7=2005+OFFSET(COM_N_2012!$B$60,$AW185,SUMIF($B$10:$B$16,"NCAP_TLIFE",$AX$10:$AX$16)),0,""))</f>
        <v/>
      </c>
      <c r="AH185" s="369" t="str">
        <f ca="1">IF($B185&lt;&gt;"PRC_RESID","",IF(AH$7=2005+OFFSET(COM_N_2012!$B$60,$AW185,SUMIF($B$10:$B$16,"NCAP_TLIFE",$AX$10:$AX$16)),0,""))</f>
        <v/>
      </c>
      <c r="AI185" s="369" t="str">
        <f ca="1">IF($B185&lt;&gt;"PRC_RESID","",IF(AI$7=2005+OFFSET(COM_N_2012!$B$60,$AW185,SUMIF($B$10:$B$16,"NCAP_TLIFE",$AX$10:$AX$16)),0,""))</f>
        <v/>
      </c>
      <c r="AJ185" s="369" t="str">
        <f ca="1">IF($B185&lt;&gt;"PRC_RESID","",IF(AJ$7=2005+OFFSET(COM_N_2012!$B$60,$AW185,SUMIF($B$10:$B$16,"NCAP_TLIFE",$AX$10:$AX$16)),0,""))</f>
        <v/>
      </c>
      <c r="AK185" s="369" t="str">
        <f ca="1">IF($B185&lt;&gt;"PRC_RESID","",IF(AK$7=2005+OFFSET(COM_N_2012!$B$60,$AW185,SUMIF($B$10:$B$16,"NCAP_TLIFE",$AX$10:$AX$16)),0,""))</f>
        <v/>
      </c>
      <c r="AL185" s="369" t="str">
        <f ca="1">IF($B185&lt;&gt;"PRC_RESID","",IF(AL$7=2005+OFFSET(COM_N_2012!$B$60,$AW185,SUMIF($B$10:$B$16,"NCAP_TLIFE",$AX$10:$AX$16)),0,""))</f>
        <v/>
      </c>
      <c r="AM185" s="369" t="str">
        <f ca="1">IF($B185&lt;&gt;"PRC_RESID","",IF(AM$7=2005+OFFSET(COM_N_2012!$B$60,$AW185,SUMIF($B$10:$B$16,"NCAP_TLIFE",$AX$10:$AX$16)),0,""))</f>
        <v/>
      </c>
      <c r="AN185" s="369" t="str">
        <f ca="1">IF($B185&lt;&gt;"PRC_RESID","",IF(AN$7=2005+OFFSET(COM_N_2012!$B$60,$AW185,SUMIF($B$10:$B$16,"NCAP_TLIFE",$AX$10:$AX$16)),0,""))</f>
        <v/>
      </c>
      <c r="AO185" s="369" t="str">
        <f ca="1">IF($B185&lt;&gt;"PRC_RESID","",IF(AO$7=2005+OFFSET(COM_N_2012!$B$60,$AW185,SUMIF($B$10:$B$16,"NCAP_TLIFE",$AX$10:$AX$16)),0,""))</f>
        <v/>
      </c>
      <c r="AP185" s="369" t="str">
        <f ca="1">IF($B185&lt;&gt;"PRC_RESID","",IF(AP$7=2005+OFFSET(COM_N_2012!$B$60,$AW185,SUMIF($B$10:$B$16,"NCAP_TLIFE",$AX$10:$AX$16)),0,""))</f>
        <v/>
      </c>
      <c r="AQ185" s="369" t="str">
        <f ca="1">IF($B185&lt;&gt;"PRC_RESID","",IF(AQ$7=2005+OFFSET(COM_N_2012!$B$60,$AW185,SUMIF($B$10:$B$16,"NCAP_TLIFE",$AX$10:$AX$16)),0,""))</f>
        <v/>
      </c>
      <c r="AR185" s="369" t="str">
        <f ca="1">IF($B185&lt;&gt;"PRC_RESID","",IF(AR$7=2005+OFFSET(COM_N_2012!$B$60,$AW185,SUMIF($B$10:$B$16,"NCAP_TLIFE",$AX$10:$AX$16)),0,""))</f>
        <v/>
      </c>
      <c r="AS185" s="369" t="str">
        <f ca="1">IF($B185&lt;&gt;"PRC_RESID","",IF(AS$7=2005+OFFSET(COM_N_2012!$B$60,$AW185,SUMIF($B$10:$B$16,"NCAP_TLIFE",$AX$10:$AX$16)),0,""))</f>
        <v/>
      </c>
      <c r="AT185" s="369" t="str">
        <f ca="1">IF($B185&lt;&gt;"PRC_RESID","",IF(AT$7=2005+OFFSET(COM_N_2012!$B$60,$AW185,SUMIF($B$10:$B$16,"NCAP_TLIFE",$AX$10:$AX$16)),0,""))</f>
        <v/>
      </c>
      <c r="AU185" s="369" t="str">
        <f ca="1">IF($B185&lt;&gt;"PRC_RESID","",IF(AU$7=2005+OFFSET(COM_N_2012!$B$60,$AW185,SUMIF($B$10:$B$16,"NCAP_TLIFE",$AX$10:$AX$16)),0,""))</f>
        <v/>
      </c>
      <c r="AV185" s="304">
        <f>IF(AW184=COM_N_2012!$AK$121,AV184+1,AV184)</f>
        <v>3</v>
      </c>
      <c r="AW185" s="304">
        <f t="shared" si="20"/>
        <v>46</v>
      </c>
    </row>
    <row r="186" spans="1:49">
      <c r="A186" s="304" t="str">
        <f ca="1">IF(LEFT(OFFSET(COM_N_2012!$A$60,AW186,0),2)="\I","*","")</f>
        <v/>
      </c>
      <c r="B186" s="369" t="str">
        <f t="shared" ca="1" si="19"/>
        <v>NCAP_TLIFE</v>
      </c>
      <c r="C186" s="369" t="str">
        <f ca="1">IF($A186="*","",OFFSET(COM_N_2012!$B$60,AW186,0))</f>
        <v>CNGELCLED-N</v>
      </c>
      <c r="D186" s="369" t="str">
        <f t="shared" ca="1" si="24"/>
        <v>-</v>
      </c>
      <c r="E186" s="369" t="str">
        <f t="shared" ca="1" si="24"/>
        <v>-</v>
      </c>
      <c r="F186" s="369" t="str">
        <f t="shared" ca="1" si="24"/>
        <v>-</v>
      </c>
      <c r="G186" s="369" t="str">
        <f t="shared" ca="1" si="24"/>
        <v>-</v>
      </c>
      <c r="H186" s="369" t="str">
        <f t="shared" ca="1" si="24"/>
        <v>-</v>
      </c>
      <c r="I186" s="370">
        <f t="shared" ca="1" si="24"/>
        <v>0</v>
      </c>
      <c r="J186" s="391">
        <f ca="1">IF($A186="*","",OFFSET(COM_N_2012!$B$60,AW186,SUMIF($B$10:$B$16,B186,$AX$10:$AX$16)))</f>
        <v>10</v>
      </c>
      <c r="K186" s="369" t="str">
        <f ca="1">IF($B186&lt;&gt;"PRC_RESID","",IF(K$7=2005+OFFSET(COM_N_2012!$B$60,$AW186,SUMIF($B$10:$B$16,"NCAP_TLIFE",$AX$10:$AX$16)),0,""))</f>
        <v/>
      </c>
      <c r="L186" s="369" t="str">
        <f ca="1">IF($B186&lt;&gt;"PRC_RESID","",IF(L$7=2005+OFFSET(COM_N_2012!$B$60,$AW186,SUMIF($B$10:$B$16,"NCAP_TLIFE",$AX$10:$AX$16)),0,""))</f>
        <v/>
      </c>
      <c r="M186" s="369" t="str">
        <f ca="1">IF($B186&lt;&gt;"PRC_RESID","",IF(M$7=2005+OFFSET(COM_N_2012!$B$60,$AW186,SUMIF($B$10:$B$16,"NCAP_TLIFE",$AX$10:$AX$16)),0,""))</f>
        <v/>
      </c>
      <c r="N186" s="369" t="str">
        <f ca="1">IF($B186&lt;&gt;"PRC_RESID","",IF(N$7=2005+OFFSET(COM_N_2012!$B$60,$AW186,SUMIF($B$10:$B$16,"NCAP_TLIFE",$AX$10:$AX$16)),0,""))</f>
        <v/>
      </c>
      <c r="O186" s="369" t="str">
        <f ca="1">IF($B186&lt;&gt;"PRC_RESID","",IF(O$7=2005+OFFSET(COM_N_2012!$B$60,$AW186,SUMIF($B$10:$B$16,"NCAP_TLIFE",$AX$10:$AX$16)),0,""))</f>
        <v/>
      </c>
      <c r="P186" s="369" t="str">
        <f ca="1">IF($B186&lt;&gt;"PRC_RESID","",IF(P$7=2005+OFFSET(COM_N_2012!$B$60,$AW186,SUMIF($B$10:$B$16,"NCAP_TLIFE",$AX$10:$AX$16)),0,""))</f>
        <v/>
      </c>
      <c r="Q186" s="369" t="str">
        <f ca="1">IF($B186&lt;&gt;"PRC_RESID","",IF(Q$7=2005+OFFSET(COM_N_2012!$B$60,$AW186,SUMIF($B$10:$B$16,"NCAP_TLIFE",$AX$10:$AX$16)),0,""))</f>
        <v/>
      </c>
      <c r="R186" s="369" t="str">
        <f ca="1">IF($B186&lt;&gt;"PRC_RESID","",IF(R$7=2005+OFFSET(COM_N_2012!$B$60,$AW186,SUMIF($B$10:$B$16,"NCAP_TLIFE",$AX$10:$AX$16)),0,""))</f>
        <v/>
      </c>
      <c r="S186" s="369" t="str">
        <f ca="1">IF($B186&lt;&gt;"PRC_RESID","",IF(S$7=2005+OFFSET(COM_N_2012!$B$60,$AW186,SUMIF($B$10:$B$16,"NCAP_TLIFE",$AX$10:$AX$16)),0,""))</f>
        <v/>
      </c>
      <c r="T186" s="369" t="str">
        <f ca="1">IF($B186&lt;&gt;"PRC_RESID","",IF(T$7=2005+OFFSET(COM_N_2012!$B$60,$AW186,SUMIF($B$10:$B$16,"NCAP_TLIFE",$AX$10:$AX$16)),0,""))</f>
        <v/>
      </c>
      <c r="U186" s="369" t="str">
        <f ca="1">IF($B186&lt;&gt;"PRC_RESID","",IF(U$7=2005+OFFSET(COM_N_2012!$B$60,$AW186,SUMIF($B$10:$B$16,"NCAP_TLIFE",$AX$10:$AX$16)),0,""))</f>
        <v/>
      </c>
      <c r="V186" s="369" t="str">
        <f ca="1">IF($B186&lt;&gt;"PRC_RESID","",IF(V$7=2005+OFFSET(COM_N_2012!$B$60,$AW186,SUMIF($B$10:$B$16,"NCAP_TLIFE",$AX$10:$AX$16)),0,""))</f>
        <v/>
      </c>
      <c r="W186" s="369" t="str">
        <f ca="1">IF($B186&lt;&gt;"PRC_RESID","",IF(W$7=2005+OFFSET(COM_N_2012!$B$60,$AW186,SUMIF($B$10:$B$16,"NCAP_TLIFE",$AX$10:$AX$16)),0,""))</f>
        <v/>
      </c>
      <c r="X186" s="369" t="str">
        <f ca="1">IF($B186&lt;&gt;"PRC_RESID","",IF(X$7=2005+OFFSET(COM_N_2012!$B$60,$AW186,SUMIF($B$10:$B$16,"NCAP_TLIFE",$AX$10:$AX$16)),0,""))</f>
        <v/>
      </c>
      <c r="Y186" s="369" t="str">
        <f ca="1">IF($B186&lt;&gt;"PRC_RESID","",IF(Y$7=2005+OFFSET(COM_N_2012!$B$60,$AW186,SUMIF($B$10:$B$16,"NCAP_TLIFE",$AX$10:$AX$16)),0,""))</f>
        <v/>
      </c>
      <c r="Z186" s="369" t="str">
        <f ca="1">IF($B186&lt;&gt;"PRC_RESID","",IF(Z$7=2005+OFFSET(COM_N_2012!$B$60,$AW186,SUMIF($B$10:$B$16,"NCAP_TLIFE",$AX$10:$AX$16)),0,""))</f>
        <v/>
      </c>
      <c r="AA186" s="369" t="str">
        <f ca="1">IF($B186&lt;&gt;"PRC_RESID","",IF(AA$7=2005+OFFSET(COM_N_2012!$B$60,$AW186,SUMIF($B$10:$B$16,"NCAP_TLIFE",$AX$10:$AX$16)),0,""))</f>
        <v/>
      </c>
      <c r="AB186" s="369" t="str">
        <f ca="1">IF($B186&lt;&gt;"PRC_RESID","",IF(AB$7=2005+OFFSET(COM_N_2012!$B$60,$AW186,SUMIF($B$10:$B$16,"NCAP_TLIFE",$AX$10:$AX$16)),0,""))</f>
        <v/>
      </c>
      <c r="AC186" s="369" t="str">
        <f ca="1">IF($B186&lt;&gt;"PRC_RESID","",IF(AC$7=2005+OFFSET(COM_N_2012!$B$60,$AW186,SUMIF($B$10:$B$16,"NCAP_TLIFE",$AX$10:$AX$16)),0,""))</f>
        <v/>
      </c>
      <c r="AD186" s="369" t="str">
        <f ca="1">IF($B186&lt;&gt;"PRC_RESID","",IF(AD$7=2005+OFFSET(COM_N_2012!$B$60,$AW186,SUMIF($B$10:$B$16,"NCAP_TLIFE",$AX$10:$AX$16)),0,""))</f>
        <v/>
      </c>
      <c r="AE186" s="369" t="str">
        <f ca="1">IF($B186&lt;&gt;"PRC_RESID","",IF(AE$7=2005+OFFSET(COM_N_2012!$B$60,$AW186,SUMIF($B$10:$B$16,"NCAP_TLIFE",$AX$10:$AX$16)),0,""))</f>
        <v/>
      </c>
      <c r="AF186" s="369" t="str">
        <f ca="1">IF($B186&lt;&gt;"PRC_RESID","",IF(AF$7=2005+OFFSET(COM_N_2012!$B$60,$AW186,SUMIF($B$10:$B$16,"NCAP_TLIFE",$AX$10:$AX$16)),0,""))</f>
        <v/>
      </c>
      <c r="AG186" s="369" t="str">
        <f ca="1">IF($B186&lt;&gt;"PRC_RESID","",IF(AG$7=2005+OFFSET(COM_N_2012!$B$60,$AW186,SUMIF($B$10:$B$16,"NCAP_TLIFE",$AX$10:$AX$16)),0,""))</f>
        <v/>
      </c>
      <c r="AH186" s="369" t="str">
        <f ca="1">IF($B186&lt;&gt;"PRC_RESID","",IF(AH$7=2005+OFFSET(COM_N_2012!$B$60,$AW186,SUMIF($B$10:$B$16,"NCAP_TLIFE",$AX$10:$AX$16)),0,""))</f>
        <v/>
      </c>
      <c r="AI186" s="369" t="str">
        <f ca="1">IF($B186&lt;&gt;"PRC_RESID","",IF(AI$7=2005+OFFSET(COM_N_2012!$B$60,$AW186,SUMIF($B$10:$B$16,"NCAP_TLIFE",$AX$10:$AX$16)),0,""))</f>
        <v/>
      </c>
      <c r="AJ186" s="369" t="str">
        <f ca="1">IF($B186&lt;&gt;"PRC_RESID","",IF(AJ$7=2005+OFFSET(COM_N_2012!$B$60,$AW186,SUMIF($B$10:$B$16,"NCAP_TLIFE",$AX$10:$AX$16)),0,""))</f>
        <v/>
      </c>
      <c r="AK186" s="369" t="str">
        <f ca="1">IF($B186&lt;&gt;"PRC_RESID","",IF(AK$7=2005+OFFSET(COM_N_2012!$B$60,$AW186,SUMIF($B$10:$B$16,"NCAP_TLIFE",$AX$10:$AX$16)),0,""))</f>
        <v/>
      </c>
      <c r="AL186" s="369" t="str">
        <f ca="1">IF($B186&lt;&gt;"PRC_RESID","",IF(AL$7=2005+OFFSET(COM_N_2012!$B$60,$AW186,SUMIF($B$10:$B$16,"NCAP_TLIFE",$AX$10:$AX$16)),0,""))</f>
        <v/>
      </c>
      <c r="AM186" s="369" t="str">
        <f ca="1">IF($B186&lt;&gt;"PRC_RESID","",IF(AM$7=2005+OFFSET(COM_N_2012!$B$60,$AW186,SUMIF($B$10:$B$16,"NCAP_TLIFE",$AX$10:$AX$16)),0,""))</f>
        <v/>
      </c>
      <c r="AN186" s="369" t="str">
        <f ca="1">IF($B186&lt;&gt;"PRC_RESID","",IF(AN$7=2005+OFFSET(COM_N_2012!$B$60,$AW186,SUMIF($B$10:$B$16,"NCAP_TLIFE",$AX$10:$AX$16)),0,""))</f>
        <v/>
      </c>
      <c r="AO186" s="369" t="str">
        <f ca="1">IF($B186&lt;&gt;"PRC_RESID","",IF(AO$7=2005+OFFSET(COM_N_2012!$B$60,$AW186,SUMIF($B$10:$B$16,"NCAP_TLIFE",$AX$10:$AX$16)),0,""))</f>
        <v/>
      </c>
      <c r="AP186" s="369" t="str">
        <f ca="1">IF($B186&lt;&gt;"PRC_RESID","",IF(AP$7=2005+OFFSET(COM_N_2012!$B$60,$AW186,SUMIF($B$10:$B$16,"NCAP_TLIFE",$AX$10:$AX$16)),0,""))</f>
        <v/>
      </c>
      <c r="AQ186" s="369" t="str">
        <f ca="1">IF($B186&lt;&gt;"PRC_RESID","",IF(AQ$7=2005+OFFSET(COM_N_2012!$B$60,$AW186,SUMIF($B$10:$B$16,"NCAP_TLIFE",$AX$10:$AX$16)),0,""))</f>
        <v/>
      </c>
      <c r="AR186" s="369" t="str">
        <f ca="1">IF($B186&lt;&gt;"PRC_RESID","",IF(AR$7=2005+OFFSET(COM_N_2012!$B$60,$AW186,SUMIF($B$10:$B$16,"NCAP_TLIFE",$AX$10:$AX$16)),0,""))</f>
        <v/>
      </c>
      <c r="AS186" s="369" t="str">
        <f ca="1">IF($B186&lt;&gt;"PRC_RESID","",IF(AS$7=2005+OFFSET(COM_N_2012!$B$60,$AW186,SUMIF($B$10:$B$16,"NCAP_TLIFE",$AX$10:$AX$16)),0,""))</f>
        <v/>
      </c>
      <c r="AT186" s="369" t="str">
        <f ca="1">IF($B186&lt;&gt;"PRC_RESID","",IF(AT$7=2005+OFFSET(COM_N_2012!$B$60,$AW186,SUMIF($B$10:$B$16,"NCAP_TLIFE",$AX$10:$AX$16)),0,""))</f>
        <v/>
      </c>
      <c r="AU186" s="369" t="str">
        <f ca="1">IF($B186&lt;&gt;"PRC_RESID","",IF(AU$7=2005+OFFSET(COM_N_2012!$B$60,$AW186,SUMIF($B$10:$B$16,"NCAP_TLIFE",$AX$10:$AX$16)),0,""))</f>
        <v/>
      </c>
      <c r="AV186" s="304">
        <f>IF(AW185=COM_N_2012!$AK$121,AV185+1,AV185)</f>
        <v>3</v>
      </c>
      <c r="AW186" s="304">
        <f t="shared" si="20"/>
        <v>47</v>
      </c>
    </row>
    <row r="187" spans="1:49">
      <c r="A187" s="304" t="str">
        <f ca="1">IF(LEFT(OFFSET(COM_N_2012!$A$60,AW187,0),2)="\I","*","")</f>
        <v>*</v>
      </c>
      <c r="B187" s="369" t="str">
        <f t="shared" ca="1" si="19"/>
        <v/>
      </c>
      <c r="C187" s="369" t="str">
        <f ca="1">IF($A187="*","",OFFSET(COM_N_2012!$B$60,AW187,0))</f>
        <v/>
      </c>
      <c r="D187" s="369" t="str">
        <f t="shared" ca="1" si="24"/>
        <v/>
      </c>
      <c r="E187" s="369" t="str">
        <f t="shared" ca="1" si="24"/>
        <v/>
      </c>
      <c r="F187" s="369" t="str">
        <f t="shared" ca="1" si="24"/>
        <v/>
      </c>
      <c r="G187" s="369" t="str">
        <f t="shared" ca="1" si="24"/>
        <v/>
      </c>
      <c r="H187" s="369" t="str">
        <f t="shared" ca="1" si="24"/>
        <v/>
      </c>
      <c r="I187" s="370" t="str">
        <f t="shared" ca="1" si="24"/>
        <v/>
      </c>
      <c r="J187" s="391" t="str">
        <f ca="1">IF($A187="*","",OFFSET(COM_N_2012!$B$60,AW187,SUMIF($B$10:$B$16,B187,$AX$10:$AX$16)))</f>
        <v/>
      </c>
      <c r="K187" s="369" t="str">
        <f ca="1">IF($B187&lt;&gt;"PRC_RESID","",IF(K$7=2005+OFFSET(COM_N_2012!$B$60,$AW187,SUMIF($B$10:$B$16,"NCAP_TLIFE",$AX$10:$AX$16)),0,""))</f>
        <v/>
      </c>
      <c r="L187" s="369" t="str">
        <f ca="1">IF($B187&lt;&gt;"PRC_RESID","",IF(L$7=2005+OFFSET(COM_N_2012!$B$60,$AW187,SUMIF($B$10:$B$16,"NCAP_TLIFE",$AX$10:$AX$16)),0,""))</f>
        <v/>
      </c>
      <c r="M187" s="369" t="str">
        <f ca="1">IF($B187&lt;&gt;"PRC_RESID","",IF(M$7=2005+OFFSET(COM_N_2012!$B$60,$AW187,SUMIF($B$10:$B$16,"NCAP_TLIFE",$AX$10:$AX$16)),0,""))</f>
        <v/>
      </c>
      <c r="N187" s="369" t="str">
        <f ca="1">IF($B187&lt;&gt;"PRC_RESID","",IF(N$7=2005+OFFSET(COM_N_2012!$B$60,$AW187,SUMIF($B$10:$B$16,"NCAP_TLIFE",$AX$10:$AX$16)),0,""))</f>
        <v/>
      </c>
      <c r="O187" s="369" t="str">
        <f ca="1">IF($B187&lt;&gt;"PRC_RESID","",IF(O$7=2005+OFFSET(COM_N_2012!$B$60,$AW187,SUMIF($B$10:$B$16,"NCAP_TLIFE",$AX$10:$AX$16)),0,""))</f>
        <v/>
      </c>
      <c r="P187" s="369" t="str">
        <f ca="1">IF($B187&lt;&gt;"PRC_RESID","",IF(P$7=2005+OFFSET(COM_N_2012!$B$60,$AW187,SUMIF($B$10:$B$16,"NCAP_TLIFE",$AX$10:$AX$16)),0,""))</f>
        <v/>
      </c>
      <c r="Q187" s="369" t="str">
        <f ca="1">IF($B187&lt;&gt;"PRC_RESID","",IF(Q$7=2005+OFFSET(COM_N_2012!$B$60,$AW187,SUMIF($B$10:$B$16,"NCAP_TLIFE",$AX$10:$AX$16)),0,""))</f>
        <v/>
      </c>
      <c r="R187" s="369" t="str">
        <f ca="1">IF($B187&lt;&gt;"PRC_RESID","",IF(R$7=2005+OFFSET(COM_N_2012!$B$60,$AW187,SUMIF($B$10:$B$16,"NCAP_TLIFE",$AX$10:$AX$16)),0,""))</f>
        <v/>
      </c>
      <c r="S187" s="369" t="str">
        <f ca="1">IF($B187&lt;&gt;"PRC_RESID","",IF(S$7=2005+OFFSET(COM_N_2012!$B$60,$AW187,SUMIF($B$10:$B$16,"NCAP_TLIFE",$AX$10:$AX$16)),0,""))</f>
        <v/>
      </c>
      <c r="T187" s="369" t="str">
        <f ca="1">IF($B187&lt;&gt;"PRC_RESID","",IF(T$7=2005+OFFSET(COM_N_2012!$B$60,$AW187,SUMIF($B$10:$B$16,"NCAP_TLIFE",$AX$10:$AX$16)),0,""))</f>
        <v/>
      </c>
      <c r="U187" s="369" t="str">
        <f ca="1">IF($B187&lt;&gt;"PRC_RESID","",IF(U$7=2005+OFFSET(COM_N_2012!$B$60,$AW187,SUMIF($B$10:$B$16,"NCAP_TLIFE",$AX$10:$AX$16)),0,""))</f>
        <v/>
      </c>
      <c r="V187" s="369" t="str">
        <f ca="1">IF($B187&lt;&gt;"PRC_RESID","",IF(V$7=2005+OFFSET(COM_N_2012!$B$60,$AW187,SUMIF($B$10:$B$16,"NCAP_TLIFE",$AX$10:$AX$16)),0,""))</f>
        <v/>
      </c>
      <c r="W187" s="369" t="str">
        <f ca="1">IF($B187&lt;&gt;"PRC_RESID","",IF(W$7=2005+OFFSET(COM_N_2012!$B$60,$AW187,SUMIF($B$10:$B$16,"NCAP_TLIFE",$AX$10:$AX$16)),0,""))</f>
        <v/>
      </c>
      <c r="X187" s="369" t="str">
        <f ca="1">IF($B187&lt;&gt;"PRC_RESID","",IF(X$7=2005+OFFSET(COM_N_2012!$B$60,$AW187,SUMIF($B$10:$B$16,"NCAP_TLIFE",$AX$10:$AX$16)),0,""))</f>
        <v/>
      </c>
      <c r="Y187" s="369" t="str">
        <f ca="1">IF($B187&lt;&gt;"PRC_RESID","",IF(Y$7=2005+OFFSET(COM_N_2012!$B$60,$AW187,SUMIF($B$10:$B$16,"NCAP_TLIFE",$AX$10:$AX$16)),0,""))</f>
        <v/>
      </c>
      <c r="Z187" s="369" t="str">
        <f ca="1">IF($B187&lt;&gt;"PRC_RESID","",IF(Z$7=2005+OFFSET(COM_N_2012!$B$60,$AW187,SUMIF($B$10:$B$16,"NCAP_TLIFE",$AX$10:$AX$16)),0,""))</f>
        <v/>
      </c>
      <c r="AA187" s="369" t="str">
        <f ca="1">IF($B187&lt;&gt;"PRC_RESID","",IF(AA$7=2005+OFFSET(COM_N_2012!$B$60,$AW187,SUMIF($B$10:$B$16,"NCAP_TLIFE",$AX$10:$AX$16)),0,""))</f>
        <v/>
      </c>
      <c r="AB187" s="369" t="str">
        <f ca="1">IF($B187&lt;&gt;"PRC_RESID","",IF(AB$7=2005+OFFSET(COM_N_2012!$B$60,$AW187,SUMIF($B$10:$B$16,"NCAP_TLIFE",$AX$10:$AX$16)),0,""))</f>
        <v/>
      </c>
      <c r="AC187" s="369" t="str">
        <f ca="1">IF($B187&lt;&gt;"PRC_RESID","",IF(AC$7=2005+OFFSET(COM_N_2012!$B$60,$AW187,SUMIF($B$10:$B$16,"NCAP_TLIFE",$AX$10:$AX$16)),0,""))</f>
        <v/>
      </c>
      <c r="AD187" s="369" t="str">
        <f ca="1">IF($B187&lt;&gt;"PRC_RESID","",IF(AD$7=2005+OFFSET(COM_N_2012!$B$60,$AW187,SUMIF($B$10:$B$16,"NCAP_TLIFE",$AX$10:$AX$16)),0,""))</f>
        <v/>
      </c>
      <c r="AE187" s="369" t="str">
        <f ca="1">IF($B187&lt;&gt;"PRC_RESID","",IF(AE$7=2005+OFFSET(COM_N_2012!$B$60,$AW187,SUMIF($B$10:$B$16,"NCAP_TLIFE",$AX$10:$AX$16)),0,""))</f>
        <v/>
      </c>
      <c r="AF187" s="369" t="str">
        <f ca="1">IF($B187&lt;&gt;"PRC_RESID","",IF(AF$7=2005+OFFSET(COM_N_2012!$B$60,$AW187,SUMIF($B$10:$B$16,"NCAP_TLIFE",$AX$10:$AX$16)),0,""))</f>
        <v/>
      </c>
      <c r="AG187" s="369" t="str">
        <f ca="1">IF($B187&lt;&gt;"PRC_RESID","",IF(AG$7=2005+OFFSET(COM_N_2012!$B$60,$AW187,SUMIF($B$10:$B$16,"NCAP_TLIFE",$AX$10:$AX$16)),0,""))</f>
        <v/>
      </c>
      <c r="AH187" s="369" t="str">
        <f ca="1">IF($B187&lt;&gt;"PRC_RESID","",IF(AH$7=2005+OFFSET(COM_N_2012!$B$60,$AW187,SUMIF($B$10:$B$16,"NCAP_TLIFE",$AX$10:$AX$16)),0,""))</f>
        <v/>
      </c>
      <c r="AI187" s="369" t="str">
        <f ca="1">IF($B187&lt;&gt;"PRC_RESID","",IF(AI$7=2005+OFFSET(COM_N_2012!$B$60,$AW187,SUMIF($B$10:$B$16,"NCAP_TLIFE",$AX$10:$AX$16)),0,""))</f>
        <v/>
      </c>
      <c r="AJ187" s="369" t="str">
        <f ca="1">IF($B187&lt;&gt;"PRC_RESID","",IF(AJ$7=2005+OFFSET(COM_N_2012!$B$60,$AW187,SUMIF($B$10:$B$16,"NCAP_TLIFE",$AX$10:$AX$16)),0,""))</f>
        <v/>
      </c>
      <c r="AK187" s="369" t="str">
        <f ca="1">IF($B187&lt;&gt;"PRC_RESID","",IF(AK$7=2005+OFFSET(COM_N_2012!$B$60,$AW187,SUMIF($B$10:$B$16,"NCAP_TLIFE",$AX$10:$AX$16)),0,""))</f>
        <v/>
      </c>
      <c r="AL187" s="369" t="str">
        <f ca="1">IF($B187&lt;&gt;"PRC_RESID","",IF(AL$7=2005+OFFSET(COM_N_2012!$B$60,$AW187,SUMIF($B$10:$B$16,"NCAP_TLIFE",$AX$10:$AX$16)),0,""))</f>
        <v/>
      </c>
      <c r="AM187" s="369" t="str">
        <f ca="1">IF($B187&lt;&gt;"PRC_RESID","",IF(AM$7=2005+OFFSET(COM_N_2012!$B$60,$AW187,SUMIF($B$10:$B$16,"NCAP_TLIFE",$AX$10:$AX$16)),0,""))</f>
        <v/>
      </c>
      <c r="AN187" s="369" t="str">
        <f ca="1">IF($B187&lt;&gt;"PRC_RESID","",IF(AN$7=2005+OFFSET(COM_N_2012!$B$60,$AW187,SUMIF($B$10:$B$16,"NCAP_TLIFE",$AX$10:$AX$16)),0,""))</f>
        <v/>
      </c>
      <c r="AO187" s="369" t="str">
        <f ca="1">IF($B187&lt;&gt;"PRC_RESID","",IF(AO$7=2005+OFFSET(COM_N_2012!$B$60,$AW187,SUMIF($B$10:$B$16,"NCAP_TLIFE",$AX$10:$AX$16)),0,""))</f>
        <v/>
      </c>
      <c r="AP187" s="369" t="str">
        <f ca="1">IF($B187&lt;&gt;"PRC_RESID","",IF(AP$7=2005+OFFSET(COM_N_2012!$B$60,$AW187,SUMIF($B$10:$B$16,"NCAP_TLIFE",$AX$10:$AX$16)),0,""))</f>
        <v/>
      </c>
      <c r="AQ187" s="369" t="str">
        <f ca="1">IF($B187&lt;&gt;"PRC_RESID","",IF(AQ$7=2005+OFFSET(COM_N_2012!$B$60,$AW187,SUMIF($B$10:$B$16,"NCAP_TLIFE",$AX$10:$AX$16)),0,""))</f>
        <v/>
      </c>
      <c r="AR187" s="369" t="str">
        <f ca="1">IF($B187&lt;&gt;"PRC_RESID","",IF(AR$7=2005+OFFSET(COM_N_2012!$B$60,$AW187,SUMIF($B$10:$B$16,"NCAP_TLIFE",$AX$10:$AX$16)),0,""))</f>
        <v/>
      </c>
      <c r="AS187" s="369" t="str">
        <f ca="1">IF($B187&lt;&gt;"PRC_RESID","",IF(AS$7=2005+OFFSET(COM_N_2012!$B$60,$AW187,SUMIF($B$10:$B$16,"NCAP_TLIFE",$AX$10:$AX$16)),0,""))</f>
        <v/>
      </c>
      <c r="AT187" s="369" t="str">
        <f ca="1">IF($B187&lt;&gt;"PRC_RESID","",IF(AT$7=2005+OFFSET(COM_N_2012!$B$60,$AW187,SUMIF($B$10:$B$16,"NCAP_TLIFE",$AX$10:$AX$16)),0,""))</f>
        <v/>
      </c>
      <c r="AU187" s="369" t="str">
        <f ca="1">IF($B187&lt;&gt;"PRC_RESID","",IF(AU$7=2005+OFFSET(COM_N_2012!$B$60,$AW187,SUMIF($B$10:$B$16,"NCAP_TLIFE",$AX$10:$AX$16)),0,""))</f>
        <v/>
      </c>
      <c r="AV187" s="304">
        <f>IF(AW186=COM_N_2012!$AK$121,AV186+1,AV186)</f>
        <v>3</v>
      </c>
      <c r="AW187" s="304">
        <f t="shared" si="20"/>
        <v>48</v>
      </c>
    </row>
    <row r="188" spans="1:49">
      <c r="A188" s="304" t="str">
        <f ca="1">IF(LEFT(OFFSET(COM_N_2012!$A$60,AW188,0),2)="\I","*","")</f>
        <v>*</v>
      </c>
      <c r="B188" s="369" t="str">
        <f t="shared" ca="1" si="19"/>
        <v/>
      </c>
      <c r="C188" s="369" t="str">
        <f ca="1">IF($A188="*","",OFFSET(COM_N_2012!$B$60,AW188,0))</f>
        <v/>
      </c>
      <c r="D188" s="369" t="str">
        <f t="shared" ref="D188:I197" ca="1" si="25">IF($A188="*","",VLOOKUP($B188,$B$10:$I$16,D$9,FALSE))</f>
        <v/>
      </c>
      <c r="E188" s="369" t="str">
        <f t="shared" ca="1" si="25"/>
        <v/>
      </c>
      <c r="F188" s="369" t="str">
        <f t="shared" ca="1" si="25"/>
        <v/>
      </c>
      <c r="G188" s="369" t="str">
        <f t="shared" ca="1" si="25"/>
        <v/>
      </c>
      <c r="H188" s="369" t="str">
        <f t="shared" ca="1" si="25"/>
        <v/>
      </c>
      <c r="I188" s="370" t="str">
        <f t="shared" ca="1" si="25"/>
        <v/>
      </c>
      <c r="J188" s="391" t="str">
        <f ca="1">IF($A188="*","",OFFSET(COM_N_2012!$B$60,AW188,SUMIF($B$10:$B$16,B188,$AX$10:$AX$16)))</f>
        <v/>
      </c>
      <c r="K188" s="369" t="str">
        <f ca="1">IF($B188&lt;&gt;"PRC_RESID","",IF(K$7=2005+OFFSET(COM_N_2012!$B$60,$AW188,SUMIF($B$10:$B$16,"NCAP_TLIFE",$AX$10:$AX$16)),0,""))</f>
        <v/>
      </c>
      <c r="L188" s="369" t="str">
        <f ca="1">IF($B188&lt;&gt;"PRC_RESID","",IF(L$7=2005+OFFSET(COM_N_2012!$B$60,$AW188,SUMIF($B$10:$B$16,"NCAP_TLIFE",$AX$10:$AX$16)),0,""))</f>
        <v/>
      </c>
      <c r="M188" s="369" t="str">
        <f ca="1">IF($B188&lt;&gt;"PRC_RESID","",IF(M$7=2005+OFFSET(COM_N_2012!$B$60,$AW188,SUMIF($B$10:$B$16,"NCAP_TLIFE",$AX$10:$AX$16)),0,""))</f>
        <v/>
      </c>
      <c r="N188" s="369" t="str">
        <f ca="1">IF($B188&lt;&gt;"PRC_RESID","",IF(N$7=2005+OFFSET(COM_N_2012!$B$60,$AW188,SUMIF($B$10:$B$16,"NCAP_TLIFE",$AX$10:$AX$16)),0,""))</f>
        <v/>
      </c>
      <c r="O188" s="369" t="str">
        <f ca="1">IF($B188&lt;&gt;"PRC_RESID","",IF(O$7=2005+OFFSET(COM_N_2012!$B$60,$AW188,SUMIF($B$10:$B$16,"NCAP_TLIFE",$AX$10:$AX$16)),0,""))</f>
        <v/>
      </c>
      <c r="P188" s="369" t="str">
        <f ca="1">IF($B188&lt;&gt;"PRC_RESID","",IF(P$7=2005+OFFSET(COM_N_2012!$B$60,$AW188,SUMIF($B$10:$B$16,"NCAP_TLIFE",$AX$10:$AX$16)),0,""))</f>
        <v/>
      </c>
      <c r="Q188" s="369" t="str">
        <f ca="1">IF($B188&lt;&gt;"PRC_RESID","",IF(Q$7=2005+OFFSET(COM_N_2012!$B$60,$AW188,SUMIF($B$10:$B$16,"NCAP_TLIFE",$AX$10:$AX$16)),0,""))</f>
        <v/>
      </c>
      <c r="R188" s="369" t="str">
        <f ca="1">IF($B188&lt;&gt;"PRC_RESID","",IF(R$7=2005+OFFSET(COM_N_2012!$B$60,$AW188,SUMIF($B$10:$B$16,"NCAP_TLIFE",$AX$10:$AX$16)),0,""))</f>
        <v/>
      </c>
      <c r="S188" s="369" t="str">
        <f ca="1">IF($B188&lt;&gt;"PRC_RESID","",IF(S$7=2005+OFFSET(COM_N_2012!$B$60,$AW188,SUMIF($B$10:$B$16,"NCAP_TLIFE",$AX$10:$AX$16)),0,""))</f>
        <v/>
      </c>
      <c r="T188" s="369" t="str">
        <f ca="1">IF($B188&lt;&gt;"PRC_RESID","",IF(T$7=2005+OFFSET(COM_N_2012!$B$60,$AW188,SUMIF($B$10:$B$16,"NCAP_TLIFE",$AX$10:$AX$16)),0,""))</f>
        <v/>
      </c>
      <c r="U188" s="369" t="str">
        <f ca="1">IF($B188&lt;&gt;"PRC_RESID","",IF(U$7=2005+OFFSET(COM_N_2012!$B$60,$AW188,SUMIF($B$10:$B$16,"NCAP_TLIFE",$AX$10:$AX$16)),0,""))</f>
        <v/>
      </c>
      <c r="V188" s="369" t="str">
        <f ca="1">IF($B188&lt;&gt;"PRC_RESID","",IF(V$7=2005+OFFSET(COM_N_2012!$B$60,$AW188,SUMIF($B$10:$B$16,"NCAP_TLIFE",$AX$10:$AX$16)),0,""))</f>
        <v/>
      </c>
      <c r="W188" s="369" t="str">
        <f ca="1">IF($B188&lt;&gt;"PRC_RESID","",IF(W$7=2005+OFFSET(COM_N_2012!$B$60,$AW188,SUMIF($B$10:$B$16,"NCAP_TLIFE",$AX$10:$AX$16)),0,""))</f>
        <v/>
      </c>
      <c r="X188" s="369" t="str">
        <f ca="1">IF($B188&lt;&gt;"PRC_RESID","",IF(X$7=2005+OFFSET(COM_N_2012!$B$60,$AW188,SUMIF($B$10:$B$16,"NCAP_TLIFE",$AX$10:$AX$16)),0,""))</f>
        <v/>
      </c>
      <c r="Y188" s="369" t="str">
        <f ca="1">IF($B188&lt;&gt;"PRC_RESID","",IF(Y$7=2005+OFFSET(COM_N_2012!$B$60,$AW188,SUMIF($B$10:$B$16,"NCAP_TLIFE",$AX$10:$AX$16)),0,""))</f>
        <v/>
      </c>
      <c r="Z188" s="369" t="str">
        <f ca="1">IF($B188&lt;&gt;"PRC_RESID","",IF(Z$7=2005+OFFSET(COM_N_2012!$B$60,$AW188,SUMIF($B$10:$B$16,"NCAP_TLIFE",$AX$10:$AX$16)),0,""))</f>
        <v/>
      </c>
      <c r="AA188" s="369" t="str">
        <f ca="1">IF($B188&lt;&gt;"PRC_RESID","",IF(AA$7=2005+OFFSET(COM_N_2012!$B$60,$AW188,SUMIF($B$10:$B$16,"NCAP_TLIFE",$AX$10:$AX$16)),0,""))</f>
        <v/>
      </c>
      <c r="AB188" s="369" t="str">
        <f ca="1">IF($B188&lt;&gt;"PRC_RESID","",IF(AB$7=2005+OFFSET(COM_N_2012!$B$60,$AW188,SUMIF($B$10:$B$16,"NCAP_TLIFE",$AX$10:$AX$16)),0,""))</f>
        <v/>
      </c>
      <c r="AC188" s="369" t="str">
        <f ca="1">IF($B188&lt;&gt;"PRC_RESID","",IF(AC$7=2005+OFFSET(COM_N_2012!$B$60,$AW188,SUMIF($B$10:$B$16,"NCAP_TLIFE",$AX$10:$AX$16)),0,""))</f>
        <v/>
      </c>
      <c r="AD188" s="369" t="str">
        <f ca="1">IF($B188&lt;&gt;"PRC_RESID","",IF(AD$7=2005+OFFSET(COM_N_2012!$B$60,$AW188,SUMIF($B$10:$B$16,"NCAP_TLIFE",$AX$10:$AX$16)),0,""))</f>
        <v/>
      </c>
      <c r="AE188" s="369" t="str">
        <f ca="1">IF($B188&lt;&gt;"PRC_RESID","",IF(AE$7=2005+OFFSET(COM_N_2012!$B$60,$AW188,SUMIF($B$10:$B$16,"NCAP_TLIFE",$AX$10:$AX$16)),0,""))</f>
        <v/>
      </c>
      <c r="AF188" s="369" t="str">
        <f ca="1">IF($B188&lt;&gt;"PRC_RESID","",IF(AF$7=2005+OFFSET(COM_N_2012!$B$60,$AW188,SUMIF($B$10:$B$16,"NCAP_TLIFE",$AX$10:$AX$16)),0,""))</f>
        <v/>
      </c>
      <c r="AG188" s="369" t="str">
        <f ca="1">IF($B188&lt;&gt;"PRC_RESID","",IF(AG$7=2005+OFFSET(COM_N_2012!$B$60,$AW188,SUMIF($B$10:$B$16,"NCAP_TLIFE",$AX$10:$AX$16)),0,""))</f>
        <v/>
      </c>
      <c r="AH188" s="369" t="str">
        <f ca="1">IF($B188&lt;&gt;"PRC_RESID","",IF(AH$7=2005+OFFSET(COM_N_2012!$B$60,$AW188,SUMIF($B$10:$B$16,"NCAP_TLIFE",$AX$10:$AX$16)),0,""))</f>
        <v/>
      </c>
      <c r="AI188" s="369" t="str">
        <f ca="1">IF($B188&lt;&gt;"PRC_RESID","",IF(AI$7=2005+OFFSET(COM_N_2012!$B$60,$AW188,SUMIF($B$10:$B$16,"NCAP_TLIFE",$AX$10:$AX$16)),0,""))</f>
        <v/>
      </c>
      <c r="AJ188" s="369" t="str">
        <f ca="1">IF($B188&lt;&gt;"PRC_RESID","",IF(AJ$7=2005+OFFSET(COM_N_2012!$B$60,$AW188,SUMIF($B$10:$B$16,"NCAP_TLIFE",$AX$10:$AX$16)),0,""))</f>
        <v/>
      </c>
      <c r="AK188" s="369" t="str">
        <f ca="1">IF($B188&lt;&gt;"PRC_RESID","",IF(AK$7=2005+OFFSET(COM_N_2012!$B$60,$AW188,SUMIF($B$10:$B$16,"NCAP_TLIFE",$AX$10:$AX$16)),0,""))</f>
        <v/>
      </c>
      <c r="AL188" s="369" t="str">
        <f ca="1">IF($B188&lt;&gt;"PRC_RESID","",IF(AL$7=2005+OFFSET(COM_N_2012!$B$60,$AW188,SUMIF($B$10:$B$16,"NCAP_TLIFE",$AX$10:$AX$16)),0,""))</f>
        <v/>
      </c>
      <c r="AM188" s="369" t="str">
        <f ca="1">IF($B188&lt;&gt;"PRC_RESID","",IF(AM$7=2005+OFFSET(COM_N_2012!$B$60,$AW188,SUMIF($B$10:$B$16,"NCAP_TLIFE",$AX$10:$AX$16)),0,""))</f>
        <v/>
      </c>
      <c r="AN188" s="369" t="str">
        <f ca="1">IF($B188&lt;&gt;"PRC_RESID","",IF(AN$7=2005+OFFSET(COM_N_2012!$B$60,$AW188,SUMIF($B$10:$B$16,"NCAP_TLIFE",$AX$10:$AX$16)),0,""))</f>
        <v/>
      </c>
      <c r="AO188" s="369" t="str">
        <f ca="1">IF($B188&lt;&gt;"PRC_RESID","",IF(AO$7=2005+OFFSET(COM_N_2012!$B$60,$AW188,SUMIF($B$10:$B$16,"NCAP_TLIFE",$AX$10:$AX$16)),0,""))</f>
        <v/>
      </c>
      <c r="AP188" s="369" t="str">
        <f ca="1">IF($B188&lt;&gt;"PRC_RESID","",IF(AP$7=2005+OFFSET(COM_N_2012!$B$60,$AW188,SUMIF($B$10:$B$16,"NCAP_TLIFE",$AX$10:$AX$16)),0,""))</f>
        <v/>
      </c>
      <c r="AQ188" s="369" t="str">
        <f ca="1">IF($B188&lt;&gt;"PRC_RESID","",IF(AQ$7=2005+OFFSET(COM_N_2012!$B$60,$AW188,SUMIF($B$10:$B$16,"NCAP_TLIFE",$AX$10:$AX$16)),0,""))</f>
        <v/>
      </c>
      <c r="AR188" s="369" t="str">
        <f ca="1">IF($B188&lt;&gt;"PRC_RESID","",IF(AR$7=2005+OFFSET(COM_N_2012!$B$60,$AW188,SUMIF($B$10:$B$16,"NCAP_TLIFE",$AX$10:$AX$16)),0,""))</f>
        <v/>
      </c>
      <c r="AS188" s="369" t="str">
        <f ca="1">IF($B188&lt;&gt;"PRC_RESID","",IF(AS$7=2005+OFFSET(COM_N_2012!$B$60,$AW188,SUMIF($B$10:$B$16,"NCAP_TLIFE",$AX$10:$AX$16)),0,""))</f>
        <v/>
      </c>
      <c r="AT188" s="369" t="str">
        <f ca="1">IF($B188&lt;&gt;"PRC_RESID","",IF(AT$7=2005+OFFSET(COM_N_2012!$B$60,$AW188,SUMIF($B$10:$B$16,"NCAP_TLIFE",$AX$10:$AX$16)),0,""))</f>
        <v/>
      </c>
      <c r="AU188" s="369" t="str">
        <f ca="1">IF($B188&lt;&gt;"PRC_RESID","",IF(AU$7=2005+OFFSET(COM_N_2012!$B$60,$AW188,SUMIF($B$10:$B$16,"NCAP_TLIFE",$AX$10:$AX$16)),0,""))</f>
        <v/>
      </c>
      <c r="AV188" s="304">
        <f>IF(AW187=COM_N_2012!$AK$121,AV187+1,AV187)</f>
        <v>3</v>
      </c>
      <c r="AW188" s="304">
        <f t="shared" si="20"/>
        <v>49</v>
      </c>
    </row>
    <row r="189" spans="1:49">
      <c r="A189" s="304" t="str">
        <f ca="1">IF(LEFT(OFFSET(COM_N_2012!$A$60,AW189,0),2)="\I","*","")</f>
        <v/>
      </c>
      <c r="B189" s="369" t="str">
        <f t="shared" ca="1" si="19"/>
        <v>NCAP_TLIFE</v>
      </c>
      <c r="C189" s="369" t="str">
        <f ca="1">IF($A189="*","",OFFSET(COM_N_2012!$B$60,AW189,0))</f>
        <v>CNTELC-E</v>
      </c>
      <c r="D189" s="369" t="str">
        <f t="shared" ca="1" si="25"/>
        <v>-</v>
      </c>
      <c r="E189" s="369" t="str">
        <f t="shared" ca="1" si="25"/>
        <v>-</v>
      </c>
      <c r="F189" s="369" t="str">
        <f t="shared" ca="1" si="25"/>
        <v>-</v>
      </c>
      <c r="G189" s="369" t="str">
        <f t="shared" ca="1" si="25"/>
        <v>-</v>
      </c>
      <c r="H189" s="369" t="str">
        <f t="shared" ca="1" si="25"/>
        <v>-</v>
      </c>
      <c r="I189" s="370">
        <f t="shared" ca="1" si="25"/>
        <v>0</v>
      </c>
      <c r="J189" s="391">
        <f ca="1">IF($A189="*","",OFFSET(COM_N_2012!$B$60,AW189,SUMIF($B$10:$B$16,B189,$AX$10:$AX$16)))</f>
        <v>15</v>
      </c>
      <c r="K189" s="369" t="str">
        <f ca="1">IF($B189&lt;&gt;"PRC_RESID","",IF(K$7=2005+OFFSET(COM_N_2012!$B$60,$AW189,SUMIF($B$10:$B$16,"NCAP_TLIFE",$AX$10:$AX$16)),0,""))</f>
        <v/>
      </c>
      <c r="L189" s="369" t="str">
        <f ca="1">IF($B189&lt;&gt;"PRC_RESID","",IF(L$7=2005+OFFSET(COM_N_2012!$B$60,$AW189,SUMIF($B$10:$B$16,"NCAP_TLIFE",$AX$10:$AX$16)),0,""))</f>
        <v/>
      </c>
      <c r="M189" s="369" t="str">
        <f ca="1">IF($B189&lt;&gt;"PRC_RESID","",IF(M$7=2005+OFFSET(COM_N_2012!$B$60,$AW189,SUMIF($B$10:$B$16,"NCAP_TLIFE",$AX$10:$AX$16)),0,""))</f>
        <v/>
      </c>
      <c r="N189" s="369" t="str">
        <f ca="1">IF($B189&lt;&gt;"PRC_RESID","",IF(N$7=2005+OFFSET(COM_N_2012!$B$60,$AW189,SUMIF($B$10:$B$16,"NCAP_TLIFE",$AX$10:$AX$16)),0,""))</f>
        <v/>
      </c>
      <c r="O189" s="369" t="str">
        <f ca="1">IF($B189&lt;&gt;"PRC_RESID","",IF(O$7=2005+OFFSET(COM_N_2012!$B$60,$AW189,SUMIF($B$10:$B$16,"NCAP_TLIFE",$AX$10:$AX$16)),0,""))</f>
        <v/>
      </c>
      <c r="P189" s="369" t="str">
        <f ca="1">IF($B189&lt;&gt;"PRC_RESID","",IF(P$7=2005+OFFSET(COM_N_2012!$B$60,$AW189,SUMIF($B$10:$B$16,"NCAP_TLIFE",$AX$10:$AX$16)),0,""))</f>
        <v/>
      </c>
      <c r="Q189" s="369" t="str">
        <f ca="1">IF($B189&lt;&gt;"PRC_RESID","",IF(Q$7=2005+OFFSET(COM_N_2012!$B$60,$AW189,SUMIF($B$10:$B$16,"NCAP_TLIFE",$AX$10:$AX$16)),0,""))</f>
        <v/>
      </c>
      <c r="R189" s="369" t="str">
        <f ca="1">IF($B189&lt;&gt;"PRC_RESID","",IF(R$7=2005+OFFSET(COM_N_2012!$B$60,$AW189,SUMIF($B$10:$B$16,"NCAP_TLIFE",$AX$10:$AX$16)),0,""))</f>
        <v/>
      </c>
      <c r="S189" s="369" t="str">
        <f ca="1">IF($B189&lt;&gt;"PRC_RESID","",IF(S$7=2005+OFFSET(COM_N_2012!$B$60,$AW189,SUMIF($B$10:$B$16,"NCAP_TLIFE",$AX$10:$AX$16)),0,""))</f>
        <v/>
      </c>
      <c r="T189" s="369" t="str">
        <f ca="1">IF($B189&lt;&gt;"PRC_RESID","",IF(T$7=2005+OFFSET(COM_N_2012!$B$60,$AW189,SUMIF($B$10:$B$16,"NCAP_TLIFE",$AX$10:$AX$16)),0,""))</f>
        <v/>
      </c>
      <c r="U189" s="369" t="str">
        <f ca="1">IF($B189&lt;&gt;"PRC_RESID","",IF(U$7=2005+OFFSET(COM_N_2012!$B$60,$AW189,SUMIF($B$10:$B$16,"NCAP_TLIFE",$AX$10:$AX$16)),0,""))</f>
        <v/>
      </c>
      <c r="V189" s="369" t="str">
        <f ca="1">IF($B189&lt;&gt;"PRC_RESID","",IF(V$7=2005+OFFSET(COM_N_2012!$B$60,$AW189,SUMIF($B$10:$B$16,"NCAP_TLIFE",$AX$10:$AX$16)),0,""))</f>
        <v/>
      </c>
      <c r="W189" s="369" t="str">
        <f ca="1">IF($B189&lt;&gt;"PRC_RESID","",IF(W$7=2005+OFFSET(COM_N_2012!$B$60,$AW189,SUMIF($B$10:$B$16,"NCAP_TLIFE",$AX$10:$AX$16)),0,""))</f>
        <v/>
      </c>
      <c r="X189" s="369" t="str">
        <f ca="1">IF($B189&lt;&gt;"PRC_RESID","",IF(X$7=2005+OFFSET(COM_N_2012!$B$60,$AW189,SUMIF($B$10:$B$16,"NCAP_TLIFE",$AX$10:$AX$16)),0,""))</f>
        <v/>
      </c>
      <c r="Y189" s="369" t="str">
        <f ca="1">IF($B189&lt;&gt;"PRC_RESID","",IF(Y$7=2005+OFFSET(COM_N_2012!$B$60,$AW189,SUMIF($B$10:$B$16,"NCAP_TLIFE",$AX$10:$AX$16)),0,""))</f>
        <v/>
      </c>
      <c r="Z189" s="369" t="str">
        <f ca="1">IF($B189&lt;&gt;"PRC_RESID","",IF(Z$7=2005+OFFSET(COM_N_2012!$B$60,$AW189,SUMIF($B$10:$B$16,"NCAP_TLIFE",$AX$10:$AX$16)),0,""))</f>
        <v/>
      </c>
      <c r="AA189" s="369" t="str">
        <f ca="1">IF($B189&lt;&gt;"PRC_RESID","",IF(AA$7=2005+OFFSET(COM_N_2012!$B$60,$AW189,SUMIF($B$10:$B$16,"NCAP_TLIFE",$AX$10:$AX$16)),0,""))</f>
        <v/>
      </c>
      <c r="AB189" s="369" t="str">
        <f ca="1">IF($B189&lt;&gt;"PRC_RESID","",IF(AB$7=2005+OFFSET(COM_N_2012!$B$60,$AW189,SUMIF($B$10:$B$16,"NCAP_TLIFE",$AX$10:$AX$16)),0,""))</f>
        <v/>
      </c>
      <c r="AC189" s="369" t="str">
        <f ca="1">IF($B189&lt;&gt;"PRC_RESID","",IF(AC$7=2005+OFFSET(COM_N_2012!$B$60,$AW189,SUMIF($B$10:$B$16,"NCAP_TLIFE",$AX$10:$AX$16)),0,""))</f>
        <v/>
      </c>
      <c r="AD189" s="369" t="str">
        <f ca="1">IF($B189&lt;&gt;"PRC_RESID","",IF(AD$7=2005+OFFSET(COM_N_2012!$B$60,$AW189,SUMIF($B$10:$B$16,"NCAP_TLIFE",$AX$10:$AX$16)),0,""))</f>
        <v/>
      </c>
      <c r="AE189" s="369" t="str">
        <f ca="1">IF($B189&lt;&gt;"PRC_RESID","",IF(AE$7=2005+OFFSET(COM_N_2012!$B$60,$AW189,SUMIF($B$10:$B$16,"NCAP_TLIFE",$AX$10:$AX$16)),0,""))</f>
        <v/>
      </c>
      <c r="AF189" s="369" t="str">
        <f ca="1">IF($B189&lt;&gt;"PRC_RESID","",IF(AF$7=2005+OFFSET(COM_N_2012!$B$60,$AW189,SUMIF($B$10:$B$16,"NCAP_TLIFE",$AX$10:$AX$16)),0,""))</f>
        <v/>
      </c>
      <c r="AG189" s="369" t="str">
        <f ca="1">IF($B189&lt;&gt;"PRC_RESID","",IF(AG$7=2005+OFFSET(COM_N_2012!$B$60,$AW189,SUMIF($B$10:$B$16,"NCAP_TLIFE",$AX$10:$AX$16)),0,""))</f>
        <v/>
      </c>
      <c r="AH189" s="369" t="str">
        <f ca="1">IF($B189&lt;&gt;"PRC_RESID","",IF(AH$7=2005+OFFSET(COM_N_2012!$B$60,$AW189,SUMIF($B$10:$B$16,"NCAP_TLIFE",$AX$10:$AX$16)),0,""))</f>
        <v/>
      </c>
      <c r="AI189" s="369" t="str">
        <f ca="1">IF($B189&lt;&gt;"PRC_RESID","",IF(AI$7=2005+OFFSET(COM_N_2012!$B$60,$AW189,SUMIF($B$10:$B$16,"NCAP_TLIFE",$AX$10:$AX$16)),0,""))</f>
        <v/>
      </c>
      <c r="AJ189" s="369" t="str">
        <f ca="1">IF($B189&lt;&gt;"PRC_RESID","",IF(AJ$7=2005+OFFSET(COM_N_2012!$B$60,$AW189,SUMIF($B$10:$B$16,"NCAP_TLIFE",$AX$10:$AX$16)),0,""))</f>
        <v/>
      </c>
      <c r="AK189" s="369" t="str">
        <f ca="1">IF($B189&lt;&gt;"PRC_RESID","",IF(AK$7=2005+OFFSET(COM_N_2012!$B$60,$AW189,SUMIF($B$10:$B$16,"NCAP_TLIFE",$AX$10:$AX$16)),0,""))</f>
        <v/>
      </c>
      <c r="AL189" s="369" t="str">
        <f ca="1">IF($B189&lt;&gt;"PRC_RESID","",IF(AL$7=2005+OFFSET(COM_N_2012!$B$60,$AW189,SUMIF($B$10:$B$16,"NCAP_TLIFE",$AX$10:$AX$16)),0,""))</f>
        <v/>
      </c>
      <c r="AM189" s="369" t="str">
        <f ca="1">IF($B189&lt;&gt;"PRC_RESID","",IF(AM$7=2005+OFFSET(COM_N_2012!$B$60,$AW189,SUMIF($B$10:$B$16,"NCAP_TLIFE",$AX$10:$AX$16)),0,""))</f>
        <v/>
      </c>
      <c r="AN189" s="369" t="str">
        <f ca="1">IF($B189&lt;&gt;"PRC_RESID","",IF(AN$7=2005+OFFSET(COM_N_2012!$B$60,$AW189,SUMIF($B$10:$B$16,"NCAP_TLIFE",$AX$10:$AX$16)),0,""))</f>
        <v/>
      </c>
      <c r="AO189" s="369" t="str">
        <f ca="1">IF($B189&lt;&gt;"PRC_RESID","",IF(AO$7=2005+OFFSET(COM_N_2012!$B$60,$AW189,SUMIF($B$10:$B$16,"NCAP_TLIFE",$AX$10:$AX$16)),0,""))</f>
        <v/>
      </c>
      <c r="AP189" s="369" t="str">
        <f ca="1">IF($B189&lt;&gt;"PRC_RESID","",IF(AP$7=2005+OFFSET(COM_N_2012!$B$60,$AW189,SUMIF($B$10:$B$16,"NCAP_TLIFE",$AX$10:$AX$16)),0,""))</f>
        <v/>
      </c>
      <c r="AQ189" s="369" t="str">
        <f ca="1">IF($B189&lt;&gt;"PRC_RESID","",IF(AQ$7=2005+OFFSET(COM_N_2012!$B$60,$AW189,SUMIF($B$10:$B$16,"NCAP_TLIFE",$AX$10:$AX$16)),0,""))</f>
        <v/>
      </c>
      <c r="AR189" s="369" t="str">
        <f ca="1">IF($B189&lt;&gt;"PRC_RESID","",IF(AR$7=2005+OFFSET(COM_N_2012!$B$60,$AW189,SUMIF($B$10:$B$16,"NCAP_TLIFE",$AX$10:$AX$16)),0,""))</f>
        <v/>
      </c>
      <c r="AS189" s="369" t="str">
        <f ca="1">IF($B189&lt;&gt;"PRC_RESID","",IF(AS$7=2005+OFFSET(COM_N_2012!$B$60,$AW189,SUMIF($B$10:$B$16,"NCAP_TLIFE",$AX$10:$AX$16)),0,""))</f>
        <v/>
      </c>
      <c r="AT189" s="369" t="str">
        <f ca="1">IF($B189&lt;&gt;"PRC_RESID","",IF(AT$7=2005+OFFSET(COM_N_2012!$B$60,$AW189,SUMIF($B$10:$B$16,"NCAP_TLIFE",$AX$10:$AX$16)),0,""))</f>
        <v/>
      </c>
      <c r="AU189" s="369" t="str">
        <f ca="1">IF($B189&lt;&gt;"PRC_RESID","",IF(AU$7=2005+OFFSET(COM_N_2012!$B$60,$AW189,SUMIF($B$10:$B$16,"NCAP_TLIFE",$AX$10:$AX$16)),0,""))</f>
        <v/>
      </c>
      <c r="AV189" s="304">
        <f>IF(AW188=COM_N_2012!$AK$121,AV188+1,AV188)</f>
        <v>3</v>
      </c>
      <c r="AW189" s="304">
        <f t="shared" si="20"/>
        <v>50</v>
      </c>
    </row>
    <row r="190" spans="1:49">
      <c r="A190" s="304" t="str">
        <f ca="1">IF(LEFT(OFFSET(COM_N_2012!$A$60,AW190,0),2)="\I","*","")</f>
        <v>*</v>
      </c>
      <c r="B190" s="369" t="str">
        <f t="shared" ca="1" si="19"/>
        <v/>
      </c>
      <c r="C190" s="369" t="str">
        <f ca="1">IF($A190="*","",OFFSET(COM_N_2012!$B$60,AW190,0))</f>
        <v/>
      </c>
      <c r="D190" s="369" t="str">
        <f t="shared" ca="1" si="25"/>
        <v/>
      </c>
      <c r="E190" s="369" t="str">
        <f t="shared" ca="1" si="25"/>
        <v/>
      </c>
      <c r="F190" s="369" t="str">
        <f t="shared" ca="1" si="25"/>
        <v/>
      </c>
      <c r="G190" s="369" t="str">
        <f t="shared" ca="1" si="25"/>
        <v/>
      </c>
      <c r="H190" s="369" t="str">
        <f t="shared" ca="1" si="25"/>
        <v/>
      </c>
      <c r="I190" s="370" t="str">
        <f t="shared" ca="1" si="25"/>
        <v/>
      </c>
      <c r="J190" s="391" t="str">
        <f ca="1">IF($A190="*","",OFFSET(COM_N_2012!$B$60,AW190,SUMIF($B$10:$B$16,B190,$AX$10:$AX$16)))</f>
        <v/>
      </c>
      <c r="K190" s="369" t="str">
        <f ca="1">IF($B190&lt;&gt;"PRC_RESID","",IF(K$7=2005+OFFSET(COM_N_2012!$B$60,$AW190,SUMIF($B$10:$B$16,"NCAP_TLIFE",$AX$10:$AX$16)),0,""))</f>
        <v/>
      </c>
      <c r="L190" s="369" t="str">
        <f ca="1">IF($B190&lt;&gt;"PRC_RESID","",IF(L$7=2005+OFFSET(COM_N_2012!$B$60,$AW190,SUMIF($B$10:$B$16,"NCAP_TLIFE",$AX$10:$AX$16)),0,""))</f>
        <v/>
      </c>
      <c r="M190" s="369" t="str">
        <f ca="1">IF($B190&lt;&gt;"PRC_RESID","",IF(M$7=2005+OFFSET(COM_N_2012!$B$60,$AW190,SUMIF($B$10:$B$16,"NCAP_TLIFE",$AX$10:$AX$16)),0,""))</f>
        <v/>
      </c>
      <c r="N190" s="369" t="str">
        <f ca="1">IF($B190&lt;&gt;"PRC_RESID","",IF(N$7=2005+OFFSET(COM_N_2012!$B$60,$AW190,SUMIF($B$10:$B$16,"NCAP_TLIFE",$AX$10:$AX$16)),0,""))</f>
        <v/>
      </c>
      <c r="O190" s="369" t="str">
        <f ca="1">IF($B190&lt;&gt;"PRC_RESID","",IF(O$7=2005+OFFSET(COM_N_2012!$B$60,$AW190,SUMIF($B$10:$B$16,"NCAP_TLIFE",$AX$10:$AX$16)),0,""))</f>
        <v/>
      </c>
      <c r="P190" s="369" t="str">
        <f ca="1">IF($B190&lt;&gt;"PRC_RESID","",IF(P$7=2005+OFFSET(COM_N_2012!$B$60,$AW190,SUMIF($B$10:$B$16,"NCAP_TLIFE",$AX$10:$AX$16)),0,""))</f>
        <v/>
      </c>
      <c r="Q190" s="369" t="str">
        <f ca="1">IF($B190&lt;&gt;"PRC_RESID","",IF(Q$7=2005+OFFSET(COM_N_2012!$B$60,$AW190,SUMIF($B$10:$B$16,"NCAP_TLIFE",$AX$10:$AX$16)),0,""))</f>
        <v/>
      </c>
      <c r="R190" s="369" t="str">
        <f ca="1">IF($B190&lt;&gt;"PRC_RESID","",IF(R$7=2005+OFFSET(COM_N_2012!$B$60,$AW190,SUMIF($B$10:$B$16,"NCAP_TLIFE",$AX$10:$AX$16)),0,""))</f>
        <v/>
      </c>
      <c r="S190" s="369" t="str">
        <f ca="1">IF($B190&lt;&gt;"PRC_RESID","",IF(S$7=2005+OFFSET(COM_N_2012!$B$60,$AW190,SUMIF($B$10:$B$16,"NCAP_TLIFE",$AX$10:$AX$16)),0,""))</f>
        <v/>
      </c>
      <c r="T190" s="369" t="str">
        <f ca="1">IF($B190&lt;&gt;"PRC_RESID","",IF(T$7=2005+OFFSET(COM_N_2012!$B$60,$AW190,SUMIF($B$10:$B$16,"NCAP_TLIFE",$AX$10:$AX$16)),0,""))</f>
        <v/>
      </c>
      <c r="U190" s="369" t="str">
        <f ca="1">IF($B190&lt;&gt;"PRC_RESID","",IF(U$7=2005+OFFSET(COM_N_2012!$B$60,$AW190,SUMIF($B$10:$B$16,"NCAP_TLIFE",$AX$10:$AX$16)),0,""))</f>
        <v/>
      </c>
      <c r="V190" s="369" t="str">
        <f ca="1">IF($B190&lt;&gt;"PRC_RESID","",IF(V$7=2005+OFFSET(COM_N_2012!$B$60,$AW190,SUMIF($B$10:$B$16,"NCAP_TLIFE",$AX$10:$AX$16)),0,""))</f>
        <v/>
      </c>
      <c r="W190" s="369" t="str">
        <f ca="1">IF($B190&lt;&gt;"PRC_RESID","",IF(W$7=2005+OFFSET(COM_N_2012!$B$60,$AW190,SUMIF($B$10:$B$16,"NCAP_TLIFE",$AX$10:$AX$16)),0,""))</f>
        <v/>
      </c>
      <c r="X190" s="369" t="str">
        <f ca="1">IF($B190&lt;&gt;"PRC_RESID","",IF(X$7=2005+OFFSET(COM_N_2012!$B$60,$AW190,SUMIF($B$10:$B$16,"NCAP_TLIFE",$AX$10:$AX$16)),0,""))</f>
        <v/>
      </c>
      <c r="Y190" s="369" t="str">
        <f ca="1">IF($B190&lt;&gt;"PRC_RESID","",IF(Y$7=2005+OFFSET(COM_N_2012!$B$60,$AW190,SUMIF($B$10:$B$16,"NCAP_TLIFE",$AX$10:$AX$16)),0,""))</f>
        <v/>
      </c>
      <c r="Z190" s="369" t="str">
        <f ca="1">IF($B190&lt;&gt;"PRC_RESID","",IF(Z$7=2005+OFFSET(COM_N_2012!$B$60,$AW190,SUMIF($B$10:$B$16,"NCAP_TLIFE",$AX$10:$AX$16)),0,""))</f>
        <v/>
      </c>
      <c r="AA190" s="369" t="str">
        <f ca="1">IF($B190&lt;&gt;"PRC_RESID","",IF(AA$7=2005+OFFSET(COM_N_2012!$B$60,$AW190,SUMIF($B$10:$B$16,"NCAP_TLIFE",$AX$10:$AX$16)),0,""))</f>
        <v/>
      </c>
      <c r="AB190" s="369" t="str">
        <f ca="1">IF($B190&lt;&gt;"PRC_RESID","",IF(AB$7=2005+OFFSET(COM_N_2012!$B$60,$AW190,SUMIF($B$10:$B$16,"NCAP_TLIFE",$AX$10:$AX$16)),0,""))</f>
        <v/>
      </c>
      <c r="AC190" s="369" t="str">
        <f ca="1">IF($B190&lt;&gt;"PRC_RESID","",IF(AC$7=2005+OFFSET(COM_N_2012!$B$60,$AW190,SUMIF($B$10:$B$16,"NCAP_TLIFE",$AX$10:$AX$16)),0,""))</f>
        <v/>
      </c>
      <c r="AD190" s="369" t="str">
        <f ca="1">IF($B190&lt;&gt;"PRC_RESID","",IF(AD$7=2005+OFFSET(COM_N_2012!$B$60,$AW190,SUMIF($B$10:$B$16,"NCAP_TLIFE",$AX$10:$AX$16)),0,""))</f>
        <v/>
      </c>
      <c r="AE190" s="369" t="str">
        <f ca="1">IF($B190&lt;&gt;"PRC_RESID","",IF(AE$7=2005+OFFSET(COM_N_2012!$B$60,$AW190,SUMIF($B$10:$B$16,"NCAP_TLIFE",$AX$10:$AX$16)),0,""))</f>
        <v/>
      </c>
      <c r="AF190" s="369" t="str">
        <f ca="1">IF($B190&lt;&gt;"PRC_RESID","",IF(AF$7=2005+OFFSET(COM_N_2012!$B$60,$AW190,SUMIF($B$10:$B$16,"NCAP_TLIFE",$AX$10:$AX$16)),0,""))</f>
        <v/>
      </c>
      <c r="AG190" s="369" t="str">
        <f ca="1">IF($B190&lt;&gt;"PRC_RESID","",IF(AG$7=2005+OFFSET(COM_N_2012!$B$60,$AW190,SUMIF($B$10:$B$16,"NCAP_TLIFE",$AX$10:$AX$16)),0,""))</f>
        <v/>
      </c>
      <c r="AH190" s="369" t="str">
        <f ca="1">IF($B190&lt;&gt;"PRC_RESID","",IF(AH$7=2005+OFFSET(COM_N_2012!$B$60,$AW190,SUMIF($B$10:$B$16,"NCAP_TLIFE",$AX$10:$AX$16)),0,""))</f>
        <v/>
      </c>
      <c r="AI190" s="369" t="str">
        <f ca="1">IF($B190&lt;&gt;"PRC_RESID","",IF(AI$7=2005+OFFSET(COM_N_2012!$B$60,$AW190,SUMIF($B$10:$B$16,"NCAP_TLIFE",$AX$10:$AX$16)),0,""))</f>
        <v/>
      </c>
      <c r="AJ190" s="369" t="str">
        <f ca="1">IF($B190&lt;&gt;"PRC_RESID","",IF(AJ$7=2005+OFFSET(COM_N_2012!$B$60,$AW190,SUMIF($B$10:$B$16,"NCAP_TLIFE",$AX$10:$AX$16)),0,""))</f>
        <v/>
      </c>
      <c r="AK190" s="369" t="str">
        <f ca="1">IF($B190&lt;&gt;"PRC_RESID","",IF(AK$7=2005+OFFSET(COM_N_2012!$B$60,$AW190,SUMIF($B$10:$B$16,"NCAP_TLIFE",$AX$10:$AX$16)),0,""))</f>
        <v/>
      </c>
      <c r="AL190" s="369" t="str">
        <f ca="1">IF($B190&lt;&gt;"PRC_RESID","",IF(AL$7=2005+OFFSET(COM_N_2012!$B$60,$AW190,SUMIF($B$10:$B$16,"NCAP_TLIFE",$AX$10:$AX$16)),0,""))</f>
        <v/>
      </c>
      <c r="AM190" s="369" t="str">
        <f ca="1">IF($B190&lt;&gt;"PRC_RESID","",IF(AM$7=2005+OFFSET(COM_N_2012!$B$60,$AW190,SUMIF($B$10:$B$16,"NCAP_TLIFE",$AX$10:$AX$16)),0,""))</f>
        <v/>
      </c>
      <c r="AN190" s="369" t="str">
        <f ca="1">IF($B190&lt;&gt;"PRC_RESID","",IF(AN$7=2005+OFFSET(COM_N_2012!$B$60,$AW190,SUMIF($B$10:$B$16,"NCAP_TLIFE",$AX$10:$AX$16)),0,""))</f>
        <v/>
      </c>
      <c r="AO190" s="369" t="str">
        <f ca="1">IF($B190&lt;&gt;"PRC_RESID","",IF(AO$7=2005+OFFSET(COM_N_2012!$B$60,$AW190,SUMIF($B$10:$B$16,"NCAP_TLIFE",$AX$10:$AX$16)),0,""))</f>
        <v/>
      </c>
      <c r="AP190" s="369" t="str">
        <f ca="1">IF($B190&lt;&gt;"PRC_RESID","",IF(AP$7=2005+OFFSET(COM_N_2012!$B$60,$AW190,SUMIF($B$10:$B$16,"NCAP_TLIFE",$AX$10:$AX$16)),0,""))</f>
        <v/>
      </c>
      <c r="AQ190" s="369" t="str">
        <f ca="1">IF($B190&lt;&gt;"PRC_RESID","",IF(AQ$7=2005+OFFSET(COM_N_2012!$B$60,$AW190,SUMIF($B$10:$B$16,"NCAP_TLIFE",$AX$10:$AX$16)),0,""))</f>
        <v/>
      </c>
      <c r="AR190" s="369" t="str">
        <f ca="1">IF($B190&lt;&gt;"PRC_RESID","",IF(AR$7=2005+OFFSET(COM_N_2012!$B$60,$AW190,SUMIF($B$10:$B$16,"NCAP_TLIFE",$AX$10:$AX$16)),0,""))</f>
        <v/>
      </c>
      <c r="AS190" s="369" t="str">
        <f ca="1">IF($B190&lt;&gt;"PRC_RESID","",IF(AS$7=2005+OFFSET(COM_N_2012!$B$60,$AW190,SUMIF($B$10:$B$16,"NCAP_TLIFE",$AX$10:$AX$16)),0,""))</f>
        <v/>
      </c>
      <c r="AT190" s="369" t="str">
        <f ca="1">IF($B190&lt;&gt;"PRC_RESID","",IF(AT$7=2005+OFFSET(COM_N_2012!$B$60,$AW190,SUMIF($B$10:$B$16,"NCAP_TLIFE",$AX$10:$AX$16)),0,""))</f>
        <v/>
      </c>
      <c r="AU190" s="369" t="str">
        <f ca="1">IF($B190&lt;&gt;"PRC_RESID","",IF(AU$7=2005+OFFSET(COM_N_2012!$B$60,$AW190,SUMIF($B$10:$B$16,"NCAP_TLIFE",$AX$10:$AX$16)),0,""))</f>
        <v/>
      </c>
      <c r="AV190" s="304">
        <f>IF(AW189=COM_N_2012!$AK$121,AV189+1,AV189)</f>
        <v>3</v>
      </c>
      <c r="AW190" s="304">
        <f t="shared" si="20"/>
        <v>51</v>
      </c>
    </row>
    <row r="191" spans="1:49">
      <c r="A191" s="304" t="str">
        <f ca="1">IF(LEFT(OFFSET(COM_N_2012!$A$60,AW191,0),2)="\I","*","")</f>
        <v>*</v>
      </c>
      <c r="B191" s="369" t="str">
        <f t="shared" ca="1" si="19"/>
        <v/>
      </c>
      <c r="C191" s="369" t="str">
        <f ca="1">IF($A191="*","",OFFSET(COM_N_2012!$B$60,AW191,0))</f>
        <v/>
      </c>
      <c r="D191" s="369" t="str">
        <f t="shared" ca="1" si="25"/>
        <v/>
      </c>
      <c r="E191" s="369" t="str">
        <f t="shared" ca="1" si="25"/>
        <v/>
      </c>
      <c r="F191" s="369" t="str">
        <f t="shared" ca="1" si="25"/>
        <v/>
      </c>
      <c r="G191" s="369" t="str">
        <f t="shared" ca="1" si="25"/>
        <v/>
      </c>
      <c r="H191" s="369" t="str">
        <f t="shared" ca="1" si="25"/>
        <v/>
      </c>
      <c r="I191" s="370" t="str">
        <f t="shared" ca="1" si="25"/>
        <v/>
      </c>
      <c r="J191" s="391" t="str">
        <f ca="1">IF($A191="*","",OFFSET(COM_N_2012!$B$60,AW191,SUMIF($B$10:$B$16,B191,$AX$10:$AX$16)))</f>
        <v/>
      </c>
      <c r="K191" s="369" t="str">
        <f ca="1">IF($B191&lt;&gt;"PRC_RESID","",IF(K$7=2005+OFFSET(COM_N_2012!$B$60,$AW191,SUMIF($B$10:$B$16,"NCAP_TLIFE",$AX$10:$AX$16)),0,""))</f>
        <v/>
      </c>
      <c r="L191" s="369" t="str">
        <f ca="1">IF($B191&lt;&gt;"PRC_RESID","",IF(L$7=2005+OFFSET(COM_N_2012!$B$60,$AW191,SUMIF($B$10:$B$16,"NCAP_TLIFE",$AX$10:$AX$16)),0,""))</f>
        <v/>
      </c>
      <c r="M191" s="369" t="str">
        <f ca="1">IF($B191&lt;&gt;"PRC_RESID","",IF(M$7=2005+OFFSET(COM_N_2012!$B$60,$AW191,SUMIF($B$10:$B$16,"NCAP_TLIFE",$AX$10:$AX$16)),0,""))</f>
        <v/>
      </c>
      <c r="N191" s="369" t="str">
        <f ca="1">IF($B191&lt;&gt;"PRC_RESID","",IF(N$7=2005+OFFSET(COM_N_2012!$B$60,$AW191,SUMIF($B$10:$B$16,"NCAP_TLIFE",$AX$10:$AX$16)),0,""))</f>
        <v/>
      </c>
      <c r="O191" s="369" t="str">
        <f ca="1">IF($B191&lt;&gt;"PRC_RESID","",IF(O$7=2005+OFFSET(COM_N_2012!$B$60,$AW191,SUMIF($B$10:$B$16,"NCAP_TLIFE",$AX$10:$AX$16)),0,""))</f>
        <v/>
      </c>
      <c r="P191" s="369" t="str">
        <f ca="1">IF($B191&lt;&gt;"PRC_RESID","",IF(P$7=2005+OFFSET(COM_N_2012!$B$60,$AW191,SUMIF($B$10:$B$16,"NCAP_TLIFE",$AX$10:$AX$16)),0,""))</f>
        <v/>
      </c>
      <c r="Q191" s="369" t="str">
        <f ca="1">IF($B191&lt;&gt;"PRC_RESID","",IF(Q$7=2005+OFFSET(COM_N_2012!$B$60,$AW191,SUMIF($B$10:$B$16,"NCAP_TLIFE",$AX$10:$AX$16)),0,""))</f>
        <v/>
      </c>
      <c r="R191" s="369" t="str">
        <f ca="1">IF($B191&lt;&gt;"PRC_RESID","",IF(R$7=2005+OFFSET(COM_N_2012!$B$60,$AW191,SUMIF($B$10:$B$16,"NCAP_TLIFE",$AX$10:$AX$16)),0,""))</f>
        <v/>
      </c>
      <c r="S191" s="369" t="str">
        <f ca="1">IF($B191&lt;&gt;"PRC_RESID","",IF(S$7=2005+OFFSET(COM_N_2012!$B$60,$AW191,SUMIF($B$10:$B$16,"NCAP_TLIFE",$AX$10:$AX$16)),0,""))</f>
        <v/>
      </c>
      <c r="T191" s="369" t="str">
        <f ca="1">IF($B191&lt;&gt;"PRC_RESID","",IF(T$7=2005+OFFSET(COM_N_2012!$B$60,$AW191,SUMIF($B$10:$B$16,"NCAP_TLIFE",$AX$10:$AX$16)),0,""))</f>
        <v/>
      </c>
      <c r="U191" s="369" t="str">
        <f ca="1">IF($B191&lt;&gt;"PRC_RESID","",IF(U$7=2005+OFFSET(COM_N_2012!$B$60,$AW191,SUMIF($B$10:$B$16,"NCAP_TLIFE",$AX$10:$AX$16)),0,""))</f>
        <v/>
      </c>
      <c r="V191" s="369" t="str">
        <f ca="1">IF($B191&lt;&gt;"PRC_RESID","",IF(V$7=2005+OFFSET(COM_N_2012!$B$60,$AW191,SUMIF($B$10:$B$16,"NCAP_TLIFE",$AX$10:$AX$16)),0,""))</f>
        <v/>
      </c>
      <c r="W191" s="369" t="str">
        <f ca="1">IF($B191&lt;&gt;"PRC_RESID","",IF(W$7=2005+OFFSET(COM_N_2012!$B$60,$AW191,SUMIF($B$10:$B$16,"NCAP_TLIFE",$AX$10:$AX$16)),0,""))</f>
        <v/>
      </c>
      <c r="X191" s="369" t="str">
        <f ca="1">IF($B191&lt;&gt;"PRC_RESID","",IF(X$7=2005+OFFSET(COM_N_2012!$B$60,$AW191,SUMIF($B$10:$B$16,"NCAP_TLIFE",$AX$10:$AX$16)),0,""))</f>
        <v/>
      </c>
      <c r="Y191" s="369" t="str">
        <f ca="1">IF($B191&lt;&gt;"PRC_RESID","",IF(Y$7=2005+OFFSET(COM_N_2012!$B$60,$AW191,SUMIF($B$10:$B$16,"NCAP_TLIFE",$AX$10:$AX$16)),0,""))</f>
        <v/>
      </c>
      <c r="Z191" s="369" t="str">
        <f ca="1">IF($B191&lt;&gt;"PRC_RESID","",IF(Z$7=2005+OFFSET(COM_N_2012!$B$60,$AW191,SUMIF($B$10:$B$16,"NCAP_TLIFE",$AX$10:$AX$16)),0,""))</f>
        <v/>
      </c>
      <c r="AA191" s="369" t="str">
        <f ca="1">IF($B191&lt;&gt;"PRC_RESID","",IF(AA$7=2005+OFFSET(COM_N_2012!$B$60,$AW191,SUMIF($B$10:$B$16,"NCAP_TLIFE",$AX$10:$AX$16)),0,""))</f>
        <v/>
      </c>
      <c r="AB191" s="369" t="str">
        <f ca="1">IF($B191&lt;&gt;"PRC_RESID","",IF(AB$7=2005+OFFSET(COM_N_2012!$B$60,$AW191,SUMIF($B$10:$B$16,"NCAP_TLIFE",$AX$10:$AX$16)),0,""))</f>
        <v/>
      </c>
      <c r="AC191" s="369" t="str">
        <f ca="1">IF($B191&lt;&gt;"PRC_RESID","",IF(AC$7=2005+OFFSET(COM_N_2012!$B$60,$AW191,SUMIF($B$10:$B$16,"NCAP_TLIFE",$AX$10:$AX$16)),0,""))</f>
        <v/>
      </c>
      <c r="AD191" s="369" t="str">
        <f ca="1">IF($B191&lt;&gt;"PRC_RESID","",IF(AD$7=2005+OFFSET(COM_N_2012!$B$60,$AW191,SUMIF($B$10:$B$16,"NCAP_TLIFE",$AX$10:$AX$16)),0,""))</f>
        <v/>
      </c>
      <c r="AE191" s="369" t="str">
        <f ca="1">IF($B191&lt;&gt;"PRC_RESID","",IF(AE$7=2005+OFFSET(COM_N_2012!$B$60,$AW191,SUMIF($B$10:$B$16,"NCAP_TLIFE",$AX$10:$AX$16)),0,""))</f>
        <v/>
      </c>
      <c r="AF191" s="369" t="str">
        <f ca="1">IF($B191&lt;&gt;"PRC_RESID","",IF(AF$7=2005+OFFSET(COM_N_2012!$B$60,$AW191,SUMIF($B$10:$B$16,"NCAP_TLIFE",$AX$10:$AX$16)),0,""))</f>
        <v/>
      </c>
      <c r="AG191" s="369" t="str">
        <f ca="1">IF($B191&lt;&gt;"PRC_RESID","",IF(AG$7=2005+OFFSET(COM_N_2012!$B$60,$AW191,SUMIF($B$10:$B$16,"NCAP_TLIFE",$AX$10:$AX$16)),0,""))</f>
        <v/>
      </c>
      <c r="AH191" s="369" t="str">
        <f ca="1">IF($B191&lt;&gt;"PRC_RESID","",IF(AH$7=2005+OFFSET(COM_N_2012!$B$60,$AW191,SUMIF($B$10:$B$16,"NCAP_TLIFE",$AX$10:$AX$16)),0,""))</f>
        <v/>
      </c>
      <c r="AI191" s="369" t="str">
        <f ca="1">IF($B191&lt;&gt;"PRC_RESID","",IF(AI$7=2005+OFFSET(COM_N_2012!$B$60,$AW191,SUMIF($B$10:$B$16,"NCAP_TLIFE",$AX$10:$AX$16)),0,""))</f>
        <v/>
      </c>
      <c r="AJ191" s="369" t="str">
        <f ca="1">IF($B191&lt;&gt;"PRC_RESID","",IF(AJ$7=2005+OFFSET(COM_N_2012!$B$60,$AW191,SUMIF($B$10:$B$16,"NCAP_TLIFE",$AX$10:$AX$16)),0,""))</f>
        <v/>
      </c>
      <c r="AK191" s="369" t="str">
        <f ca="1">IF($B191&lt;&gt;"PRC_RESID","",IF(AK$7=2005+OFFSET(COM_N_2012!$B$60,$AW191,SUMIF($B$10:$B$16,"NCAP_TLIFE",$AX$10:$AX$16)),0,""))</f>
        <v/>
      </c>
      <c r="AL191" s="369" t="str">
        <f ca="1">IF($B191&lt;&gt;"PRC_RESID","",IF(AL$7=2005+OFFSET(COM_N_2012!$B$60,$AW191,SUMIF($B$10:$B$16,"NCAP_TLIFE",$AX$10:$AX$16)),0,""))</f>
        <v/>
      </c>
      <c r="AM191" s="369" t="str">
        <f ca="1">IF($B191&lt;&gt;"PRC_RESID","",IF(AM$7=2005+OFFSET(COM_N_2012!$B$60,$AW191,SUMIF($B$10:$B$16,"NCAP_TLIFE",$AX$10:$AX$16)),0,""))</f>
        <v/>
      </c>
      <c r="AN191" s="369" t="str">
        <f ca="1">IF($B191&lt;&gt;"PRC_RESID","",IF(AN$7=2005+OFFSET(COM_N_2012!$B$60,$AW191,SUMIF($B$10:$B$16,"NCAP_TLIFE",$AX$10:$AX$16)),0,""))</f>
        <v/>
      </c>
      <c r="AO191" s="369" t="str">
        <f ca="1">IF($B191&lt;&gt;"PRC_RESID","",IF(AO$7=2005+OFFSET(COM_N_2012!$B$60,$AW191,SUMIF($B$10:$B$16,"NCAP_TLIFE",$AX$10:$AX$16)),0,""))</f>
        <v/>
      </c>
      <c r="AP191" s="369" t="str">
        <f ca="1">IF($B191&lt;&gt;"PRC_RESID","",IF(AP$7=2005+OFFSET(COM_N_2012!$B$60,$AW191,SUMIF($B$10:$B$16,"NCAP_TLIFE",$AX$10:$AX$16)),0,""))</f>
        <v/>
      </c>
      <c r="AQ191" s="369" t="str">
        <f ca="1">IF($B191&lt;&gt;"PRC_RESID","",IF(AQ$7=2005+OFFSET(COM_N_2012!$B$60,$AW191,SUMIF($B$10:$B$16,"NCAP_TLIFE",$AX$10:$AX$16)),0,""))</f>
        <v/>
      </c>
      <c r="AR191" s="369" t="str">
        <f ca="1">IF($B191&lt;&gt;"PRC_RESID","",IF(AR$7=2005+OFFSET(COM_N_2012!$B$60,$AW191,SUMIF($B$10:$B$16,"NCAP_TLIFE",$AX$10:$AX$16)),0,""))</f>
        <v/>
      </c>
      <c r="AS191" s="369" t="str">
        <f ca="1">IF($B191&lt;&gt;"PRC_RESID","",IF(AS$7=2005+OFFSET(COM_N_2012!$B$60,$AW191,SUMIF($B$10:$B$16,"NCAP_TLIFE",$AX$10:$AX$16)),0,""))</f>
        <v/>
      </c>
      <c r="AT191" s="369" t="str">
        <f ca="1">IF($B191&lt;&gt;"PRC_RESID","",IF(AT$7=2005+OFFSET(COM_N_2012!$B$60,$AW191,SUMIF($B$10:$B$16,"NCAP_TLIFE",$AX$10:$AX$16)),0,""))</f>
        <v/>
      </c>
      <c r="AU191" s="369" t="str">
        <f ca="1">IF($B191&lt;&gt;"PRC_RESID","",IF(AU$7=2005+OFFSET(COM_N_2012!$B$60,$AW191,SUMIF($B$10:$B$16,"NCAP_TLIFE",$AX$10:$AX$16)),0,""))</f>
        <v/>
      </c>
      <c r="AV191" s="304">
        <f>IF(AW190=COM_N_2012!$AK$121,AV190+1,AV190)</f>
        <v>3</v>
      </c>
      <c r="AW191" s="304">
        <f t="shared" si="20"/>
        <v>52</v>
      </c>
    </row>
    <row r="192" spans="1:49">
      <c r="A192" s="304" t="str">
        <f ca="1">IF(LEFT(OFFSET(COM_N_2012!$A$60,AW192,0),2)="\I","*","")</f>
        <v/>
      </c>
      <c r="B192" s="369" t="str">
        <f t="shared" ca="1" si="19"/>
        <v>NCAP_TLIFE</v>
      </c>
      <c r="C192" s="369" t="str">
        <f ca="1">IF($A192="*","",OFFSET(COM_N_2012!$B$60,AW192,0))</f>
        <v>CNOCOA-E</v>
      </c>
      <c r="D192" s="369" t="str">
        <f t="shared" ca="1" si="25"/>
        <v>-</v>
      </c>
      <c r="E192" s="369" t="str">
        <f t="shared" ca="1" si="25"/>
        <v>-</v>
      </c>
      <c r="F192" s="369" t="str">
        <f t="shared" ca="1" si="25"/>
        <v>-</v>
      </c>
      <c r="G192" s="369" t="str">
        <f t="shared" ca="1" si="25"/>
        <v>-</v>
      </c>
      <c r="H192" s="369" t="str">
        <f t="shared" ca="1" si="25"/>
        <v>-</v>
      </c>
      <c r="I192" s="370">
        <f t="shared" ca="1" si="25"/>
        <v>0</v>
      </c>
      <c r="J192" s="391">
        <f ca="1">IF($A192="*","",OFFSET(COM_N_2012!$B$60,AW192,SUMIF($B$10:$B$16,B192,$AX$10:$AX$16)))</f>
        <v>15</v>
      </c>
      <c r="K192" s="369" t="str">
        <f ca="1">IF($B192&lt;&gt;"PRC_RESID","",IF(K$7=2005+OFFSET(COM_N_2012!$B$60,$AW192,SUMIF($B$10:$B$16,"NCAP_TLIFE",$AX$10:$AX$16)),0,""))</f>
        <v/>
      </c>
      <c r="L192" s="369" t="str">
        <f ca="1">IF($B192&lt;&gt;"PRC_RESID","",IF(L$7=2005+OFFSET(COM_N_2012!$B$60,$AW192,SUMIF($B$10:$B$16,"NCAP_TLIFE",$AX$10:$AX$16)),0,""))</f>
        <v/>
      </c>
      <c r="M192" s="369" t="str">
        <f ca="1">IF($B192&lt;&gt;"PRC_RESID","",IF(M$7=2005+OFFSET(COM_N_2012!$B$60,$AW192,SUMIF($B$10:$B$16,"NCAP_TLIFE",$AX$10:$AX$16)),0,""))</f>
        <v/>
      </c>
      <c r="N192" s="369" t="str">
        <f ca="1">IF($B192&lt;&gt;"PRC_RESID","",IF(N$7=2005+OFFSET(COM_N_2012!$B$60,$AW192,SUMIF($B$10:$B$16,"NCAP_TLIFE",$AX$10:$AX$16)),0,""))</f>
        <v/>
      </c>
      <c r="O192" s="369" t="str">
        <f ca="1">IF($B192&lt;&gt;"PRC_RESID","",IF(O$7=2005+OFFSET(COM_N_2012!$B$60,$AW192,SUMIF($B$10:$B$16,"NCAP_TLIFE",$AX$10:$AX$16)),0,""))</f>
        <v/>
      </c>
      <c r="P192" s="369" t="str">
        <f ca="1">IF($B192&lt;&gt;"PRC_RESID","",IF(P$7=2005+OFFSET(COM_N_2012!$B$60,$AW192,SUMIF($B$10:$B$16,"NCAP_TLIFE",$AX$10:$AX$16)),0,""))</f>
        <v/>
      </c>
      <c r="Q192" s="369" t="str">
        <f ca="1">IF($B192&lt;&gt;"PRC_RESID","",IF(Q$7=2005+OFFSET(COM_N_2012!$B$60,$AW192,SUMIF($B$10:$B$16,"NCAP_TLIFE",$AX$10:$AX$16)),0,""))</f>
        <v/>
      </c>
      <c r="R192" s="369" t="str">
        <f ca="1">IF($B192&lt;&gt;"PRC_RESID","",IF(R$7=2005+OFFSET(COM_N_2012!$B$60,$AW192,SUMIF($B$10:$B$16,"NCAP_TLIFE",$AX$10:$AX$16)),0,""))</f>
        <v/>
      </c>
      <c r="S192" s="369" t="str">
        <f ca="1">IF($B192&lt;&gt;"PRC_RESID","",IF(S$7=2005+OFFSET(COM_N_2012!$B$60,$AW192,SUMIF($B$10:$B$16,"NCAP_TLIFE",$AX$10:$AX$16)),0,""))</f>
        <v/>
      </c>
      <c r="T192" s="369" t="str">
        <f ca="1">IF($B192&lt;&gt;"PRC_RESID","",IF(T$7=2005+OFFSET(COM_N_2012!$B$60,$AW192,SUMIF($B$10:$B$16,"NCAP_TLIFE",$AX$10:$AX$16)),0,""))</f>
        <v/>
      </c>
      <c r="U192" s="369" t="str">
        <f ca="1">IF($B192&lt;&gt;"PRC_RESID","",IF(U$7=2005+OFFSET(COM_N_2012!$B$60,$AW192,SUMIF($B$10:$B$16,"NCAP_TLIFE",$AX$10:$AX$16)),0,""))</f>
        <v/>
      </c>
      <c r="V192" s="369" t="str">
        <f ca="1">IF($B192&lt;&gt;"PRC_RESID","",IF(V$7=2005+OFFSET(COM_N_2012!$B$60,$AW192,SUMIF($B$10:$B$16,"NCAP_TLIFE",$AX$10:$AX$16)),0,""))</f>
        <v/>
      </c>
      <c r="W192" s="369" t="str">
        <f ca="1">IF($B192&lt;&gt;"PRC_RESID","",IF(W$7=2005+OFFSET(COM_N_2012!$B$60,$AW192,SUMIF($B$10:$B$16,"NCAP_TLIFE",$AX$10:$AX$16)),0,""))</f>
        <v/>
      </c>
      <c r="X192" s="369" t="str">
        <f ca="1">IF($B192&lt;&gt;"PRC_RESID","",IF(X$7=2005+OFFSET(COM_N_2012!$B$60,$AW192,SUMIF($B$10:$B$16,"NCAP_TLIFE",$AX$10:$AX$16)),0,""))</f>
        <v/>
      </c>
      <c r="Y192" s="369" t="str">
        <f ca="1">IF($B192&lt;&gt;"PRC_RESID","",IF(Y$7=2005+OFFSET(COM_N_2012!$B$60,$AW192,SUMIF($B$10:$B$16,"NCAP_TLIFE",$AX$10:$AX$16)),0,""))</f>
        <v/>
      </c>
      <c r="Z192" s="369" t="str">
        <f ca="1">IF($B192&lt;&gt;"PRC_RESID","",IF(Z$7=2005+OFFSET(COM_N_2012!$B$60,$AW192,SUMIF($B$10:$B$16,"NCAP_TLIFE",$AX$10:$AX$16)),0,""))</f>
        <v/>
      </c>
      <c r="AA192" s="369" t="str">
        <f ca="1">IF($B192&lt;&gt;"PRC_RESID","",IF(AA$7=2005+OFFSET(COM_N_2012!$B$60,$AW192,SUMIF($B$10:$B$16,"NCAP_TLIFE",$AX$10:$AX$16)),0,""))</f>
        <v/>
      </c>
      <c r="AB192" s="369" t="str">
        <f ca="1">IF($B192&lt;&gt;"PRC_RESID","",IF(AB$7=2005+OFFSET(COM_N_2012!$B$60,$AW192,SUMIF($B$10:$B$16,"NCAP_TLIFE",$AX$10:$AX$16)),0,""))</f>
        <v/>
      </c>
      <c r="AC192" s="369" t="str">
        <f ca="1">IF($B192&lt;&gt;"PRC_RESID","",IF(AC$7=2005+OFFSET(COM_N_2012!$B$60,$AW192,SUMIF($B$10:$B$16,"NCAP_TLIFE",$AX$10:$AX$16)),0,""))</f>
        <v/>
      </c>
      <c r="AD192" s="369" t="str">
        <f ca="1">IF($B192&lt;&gt;"PRC_RESID","",IF(AD$7=2005+OFFSET(COM_N_2012!$B$60,$AW192,SUMIF($B$10:$B$16,"NCAP_TLIFE",$AX$10:$AX$16)),0,""))</f>
        <v/>
      </c>
      <c r="AE192" s="369" t="str">
        <f ca="1">IF($B192&lt;&gt;"PRC_RESID","",IF(AE$7=2005+OFFSET(COM_N_2012!$B$60,$AW192,SUMIF($B$10:$B$16,"NCAP_TLIFE",$AX$10:$AX$16)),0,""))</f>
        <v/>
      </c>
      <c r="AF192" s="369" t="str">
        <f ca="1">IF($B192&lt;&gt;"PRC_RESID","",IF(AF$7=2005+OFFSET(COM_N_2012!$B$60,$AW192,SUMIF($B$10:$B$16,"NCAP_TLIFE",$AX$10:$AX$16)),0,""))</f>
        <v/>
      </c>
      <c r="AG192" s="369" t="str">
        <f ca="1">IF($B192&lt;&gt;"PRC_RESID","",IF(AG$7=2005+OFFSET(COM_N_2012!$B$60,$AW192,SUMIF($B$10:$B$16,"NCAP_TLIFE",$AX$10:$AX$16)),0,""))</f>
        <v/>
      </c>
      <c r="AH192" s="369" t="str">
        <f ca="1">IF($B192&lt;&gt;"PRC_RESID","",IF(AH$7=2005+OFFSET(COM_N_2012!$B$60,$AW192,SUMIF($B$10:$B$16,"NCAP_TLIFE",$AX$10:$AX$16)),0,""))</f>
        <v/>
      </c>
      <c r="AI192" s="369" t="str">
        <f ca="1">IF($B192&lt;&gt;"PRC_RESID","",IF(AI$7=2005+OFFSET(COM_N_2012!$B$60,$AW192,SUMIF($B$10:$B$16,"NCAP_TLIFE",$AX$10:$AX$16)),0,""))</f>
        <v/>
      </c>
      <c r="AJ192" s="369" t="str">
        <f ca="1">IF($B192&lt;&gt;"PRC_RESID","",IF(AJ$7=2005+OFFSET(COM_N_2012!$B$60,$AW192,SUMIF($B$10:$B$16,"NCAP_TLIFE",$AX$10:$AX$16)),0,""))</f>
        <v/>
      </c>
      <c r="AK192" s="369" t="str">
        <f ca="1">IF($B192&lt;&gt;"PRC_RESID","",IF(AK$7=2005+OFFSET(COM_N_2012!$B$60,$AW192,SUMIF($B$10:$B$16,"NCAP_TLIFE",$AX$10:$AX$16)),0,""))</f>
        <v/>
      </c>
      <c r="AL192" s="369" t="str">
        <f ca="1">IF($B192&lt;&gt;"PRC_RESID","",IF(AL$7=2005+OFFSET(COM_N_2012!$B$60,$AW192,SUMIF($B$10:$B$16,"NCAP_TLIFE",$AX$10:$AX$16)),0,""))</f>
        <v/>
      </c>
      <c r="AM192" s="369" t="str">
        <f ca="1">IF($B192&lt;&gt;"PRC_RESID","",IF(AM$7=2005+OFFSET(COM_N_2012!$B$60,$AW192,SUMIF($B$10:$B$16,"NCAP_TLIFE",$AX$10:$AX$16)),0,""))</f>
        <v/>
      </c>
      <c r="AN192" s="369" t="str">
        <f ca="1">IF($B192&lt;&gt;"PRC_RESID","",IF(AN$7=2005+OFFSET(COM_N_2012!$B$60,$AW192,SUMIF($B$10:$B$16,"NCAP_TLIFE",$AX$10:$AX$16)),0,""))</f>
        <v/>
      </c>
      <c r="AO192" s="369" t="str">
        <f ca="1">IF($B192&lt;&gt;"PRC_RESID","",IF(AO$7=2005+OFFSET(COM_N_2012!$B$60,$AW192,SUMIF($B$10:$B$16,"NCAP_TLIFE",$AX$10:$AX$16)),0,""))</f>
        <v/>
      </c>
      <c r="AP192" s="369" t="str">
        <f ca="1">IF($B192&lt;&gt;"PRC_RESID","",IF(AP$7=2005+OFFSET(COM_N_2012!$B$60,$AW192,SUMIF($B$10:$B$16,"NCAP_TLIFE",$AX$10:$AX$16)),0,""))</f>
        <v/>
      </c>
      <c r="AQ192" s="369" t="str">
        <f ca="1">IF($B192&lt;&gt;"PRC_RESID","",IF(AQ$7=2005+OFFSET(COM_N_2012!$B$60,$AW192,SUMIF($B$10:$B$16,"NCAP_TLIFE",$AX$10:$AX$16)),0,""))</f>
        <v/>
      </c>
      <c r="AR192" s="369" t="str">
        <f ca="1">IF($B192&lt;&gt;"PRC_RESID","",IF(AR$7=2005+OFFSET(COM_N_2012!$B$60,$AW192,SUMIF($B$10:$B$16,"NCAP_TLIFE",$AX$10:$AX$16)),0,""))</f>
        <v/>
      </c>
      <c r="AS192" s="369" t="str">
        <f ca="1">IF($B192&lt;&gt;"PRC_RESID","",IF(AS$7=2005+OFFSET(COM_N_2012!$B$60,$AW192,SUMIF($B$10:$B$16,"NCAP_TLIFE",$AX$10:$AX$16)),0,""))</f>
        <v/>
      </c>
      <c r="AT192" s="369" t="str">
        <f ca="1">IF($B192&lt;&gt;"PRC_RESID","",IF(AT$7=2005+OFFSET(COM_N_2012!$B$60,$AW192,SUMIF($B$10:$B$16,"NCAP_TLIFE",$AX$10:$AX$16)),0,""))</f>
        <v/>
      </c>
      <c r="AU192" s="369" t="str">
        <f ca="1">IF($B192&lt;&gt;"PRC_RESID","",IF(AU$7=2005+OFFSET(COM_N_2012!$B$60,$AW192,SUMIF($B$10:$B$16,"NCAP_TLIFE",$AX$10:$AX$16)),0,""))</f>
        <v/>
      </c>
      <c r="AV192" s="304">
        <f>IF(AW191=COM_N_2012!$AK$121,AV191+1,AV191)</f>
        <v>3</v>
      </c>
      <c r="AW192" s="304">
        <f t="shared" si="20"/>
        <v>53</v>
      </c>
    </row>
    <row r="193" spans="1:49">
      <c r="A193" s="304" t="str">
        <f ca="1">IF(LEFT(OFFSET(COM_N_2012!$A$60,AW193,0),2)="\I","*","")</f>
        <v/>
      </c>
      <c r="B193" s="369" t="str">
        <f t="shared" ca="1" si="19"/>
        <v>NCAP_TLIFE</v>
      </c>
      <c r="C193" s="369" t="str">
        <f ca="1">IF($A193="*","",OFFSET(COM_N_2012!$B$60,AW193,0))</f>
        <v>CNOODS-E</v>
      </c>
      <c r="D193" s="369" t="str">
        <f t="shared" ca="1" si="25"/>
        <v>-</v>
      </c>
      <c r="E193" s="369" t="str">
        <f t="shared" ca="1" si="25"/>
        <v>-</v>
      </c>
      <c r="F193" s="369" t="str">
        <f t="shared" ca="1" si="25"/>
        <v>-</v>
      </c>
      <c r="G193" s="369" t="str">
        <f t="shared" ca="1" si="25"/>
        <v>-</v>
      </c>
      <c r="H193" s="369" t="str">
        <f t="shared" ca="1" si="25"/>
        <v>-</v>
      </c>
      <c r="I193" s="370">
        <f t="shared" ca="1" si="25"/>
        <v>0</v>
      </c>
      <c r="J193" s="391">
        <f ca="1">IF($A193="*","",OFFSET(COM_N_2012!$B$60,AW193,SUMIF($B$10:$B$16,B193,$AX$10:$AX$16)))</f>
        <v>15</v>
      </c>
      <c r="K193" s="369" t="str">
        <f ca="1">IF($B193&lt;&gt;"PRC_RESID","",IF(K$7=2005+OFFSET(COM_N_2012!$B$60,$AW193,SUMIF($B$10:$B$16,"NCAP_TLIFE",$AX$10:$AX$16)),0,""))</f>
        <v/>
      </c>
      <c r="L193" s="369" t="str">
        <f ca="1">IF($B193&lt;&gt;"PRC_RESID","",IF(L$7=2005+OFFSET(COM_N_2012!$B$60,$AW193,SUMIF($B$10:$B$16,"NCAP_TLIFE",$AX$10:$AX$16)),0,""))</f>
        <v/>
      </c>
      <c r="M193" s="369" t="str">
        <f ca="1">IF($B193&lt;&gt;"PRC_RESID","",IF(M$7=2005+OFFSET(COM_N_2012!$B$60,$AW193,SUMIF($B$10:$B$16,"NCAP_TLIFE",$AX$10:$AX$16)),0,""))</f>
        <v/>
      </c>
      <c r="N193" s="369" t="str">
        <f ca="1">IF($B193&lt;&gt;"PRC_RESID","",IF(N$7=2005+OFFSET(COM_N_2012!$B$60,$AW193,SUMIF($B$10:$B$16,"NCAP_TLIFE",$AX$10:$AX$16)),0,""))</f>
        <v/>
      </c>
      <c r="O193" s="369" t="str">
        <f ca="1">IF($B193&lt;&gt;"PRC_RESID","",IF(O$7=2005+OFFSET(COM_N_2012!$B$60,$AW193,SUMIF($B$10:$B$16,"NCAP_TLIFE",$AX$10:$AX$16)),0,""))</f>
        <v/>
      </c>
      <c r="P193" s="369" t="str">
        <f ca="1">IF($B193&lt;&gt;"PRC_RESID","",IF(P$7=2005+OFFSET(COM_N_2012!$B$60,$AW193,SUMIF($B$10:$B$16,"NCAP_TLIFE",$AX$10:$AX$16)),0,""))</f>
        <v/>
      </c>
      <c r="Q193" s="369" t="str">
        <f ca="1">IF($B193&lt;&gt;"PRC_RESID","",IF(Q$7=2005+OFFSET(COM_N_2012!$B$60,$AW193,SUMIF($B$10:$B$16,"NCAP_TLIFE",$AX$10:$AX$16)),0,""))</f>
        <v/>
      </c>
      <c r="R193" s="369" t="str">
        <f ca="1">IF($B193&lt;&gt;"PRC_RESID","",IF(R$7=2005+OFFSET(COM_N_2012!$B$60,$AW193,SUMIF($B$10:$B$16,"NCAP_TLIFE",$AX$10:$AX$16)),0,""))</f>
        <v/>
      </c>
      <c r="S193" s="369" t="str">
        <f ca="1">IF($B193&lt;&gt;"PRC_RESID","",IF(S$7=2005+OFFSET(COM_N_2012!$B$60,$AW193,SUMIF($B$10:$B$16,"NCAP_TLIFE",$AX$10:$AX$16)),0,""))</f>
        <v/>
      </c>
      <c r="T193" s="369" t="str">
        <f ca="1">IF($B193&lt;&gt;"PRC_RESID","",IF(T$7=2005+OFFSET(COM_N_2012!$B$60,$AW193,SUMIF($B$10:$B$16,"NCAP_TLIFE",$AX$10:$AX$16)),0,""))</f>
        <v/>
      </c>
      <c r="U193" s="369" t="str">
        <f ca="1">IF($B193&lt;&gt;"PRC_RESID","",IF(U$7=2005+OFFSET(COM_N_2012!$B$60,$AW193,SUMIF($B$10:$B$16,"NCAP_TLIFE",$AX$10:$AX$16)),0,""))</f>
        <v/>
      </c>
      <c r="V193" s="369" t="str">
        <f ca="1">IF($B193&lt;&gt;"PRC_RESID","",IF(V$7=2005+OFFSET(COM_N_2012!$B$60,$AW193,SUMIF($B$10:$B$16,"NCAP_TLIFE",$AX$10:$AX$16)),0,""))</f>
        <v/>
      </c>
      <c r="W193" s="369" t="str">
        <f ca="1">IF($B193&lt;&gt;"PRC_RESID","",IF(W$7=2005+OFFSET(COM_N_2012!$B$60,$AW193,SUMIF($B$10:$B$16,"NCAP_TLIFE",$AX$10:$AX$16)),0,""))</f>
        <v/>
      </c>
      <c r="X193" s="369" t="str">
        <f ca="1">IF($B193&lt;&gt;"PRC_RESID","",IF(X$7=2005+OFFSET(COM_N_2012!$B$60,$AW193,SUMIF($B$10:$B$16,"NCAP_TLIFE",$AX$10:$AX$16)),0,""))</f>
        <v/>
      </c>
      <c r="Y193" s="369" t="str">
        <f ca="1">IF($B193&lt;&gt;"PRC_RESID","",IF(Y$7=2005+OFFSET(COM_N_2012!$B$60,$AW193,SUMIF($B$10:$B$16,"NCAP_TLIFE",$AX$10:$AX$16)),0,""))</f>
        <v/>
      </c>
      <c r="Z193" s="369" t="str">
        <f ca="1">IF($B193&lt;&gt;"PRC_RESID","",IF(Z$7=2005+OFFSET(COM_N_2012!$B$60,$AW193,SUMIF($B$10:$B$16,"NCAP_TLIFE",$AX$10:$AX$16)),0,""))</f>
        <v/>
      </c>
      <c r="AA193" s="369" t="str">
        <f ca="1">IF($B193&lt;&gt;"PRC_RESID","",IF(AA$7=2005+OFFSET(COM_N_2012!$B$60,$AW193,SUMIF($B$10:$B$16,"NCAP_TLIFE",$AX$10:$AX$16)),0,""))</f>
        <v/>
      </c>
      <c r="AB193" s="369" t="str">
        <f ca="1">IF($B193&lt;&gt;"PRC_RESID","",IF(AB$7=2005+OFFSET(COM_N_2012!$B$60,$AW193,SUMIF($B$10:$B$16,"NCAP_TLIFE",$AX$10:$AX$16)),0,""))</f>
        <v/>
      </c>
      <c r="AC193" s="369" t="str">
        <f ca="1">IF($B193&lt;&gt;"PRC_RESID","",IF(AC$7=2005+OFFSET(COM_N_2012!$B$60,$AW193,SUMIF($B$10:$B$16,"NCAP_TLIFE",$AX$10:$AX$16)),0,""))</f>
        <v/>
      </c>
      <c r="AD193" s="369" t="str">
        <f ca="1">IF($B193&lt;&gt;"PRC_RESID","",IF(AD$7=2005+OFFSET(COM_N_2012!$B$60,$AW193,SUMIF($B$10:$B$16,"NCAP_TLIFE",$AX$10:$AX$16)),0,""))</f>
        <v/>
      </c>
      <c r="AE193" s="369" t="str">
        <f ca="1">IF($B193&lt;&gt;"PRC_RESID","",IF(AE$7=2005+OFFSET(COM_N_2012!$B$60,$AW193,SUMIF($B$10:$B$16,"NCAP_TLIFE",$AX$10:$AX$16)),0,""))</f>
        <v/>
      </c>
      <c r="AF193" s="369" t="str">
        <f ca="1">IF($B193&lt;&gt;"PRC_RESID","",IF(AF$7=2005+OFFSET(COM_N_2012!$B$60,$AW193,SUMIF($B$10:$B$16,"NCAP_TLIFE",$AX$10:$AX$16)),0,""))</f>
        <v/>
      </c>
      <c r="AG193" s="369" t="str">
        <f ca="1">IF($B193&lt;&gt;"PRC_RESID","",IF(AG$7=2005+OFFSET(COM_N_2012!$B$60,$AW193,SUMIF($B$10:$B$16,"NCAP_TLIFE",$AX$10:$AX$16)),0,""))</f>
        <v/>
      </c>
      <c r="AH193" s="369" t="str">
        <f ca="1">IF($B193&lt;&gt;"PRC_RESID","",IF(AH$7=2005+OFFSET(COM_N_2012!$B$60,$AW193,SUMIF($B$10:$B$16,"NCAP_TLIFE",$AX$10:$AX$16)),0,""))</f>
        <v/>
      </c>
      <c r="AI193" s="369" t="str">
        <f ca="1">IF($B193&lt;&gt;"PRC_RESID","",IF(AI$7=2005+OFFSET(COM_N_2012!$B$60,$AW193,SUMIF($B$10:$B$16,"NCAP_TLIFE",$AX$10:$AX$16)),0,""))</f>
        <v/>
      </c>
      <c r="AJ193" s="369" t="str">
        <f ca="1">IF($B193&lt;&gt;"PRC_RESID","",IF(AJ$7=2005+OFFSET(COM_N_2012!$B$60,$AW193,SUMIF($B$10:$B$16,"NCAP_TLIFE",$AX$10:$AX$16)),0,""))</f>
        <v/>
      </c>
      <c r="AK193" s="369" t="str">
        <f ca="1">IF($B193&lt;&gt;"PRC_RESID","",IF(AK$7=2005+OFFSET(COM_N_2012!$B$60,$AW193,SUMIF($B$10:$B$16,"NCAP_TLIFE",$AX$10:$AX$16)),0,""))</f>
        <v/>
      </c>
      <c r="AL193" s="369" t="str">
        <f ca="1">IF($B193&lt;&gt;"PRC_RESID","",IF(AL$7=2005+OFFSET(COM_N_2012!$B$60,$AW193,SUMIF($B$10:$B$16,"NCAP_TLIFE",$AX$10:$AX$16)),0,""))</f>
        <v/>
      </c>
      <c r="AM193" s="369" t="str">
        <f ca="1">IF($B193&lt;&gt;"PRC_RESID","",IF(AM$7=2005+OFFSET(COM_N_2012!$B$60,$AW193,SUMIF($B$10:$B$16,"NCAP_TLIFE",$AX$10:$AX$16)),0,""))</f>
        <v/>
      </c>
      <c r="AN193" s="369" t="str">
        <f ca="1">IF($B193&lt;&gt;"PRC_RESID","",IF(AN$7=2005+OFFSET(COM_N_2012!$B$60,$AW193,SUMIF($B$10:$B$16,"NCAP_TLIFE",$AX$10:$AX$16)),0,""))</f>
        <v/>
      </c>
      <c r="AO193" s="369" t="str">
        <f ca="1">IF($B193&lt;&gt;"PRC_RESID","",IF(AO$7=2005+OFFSET(COM_N_2012!$B$60,$AW193,SUMIF($B$10:$B$16,"NCAP_TLIFE",$AX$10:$AX$16)),0,""))</f>
        <v/>
      </c>
      <c r="AP193" s="369" t="str">
        <f ca="1">IF($B193&lt;&gt;"PRC_RESID","",IF(AP$7=2005+OFFSET(COM_N_2012!$B$60,$AW193,SUMIF($B$10:$B$16,"NCAP_TLIFE",$AX$10:$AX$16)),0,""))</f>
        <v/>
      </c>
      <c r="AQ193" s="369" t="str">
        <f ca="1">IF($B193&lt;&gt;"PRC_RESID","",IF(AQ$7=2005+OFFSET(COM_N_2012!$B$60,$AW193,SUMIF($B$10:$B$16,"NCAP_TLIFE",$AX$10:$AX$16)),0,""))</f>
        <v/>
      </c>
      <c r="AR193" s="369" t="str">
        <f ca="1">IF($B193&lt;&gt;"PRC_RESID","",IF(AR$7=2005+OFFSET(COM_N_2012!$B$60,$AW193,SUMIF($B$10:$B$16,"NCAP_TLIFE",$AX$10:$AX$16)),0,""))</f>
        <v/>
      </c>
      <c r="AS193" s="369" t="str">
        <f ca="1">IF($B193&lt;&gt;"PRC_RESID","",IF(AS$7=2005+OFFSET(COM_N_2012!$B$60,$AW193,SUMIF($B$10:$B$16,"NCAP_TLIFE",$AX$10:$AX$16)),0,""))</f>
        <v/>
      </c>
      <c r="AT193" s="369" t="str">
        <f ca="1">IF($B193&lt;&gt;"PRC_RESID","",IF(AT$7=2005+OFFSET(COM_N_2012!$B$60,$AW193,SUMIF($B$10:$B$16,"NCAP_TLIFE",$AX$10:$AX$16)),0,""))</f>
        <v/>
      </c>
      <c r="AU193" s="369" t="str">
        <f ca="1">IF($B193&lt;&gt;"PRC_RESID","",IF(AU$7=2005+OFFSET(COM_N_2012!$B$60,$AW193,SUMIF($B$10:$B$16,"NCAP_TLIFE",$AX$10:$AX$16)),0,""))</f>
        <v/>
      </c>
      <c r="AV193" s="304">
        <f>IF(AW192=COM_N_2012!$AK$121,AV192+1,AV192)</f>
        <v>3</v>
      </c>
      <c r="AW193" s="304">
        <f t="shared" si="20"/>
        <v>54</v>
      </c>
    </row>
    <row r="194" spans="1:49">
      <c r="A194" s="304" t="str">
        <f ca="1">IF(LEFT(OFFSET(COM_N_2012!$A$60,AW194,0),2)="\I","*","")</f>
        <v/>
      </c>
      <c r="B194" s="369" t="str">
        <f t="shared" ca="1" si="19"/>
        <v>NCAP_TLIFE</v>
      </c>
      <c r="C194" s="369" t="str">
        <f ca="1">IF($A194="*","",OFFSET(COM_N_2012!$B$60,AW194,0))</f>
        <v>CNOELC-E</v>
      </c>
      <c r="D194" s="369" t="str">
        <f t="shared" ca="1" si="25"/>
        <v>-</v>
      </c>
      <c r="E194" s="369" t="str">
        <f t="shared" ca="1" si="25"/>
        <v>-</v>
      </c>
      <c r="F194" s="369" t="str">
        <f t="shared" ca="1" si="25"/>
        <v>-</v>
      </c>
      <c r="G194" s="369" t="str">
        <f t="shared" ca="1" si="25"/>
        <v>-</v>
      </c>
      <c r="H194" s="369" t="str">
        <f t="shared" ca="1" si="25"/>
        <v>-</v>
      </c>
      <c r="I194" s="370">
        <f t="shared" ca="1" si="25"/>
        <v>0</v>
      </c>
      <c r="J194" s="391">
        <f ca="1">IF($A194="*","",OFFSET(COM_N_2012!$B$60,AW194,SUMIF($B$10:$B$16,B194,$AX$10:$AX$16)))</f>
        <v>15</v>
      </c>
      <c r="K194" s="369" t="str">
        <f ca="1">IF($B194&lt;&gt;"PRC_RESID","",IF(K$7=2005+OFFSET(COM_N_2012!$B$60,$AW194,SUMIF($B$10:$B$16,"NCAP_TLIFE",$AX$10:$AX$16)),0,""))</f>
        <v/>
      </c>
      <c r="L194" s="369" t="str">
        <f ca="1">IF($B194&lt;&gt;"PRC_RESID","",IF(L$7=2005+OFFSET(COM_N_2012!$B$60,$AW194,SUMIF($B$10:$B$16,"NCAP_TLIFE",$AX$10:$AX$16)),0,""))</f>
        <v/>
      </c>
      <c r="M194" s="369" t="str">
        <f ca="1">IF($B194&lt;&gt;"PRC_RESID","",IF(M$7=2005+OFFSET(COM_N_2012!$B$60,$AW194,SUMIF($B$10:$B$16,"NCAP_TLIFE",$AX$10:$AX$16)),0,""))</f>
        <v/>
      </c>
      <c r="N194" s="369" t="str">
        <f ca="1">IF($B194&lt;&gt;"PRC_RESID","",IF(N$7=2005+OFFSET(COM_N_2012!$B$60,$AW194,SUMIF($B$10:$B$16,"NCAP_TLIFE",$AX$10:$AX$16)),0,""))</f>
        <v/>
      </c>
      <c r="O194" s="369" t="str">
        <f ca="1">IF($B194&lt;&gt;"PRC_RESID","",IF(O$7=2005+OFFSET(COM_N_2012!$B$60,$AW194,SUMIF($B$10:$B$16,"NCAP_TLIFE",$AX$10:$AX$16)),0,""))</f>
        <v/>
      </c>
      <c r="P194" s="369" t="str">
        <f ca="1">IF($B194&lt;&gt;"PRC_RESID","",IF(P$7=2005+OFFSET(COM_N_2012!$B$60,$AW194,SUMIF($B$10:$B$16,"NCAP_TLIFE",$AX$10:$AX$16)),0,""))</f>
        <v/>
      </c>
      <c r="Q194" s="369" t="str">
        <f ca="1">IF($B194&lt;&gt;"PRC_RESID","",IF(Q$7=2005+OFFSET(COM_N_2012!$B$60,$AW194,SUMIF($B$10:$B$16,"NCAP_TLIFE",$AX$10:$AX$16)),0,""))</f>
        <v/>
      </c>
      <c r="R194" s="369" t="str">
        <f ca="1">IF($B194&lt;&gt;"PRC_RESID","",IF(R$7=2005+OFFSET(COM_N_2012!$B$60,$AW194,SUMIF($B$10:$B$16,"NCAP_TLIFE",$AX$10:$AX$16)),0,""))</f>
        <v/>
      </c>
      <c r="S194" s="369" t="str">
        <f ca="1">IF($B194&lt;&gt;"PRC_RESID","",IF(S$7=2005+OFFSET(COM_N_2012!$B$60,$AW194,SUMIF($B$10:$B$16,"NCAP_TLIFE",$AX$10:$AX$16)),0,""))</f>
        <v/>
      </c>
      <c r="T194" s="369" t="str">
        <f ca="1">IF($B194&lt;&gt;"PRC_RESID","",IF(T$7=2005+OFFSET(COM_N_2012!$B$60,$AW194,SUMIF($B$10:$B$16,"NCAP_TLIFE",$AX$10:$AX$16)),0,""))</f>
        <v/>
      </c>
      <c r="U194" s="369" t="str">
        <f ca="1">IF($B194&lt;&gt;"PRC_RESID","",IF(U$7=2005+OFFSET(COM_N_2012!$B$60,$AW194,SUMIF($B$10:$B$16,"NCAP_TLIFE",$AX$10:$AX$16)),0,""))</f>
        <v/>
      </c>
      <c r="V194" s="369" t="str">
        <f ca="1">IF($B194&lt;&gt;"PRC_RESID","",IF(V$7=2005+OFFSET(COM_N_2012!$B$60,$AW194,SUMIF($B$10:$B$16,"NCAP_TLIFE",$AX$10:$AX$16)),0,""))</f>
        <v/>
      </c>
      <c r="W194" s="369" t="str">
        <f ca="1">IF($B194&lt;&gt;"PRC_RESID","",IF(W$7=2005+OFFSET(COM_N_2012!$B$60,$AW194,SUMIF($B$10:$B$16,"NCAP_TLIFE",$AX$10:$AX$16)),0,""))</f>
        <v/>
      </c>
      <c r="X194" s="369" t="str">
        <f ca="1">IF($B194&lt;&gt;"PRC_RESID","",IF(X$7=2005+OFFSET(COM_N_2012!$B$60,$AW194,SUMIF($B$10:$B$16,"NCAP_TLIFE",$AX$10:$AX$16)),0,""))</f>
        <v/>
      </c>
      <c r="Y194" s="369" t="str">
        <f ca="1">IF($B194&lt;&gt;"PRC_RESID","",IF(Y$7=2005+OFFSET(COM_N_2012!$B$60,$AW194,SUMIF($B$10:$B$16,"NCAP_TLIFE",$AX$10:$AX$16)),0,""))</f>
        <v/>
      </c>
      <c r="Z194" s="369" t="str">
        <f ca="1">IF($B194&lt;&gt;"PRC_RESID","",IF(Z$7=2005+OFFSET(COM_N_2012!$B$60,$AW194,SUMIF($B$10:$B$16,"NCAP_TLIFE",$AX$10:$AX$16)),0,""))</f>
        <v/>
      </c>
      <c r="AA194" s="369" t="str">
        <f ca="1">IF($B194&lt;&gt;"PRC_RESID","",IF(AA$7=2005+OFFSET(COM_N_2012!$B$60,$AW194,SUMIF($B$10:$B$16,"NCAP_TLIFE",$AX$10:$AX$16)),0,""))</f>
        <v/>
      </c>
      <c r="AB194" s="369" t="str">
        <f ca="1">IF($B194&lt;&gt;"PRC_RESID","",IF(AB$7=2005+OFFSET(COM_N_2012!$B$60,$AW194,SUMIF($B$10:$B$16,"NCAP_TLIFE",$AX$10:$AX$16)),0,""))</f>
        <v/>
      </c>
      <c r="AC194" s="369" t="str">
        <f ca="1">IF($B194&lt;&gt;"PRC_RESID","",IF(AC$7=2005+OFFSET(COM_N_2012!$B$60,$AW194,SUMIF($B$10:$B$16,"NCAP_TLIFE",$AX$10:$AX$16)),0,""))</f>
        <v/>
      </c>
      <c r="AD194" s="369" t="str">
        <f ca="1">IF($B194&lt;&gt;"PRC_RESID","",IF(AD$7=2005+OFFSET(COM_N_2012!$B$60,$AW194,SUMIF($B$10:$B$16,"NCAP_TLIFE",$AX$10:$AX$16)),0,""))</f>
        <v/>
      </c>
      <c r="AE194" s="369" t="str">
        <f ca="1">IF($B194&lt;&gt;"PRC_RESID","",IF(AE$7=2005+OFFSET(COM_N_2012!$B$60,$AW194,SUMIF($B$10:$B$16,"NCAP_TLIFE",$AX$10:$AX$16)),0,""))</f>
        <v/>
      </c>
      <c r="AF194" s="369" t="str">
        <f ca="1">IF($B194&lt;&gt;"PRC_RESID","",IF(AF$7=2005+OFFSET(COM_N_2012!$B$60,$AW194,SUMIF($B$10:$B$16,"NCAP_TLIFE",$AX$10:$AX$16)),0,""))</f>
        <v/>
      </c>
      <c r="AG194" s="369" t="str">
        <f ca="1">IF($B194&lt;&gt;"PRC_RESID","",IF(AG$7=2005+OFFSET(COM_N_2012!$B$60,$AW194,SUMIF($B$10:$B$16,"NCAP_TLIFE",$AX$10:$AX$16)),0,""))</f>
        <v/>
      </c>
      <c r="AH194" s="369" t="str">
        <f ca="1">IF($B194&lt;&gt;"PRC_RESID","",IF(AH$7=2005+OFFSET(COM_N_2012!$B$60,$AW194,SUMIF($B$10:$B$16,"NCAP_TLIFE",$AX$10:$AX$16)),0,""))</f>
        <v/>
      </c>
      <c r="AI194" s="369" t="str">
        <f ca="1">IF($B194&lt;&gt;"PRC_RESID","",IF(AI$7=2005+OFFSET(COM_N_2012!$B$60,$AW194,SUMIF($B$10:$B$16,"NCAP_TLIFE",$AX$10:$AX$16)),0,""))</f>
        <v/>
      </c>
      <c r="AJ194" s="369" t="str">
        <f ca="1">IF($B194&lt;&gt;"PRC_RESID","",IF(AJ$7=2005+OFFSET(COM_N_2012!$B$60,$AW194,SUMIF($B$10:$B$16,"NCAP_TLIFE",$AX$10:$AX$16)),0,""))</f>
        <v/>
      </c>
      <c r="AK194" s="369" t="str">
        <f ca="1">IF($B194&lt;&gt;"PRC_RESID","",IF(AK$7=2005+OFFSET(COM_N_2012!$B$60,$AW194,SUMIF($B$10:$B$16,"NCAP_TLIFE",$AX$10:$AX$16)),0,""))</f>
        <v/>
      </c>
      <c r="AL194" s="369" t="str">
        <f ca="1">IF($B194&lt;&gt;"PRC_RESID","",IF(AL$7=2005+OFFSET(COM_N_2012!$B$60,$AW194,SUMIF($B$10:$B$16,"NCAP_TLIFE",$AX$10:$AX$16)),0,""))</f>
        <v/>
      </c>
      <c r="AM194" s="369" t="str">
        <f ca="1">IF($B194&lt;&gt;"PRC_RESID","",IF(AM$7=2005+OFFSET(COM_N_2012!$B$60,$AW194,SUMIF($B$10:$B$16,"NCAP_TLIFE",$AX$10:$AX$16)),0,""))</f>
        <v/>
      </c>
      <c r="AN194" s="369" t="str">
        <f ca="1">IF($B194&lt;&gt;"PRC_RESID","",IF(AN$7=2005+OFFSET(COM_N_2012!$B$60,$AW194,SUMIF($B$10:$B$16,"NCAP_TLIFE",$AX$10:$AX$16)),0,""))</f>
        <v/>
      </c>
      <c r="AO194" s="369" t="str">
        <f ca="1">IF($B194&lt;&gt;"PRC_RESID","",IF(AO$7=2005+OFFSET(COM_N_2012!$B$60,$AW194,SUMIF($B$10:$B$16,"NCAP_TLIFE",$AX$10:$AX$16)),0,""))</f>
        <v/>
      </c>
      <c r="AP194" s="369" t="str">
        <f ca="1">IF($B194&lt;&gt;"PRC_RESID","",IF(AP$7=2005+OFFSET(COM_N_2012!$B$60,$AW194,SUMIF($B$10:$B$16,"NCAP_TLIFE",$AX$10:$AX$16)),0,""))</f>
        <v/>
      </c>
      <c r="AQ194" s="369" t="str">
        <f ca="1">IF($B194&lt;&gt;"PRC_RESID","",IF(AQ$7=2005+OFFSET(COM_N_2012!$B$60,$AW194,SUMIF($B$10:$B$16,"NCAP_TLIFE",$AX$10:$AX$16)),0,""))</f>
        <v/>
      </c>
      <c r="AR194" s="369" t="str">
        <f ca="1">IF($B194&lt;&gt;"PRC_RESID","",IF(AR$7=2005+OFFSET(COM_N_2012!$B$60,$AW194,SUMIF($B$10:$B$16,"NCAP_TLIFE",$AX$10:$AX$16)),0,""))</f>
        <v/>
      </c>
      <c r="AS194" s="369" t="str">
        <f ca="1">IF($B194&lt;&gt;"PRC_RESID","",IF(AS$7=2005+OFFSET(COM_N_2012!$B$60,$AW194,SUMIF($B$10:$B$16,"NCAP_TLIFE",$AX$10:$AX$16)),0,""))</f>
        <v/>
      </c>
      <c r="AT194" s="369" t="str">
        <f ca="1">IF($B194&lt;&gt;"PRC_RESID","",IF(AT$7=2005+OFFSET(COM_N_2012!$B$60,$AW194,SUMIF($B$10:$B$16,"NCAP_TLIFE",$AX$10:$AX$16)),0,""))</f>
        <v/>
      </c>
      <c r="AU194" s="369" t="str">
        <f ca="1">IF($B194&lt;&gt;"PRC_RESID","",IF(AU$7=2005+OFFSET(COM_N_2012!$B$60,$AW194,SUMIF($B$10:$B$16,"NCAP_TLIFE",$AX$10:$AX$16)),0,""))</f>
        <v/>
      </c>
      <c r="AV194" s="304">
        <f>IF(AW193=COM_N_2012!$AK$121,AV193+1,AV193)</f>
        <v>3</v>
      </c>
      <c r="AW194" s="304">
        <f t="shared" si="20"/>
        <v>55</v>
      </c>
    </row>
    <row r="195" spans="1:49">
      <c r="A195" s="304" t="str">
        <f ca="1">IF(LEFT(OFFSET(COM_N_2012!$A$60,AW195,0),2)="\I","*","")</f>
        <v/>
      </c>
      <c r="B195" s="369" t="str">
        <f t="shared" ca="1" si="19"/>
        <v>NCAP_TLIFE</v>
      </c>
      <c r="C195" s="369" t="str">
        <f ca="1">IF($A195="*","",OFFSET(COM_N_2012!$B$60,AW195,0))</f>
        <v>CNOGAS-E</v>
      </c>
      <c r="D195" s="369" t="str">
        <f t="shared" ca="1" si="25"/>
        <v>-</v>
      </c>
      <c r="E195" s="369" t="str">
        <f t="shared" ca="1" si="25"/>
        <v>-</v>
      </c>
      <c r="F195" s="369" t="str">
        <f t="shared" ca="1" si="25"/>
        <v>-</v>
      </c>
      <c r="G195" s="369" t="str">
        <f t="shared" ca="1" si="25"/>
        <v>-</v>
      </c>
      <c r="H195" s="369" t="str">
        <f t="shared" ca="1" si="25"/>
        <v>-</v>
      </c>
      <c r="I195" s="370">
        <f t="shared" ca="1" si="25"/>
        <v>0</v>
      </c>
      <c r="J195" s="391">
        <f ca="1">IF($A195="*","",OFFSET(COM_N_2012!$B$60,AW195,SUMIF($B$10:$B$16,B195,$AX$10:$AX$16)))</f>
        <v>15</v>
      </c>
      <c r="K195" s="369" t="str">
        <f ca="1">IF($B195&lt;&gt;"PRC_RESID","",IF(K$7=2005+OFFSET(COM_N_2012!$B$60,$AW195,SUMIF($B$10:$B$16,"NCAP_TLIFE",$AX$10:$AX$16)),0,""))</f>
        <v/>
      </c>
      <c r="L195" s="369" t="str">
        <f ca="1">IF($B195&lt;&gt;"PRC_RESID","",IF(L$7=2005+OFFSET(COM_N_2012!$B$60,$AW195,SUMIF($B$10:$B$16,"NCAP_TLIFE",$AX$10:$AX$16)),0,""))</f>
        <v/>
      </c>
      <c r="M195" s="369" t="str">
        <f ca="1">IF($B195&lt;&gt;"PRC_RESID","",IF(M$7=2005+OFFSET(COM_N_2012!$B$60,$AW195,SUMIF($B$10:$B$16,"NCAP_TLIFE",$AX$10:$AX$16)),0,""))</f>
        <v/>
      </c>
      <c r="N195" s="369" t="str">
        <f ca="1">IF($B195&lt;&gt;"PRC_RESID","",IF(N$7=2005+OFFSET(COM_N_2012!$B$60,$AW195,SUMIF($B$10:$B$16,"NCAP_TLIFE",$AX$10:$AX$16)),0,""))</f>
        <v/>
      </c>
      <c r="O195" s="369" t="str">
        <f ca="1">IF($B195&lt;&gt;"PRC_RESID","",IF(O$7=2005+OFFSET(COM_N_2012!$B$60,$AW195,SUMIF($B$10:$B$16,"NCAP_TLIFE",$AX$10:$AX$16)),0,""))</f>
        <v/>
      </c>
      <c r="P195" s="369" t="str">
        <f ca="1">IF($B195&lt;&gt;"PRC_RESID","",IF(P$7=2005+OFFSET(COM_N_2012!$B$60,$AW195,SUMIF($B$10:$B$16,"NCAP_TLIFE",$AX$10:$AX$16)),0,""))</f>
        <v/>
      </c>
      <c r="Q195" s="369" t="str">
        <f ca="1">IF($B195&lt;&gt;"PRC_RESID","",IF(Q$7=2005+OFFSET(COM_N_2012!$B$60,$AW195,SUMIF($B$10:$B$16,"NCAP_TLIFE",$AX$10:$AX$16)),0,""))</f>
        <v/>
      </c>
      <c r="R195" s="369" t="str">
        <f ca="1">IF($B195&lt;&gt;"PRC_RESID","",IF(R$7=2005+OFFSET(COM_N_2012!$B$60,$AW195,SUMIF($B$10:$B$16,"NCAP_TLIFE",$AX$10:$AX$16)),0,""))</f>
        <v/>
      </c>
      <c r="S195" s="369" t="str">
        <f ca="1">IF($B195&lt;&gt;"PRC_RESID","",IF(S$7=2005+OFFSET(COM_N_2012!$B$60,$AW195,SUMIF($B$10:$B$16,"NCAP_TLIFE",$AX$10:$AX$16)),0,""))</f>
        <v/>
      </c>
      <c r="T195" s="369" t="str">
        <f ca="1">IF($B195&lt;&gt;"PRC_RESID","",IF(T$7=2005+OFFSET(COM_N_2012!$B$60,$AW195,SUMIF($B$10:$B$16,"NCAP_TLIFE",$AX$10:$AX$16)),0,""))</f>
        <v/>
      </c>
      <c r="U195" s="369" t="str">
        <f ca="1">IF($B195&lt;&gt;"PRC_RESID","",IF(U$7=2005+OFFSET(COM_N_2012!$B$60,$AW195,SUMIF($B$10:$B$16,"NCAP_TLIFE",$AX$10:$AX$16)),0,""))</f>
        <v/>
      </c>
      <c r="V195" s="369" t="str">
        <f ca="1">IF($B195&lt;&gt;"PRC_RESID","",IF(V$7=2005+OFFSET(COM_N_2012!$B$60,$AW195,SUMIF($B$10:$B$16,"NCAP_TLIFE",$AX$10:$AX$16)),0,""))</f>
        <v/>
      </c>
      <c r="W195" s="369" t="str">
        <f ca="1">IF($B195&lt;&gt;"PRC_RESID","",IF(W$7=2005+OFFSET(COM_N_2012!$B$60,$AW195,SUMIF($B$10:$B$16,"NCAP_TLIFE",$AX$10:$AX$16)),0,""))</f>
        <v/>
      </c>
      <c r="X195" s="369" t="str">
        <f ca="1">IF($B195&lt;&gt;"PRC_RESID","",IF(X$7=2005+OFFSET(COM_N_2012!$B$60,$AW195,SUMIF($B$10:$B$16,"NCAP_TLIFE",$AX$10:$AX$16)),0,""))</f>
        <v/>
      </c>
      <c r="Y195" s="369" t="str">
        <f ca="1">IF($B195&lt;&gt;"PRC_RESID","",IF(Y$7=2005+OFFSET(COM_N_2012!$B$60,$AW195,SUMIF($B$10:$B$16,"NCAP_TLIFE",$AX$10:$AX$16)),0,""))</f>
        <v/>
      </c>
      <c r="Z195" s="369" t="str">
        <f ca="1">IF($B195&lt;&gt;"PRC_RESID","",IF(Z$7=2005+OFFSET(COM_N_2012!$B$60,$AW195,SUMIF($B$10:$B$16,"NCAP_TLIFE",$AX$10:$AX$16)),0,""))</f>
        <v/>
      </c>
      <c r="AA195" s="369" t="str">
        <f ca="1">IF($B195&lt;&gt;"PRC_RESID","",IF(AA$7=2005+OFFSET(COM_N_2012!$B$60,$AW195,SUMIF($B$10:$B$16,"NCAP_TLIFE",$AX$10:$AX$16)),0,""))</f>
        <v/>
      </c>
      <c r="AB195" s="369" t="str">
        <f ca="1">IF($B195&lt;&gt;"PRC_RESID","",IF(AB$7=2005+OFFSET(COM_N_2012!$B$60,$AW195,SUMIF($B$10:$B$16,"NCAP_TLIFE",$AX$10:$AX$16)),0,""))</f>
        <v/>
      </c>
      <c r="AC195" s="369" t="str">
        <f ca="1">IF($B195&lt;&gt;"PRC_RESID","",IF(AC$7=2005+OFFSET(COM_N_2012!$B$60,$AW195,SUMIF($B$10:$B$16,"NCAP_TLIFE",$AX$10:$AX$16)),0,""))</f>
        <v/>
      </c>
      <c r="AD195" s="369" t="str">
        <f ca="1">IF($B195&lt;&gt;"PRC_RESID","",IF(AD$7=2005+OFFSET(COM_N_2012!$B$60,$AW195,SUMIF($B$10:$B$16,"NCAP_TLIFE",$AX$10:$AX$16)),0,""))</f>
        <v/>
      </c>
      <c r="AE195" s="369" t="str">
        <f ca="1">IF($B195&lt;&gt;"PRC_RESID","",IF(AE$7=2005+OFFSET(COM_N_2012!$B$60,$AW195,SUMIF($B$10:$B$16,"NCAP_TLIFE",$AX$10:$AX$16)),0,""))</f>
        <v/>
      </c>
      <c r="AF195" s="369" t="str">
        <f ca="1">IF($B195&lt;&gt;"PRC_RESID","",IF(AF$7=2005+OFFSET(COM_N_2012!$B$60,$AW195,SUMIF($B$10:$B$16,"NCAP_TLIFE",$AX$10:$AX$16)),0,""))</f>
        <v/>
      </c>
      <c r="AG195" s="369" t="str">
        <f ca="1">IF($B195&lt;&gt;"PRC_RESID","",IF(AG$7=2005+OFFSET(COM_N_2012!$B$60,$AW195,SUMIF($B$10:$B$16,"NCAP_TLIFE",$AX$10:$AX$16)),0,""))</f>
        <v/>
      </c>
      <c r="AH195" s="369" t="str">
        <f ca="1">IF($B195&lt;&gt;"PRC_RESID","",IF(AH$7=2005+OFFSET(COM_N_2012!$B$60,$AW195,SUMIF($B$10:$B$16,"NCAP_TLIFE",$AX$10:$AX$16)),0,""))</f>
        <v/>
      </c>
      <c r="AI195" s="369" t="str">
        <f ca="1">IF($B195&lt;&gt;"PRC_RESID","",IF(AI$7=2005+OFFSET(COM_N_2012!$B$60,$AW195,SUMIF($B$10:$B$16,"NCAP_TLIFE",$AX$10:$AX$16)),0,""))</f>
        <v/>
      </c>
      <c r="AJ195" s="369" t="str">
        <f ca="1">IF($B195&lt;&gt;"PRC_RESID","",IF(AJ$7=2005+OFFSET(COM_N_2012!$B$60,$AW195,SUMIF($B$10:$B$16,"NCAP_TLIFE",$AX$10:$AX$16)),0,""))</f>
        <v/>
      </c>
      <c r="AK195" s="369" t="str">
        <f ca="1">IF($B195&lt;&gt;"PRC_RESID","",IF(AK$7=2005+OFFSET(COM_N_2012!$B$60,$AW195,SUMIF($B$10:$B$16,"NCAP_TLIFE",$AX$10:$AX$16)),0,""))</f>
        <v/>
      </c>
      <c r="AL195" s="369" t="str">
        <f ca="1">IF($B195&lt;&gt;"PRC_RESID","",IF(AL$7=2005+OFFSET(COM_N_2012!$B$60,$AW195,SUMIF($B$10:$B$16,"NCAP_TLIFE",$AX$10:$AX$16)),0,""))</f>
        <v/>
      </c>
      <c r="AM195" s="369" t="str">
        <f ca="1">IF($B195&lt;&gt;"PRC_RESID","",IF(AM$7=2005+OFFSET(COM_N_2012!$B$60,$AW195,SUMIF($B$10:$B$16,"NCAP_TLIFE",$AX$10:$AX$16)),0,""))</f>
        <v/>
      </c>
      <c r="AN195" s="369" t="str">
        <f ca="1">IF($B195&lt;&gt;"PRC_RESID","",IF(AN$7=2005+OFFSET(COM_N_2012!$B$60,$AW195,SUMIF($B$10:$B$16,"NCAP_TLIFE",$AX$10:$AX$16)),0,""))</f>
        <v/>
      </c>
      <c r="AO195" s="369" t="str">
        <f ca="1">IF($B195&lt;&gt;"PRC_RESID","",IF(AO$7=2005+OFFSET(COM_N_2012!$B$60,$AW195,SUMIF($B$10:$B$16,"NCAP_TLIFE",$AX$10:$AX$16)),0,""))</f>
        <v/>
      </c>
      <c r="AP195" s="369" t="str">
        <f ca="1">IF($B195&lt;&gt;"PRC_RESID","",IF(AP$7=2005+OFFSET(COM_N_2012!$B$60,$AW195,SUMIF($B$10:$B$16,"NCAP_TLIFE",$AX$10:$AX$16)),0,""))</f>
        <v/>
      </c>
      <c r="AQ195" s="369" t="str">
        <f ca="1">IF($B195&lt;&gt;"PRC_RESID","",IF(AQ$7=2005+OFFSET(COM_N_2012!$B$60,$AW195,SUMIF($B$10:$B$16,"NCAP_TLIFE",$AX$10:$AX$16)),0,""))</f>
        <v/>
      </c>
      <c r="AR195" s="369" t="str">
        <f ca="1">IF($B195&lt;&gt;"PRC_RESID","",IF(AR$7=2005+OFFSET(COM_N_2012!$B$60,$AW195,SUMIF($B$10:$B$16,"NCAP_TLIFE",$AX$10:$AX$16)),0,""))</f>
        <v/>
      </c>
      <c r="AS195" s="369" t="str">
        <f ca="1">IF($B195&lt;&gt;"PRC_RESID","",IF(AS$7=2005+OFFSET(COM_N_2012!$B$60,$AW195,SUMIF($B$10:$B$16,"NCAP_TLIFE",$AX$10:$AX$16)),0,""))</f>
        <v/>
      </c>
      <c r="AT195" s="369" t="str">
        <f ca="1">IF($B195&lt;&gt;"PRC_RESID","",IF(AT$7=2005+OFFSET(COM_N_2012!$B$60,$AW195,SUMIF($B$10:$B$16,"NCAP_TLIFE",$AX$10:$AX$16)),0,""))</f>
        <v/>
      </c>
      <c r="AU195" s="369" t="str">
        <f ca="1">IF($B195&lt;&gt;"PRC_RESID","",IF(AU$7=2005+OFFSET(COM_N_2012!$B$60,$AW195,SUMIF($B$10:$B$16,"NCAP_TLIFE",$AX$10:$AX$16)),0,""))</f>
        <v/>
      </c>
      <c r="AV195" s="304">
        <f>IF(AW194=COM_N_2012!$AK$121,AV194+1,AV194)</f>
        <v>3</v>
      </c>
      <c r="AW195" s="304">
        <f t="shared" si="20"/>
        <v>56</v>
      </c>
    </row>
    <row r="196" spans="1:49">
      <c r="A196" s="304" t="str">
        <f ca="1">IF(LEFT(OFFSET(COM_N_2012!$A$60,AW196,0),2)="\I","*","")</f>
        <v/>
      </c>
      <c r="B196" s="369" t="str">
        <f t="shared" ca="1" si="19"/>
        <v>NCAP_TLIFE</v>
      </c>
      <c r="C196" s="369" t="str">
        <f ca="1">IF($A196="*","",OFFSET(COM_N_2012!$B$60,AW196,0))</f>
        <v>CNOOGS-E</v>
      </c>
      <c r="D196" s="369" t="str">
        <f t="shared" ca="1" si="25"/>
        <v>-</v>
      </c>
      <c r="E196" s="369" t="str">
        <f t="shared" ca="1" si="25"/>
        <v>-</v>
      </c>
      <c r="F196" s="369" t="str">
        <f t="shared" ca="1" si="25"/>
        <v>-</v>
      </c>
      <c r="G196" s="369" t="str">
        <f t="shared" ca="1" si="25"/>
        <v>-</v>
      </c>
      <c r="H196" s="369" t="str">
        <f t="shared" ca="1" si="25"/>
        <v>-</v>
      </c>
      <c r="I196" s="370">
        <f t="shared" ca="1" si="25"/>
        <v>0</v>
      </c>
      <c r="J196" s="391">
        <f ca="1">IF($A196="*","",OFFSET(COM_N_2012!$B$60,AW196,SUMIF($B$10:$B$16,B196,$AX$10:$AX$16)))</f>
        <v>15</v>
      </c>
      <c r="K196" s="369" t="str">
        <f ca="1">IF($B196&lt;&gt;"PRC_RESID","",IF(K$7=2005+OFFSET(COM_N_2012!$B$60,$AW196,SUMIF($B$10:$B$16,"NCAP_TLIFE",$AX$10:$AX$16)),0,""))</f>
        <v/>
      </c>
      <c r="L196" s="369" t="str">
        <f ca="1">IF($B196&lt;&gt;"PRC_RESID","",IF(L$7=2005+OFFSET(COM_N_2012!$B$60,$AW196,SUMIF($B$10:$B$16,"NCAP_TLIFE",$AX$10:$AX$16)),0,""))</f>
        <v/>
      </c>
      <c r="M196" s="369" t="str">
        <f ca="1">IF($B196&lt;&gt;"PRC_RESID","",IF(M$7=2005+OFFSET(COM_N_2012!$B$60,$AW196,SUMIF($B$10:$B$16,"NCAP_TLIFE",$AX$10:$AX$16)),0,""))</f>
        <v/>
      </c>
      <c r="N196" s="369" t="str">
        <f ca="1">IF($B196&lt;&gt;"PRC_RESID","",IF(N$7=2005+OFFSET(COM_N_2012!$B$60,$AW196,SUMIF($B$10:$B$16,"NCAP_TLIFE",$AX$10:$AX$16)),0,""))</f>
        <v/>
      </c>
      <c r="O196" s="369" t="str">
        <f ca="1">IF($B196&lt;&gt;"PRC_RESID","",IF(O$7=2005+OFFSET(COM_N_2012!$B$60,$AW196,SUMIF($B$10:$B$16,"NCAP_TLIFE",$AX$10:$AX$16)),0,""))</f>
        <v/>
      </c>
      <c r="P196" s="369" t="str">
        <f ca="1">IF($B196&lt;&gt;"PRC_RESID","",IF(P$7=2005+OFFSET(COM_N_2012!$B$60,$AW196,SUMIF($B$10:$B$16,"NCAP_TLIFE",$AX$10:$AX$16)),0,""))</f>
        <v/>
      </c>
      <c r="Q196" s="369" t="str">
        <f ca="1">IF($B196&lt;&gt;"PRC_RESID","",IF(Q$7=2005+OFFSET(COM_N_2012!$B$60,$AW196,SUMIF($B$10:$B$16,"NCAP_TLIFE",$AX$10:$AX$16)),0,""))</f>
        <v/>
      </c>
      <c r="R196" s="369" t="str">
        <f ca="1">IF($B196&lt;&gt;"PRC_RESID","",IF(R$7=2005+OFFSET(COM_N_2012!$B$60,$AW196,SUMIF($B$10:$B$16,"NCAP_TLIFE",$AX$10:$AX$16)),0,""))</f>
        <v/>
      </c>
      <c r="S196" s="369" t="str">
        <f ca="1">IF($B196&lt;&gt;"PRC_RESID","",IF(S$7=2005+OFFSET(COM_N_2012!$B$60,$AW196,SUMIF($B$10:$B$16,"NCAP_TLIFE",$AX$10:$AX$16)),0,""))</f>
        <v/>
      </c>
      <c r="T196" s="369" t="str">
        <f ca="1">IF($B196&lt;&gt;"PRC_RESID","",IF(T$7=2005+OFFSET(COM_N_2012!$B$60,$AW196,SUMIF($B$10:$B$16,"NCAP_TLIFE",$AX$10:$AX$16)),0,""))</f>
        <v/>
      </c>
      <c r="U196" s="369" t="str">
        <f ca="1">IF($B196&lt;&gt;"PRC_RESID","",IF(U$7=2005+OFFSET(COM_N_2012!$B$60,$AW196,SUMIF($B$10:$B$16,"NCAP_TLIFE",$AX$10:$AX$16)),0,""))</f>
        <v/>
      </c>
      <c r="V196" s="369" t="str">
        <f ca="1">IF($B196&lt;&gt;"PRC_RESID","",IF(V$7=2005+OFFSET(COM_N_2012!$B$60,$AW196,SUMIF($B$10:$B$16,"NCAP_TLIFE",$AX$10:$AX$16)),0,""))</f>
        <v/>
      </c>
      <c r="W196" s="369" t="str">
        <f ca="1">IF($B196&lt;&gt;"PRC_RESID","",IF(W$7=2005+OFFSET(COM_N_2012!$B$60,$AW196,SUMIF($B$10:$B$16,"NCAP_TLIFE",$AX$10:$AX$16)),0,""))</f>
        <v/>
      </c>
      <c r="X196" s="369" t="str">
        <f ca="1">IF($B196&lt;&gt;"PRC_RESID","",IF(X$7=2005+OFFSET(COM_N_2012!$B$60,$AW196,SUMIF($B$10:$B$16,"NCAP_TLIFE",$AX$10:$AX$16)),0,""))</f>
        <v/>
      </c>
      <c r="Y196" s="369" t="str">
        <f ca="1">IF($B196&lt;&gt;"PRC_RESID","",IF(Y$7=2005+OFFSET(COM_N_2012!$B$60,$AW196,SUMIF($B$10:$B$16,"NCAP_TLIFE",$AX$10:$AX$16)),0,""))</f>
        <v/>
      </c>
      <c r="Z196" s="369" t="str">
        <f ca="1">IF($B196&lt;&gt;"PRC_RESID","",IF(Z$7=2005+OFFSET(COM_N_2012!$B$60,$AW196,SUMIF($B$10:$B$16,"NCAP_TLIFE",$AX$10:$AX$16)),0,""))</f>
        <v/>
      </c>
      <c r="AA196" s="369" t="str">
        <f ca="1">IF($B196&lt;&gt;"PRC_RESID","",IF(AA$7=2005+OFFSET(COM_N_2012!$B$60,$AW196,SUMIF($B$10:$B$16,"NCAP_TLIFE",$AX$10:$AX$16)),0,""))</f>
        <v/>
      </c>
      <c r="AB196" s="369" t="str">
        <f ca="1">IF($B196&lt;&gt;"PRC_RESID","",IF(AB$7=2005+OFFSET(COM_N_2012!$B$60,$AW196,SUMIF($B$10:$B$16,"NCAP_TLIFE",$AX$10:$AX$16)),0,""))</f>
        <v/>
      </c>
      <c r="AC196" s="369" t="str">
        <f ca="1">IF($B196&lt;&gt;"PRC_RESID","",IF(AC$7=2005+OFFSET(COM_N_2012!$B$60,$AW196,SUMIF($B$10:$B$16,"NCAP_TLIFE",$AX$10:$AX$16)),0,""))</f>
        <v/>
      </c>
      <c r="AD196" s="369" t="str">
        <f ca="1">IF($B196&lt;&gt;"PRC_RESID","",IF(AD$7=2005+OFFSET(COM_N_2012!$B$60,$AW196,SUMIF($B$10:$B$16,"NCAP_TLIFE",$AX$10:$AX$16)),0,""))</f>
        <v/>
      </c>
      <c r="AE196" s="369" t="str">
        <f ca="1">IF($B196&lt;&gt;"PRC_RESID","",IF(AE$7=2005+OFFSET(COM_N_2012!$B$60,$AW196,SUMIF($B$10:$B$16,"NCAP_TLIFE",$AX$10:$AX$16)),0,""))</f>
        <v/>
      </c>
      <c r="AF196" s="369" t="str">
        <f ca="1">IF($B196&lt;&gt;"PRC_RESID","",IF(AF$7=2005+OFFSET(COM_N_2012!$B$60,$AW196,SUMIF($B$10:$B$16,"NCAP_TLIFE",$AX$10:$AX$16)),0,""))</f>
        <v/>
      </c>
      <c r="AG196" s="369" t="str">
        <f ca="1">IF($B196&lt;&gt;"PRC_RESID","",IF(AG$7=2005+OFFSET(COM_N_2012!$B$60,$AW196,SUMIF($B$10:$B$16,"NCAP_TLIFE",$AX$10:$AX$16)),0,""))</f>
        <v/>
      </c>
      <c r="AH196" s="369" t="str">
        <f ca="1">IF($B196&lt;&gt;"PRC_RESID","",IF(AH$7=2005+OFFSET(COM_N_2012!$B$60,$AW196,SUMIF($B$10:$B$16,"NCAP_TLIFE",$AX$10:$AX$16)),0,""))</f>
        <v/>
      </c>
      <c r="AI196" s="369" t="str">
        <f ca="1">IF($B196&lt;&gt;"PRC_RESID","",IF(AI$7=2005+OFFSET(COM_N_2012!$B$60,$AW196,SUMIF($B$10:$B$16,"NCAP_TLIFE",$AX$10:$AX$16)),0,""))</f>
        <v/>
      </c>
      <c r="AJ196" s="369" t="str">
        <f ca="1">IF($B196&lt;&gt;"PRC_RESID","",IF(AJ$7=2005+OFFSET(COM_N_2012!$B$60,$AW196,SUMIF($B$10:$B$16,"NCAP_TLIFE",$AX$10:$AX$16)),0,""))</f>
        <v/>
      </c>
      <c r="AK196" s="369" t="str">
        <f ca="1">IF($B196&lt;&gt;"PRC_RESID","",IF(AK$7=2005+OFFSET(COM_N_2012!$B$60,$AW196,SUMIF($B$10:$B$16,"NCAP_TLIFE",$AX$10:$AX$16)),0,""))</f>
        <v/>
      </c>
      <c r="AL196" s="369" t="str">
        <f ca="1">IF($B196&lt;&gt;"PRC_RESID","",IF(AL$7=2005+OFFSET(COM_N_2012!$B$60,$AW196,SUMIF($B$10:$B$16,"NCAP_TLIFE",$AX$10:$AX$16)),0,""))</f>
        <v/>
      </c>
      <c r="AM196" s="369" t="str">
        <f ca="1">IF($B196&lt;&gt;"PRC_RESID","",IF(AM$7=2005+OFFSET(COM_N_2012!$B$60,$AW196,SUMIF($B$10:$B$16,"NCAP_TLIFE",$AX$10:$AX$16)),0,""))</f>
        <v/>
      </c>
      <c r="AN196" s="369" t="str">
        <f ca="1">IF($B196&lt;&gt;"PRC_RESID","",IF(AN$7=2005+OFFSET(COM_N_2012!$B$60,$AW196,SUMIF($B$10:$B$16,"NCAP_TLIFE",$AX$10:$AX$16)),0,""))</f>
        <v/>
      </c>
      <c r="AO196" s="369" t="str">
        <f ca="1">IF($B196&lt;&gt;"PRC_RESID","",IF(AO$7=2005+OFFSET(COM_N_2012!$B$60,$AW196,SUMIF($B$10:$B$16,"NCAP_TLIFE",$AX$10:$AX$16)),0,""))</f>
        <v/>
      </c>
      <c r="AP196" s="369" t="str">
        <f ca="1">IF($B196&lt;&gt;"PRC_RESID","",IF(AP$7=2005+OFFSET(COM_N_2012!$B$60,$AW196,SUMIF($B$10:$B$16,"NCAP_TLIFE",$AX$10:$AX$16)),0,""))</f>
        <v/>
      </c>
      <c r="AQ196" s="369" t="str">
        <f ca="1">IF($B196&lt;&gt;"PRC_RESID","",IF(AQ$7=2005+OFFSET(COM_N_2012!$B$60,$AW196,SUMIF($B$10:$B$16,"NCAP_TLIFE",$AX$10:$AX$16)),0,""))</f>
        <v/>
      </c>
      <c r="AR196" s="369" t="str">
        <f ca="1">IF($B196&lt;&gt;"PRC_RESID","",IF(AR$7=2005+OFFSET(COM_N_2012!$B$60,$AW196,SUMIF($B$10:$B$16,"NCAP_TLIFE",$AX$10:$AX$16)),0,""))</f>
        <v/>
      </c>
      <c r="AS196" s="369" t="str">
        <f ca="1">IF($B196&lt;&gt;"PRC_RESID","",IF(AS$7=2005+OFFSET(COM_N_2012!$B$60,$AW196,SUMIF($B$10:$B$16,"NCAP_TLIFE",$AX$10:$AX$16)),0,""))</f>
        <v/>
      </c>
      <c r="AT196" s="369" t="str">
        <f ca="1">IF($B196&lt;&gt;"PRC_RESID","",IF(AT$7=2005+OFFSET(COM_N_2012!$B$60,$AW196,SUMIF($B$10:$B$16,"NCAP_TLIFE",$AX$10:$AX$16)),0,""))</f>
        <v/>
      </c>
      <c r="AU196" s="369" t="str">
        <f ca="1">IF($B196&lt;&gt;"PRC_RESID","",IF(AU$7=2005+OFFSET(COM_N_2012!$B$60,$AW196,SUMIF($B$10:$B$16,"NCAP_TLIFE",$AX$10:$AX$16)),0,""))</f>
        <v/>
      </c>
      <c r="AV196" s="304">
        <f>IF(AW195=COM_N_2012!$AK$121,AV195+1,AV195)</f>
        <v>3</v>
      </c>
      <c r="AW196" s="304">
        <f t="shared" si="20"/>
        <v>57</v>
      </c>
    </row>
    <row r="197" spans="1:49">
      <c r="A197" s="304" t="str">
        <f ca="1">IF(LEFT(OFFSET(COM_N_2012!$A$60,AW197,0),2)="\I","*","")</f>
        <v/>
      </c>
      <c r="B197" s="369" t="str">
        <f t="shared" ca="1" si="19"/>
        <v>NCAP_TLIFE</v>
      </c>
      <c r="C197" s="369" t="str">
        <f ca="1">IF($A197="*","",OFFSET(COM_N_2012!$B$60,AW197,0))</f>
        <v>CNOOHF-E</v>
      </c>
      <c r="D197" s="369" t="str">
        <f t="shared" ca="1" si="25"/>
        <v>-</v>
      </c>
      <c r="E197" s="369" t="str">
        <f t="shared" ca="1" si="25"/>
        <v>-</v>
      </c>
      <c r="F197" s="369" t="str">
        <f t="shared" ca="1" si="25"/>
        <v>-</v>
      </c>
      <c r="G197" s="369" t="str">
        <f t="shared" ca="1" si="25"/>
        <v>-</v>
      </c>
      <c r="H197" s="369" t="str">
        <f t="shared" ca="1" si="25"/>
        <v>-</v>
      </c>
      <c r="I197" s="370">
        <f t="shared" ca="1" si="25"/>
        <v>0</v>
      </c>
      <c r="J197" s="391">
        <f ca="1">IF($A197="*","",OFFSET(COM_N_2012!$B$60,AW197,SUMIF($B$10:$B$16,B197,$AX$10:$AX$16)))</f>
        <v>15</v>
      </c>
      <c r="K197" s="369" t="str">
        <f ca="1">IF($B197&lt;&gt;"PRC_RESID","",IF(K$7=2005+OFFSET(COM_N_2012!$B$60,$AW197,SUMIF($B$10:$B$16,"NCAP_TLIFE",$AX$10:$AX$16)),0,""))</f>
        <v/>
      </c>
      <c r="L197" s="369" t="str">
        <f ca="1">IF($B197&lt;&gt;"PRC_RESID","",IF(L$7=2005+OFFSET(COM_N_2012!$B$60,$AW197,SUMIF($B$10:$B$16,"NCAP_TLIFE",$AX$10:$AX$16)),0,""))</f>
        <v/>
      </c>
      <c r="M197" s="369" t="str">
        <f ca="1">IF($B197&lt;&gt;"PRC_RESID","",IF(M$7=2005+OFFSET(COM_N_2012!$B$60,$AW197,SUMIF($B$10:$B$16,"NCAP_TLIFE",$AX$10:$AX$16)),0,""))</f>
        <v/>
      </c>
      <c r="N197" s="369" t="str">
        <f ca="1">IF($B197&lt;&gt;"PRC_RESID","",IF(N$7=2005+OFFSET(COM_N_2012!$B$60,$AW197,SUMIF($B$10:$B$16,"NCAP_TLIFE",$AX$10:$AX$16)),0,""))</f>
        <v/>
      </c>
      <c r="O197" s="369" t="str">
        <f ca="1">IF($B197&lt;&gt;"PRC_RESID","",IF(O$7=2005+OFFSET(COM_N_2012!$B$60,$AW197,SUMIF($B$10:$B$16,"NCAP_TLIFE",$AX$10:$AX$16)),0,""))</f>
        <v/>
      </c>
      <c r="P197" s="369" t="str">
        <f ca="1">IF($B197&lt;&gt;"PRC_RESID","",IF(P$7=2005+OFFSET(COM_N_2012!$B$60,$AW197,SUMIF($B$10:$B$16,"NCAP_TLIFE",$AX$10:$AX$16)),0,""))</f>
        <v/>
      </c>
      <c r="Q197" s="369" t="str">
        <f ca="1">IF($B197&lt;&gt;"PRC_RESID","",IF(Q$7=2005+OFFSET(COM_N_2012!$B$60,$AW197,SUMIF($B$10:$B$16,"NCAP_TLIFE",$AX$10:$AX$16)),0,""))</f>
        <v/>
      </c>
      <c r="R197" s="369" t="str">
        <f ca="1">IF($B197&lt;&gt;"PRC_RESID","",IF(R$7=2005+OFFSET(COM_N_2012!$B$60,$AW197,SUMIF($B$10:$B$16,"NCAP_TLIFE",$AX$10:$AX$16)),0,""))</f>
        <v/>
      </c>
      <c r="S197" s="369" t="str">
        <f ca="1">IF($B197&lt;&gt;"PRC_RESID","",IF(S$7=2005+OFFSET(COM_N_2012!$B$60,$AW197,SUMIF($B$10:$B$16,"NCAP_TLIFE",$AX$10:$AX$16)),0,""))</f>
        <v/>
      </c>
      <c r="T197" s="369" t="str">
        <f ca="1">IF($B197&lt;&gt;"PRC_RESID","",IF(T$7=2005+OFFSET(COM_N_2012!$B$60,$AW197,SUMIF($B$10:$B$16,"NCAP_TLIFE",$AX$10:$AX$16)),0,""))</f>
        <v/>
      </c>
      <c r="U197" s="369" t="str">
        <f ca="1">IF($B197&lt;&gt;"PRC_RESID","",IF(U$7=2005+OFFSET(COM_N_2012!$B$60,$AW197,SUMIF($B$10:$B$16,"NCAP_TLIFE",$AX$10:$AX$16)),0,""))</f>
        <v/>
      </c>
      <c r="V197" s="369" t="str">
        <f ca="1">IF($B197&lt;&gt;"PRC_RESID","",IF(V$7=2005+OFFSET(COM_N_2012!$B$60,$AW197,SUMIF($B$10:$B$16,"NCAP_TLIFE",$AX$10:$AX$16)),0,""))</f>
        <v/>
      </c>
      <c r="W197" s="369" t="str">
        <f ca="1">IF($B197&lt;&gt;"PRC_RESID","",IF(W$7=2005+OFFSET(COM_N_2012!$B$60,$AW197,SUMIF($B$10:$B$16,"NCAP_TLIFE",$AX$10:$AX$16)),0,""))</f>
        <v/>
      </c>
      <c r="X197" s="369" t="str">
        <f ca="1">IF($B197&lt;&gt;"PRC_RESID","",IF(X$7=2005+OFFSET(COM_N_2012!$B$60,$AW197,SUMIF($B$10:$B$16,"NCAP_TLIFE",$AX$10:$AX$16)),0,""))</f>
        <v/>
      </c>
      <c r="Y197" s="369" t="str">
        <f ca="1">IF($B197&lt;&gt;"PRC_RESID","",IF(Y$7=2005+OFFSET(COM_N_2012!$B$60,$AW197,SUMIF($B$10:$B$16,"NCAP_TLIFE",$AX$10:$AX$16)),0,""))</f>
        <v/>
      </c>
      <c r="Z197" s="369" t="str">
        <f ca="1">IF($B197&lt;&gt;"PRC_RESID","",IF(Z$7=2005+OFFSET(COM_N_2012!$B$60,$AW197,SUMIF($B$10:$B$16,"NCAP_TLIFE",$AX$10:$AX$16)),0,""))</f>
        <v/>
      </c>
      <c r="AA197" s="369" t="str">
        <f ca="1">IF($B197&lt;&gt;"PRC_RESID","",IF(AA$7=2005+OFFSET(COM_N_2012!$B$60,$AW197,SUMIF($B$10:$B$16,"NCAP_TLIFE",$AX$10:$AX$16)),0,""))</f>
        <v/>
      </c>
      <c r="AB197" s="369" t="str">
        <f ca="1">IF($B197&lt;&gt;"PRC_RESID","",IF(AB$7=2005+OFFSET(COM_N_2012!$B$60,$AW197,SUMIF($B$10:$B$16,"NCAP_TLIFE",$AX$10:$AX$16)),0,""))</f>
        <v/>
      </c>
      <c r="AC197" s="369" t="str">
        <f ca="1">IF($B197&lt;&gt;"PRC_RESID","",IF(AC$7=2005+OFFSET(COM_N_2012!$B$60,$AW197,SUMIF($B$10:$B$16,"NCAP_TLIFE",$AX$10:$AX$16)),0,""))</f>
        <v/>
      </c>
      <c r="AD197" s="369" t="str">
        <f ca="1">IF($B197&lt;&gt;"PRC_RESID","",IF(AD$7=2005+OFFSET(COM_N_2012!$B$60,$AW197,SUMIF($B$10:$B$16,"NCAP_TLIFE",$AX$10:$AX$16)),0,""))</f>
        <v/>
      </c>
      <c r="AE197" s="369" t="str">
        <f ca="1">IF($B197&lt;&gt;"PRC_RESID","",IF(AE$7=2005+OFFSET(COM_N_2012!$B$60,$AW197,SUMIF($B$10:$B$16,"NCAP_TLIFE",$AX$10:$AX$16)),0,""))</f>
        <v/>
      </c>
      <c r="AF197" s="369" t="str">
        <f ca="1">IF($B197&lt;&gt;"PRC_RESID","",IF(AF$7=2005+OFFSET(COM_N_2012!$B$60,$AW197,SUMIF($B$10:$B$16,"NCAP_TLIFE",$AX$10:$AX$16)),0,""))</f>
        <v/>
      </c>
      <c r="AG197" s="369" t="str">
        <f ca="1">IF($B197&lt;&gt;"PRC_RESID","",IF(AG$7=2005+OFFSET(COM_N_2012!$B$60,$AW197,SUMIF($B$10:$B$16,"NCAP_TLIFE",$AX$10:$AX$16)),0,""))</f>
        <v/>
      </c>
      <c r="AH197" s="369" t="str">
        <f ca="1">IF($B197&lt;&gt;"PRC_RESID","",IF(AH$7=2005+OFFSET(COM_N_2012!$B$60,$AW197,SUMIF($B$10:$B$16,"NCAP_TLIFE",$AX$10:$AX$16)),0,""))</f>
        <v/>
      </c>
      <c r="AI197" s="369" t="str">
        <f ca="1">IF($B197&lt;&gt;"PRC_RESID","",IF(AI$7=2005+OFFSET(COM_N_2012!$B$60,$AW197,SUMIF($B$10:$B$16,"NCAP_TLIFE",$AX$10:$AX$16)),0,""))</f>
        <v/>
      </c>
      <c r="AJ197" s="369" t="str">
        <f ca="1">IF($B197&lt;&gt;"PRC_RESID","",IF(AJ$7=2005+OFFSET(COM_N_2012!$B$60,$AW197,SUMIF($B$10:$B$16,"NCAP_TLIFE",$AX$10:$AX$16)),0,""))</f>
        <v/>
      </c>
      <c r="AK197" s="369" t="str">
        <f ca="1">IF($B197&lt;&gt;"PRC_RESID","",IF(AK$7=2005+OFFSET(COM_N_2012!$B$60,$AW197,SUMIF($B$10:$B$16,"NCAP_TLIFE",$AX$10:$AX$16)),0,""))</f>
        <v/>
      </c>
      <c r="AL197" s="369" t="str">
        <f ca="1">IF($B197&lt;&gt;"PRC_RESID","",IF(AL$7=2005+OFFSET(COM_N_2012!$B$60,$AW197,SUMIF($B$10:$B$16,"NCAP_TLIFE",$AX$10:$AX$16)),0,""))</f>
        <v/>
      </c>
      <c r="AM197" s="369" t="str">
        <f ca="1">IF($B197&lt;&gt;"PRC_RESID","",IF(AM$7=2005+OFFSET(COM_N_2012!$B$60,$AW197,SUMIF($B$10:$B$16,"NCAP_TLIFE",$AX$10:$AX$16)),0,""))</f>
        <v/>
      </c>
      <c r="AN197" s="369" t="str">
        <f ca="1">IF($B197&lt;&gt;"PRC_RESID","",IF(AN$7=2005+OFFSET(COM_N_2012!$B$60,$AW197,SUMIF($B$10:$B$16,"NCAP_TLIFE",$AX$10:$AX$16)),0,""))</f>
        <v/>
      </c>
      <c r="AO197" s="369" t="str">
        <f ca="1">IF($B197&lt;&gt;"PRC_RESID","",IF(AO$7=2005+OFFSET(COM_N_2012!$B$60,$AW197,SUMIF($B$10:$B$16,"NCAP_TLIFE",$AX$10:$AX$16)),0,""))</f>
        <v/>
      </c>
      <c r="AP197" s="369" t="str">
        <f ca="1">IF($B197&lt;&gt;"PRC_RESID","",IF(AP$7=2005+OFFSET(COM_N_2012!$B$60,$AW197,SUMIF($B$10:$B$16,"NCAP_TLIFE",$AX$10:$AX$16)),0,""))</f>
        <v/>
      </c>
      <c r="AQ197" s="369" t="str">
        <f ca="1">IF($B197&lt;&gt;"PRC_RESID","",IF(AQ$7=2005+OFFSET(COM_N_2012!$B$60,$AW197,SUMIF($B$10:$B$16,"NCAP_TLIFE",$AX$10:$AX$16)),0,""))</f>
        <v/>
      </c>
      <c r="AR197" s="369" t="str">
        <f ca="1">IF($B197&lt;&gt;"PRC_RESID","",IF(AR$7=2005+OFFSET(COM_N_2012!$B$60,$AW197,SUMIF($B$10:$B$16,"NCAP_TLIFE",$AX$10:$AX$16)),0,""))</f>
        <v/>
      </c>
      <c r="AS197" s="369" t="str">
        <f ca="1">IF($B197&lt;&gt;"PRC_RESID","",IF(AS$7=2005+OFFSET(COM_N_2012!$B$60,$AW197,SUMIF($B$10:$B$16,"NCAP_TLIFE",$AX$10:$AX$16)),0,""))</f>
        <v/>
      </c>
      <c r="AT197" s="369" t="str">
        <f ca="1">IF($B197&lt;&gt;"PRC_RESID","",IF(AT$7=2005+OFFSET(COM_N_2012!$B$60,$AW197,SUMIF($B$10:$B$16,"NCAP_TLIFE",$AX$10:$AX$16)),0,""))</f>
        <v/>
      </c>
      <c r="AU197" s="369" t="str">
        <f ca="1">IF($B197&lt;&gt;"PRC_RESID","",IF(AU$7=2005+OFFSET(COM_N_2012!$B$60,$AW197,SUMIF($B$10:$B$16,"NCAP_TLIFE",$AX$10:$AX$16)),0,""))</f>
        <v/>
      </c>
      <c r="AV197" s="304">
        <f>IF(AW196=COM_N_2012!$AK$121,AV196+1,AV196)</f>
        <v>3</v>
      </c>
      <c r="AW197" s="304">
        <f t="shared" si="20"/>
        <v>58</v>
      </c>
    </row>
    <row r="198" spans="1:49">
      <c r="A198" s="304" t="str">
        <f ca="1">IF(LEFT(OFFSET(COM_N_2012!$A$60,AW198,0),2)="\I","*","")</f>
        <v/>
      </c>
      <c r="B198" s="369" t="str">
        <f t="shared" ca="1" si="19"/>
        <v>NCAP_TLIFE</v>
      </c>
      <c r="C198" s="369" t="str">
        <f ca="1">IF($A198="*","",OFFSET(COM_N_2012!$B$60,AW198,0))</f>
        <v>CNOOKE-E</v>
      </c>
      <c r="D198" s="369" t="str">
        <f t="shared" ref="D198:I207" ca="1" si="26">IF($A198="*","",VLOOKUP($B198,$B$10:$I$16,D$9,FALSE))</f>
        <v>-</v>
      </c>
      <c r="E198" s="369" t="str">
        <f t="shared" ca="1" si="26"/>
        <v>-</v>
      </c>
      <c r="F198" s="369" t="str">
        <f t="shared" ca="1" si="26"/>
        <v>-</v>
      </c>
      <c r="G198" s="369" t="str">
        <f t="shared" ca="1" si="26"/>
        <v>-</v>
      </c>
      <c r="H198" s="369" t="str">
        <f t="shared" ca="1" si="26"/>
        <v>-</v>
      </c>
      <c r="I198" s="370">
        <f t="shared" ca="1" si="26"/>
        <v>0</v>
      </c>
      <c r="J198" s="391">
        <f ca="1">IF($A198="*","",OFFSET(COM_N_2012!$B$60,AW198,SUMIF($B$10:$B$16,B198,$AX$10:$AX$16)))</f>
        <v>15</v>
      </c>
      <c r="K198" s="369" t="str">
        <f ca="1">IF($B198&lt;&gt;"PRC_RESID","",IF(K$7=2005+OFFSET(COM_N_2012!$B$60,$AW198,SUMIF($B$10:$B$16,"NCAP_TLIFE",$AX$10:$AX$16)),0,""))</f>
        <v/>
      </c>
      <c r="L198" s="369" t="str">
        <f ca="1">IF($B198&lt;&gt;"PRC_RESID","",IF(L$7=2005+OFFSET(COM_N_2012!$B$60,$AW198,SUMIF($B$10:$B$16,"NCAP_TLIFE",$AX$10:$AX$16)),0,""))</f>
        <v/>
      </c>
      <c r="M198" s="369" t="str">
        <f ca="1">IF($B198&lt;&gt;"PRC_RESID","",IF(M$7=2005+OFFSET(COM_N_2012!$B$60,$AW198,SUMIF($B$10:$B$16,"NCAP_TLIFE",$AX$10:$AX$16)),0,""))</f>
        <v/>
      </c>
      <c r="N198" s="369" t="str">
        <f ca="1">IF($B198&lt;&gt;"PRC_RESID","",IF(N$7=2005+OFFSET(COM_N_2012!$B$60,$AW198,SUMIF($B$10:$B$16,"NCAP_TLIFE",$AX$10:$AX$16)),0,""))</f>
        <v/>
      </c>
      <c r="O198" s="369" t="str">
        <f ca="1">IF($B198&lt;&gt;"PRC_RESID","",IF(O$7=2005+OFFSET(COM_N_2012!$B$60,$AW198,SUMIF($B$10:$B$16,"NCAP_TLIFE",$AX$10:$AX$16)),0,""))</f>
        <v/>
      </c>
      <c r="P198" s="369" t="str">
        <f ca="1">IF($B198&lt;&gt;"PRC_RESID","",IF(P$7=2005+OFFSET(COM_N_2012!$B$60,$AW198,SUMIF($B$10:$B$16,"NCAP_TLIFE",$AX$10:$AX$16)),0,""))</f>
        <v/>
      </c>
      <c r="Q198" s="369" t="str">
        <f ca="1">IF($B198&lt;&gt;"PRC_RESID","",IF(Q$7=2005+OFFSET(COM_N_2012!$B$60,$AW198,SUMIF($B$10:$B$16,"NCAP_TLIFE",$AX$10:$AX$16)),0,""))</f>
        <v/>
      </c>
      <c r="R198" s="369" t="str">
        <f ca="1">IF($B198&lt;&gt;"PRC_RESID","",IF(R$7=2005+OFFSET(COM_N_2012!$B$60,$AW198,SUMIF($B$10:$B$16,"NCAP_TLIFE",$AX$10:$AX$16)),0,""))</f>
        <v/>
      </c>
      <c r="S198" s="369" t="str">
        <f ca="1">IF($B198&lt;&gt;"PRC_RESID","",IF(S$7=2005+OFFSET(COM_N_2012!$B$60,$AW198,SUMIF($B$10:$B$16,"NCAP_TLIFE",$AX$10:$AX$16)),0,""))</f>
        <v/>
      </c>
      <c r="T198" s="369" t="str">
        <f ca="1">IF($B198&lt;&gt;"PRC_RESID","",IF(T$7=2005+OFFSET(COM_N_2012!$B$60,$AW198,SUMIF($B$10:$B$16,"NCAP_TLIFE",$AX$10:$AX$16)),0,""))</f>
        <v/>
      </c>
      <c r="U198" s="369" t="str">
        <f ca="1">IF($B198&lt;&gt;"PRC_RESID","",IF(U$7=2005+OFFSET(COM_N_2012!$B$60,$AW198,SUMIF($B$10:$B$16,"NCAP_TLIFE",$AX$10:$AX$16)),0,""))</f>
        <v/>
      </c>
      <c r="V198" s="369" t="str">
        <f ca="1">IF($B198&lt;&gt;"PRC_RESID","",IF(V$7=2005+OFFSET(COM_N_2012!$B$60,$AW198,SUMIF($B$10:$B$16,"NCAP_TLIFE",$AX$10:$AX$16)),0,""))</f>
        <v/>
      </c>
      <c r="W198" s="369" t="str">
        <f ca="1">IF($B198&lt;&gt;"PRC_RESID","",IF(W$7=2005+OFFSET(COM_N_2012!$B$60,$AW198,SUMIF($B$10:$B$16,"NCAP_TLIFE",$AX$10:$AX$16)),0,""))</f>
        <v/>
      </c>
      <c r="X198" s="369" t="str">
        <f ca="1">IF($B198&lt;&gt;"PRC_RESID","",IF(X$7=2005+OFFSET(COM_N_2012!$B$60,$AW198,SUMIF($B$10:$B$16,"NCAP_TLIFE",$AX$10:$AX$16)),0,""))</f>
        <v/>
      </c>
      <c r="Y198" s="369" t="str">
        <f ca="1">IF($B198&lt;&gt;"PRC_RESID","",IF(Y$7=2005+OFFSET(COM_N_2012!$B$60,$AW198,SUMIF($B$10:$B$16,"NCAP_TLIFE",$AX$10:$AX$16)),0,""))</f>
        <v/>
      </c>
      <c r="Z198" s="369" t="str">
        <f ca="1">IF($B198&lt;&gt;"PRC_RESID","",IF(Z$7=2005+OFFSET(COM_N_2012!$B$60,$AW198,SUMIF($B$10:$B$16,"NCAP_TLIFE",$AX$10:$AX$16)),0,""))</f>
        <v/>
      </c>
      <c r="AA198" s="369" t="str">
        <f ca="1">IF($B198&lt;&gt;"PRC_RESID","",IF(AA$7=2005+OFFSET(COM_N_2012!$B$60,$AW198,SUMIF($B$10:$B$16,"NCAP_TLIFE",$AX$10:$AX$16)),0,""))</f>
        <v/>
      </c>
      <c r="AB198" s="369" t="str">
        <f ca="1">IF($B198&lt;&gt;"PRC_RESID","",IF(AB$7=2005+OFFSET(COM_N_2012!$B$60,$AW198,SUMIF($B$10:$B$16,"NCAP_TLIFE",$AX$10:$AX$16)),0,""))</f>
        <v/>
      </c>
      <c r="AC198" s="369" t="str">
        <f ca="1">IF($B198&lt;&gt;"PRC_RESID","",IF(AC$7=2005+OFFSET(COM_N_2012!$B$60,$AW198,SUMIF($B$10:$B$16,"NCAP_TLIFE",$AX$10:$AX$16)),0,""))</f>
        <v/>
      </c>
      <c r="AD198" s="369" t="str">
        <f ca="1">IF($B198&lt;&gt;"PRC_RESID","",IF(AD$7=2005+OFFSET(COM_N_2012!$B$60,$AW198,SUMIF($B$10:$B$16,"NCAP_TLIFE",$AX$10:$AX$16)),0,""))</f>
        <v/>
      </c>
      <c r="AE198" s="369" t="str">
        <f ca="1">IF($B198&lt;&gt;"PRC_RESID","",IF(AE$7=2005+OFFSET(COM_N_2012!$B$60,$AW198,SUMIF($B$10:$B$16,"NCAP_TLIFE",$AX$10:$AX$16)),0,""))</f>
        <v/>
      </c>
      <c r="AF198" s="369" t="str">
        <f ca="1">IF($B198&lt;&gt;"PRC_RESID","",IF(AF$7=2005+OFFSET(COM_N_2012!$B$60,$AW198,SUMIF($B$10:$B$16,"NCAP_TLIFE",$AX$10:$AX$16)),0,""))</f>
        <v/>
      </c>
      <c r="AG198" s="369" t="str">
        <f ca="1">IF($B198&lt;&gt;"PRC_RESID","",IF(AG$7=2005+OFFSET(COM_N_2012!$B$60,$AW198,SUMIF($B$10:$B$16,"NCAP_TLIFE",$AX$10:$AX$16)),0,""))</f>
        <v/>
      </c>
      <c r="AH198" s="369" t="str">
        <f ca="1">IF($B198&lt;&gt;"PRC_RESID","",IF(AH$7=2005+OFFSET(COM_N_2012!$B$60,$AW198,SUMIF($B$10:$B$16,"NCAP_TLIFE",$AX$10:$AX$16)),0,""))</f>
        <v/>
      </c>
      <c r="AI198" s="369" t="str">
        <f ca="1">IF($B198&lt;&gt;"PRC_RESID","",IF(AI$7=2005+OFFSET(COM_N_2012!$B$60,$AW198,SUMIF($B$10:$B$16,"NCAP_TLIFE",$AX$10:$AX$16)),0,""))</f>
        <v/>
      </c>
      <c r="AJ198" s="369" t="str">
        <f ca="1">IF($B198&lt;&gt;"PRC_RESID","",IF(AJ$7=2005+OFFSET(COM_N_2012!$B$60,$AW198,SUMIF($B$10:$B$16,"NCAP_TLIFE",$AX$10:$AX$16)),0,""))</f>
        <v/>
      </c>
      <c r="AK198" s="369" t="str">
        <f ca="1">IF($B198&lt;&gt;"PRC_RESID","",IF(AK$7=2005+OFFSET(COM_N_2012!$B$60,$AW198,SUMIF($B$10:$B$16,"NCAP_TLIFE",$AX$10:$AX$16)),0,""))</f>
        <v/>
      </c>
      <c r="AL198" s="369" t="str">
        <f ca="1">IF($B198&lt;&gt;"PRC_RESID","",IF(AL$7=2005+OFFSET(COM_N_2012!$B$60,$AW198,SUMIF($B$10:$B$16,"NCAP_TLIFE",$AX$10:$AX$16)),0,""))</f>
        <v/>
      </c>
      <c r="AM198" s="369" t="str">
        <f ca="1">IF($B198&lt;&gt;"PRC_RESID","",IF(AM$7=2005+OFFSET(COM_N_2012!$B$60,$AW198,SUMIF($B$10:$B$16,"NCAP_TLIFE",$AX$10:$AX$16)),0,""))</f>
        <v/>
      </c>
      <c r="AN198" s="369" t="str">
        <f ca="1">IF($B198&lt;&gt;"PRC_RESID","",IF(AN$7=2005+OFFSET(COM_N_2012!$B$60,$AW198,SUMIF($B$10:$B$16,"NCAP_TLIFE",$AX$10:$AX$16)),0,""))</f>
        <v/>
      </c>
      <c r="AO198" s="369" t="str">
        <f ca="1">IF($B198&lt;&gt;"PRC_RESID","",IF(AO$7=2005+OFFSET(COM_N_2012!$B$60,$AW198,SUMIF($B$10:$B$16,"NCAP_TLIFE",$AX$10:$AX$16)),0,""))</f>
        <v/>
      </c>
      <c r="AP198" s="369" t="str">
        <f ca="1">IF($B198&lt;&gt;"PRC_RESID","",IF(AP$7=2005+OFFSET(COM_N_2012!$B$60,$AW198,SUMIF($B$10:$B$16,"NCAP_TLIFE",$AX$10:$AX$16)),0,""))</f>
        <v/>
      </c>
      <c r="AQ198" s="369" t="str">
        <f ca="1">IF($B198&lt;&gt;"PRC_RESID","",IF(AQ$7=2005+OFFSET(COM_N_2012!$B$60,$AW198,SUMIF($B$10:$B$16,"NCAP_TLIFE",$AX$10:$AX$16)),0,""))</f>
        <v/>
      </c>
      <c r="AR198" s="369" t="str">
        <f ca="1">IF($B198&lt;&gt;"PRC_RESID","",IF(AR$7=2005+OFFSET(COM_N_2012!$B$60,$AW198,SUMIF($B$10:$B$16,"NCAP_TLIFE",$AX$10:$AX$16)),0,""))</f>
        <v/>
      </c>
      <c r="AS198" s="369" t="str">
        <f ca="1">IF($B198&lt;&gt;"PRC_RESID","",IF(AS$7=2005+OFFSET(COM_N_2012!$B$60,$AW198,SUMIF($B$10:$B$16,"NCAP_TLIFE",$AX$10:$AX$16)),0,""))</f>
        <v/>
      </c>
      <c r="AT198" s="369" t="str">
        <f ca="1">IF($B198&lt;&gt;"PRC_RESID","",IF(AT$7=2005+OFFSET(COM_N_2012!$B$60,$AW198,SUMIF($B$10:$B$16,"NCAP_TLIFE",$AX$10:$AX$16)),0,""))</f>
        <v/>
      </c>
      <c r="AU198" s="369" t="str">
        <f ca="1">IF($B198&lt;&gt;"PRC_RESID","",IF(AU$7=2005+OFFSET(COM_N_2012!$B$60,$AW198,SUMIF($B$10:$B$16,"NCAP_TLIFE",$AX$10:$AX$16)),0,""))</f>
        <v/>
      </c>
      <c r="AV198" s="304">
        <f>IF(AW197=COM_N_2012!$AK$121,AV197+1,AV197)</f>
        <v>3</v>
      </c>
      <c r="AW198" s="304">
        <f t="shared" si="20"/>
        <v>59</v>
      </c>
    </row>
    <row r="199" spans="1:49">
      <c r="A199" s="304" t="str">
        <f ca="1">IF(LEFT(OFFSET(COM_N_2012!$A$60,AW199,0),2)="\I","*","")</f>
        <v>*</v>
      </c>
      <c r="B199" s="369" t="str">
        <f t="shared" ca="1" si="19"/>
        <v/>
      </c>
      <c r="C199" s="369" t="str">
        <f ca="1">IF($A199="*","",OFFSET(COM_N_2012!$B$60,AW199,0))</f>
        <v/>
      </c>
      <c r="D199" s="369" t="str">
        <f t="shared" ca="1" si="26"/>
        <v/>
      </c>
      <c r="E199" s="369" t="str">
        <f t="shared" ca="1" si="26"/>
        <v/>
      </c>
      <c r="F199" s="369" t="str">
        <f t="shared" ca="1" si="26"/>
        <v/>
      </c>
      <c r="G199" s="369" t="str">
        <f t="shared" ca="1" si="26"/>
        <v/>
      </c>
      <c r="H199" s="369" t="str">
        <f t="shared" ca="1" si="26"/>
        <v/>
      </c>
      <c r="I199" s="370" t="str">
        <f t="shared" ca="1" si="26"/>
        <v/>
      </c>
      <c r="J199" s="391" t="str">
        <f ca="1">IF($A199="*","",OFFSET(COM_N_2012!$B$60,AW199,SUMIF($B$10:$B$16,B199,$AX$10:$AX$16)))</f>
        <v/>
      </c>
      <c r="K199" s="369" t="str">
        <f ca="1">IF($B199&lt;&gt;"PRC_RESID","",IF(K$7=2005+OFFSET(COM_N_2012!$B$60,$AW199,SUMIF($B$10:$B$16,"NCAP_TLIFE",$AX$10:$AX$16)),0,""))</f>
        <v/>
      </c>
      <c r="L199" s="369" t="str">
        <f ca="1">IF($B199&lt;&gt;"PRC_RESID","",IF(L$7=2005+OFFSET(COM_N_2012!$B$60,$AW199,SUMIF($B$10:$B$16,"NCAP_TLIFE",$AX$10:$AX$16)),0,""))</f>
        <v/>
      </c>
      <c r="M199" s="369" t="str">
        <f ca="1">IF($B199&lt;&gt;"PRC_RESID","",IF(M$7=2005+OFFSET(COM_N_2012!$B$60,$AW199,SUMIF($B$10:$B$16,"NCAP_TLIFE",$AX$10:$AX$16)),0,""))</f>
        <v/>
      </c>
      <c r="N199" s="369" t="str">
        <f ca="1">IF($B199&lt;&gt;"PRC_RESID","",IF(N$7=2005+OFFSET(COM_N_2012!$B$60,$AW199,SUMIF($B$10:$B$16,"NCAP_TLIFE",$AX$10:$AX$16)),0,""))</f>
        <v/>
      </c>
      <c r="O199" s="369" t="str">
        <f ca="1">IF($B199&lt;&gt;"PRC_RESID","",IF(O$7=2005+OFFSET(COM_N_2012!$B$60,$AW199,SUMIF($B$10:$B$16,"NCAP_TLIFE",$AX$10:$AX$16)),0,""))</f>
        <v/>
      </c>
      <c r="P199" s="369" t="str">
        <f ca="1">IF($B199&lt;&gt;"PRC_RESID","",IF(P$7=2005+OFFSET(COM_N_2012!$B$60,$AW199,SUMIF($B$10:$B$16,"NCAP_TLIFE",$AX$10:$AX$16)),0,""))</f>
        <v/>
      </c>
      <c r="Q199" s="369" t="str">
        <f ca="1">IF($B199&lt;&gt;"PRC_RESID","",IF(Q$7=2005+OFFSET(COM_N_2012!$B$60,$AW199,SUMIF($B$10:$B$16,"NCAP_TLIFE",$AX$10:$AX$16)),0,""))</f>
        <v/>
      </c>
      <c r="R199" s="369" t="str">
        <f ca="1">IF($B199&lt;&gt;"PRC_RESID","",IF(R$7=2005+OFFSET(COM_N_2012!$B$60,$AW199,SUMIF($B$10:$B$16,"NCAP_TLIFE",$AX$10:$AX$16)),0,""))</f>
        <v/>
      </c>
      <c r="S199" s="369" t="str">
        <f ca="1">IF($B199&lt;&gt;"PRC_RESID","",IF(S$7=2005+OFFSET(COM_N_2012!$B$60,$AW199,SUMIF($B$10:$B$16,"NCAP_TLIFE",$AX$10:$AX$16)),0,""))</f>
        <v/>
      </c>
      <c r="T199" s="369" t="str">
        <f ca="1">IF($B199&lt;&gt;"PRC_RESID","",IF(T$7=2005+OFFSET(COM_N_2012!$B$60,$AW199,SUMIF($B$10:$B$16,"NCAP_TLIFE",$AX$10:$AX$16)),0,""))</f>
        <v/>
      </c>
      <c r="U199" s="369" t="str">
        <f ca="1">IF($B199&lt;&gt;"PRC_RESID","",IF(U$7=2005+OFFSET(COM_N_2012!$B$60,$AW199,SUMIF($B$10:$B$16,"NCAP_TLIFE",$AX$10:$AX$16)),0,""))</f>
        <v/>
      </c>
      <c r="V199" s="369" t="str">
        <f ca="1">IF($B199&lt;&gt;"PRC_RESID","",IF(V$7=2005+OFFSET(COM_N_2012!$B$60,$AW199,SUMIF($B$10:$B$16,"NCAP_TLIFE",$AX$10:$AX$16)),0,""))</f>
        <v/>
      </c>
      <c r="W199" s="369" t="str">
        <f ca="1">IF($B199&lt;&gt;"PRC_RESID","",IF(W$7=2005+OFFSET(COM_N_2012!$B$60,$AW199,SUMIF($B$10:$B$16,"NCAP_TLIFE",$AX$10:$AX$16)),0,""))</f>
        <v/>
      </c>
      <c r="X199" s="369" t="str">
        <f ca="1">IF($B199&lt;&gt;"PRC_RESID","",IF(X$7=2005+OFFSET(COM_N_2012!$B$60,$AW199,SUMIF($B$10:$B$16,"NCAP_TLIFE",$AX$10:$AX$16)),0,""))</f>
        <v/>
      </c>
      <c r="Y199" s="369" t="str">
        <f ca="1">IF($B199&lt;&gt;"PRC_RESID","",IF(Y$7=2005+OFFSET(COM_N_2012!$B$60,$AW199,SUMIF($B$10:$B$16,"NCAP_TLIFE",$AX$10:$AX$16)),0,""))</f>
        <v/>
      </c>
      <c r="Z199" s="369" t="str">
        <f ca="1">IF($B199&lt;&gt;"PRC_RESID","",IF(Z$7=2005+OFFSET(COM_N_2012!$B$60,$AW199,SUMIF($B$10:$B$16,"NCAP_TLIFE",$AX$10:$AX$16)),0,""))</f>
        <v/>
      </c>
      <c r="AA199" s="369" t="str">
        <f ca="1">IF($B199&lt;&gt;"PRC_RESID","",IF(AA$7=2005+OFFSET(COM_N_2012!$B$60,$AW199,SUMIF($B$10:$B$16,"NCAP_TLIFE",$AX$10:$AX$16)),0,""))</f>
        <v/>
      </c>
      <c r="AB199" s="369" t="str">
        <f ca="1">IF($B199&lt;&gt;"PRC_RESID","",IF(AB$7=2005+OFFSET(COM_N_2012!$B$60,$AW199,SUMIF($B$10:$B$16,"NCAP_TLIFE",$AX$10:$AX$16)),0,""))</f>
        <v/>
      </c>
      <c r="AC199" s="369" t="str">
        <f ca="1">IF($B199&lt;&gt;"PRC_RESID","",IF(AC$7=2005+OFFSET(COM_N_2012!$B$60,$AW199,SUMIF($B$10:$B$16,"NCAP_TLIFE",$AX$10:$AX$16)),0,""))</f>
        <v/>
      </c>
      <c r="AD199" s="369" t="str">
        <f ca="1">IF($B199&lt;&gt;"PRC_RESID","",IF(AD$7=2005+OFFSET(COM_N_2012!$B$60,$AW199,SUMIF($B$10:$B$16,"NCAP_TLIFE",$AX$10:$AX$16)),0,""))</f>
        <v/>
      </c>
      <c r="AE199" s="369" t="str">
        <f ca="1">IF($B199&lt;&gt;"PRC_RESID","",IF(AE$7=2005+OFFSET(COM_N_2012!$B$60,$AW199,SUMIF($B$10:$B$16,"NCAP_TLIFE",$AX$10:$AX$16)),0,""))</f>
        <v/>
      </c>
      <c r="AF199" s="369" t="str">
        <f ca="1">IF($B199&lt;&gt;"PRC_RESID","",IF(AF$7=2005+OFFSET(COM_N_2012!$B$60,$AW199,SUMIF($B$10:$B$16,"NCAP_TLIFE",$AX$10:$AX$16)),0,""))</f>
        <v/>
      </c>
      <c r="AG199" s="369" t="str">
        <f ca="1">IF($B199&lt;&gt;"PRC_RESID","",IF(AG$7=2005+OFFSET(COM_N_2012!$B$60,$AW199,SUMIF($B$10:$B$16,"NCAP_TLIFE",$AX$10:$AX$16)),0,""))</f>
        <v/>
      </c>
      <c r="AH199" s="369" t="str">
        <f ca="1">IF($B199&lt;&gt;"PRC_RESID","",IF(AH$7=2005+OFFSET(COM_N_2012!$B$60,$AW199,SUMIF($B$10:$B$16,"NCAP_TLIFE",$AX$10:$AX$16)),0,""))</f>
        <v/>
      </c>
      <c r="AI199" s="369" t="str">
        <f ca="1">IF($B199&lt;&gt;"PRC_RESID","",IF(AI$7=2005+OFFSET(COM_N_2012!$B$60,$AW199,SUMIF($B$10:$B$16,"NCAP_TLIFE",$AX$10:$AX$16)),0,""))</f>
        <v/>
      </c>
      <c r="AJ199" s="369" t="str">
        <f ca="1">IF($B199&lt;&gt;"PRC_RESID","",IF(AJ$7=2005+OFFSET(COM_N_2012!$B$60,$AW199,SUMIF($B$10:$B$16,"NCAP_TLIFE",$AX$10:$AX$16)),0,""))</f>
        <v/>
      </c>
      <c r="AK199" s="369" t="str">
        <f ca="1">IF($B199&lt;&gt;"PRC_RESID","",IF(AK$7=2005+OFFSET(COM_N_2012!$B$60,$AW199,SUMIF($B$10:$B$16,"NCAP_TLIFE",$AX$10:$AX$16)),0,""))</f>
        <v/>
      </c>
      <c r="AL199" s="369" t="str">
        <f ca="1">IF($B199&lt;&gt;"PRC_RESID","",IF(AL$7=2005+OFFSET(COM_N_2012!$B$60,$AW199,SUMIF($B$10:$B$16,"NCAP_TLIFE",$AX$10:$AX$16)),0,""))</f>
        <v/>
      </c>
      <c r="AM199" s="369" t="str">
        <f ca="1">IF($B199&lt;&gt;"PRC_RESID","",IF(AM$7=2005+OFFSET(COM_N_2012!$B$60,$AW199,SUMIF($B$10:$B$16,"NCAP_TLIFE",$AX$10:$AX$16)),0,""))</f>
        <v/>
      </c>
      <c r="AN199" s="369" t="str">
        <f ca="1">IF($B199&lt;&gt;"PRC_RESID","",IF(AN$7=2005+OFFSET(COM_N_2012!$B$60,$AW199,SUMIF($B$10:$B$16,"NCAP_TLIFE",$AX$10:$AX$16)),0,""))</f>
        <v/>
      </c>
      <c r="AO199" s="369" t="str">
        <f ca="1">IF($B199&lt;&gt;"PRC_RESID","",IF(AO$7=2005+OFFSET(COM_N_2012!$B$60,$AW199,SUMIF($B$10:$B$16,"NCAP_TLIFE",$AX$10:$AX$16)),0,""))</f>
        <v/>
      </c>
      <c r="AP199" s="369" t="str">
        <f ca="1">IF($B199&lt;&gt;"PRC_RESID","",IF(AP$7=2005+OFFSET(COM_N_2012!$B$60,$AW199,SUMIF($B$10:$B$16,"NCAP_TLIFE",$AX$10:$AX$16)),0,""))</f>
        <v/>
      </c>
      <c r="AQ199" s="369" t="str">
        <f ca="1">IF($B199&lt;&gt;"PRC_RESID","",IF(AQ$7=2005+OFFSET(COM_N_2012!$B$60,$AW199,SUMIF($B$10:$B$16,"NCAP_TLIFE",$AX$10:$AX$16)),0,""))</f>
        <v/>
      </c>
      <c r="AR199" s="369" t="str">
        <f ca="1">IF($B199&lt;&gt;"PRC_RESID","",IF(AR$7=2005+OFFSET(COM_N_2012!$B$60,$AW199,SUMIF($B$10:$B$16,"NCAP_TLIFE",$AX$10:$AX$16)),0,""))</f>
        <v/>
      </c>
      <c r="AS199" s="369" t="str">
        <f ca="1">IF($B199&lt;&gt;"PRC_RESID","",IF(AS$7=2005+OFFSET(COM_N_2012!$B$60,$AW199,SUMIF($B$10:$B$16,"NCAP_TLIFE",$AX$10:$AX$16)),0,""))</f>
        <v/>
      </c>
      <c r="AT199" s="369" t="str">
        <f ca="1">IF($B199&lt;&gt;"PRC_RESID","",IF(AT$7=2005+OFFSET(COM_N_2012!$B$60,$AW199,SUMIF($B$10:$B$16,"NCAP_TLIFE",$AX$10:$AX$16)),0,""))</f>
        <v/>
      </c>
      <c r="AU199" s="369" t="str">
        <f ca="1">IF($B199&lt;&gt;"PRC_RESID","",IF(AU$7=2005+OFFSET(COM_N_2012!$B$60,$AW199,SUMIF($B$10:$B$16,"NCAP_TLIFE",$AX$10:$AX$16)),0,""))</f>
        <v/>
      </c>
      <c r="AV199" s="304">
        <f>IF(AW198=COM_N_2012!$AK$121,AV198+1,AV198)</f>
        <v>3</v>
      </c>
      <c r="AW199" s="304">
        <f t="shared" si="20"/>
        <v>60</v>
      </c>
    </row>
    <row r="200" spans="1:49">
      <c r="A200" s="304" t="str">
        <f ca="1">IF(LEFT(OFFSET(COM_N_2012!$A$60,AW200,0),2)="\I","*","")</f>
        <v>*</v>
      </c>
      <c r="B200" s="369" t="str">
        <f t="shared" ca="1" si="19"/>
        <v/>
      </c>
      <c r="C200" s="369" t="str">
        <f ca="1">IF($A200="*","",OFFSET(COM_N_2012!$B$60,AW200,0))</f>
        <v/>
      </c>
      <c r="D200" s="369" t="str">
        <f t="shared" ca="1" si="26"/>
        <v/>
      </c>
      <c r="E200" s="369" t="str">
        <f t="shared" ca="1" si="26"/>
        <v/>
      </c>
      <c r="F200" s="369" t="str">
        <f t="shared" ca="1" si="26"/>
        <v/>
      </c>
      <c r="G200" s="369" t="str">
        <f t="shared" ca="1" si="26"/>
        <v/>
      </c>
      <c r="H200" s="369" t="str">
        <f t="shared" ca="1" si="26"/>
        <v/>
      </c>
      <c r="I200" s="370" t="str">
        <f t="shared" ca="1" si="26"/>
        <v/>
      </c>
      <c r="J200" s="391" t="str">
        <f ca="1">IF($A200="*","",OFFSET(COM_N_2012!$B$60,AW200,SUMIF($B$10:$B$16,B200,$AX$10:$AX$16)))</f>
        <v/>
      </c>
      <c r="K200" s="369" t="str">
        <f ca="1">IF($B200&lt;&gt;"PRC_RESID","",IF(K$7=2005+OFFSET(COM_N_2012!$B$60,$AW200,SUMIF($B$10:$B$16,"NCAP_TLIFE",$AX$10:$AX$16)),0,""))</f>
        <v/>
      </c>
      <c r="L200" s="369" t="str">
        <f ca="1">IF($B200&lt;&gt;"PRC_RESID","",IF(L$7=2005+OFFSET(COM_N_2012!$B$60,$AW200,SUMIF($B$10:$B$16,"NCAP_TLIFE",$AX$10:$AX$16)),0,""))</f>
        <v/>
      </c>
      <c r="M200" s="369" t="str">
        <f ca="1">IF($B200&lt;&gt;"PRC_RESID","",IF(M$7=2005+OFFSET(COM_N_2012!$B$60,$AW200,SUMIF($B$10:$B$16,"NCAP_TLIFE",$AX$10:$AX$16)),0,""))</f>
        <v/>
      </c>
      <c r="N200" s="369" t="str">
        <f ca="1">IF($B200&lt;&gt;"PRC_RESID","",IF(N$7=2005+OFFSET(COM_N_2012!$B$60,$AW200,SUMIF($B$10:$B$16,"NCAP_TLIFE",$AX$10:$AX$16)),0,""))</f>
        <v/>
      </c>
      <c r="O200" s="369" t="str">
        <f ca="1">IF($B200&lt;&gt;"PRC_RESID","",IF(O$7=2005+OFFSET(COM_N_2012!$B$60,$AW200,SUMIF($B$10:$B$16,"NCAP_TLIFE",$AX$10:$AX$16)),0,""))</f>
        <v/>
      </c>
      <c r="P200" s="369" t="str">
        <f ca="1">IF($B200&lt;&gt;"PRC_RESID","",IF(P$7=2005+OFFSET(COM_N_2012!$B$60,$AW200,SUMIF($B$10:$B$16,"NCAP_TLIFE",$AX$10:$AX$16)),0,""))</f>
        <v/>
      </c>
      <c r="Q200" s="369" t="str">
        <f ca="1">IF($B200&lt;&gt;"PRC_RESID","",IF(Q$7=2005+OFFSET(COM_N_2012!$B$60,$AW200,SUMIF($B$10:$B$16,"NCAP_TLIFE",$AX$10:$AX$16)),0,""))</f>
        <v/>
      </c>
      <c r="R200" s="369" t="str">
        <f ca="1">IF($B200&lt;&gt;"PRC_RESID","",IF(R$7=2005+OFFSET(COM_N_2012!$B$60,$AW200,SUMIF($B$10:$B$16,"NCAP_TLIFE",$AX$10:$AX$16)),0,""))</f>
        <v/>
      </c>
      <c r="S200" s="369" t="str">
        <f ca="1">IF($B200&lt;&gt;"PRC_RESID","",IF(S$7=2005+OFFSET(COM_N_2012!$B$60,$AW200,SUMIF($B$10:$B$16,"NCAP_TLIFE",$AX$10:$AX$16)),0,""))</f>
        <v/>
      </c>
      <c r="T200" s="369" t="str">
        <f ca="1">IF($B200&lt;&gt;"PRC_RESID","",IF(T$7=2005+OFFSET(COM_N_2012!$B$60,$AW200,SUMIF($B$10:$B$16,"NCAP_TLIFE",$AX$10:$AX$16)),0,""))</f>
        <v/>
      </c>
      <c r="U200" s="369" t="str">
        <f ca="1">IF($B200&lt;&gt;"PRC_RESID","",IF(U$7=2005+OFFSET(COM_N_2012!$B$60,$AW200,SUMIF($B$10:$B$16,"NCAP_TLIFE",$AX$10:$AX$16)),0,""))</f>
        <v/>
      </c>
      <c r="V200" s="369" t="str">
        <f ca="1">IF($B200&lt;&gt;"PRC_RESID","",IF(V$7=2005+OFFSET(COM_N_2012!$B$60,$AW200,SUMIF($B$10:$B$16,"NCAP_TLIFE",$AX$10:$AX$16)),0,""))</f>
        <v/>
      </c>
      <c r="W200" s="369" t="str">
        <f ca="1">IF($B200&lt;&gt;"PRC_RESID","",IF(W$7=2005+OFFSET(COM_N_2012!$B$60,$AW200,SUMIF($B$10:$B$16,"NCAP_TLIFE",$AX$10:$AX$16)),0,""))</f>
        <v/>
      </c>
      <c r="X200" s="369" t="str">
        <f ca="1">IF($B200&lt;&gt;"PRC_RESID","",IF(X$7=2005+OFFSET(COM_N_2012!$B$60,$AW200,SUMIF($B$10:$B$16,"NCAP_TLIFE",$AX$10:$AX$16)),0,""))</f>
        <v/>
      </c>
      <c r="Y200" s="369" t="str">
        <f ca="1">IF($B200&lt;&gt;"PRC_RESID","",IF(Y$7=2005+OFFSET(COM_N_2012!$B$60,$AW200,SUMIF($B$10:$B$16,"NCAP_TLIFE",$AX$10:$AX$16)),0,""))</f>
        <v/>
      </c>
      <c r="Z200" s="369" t="str">
        <f ca="1">IF($B200&lt;&gt;"PRC_RESID","",IF(Z$7=2005+OFFSET(COM_N_2012!$B$60,$AW200,SUMIF($B$10:$B$16,"NCAP_TLIFE",$AX$10:$AX$16)),0,""))</f>
        <v/>
      </c>
      <c r="AA200" s="369" t="str">
        <f ca="1">IF($B200&lt;&gt;"PRC_RESID","",IF(AA$7=2005+OFFSET(COM_N_2012!$B$60,$AW200,SUMIF($B$10:$B$16,"NCAP_TLIFE",$AX$10:$AX$16)),0,""))</f>
        <v/>
      </c>
      <c r="AB200" s="369" t="str">
        <f ca="1">IF($B200&lt;&gt;"PRC_RESID","",IF(AB$7=2005+OFFSET(COM_N_2012!$B$60,$AW200,SUMIF($B$10:$B$16,"NCAP_TLIFE",$AX$10:$AX$16)),0,""))</f>
        <v/>
      </c>
      <c r="AC200" s="369" t="str">
        <f ca="1">IF($B200&lt;&gt;"PRC_RESID","",IF(AC$7=2005+OFFSET(COM_N_2012!$B$60,$AW200,SUMIF($B$10:$B$16,"NCAP_TLIFE",$AX$10:$AX$16)),0,""))</f>
        <v/>
      </c>
      <c r="AD200" s="369" t="str">
        <f ca="1">IF($B200&lt;&gt;"PRC_RESID","",IF(AD$7=2005+OFFSET(COM_N_2012!$B$60,$AW200,SUMIF($B$10:$B$16,"NCAP_TLIFE",$AX$10:$AX$16)),0,""))</f>
        <v/>
      </c>
      <c r="AE200" s="369" t="str">
        <f ca="1">IF($B200&lt;&gt;"PRC_RESID","",IF(AE$7=2005+OFFSET(COM_N_2012!$B$60,$AW200,SUMIF($B$10:$B$16,"NCAP_TLIFE",$AX$10:$AX$16)),0,""))</f>
        <v/>
      </c>
      <c r="AF200" s="369" t="str">
        <f ca="1">IF($B200&lt;&gt;"PRC_RESID","",IF(AF$7=2005+OFFSET(COM_N_2012!$B$60,$AW200,SUMIF($B$10:$B$16,"NCAP_TLIFE",$AX$10:$AX$16)),0,""))</f>
        <v/>
      </c>
      <c r="AG200" s="369" t="str">
        <f ca="1">IF($B200&lt;&gt;"PRC_RESID","",IF(AG$7=2005+OFFSET(COM_N_2012!$B$60,$AW200,SUMIF($B$10:$B$16,"NCAP_TLIFE",$AX$10:$AX$16)),0,""))</f>
        <v/>
      </c>
      <c r="AH200" s="369" t="str">
        <f ca="1">IF($B200&lt;&gt;"PRC_RESID","",IF(AH$7=2005+OFFSET(COM_N_2012!$B$60,$AW200,SUMIF($B$10:$B$16,"NCAP_TLIFE",$AX$10:$AX$16)),0,""))</f>
        <v/>
      </c>
      <c r="AI200" s="369" t="str">
        <f ca="1">IF($B200&lt;&gt;"PRC_RESID","",IF(AI$7=2005+OFFSET(COM_N_2012!$B$60,$AW200,SUMIF($B$10:$B$16,"NCAP_TLIFE",$AX$10:$AX$16)),0,""))</f>
        <v/>
      </c>
      <c r="AJ200" s="369" t="str">
        <f ca="1">IF($B200&lt;&gt;"PRC_RESID","",IF(AJ$7=2005+OFFSET(COM_N_2012!$B$60,$AW200,SUMIF($B$10:$B$16,"NCAP_TLIFE",$AX$10:$AX$16)),0,""))</f>
        <v/>
      </c>
      <c r="AK200" s="369" t="str">
        <f ca="1">IF($B200&lt;&gt;"PRC_RESID","",IF(AK$7=2005+OFFSET(COM_N_2012!$B$60,$AW200,SUMIF($B$10:$B$16,"NCAP_TLIFE",$AX$10:$AX$16)),0,""))</f>
        <v/>
      </c>
      <c r="AL200" s="369" t="str">
        <f ca="1">IF($B200&lt;&gt;"PRC_RESID","",IF(AL$7=2005+OFFSET(COM_N_2012!$B$60,$AW200,SUMIF($B$10:$B$16,"NCAP_TLIFE",$AX$10:$AX$16)),0,""))</f>
        <v/>
      </c>
      <c r="AM200" s="369" t="str">
        <f ca="1">IF($B200&lt;&gt;"PRC_RESID","",IF(AM$7=2005+OFFSET(COM_N_2012!$B$60,$AW200,SUMIF($B$10:$B$16,"NCAP_TLIFE",$AX$10:$AX$16)),0,""))</f>
        <v/>
      </c>
      <c r="AN200" s="369" t="str">
        <f ca="1">IF($B200&lt;&gt;"PRC_RESID","",IF(AN$7=2005+OFFSET(COM_N_2012!$B$60,$AW200,SUMIF($B$10:$B$16,"NCAP_TLIFE",$AX$10:$AX$16)),0,""))</f>
        <v/>
      </c>
      <c r="AO200" s="369" t="str">
        <f ca="1">IF($B200&lt;&gt;"PRC_RESID","",IF(AO$7=2005+OFFSET(COM_N_2012!$B$60,$AW200,SUMIF($B$10:$B$16,"NCAP_TLIFE",$AX$10:$AX$16)),0,""))</f>
        <v/>
      </c>
      <c r="AP200" s="369" t="str">
        <f ca="1">IF($B200&lt;&gt;"PRC_RESID","",IF(AP$7=2005+OFFSET(COM_N_2012!$B$60,$AW200,SUMIF($B$10:$B$16,"NCAP_TLIFE",$AX$10:$AX$16)),0,""))</f>
        <v/>
      </c>
      <c r="AQ200" s="369" t="str">
        <f ca="1">IF($B200&lt;&gt;"PRC_RESID","",IF(AQ$7=2005+OFFSET(COM_N_2012!$B$60,$AW200,SUMIF($B$10:$B$16,"NCAP_TLIFE",$AX$10:$AX$16)),0,""))</f>
        <v/>
      </c>
      <c r="AR200" s="369" t="str">
        <f ca="1">IF($B200&lt;&gt;"PRC_RESID","",IF(AR$7=2005+OFFSET(COM_N_2012!$B$60,$AW200,SUMIF($B$10:$B$16,"NCAP_TLIFE",$AX$10:$AX$16)),0,""))</f>
        <v/>
      </c>
      <c r="AS200" s="369" t="str">
        <f ca="1">IF($B200&lt;&gt;"PRC_RESID","",IF(AS$7=2005+OFFSET(COM_N_2012!$B$60,$AW200,SUMIF($B$10:$B$16,"NCAP_TLIFE",$AX$10:$AX$16)),0,""))</f>
        <v/>
      </c>
      <c r="AT200" s="369" t="str">
        <f ca="1">IF($B200&lt;&gt;"PRC_RESID","",IF(AT$7=2005+OFFSET(COM_N_2012!$B$60,$AW200,SUMIF($B$10:$B$16,"NCAP_TLIFE",$AX$10:$AX$16)),0,""))</f>
        <v/>
      </c>
      <c r="AU200" s="369" t="str">
        <f ca="1">IF($B200&lt;&gt;"PRC_RESID","",IF(AU$7=2005+OFFSET(COM_N_2012!$B$60,$AW200,SUMIF($B$10:$B$16,"NCAP_TLIFE",$AX$10:$AX$16)),0,""))</f>
        <v/>
      </c>
      <c r="AV200" s="304">
        <f>IF(AW199=COM_N_2012!$AK$121,AV199+1,AV199)</f>
        <v>3</v>
      </c>
      <c r="AW200" s="304">
        <f t="shared" si="20"/>
        <v>61</v>
      </c>
    </row>
    <row r="201" spans="1:49">
      <c r="A201" s="304" t="str">
        <f ca="1">IF(LEFT(OFFSET(COM_N_2012!$A$60,AW201,0),2)="\I","*","")</f>
        <v/>
      </c>
      <c r="B201" s="369" t="str">
        <f t="shared" ca="1" si="19"/>
        <v>NCAP_COST</v>
      </c>
      <c r="C201" s="369" t="str">
        <f ca="1">IF($A201="*","",OFFSET(COM_N_2012!$B$60,AW201,0))</f>
        <v>CNCELCCHIL-E</v>
      </c>
      <c r="D201" s="369" t="str">
        <f t="shared" ca="1" si="26"/>
        <v>-</v>
      </c>
      <c r="E201" s="369" t="str">
        <f t="shared" ca="1" si="26"/>
        <v>-</v>
      </c>
      <c r="F201" s="369" t="str">
        <f t="shared" ca="1" si="26"/>
        <v>-</v>
      </c>
      <c r="G201" s="369" t="str">
        <f t="shared" ca="1" si="26"/>
        <v>-</v>
      </c>
      <c r="H201" s="369" t="str">
        <f t="shared" ca="1" si="26"/>
        <v>-</v>
      </c>
      <c r="I201" s="370">
        <f t="shared" ca="1" si="26"/>
        <v>0</v>
      </c>
      <c r="J201" s="391">
        <f ca="1">IF($A201="*","",OFFSET(COM_N_2012!$B$60,AW201,SUMIF($B$10:$B$16,B201,$AX$10:$AX$16)))</f>
        <v>54.310780405383028</v>
      </c>
      <c r="K201" s="369" t="str">
        <f ca="1">IF($B201&lt;&gt;"PRC_RESID","",IF(K$7=2005+OFFSET(COM_N_2012!$B$60,$AW201,SUMIF($B$10:$B$16,"NCAP_TLIFE",$AX$10:$AX$16)),0,""))</f>
        <v/>
      </c>
      <c r="L201" s="369" t="str">
        <f ca="1">IF($B201&lt;&gt;"PRC_RESID","",IF(L$7=2005+OFFSET(COM_N_2012!$B$60,$AW201,SUMIF($B$10:$B$16,"NCAP_TLIFE",$AX$10:$AX$16)),0,""))</f>
        <v/>
      </c>
      <c r="M201" s="369" t="str">
        <f ca="1">IF($B201&lt;&gt;"PRC_RESID","",IF(M$7=2005+OFFSET(COM_N_2012!$B$60,$AW201,SUMIF($B$10:$B$16,"NCAP_TLIFE",$AX$10:$AX$16)),0,""))</f>
        <v/>
      </c>
      <c r="N201" s="369" t="str">
        <f ca="1">IF($B201&lt;&gt;"PRC_RESID","",IF(N$7=2005+OFFSET(COM_N_2012!$B$60,$AW201,SUMIF($B$10:$B$16,"NCAP_TLIFE",$AX$10:$AX$16)),0,""))</f>
        <v/>
      </c>
      <c r="O201" s="369" t="str">
        <f ca="1">IF($B201&lt;&gt;"PRC_RESID","",IF(O$7=2005+OFFSET(COM_N_2012!$B$60,$AW201,SUMIF($B$10:$B$16,"NCAP_TLIFE",$AX$10:$AX$16)),0,""))</f>
        <v/>
      </c>
      <c r="P201" s="369" t="str">
        <f ca="1">IF($B201&lt;&gt;"PRC_RESID","",IF(P$7=2005+OFFSET(COM_N_2012!$B$60,$AW201,SUMIF($B$10:$B$16,"NCAP_TLIFE",$AX$10:$AX$16)),0,""))</f>
        <v/>
      </c>
      <c r="Q201" s="369" t="str">
        <f ca="1">IF($B201&lt;&gt;"PRC_RESID","",IF(Q$7=2005+OFFSET(COM_N_2012!$B$60,$AW201,SUMIF($B$10:$B$16,"NCAP_TLIFE",$AX$10:$AX$16)),0,""))</f>
        <v/>
      </c>
      <c r="R201" s="369" t="str">
        <f ca="1">IF($B201&lt;&gt;"PRC_RESID","",IF(R$7=2005+OFFSET(COM_N_2012!$B$60,$AW201,SUMIF($B$10:$B$16,"NCAP_TLIFE",$AX$10:$AX$16)),0,""))</f>
        <v/>
      </c>
      <c r="S201" s="369" t="str">
        <f ca="1">IF($B201&lt;&gt;"PRC_RESID","",IF(S$7=2005+OFFSET(COM_N_2012!$B$60,$AW201,SUMIF($B$10:$B$16,"NCAP_TLIFE",$AX$10:$AX$16)),0,""))</f>
        <v/>
      </c>
      <c r="T201" s="369" t="str">
        <f ca="1">IF($B201&lt;&gt;"PRC_RESID","",IF(T$7=2005+OFFSET(COM_N_2012!$B$60,$AW201,SUMIF($B$10:$B$16,"NCAP_TLIFE",$AX$10:$AX$16)),0,""))</f>
        <v/>
      </c>
      <c r="U201" s="369" t="str">
        <f ca="1">IF($B201&lt;&gt;"PRC_RESID","",IF(U$7=2005+OFFSET(COM_N_2012!$B$60,$AW201,SUMIF($B$10:$B$16,"NCAP_TLIFE",$AX$10:$AX$16)),0,""))</f>
        <v/>
      </c>
      <c r="V201" s="369" t="str">
        <f ca="1">IF($B201&lt;&gt;"PRC_RESID","",IF(V$7=2005+OFFSET(COM_N_2012!$B$60,$AW201,SUMIF($B$10:$B$16,"NCAP_TLIFE",$AX$10:$AX$16)),0,""))</f>
        <v/>
      </c>
      <c r="W201" s="369" t="str">
        <f ca="1">IF($B201&lt;&gt;"PRC_RESID","",IF(W$7=2005+OFFSET(COM_N_2012!$B$60,$AW201,SUMIF($B$10:$B$16,"NCAP_TLIFE",$AX$10:$AX$16)),0,""))</f>
        <v/>
      </c>
      <c r="X201" s="369" t="str">
        <f ca="1">IF($B201&lt;&gt;"PRC_RESID","",IF(X$7=2005+OFFSET(COM_N_2012!$B$60,$AW201,SUMIF($B$10:$B$16,"NCAP_TLIFE",$AX$10:$AX$16)),0,""))</f>
        <v/>
      </c>
      <c r="Y201" s="369" t="str">
        <f ca="1">IF($B201&lt;&gt;"PRC_RESID","",IF(Y$7=2005+OFFSET(COM_N_2012!$B$60,$AW201,SUMIF($B$10:$B$16,"NCAP_TLIFE",$AX$10:$AX$16)),0,""))</f>
        <v/>
      </c>
      <c r="Z201" s="369" t="str">
        <f ca="1">IF($B201&lt;&gt;"PRC_RESID","",IF(Z$7=2005+OFFSET(COM_N_2012!$B$60,$AW201,SUMIF($B$10:$B$16,"NCAP_TLIFE",$AX$10:$AX$16)),0,""))</f>
        <v/>
      </c>
      <c r="AA201" s="369" t="str">
        <f ca="1">IF($B201&lt;&gt;"PRC_RESID","",IF(AA$7=2005+OFFSET(COM_N_2012!$B$60,$AW201,SUMIF($B$10:$B$16,"NCAP_TLIFE",$AX$10:$AX$16)),0,""))</f>
        <v/>
      </c>
      <c r="AB201" s="369" t="str">
        <f ca="1">IF($B201&lt;&gt;"PRC_RESID","",IF(AB$7=2005+OFFSET(COM_N_2012!$B$60,$AW201,SUMIF($B$10:$B$16,"NCAP_TLIFE",$AX$10:$AX$16)),0,""))</f>
        <v/>
      </c>
      <c r="AC201" s="369" t="str">
        <f ca="1">IF($B201&lt;&gt;"PRC_RESID","",IF(AC$7=2005+OFFSET(COM_N_2012!$B$60,$AW201,SUMIF($B$10:$B$16,"NCAP_TLIFE",$AX$10:$AX$16)),0,""))</f>
        <v/>
      </c>
      <c r="AD201" s="369" t="str">
        <f ca="1">IF($B201&lt;&gt;"PRC_RESID","",IF(AD$7=2005+OFFSET(COM_N_2012!$B$60,$AW201,SUMIF($B$10:$B$16,"NCAP_TLIFE",$AX$10:$AX$16)),0,""))</f>
        <v/>
      </c>
      <c r="AE201" s="369" t="str">
        <f ca="1">IF($B201&lt;&gt;"PRC_RESID","",IF(AE$7=2005+OFFSET(COM_N_2012!$B$60,$AW201,SUMIF($B$10:$B$16,"NCAP_TLIFE",$AX$10:$AX$16)),0,""))</f>
        <v/>
      </c>
      <c r="AF201" s="369" t="str">
        <f ca="1">IF($B201&lt;&gt;"PRC_RESID","",IF(AF$7=2005+OFFSET(COM_N_2012!$B$60,$AW201,SUMIF($B$10:$B$16,"NCAP_TLIFE",$AX$10:$AX$16)),0,""))</f>
        <v/>
      </c>
      <c r="AG201" s="369" t="str">
        <f ca="1">IF($B201&lt;&gt;"PRC_RESID","",IF(AG$7=2005+OFFSET(COM_N_2012!$B$60,$AW201,SUMIF($B$10:$B$16,"NCAP_TLIFE",$AX$10:$AX$16)),0,""))</f>
        <v/>
      </c>
      <c r="AH201" s="369" t="str">
        <f ca="1">IF($B201&lt;&gt;"PRC_RESID","",IF(AH$7=2005+OFFSET(COM_N_2012!$B$60,$AW201,SUMIF($B$10:$B$16,"NCAP_TLIFE",$AX$10:$AX$16)),0,""))</f>
        <v/>
      </c>
      <c r="AI201" s="369" t="str">
        <f ca="1">IF($B201&lt;&gt;"PRC_RESID","",IF(AI$7=2005+OFFSET(COM_N_2012!$B$60,$AW201,SUMIF($B$10:$B$16,"NCAP_TLIFE",$AX$10:$AX$16)),0,""))</f>
        <v/>
      </c>
      <c r="AJ201" s="369" t="str">
        <f ca="1">IF($B201&lt;&gt;"PRC_RESID","",IF(AJ$7=2005+OFFSET(COM_N_2012!$B$60,$AW201,SUMIF($B$10:$B$16,"NCAP_TLIFE",$AX$10:$AX$16)),0,""))</f>
        <v/>
      </c>
      <c r="AK201" s="369" t="str">
        <f ca="1">IF($B201&lt;&gt;"PRC_RESID","",IF(AK$7=2005+OFFSET(COM_N_2012!$B$60,$AW201,SUMIF($B$10:$B$16,"NCAP_TLIFE",$AX$10:$AX$16)),0,""))</f>
        <v/>
      </c>
      <c r="AL201" s="369" t="str">
        <f ca="1">IF($B201&lt;&gt;"PRC_RESID","",IF(AL$7=2005+OFFSET(COM_N_2012!$B$60,$AW201,SUMIF($B$10:$B$16,"NCAP_TLIFE",$AX$10:$AX$16)),0,""))</f>
        <v/>
      </c>
      <c r="AM201" s="369" t="str">
        <f ca="1">IF($B201&lt;&gt;"PRC_RESID","",IF(AM$7=2005+OFFSET(COM_N_2012!$B$60,$AW201,SUMIF($B$10:$B$16,"NCAP_TLIFE",$AX$10:$AX$16)),0,""))</f>
        <v/>
      </c>
      <c r="AN201" s="369" t="str">
        <f ca="1">IF($B201&lt;&gt;"PRC_RESID","",IF(AN$7=2005+OFFSET(COM_N_2012!$B$60,$AW201,SUMIF($B$10:$B$16,"NCAP_TLIFE",$AX$10:$AX$16)),0,""))</f>
        <v/>
      </c>
      <c r="AO201" s="369" t="str">
        <f ca="1">IF($B201&lt;&gt;"PRC_RESID","",IF(AO$7=2005+OFFSET(COM_N_2012!$B$60,$AW201,SUMIF($B$10:$B$16,"NCAP_TLIFE",$AX$10:$AX$16)),0,""))</f>
        <v/>
      </c>
      <c r="AP201" s="369" t="str">
        <f ca="1">IF($B201&lt;&gt;"PRC_RESID","",IF(AP$7=2005+OFFSET(COM_N_2012!$B$60,$AW201,SUMIF($B$10:$B$16,"NCAP_TLIFE",$AX$10:$AX$16)),0,""))</f>
        <v/>
      </c>
      <c r="AQ201" s="369" t="str">
        <f ca="1">IF($B201&lt;&gt;"PRC_RESID","",IF(AQ$7=2005+OFFSET(COM_N_2012!$B$60,$AW201,SUMIF($B$10:$B$16,"NCAP_TLIFE",$AX$10:$AX$16)),0,""))</f>
        <v/>
      </c>
      <c r="AR201" s="369" t="str">
        <f ca="1">IF($B201&lt;&gt;"PRC_RESID","",IF(AR$7=2005+OFFSET(COM_N_2012!$B$60,$AW201,SUMIF($B$10:$B$16,"NCAP_TLIFE",$AX$10:$AX$16)),0,""))</f>
        <v/>
      </c>
      <c r="AS201" s="369" t="str">
        <f ca="1">IF($B201&lt;&gt;"PRC_RESID","",IF(AS$7=2005+OFFSET(COM_N_2012!$B$60,$AW201,SUMIF($B$10:$B$16,"NCAP_TLIFE",$AX$10:$AX$16)),0,""))</f>
        <v/>
      </c>
      <c r="AT201" s="369" t="str">
        <f ca="1">IF($B201&lt;&gt;"PRC_RESID","",IF(AT$7=2005+OFFSET(COM_N_2012!$B$60,$AW201,SUMIF($B$10:$B$16,"NCAP_TLIFE",$AX$10:$AX$16)),0,""))</f>
        <v/>
      </c>
      <c r="AU201" s="369" t="str">
        <f ca="1">IF($B201&lt;&gt;"PRC_RESID","",IF(AU$7=2005+OFFSET(COM_N_2012!$B$60,$AW201,SUMIF($B$10:$B$16,"NCAP_TLIFE",$AX$10:$AX$16)),0,""))</f>
        <v/>
      </c>
      <c r="AV201" s="304">
        <f>IF(AW200=COM_N_2012!$AK$121,AV200+1,AV200)</f>
        <v>4</v>
      </c>
      <c r="AW201" s="304">
        <f t="shared" si="20"/>
        <v>1</v>
      </c>
    </row>
    <row r="202" spans="1:49">
      <c r="A202" s="304" t="str">
        <f ca="1">IF(LEFT(OFFSET(COM_N_2012!$A$60,AW202,0),2)="\I","*","")</f>
        <v/>
      </c>
      <c r="B202" s="369" t="str">
        <f t="shared" ca="1" si="19"/>
        <v>NCAP_COST</v>
      </c>
      <c r="C202" s="369" t="str">
        <f ca="1">IF($A202="*","",OFFSET(COM_N_2012!$B$60,AW202,0))</f>
        <v>CNCELCCEN-E</v>
      </c>
      <c r="D202" s="369" t="str">
        <f t="shared" ca="1" si="26"/>
        <v>-</v>
      </c>
      <c r="E202" s="369" t="str">
        <f t="shared" ca="1" si="26"/>
        <v>-</v>
      </c>
      <c r="F202" s="369" t="str">
        <f t="shared" ca="1" si="26"/>
        <v>-</v>
      </c>
      <c r="G202" s="369" t="str">
        <f t="shared" ca="1" si="26"/>
        <v>-</v>
      </c>
      <c r="H202" s="369" t="str">
        <f t="shared" ca="1" si="26"/>
        <v>-</v>
      </c>
      <c r="I202" s="370">
        <f t="shared" ca="1" si="26"/>
        <v>0</v>
      </c>
      <c r="J202" s="391">
        <f ca="1">IF($A202="*","",OFFSET(COM_N_2012!$B$60,AW202,SUMIF($B$10:$B$16,B202,$AX$10:$AX$16)))</f>
        <v>91.48641577227815</v>
      </c>
      <c r="K202" s="369" t="str">
        <f ca="1">IF($B202&lt;&gt;"PRC_RESID","",IF(K$7=2005+OFFSET(COM_N_2012!$B$60,$AW202,SUMIF($B$10:$B$16,"NCAP_TLIFE",$AX$10:$AX$16)),0,""))</f>
        <v/>
      </c>
      <c r="L202" s="369" t="str">
        <f ca="1">IF($B202&lt;&gt;"PRC_RESID","",IF(L$7=2005+OFFSET(COM_N_2012!$B$60,$AW202,SUMIF($B$10:$B$16,"NCAP_TLIFE",$AX$10:$AX$16)),0,""))</f>
        <v/>
      </c>
      <c r="M202" s="369" t="str">
        <f ca="1">IF($B202&lt;&gt;"PRC_RESID","",IF(M$7=2005+OFFSET(COM_N_2012!$B$60,$AW202,SUMIF($B$10:$B$16,"NCAP_TLIFE",$AX$10:$AX$16)),0,""))</f>
        <v/>
      </c>
      <c r="N202" s="369" t="str">
        <f ca="1">IF($B202&lt;&gt;"PRC_RESID","",IF(N$7=2005+OFFSET(COM_N_2012!$B$60,$AW202,SUMIF($B$10:$B$16,"NCAP_TLIFE",$AX$10:$AX$16)),0,""))</f>
        <v/>
      </c>
      <c r="O202" s="369" t="str">
        <f ca="1">IF($B202&lt;&gt;"PRC_RESID","",IF(O$7=2005+OFFSET(COM_N_2012!$B$60,$AW202,SUMIF($B$10:$B$16,"NCAP_TLIFE",$AX$10:$AX$16)),0,""))</f>
        <v/>
      </c>
      <c r="P202" s="369" t="str">
        <f ca="1">IF($B202&lt;&gt;"PRC_RESID","",IF(P$7=2005+OFFSET(COM_N_2012!$B$60,$AW202,SUMIF($B$10:$B$16,"NCAP_TLIFE",$AX$10:$AX$16)),0,""))</f>
        <v/>
      </c>
      <c r="Q202" s="369" t="str">
        <f ca="1">IF($B202&lt;&gt;"PRC_RESID","",IF(Q$7=2005+OFFSET(COM_N_2012!$B$60,$AW202,SUMIF($B$10:$B$16,"NCAP_TLIFE",$AX$10:$AX$16)),0,""))</f>
        <v/>
      </c>
      <c r="R202" s="369" t="str">
        <f ca="1">IF($B202&lt;&gt;"PRC_RESID","",IF(R$7=2005+OFFSET(COM_N_2012!$B$60,$AW202,SUMIF($B$10:$B$16,"NCAP_TLIFE",$AX$10:$AX$16)),0,""))</f>
        <v/>
      </c>
      <c r="S202" s="369" t="str">
        <f ca="1">IF($B202&lt;&gt;"PRC_RESID","",IF(S$7=2005+OFFSET(COM_N_2012!$B$60,$AW202,SUMIF($B$10:$B$16,"NCAP_TLIFE",$AX$10:$AX$16)),0,""))</f>
        <v/>
      </c>
      <c r="T202" s="369" t="str">
        <f ca="1">IF($B202&lt;&gt;"PRC_RESID","",IF(T$7=2005+OFFSET(COM_N_2012!$B$60,$AW202,SUMIF($B$10:$B$16,"NCAP_TLIFE",$AX$10:$AX$16)),0,""))</f>
        <v/>
      </c>
      <c r="U202" s="369" t="str">
        <f ca="1">IF($B202&lt;&gt;"PRC_RESID","",IF(U$7=2005+OFFSET(COM_N_2012!$B$60,$AW202,SUMIF($B$10:$B$16,"NCAP_TLIFE",$AX$10:$AX$16)),0,""))</f>
        <v/>
      </c>
      <c r="V202" s="369" t="str">
        <f ca="1">IF($B202&lt;&gt;"PRC_RESID","",IF(V$7=2005+OFFSET(COM_N_2012!$B$60,$AW202,SUMIF($B$10:$B$16,"NCAP_TLIFE",$AX$10:$AX$16)),0,""))</f>
        <v/>
      </c>
      <c r="W202" s="369" t="str">
        <f ca="1">IF($B202&lt;&gt;"PRC_RESID","",IF(W$7=2005+OFFSET(COM_N_2012!$B$60,$AW202,SUMIF($B$10:$B$16,"NCAP_TLIFE",$AX$10:$AX$16)),0,""))</f>
        <v/>
      </c>
      <c r="X202" s="369" t="str">
        <f ca="1">IF($B202&lt;&gt;"PRC_RESID","",IF(X$7=2005+OFFSET(COM_N_2012!$B$60,$AW202,SUMIF($B$10:$B$16,"NCAP_TLIFE",$AX$10:$AX$16)),0,""))</f>
        <v/>
      </c>
      <c r="Y202" s="369" t="str">
        <f ca="1">IF($B202&lt;&gt;"PRC_RESID","",IF(Y$7=2005+OFFSET(COM_N_2012!$B$60,$AW202,SUMIF($B$10:$B$16,"NCAP_TLIFE",$AX$10:$AX$16)),0,""))</f>
        <v/>
      </c>
      <c r="Z202" s="369" t="str">
        <f ca="1">IF($B202&lt;&gt;"PRC_RESID","",IF(Z$7=2005+OFFSET(COM_N_2012!$B$60,$AW202,SUMIF($B$10:$B$16,"NCAP_TLIFE",$AX$10:$AX$16)),0,""))</f>
        <v/>
      </c>
      <c r="AA202" s="369" t="str">
        <f ca="1">IF($B202&lt;&gt;"PRC_RESID","",IF(AA$7=2005+OFFSET(COM_N_2012!$B$60,$AW202,SUMIF($B$10:$B$16,"NCAP_TLIFE",$AX$10:$AX$16)),0,""))</f>
        <v/>
      </c>
      <c r="AB202" s="369" t="str">
        <f ca="1">IF($B202&lt;&gt;"PRC_RESID","",IF(AB$7=2005+OFFSET(COM_N_2012!$B$60,$AW202,SUMIF($B$10:$B$16,"NCAP_TLIFE",$AX$10:$AX$16)),0,""))</f>
        <v/>
      </c>
      <c r="AC202" s="369" t="str">
        <f ca="1">IF($B202&lt;&gt;"PRC_RESID","",IF(AC$7=2005+OFFSET(COM_N_2012!$B$60,$AW202,SUMIF($B$10:$B$16,"NCAP_TLIFE",$AX$10:$AX$16)),0,""))</f>
        <v/>
      </c>
      <c r="AD202" s="369" t="str">
        <f ca="1">IF($B202&lt;&gt;"PRC_RESID","",IF(AD$7=2005+OFFSET(COM_N_2012!$B$60,$AW202,SUMIF($B$10:$B$16,"NCAP_TLIFE",$AX$10:$AX$16)),0,""))</f>
        <v/>
      </c>
      <c r="AE202" s="369" t="str">
        <f ca="1">IF($B202&lt;&gt;"PRC_RESID","",IF(AE$7=2005+OFFSET(COM_N_2012!$B$60,$AW202,SUMIF($B$10:$B$16,"NCAP_TLIFE",$AX$10:$AX$16)),0,""))</f>
        <v/>
      </c>
      <c r="AF202" s="369" t="str">
        <f ca="1">IF($B202&lt;&gt;"PRC_RESID","",IF(AF$7=2005+OFFSET(COM_N_2012!$B$60,$AW202,SUMIF($B$10:$B$16,"NCAP_TLIFE",$AX$10:$AX$16)),0,""))</f>
        <v/>
      </c>
      <c r="AG202" s="369" t="str">
        <f ca="1">IF($B202&lt;&gt;"PRC_RESID","",IF(AG$7=2005+OFFSET(COM_N_2012!$B$60,$AW202,SUMIF($B$10:$B$16,"NCAP_TLIFE",$AX$10:$AX$16)),0,""))</f>
        <v/>
      </c>
      <c r="AH202" s="369" t="str">
        <f ca="1">IF($B202&lt;&gt;"PRC_RESID","",IF(AH$7=2005+OFFSET(COM_N_2012!$B$60,$AW202,SUMIF($B$10:$B$16,"NCAP_TLIFE",$AX$10:$AX$16)),0,""))</f>
        <v/>
      </c>
      <c r="AI202" s="369" t="str">
        <f ca="1">IF($B202&lt;&gt;"PRC_RESID","",IF(AI$7=2005+OFFSET(COM_N_2012!$B$60,$AW202,SUMIF($B$10:$B$16,"NCAP_TLIFE",$AX$10:$AX$16)),0,""))</f>
        <v/>
      </c>
      <c r="AJ202" s="369" t="str">
        <f ca="1">IF($B202&lt;&gt;"PRC_RESID","",IF(AJ$7=2005+OFFSET(COM_N_2012!$B$60,$AW202,SUMIF($B$10:$B$16,"NCAP_TLIFE",$AX$10:$AX$16)),0,""))</f>
        <v/>
      </c>
      <c r="AK202" s="369" t="str">
        <f ca="1">IF($B202&lt;&gt;"PRC_RESID","",IF(AK$7=2005+OFFSET(COM_N_2012!$B$60,$AW202,SUMIF($B$10:$B$16,"NCAP_TLIFE",$AX$10:$AX$16)),0,""))</f>
        <v/>
      </c>
      <c r="AL202" s="369" t="str">
        <f ca="1">IF($B202&lt;&gt;"PRC_RESID","",IF(AL$7=2005+OFFSET(COM_N_2012!$B$60,$AW202,SUMIF($B$10:$B$16,"NCAP_TLIFE",$AX$10:$AX$16)),0,""))</f>
        <v/>
      </c>
      <c r="AM202" s="369" t="str">
        <f ca="1">IF($B202&lt;&gt;"PRC_RESID","",IF(AM$7=2005+OFFSET(COM_N_2012!$B$60,$AW202,SUMIF($B$10:$B$16,"NCAP_TLIFE",$AX$10:$AX$16)),0,""))</f>
        <v/>
      </c>
      <c r="AN202" s="369" t="str">
        <f ca="1">IF($B202&lt;&gt;"PRC_RESID","",IF(AN$7=2005+OFFSET(COM_N_2012!$B$60,$AW202,SUMIF($B$10:$B$16,"NCAP_TLIFE",$AX$10:$AX$16)),0,""))</f>
        <v/>
      </c>
      <c r="AO202" s="369" t="str">
        <f ca="1">IF($B202&lt;&gt;"PRC_RESID","",IF(AO$7=2005+OFFSET(COM_N_2012!$B$60,$AW202,SUMIF($B$10:$B$16,"NCAP_TLIFE",$AX$10:$AX$16)),0,""))</f>
        <v/>
      </c>
      <c r="AP202" s="369" t="str">
        <f ca="1">IF($B202&lt;&gt;"PRC_RESID","",IF(AP$7=2005+OFFSET(COM_N_2012!$B$60,$AW202,SUMIF($B$10:$B$16,"NCAP_TLIFE",$AX$10:$AX$16)),0,""))</f>
        <v/>
      </c>
      <c r="AQ202" s="369" t="str">
        <f ca="1">IF($B202&lt;&gt;"PRC_RESID","",IF(AQ$7=2005+OFFSET(COM_N_2012!$B$60,$AW202,SUMIF($B$10:$B$16,"NCAP_TLIFE",$AX$10:$AX$16)),0,""))</f>
        <v/>
      </c>
      <c r="AR202" s="369" t="str">
        <f ca="1">IF($B202&lt;&gt;"PRC_RESID","",IF(AR$7=2005+OFFSET(COM_N_2012!$B$60,$AW202,SUMIF($B$10:$B$16,"NCAP_TLIFE",$AX$10:$AX$16)),0,""))</f>
        <v/>
      </c>
      <c r="AS202" s="369" t="str">
        <f ca="1">IF($B202&lt;&gt;"PRC_RESID","",IF(AS$7=2005+OFFSET(COM_N_2012!$B$60,$AW202,SUMIF($B$10:$B$16,"NCAP_TLIFE",$AX$10:$AX$16)),0,""))</f>
        <v/>
      </c>
      <c r="AT202" s="369" t="str">
        <f ca="1">IF($B202&lt;&gt;"PRC_RESID","",IF(AT$7=2005+OFFSET(COM_N_2012!$B$60,$AW202,SUMIF($B$10:$B$16,"NCAP_TLIFE",$AX$10:$AX$16)),0,""))</f>
        <v/>
      </c>
      <c r="AU202" s="369" t="str">
        <f ca="1">IF($B202&lt;&gt;"PRC_RESID","",IF(AU$7=2005+OFFSET(COM_N_2012!$B$60,$AW202,SUMIF($B$10:$B$16,"NCAP_TLIFE",$AX$10:$AX$16)),0,""))</f>
        <v/>
      </c>
      <c r="AV202" s="304">
        <f>IF(AW201=COM_N_2012!$AK$121,AV201+1,AV201)</f>
        <v>4</v>
      </c>
      <c r="AW202" s="304">
        <f t="shared" si="20"/>
        <v>2</v>
      </c>
    </row>
    <row r="203" spans="1:49">
      <c r="A203" s="304" t="str">
        <f ca="1">IF(LEFT(OFFSET(COM_N_2012!$A$60,AW203,0),2)="\I","*","")</f>
        <v/>
      </c>
      <c r="B203" s="369" t="str">
        <f t="shared" ca="1" si="19"/>
        <v>NCAP_COST</v>
      </c>
      <c r="C203" s="369" t="str">
        <f ca="1">IF($A203="*","",OFFSET(COM_N_2012!$B$60,AW203,0))</f>
        <v>CNCELCHP-E</v>
      </c>
      <c r="D203" s="369" t="str">
        <f t="shared" ca="1" si="26"/>
        <v>-</v>
      </c>
      <c r="E203" s="369" t="str">
        <f t="shared" ca="1" si="26"/>
        <v>-</v>
      </c>
      <c r="F203" s="369" t="str">
        <f t="shared" ca="1" si="26"/>
        <v>-</v>
      </c>
      <c r="G203" s="369" t="str">
        <f t="shared" ca="1" si="26"/>
        <v>-</v>
      </c>
      <c r="H203" s="369" t="str">
        <f t="shared" ca="1" si="26"/>
        <v>-</v>
      </c>
      <c r="I203" s="370">
        <f t="shared" ca="1" si="26"/>
        <v>0</v>
      </c>
      <c r="J203" s="391">
        <f ca="1">IF($A203="*","",OFFSET(COM_N_2012!$B$60,AW203,SUMIF($B$10:$B$16,B203,$AX$10:$AX$16)))</f>
        <v>118.96450756323959</v>
      </c>
      <c r="K203" s="369" t="str">
        <f ca="1">IF($B203&lt;&gt;"PRC_RESID","",IF(K$7=2005+OFFSET(COM_N_2012!$B$60,$AW203,SUMIF($B$10:$B$16,"NCAP_TLIFE",$AX$10:$AX$16)),0,""))</f>
        <v/>
      </c>
      <c r="L203" s="369" t="str">
        <f ca="1">IF($B203&lt;&gt;"PRC_RESID","",IF(L$7=2005+OFFSET(COM_N_2012!$B$60,$AW203,SUMIF($B$10:$B$16,"NCAP_TLIFE",$AX$10:$AX$16)),0,""))</f>
        <v/>
      </c>
      <c r="M203" s="369" t="str">
        <f ca="1">IF($B203&lt;&gt;"PRC_RESID","",IF(M$7=2005+OFFSET(COM_N_2012!$B$60,$AW203,SUMIF($B$10:$B$16,"NCAP_TLIFE",$AX$10:$AX$16)),0,""))</f>
        <v/>
      </c>
      <c r="N203" s="369" t="str">
        <f ca="1">IF($B203&lt;&gt;"PRC_RESID","",IF(N$7=2005+OFFSET(COM_N_2012!$B$60,$AW203,SUMIF($B$10:$B$16,"NCAP_TLIFE",$AX$10:$AX$16)),0,""))</f>
        <v/>
      </c>
      <c r="O203" s="369" t="str">
        <f ca="1">IF($B203&lt;&gt;"PRC_RESID","",IF(O$7=2005+OFFSET(COM_N_2012!$B$60,$AW203,SUMIF($B$10:$B$16,"NCAP_TLIFE",$AX$10:$AX$16)),0,""))</f>
        <v/>
      </c>
      <c r="P203" s="369" t="str">
        <f ca="1">IF($B203&lt;&gt;"PRC_RESID","",IF(P$7=2005+OFFSET(COM_N_2012!$B$60,$AW203,SUMIF($B$10:$B$16,"NCAP_TLIFE",$AX$10:$AX$16)),0,""))</f>
        <v/>
      </c>
      <c r="Q203" s="369" t="str">
        <f ca="1">IF($B203&lt;&gt;"PRC_RESID","",IF(Q$7=2005+OFFSET(COM_N_2012!$B$60,$AW203,SUMIF($B$10:$B$16,"NCAP_TLIFE",$AX$10:$AX$16)),0,""))</f>
        <v/>
      </c>
      <c r="R203" s="369" t="str">
        <f ca="1">IF($B203&lt;&gt;"PRC_RESID","",IF(R$7=2005+OFFSET(COM_N_2012!$B$60,$AW203,SUMIF($B$10:$B$16,"NCAP_TLIFE",$AX$10:$AX$16)),0,""))</f>
        <v/>
      </c>
      <c r="S203" s="369" t="str">
        <f ca="1">IF($B203&lt;&gt;"PRC_RESID","",IF(S$7=2005+OFFSET(COM_N_2012!$B$60,$AW203,SUMIF($B$10:$B$16,"NCAP_TLIFE",$AX$10:$AX$16)),0,""))</f>
        <v/>
      </c>
      <c r="T203" s="369" t="str">
        <f ca="1">IF($B203&lt;&gt;"PRC_RESID","",IF(T$7=2005+OFFSET(COM_N_2012!$B$60,$AW203,SUMIF($B$10:$B$16,"NCAP_TLIFE",$AX$10:$AX$16)),0,""))</f>
        <v/>
      </c>
      <c r="U203" s="369" t="str">
        <f ca="1">IF($B203&lt;&gt;"PRC_RESID","",IF(U$7=2005+OFFSET(COM_N_2012!$B$60,$AW203,SUMIF($B$10:$B$16,"NCAP_TLIFE",$AX$10:$AX$16)),0,""))</f>
        <v/>
      </c>
      <c r="V203" s="369" t="str">
        <f ca="1">IF($B203&lt;&gt;"PRC_RESID","",IF(V$7=2005+OFFSET(COM_N_2012!$B$60,$AW203,SUMIF($B$10:$B$16,"NCAP_TLIFE",$AX$10:$AX$16)),0,""))</f>
        <v/>
      </c>
      <c r="W203" s="369" t="str">
        <f ca="1">IF($B203&lt;&gt;"PRC_RESID","",IF(W$7=2005+OFFSET(COM_N_2012!$B$60,$AW203,SUMIF($B$10:$B$16,"NCAP_TLIFE",$AX$10:$AX$16)),0,""))</f>
        <v/>
      </c>
      <c r="X203" s="369" t="str">
        <f ca="1">IF($B203&lt;&gt;"PRC_RESID","",IF(X$7=2005+OFFSET(COM_N_2012!$B$60,$AW203,SUMIF($B$10:$B$16,"NCAP_TLIFE",$AX$10:$AX$16)),0,""))</f>
        <v/>
      </c>
      <c r="Y203" s="369" t="str">
        <f ca="1">IF($B203&lt;&gt;"PRC_RESID","",IF(Y$7=2005+OFFSET(COM_N_2012!$B$60,$AW203,SUMIF($B$10:$B$16,"NCAP_TLIFE",$AX$10:$AX$16)),0,""))</f>
        <v/>
      </c>
      <c r="Z203" s="369" t="str">
        <f ca="1">IF($B203&lt;&gt;"PRC_RESID","",IF(Z$7=2005+OFFSET(COM_N_2012!$B$60,$AW203,SUMIF($B$10:$B$16,"NCAP_TLIFE",$AX$10:$AX$16)),0,""))</f>
        <v/>
      </c>
      <c r="AA203" s="369" t="str">
        <f ca="1">IF($B203&lt;&gt;"PRC_RESID","",IF(AA$7=2005+OFFSET(COM_N_2012!$B$60,$AW203,SUMIF($B$10:$B$16,"NCAP_TLIFE",$AX$10:$AX$16)),0,""))</f>
        <v/>
      </c>
      <c r="AB203" s="369" t="str">
        <f ca="1">IF($B203&lt;&gt;"PRC_RESID","",IF(AB$7=2005+OFFSET(COM_N_2012!$B$60,$AW203,SUMIF($B$10:$B$16,"NCAP_TLIFE",$AX$10:$AX$16)),0,""))</f>
        <v/>
      </c>
      <c r="AC203" s="369" t="str">
        <f ca="1">IF($B203&lt;&gt;"PRC_RESID","",IF(AC$7=2005+OFFSET(COM_N_2012!$B$60,$AW203,SUMIF($B$10:$B$16,"NCAP_TLIFE",$AX$10:$AX$16)),0,""))</f>
        <v/>
      </c>
      <c r="AD203" s="369" t="str">
        <f ca="1">IF($B203&lt;&gt;"PRC_RESID","",IF(AD$7=2005+OFFSET(COM_N_2012!$B$60,$AW203,SUMIF($B$10:$B$16,"NCAP_TLIFE",$AX$10:$AX$16)),0,""))</f>
        <v/>
      </c>
      <c r="AE203" s="369" t="str">
        <f ca="1">IF($B203&lt;&gt;"PRC_RESID","",IF(AE$7=2005+OFFSET(COM_N_2012!$B$60,$AW203,SUMIF($B$10:$B$16,"NCAP_TLIFE",$AX$10:$AX$16)),0,""))</f>
        <v/>
      </c>
      <c r="AF203" s="369" t="str">
        <f ca="1">IF($B203&lt;&gt;"PRC_RESID","",IF(AF$7=2005+OFFSET(COM_N_2012!$B$60,$AW203,SUMIF($B$10:$B$16,"NCAP_TLIFE",$AX$10:$AX$16)),0,""))</f>
        <v/>
      </c>
      <c r="AG203" s="369" t="str">
        <f ca="1">IF($B203&lt;&gt;"PRC_RESID","",IF(AG$7=2005+OFFSET(COM_N_2012!$B$60,$AW203,SUMIF($B$10:$B$16,"NCAP_TLIFE",$AX$10:$AX$16)),0,""))</f>
        <v/>
      </c>
      <c r="AH203" s="369" t="str">
        <f ca="1">IF($B203&lt;&gt;"PRC_RESID","",IF(AH$7=2005+OFFSET(COM_N_2012!$B$60,$AW203,SUMIF($B$10:$B$16,"NCAP_TLIFE",$AX$10:$AX$16)),0,""))</f>
        <v/>
      </c>
      <c r="AI203" s="369" t="str">
        <f ca="1">IF($B203&lt;&gt;"PRC_RESID","",IF(AI$7=2005+OFFSET(COM_N_2012!$B$60,$AW203,SUMIF($B$10:$B$16,"NCAP_TLIFE",$AX$10:$AX$16)),0,""))</f>
        <v/>
      </c>
      <c r="AJ203" s="369" t="str">
        <f ca="1">IF($B203&lt;&gt;"PRC_RESID","",IF(AJ$7=2005+OFFSET(COM_N_2012!$B$60,$AW203,SUMIF($B$10:$B$16,"NCAP_TLIFE",$AX$10:$AX$16)),0,""))</f>
        <v/>
      </c>
      <c r="AK203" s="369" t="str">
        <f ca="1">IF($B203&lt;&gt;"PRC_RESID","",IF(AK$7=2005+OFFSET(COM_N_2012!$B$60,$AW203,SUMIF($B$10:$B$16,"NCAP_TLIFE",$AX$10:$AX$16)),0,""))</f>
        <v/>
      </c>
      <c r="AL203" s="369" t="str">
        <f ca="1">IF($B203&lt;&gt;"PRC_RESID","",IF(AL$7=2005+OFFSET(COM_N_2012!$B$60,$AW203,SUMIF($B$10:$B$16,"NCAP_TLIFE",$AX$10:$AX$16)),0,""))</f>
        <v/>
      </c>
      <c r="AM203" s="369" t="str">
        <f ca="1">IF($B203&lt;&gt;"PRC_RESID","",IF(AM$7=2005+OFFSET(COM_N_2012!$B$60,$AW203,SUMIF($B$10:$B$16,"NCAP_TLIFE",$AX$10:$AX$16)),0,""))</f>
        <v/>
      </c>
      <c r="AN203" s="369" t="str">
        <f ca="1">IF($B203&lt;&gt;"PRC_RESID","",IF(AN$7=2005+OFFSET(COM_N_2012!$B$60,$AW203,SUMIF($B$10:$B$16,"NCAP_TLIFE",$AX$10:$AX$16)),0,""))</f>
        <v/>
      </c>
      <c r="AO203" s="369" t="str">
        <f ca="1">IF($B203&lt;&gt;"PRC_RESID","",IF(AO$7=2005+OFFSET(COM_N_2012!$B$60,$AW203,SUMIF($B$10:$B$16,"NCAP_TLIFE",$AX$10:$AX$16)),0,""))</f>
        <v/>
      </c>
      <c r="AP203" s="369" t="str">
        <f ca="1">IF($B203&lt;&gt;"PRC_RESID","",IF(AP$7=2005+OFFSET(COM_N_2012!$B$60,$AW203,SUMIF($B$10:$B$16,"NCAP_TLIFE",$AX$10:$AX$16)),0,""))</f>
        <v/>
      </c>
      <c r="AQ203" s="369" t="str">
        <f ca="1">IF($B203&lt;&gt;"PRC_RESID","",IF(AQ$7=2005+OFFSET(COM_N_2012!$B$60,$AW203,SUMIF($B$10:$B$16,"NCAP_TLIFE",$AX$10:$AX$16)),0,""))</f>
        <v/>
      </c>
      <c r="AR203" s="369" t="str">
        <f ca="1">IF($B203&lt;&gt;"PRC_RESID","",IF(AR$7=2005+OFFSET(COM_N_2012!$B$60,$AW203,SUMIF($B$10:$B$16,"NCAP_TLIFE",$AX$10:$AX$16)),0,""))</f>
        <v/>
      </c>
      <c r="AS203" s="369" t="str">
        <f ca="1">IF($B203&lt;&gt;"PRC_RESID","",IF(AS$7=2005+OFFSET(COM_N_2012!$B$60,$AW203,SUMIF($B$10:$B$16,"NCAP_TLIFE",$AX$10:$AX$16)),0,""))</f>
        <v/>
      </c>
      <c r="AT203" s="369" t="str">
        <f ca="1">IF($B203&lt;&gt;"PRC_RESID","",IF(AT$7=2005+OFFSET(COM_N_2012!$B$60,$AW203,SUMIF($B$10:$B$16,"NCAP_TLIFE",$AX$10:$AX$16)),0,""))</f>
        <v/>
      </c>
      <c r="AU203" s="369" t="str">
        <f ca="1">IF($B203&lt;&gt;"PRC_RESID","",IF(AU$7=2005+OFFSET(COM_N_2012!$B$60,$AW203,SUMIF($B$10:$B$16,"NCAP_TLIFE",$AX$10:$AX$16)),0,""))</f>
        <v/>
      </c>
      <c r="AV203" s="304">
        <f>IF(AW202=COM_N_2012!$AK$121,AV202+1,AV202)</f>
        <v>4</v>
      </c>
      <c r="AW203" s="304">
        <f t="shared" si="20"/>
        <v>3</v>
      </c>
    </row>
    <row r="204" spans="1:49">
      <c r="A204" s="304" t="str">
        <f ca="1">IF(LEFT(OFFSET(COM_N_2012!$A$60,AW204,0),2)="\I","*","")</f>
        <v/>
      </c>
      <c r="B204" s="369" t="str">
        <f t="shared" ca="1" si="19"/>
        <v>NCAP_COST</v>
      </c>
      <c r="C204" s="369" t="str">
        <f ca="1">IF($A204="*","",OFFSET(COM_N_2012!$B$60,AW204,0))</f>
        <v>CNCELCROOM-E</v>
      </c>
      <c r="D204" s="369" t="str">
        <f t="shared" ca="1" si="26"/>
        <v>-</v>
      </c>
      <c r="E204" s="369" t="str">
        <f t="shared" ca="1" si="26"/>
        <v>-</v>
      </c>
      <c r="F204" s="369" t="str">
        <f t="shared" ca="1" si="26"/>
        <v>-</v>
      </c>
      <c r="G204" s="369" t="str">
        <f t="shared" ca="1" si="26"/>
        <v>-</v>
      </c>
      <c r="H204" s="369" t="str">
        <f t="shared" ca="1" si="26"/>
        <v>-</v>
      </c>
      <c r="I204" s="370">
        <f t="shared" ca="1" si="26"/>
        <v>0</v>
      </c>
      <c r="J204" s="391">
        <f ca="1">IF($A204="*","",OFFSET(COM_N_2012!$B$60,AW204,SUMIF($B$10:$B$16,B204,$AX$10:$AX$16)))</f>
        <v>49.654804773986427</v>
      </c>
      <c r="K204" s="369" t="str">
        <f ca="1">IF($B204&lt;&gt;"PRC_RESID","",IF(K$7=2005+OFFSET(COM_N_2012!$B$60,$AW204,SUMIF($B$10:$B$16,"NCAP_TLIFE",$AX$10:$AX$16)),0,""))</f>
        <v/>
      </c>
      <c r="L204" s="369" t="str">
        <f ca="1">IF($B204&lt;&gt;"PRC_RESID","",IF(L$7=2005+OFFSET(COM_N_2012!$B$60,$AW204,SUMIF($B$10:$B$16,"NCAP_TLIFE",$AX$10:$AX$16)),0,""))</f>
        <v/>
      </c>
      <c r="M204" s="369" t="str">
        <f ca="1">IF($B204&lt;&gt;"PRC_RESID","",IF(M$7=2005+OFFSET(COM_N_2012!$B$60,$AW204,SUMIF($B$10:$B$16,"NCAP_TLIFE",$AX$10:$AX$16)),0,""))</f>
        <v/>
      </c>
      <c r="N204" s="369" t="str">
        <f ca="1">IF($B204&lt;&gt;"PRC_RESID","",IF(N$7=2005+OFFSET(COM_N_2012!$B$60,$AW204,SUMIF($B$10:$B$16,"NCAP_TLIFE",$AX$10:$AX$16)),0,""))</f>
        <v/>
      </c>
      <c r="O204" s="369" t="str">
        <f ca="1">IF($B204&lt;&gt;"PRC_RESID","",IF(O$7=2005+OFFSET(COM_N_2012!$B$60,$AW204,SUMIF($B$10:$B$16,"NCAP_TLIFE",$AX$10:$AX$16)),0,""))</f>
        <v/>
      </c>
      <c r="P204" s="369" t="str">
        <f ca="1">IF($B204&lt;&gt;"PRC_RESID","",IF(P$7=2005+OFFSET(COM_N_2012!$B$60,$AW204,SUMIF($B$10:$B$16,"NCAP_TLIFE",$AX$10:$AX$16)),0,""))</f>
        <v/>
      </c>
      <c r="Q204" s="369" t="str">
        <f ca="1">IF($B204&lt;&gt;"PRC_RESID","",IF(Q$7=2005+OFFSET(COM_N_2012!$B$60,$AW204,SUMIF($B$10:$B$16,"NCAP_TLIFE",$AX$10:$AX$16)),0,""))</f>
        <v/>
      </c>
      <c r="R204" s="369" t="str">
        <f ca="1">IF($B204&lt;&gt;"PRC_RESID","",IF(R$7=2005+OFFSET(COM_N_2012!$B$60,$AW204,SUMIF($B$10:$B$16,"NCAP_TLIFE",$AX$10:$AX$16)),0,""))</f>
        <v/>
      </c>
      <c r="S204" s="369" t="str">
        <f ca="1">IF($B204&lt;&gt;"PRC_RESID","",IF(S$7=2005+OFFSET(COM_N_2012!$B$60,$AW204,SUMIF($B$10:$B$16,"NCAP_TLIFE",$AX$10:$AX$16)),0,""))</f>
        <v/>
      </c>
      <c r="T204" s="369" t="str">
        <f ca="1">IF($B204&lt;&gt;"PRC_RESID","",IF(T$7=2005+OFFSET(COM_N_2012!$B$60,$AW204,SUMIF($B$10:$B$16,"NCAP_TLIFE",$AX$10:$AX$16)),0,""))</f>
        <v/>
      </c>
      <c r="U204" s="369" t="str">
        <f ca="1">IF($B204&lt;&gt;"PRC_RESID","",IF(U$7=2005+OFFSET(COM_N_2012!$B$60,$AW204,SUMIF($B$10:$B$16,"NCAP_TLIFE",$AX$10:$AX$16)),0,""))</f>
        <v/>
      </c>
      <c r="V204" s="369" t="str">
        <f ca="1">IF($B204&lt;&gt;"PRC_RESID","",IF(V$7=2005+OFFSET(COM_N_2012!$B$60,$AW204,SUMIF($B$10:$B$16,"NCAP_TLIFE",$AX$10:$AX$16)),0,""))</f>
        <v/>
      </c>
      <c r="W204" s="369" t="str">
        <f ca="1">IF($B204&lt;&gt;"PRC_RESID","",IF(W$7=2005+OFFSET(COM_N_2012!$B$60,$AW204,SUMIF($B$10:$B$16,"NCAP_TLIFE",$AX$10:$AX$16)),0,""))</f>
        <v/>
      </c>
      <c r="X204" s="369" t="str">
        <f ca="1">IF($B204&lt;&gt;"PRC_RESID","",IF(X$7=2005+OFFSET(COM_N_2012!$B$60,$AW204,SUMIF($B$10:$B$16,"NCAP_TLIFE",$AX$10:$AX$16)),0,""))</f>
        <v/>
      </c>
      <c r="Y204" s="369" t="str">
        <f ca="1">IF($B204&lt;&gt;"PRC_RESID","",IF(Y$7=2005+OFFSET(COM_N_2012!$B$60,$AW204,SUMIF($B$10:$B$16,"NCAP_TLIFE",$AX$10:$AX$16)),0,""))</f>
        <v/>
      </c>
      <c r="Z204" s="369" t="str">
        <f ca="1">IF($B204&lt;&gt;"PRC_RESID","",IF(Z$7=2005+OFFSET(COM_N_2012!$B$60,$AW204,SUMIF($B$10:$B$16,"NCAP_TLIFE",$AX$10:$AX$16)),0,""))</f>
        <v/>
      </c>
      <c r="AA204" s="369" t="str">
        <f ca="1">IF($B204&lt;&gt;"PRC_RESID","",IF(AA$7=2005+OFFSET(COM_N_2012!$B$60,$AW204,SUMIF($B$10:$B$16,"NCAP_TLIFE",$AX$10:$AX$16)),0,""))</f>
        <v/>
      </c>
      <c r="AB204" s="369" t="str">
        <f ca="1">IF($B204&lt;&gt;"PRC_RESID","",IF(AB$7=2005+OFFSET(COM_N_2012!$B$60,$AW204,SUMIF($B$10:$B$16,"NCAP_TLIFE",$AX$10:$AX$16)),0,""))</f>
        <v/>
      </c>
      <c r="AC204" s="369" t="str">
        <f ca="1">IF($B204&lt;&gt;"PRC_RESID","",IF(AC$7=2005+OFFSET(COM_N_2012!$B$60,$AW204,SUMIF($B$10:$B$16,"NCAP_TLIFE",$AX$10:$AX$16)),0,""))</f>
        <v/>
      </c>
      <c r="AD204" s="369" t="str">
        <f ca="1">IF($B204&lt;&gt;"PRC_RESID","",IF(AD$7=2005+OFFSET(COM_N_2012!$B$60,$AW204,SUMIF($B$10:$B$16,"NCAP_TLIFE",$AX$10:$AX$16)),0,""))</f>
        <v/>
      </c>
      <c r="AE204" s="369" t="str">
        <f ca="1">IF($B204&lt;&gt;"PRC_RESID","",IF(AE$7=2005+OFFSET(COM_N_2012!$B$60,$AW204,SUMIF($B$10:$B$16,"NCAP_TLIFE",$AX$10:$AX$16)),0,""))</f>
        <v/>
      </c>
      <c r="AF204" s="369" t="str">
        <f ca="1">IF($B204&lt;&gt;"PRC_RESID","",IF(AF$7=2005+OFFSET(COM_N_2012!$B$60,$AW204,SUMIF($B$10:$B$16,"NCAP_TLIFE",$AX$10:$AX$16)),0,""))</f>
        <v/>
      </c>
      <c r="AG204" s="369" t="str">
        <f ca="1">IF($B204&lt;&gt;"PRC_RESID","",IF(AG$7=2005+OFFSET(COM_N_2012!$B$60,$AW204,SUMIF($B$10:$B$16,"NCAP_TLIFE",$AX$10:$AX$16)),0,""))</f>
        <v/>
      </c>
      <c r="AH204" s="369" t="str">
        <f ca="1">IF($B204&lt;&gt;"PRC_RESID","",IF(AH$7=2005+OFFSET(COM_N_2012!$B$60,$AW204,SUMIF($B$10:$B$16,"NCAP_TLIFE",$AX$10:$AX$16)),0,""))</f>
        <v/>
      </c>
      <c r="AI204" s="369" t="str">
        <f ca="1">IF($B204&lt;&gt;"PRC_RESID","",IF(AI$7=2005+OFFSET(COM_N_2012!$B$60,$AW204,SUMIF($B$10:$B$16,"NCAP_TLIFE",$AX$10:$AX$16)),0,""))</f>
        <v/>
      </c>
      <c r="AJ204" s="369" t="str">
        <f ca="1">IF($B204&lt;&gt;"PRC_RESID","",IF(AJ$7=2005+OFFSET(COM_N_2012!$B$60,$AW204,SUMIF($B$10:$B$16,"NCAP_TLIFE",$AX$10:$AX$16)),0,""))</f>
        <v/>
      </c>
      <c r="AK204" s="369" t="str">
        <f ca="1">IF($B204&lt;&gt;"PRC_RESID","",IF(AK$7=2005+OFFSET(COM_N_2012!$B$60,$AW204,SUMIF($B$10:$B$16,"NCAP_TLIFE",$AX$10:$AX$16)),0,""))</f>
        <v/>
      </c>
      <c r="AL204" s="369" t="str">
        <f ca="1">IF($B204&lt;&gt;"PRC_RESID","",IF(AL$7=2005+OFFSET(COM_N_2012!$B$60,$AW204,SUMIF($B$10:$B$16,"NCAP_TLIFE",$AX$10:$AX$16)),0,""))</f>
        <v/>
      </c>
      <c r="AM204" s="369" t="str">
        <f ca="1">IF($B204&lt;&gt;"PRC_RESID","",IF(AM$7=2005+OFFSET(COM_N_2012!$B$60,$AW204,SUMIF($B$10:$B$16,"NCAP_TLIFE",$AX$10:$AX$16)),0,""))</f>
        <v/>
      </c>
      <c r="AN204" s="369" t="str">
        <f ca="1">IF($B204&lt;&gt;"PRC_RESID","",IF(AN$7=2005+OFFSET(COM_N_2012!$B$60,$AW204,SUMIF($B$10:$B$16,"NCAP_TLIFE",$AX$10:$AX$16)),0,""))</f>
        <v/>
      </c>
      <c r="AO204" s="369" t="str">
        <f ca="1">IF($B204&lt;&gt;"PRC_RESID","",IF(AO$7=2005+OFFSET(COM_N_2012!$B$60,$AW204,SUMIF($B$10:$B$16,"NCAP_TLIFE",$AX$10:$AX$16)),0,""))</f>
        <v/>
      </c>
      <c r="AP204" s="369" t="str">
        <f ca="1">IF($B204&lt;&gt;"PRC_RESID","",IF(AP$7=2005+OFFSET(COM_N_2012!$B$60,$AW204,SUMIF($B$10:$B$16,"NCAP_TLIFE",$AX$10:$AX$16)),0,""))</f>
        <v/>
      </c>
      <c r="AQ204" s="369" t="str">
        <f ca="1">IF($B204&lt;&gt;"PRC_RESID","",IF(AQ$7=2005+OFFSET(COM_N_2012!$B$60,$AW204,SUMIF($B$10:$B$16,"NCAP_TLIFE",$AX$10:$AX$16)),0,""))</f>
        <v/>
      </c>
      <c r="AR204" s="369" t="str">
        <f ca="1">IF($B204&lt;&gt;"PRC_RESID","",IF(AR$7=2005+OFFSET(COM_N_2012!$B$60,$AW204,SUMIF($B$10:$B$16,"NCAP_TLIFE",$AX$10:$AX$16)),0,""))</f>
        <v/>
      </c>
      <c r="AS204" s="369" t="str">
        <f ca="1">IF($B204&lt;&gt;"PRC_RESID","",IF(AS$7=2005+OFFSET(COM_N_2012!$B$60,$AW204,SUMIF($B$10:$B$16,"NCAP_TLIFE",$AX$10:$AX$16)),0,""))</f>
        <v/>
      </c>
      <c r="AT204" s="369" t="str">
        <f ca="1">IF($B204&lt;&gt;"PRC_RESID","",IF(AT$7=2005+OFFSET(COM_N_2012!$B$60,$AW204,SUMIF($B$10:$B$16,"NCAP_TLIFE",$AX$10:$AX$16)),0,""))</f>
        <v/>
      </c>
      <c r="AU204" s="369" t="str">
        <f ca="1">IF($B204&lt;&gt;"PRC_RESID","",IF(AU$7=2005+OFFSET(COM_N_2012!$B$60,$AW204,SUMIF($B$10:$B$16,"NCAP_TLIFE",$AX$10:$AX$16)),0,""))</f>
        <v/>
      </c>
      <c r="AV204" s="304">
        <f>IF(AW203=COM_N_2012!$AK$121,AV203+1,AV203)</f>
        <v>4</v>
      </c>
      <c r="AW204" s="304">
        <f t="shared" si="20"/>
        <v>4</v>
      </c>
    </row>
    <row r="205" spans="1:49">
      <c r="A205" s="304" t="str">
        <f ca="1">IF(LEFT(OFFSET(COM_N_2012!$A$60,AW205,0),2)="\I","*","")</f>
        <v/>
      </c>
      <c r="B205" s="369" t="str">
        <f t="shared" ca="1" si="19"/>
        <v>NCAP_COST</v>
      </c>
      <c r="C205" s="369" t="str">
        <f ca="1">IF($A205="*","",OFFSET(COM_N_2012!$B$60,AW205,0))</f>
        <v>CNCELCCEN-N</v>
      </c>
      <c r="D205" s="369" t="str">
        <f t="shared" ca="1" si="26"/>
        <v>-</v>
      </c>
      <c r="E205" s="369" t="str">
        <f t="shared" ca="1" si="26"/>
        <v>-</v>
      </c>
      <c r="F205" s="369" t="str">
        <f t="shared" ca="1" si="26"/>
        <v>-</v>
      </c>
      <c r="G205" s="369" t="str">
        <f t="shared" ca="1" si="26"/>
        <v>-</v>
      </c>
      <c r="H205" s="369" t="str">
        <f t="shared" ca="1" si="26"/>
        <v>-</v>
      </c>
      <c r="I205" s="370">
        <f t="shared" ca="1" si="26"/>
        <v>0</v>
      </c>
      <c r="J205" s="391">
        <f ca="1">IF($A205="*","",OFFSET(COM_N_2012!$B$60,AW205,SUMIF($B$10:$B$16,B205,$AX$10:$AX$16)))</f>
        <v>244.61608495261538</v>
      </c>
      <c r="K205" s="369" t="str">
        <f ca="1">IF($B205&lt;&gt;"PRC_RESID","",IF(K$7=2005+OFFSET(COM_N_2012!$B$60,$AW205,SUMIF($B$10:$B$16,"NCAP_TLIFE",$AX$10:$AX$16)),0,""))</f>
        <v/>
      </c>
      <c r="L205" s="369" t="str">
        <f ca="1">IF($B205&lt;&gt;"PRC_RESID","",IF(L$7=2005+OFFSET(COM_N_2012!$B$60,$AW205,SUMIF($B$10:$B$16,"NCAP_TLIFE",$AX$10:$AX$16)),0,""))</f>
        <v/>
      </c>
      <c r="M205" s="369" t="str">
        <f ca="1">IF($B205&lt;&gt;"PRC_RESID","",IF(M$7=2005+OFFSET(COM_N_2012!$B$60,$AW205,SUMIF($B$10:$B$16,"NCAP_TLIFE",$AX$10:$AX$16)),0,""))</f>
        <v/>
      </c>
      <c r="N205" s="369" t="str">
        <f ca="1">IF($B205&lt;&gt;"PRC_RESID","",IF(N$7=2005+OFFSET(COM_N_2012!$B$60,$AW205,SUMIF($B$10:$B$16,"NCAP_TLIFE",$AX$10:$AX$16)),0,""))</f>
        <v/>
      </c>
      <c r="O205" s="369" t="str">
        <f ca="1">IF($B205&lt;&gt;"PRC_RESID","",IF(O$7=2005+OFFSET(COM_N_2012!$B$60,$AW205,SUMIF($B$10:$B$16,"NCAP_TLIFE",$AX$10:$AX$16)),0,""))</f>
        <v/>
      </c>
      <c r="P205" s="369" t="str">
        <f ca="1">IF($B205&lt;&gt;"PRC_RESID","",IF(P$7=2005+OFFSET(COM_N_2012!$B$60,$AW205,SUMIF($B$10:$B$16,"NCAP_TLIFE",$AX$10:$AX$16)),0,""))</f>
        <v/>
      </c>
      <c r="Q205" s="369" t="str">
        <f ca="1">IF($B205&lt;&gt;"PRC_RESID","",IF(Q$7=2005+OFFSET(COM_N_2012!$B$60,$AW205,SUMIF($B$10:$B$16,"NCAP_TLIFE",$AX$10:$AX$16)),0,""))</f>
        <v/>
      </c>
      <c r="R205" s="369" t="str">
        <f ca="1">IF($B205&lt;&gt;"PRC_RESID","",IF(R$7=2005+OFFSET(COM_N_2012!$B$60,$AW205,SUMIF($B$10:$B$16,"NCAP_TLIFE",$AX$10:$AX$16)),0,""))</f>
        <v/>
      </c>
      <c r="S205" s="369" t="str">
        <f ca="1">IF($B205&lt;&gt;"PRC_RESID","",IF(S$7=2005+OFFSET(COM_N_2012!$B$60,$AW205,SUMIF($B$10:$B$16,"NCAP_TLIFE",$AX$10:$AX$16)),0,""))</f>
        <v/>
      </c>
      <c r="T205" s="369" t="str">
        <f ca="1">IF($B205&lt;&gt;"PRC_RESID","",IF(T$7=2005+OFFSET(COM_N_2012!$B$60,$AW205,SUMIF($B$10:$B$16,"NCAP_TLIFE",$AX$10:$AX$16)),0,""))</f>
        <v/>
      </c>
      <c r="U205" s="369" t="str">
        <f ca="1">IF($B205&lt;&gt;"PRC_RESID","",IF(U$7=2005+OFFSET(COM_N_2012!$B$60,$AW205,SUMIF($B$10:$B$16,"NCAP_TLIFE",$AX$10:$AX$16)),0,""))</f>
        <v/>
      </c>
      <c r="V205" s="369" t="str">
        <f ca="1">IF($B205&lt;&gt;"PRC_RESID","",IF(V$7=2005+OFFSET(COM_N_2012!$B$60,$AW205,SUMIF($B$10:$B$16,"NCAP_TLIFE",$AX$10:$AX$16)),0,""))</f>
        <v/>
      </c>
      <c r="W205" s="369" t="str">
        <f ca="1">IF($B205&lt;&gt;"PRC_RESID","",IF(W$7=2005+OFFSET(COM_N_2012!$B$60,$AW205,SUMIF($B$10:$B$16,"NCAP_TLIFE",$AX$10:$AX$16)),0,""))</f>
        <v/>
      </c>
      <c r="X205" s="369" t="str">
        <f ca="1">IF($B205&lt;&gt;"PRC_RESID","",IF(X$7=2005+OFFSET(COM_N_2012!$B$60,$AW205,SUMIF($B$10:$B$16,"NCAP_TLIFE",$AX$10:$AX$16)),0,""))</f>
        <v/>
      </c>
      <c r="Y205" s="369" t="str">
        <f ca="1">IF($B205&lt;&gt;"PRC_RESID","",IF(Y$7=2005+OFFSET(COM_N_2012!$B$60,$AW205,SUMIF($B$10:$B$16,"NCAP_TLIFE",$AX$10:$AX$16)),0,""))</f>
        <v/>
      </c>
      <c r="Z205" s="369" t="str">
        <f ca="1">IF($B205&lt;&gt;"PRC_RESID","",IF(Z$7=2005+OFFSET(COM_N_2012!$B$60,$AW205,SUMIF($B$10:$B$16,"NCAP_TLIFE",$AX$10:$AX$16)),0,""))</f>
        <v/>
      </c>
      <c r="AA205" s="369" t="str">
        <f ca="1">IF($B205&lt;&gt;"PRC_RESID","",IF(AA$7=2005+OFFSET(COM_N_2012!$B$60,$AW205,SUMIF($B$10:$B$16,"NCAP_TLIFE",$AX$10:$AX$16)),0,""))</f>
        <v/>
      </c>
      <c r="AB205" s="369" t="str">
        <f ca="1">IF($B205&lt;&gt;"PRC_RESID","",IF(AB$7=2005+OFFSET(COM_N_2012!$B$60,$AW205,SUMIF($B$10:$B$16,"NCAP_TLIFE",$AX$10:$AX$16)),0,""))</f>
        <v/>
      </c>
      <c r="AC205" s="369" t="str">
        <f ca="1">IF($B205&lt;&gt;"PRC_RESID","",IF(AC$7=2005+OFFSET(COM_N_2012!$B$60,$AW205,SUMIF($B$10:$B$16,"NCAP_TLIFE",$AX$10:$AX$16)),0,""))</f>
        <v/>
      </c>
      <c r="AD205" s="369" t="str">
        <f ca="1">IF($B205&lt;&gt;"PRC_RESID","",IF(AD$7=2005+OFFSET(COM_N_2012!$B$60,$AW205,SUMIF($B$10:$B$16,"NCAP_TLIFE",$AX$10:$AX$16)),0,""))</f>
        <v/>
      </c>
      <c r="AE205" s="369" t="str">
        <f ca="1">IF($B205&lt;&gt;"PRC_RESID","",IF(AE$7=2005+OFFSET(COM_N_2012!$B$60,$AW205,SUMIF($B$10:$B$16,"NCAP_TLIFE",$AX$10:$AX$16)),0,""))</f>
        <v/>
      </c>
      <c r="AF205" s="369" t="str">
        <f ca="1">IF($B205&lt;&gt;"PRC_RESID","",IF(AF$7=2005+OFFSET(COM_N_2012!$B$60,$AW205,SUMIF($B$10:$B$16,"NCAP_TLIFE",$AX$10:$AX$16)),0,""))</f>
        <v/>
      </c>
      <c r="AG205" s="369" t="str">
        <f ca="1">IF($B205&lt;&gt;"PRC_RESID","",IF(AG$7=2005+OFFSET(COM_N_2012!$B$60,$AW205,SUMIF($B$10:$B$16,"NCAP_TLIFE",$AX$10:$AX$16)),0,""))</f>
        <v/>
      </c>
      <c r="AH205" s="369" t="str">
        <f ca="1">IF($B205&lt;&gt;"PRC_RESID","",IF(AH$7=2005+OFFSET(COM_N_2012!$B$60,$AW205,SUMIF($B$10:$B$16,"NCAP_TLIFE",$AX$10:$AX$16)),0,""))</f>
        <v/>
      </c>
      <c r="AI205" s="369" t="str">
        <f ca="1">IF($B205&lt;&gt;"PRC_RESID","",IF(AI$7=2005+OFFSET(COM_N_2012!$B$60,$AW205,SUMIF($B$10:$B$16,"NCAP_TLIFE",$AX$10:$AX$16)),0,""))</f>
        <v/>
      </c>
      <c r="AJ205" s="369" t="str">
        <f ca="1">IF($B205&lt;&gt;"PRC_RESID","",IF(AJ$7=2005+OFFSET(COM_N_2012!$B$60,$AW205,SUMIF($B$10:$B$16,"NCAP_TLIFE",$AX$10:$AX$16)),0,""))</f>
        <v/>
      </c>
      <c r="AK205" s="369" t="str">
        <f ca="1">IF($B205&lt;&gt;"PRC_RESID","",IF(AK$7=2005+OFFSET(COM_N_2012!$B$60,$AW205,SUMIF($B$10:$B$16,"NCAP_TLIFE",$AX$10:$AX$16)),0,""))</f>
        <v/>
      </c>
      <c r="AL205" s="369" t="str">
        <f ca="1">IF($B205&lt;&gt;"PRC_RESID","",IF(AL$7=2005+OFFSET(COM_N_2012!$B$60,$AW205,SUMIF($B$10:$B$16,"NCAP_TLIFE",$AX$10:$AX$16)),0,""))</f>
        <v/>
      </c>
      <c r="AM205" s="369" t="str">
        <f ca="1">IF($B205&lt;&gt;"PRC_RESID","",IF(AM$7=2005+OFFSET(COM_N_2012!$B$60,$AW205,SUMIF($B$10:$B$16,"NCAP_TLIFE",$AX$10:$AX$16)),0,""))</f>
        <v/>
      </c>
      <c r="AN205" s="369" t="str">
        <f ca="1">IF($B205&lt;&gt;"PRC_RESID","",IF(AN$7=2005+OFFSET(COM_N_2012!$B$60,$AW205,SUMIF($B$10:$B$16,"NCAP_TLIFE",$AX$10:$AX$16)),0,""))</f>
        <v/>
      </c>
      <c r="AO205" s="369" t="str">
        <f ca="1">IF($B205&lt;&gt;"PRC_RESID","",IF(AO$7=2005+OFFSET(COM_N_2012!$B$60,$AW205,SUMIF($B$10:$B$16,"NCAP_TLIFE",$AX$10:$AX$16)),0,""))</f>
        <v/>
      </c>
      <c r="AP205" s="369" t="str">
        <f ca="1">IF($B205&lt;&gt;"PRC_RESID","",IF(AP$7=2005+OFFSET(COM_N_2012!$B$60,$AW205,SUMIF($B$10:$B$16,"NCAP_TLIFE",$AX$10:$AX$16)),0,""))</f>
        <v/>
      </c>
      <c r="AQ205" s="369" t="str">
        <f ca="1">IF($B205&lt;&gt;"PRC_RESID","",IF(AQ$7=2005+OFFSET(COM_N_2012!$B$60,$AW205,SUMIF($B$10:$B$16,"NCAP_TLIFE",$AX$10:$AX$16)),0,""))</f>
        <v/>
      </c>
      <c r="AR205" s="369" t="str">
        <f ca="1">IF($B205&lt;&gt;"PRC_RESID","",IF(AR$7=2005+OFFSET(COM_N_2012!$B$60,$AW205,SUMIF($B$10:$B$16,"NCAP_TLIFE",$AX$10:$AX$16)),0,""))</f>
        <v/>
      </c>
      <c r="AS205" s="369" t="str">
        <f ca="1">IF($B205&lt;&gt;"PRC_RESID","",IF(AS$7=2005+OFFSET(COM_N_2012!$B$60,$AW205,SUMIF($B$10:$B$16,"NCAP_TLIFE",$AX$10:$AX$16)),0,""))</f>
        <v/>
      </c>
      <c r="AT205" s="369" t="str">
        <f ca="1">IF($B205&lt;&gt;"PRC_RESID","",IF(AT$7=2005+OFFSET(COM_N_2012!$B$60,$AW205,SUMIF($B$10:$B$16,"NCAP_TLIFE",$AX$10:$AX$16)),0,""))</f>
        <v/>
      </c>
      <c r="AU205" s="369" t="str">
        <f ca="1">IF($B205&lt;&gt;"PRC_RESID","",IF(AU$7=2005+OFFSET(COM_N_2012!$B$60,$AW205,SUMIF($B$10:$B$16,"NCAP_TLIFE",$AX$10:$AX$16)),0,""))</f>
        <v/>
      </c>
      <c r="AV205" s="304">
        <f>IF(AW204=COM_N_2012!$AK$121,AV204+1,AV204)</f>
        <v>4</v>
      </c>
      <c r="AW205" s="304">
        <f t="shared" si="20"/>
        <v>5</v>
      </c>
    </row>
    <row r="206" spans="1:49">
      <c r="A206" s="304" t="str">
        <f ca="1">IF(LEFT(OFFSET(COM_N_2012!$A$60,AW206,0),2)="\I","*","")</f>
        <v/>
      </c>
      <c r="B206" s="369" t="str">
        <f t="shared" ca="1" si="19"/>
        <v>NCAP_COST</v>
      </c>
      <c r="C206" s="369" t="str">
        <f ca="1">IF($A206="*","",OFFSET(COM_N_2012!$B$60,AW206,0))</f>
        <v>CNCELCHP-N</v>
      </c>
      <c r="D206" s="369" t="str">
        <f t="shared" ca="1" si="26"/>
        <v>-</v>
      </c>
      <c r="E206" s="369" t="str">
        <f t="shared" ca="1" si="26"/>
        <v>-</v>
      </c>
      <c r="F206" s="369" t="str">
        <f t="shared" ca="1" si="26"/>
        <v>-</v>
      </c>
      <c r="G206" s="369" t="str">
        <f t="shared" ca="1" si="26"/>
        <v>-</v>
      </c>
      <c r="H206" s="369" t="str">
        <f t="shared" ca="1" si="26"/>
        <v>-</v>
      </c>
      <c r="I206" s="370">
        <f t="shared" ca="1" si="26"/>
        <v>0</v>
      </c>
      <c r="J206" s="391">
        <f ca="1">IF($A206="*","",OFFSET(COM_N_2012!$B$60,AW206,SUMIF($B$10:$B$16,B206,$AX$10:$AX$16)))</f>
        <v>261.24997872939326</v>
      </c>
      <c r="K206" s="369" t="str">
        <f ca="1">IF($B206&lt;&gt;"PRC_RESID","",IF(K$7=2005+OFFSET(COM_N_2012!$B$60,$AW206,SUMIF($B$10:$B$16,"NCAP_TLIFE",$AX$10:$AX$16)),0,""))</f>
        <v/>
      </c>
      <c r="L206" s="369" t="str">
        <f ca="1">IF($B206&lt;&gt;"PRC_RESID","",IF(L$7=2005+OFFSET(COM_N_2012!$B$60,$AW206,SUMIF($B$10:$B$16,"NCAP_TLIFE",$AX$10:$AX$16)),0,""))</f>
        <v/>
      </c>
      <c r="M206" s="369" t="str">
        <f ca="1">IF($B206&lt;&gt;"PRC_RESID","",IF(M$7=2005+OFFSET(COM_N_2012!$B$60,$AW206,SUMIF($B$10:$B$16,"NCAP_TLIFE",$AX$10:$AX$16)),0,""))</f>
        <v/>
      </c>
      <c r="N206" s="369" t="str">
        <f ca="1">IF($B206&lt;&gt;"PRC_RESID","",IF(N$7=2005+OFFSET(COM_N_2012!$B$60,$AW206,SUMIF($B$10:$B$16,"NCAP_TLIFE",$AX$10:$AX$16)),0,""))</f>
        <v/>
      </c>
      <c r="O206" s="369" t="str">
        <f ca="1">IF($B206&lt;&gt;"PRC_RESID","",IF(O$7=2005+OFFSET(COM_N_2012!$B$60,$AW206,SUMIF($B$10:$B$16,"NCAP_TLIFE",$AX$10:$AX$16)),0,""))</f>
        <v/>
      </c>
      <c r="P206" s="369" t="str">
        <f ca="1">IF($B206&lt;&gt;"PRC_RESID","",IF(P$7=2005+OFFSET(COM_N_2012!$B$60,$AW206,SUMIF($B$10:$B$16,"NCAP_TLIFE",$AX$10:$AX$16)),0,""))</f>
        <v/>
      </c>
      <c r="Q206" s="369" t="str">
        <f ca="1">IF($B206&lt;&gt;"PRC_RESID","",IF(Q$7=2005+OFFSET(COM_N_2012!$B$60,$AW206,SUMIF($B$10:$B$16,"NCAP_TLIFE",$AX$10:$AX$16)),0,""))</f>
        <v/>
      </c>
      <c r="R206" s="369" t="str">
        <f ca="1">IF($B206&lt;&gt;"PRC_RESID","",IF(R$7=2005+OFFSET(COM_N_2012!$B$60,$AW206,SUMIF($B$10:$B$16,"NCAP_TLIFE",$AX$10:$AX$16)),0,""))</f>
        <v/>
      </c>
      <c r="S206" s="369" t="str">
        <f ca="1">IF($B206&lt;&gt;"PRC_RESID","",IF(S$7=2005+OFFSET(COM_N_2012!$B$60,$AW206,SUMIF($B$10:$B$16,"NCAP_TLIFE",$AX$10:$AX$16)),0,""))</f>
        <v/>
      </c>
      <c r="T206" s="369" t="str">
        <f ca="1">IF($B206&lt;&gt;"PRC_RESID","",IF(T$7=2005+OFFSET(COM_N_2012!$B$60,$AW206,SUMIF($B$10:$B$16,"NCAP_TLIFE",$AX$10:$AX$16)),0,""))</f>
        <v/>
      </c>
      <c r="U206" s="369" t="str">
        <f ca="1">IF($B206&lt;&gt;"PRC_RESID","",IF(U$7=2005+OFFSET(COM_N_2012!$B$60,$AW206,SUMIF($B$10:$B$16,"NCAP_TLIFE",$AX$10:$AX$16)),0,""))</f>
        <v/>
      </c>
      <c r="V206" s="369" t="str">
        <f ca="1">IF($B206&lt;&gt;"PRC_RESID","",IF(V$7=2005+OFFSET(COM_N_2012!$B$60,$AW206,SUMIF($B$10:$B$16,"NCAP_TLIFE",$AX$10:$AX$16)),0,""))</f>
        <v/>
      </c>
      <c r="W206" s="369" t="str">
        <f ca="1">IF($B206&lt;&gt;"PRC_RESID","",IF(W$7=2005+OFFSET(COM_N_2012!$B$60,$AW206,SUMIF($B$10:$B$16,"NCAP_TLIFE",$AX$10:$AX$16)),0,""))</f>
        <v/>
      </c>
      <c r="X206" s="369" t="str">
        <f ca="1">IF($B206&lt;&gt;"PRC_RESID","",IF(X$7=2005+OFFSET(COM_N_2012!$B$60,$AW206,SUMIF($B$10:$B$16,"NCAP_TLIFE",$AX$10:$AX$16)),0,""))</f>
        <v/>
      </c>
      <c r="Y206" s="369" t="str">
        <f ca="1">IF($B206&lt;&gt;"PRC_RESID","",IF(Y$7=2005+OFFSET(COM_N_2012!$B$60,$AW206,SUMIF($B$10:$B$16,"NCAP_TLIFE",$AX$10:$AX$16)),0,""))</f>
        <v/>
      </c>
      <c r="Z206" s="369" t="str">
        <f ca="1">IF($B206&lt;&gt;"PRC_RESID","",IF(Z$7=2005+OFFSET(COM_N_2012!$B$60,$AW206,SUMIF($B$10:$B$16,"NCAP_TLIFE",$AX$10:$AX$16)),0,""))</f>
        <v/>
      </c>
      <c r="AA206" s="369" t="str">
        <f ca="1">IF($B206&lt;&gt;"PRC_RESID","",IF(AA$7=2005+OFFSET(COM_N_2012!$B$60,$AW206,SUMIF($B$10:$B$16,"NCAP_TLIFE",$AX$10:$AX$16)),0,""))</f>
        <v/>
      </c>
      <c r="AB206" s="369" t="str">
        <f ca="1">IF($B206&lt;&gt;"PRC_RESID","",IF(AB$7=2005+OFFSET(COM_N_2012!$B$60,$AW206,SUMIF($B$10:$B$16,"NCAP_TLIFE",$AX$10:$AX$16)),0,""))</f>
        <v/>
      </c>
      <c r="AC206" s="369" t="str">
        <f ca="1">IF($B206&lt;&gt;"PRC_RESID","",IF(AC$7=2005+OFFSET(COM_N_2012!$B$60,$AW206,SUMIF($B$10:$B$16,"NCAP_TLIFE",$AX$10:$AX$16)),0,""))</f>
        <v/>
      </c>
      <c r="AD206" s="369" t="str">
        <f ca="1">IF($B206&lt;&gt;"PRC_RESID","",IF(AD$7=2005+OFFSET(COM_N_2012!$B$60,$AW206,SUMIF($B$10:$B$16,"NCAP_TLIFE",$AX$10:$AX$16)),0,""))</f>
        <v/>
      </c>
      <c r="AE206" s="369" t="str">
        <f ca="1">IF($B206&lt;&gt;"PRC_RESID","",IF(AE$7=2005+OFFSET(COM_N_2012!$B$60,$AW206,SUMIF($B$10:$B$16,"NCAP_TLIFE",$AX$10:$AX$16)),0,""))</f>
        <v/>
      </c>
      <c r="AF206" s="369" t="str">
        <f ca="1">IF($B206&lt;&gt;"PRC_RESID","",IF(AF$7=2005+OFFSET(COM_N_2012!$B$60,$AW206,SUMIF($B$10:$B$16,"NCAP_TLIFE",$AX$10:$AX$16)),0,""))</f>
        <v/>
      </c>
      <c r="AG206" s="369" t="str">
        <f ca="1">IF($B206&lt;&gt;"PRC_RESID","",IF(AG$7=2005+OFFSET(COM_N_2012!$B$60,$AW206,SUMIF($B$10:$B$16,"NCAP_TLIFE",$AX$10:$AX$16)),0,""))</f>
        <v/>
      </c>
      <c r="AH206" s="369" t="str">
        <f ca="1">IF($B206&lt;&gt;"PRC_RESID","",IF(AH$7=2005+OFFSET(COM_N_2012!$B$60,$AW206,SUMIF($B$10:$B$16,"NCAP_TLIFE",$AX$10:$AX$16)),0,""))</f>
        <v/>
      </c>
      <c r="AI206" s="369" t="str">
        <f ca="1">IF($B206&lt;&gt;"PRC_RESID","",IF(AI$7=2005+OFFSET(COM_N_2012!$B$60,$AW206,SUMIF($B$10:$B$16,"NCAP_TLIFE",$AX$10:$AX$16)),0,""))</f>
        <v/>
      </c>
      <c r="AJ206" s="369" t="str">
        <f ca="1">IF($B206&lt;&gt;"PRC_RESID","",IF(AJ$7=2005+OFFSET(COM_N_2012!$B$60,$AW206,SUMIF($B$10:$B$16,"NCAP_TLIFE",$AX$10:$AX$16)),0,""))</f>
        <v/>
      </c>
      <c r="AK206" s="369" t="str">
        <f ca="1">IF($B206&lt;&gt;"PRC_RESID","",IF(AK$7=2005+OFFSET(COM_N_2012!$B$60,$AW206,SUMIF($B$10:$B$16,"NCAP_TLIFE",$AX$10:$AX$16)),0,""))</f>
        <v/>
      </c>
      <c r="AL206" s="369" t="str">
        <f ca="1">IF($B206&lt;&gt;"PRC_RESID","",IF(AL$7=2005+OFFSET(COM_N_2012!$B$60,$AW206,SUMIF($B$10:$B$16,"NCAP_TLIFE",$AX$10:$AX$16)),0,""))</f>
        <v/>
      </c>
      <c r="AM206" s="369" t="str">
        <f ca="1">IF($B206&lt;&gt;"PRC_RESID","",IF(AM$7=2005+OFFSET(COM_N_2012!$B$60,$AW206,SUMIF($B$10:$B$16,"NCAP_TLIFE",$AX$10:$AX$16)),0,""))</f>
        <v/>
      </c>
      <c r="AN206" s="369" t="str">
        <f ca="1">IF($B206&lt;&gt;"PRC_RESID","",IF(AN$7=2005+OFFSET(COM_N_2012!$B$60,$AW206,SUMIF($B$10:$B$16,"NCAP_TLIFE",$AX$10:$AX$16)),0,""))</f>
        <v/>
      </c>
      <c r="AO206" s="369" t="str">
        <f ca="1">IF($B206&lt;&gt;"PRC_RESID","",IF(AO$7=2005+OFFSET(COM_N_2012!$B$60,$AW206,SUMIF($B$10:$B$16,"NCAP_TLIFE",$AX$10:$AX$16)),0,""))</f>
        <v/>
      </c>
      <c r="AP206" s="369" t="str">
        <f ca="1">IF($B206&lt;&gt;"PRC_RESID","",IF(AP$7=2005+OFFSET(COM_N_2012!$B$60,$AW206,SUMIF($B$10:$B$16,"NCAP_TLIFE",$AX$10:$AX$16)),0,""))</f>
        <v/>
      </c>
      <c r="AQ206" s="369" t="str">
        <f ca="1">IF($B206&lt;&gt;"PRC_RESID","",IF(AQ$7=2005+OFFSET(COM_N_2012!$B$60,$AW206,SUMIF($B$10:$B$16,"NCAP_TLIFE",$AX$10:$AX$16)),0,""))</f>
        <v/>
      </c>
      <c r="AR206" s="369" t="str">
        <f ca="1">IF($B206&lt;&gt;"PRC_RESID","",IF(AR$7=2005+OFFSET(COM_N_2012!$B$60,$AW206,SUMIF($B$10:$B$16,"NCAP_TLIFE",$AX$10:$AX$16)),0,""))</f>
        <v/>
      </c>
      <c r="AS206" s="369" t="str">
        <f ca="1">IF($B206&lt;&gt;"PRC_RESID","",IF(AS$7=2005+OFFSET(COM_N_2012!$B$60,$AW206,SUMIF($B$10:$B$16,"NCAP_TLIFE",$AX$10:$AX$16)),0,""))</f>
        <v/>
      </c>
      <c r="AT206" s="369" t="str">
        <f ca="1">IF($B206&lt;&gt;"PRC_RESID","",IF(AT$7=2005+OFFSET(COM_N_2012!$B$60,$AW206,SUMIF($B$10:$B$16,"NCAP_TLIFE",$AX$10:$AX$16)),0,""))</f>
        <v/>
      </c>
      <c r="AU206" s="369" t="str">
        <f ca="1">IF($B206&lt;&gt;"PRC_RESID","",IF(AU$7=2005+OFFSET(COM_N_2012!$B$60,$AW206,SUMIF($B$10:$B$16,"NCAP_TLIFE",$AX$10:$AX$16)),0,""))</f>
        <v/>
      </c>
      <c r="AV206" s="304">
        <f>IF(AW205=COM_N_2012!$AK$121,AV205+1,AV205)</f>
        <v>4</v>
      </c>
      <c r="AW206" s="304">
        <f t="shared" si="20"/>
        <v>6</v>
      </c>
    </row>
    <row r="207" spans="1:49">
      <c r="A207" s="304" t="str">
        <f ca="1">IF(LEFT(OFFSET(COM_N_2012!$A$60,AW207,0),2)="\I","*","")</f>
        <v>*</v>
      </c>
      <c r="B207" s="369" t="str">
        <f t="shared" ca="1" si="19"/>
        <v/>
      </c>
      <c r="C207" s="369" t="str">
        <f ca="1">IF($A207="*","",OFFSET(COM_N_2012!$B$60,AW207,0))</f>
        <v/>
      </c>
      <c r="D207" s="369" t="str">
        <f t="shared" ca="1" si="26"/>
        <v/>
      </c>
      <c r="E207" s="369" t="str">
        <f t="shared" ca="1" si="26"/>
        <v/>
      </c>
      <c r="F207" s="369" t="str">
        <f t="shared" ca="1" si="26"/>
        <v/>
      </c>
      <c r="G207" s="369" t="str">
        <f t="shared" ca="1" si="26"/>
        <v/>
      </c>
      <c r="H207" s="369" t="str">
        <f t="shared" ca="1" si="26"/>
        <v/>
      </c>
      <c r="I207" s="370" t="str">
        <f t="shared" ca="1" si="26"/>
        <v/>
      </c>
      <c r="J207" s="391" t="str">
        <f ca="1">IF($A207="*","",OFFSET(COM_N_2012!$B$60,AW207,SUMIF($B$10:$B$16,B207,$AX$10:$AX$16)))</f>
        <v/>
      </c>
      <c r="K207" s="369" t="str">
        <f ca="1">IF($B207&lt;&gt;"PRC_RESID","",IF(K$7=2005+OFFSET(COM_N_2012!$B$60,$AW207,SUMIF($B$10:$B$16,"NCAP_TLIFE",$AX$10:$AX$16)),0,""))</f>
        <v/>
      </c>
      <c r="L207" s="369" t="str">
        <f ca="1">IF($B207&lt;&gt;"PRC_RESID","",IF(L$7=2005+OFFSET(COM_N_2012!$B$60,$AW207,SUMIF($B$10:$B$16,"NCAP_TLIFE",$AX$10:$AX$16)),0,""))</f>
        <v/>
      </c>
      <c r="M207" s="369" t="str">
        <f ca="1">IF($B207&lt;&gt;"PRC_RESID","",IF(M$7=2005+OFFSET(COM_N_2012!$B$60,$AW207,SUMIF($B$10:$B$16,"NCAP_TLIFE",$AX$10:$AX$16)),0,""))</f>
        <v/>
      </c>
      <c r="N207" s="369" t="str">
        <f ca="1">IF($B207&lt;&gt;"PRC_RESID","",IF(N$7=2005+OFFSET(COM_N_2012!$B$60,$AW207,SUMIF($B$10:$B$16,"NCAP_TLIFE",$AX$10:$AX$16)),0,""))</f>
        <v/>
      </c>
      <c r="O207" s="369" t="str">
        <f ca="1">IF($B207&lt;&gt;"PRC_RESID","",IF(O$7=2005+OFFSET(COM_N_2012!$B$60,$AW207,SUMIF($B$10:$B$16,"NCAP_TLIFE",$AX$10:$AX$16)),0,""))</f>
        <v/>
      </c>
      <c r="P207" s="369" t="str">
        <f ca="1">IF($B207&lt;&gt;"PRC_RESID","",IF(P$7=2005+OFFSET(COM_N_2012!$B$60,$AW207,SUMIF($B$10:$B$16,"NCAP_TLIFE",$AX$10:$AX$16)),0,""))</f>
        <v/>
      </c>
      <c r="Q207" s="369" t="str">
        <f ca="1">IF($B207&lt;&gt;"PRC_RESID","",IF(Q$7=2005+OFFSET(COM_N_2012!$B$60,$AW207,SUMIF($B$10:$B$16,"NCAP_TLIFE",$AX$10:$AX$16)),0,""))</f>
        <v/>
      </c>
      <c r="R207" s="369" t="str">
        <f ca="1">IF($B207&lt;&gt;"PRC_RESID","",IF(R$7=2005+OFFSET(COM_N_2012!$B$60,$AW207,SUMIF($B$10:$B$16,"NCAP_TLIFE",$AX$10:$AX$16)),0,""))</f>
        <v/>
      </c>
      <c r="S207" s="369" t="str">
        <f ca="1">IF($B207&lt;&gt;"PRC_RESID","",IF(S$7=2005+OFFSET(COM_N_2012!$B$60,$AW207,SUMIF($B$10:$B$16,"NCAP_TLIFE",$AX$10:$AX$16)),0,""))</f>
        <v/>
      </c>
      <c r="T207" s="369" t="str">
        <f ca="1">IF($B207&lt;&gt;"PRC_RESID","",IF(T$7=2005+OFFSET(COM_N_2012!$B$60,$AW207,SUMIF($B$10:$B$16,"NCAP_TLIFE",$AX$10:$AX$16)),0,""))</f>
        <v/>
      </c>
      <c r="U207" s="369" t="str">
        <f ca="1">IF($B207&lt;&gt;"PRC_RESID","",IF(U$7=2005+OFFSET(COM_N_2012!$B$60,$AW207,SUMIF($B$10:$B$16,"NCAP_TLIFE",$AX$10:$AX$16)),0,""))</f>
        <v/>
      </c>
      <c r="V207" s="369" t="str">
        <f ca="1">IF($B207&lt;&gt;"PRC_RESID","",IF(V$7=2005+OFFSET(COM_N_2012!$B$60,$AW207,SUMIF($B$10:$B$16,"NCAP_TLIFE",$AX$10:$AX$16)),0,""))</f>
        <v/>
      </c>
      <c r="W207" s="369" t="str">
        <f ca="1">IF($B207&lt;&gt;"PRC_RESID","",IF(W$7=2005+OFFSET(COM_N_2012!$B$60,$AW207,SUMIF($B$10:$B$16,"NCAP_TLIFE",$AX$10:$AX$16)),0,""))</f>
        <v/>
      </c>
      <c r="X207" s="369" t="str">
        <f ca="1">IF($B207&lt;&gt;"PRC_RESID","",IF(X$7=2005+OFFSET(COM_N_2012!$B$60,$AW207,SUMIF($B$10:$B$16,"NCAP_TLIFE",$AX$10:$AX$16)),0,""))</f>
        <v/>
      </c>
      <c r="Y207" s="369" t="str">
        <f ca="1">IF($B207&lt;&gt;"PRC_RESID","",IF(Y$7=2005+OFFSET(COM_N_2012!$B$60,$AW207,SUMIF($B$10:$B$16,"NCAP_TLIFE",$AX$10:$AX$16)),0,""))</f>
        <v/>
      </c>
      <c r="Z207" s="369" t="str">
        <f ca="1">IF($B207&lt;&gt;"PRC_RESID","",IF(Z$7=2005+OFFSET(COM_N_2012!$B$60,$AW207,SUMIF($B$10:$B$16,"NCAP_TLIFE",$AX$10:$AX$16)),0,""))</f>
        <v/>
      </c>
      <c r="AA207" s="369" t="str">
        <f ca="1">IF($B207&lt;&gt;"PRC_RESID","",IF(AA$7=2005+OFFSET(COM_N_2012!$B$60,$AW207,SUMIF($B$10:$B$16,"NCAP_TLIFE",$AX$10:$AX$16)),0,""))</f>
        <v/>
      </c>
      <c r="AB207" s="369" t="str">
        <f ca="1">IF($B207&lt;&gt;"PRC_RESID","",IF(AB$7=2005+OFFSET(COM_N_2012!$B$60,$AW207,SUMIF($B$10:$B$16,"NCAP_TLIFE",$AX$10:$AX$16)),0,""))</f>
        <v/>
      </c>
      <c r="AC207" s="369" t="str">
        <f ca="1">IF($B207&lt;&gt;"PRC_RESID","",IF(AC$7=2005+OFFSET(COM_N_2012!$B$60,$AW207,SUMIF($B$10:$B$16,"NCAP_TLIFE",$AX$10:$AX$16)),0,""))</f>
        <v/>
      </c>
      <c r="AD207" s="369" t="str">
        <f ca="1">IF($B207&lt;&gt;"PRC_RESID","",IF(AD$7=2005+OFFSET(COM_N_2012!$B$60,$AW207,SUMIF($B$10:$B$16,"NCAP_TLIFE",$AX$10:$AX$16)),0,""))</f>
        <v/>
      </c>
      <c r="AE207" s="369" t="str">
        <f ca="1">IF($B207&lt;&gt;"PRC_RESID","",IF(AE$7=2005+OFFSET(COM_N_2012!$B$60,$AW207,SUMIF($B$10:$B$16,"NCAP_TLIFE",$AX$10:$AX$16)),0,""))</f>
        <v/>
      </c>
      <c r="AF207" s="369" t="str">
        <f ca="1">IF($B207&lt;&gt;"PRC_RESID","",IF(AF$7=2005+OFFSET(COM_N_2012!$B$60,$AW207,SUMIF($B$10:$B$16,"NCAP_TLIFE",$AX$10:$AX$16)),0,""))</f>
        <v/>
      </c>
      <c r="AG207" s="369" t="str">
        <f ca="1">IF($B207&lt;&gt;"PRC_RESID","",IF(AG$7=2005+OFFSET(COM_N_2012!$B$60,$AW207,SUMIF($B$10:$B$16,"NCAP_TLIFE",$AX$10:$AX$16)),0,""))</f>
        <v/>
      </c>
      <c r="AH207" s="369" t="str">
        <f ca="1">IF($B207&lt;&gt;"PRC_RESID","",IF(AH$7=2005+OFFSET(COM_N_2012!$B$60,$AW207,SUMIF($B$10:$B$16,"NCAP_TLIFE",$AX$10:$AX$16)),0,""))</f>
        <v/>
      </c>
      <c r="AI207" s="369" t="str">
        <f ca="1">IF($B207&lt;&gt;"PRC_RESID","",IF(AI$7=2005+OFFSET(COM_N_2012!$B$60,$AW207,SUMIF($B$10:$B$16,"NCAP_TLIFE",$AX$10:$AX$16)),0,""))</f>
        <v/>
      </c>
      <c r="AJ207" s="369" t="str">
        <f ca="1">IF($B207&lt;&gt;"PRC_RESID","",IF(AJ$7=2005+OFFSET(COM_N_2012!$B$60,$AW207,SUMIF($B$10:$B$16,"NCAP_TLIFE",$AX$10:$AX$16)),0,""))</f>
        <v/>
      </c>
      <c r="AK207" s="369" t="str">
        <f ca="1">IF($B207&lt;&gt;"PRC_RESID","",IF(AK$7=2005+OFFSET(COM_N_2012!$B$60,$AW207,SUMIF($B$10:$B$16,"NCAP_TLIFE",$AX$10:$AX$16)),0,""))</f>
        <v/>
      </c>
      <c r="AL207" s="369" t="str">
        <f ca="1">IF($B207&lt;&gt;"PRC_RESID","",IF(AL$7=2005+OFFSET(COM_N_2012!$B$60,$AW207,SUMIF($B$10:$B$16,"NCAP_TLIFE",$AX$10:$AX$16)),0,""))</f>
        <v/>
      </c>
      <c r="AM207" s="369" t="str">
        <f ca="1">IF($B207&lt;&gt;"PRC_RESID","",IF(AM$7=2005+OFFSET(COM_N_2012!$B$60,$AW207,SUMIF($B$10:$B$16,"NCAP_TLIFE",$AX$10:$AX$16)),0,""))</f>
        <v/>
      </c>
      <c r="AN207" s="369" t="str">
        <f ca="1">IF($B207&lt;&gt;"PRC_RESID","",IF(AN$7=2005+OFFSET(COM_N_2012!$B$60,$AW207,SUMIF($B$10:$B$16,"NCAP_TLIFE",$AX$10:$AX$16)),0,""))</f>
        <v/>
      </c>
      <c r="AO207" s="369" t="str">
        <f ca="1">IF($B207&lt;&gt;"PRC_RESID","",IF(AO$7=2005+OFFSET(COM_N_2012!$B$60,$AW207,SUMIF($B$10:$B$16,"NCAP_TLIFE",$AX$10:$AX$16)),0,""))</f>
        <v/>
      </c>
      <c r="AP207" s="369" t="str">
        <f ca="1">IF($B207&lt;&gt;"PRC_RESID","",IF(AP$7=2005+OFFSET(COM_N_2012!$B$60,$AW207,SUMIF($B$10:$B$16,"NCAP_TLIFE",$AX$10:$AX$16)),0,""))</f>
        <v/>
      </c>
      <c r="AQ207" s="369" t="str">
        <f ca="1">IF($B207&lt;&gt;"PRC_RESID","",IF(AQ$7=2005+OFFSET(COM_N_2012!$B$60,$AW207,SUMIF($B$10:$B$16,"NCAP_TLIFE",$AX$10:$AX$16)),0,""))</f>
        <v/>
      </c>
      <c r="AR207" s="369" t="str">
        <f ca="1">IF($B207&lt;&gt;"PRC_RESID","",IF(AR$7=2005+OFFSET(COM_N_2012!$B$60,$AW207,SUMIF($B$10:$B$16,"NCAP_TLIFE",$AX$10:$AX$16)),0,""))</f>
        <v/>
      </c>
      <c r="AS207" s="369" t="str">
        <f ca="1">IF($B207&lt;&gt;"PRC_RESID","",IF(AS$7=2005+OFFSET(COM_N_2012!$B$60,$AW207,SUMIF($B$10:$B$16,"NCAP_TLIFE",$AX$10:$AX$16)),0,""))</f>
        <v/>
      </c>
      <c r="AT207" s="369" t="str">
        <f ca="1">IF($B207&lt;&gt;"PRC_RESID","",IF(AT$7=2005+OFFSET(COM_N_2012!$B$60,$AW207,SUMIF($B$10:$B$16,"NCAP_TLIFE",$AX$10:$AX$16)),0,""))</f>
        <v/>
      </c>
      <c r="AU207" s="369" t="str">
        <f ca="1">IF($B207&lt;&gt;"PRC_RESID","",IF(AU$7=2005+OFFSET(COM_N_2012!$B$60,$AW207,SUMIF($B$10:$B$16,"NCAP_TLIFE",$AX$10:$AX$16)),0,""))</f>
        <v/>
      </c>
      <c r="AV207" s="304">
        <f>IF(AW206=COM_N_2012!$AK$121,AV206+1,AV206)</f>
        <v>4</v>
      </c>
      <c r="AW207" s="304">
        <f t="shared" si="20"/>
        <v>7</v>
      </c>
    </row>
    <row r="208" spans="1:49">
      <c r="A208" s="304" t="str">
        <f ca="1">IF(LEFT(OFFSET(COM_N_2012!$A$60,AW208,0),2)="\I","*","")</f>
        <v>*</v>
      </c>
      <c r="B208" s="369" t="str">
        <f t="shared" ca="1" si="19"/>
        <v/>
      </c>
      <c r="C208" s="369" t="str">
        <f ca="1">IF($A208="*","",OFFSET(COM_N_2012!$B$60,AW208,0))</f>
        <v/>
      </c>
      <c r="D208" s="369" t="str">
        <f t="shared" ref="D208:I217" ca="1" si="27">IF($A208="*","",VLOOKUP($B208,$B$10:$I$16,D$9,FALSE))</f>
        <v/>
      </c>
      <c r="E208" s="369" t="str">
        <f t="shared" ca="1" si="27"/>
        <v/>
      </c>
      <c r="F208" s="369" t="str">
        <f t="shared" ca="1" si="27"/>
        <v/>
      </c>
      <c r="G208" s="369" t="str">
        <f t="shared" ca="1" si="27"/>
        <v/>
      </c>
      <c r="H208" s="369" t="str">
        <f t="shared" ca="1" si="27"/>
        <v/>
      </c>
      <c r="I208" s="370" t="str">
        <f t="shared" ca="1" si="27"/>
        <v/>
      </c>
      <c r="J208" s="391" t="str">
        <f ca="1">IF($A208="*","",OFFSET(COM_N_2012!$B$60,AW208,SUMIF($B$10:$B$16,B208,$AX$10:$AX$16)))</f>
        <v/>
      </c>
      <c r="K208" s="369" t="str">
        <f ca="1">IF($B208&lt;&gt;"PRC_RESID","",IF(K$7=2005+OFFSET(COM_N_2012!$B$60,$AW208,SUMIF($B$10:$B$16,"NCAP_TLIFE",$AX$10:$AX$16)),0,""))</f>
        <v/>
      </c>
      <c r="L208" s="369" t="str">
        <f ca="1">IF($B208&lt;&gt;"PRC_RESID","",IF(L$7=2005+OFFSET(COM_N_2012!$B$60,$AW208,SUMIF($B$10:$B$16,"NCAP_TLIFE",$AX$10:$AX$16)),0,""))</f>
        <v/>
      </c>
      <c r="M208" s="369" t="str">
        <f ca="1">IF($B208&lt;&gt;"PRC_RESID","",IF(M$7=2005+OFFSET(COM_N_2012!$B$60,$AW208,SUMIF($B$10:$B$16,"NCAP_TLIFE",$AX$10:$AX$16)),0,""))</f>
        <v/>
      </c>
      <c r="N208" s="369" t="str">
        <f ca="1">IF($B208&lt;&gt;"PRC_RESID","",IF(N$7=2005+OFFSET(COM_N_2012!$B$60,$AW208,SUMIF($B$10:$B$16,"NCAP_TLIFE",$AX$10:$AX$16)),0,""))</f>
        <v/>
      </c>
      <c r="O208" s="369" t="str">
        <f ca="1">IF($B208&lt;&gt;"PRC_RESID","",IF(O$7=2005+OFFSET(COM_N_2012!$B$60,$AW208,SUMIF($B$10:$B$16,"NCAP_TLIFE",$AX$10:$AX$16)),0,""))</f>
        <v/>
      </c>
      <c r="P208" s="369" t="str">
        <f ca="1">IF($B208&lt;&gt;"PRC_RESID","",IF(P$7=2005+OFFSET(COM_N_2012!$B$60,$AW208,SUMIF($B$10:$B$16,"NCAP_TLIFE",$AX$10:$AX$16)),0,""))</f>
        <v/>
      </c>
      <c r="Q208" s="369" t="str">
        <f ca="1">IF($B208&lt;&gt;"PRC_RESID","",IF(Q$7=2005+OFFSET(COM_N_2012!$B$60,$AW208,SUMIF($B$10:$B$16,"NCAP_TLIFE",$AX$10:$AX$16)),0,""))</f>
        <v/>
      </c>
      <c r="R208" s="369" t="str">
        <f ca="1">IF($B208&lt;&gt;"PRC_RESID","",IF(R$7=2005+OFFSET(COM_N_2012!$B$60,$AW208,SUMIF($B$10:$B$16,"NCAP_TLIFE",$AX$10:$AX$16)),0,""))</f>
        <v/>
      </c>
      <c r="S208" s="369" t="str">
        <f ca="1">IF($B208&lt;&gt;"PRC_RESID","",IF(S$7=2005+OFFSET(COM_N_2012!$B$60,$AW208,SUMIF($B$10:$B$16,"NCAP_TLIFE",$AX$10:$AX$16)),0,""))</f>
        <v/>
      </c>
      <c r="T208" s="369" t="str">
        <f ca="1">IF($B208&lt;&gt;"PRC_RESID","",IF(T$7=2005+OFFSET(COM_N_2012!$B$60,$AW208,SUMIF($B$10:$B$16,"NCAP_TLIFE",$AX$10:$AX$16)),0,""))</f>
        <v/>
      </c>
      <c r="U208" s="369" t="str">
        <f ca="1">IF($B208&lt;&gt;"PRC_RESID","",IF(U$7=2005+OFFSET(COM_N_2012!$B$60,$AW208,SUMIF($B$10:$B$16,"NCAP_TLIFE",$AX$10:$AX$16)),0,""))</f>
        <v/>
      </c>
      <c r="V208" s="369" t="str">
        <f ca="1">IF($B208&lt;&gt;"PRC_RESID","",IF(V$7=2005+OFFSET(COM_N_2012!$B$60,$AW208,SUMIF($B$10:$B$16,"NCAP_TLIFE",$AX$10:$AX$16)),0,""))</f>
        <v/>
      </c>
      <c r="W208" s="369" t="str">
        <f ca="1">IF($B208&lt;&gt;"PRC_RESID","",IF(W$7=2005+OFFSET(COM_N_2012!$B$60,$AW208,SUMIF($B$10:$B$16,"NCAP_TLIFE",$AX$10:$AX$16)),0,""))</f>
        <v/>
      </c>
      <c r="X208" s="369" t="str">
        <f ca="1">IF($B208&lt;&gt;"PRC_RESID","",IF(X$7=2005+OFFSET(COM_N_2012!$B$60,$AW208,SUMIF($B$10:$B$16,"NCAP_TLIFE",$AX$10:$AX$16)),0,""))</f>
        <v/>
      </c>
      <c r="Y208" s="369" t="str">
        <f ca="1">IF($B208&lt;&gt;"PRC_RESID","",IF(Y$7=2005+OFFSET(COM_N_2012!$B$60,$AW208,SUMIF($B$10:$B$16,"NCAP_TLIFE",$AX$10:$AX$16)),0,""))</f>
        <v/>
      </c>
      <c r="Z208" s="369" t="str">
        <f ca="1">IF($B208&lt;&gt;"PRC_RESID","",IF(Z$7=2005+OFFSET(COM_N_2012!$B$60,$AW208,SUMIF($B$10:$B$16,"NCAP_TLIFE",$AX$10:$AX$16)),0,""))</f>
        <v/>
      </c>
      <c r="AA208" s="369" t="str">
        <f ca="1">IF($B208&lt;&gt;"PRC_RESID","",IF(AA$7=2005+OFFSET(COM_N_2012!$B$60,$AW208,SUMIF($B$10:$B$16,"NCAP_TLIFE",$AX$10:$AX$16)),0,""))</f>
        <v/>
      </c>
      <c r="AB208" s="369" t="str">
        <f ca="1">IF($B208&lt;&gt;"PRC_RESID","",IF(AB$7=2005+OFFSET(COM_N_2012!$B$60,$AW208,SUMIF($B$10:$B$16,"NCAP_TLIFE",$AX$10:$AX$16)),0,""))</f>
        <v/>
      </c>
      <c r="AC208" s="369" t="str">
        <f ca="1">IF($B208&lt;&gt;"PRC_RESID","",IF(AC$7=2005+OFFSET(COM_N_2012!$B$60,$AW208,SUMIF($B$10:$B$16,"NCAP_TLIFE",$AX$10:$AX$16)),0,""))</f>
        <v/>
      </c>
      <c r="AD208" s="369" t="str">
        <f ca="1">IF($B208&lt;&gt;"PRC_RESID","",IF(AD$7=2005+OFFSET(COM_N_2012!$B$60,$AW208,SUMIF($B$10:$B$16,"NCAP_TLIFE",$AX$10:$AX$16)),0,""))</f>
        <v/>
      </c>
      <c r="AE208" s="369" t="str">
        <f ca="1">IF($B208&lt;&gt;"PRC_RESID","",IF(AE$7=2005+OFFSET(COM_N_2012!$B$60,$AW208,SUMIF($B$10:$B$16,"NCAP_TLIFE",$AX$10:$AX$16)),0,""))</f>
        <v/>
      </c>
      <c r="AF208" s="369" t="str">
        <f ca="1">IF($B208&lt;&gt;"PRC_RESID","",IF(AF$7=2005+OFFSET(COM_N_2012!$B$60,$AW208,SUMIF($B$10:$B$16,"NCAP_TLIFE",$AX$10:$AX$16)),0,""))</f>
        <v/>
      </c>
      <c r="AG208" s="369" t="str">
        <f ca="1">IF($B208&lt;&gt;"PRC_RESID","",IF(AG$7=2005+OFFSET(COM_N_2012!$B$60,$AW208,SUMIF($B$10:$B$16,"NCAP_TLIFE",$AX$10:$AX$16)),0,""))</f>
        <v/>
      </c>
      <c r="AH208" s="369" t="str">
        <f ca="1">IF($B208&lt;&gt;"PRC_RESID","",IF(AH$7=2005+OFFSET(COM_N_2012!$B$60,$AW208,SUMIF($B$10:$B$16,"NCAP_TLIFE",$AX$10:$AX$16)),0,""))</f>
        <v/>
      </c>
      <c r="AI208" s="369" t="str">
        <f ca="1">IF($B208&lt;&gt;"PRC_RESID","",IF(AI$7=2005+OFFSET(COM_N_2012!$B$60,$AW208,SUMIF($B$10:$B$16,"NCAP_TLIFE",$AX$10:$AX$16)),0,""))</f>
        <v/>
      </c>
      <c r="AJ208" s="369" t="str">
        <f ca="1">IF($B208&lt;&gt;"PRC_RESID","",IF(AJ$7=2005+OFFSET(COM_N_2012!$B$60,$AW208,SUMIF($B$10:$B$16,"NCAP_TLIFE",$AX$10:$AX$16)),0,""))</f>
        <v/>
      </c>
      <c r="AK208" s="369" t="str">
        <f ca="1">IF($B208&lt;&gt;"PRC_RESID","",IF(AK$7=2005+OFFSET(COM_N_2012!$B$60,$AW208,SUMIF($B$10:$B$16,"NCAP_TLIFE",$AX$10:$AX$16)),0,""))</f>
        <v/>
      </c>
      <c r="AL208" s="369" t="str">
        <f ca="1">IF($B208&lt;&gt;"PRC_RESID","",IF(AL$7=2005+OFFSET(COM_N_2012!$B$60,$AW208,SUMIF($B$10:$B$16,"NCAP_TLIFE",$AX$10:$AX$16)),0,""))</f>
        <v/>
      </c>
      <c r="AM208" s="369" t="str">
        <f ca="1">IF($B208&lt;&gt;"PRC_RESID","",IF(AM$7=2005+OFFSET(COM_N_2012!$B$60,$AW208,SUMIF($B$10:$B$16,"NCAP_TLIFE",$AX$10:$AX$16)),0,""))</f>
        <v/>
      </c>
      <c r="AN208" s="369" t="str">
        <f ca="1">IF($B208&lt;&gt;"PRC_RESID","",IF(AN$7=2005+OFFSET(COM_N_2012!$B$60,$AW208,SUMIF($B$10:$B$16,"NCAP_TLIFE",$AX$10:$AX$16)),0,""))</f>
        <v/>
      </c>
      <c r="AO208" s="369" t="str">
        <f ca="1">IF($B208&lt;&gt;"PRC_RESID","",IF(AO$7=2005+OFFSET(COM_N_2012!$B$60,$AW208,SUMIF($B$10:$B$16,"NCAP_TLIFE",$AX$10:$AX$16)),0,""))</f>
        <v/>
      </c>
      <c r="AP208" s="369" t="str">
        <f ca="1">IF($B208&lt;&gt;"PRC_RESID","",IF(AP$7=2005+OFFSET(COM_N_2012!$B$60,$AW208,SUMIF($B$10:$B$16,"NCAP_TLIFE",$AX$10:$AX$16)),0,""))</f>
        <v/>
      </c>
      <c r="AQ208" s="369" t="str">
        <f ca="1">IF($B208&lt;&gt;"PRC_RESID","",IF(AQ$7=2005+OFFSET(COM_N_2012!$B$60,$AW208,SUMIF($B$10:$B$16,"NCAP_TLIFE",$AX$10:$AX$16)),0,""))</f>
        <v/>
      </c>
      <c r="AR208" s="369" t="str">
        <f ca="1">IF($B208&lt;&gt;"PRC_RESID","",IF(AR$7=2005+OFFSET(COM_N_2012!$B$60,$AW208,SUMIF($B$10:$B$16,"NCAP_TLIFE",$AX$10:$AX$16)),0,""))</f>
        <v/>
      </c>
      <c r="AS208" s="369" t="str">
        <f ca="1">IF($B208&lt;&gt;"PRC_RESID","",IF(AS$7=2005+OFFSET(COM_N_2012!$B$60,$AW208,SUMIF($B$10:$B$16,"NCAP_TLIFE",$AX$10:$AX$16)),0,""))</f>
        <v/>
      </c>
      <c r="AT208" s="369" t="str">
        <f ca="1">IF($B208&lt;&gt;"PRC_RESID","",IF(AT$7=2005+OFFSET(COM_N_2012!$B$60,$AW208,SUMIF($B$10:$B$16,"NCAP_TLIFE",$AX$10:$AX$16)),0,""))</f>
        <v/>
      </c>
      <c r="AU208" s="369" t="str">
        <f ca="1">IF($B208&lt;&gt;"PRC_RESID","",IF(AU$7=2005+OFFSET(COM_N_2012!$B$60,$AW208,SUMIF($B$10:$B$16,"NCAP_TLIFE",$AX$10:$AX$16)),0,""))</f>
        <v/>
      </c>
      <c r="AV208" s="304">
        <f>IF(AW207=COM_N_2012!$AK$121,AV207+1,AV207)</f>
        <v>4</v>
      </c>
      <c r="AW208" s="304">
        <f t="shared" si="20"/>
        <v>8</v>
      </c>
    </row>
    <row r="209" spans="1:49">
      <c r="A209" s="304" t="str">
        <f ca="1">IF(LEFT(OFFSET(COM_N_2012!$A$60,AW209,0),2)="\I","*","")</f>
        <v/>
      </c>
      <c r="B209" s="369" t="str">
        <f t="shared" ca="1" si="19"/>
        <v>NCAP_COST</v>
      </c>
      <c r="C209" s="369" t="str">
        <f ca="1">IF($A209="*","",OFFSET(COM_N_2012!$B$60,AW209,0))</f>
        <v>CNHCOA-E</v>
      </c>
      <c r="D209" s="369" t="str">
        <f t="shared" ca="1" si="27"/>
        <v>-</v>
      </c>
      <c r="E209" s="369" t="str">
        <f t="shared" ca="1" si="27"/>
        <v>-</v>
      </c>
      <c r="F209" s="369" t="str">
        <f t="shared" ca="1" si="27"/>
        <v>-</v>
      </c>
      <c r="G209" s="369" t="str">
        <f t="shared" ca="1" si="27"/>
        <v>-</v>
      </c>
      <c r="H209" s="369" t="str">
        <f t="shared" ca="1" si="27"/>
        <v>-</v>
      </c>
      <c r="I209" s="370">
        <f t="shared" ca="1" si="27"/>
        <v>0</v>
      </c>
      <c r="J209" s="391">
        <f ca="1">IF($A209="*","",OFFSET(COM_N_2012!$B$60,AW209,SUMIF($B$10:$B$16,B209,$AX$10:$AX$16)))</f>
        <v>179.45037756394217</v>
      </c>
      <c r="K209" s="369" t="str">
        <f ca="1">IF($B209&lt;&gt;"PRC_RESID","",IF(K$7=2005+OFFSET(COM_N_2012!$B$60,$AW209,SUMIF($B$10:$B$16,"NCAP_TLIFE",$AX$10:$AX$16)),0,""))</f>
        <v/>
      </c>
      <c r="L209" s="369" t="str">
        <f ca="1">IF($B209&lt;&gt;"PRC_RESID","",IF(L$7=2005+OFFSET(COM_N_2012!$B$60,$AW209,SUMIF($B$10:$B$16,"NCAP_TLIFE",$AX$10:$AX$16)),0,""))</f>
        <v/>
      </c>
      <c r="M209" s="369" t="str">
        <f ca="1">IF($B209&lt;&gt;"PRC_RESID","",IF(M$7=2005+OFFSET(COM_N_2012!$B$60,$AW209,SUMIF($B$10:$B$16,"NCAP_TLIFE",$AX$10:$AX$16)),0,""))</f>
        <v/>
      </c>
      <c r="N209" s="369" t="str">
        <f ca="1">IF($B209&lt;&gt;"PRC_RESID","",IF(N$7=2005+OFFSET(COM_N_2012!$B$60,$AW209,SUMIF($B$10:$B$16,"NCAP_TLIFE",$AX$10:$AX$16)),0,""))</f>
        <v/>
      </c>
      <c r="O209" s="369" t="str">
        <f ca="1">IF($B209&lt;&gt;"PRC_RESID","",IF(O$7=2005+OFFSET(COM_N_2012!$B$60,$AW209,SUMIF($B$10:$B$16,"NCAP_TLIFE",$AX$10:$AX$16)),0,""))</f>
        <v/>
      </c>
      <c r="P209" s="369" t="str">
        <f ca="1">IF($B209&lt;&gt;"PRC_RESID","",IF(P$7=2005+OFFSET(COM_N_2012!$B$60,$AW209,SUMIF($B$10:$B$16,"NCAP_TLIFE",$AX$10:$AX$16)),0,""))</f>
        <v/>
      </c>
      <c r="Q209" s="369" t="str">
        <f ca="1">IF($B209&lt;&gt;"PRC_RESID","",IF(Q$7=2005+OFFSET(COM_N_2012!$B$60,$AW209,SUMIF($B$10:$B$16,"NCAP_TLIFE",$AX$10:$AX$16)),0,""))</f>
        <v/>
      </c>
      <c r="R209" s="369" t="str">
        <f ca="1">IF($B209&lt;&gt;"PRC_RESID","",IF(R$7=2005+OFFSET(COM_N_2012!$B$60,$AW209,SUMIF($B$10:$B$16,"NCAP_TLIFE",$AX$10:$AX$16)),0,""))</f>
        <v/>
      </c>
      <c r="S209" s="369" t="str">
        <f ca="1">IF($B209&lt;&gt;"PRC_RESID","",IF(S$7=2005+OFFSET(COM_N_2012!$B$60,$AW209,SUMIF($B$10:$B$16,"NCAP_TLIFE",$AX$10:$AX$16)),0,""))</f>
        <v/>
      </c>
      <c r="T209" s="369" t="str">
        <f ca="1">IF($B209&lt;&gt;"PRC_RESID","",IF(T$7=2005+OFFSET(COM_N_2012!$B$60,$AW209,SUMIF($B$10:$B$16,"NCAP_TLIFE",$AX$10:$AX$16)),0,""))</f>
        <v/>
      </c>
      <c r="U209" s="369" t="str">
        <f ca="1">IF($B209&lt;&gt;"PRC_RESID","",IF(U$7=2005+OFFSET(COM_N_2012!$B$60,$AW209,SUMIF($B$10:$B$16,"NCAP_TLIFE",$AX$10:$AX$16)),0,""))</f>
        <v/>
      </c>
      <c r="V209" s="369" t="str">
        <f ca="1">IF($B209&lt;&gt;"PRC_RESID","",IF(V$7=2005+OFFSET(COM_N_2012!$B$60,$AW209,SUMIF($B$10:$B$16,"NCAP_TLIFE",$AX$10:$AX$16)),0,""))</f>
        <v/>
      </c>
      <c r="W209" s="369" t="str">
        <f ca="1">IF($B209&lt;&gt;"PRC_RESID","",IF(W$7=2005+OFFSET(COM_N_2012!$B$60,$AW209,SUMIF($B$10:$B$16,"NCAP_TLIFE",$AX$10:$AX$16)),0,""))</f>
        <v/>
      </c>
      <c r="X209" s="369" t="str">
        <f ca="1">IF($B209&lt;&gt;"PRC_RESID","",IF(X$7=2005+OFFSET(COM_N_2012!$B$60,$AW209,SUMIF($B$10:$B$16,"NCAP_TLIFE",$AX$10:$AX$16)),0,""))</f>
        <v/>
      </c>
      <c r="Y209" s="369" t="str">
        <f ca="1">IF($B209&lt;&gt;"PRC_RESID","",IF(Y$7=2005+OFFSET(COM_N_2012!$B$60,$AW209,SUMIF($B$10:$B$16,"NCAP_TLIFE",$AX$10:$AX$16)),0,""))</f>
        <v/>
      </c>
      <c r="Z209" s="369" t="str">
        <f ca="1">IF($B209&lt;&gt;"PRC_RESID","",IF(Z$7=2005+OFFSET(COM_N_2012!$B$60,$AW209,SUMIF($B$10:$B$16,"NCAP_TLIFE",$AX$10:$AX$16)),0,""))</f>
        <v/>
      </c>
      <c r="AA209" s="369" t="str">
        <f ca="1">IF($B209&lt;&gt;"PRC_RESID","",IF(AA$7=2005+OFFSET(COM_N_2012!$B$60,$AW209,SUMIF($B$10:$B$16,"NCAP_TLIFE",$AX$10:$AX$16)),0,""))</f>
        <v/>
      </c>
      <c r="AB209" s="369" t="str">
        <f ca="1">IF($B209&lt;&gt;"PRC_RESID","",IF(AB$7=2005+OFFSET(COM_N_2012!$B$60,$AW209,SUMIF($B$10:$B$16,"NCAP_TLIFE",$AX$10:$AX$16)),0,""))</f>
        <v/>
      </c>
      <c r="AC209" s="369" t="str">
        <f ca="1">IF($B209&lt;&gt;"PRC_RESID","",IF(AC$7=2005+OFFSET(COM_N_2012!$B$60,$AW209,SUMIF($B$10:$B$16,"NCAP_TLIFE",$AX$10:$AX$16)),0,""))</f>
        <v/>
      </c>
      <c r="AD209" s="369" t="str">
        <f ca="1">IF($B209&lt;&gt;"PRC_RESID","",IF(AD$7=2005+OFFSET(COM_N_2012!$B$60,$AW209,SUMIF($B$10:$B$16,"NCAP_TLIFE",$AX$10:$AX$16)),0,""))</f>
        <v/>
      </c>
      <c r="AE209" s="369" t="str">
        <f ca="1">IF($B209&lt;&gt;"PRC_RESID","",IF(AE$7=2005+OFFSET(COM_N_2012!$B$60,$AW209,SUMIF($B$10:$B$16,"NCAP_TLIFE",$AX$10:$AX$16)),0,""))</f>
        <v/>
      </c>
      <c r="AF209" s="369" t="str">
        <f ca="1">IF($B209&lt;&gt;"PRC_RESID","",IF(AF$7=2005+OFFSET(COM_N_2012!$B$60,$AW209,SUMIF($B$10:$B$16,"NCAP_TLIFE",$AX$10:$AX$16)),0,""))</f>
        <v/>
      </c>
      <c r="AG209" s="369" t="str">
        <f ca="1">IF($B209&lt;&gt;"PRC_RESID","",IF(AG$7=2005+OFFSET(COM_N_2012!$B$60,$AW209,SUMIF($B$10:$B$16,"NCAP_TLIFE",$AX$10:$AX$16)),0,""))</f>
        <v/>
      </c>
      <c r="AH209" s="369" t="str">
        <f ca="1">IF($B209&lt;&gt;"PRC_RESID","",IF(AH$7=2005+OFFSET(COM_N_2012!$B$60,$AW209,SUMIF($B$10:$B$16,"NCAP_TLIFE",$AX$10:$AX$16)),0,""))</f>
        <v/>
      </c>
      <c r="AI209" s="369" t="str">
        <f ca="1">IF($B209&lt;&gt;"PRC_RESID","",IF(AI$7=2005+OFFSET(COM_N_2012!$B$60,$AW209,SUMIF($B$10:$B$16,"NCAP_TLIFE",$AX$10:$AX$16)),0,""))</f>
        <v/>
      </c>
      <c r="AJ209" s="369" t="str">
        <f ca="1">IF($B209&lt;&gt;"PRC_RESID","",IF(AJ$7=2005+OFFSET(COM_N_2012!$B$60,$AW209,SUMIF($B$10:$B$16,"NCAP_TLIFE",$AX$10:$AX$16)),0,""))</f>
        <v/>
      </c>
      <c r="AK209" s="369" t="str">
        <f ca="1">IF($B209&lt;&gt;"PRC_RESID","",IF(AK$7=2005+OFFSET(COM_N_2012!$B$60,$AW209,SUMIF($B$10:$B$16,"NCAP_TLIFE",$AX$10:$AX$16)),0,""))</f>
        <v/>
      </c>
      <c r="AL209" s="369" t="str">
        <f ca="1">IF($B209&lt;&gt;"PRC_RESID","",IF(AL$7=2005+OFFSET(COM_N_2012!$B$60,$AW209,SUMIF($B$10:$B$16,"NCAP_TLIFE",$AX$10:$AX$16)),0,""))</f>
        <v/>
      </c>
      <c r="AM209" s="369" t="str">
        <f ca="1">IF($B209&lt;&gt;"PRC_RESID","",IF(AM$7=2005+OFFSET(COM_N_2012!$B$60,$AW209,SUMIF($B$10:$B$16,"NCAP_TLIFE",$AX$10:$AX$16)),0,""))</f>
        <v/>
      </c>
      <c r="AN209" s="369" t="str">
        <f ca="1">IF($B209&lt;&gt;"PRC_RESID","",IF(AN$7=2005+OFFSET(COM_N_2012!$B$60,$AW209,SUMIF($B$10:$B$16,"NCAP_TLIFE",$AX$10:$AX$16)),0,""))</f>
        <v/>
      </c>
      <c r="AO209" s="369" t="str">
        <f ca="1">IF($B209&lt;&gt;"PRC_RESID","",IF(AO$7=2005+OFFSET(COM_N_2012!$B$60,$AW209,SUMIF($B$10:$B$16,"NCAP_TLIFE",$AX$10:$AX$16)),0,""))</f>
        <v/>
      </c>
      <c r="AP209" s="369" t="str">
        <f ca="1">IF($B209&lt;&gt;"PRC_RESID","",IF(AP$7=2005+OFFSET(COM_N_2012!$B$60,$AW209,SUMIF($B$10:$B$16,"NCAP_TLIFE",$AX$10:$AX$16)),0,""))</f>
        <v/>
      </c>
      <c r="AQ209" s="369" t="str">
        <f ca="1">IF($B209&lt;&gt;"PRC_RESID","",IF(AQ$7=2005+OFFSET(COM_N_2012!$B$60,$AW209,SUMIF($B$10:$B$16,"NCAP_TLIFE",$AX$10:$AX$16)),0,""))</f>
        <v/>
      </c>
      <c r="AR209" s="369" t="str">
        <f ca="1">IF($B209&lt;&gt;"PRC_RESID","",IF(AR$7=2005+OFFSET(COM_N_2012!$B$60,$AW209,SUMIF($B$10:$B$16,"NCAP_TLIFE",$AX$10:$AX$16)),0,""))</f>
        <v/>
      </c>
      <c r="AS209" s="369" t="str">
        <f ca="1">IF($B209&lt;&gt;"PRC_RESID","",IF(AS$7=2005+OFFSET(COM_N_2012!$B$60,$AW209,SUMIF($B$10:$B$16,"NCAP_TLIFE",$AX$10:$AX$16)),0,""))</f>
        <v/>
      </c>
      <c r="AT209" s="369" t="str">
        <f ca="1">IF($B209&lt;&gt;"PRC_RESID","",IF(AT$7=2005+OFFSET(COM_N_2012!$B$60,$AW209,SUMIF($B$10:$B$16,"NCAP_TLIFE",$AX$10:$AX$16)),0,""))</f>
        <v/>
      </c>
      <c r="AU209" s="369" t="str">
        <f ca="1">IF($B209&lt;&gt;"PRC_RESID","",IF(AU$7=2005+OFFSET(COM_N_2012!$B$60,$AW209,SUMIF($B$10:$B$16,"NCAP_TLIFE",$AX$10:$AX$16)),0,""))</f>
        <v/>
      </c>
      <c r="AV209" s="304">
        <f>IF(AW208=COM_N_2012!$AK$121,AV208+1,AV208)</f>
        <v>4</v>
      </c>
      <c r="AW209" s="304">
        <f t="shared" si="20"/>
        <v>9</v>
      </c>
    </row>
    <row r="210" spans="1:49">
      <c r="A210" s="304" t="str">
        <f ca="1">IF(LEFT(OFFSET(COM_N_2012!$A$60,AW210,0),2)="\I","*","")</f>
        <v/>
      </c>
      <c r="B210" s="369" t="str">
        <f t="shared" ref="B210:B273" ca="1" si="28">IF(A210="*","",VLOOKUP("*"&amp;AV210,$A$9:$B$16,2,FALSE))</f>
        <v>NCAP_COST</v>
      </c>
      <c r="C210" s="369" t="str">
        <f ca="1">IF($A210="*","",OFFSET(COM_N_2012!$B$60,AW210,0))</f>
        <v>CNHELC-E</v>
      </c>
      <c r="D210" s="369" t="str">
        <f t="shared" ca="1" si="27"/>
        <v>-</v>
      </c>
      <c r="E210" s="369" t="str">
        <f t="shared" ca="1" si="27"/>
        <v>-</v>
      </c>
      <c r="F210" s="369" t="str">
        <f t="shared" ca="1" si="27"/>
        <v>-</v>
      </c>
      <c r="G210" s="369" t="str">
        <f t="shared" ca="1" si="27"/>
        <v>-</v>
      </c>
      <c r="H210" s="369" t="str">
        <f t="shared" ca="1" si="27"/>
        <v>-</v>
      </c>
      <c r="I210" s="370">
        <f t="shared" ca="1" si="27"/>
        <v>0</v>
      </c>
      <c r="J210" s="391">
        <f ca="1">IF($A210="*","",OFFSET(COM_N_2012!$B$60,AW210,SUMIF($B$10:$B$16,B210,$AX$10:$AX$16)))</f>
        <v>31.420618543499238</v>
      </c>
      <c r="K210" s="369" t="str">
        <f ca="1">IF($B210&lt;&gt;"PRC_RESID","",IF(K$7=2005+OFFSET(COM_N_2012!$B$60,$AW210,SUMIF($B$10:$B$16,"NCAP_TLIFE",$AX$10:$AX$16)),0,""))</f>
        <v/>
      </c>
      <c r="L210" s="369" t="str">
        <f ca="1">IF($B210&lt;&gt;"PRC_RESID","",IF(L$7=2005+OFFSET(COM_N_2012!$B$60,$AW210,SUMIF($B$10:$B$16,"NCAP_TLIFE",$AX$10:$AX$16)),0,""))</f>
        <v/>
      </c>
      <c r="M210" s="369" t="str">
        <f ca="1">IF($B210&lt;&gt;"PRC_RESID","",IF(M$7=2005+OFFSET(COM_N_2012!$B$60,$AW210,SUMIF($B$10:$B$16,"NCAP_TLIFE",$AX$10:$AX$16)),0,""))</f>
        <v/>
      </c>
      <c r="N210" s="369" t="str">
        <f ca="1">IF($B210&lt;&gt;"PRC_RESID","",IF(N$7=2005+OFFSET(COM_N_2012!$B$60,$AW210,SUMIF($B$10:$B$16,"NCAP_TLIFE",$AX$10:$AX$16)),0,""))</f>
        <v/>
      </c>
      <c r="O210" s="369" t="str">
        <f ca="1">IF($B210&lt;&gt;"PRC_RESID","",IF(O$7=2005+OFFSET(COM_N_2012!$B$60,$AW210,SUMIF($B$10:$B$16,"NCAP_TLIFE",$AX$10:$AX$16)),0,""))</f>
        <v/>
      </c>
      <c r="P210" s="369" t="str">
        <f ca="1">IF($B210&lt;&gt;"PRC_RESID","",IF(P$7=2005+OFFSET(COM_N_2012!$B$60,$AW210,SUMIF($B$10:$B$16,"NCAP_TLIFE",$AX$10:$AX$16)),0,""))</f>
        <v/>
      </c>
      <c r="Q210" s="369" t="str">
        <f ca="1">IF($B210&lt;&gt;"PRC_RESID","",IF(Q$7=2005+OFFSET(COM_N_2012!$B$60,$AW210,SUMIF($B$10:$B$16,"NCAP_TLIFE",$AX$10:$AX$16)),0,""))</f>
        <v/>
      </c>
      <c r="R210" s="369" t="str">
        <f ca="1">IF($B210&lt;&gt;"PRC_RESID","",IF(R$7=2005+OFFSET(COM_N_2012!$B$60,$AW210,SUMIF($B$10:$B$16,"NCAP_TLIFE",$AX$10:$AX$16)),0,""))</f>
        <v/>
      </c>
      <c r="S210" s="369" t="str">
        <f ca="1">IF($B210&lt;&gt;"PRC_RESID","",IF(S$7=2005+OFFSET(COM_N_2012!$B$60,$AW210,SUMIF($B$10:$B$16,"NCAP_TLIFE",$AX$10:$AX$16)),0,""))</f>
        <v/>
      </c>
      <c r="T210" s="369" t="str">
        <f ca="1">IF($B210&lt;&gt;"PRC_RESID","",IF(T$7=2005+OFFSET(COM_N_2012!$B$60,$AW210,SUMIF($B$10:$B$16,"NCAP_TLIFE",$AX$10:$AX$16)),0,""))</f>
        <v/>
      </c>
      <c r="U210" s="369" t="str">
        <f ca="1">IF($B210&lt;&gt;"PRC_RESID","",IF(U$7=2005+OFFSET(COM_N_2012!$B$60,$AW210,SUMIF($B$10:$B$16,"NCAP_TLIFE",$AX$10:$AX$16)),0,""))</f>
        <v/>
      </c>
      <c r="V210" s="369" t="str">
        <f ca="1">IF($B210&lt;&gt;"PRC_RESID","",IF(V$7=2005+OFFSET(COM_N_2012!$B$60,$AW210,SUMIF($B$10:$B$16,"NCAP_TLIFE",$AX$10:$AX$16)),0,""))</f>
        <v/>
      </c>
      <c r="W210" s="369" t="str">
        <f ca="1">IF($B210&lt;&gt;"PRC_RESID","",IF(W$7=2005+OFFSET(COM_N_2012!$B$60,$AW210,SUMIF($B$10:$B$16,"NCAP_TLIFE",$AX$10:$AX$16)),0,""))</f>
        <v/>
      </c>
      <c r="X210" s="369" t="str">
        <f ca="1">IF($B210&lt;&gt;"PRC_RESID","",IF(X$7=2005+OFFSET(COM_N_2012!$B$60,$AW210,SUMIF($B$10:$B$16,"NCAP_TLIFE",$AX$10:$AX$16)),0,""))</f>
        <v/>
      </c>
      <c r="Y210" s="369" t="str">
        <f ca="1">IF($B210&lt;&gt;"PRC_RESID","",IF(Y$7=2005+OFFSET(COM_N_2012!$B$60,$AW210,SUMIF($B$10:$B$16,"NCAP_TLIFE",$AX$10:$AX$16)),0,""))</f>
        <v/>
      </c>
      <c r="Z210" s="369" t="str">
        <f ca="1">IF($B210&lt;&gt;"PRC_RESID","",IF(Z$7=2005+OFFSET(COM_N_2012!$B$60,$AW210,SUMIF($B$10:$B$16,"NCAP_TLIFE",$AX$10:$AX$16)),0,""))</f>
        <v/>
      </c>
      <c r="AA210" s="369" t="str">
        <f ca="1">IF($B210&lt;&gt;"PRC_RESID","",IF(AA$7=2005+OFFSET(COM_N_2012!$B$60,$AW210,SUMIF($B$10:$B$16,"NCAP_TLIFE",$AX$10:$AX$16)),0,""))</f>
        <v/>
      </c>
      <c r="AB210" s="369" t="str">
        <f ca="1">IF($B210&lt;&gt;"PRC_RESID","",IF(AB$7=2005+OFFSET(COM_N_2012!$B$60,$AW210,SUMIF($B$10:$B$16,"NCAP_TLIFE",$AX$10:$AX$16)),0,""))</f>
        <v/>
      </c>
      <c r="AC210" s="369" t="str">
        <f ca="1">IF($B210&lt;&gt;"PRC_RESID","",IF(AC$7=2005+OFFSET(COM_N_2012!$B$60,$AW210,SUMIF($B$10:$B$16,"NCAP_TLIFE",$AX$10:$AX$16)),0,""))</f>
        <v/>
      </c>
      <c r="AD210" s="369" t="str">
        <f ca="1">IF($B210&lt;&gt;"PRC_RESID","",IF(AD$7=2005+OFFSET(COM_N_2012!$B$60,$AW210,SUMIF($B$10:$B$16,"NCAP_TLIFE",$AX$10:$AX$16)),0,""))</f>
        <v/>
      </c>
      <c r="AE210" s="369" t="str">
        <f ca="1">IF($B210&lt;&gt;"PRC_RESID","",IF(AE$7=2005+OFFSET(COM_N_2012!$B$60,$AW210,SUMIF($B$10:$B$16,"NCAP_TLIFE",$AX$10:$AX$16)),0,""))</f>
        <v/>
      </c>
      <c r="AF210" s="369" t="str">
        <f ca="1">IF($B210&lt;&gt;"PRC_RESID","",IF(AF$7=2005+OFFSET(COM_N_2012!$B$60,$AW210,SUMIF($B$10:$B$16,"NCAP_TLIFE",$AX$10:$AX$16)),0,""))</f>
        <v/>
      </c>
      <c r="AG210" s="369" t="str">
        <f ca="1">IF($B210&lt;&gt;"PRC_RESID","",IF(AG$7=2005+OFFSET(COM_N_2012!$B$60,$AW210,SUMIF($B$10:$B$16,"NCAP_TLIFE",$AX$10:$AX$16)),0,""))</f>
        <v/>
      </c>
      <c r="AH210" s="369" t="str">
        <f ca="1">IF($B210&lt;&gt;"PRC_RESID","",IF(AH$7=2005+OFFSET(COM_N_2012!$B$60,$AW210,SUMIF($B$10:$B$16,"NCAP_TLIFE",$AX$10:$AX$16)),0,""))</f>
        <v/>
      </c>
      <c r="AI210" s="369" t="str">
        <f ca="1">IF($B210&lt;&gt;"PRC_RESID","",IF(AI$7=2005+OFFSET(COM_N_2012!$B$60,$AW210,SUMIF($B$10:$B$16,"NCAP_TLIFE",$AX$10:$AX$16)),0,""))</f>
        <v/>
      </c>
      <c r="AJ210" s="369" t="str">
        <f ca="1">IF($B210&lt;&gt;"PRC_RESID","",IF(AJ$7=2005+OFFSET(COM_N_2012!$B$60,$AW210,SUMIF($B$10:$B$16,"NCAP_TLIFE",$AX$10:$AX$16)),0,""))</f>
        <v/>
      </c>
      <c r="AK210" s="369" t="str">
        <f ca="1">IF($B210&lt;&gt;"PRC_RESID","",IF(AK$7=2005+OFFSET(COM_N_2012!$B$60,$AW210,SUMIF($B$10:$B$16,"NCAP_TLIFE",$AX$10:$AX$16)),0,""))</f>
        <v/>
      </c>
      <c r="AL210" s="369" t="str">
        <f ca="1">IF($B210&lt;&gt;"PRC_RESID","",IF(AL$7=2005+OFFSET(COM_N_2012!$B$60,$AW210,SUMIF($B$10:$B$16,"NCAP_TLIFE",$AX$10:$AX$16)),0,""))</f>
        <v/>
      </c>
      <c r="AM210" s="369" t="str">
        <f ca="1">IF($B210&lt;&gt;"PRC_RESID","",IF(AM$7=2005+OFFSET(COM_N_2012!$B$60,$AW210,SUMIF($B$10:$B$16,"NCAP_TLIFE",$AX$10:$AX$16)),0,""))</f>
        <v/>
      </c>
      <c r="AN210" s="369" t="str">
        <f ca="1">IF($B210&lt;&gt;"PRC_RESID","",IF(AN$7=2005+OFFSET(COM_N_2012!$B$60,$AW210,SUMIF($B$10:$B$16,"NCAP_TLIFE",$AX$10:$AX$16)),0,""))</f>
        <v/>
      </c>
      <c r="AO210" s="369" t="str">
        <f ca="1">IF($B210&lt;&gt;"PRC_RESID","",IF(AO$7=2005+OFFSET(COM_N_2012!$B$60,$AW210,SUMIF($B$10:$B$16,"NCAP_TLIFE",$AX$10:$AX$16)),0,""))</f>
        <v/>
      </c>
      <c r="AP210" s="369" t="str">
        <f ca="1">IF($B210&lt;&gt;"PRC_RESID","",IF(AP$7=2005+OFFSET(COM_N_2012!$B$60,$AW210,SUMIF($B$10:$B$16,"NCAP_TLIFE",$AX$10:$AX$16)),0,""))</f>
        <v/>
      </c>
      <c r="AQ210" s="369" t="str">
        <f ca="1">IF($B210&lt;&gt;"PRC_RESID","",IF(AQ$7=2005+OFFSET(COM_N_2012!$B$60,$AW210,SUMIF($B$10:$B$16,"NCAP_TLIFE",$AX$10:$AX$16)),0,""))</f>
        <v/>
      </c>
      <c r="AR210" s="369" t="str">
        <f ca="1">IF($B210&lt;&gt;"PRC_RESID","",IF(AR$7=2005+OFFSET(COM_N_2012!$B$60,$AW210,SUMIF($B$10:$B$16,"NCAP_TLIFE",$AX$10:$AX$16)),0,""))</f>
        <v/>
      </c>
      <c r="AS210" s="369" t="str">
        <f ca="1">IF($B210&lt;&gt;"PRC_RESID","",IF(AS$7=2005+OFFSET(COM_N_2012!$B$60,$AW210,SUMIF($B$10:$B$16,"NCAP_TLIFE",$AX$10:$AX$16)),0,""))</f>
        <v/>
      </c>
      <c r="AT210" s="369" t="str">
        <f ca="1">IF($B210&lt;&gt;"PRC_RESID","",IF(AT$7=2005+OFFSET(COM_N_2012!$B$60,$AW210,SUMIF($B$10:$B$16,"NCAP_TLIFE",$AX$10:$AX$16)),0,""))</f>
        <v/>
      </c>
      <c r="AU210" s="369" t="str">
        <f ca="1">IF($B210&lt;&gt;"PRC_RESID","",IF(AU$7=2005+OFFSET(COM_N_2012!$B$60,$AW210,SUMIF($B$10:$B$16,"NCAP_TLIFE",$AX$10:$AX$16)),0,""))</f>
        <v/>
      </c>
      <c r="AV210" s="304">
        <f>IF(AW209=COM_N_2012!$AK$121,AV209+1,AV209)</f>
        <v>4</v>
      </c>
      <c r="AW210" s="304">
        <f t="shared" si="20"/>
        <v>10</v>
      </c>
    </row>
    <row r="211" spans="1:49">
      <c r="A211" s="304" t="str">
        <f ca="1">IF(LEFT(OFFSET(COM_N_2012!$A$60,AW211,0),2)="\I","*","")</f>
        <v/>
      </c>
      <c r="B211" s="369" t="str">
        <f t="shared" ca="1" si="28"/>
        <v>NCAP_COST</v>
      </c>
      <c r="C211" s="369" t="str">
        <f ca="1">IF($A211="*","",OFFSET(COM_N_2012!$B$60,AW211,0))</f>
        <v>CNHGAS-E</v>
      </c>
      <c r="D211" s="369" t="str">
        <f t="shared" ca="1" si="27"/>
        <v>-</v>
      </c>
      <c r="E211" s="369" t="str">
        <f t="shared" ca="1" si="27"/>
        <v>-</v>
      </c>
      <c r="F211" s="369" t="str">
        <f t="shared" ca="1" si="27"/>
        <v>-</v>
      </c>
      <c r="G211" s="369" t="str">
        <f t="shared" ca="1" si="27"/>
        <v>-</v>
      </c>
      <c r="H211" s="369" t="str">
        <f t="shared" ca="1" si="27"/>
        <v>-</v>
      </c>
      <c r="I211" s="370">
        <f t="shared" ca="1" si="27"/>
        <v>0</v>
      </c>
      <c r="J211" s="391">
        <f ca="1">IF($A211="*","",OFFSET(COM_N_2012!$B$60,AW211,SUMIF($B$10:$B$16,B211,$AX$10:$AX$16)))</f>
        <v>34.864360018767009</v>
      </c>
      <c r="K211" s="369" t="str">
        <f ca="1">IF($B211&lt;&gt;"PRC_RESID","",IF(K$7=2005+OFFSET(COM_N_2012!$B$60,$AW211,SUMIF($B$10:$B$16,"NCAP_TLIFE",$AX$10:$AX$16)),0,""))</f>
        <v/>
      </c>
      <c r="L211" s="369" t="str">
        <f ca="1">IF($B211&lt;&gt;"PRC_RESID","",IF(L$7=2005+OFFSET(COM_N_2012!$B$60,$AW211,SUMIF($B$10:$B$16,"NCAP_TLIFE",$AX$10:$AX$16)),0,""))</f>
        <v/>
      </c>
      <c r="M211" s="369" t="str">
        <f ca="1">IF($B211&lt;&gt;"PRC_RESID","",IF(M$7=2005+OFFSET(COM_N_2012!$B$60,$AW211,SUMIF($B$10:$B$16,"NCAP_TLIFE",$AX$10:$AX$16)),0,""))</f>
        <v/>
      </c>
      <c r="N211" s="369" t="str">
        <f ca="1">IF($B211&lt;&gt;"PRC_RESID","",IF(N$7=2005+OFFSET(COM_N_2012!$B$60,$AW211,SUMIF($B$10:$B$16,"NCAP_TLIFE",$AX$10:$AX$16)),0,""))</f>
        <v/>
      </c>
      <c r="O211" s="369" t="str">
        <f ca="1">IF($B211&lt;&gt;"PRC_RESID","",IF(O$7=2005+OFFSET(COM_N_2012!$B$60,$AW211,SUMIF($B$10:$B$16,"NCAP_TLIFE",$AX$10:$AX$16)),0,""))</f>
        <v/>
      </c>
      <c r="P211" s="369" t="str">
        <f ca="1">IF($B211&lt;&gt;"PRC_RESID","",IF(P$7=2005+OFFSET(COM_N_2012!$B$60,$AW211,SUMIF($B$10:$B$16,"NCAP_TLIFE",$AX$10:$AX$16)),0,""))</f>
        <v/>
      </c>
      <c r="Q211" s="369" t="str">
        <f ca="1">IF($B211&lt;&gt;"PRC_RESID","",IF(Q$7=2005+OFFSET(COM_N_2012!$B$60,$AW211,SUMIF($B$10:$B$16,"NCAP_TLIFE",$AX$10:$AX$16)),0,""))</f>
        <v/>
      </c>
      <c r="R211" s="369" t="str">
        <f ca="1">IF($B211&lt;&gt;"PRC_RESID","",IF(R$7=2005+OFFSET(COM_N_2012!$B$60,$AW211,SUMIF($B$10:$B$16,"NCAP_TLIFE",$AX$10:$AX$16)),0,""))</f>
        <v/>
      </c>
      <c r="S211" s="369" t="str">
        <f ca="1">IF($B211&lt;&gt;"PRC_RESID","",IF(S$7=2005+OFFSET(COM_N_2012!$B$60,$AW211,SUMIF($B$10:$B$16,"NCAP_TLIFE",$AX$10:$AX$16)),0,""))</f>
        <v/>
      </c>
      <c r="T211" s="369" t="str">
        <f ca="1">IF($B211&lt;&gt;"PRC_RESID","",IF(T$7=2005+OFFSET(COM_N_2012!$B$60,$AW211,SUMIF($B$10:$B$16,"NCAP_TLIFE",$AX$10:$AX$16)),0,""))</f>
        <v/>
      </c>
      <c r="U211" s="369" t="str">
        <f ca="1">IF($B211&lt;&gt;"PRC_RESID","",IF(U$7=2005+OFFSET(COM_N_2012!$B$60,$AW211,SUMIF($B$10:$B$16,"NCAP_TLIFE",$AX$10:$AX$16)),0,""))</f>
        <v/>
      </c>
      <c r="V211" s="369" t="str">
        <f ca="1">IF($B211&lt;&gt;"PRC_RESID","",IF(V$7=2005+OFFSET(COM_N_2012!$B$60,$AW211,SUMIF($B$10:$B$16,"NCAP_TLIFE",$AX$10:$AX$16)),0,""))</f>
        <v/>
      </c>
      <c r="W211" s="369" t="str">
        <f ca="1">IF($B211&lt;&gt;"PRC_RESID","",IF(W$7=2005+OFFSET(COM_N_2012!$B$60,$AW211,SUMIF($B$10:$B$16,"NCAP_TLIFE",$AX$10:$AX$16)),0,""))</f>
        <v/>
      </c>
      <c r="X211" s="369" t="str">
        <f ca="1">IF($B211&lt;&gt;"PRC_RESID","",IF(X$7=2005+OFFSET(COM_N_2012!$B$60,$AW211,SUMIF($B$10:$B$16,"NCAP_TLIFE",$AX$10:$AX$16)),0,""))</f>
        <v/>
      </c>
      <c r="Y211" s="369" t="str">
        <f ca="1">IF($B211&lt;&gt;"PRC_RESID","",IF(Y$7=2005+OFFSET(COM_N_2012!$B$60,$AW211,SUMIF($B$10:$B$16,"NCAP_TLIFE",$AX$10:$AX$16)),0,""))</f>
        <v/>
      </c>
      <c r="Z211" s="369" t="str">
        <f ca="1">IF($B211&lt;&gt;"PRC_RESID","",IF(Z$7=2005+OFFSET(COM_N_2012!$B$60,$AW211,SUMIF($B$10:$B$16,"NCAP_TLIFE",$AX$10:$AX$16)),0,""))</f>
        <v/>
      </c>
      <c r="AA211" s="369" t="str">
        <f ca="1">IF($B211&lt;&gt;"PRC_RESID","",IF(AA$7=2005+OFFSET(COM_N_2012!$B$60,$AW211,SUMIF($B$10:$B$16,"NCAP_TLIFE",$AX$10:$AX$16)),0,""))</f>
        <v/>
      </c>
      <c r="AB211" s="369" t="str">
        <f ca="1">IF($B211&lt;&gt;"PRC_RESID","",IF(AB$7=2005+OFFSET(COM_N_2012!$B$60,$AW211,SUMIF($B$10:$B$16,"NCAP_TLIFE",$AX$10:$AX$16)),0,""))</f>
        <v/>
      </c>
      <c r="AC211" s="369" t="str">
        <f ca="1">IF($B211&lt;&gt;"PRC_RESID","",IF(AC$7=2005+OFFSET(COM_N_2012!$B$60,$AW211,SUMIF($B$10:$B$16,"NCAP_TLIFE",$AX$10:$AX$16)),0,""))</f>
        <v/>
      </c>
      <c r="AD211" s="369" t="str">
        <f ca="1">IF($B211&lt;&gt;"PRC_RESID","",IF(AD$7=2005+OFFSET(COM_N_2012!$B$60,$AW211,SUMIF($B$10:$B$16,"NCAP_TLIFE",$AX$10:$AX$16)),0,""))</f>
        <v/>
      </c>
      <c r="AE211" s="369" t="str">
        <f ca="1">IF($B211&lt;&gt;"PRC_RESID","",IF(AE$7=2005+OFFSET(COM_N_2012!$B$60,$AW211,SUMIF($B$10:$B$16,"NCAP_TLIFE",$AX$10:$AX$16)),0,""))</f>
        <v/>
      </c>
      <c r="AF211" s="369" t="str">
        <f ca="1">IF($B211&lt;&gt;"PRC_RESID","",IF(AF$7=2005+OFFSET(COM_N_2012!$B$60,$AW211,SUMIF($B$10:$B$16,"NCAP_TLIFE",$AX$10:$AX$16)),0,""))</f>
        <v/>
      </c>
      <c r="AG211" s="369" t="str">
        <f ca="1">IF($B211&lt;&gt;"PRC_RESID","",IF(AG$7=2005+OFFSET(COM_N_2012!$B$60,$AW211,SUMIF($B$10:$B$16,"NCAP_TLIFE",$AX$10:$AX$16)),0,""))</f>
        <v/>
      </c>
      <c r="AH211" s="369" t="str">
        <f ca="1">IF($B211&lt;&gt;"PRC_RESID","",IF(AH$7=2005+OFFSET(COM_N_2012!$B$60,$AW211,SUMIF($B$10:$B$16,"NCAP_TLIFE",$AX$10:$AX$16)),0,""))</f>
        <v/>
      </c>
      <c r="AI211" s="369" t="str">
        <f ca="1">IF($B211&lt;&gt;"PRC_RESID","",IF(AI$7=2005+OFFSET(COM_N_2012!$B$60,$AW211,SUMIF($B$10:$B$16,"NCAP_TLIFE",$AX$10:$AX$16)),0,""))</f>
        <v/>
      </c>
      <c r="AJ211" s="369" t="str">
        <f ca="1">IF($B211&lt;&gt;"PRC_RESID","",IF(AJ$7=2005+OFFSET(COM_N_2012!$B$60,$AW211,SUMIF($B$10:$B$16,"NCAP_TLIFE",$AX$10:$AX$16)),0,""))</f>
        <v/>
      </c>
      <c r="AK211" s="369" t="str">
        <f ca="1">IF($B211&lt;&gt;"PRC_RESID","",IF(AK$7=2005+OFFSET(COM_N_2012!$B$60,$AW211,SUMIF($B$10:$B$16,"NCAP_TLIFE",$AX$10:$AX$16)),0,""))</f>
        <v/>
      </c>
      <c r="AL211" s="369" t="str">
        <f ca="1">IF($B211&lt;&gt;"PRC_RESID","",IF(AL$7=2005+OFFSET(COM_N_2012!$B$60,$AW211,SUMIF($B$10:$B$16,"NCAP_TLIFE",$AX$10:$AX$16)),0,""))</f>
        <v/>
      </c>
      <c r="AM211" s="369" t="str">
        <f ca="1">IF($B211&lt;&gt;"PRC_RESID","",IF(AM$7=2005+OFFSET(COM_N_2012!$B$60,$AW211,SUMIF($B$10:$B$16,"NCAP_TLIFE",$AX$10:$AX$16)),0,""))</f>
        <v/>
      </c>
      <c r="AN211" s="369" t="str">
        <f ca="1">IF($B211&lt;&gt;"PRC_RESID","",IF(AN$7=2005+OFFSET(COM_N_2012!$B$60,$AW211,SUMIF($B$10:$B$16,"NCAP_TLIFE",$AX$10:$AX$16)),0,""))</f>
        <v/>
      </c>
      <c r="AO211" s="369" t="str">
        <f ca="1">IF($B211&lt;&gt;"PRC_RESID","",IF(AO$7=2005+OFFSET(COM_N_2012!$B$60,$AW211,SUMIF($B$10:$B$16,"NCAP_TLIFE",$AX$10:$AX$16)),0,""))</f>
        <v/>
      </c>
      <c r="AP211" s="369" t="str">
        <f ca="1">IF($B211&lt;&gt;"PRC_RESID","",IF(AP$7=2005+OFFSET(COM_N_2012!$B$60,$AW211,SUMIF($B$10:$B$16,"NCAP_TLIFE",$AX$10:$AX$16)),0,""))</f>
        <v/>
      </c>
      <c r="AQ211" s="369" t="str">
        <f ca="1">IF($B211&lt;&gt;"PRC_RESID","",IF(AQ$7=2005+OFFSET(COM_N_2012!$B$60,$AW211,SUMIF($B$10:$B$16,"NCAP_TLIFE",$AX$10:$AX$16)),0,""))</f>
        <v/>
      </c>
      <c r="AR211" s="369" t="str">
        <f ca="1">IF($B211&lt;&gt;"PRC_RESID","",IF(AR$7=2005+OFFSET(COM_N_2012!$B$60,$AW211,SUMIF($B$10:$B$16,"NCAP_TLIFE",$AX$10:$AX$16)),0,""))</f>
        <v/>
      </c>
      <c r="AS211" s="369" t="str">
        <f ca="1">IF($B211&lt;&gt;"PRC_RESID","",IF(AS$7=2005+OFFSET(COM_N_2012!$B$60,$AW211,SUMIF($B$10:$B$16,"NCAP_TLIFE",$AX$10:$AX$16)),0,""))</f>
        <v/>
      </c>
      <c r="AT211" s="369" t="str">
        <f ca="1">IF($B211&lt;&gt;"PRC_RESID","",IF(AT$7=2005+OFFSET(COM_N_2012!$B$60,$AW211,SUMIF($B$10:$B$16,"NCAP_TLIFE",$AX$10:$AX$16)),0,""))</f>
        <v/>
      </c>
      <c r="AU211" s="369" t="str">
        <f ca="1">IF($B211&lt;&gt;"PRC_RESID","",IF(AU$7=2005+OFFSET(COM_N_2012!$B$60,$AW211,SUMIF($B$10:$B$16,"NCAP_TLIFE",$AX$10:$AX$16)),0,""))</f>
        <v/>
      </c>
      <c r="AV211" s="304">
        <f>IF(AW210=COM_N_2012!$AK$121,AV210+1,AV210)</f>
        <v>4</v>
      </c>
      <c r="AW211" s="304">
        <f t="shared" ref="AW211:AW274" si="29">IF(AV211=AV210,AW210+1,1)</f>
        <v>11</v>
      </c>
    </row>
    <row r="212" spans="1:49">
      <c r="A212" s="304" t="str">
        <f ca="1">IF(LEFT(OFFSET(COM_N_2012!$A$60,AW212,0),2)="\I","*","")</f>
        <v/>
      </c>
      <c r="B212" s="369" t="str">
        <f t="shared" ca="1" si="28"/>
        <v>NCAP_COST</v>
      </c>
      <c r="C212" s="369" t="str">
        <f ca="1">IF($A212="*","",OFFSET(COM_N_2012!$B$60,AW212,0))</f>
        <v>CNHELC-N</v>
      </c>
      <c r="D212" s="369" t="str">
        <f t="shared" ca="1" si="27"/>
        <v>-</v>
      </c>
      <c r="E212" s="369" t="str">
        <f t="shared" ca="1" si="27"/>
        <v>-</v>
      </c>
      <c r="F212" s="369" t="str">
        <f t="shared" ca="1" si="27"/>
        <v>-</v>
      </c>
      <c r="G212" s="369" t="str">
        <f t="shared" ca="1" si="27"/>
        <v>-</v>
      </c>
      <c r="H212" s="369" t="str">
        <f t="shared" ca="1" si="27"/>
        <v>-</v>
      </c>
      <c r="I212" s="370">
        <f t="shared" ca="1" si="27"/>
        <v>0</v>
      </c>
      <c r="J212" s="391">
        <f ca="1">IF($A212="*","",OFFSET(COM_N_2012!$B$60,AW212,SUMIF($B$10:$B$16,B212,$AX$10:$AX$16)))</f>
        <v>179.45037756394217</v>
      </c>
      <c r="K212" s="369" t="str">
        <f ca="1">IF($B212&lt;&gt;"PRC_RESID","",IF(K$7=2005+OFFSET(COM_N_2012!$B$60,$AW212,SUMIF($B$10:$B$16,"NCAP_TLIFE",$AX$10:$AX$16)),0,""))</f>
        <v/>
      </c>
      <c r="L212" s="369" t="str">
        <f ca="1">IF($B212&lt;&gt;"PRC_RESID","",IF(L$7=2005+OFFSET(COM_N_2012!$B$60,$AW212,SUMIF($B$10:$B$16,"NCAP_TLIFE",$AX$10:$AX$16)),0,""))</f>
        <v/>
      </c>
      <c r="M212" s="369" t="str">
        <f ca="1">IF($B212&lt;&gt;"PRC_RESID","",IF(M$7=2005+OFFSET(COM_N_2012!$B$60,$AW212,SUMIF($B$10:$B$16,"NCAP_TLIFE",$AX$10:$AX$16)),0,""))</f>
        <v/>
      </c>
      <c r="N212" s="369" t="str">
        <f ca="1">IF($B212&lt;&gt;"PRC_RESID","",IF(N$7=2005+OFFSET(COM_N_2012!$B$60,$AW212,SUMIF($B$10:$B$16,"NCAP_TLIFE",$AX$10:$AX$16)),0,""))</f>
        <v/>
      </c>
      <c r="O212" s="369" t="str">
        <f ca="1">IF($B212&lt;&gt;"PRC_RESID","",IF(O$7=2005+OFFSET(COM_N_2012!$B$60,$AW212,SUMIF($B$10:$B$16,"NCAP_TLIFE",$AX$10:$AX$16)),0,""))</f>
        <v/>
      </c>
      <c r="P212" s="369" t="str">
        <f ca="1">IF($B212&lt;&gt;"PRC_RESID","",IF(P$7=2005+OFFSET(COM_N_2012!$B$60,$AW212,SUMIF($B$10:$B$16,"NCAP_TLIFE",$AX$10:$AX$16)),0,""))</f>
        <v/>
      </c>
      <c r="Q212" s="369" t="str">
        <f ca="1">IF($B212&lt;&gt;"PRC_RESID","",IF(Q$7=2005+OFFSET(COM_N_2012!$B$60,$AW212,SUMIF($B$10:$B$16,"NCAP_TLIFE",$AX$10:$AX$16)),0,""))</f>
        <v/>
      </c>
      <c r="R212" s="369" t="str">
        <f ca="1">IF($B212&lt;&gt;"PRC_RESID","",IF(R$7=2005+OFFSET(COM_N_2012!$B$60,$AW212,SUMIF($B$10:$B$16,"NCAP_TLIFE",$AX$10:$AX$16)),0,""))</f>
        <v/>
      </c>
      <c r="S212" s="369" t="str">
        <f ca="1">IF($B212&lt;&gt;"PRC_RESID","",IF(S$7=2005+OFFSET(COM_N_2012!$B$60,$AW212,SUMIF($B$10:$B$16,"NCAP_TLIFE",$AX$10:$AX$16)),0,""))</f>
        <v/>
      </c>
      <c r="T212" s="369" t="str">
        <f ca="1">IF($B212&lt;&gt;"PRC_RESID","",IF(T$7=2005+OFFSET(COM_N_2012!$B$60,$AW212,SUMIF($B$10:$B$16,"NCAP_TLIFE",$AX$10:$AX$16)),0,""))</f>
        <v/>
      </c>
      <c r="U212" s="369" t="str">
        <f ca="1">IF($B212&lt;&gt;"PRC_RESID","",IF(U$7=2005+OFFSET(COM_N_2012!$B$60,$AW212,SUMIF($B$10:$B$16,"NCAP_TLIFE",$AX$10:$AX$16)),0,""))</f>
        <v/>
      </c>
      <c r="V212" s="369" t="str">
        <f ca="1">IF($B212&lt;&gt;"PRC_RESID","",IF(V$7=2005+OFFSET(COM_N_2012!$B$60,$AW212,SUMIF($B$10:$B$16,"NCAP_TLIFE",$AX$10:$AX$16)),0,""))</f>
        <v/>
      </c>
      <c r="W212" s="369" t="str">
        <f ca="1">IF($B212&lt;&gt;"PRC_RESID","",IF(W$7=2005+OFFSET(COM_N_2012!$B$60,$AW212,SUMIF($B$10:$B$16,"NCAP_TLIFE",$AX$10:$AX$16)),0,""))</f>
        <v/>
      </c>
      <c r="X212" s="369" t="str">
        <f ca="1">IF($B212&lt;&gt;"PRC_RESID","",IF(X$7=2005+OFFSET(COM_N_2012!$B$60,$AW212,SUMIF($B$10:$B$16,"NCAP_TLIFE",$AX$10:$AX$16)),0,""))</f>
        <v/>
      </c>
      <c r="Y212" s="369" t="str">
        <f ca="1">IF($B212&lt;&gt;"PRC_RESID","",IF(Y$7=2005+OFFSET(COM_N_2012!$B$60,$AW212,SUMIF($B$10:$B$16,"NCAP_TLIFE",$AX$10:$AX$16)),0,""))</f>
        <v/>
      </c>
      <c r="Z212" s="369" t="str">
        <f ca="1">IF($B212&lt;&gt;"PRC_RESID","",IF(Z$7=2005+OFFSET(COM_N_2012!$B$60,$AW212,SUMIF($B$10:$B$16,"NCAP_TLIFE",$AX$10:$AX$16)),0,""))</f>
        <v/>
      </c>
      <c r="AA212" s="369" t="str">
        <f ca="1">IF($B212&lt;&gt;"PRC_RESID","",IF(AA$7=2005+OFFSET(COM_N_2012!$B$60,$AW212,SUMIF($B$10:$B$16,"NCAP_TLIFE",$AX$10:$AX$16)),0,""))</f>
        <v/>
      </c>
      <c r="AB212" s="369" t="str">
        <f ca="1">IF($B212&lt;&gt;"PRC_RESID","",IF(AB$7=2005+OFFSET(COM_N_2012!$B$60,$AW212,SUMIF($B$10:$B$16,"NCAP_TLIFE",$AX$10:$AX$16)),0,""))</f>
        <v/>
      </c>
      <c r="AC212" s="369" t="str">
        <f ca="1">IF($B212&lt;&gt;"PRC_RESID","",IF(AC$7=2005+OFFSET(COM_N_2012!$B$60,$AW212,SUMIF($B$10:$B$16,"NCAP_TLIFE",$AX$10:$AX$16)),0,""))</f>
        <v/>
      </c>
      <c r="AD212" s="369" t="str">
        <f ca="1">IF($B212&lt;&gt;"PRC_RESID","",IF(AD$7=2005+OFFSET(COM_N_2012!$B$60,$AW212,SUMIF($B$10:$B$16,"NCAP_TLIFE",$AX$10:$AX$16)),0,""))</f>
        <v/>
      </c>
      <c r="AE212" s="369" t="str">
        <f ca="1">IF($B212&lt;&gt;"PRC_RESID","",IF(AE$7=2005+OFFSET(COM_N_2012!$B$60,$AW212,SUMIF($B$10:$B$16,"NCAP_TLIFE",$AX$10:$AX$16)),0,""))</f>
        <v/>
      </c>
      <c r="AF212" s="369" t="str">
        <f ca="1">IF($B212&lt;&gt;"PRC_RESID","",IF(AF$7=2005+OFFSET(COM_N_2012!$B$60,$AW212,SUMIF($B$10:$B$16,"NCAP_TLIFE",$AX$10:$AX$16)),0,""))</f>
        <v/>
      </c>
      <c r="AG212" s="369" t="str">
        <f ca="1">IF($B212&lt;&gt;"PRC_RESID","",IF(AG$7=2005+OFFSET(COM_N_2012!$B$60,$AW212,SUMIF($B$10:$B$16,"NCAP_TLIFE",$AX$10:$AX$16)),0,""))</f>
        <v/>
      </c>
      <c r="AH212" s="369" t="str">
        <f ca="1">IF($B212&lt;&gt;"PRC_RESID","",IF(AH$7=2005+OFFSET(COM_N_2012!$B$60,$AW212,SUMIF($B$10:$B$16,"NCAP_TLIFE",$AX$10:$AX$16)),0,""))</f>
        <v/>
      </c>
      <c r="AI212" s="369" t="str">
        <f ca="1">IF($B212&lt;&gt;"PRC_RESID","",IF(AI$7=2005+OFFSET(COM_N_2012!$B$60,$AW212,SUMIF($B$10:$B$16,"NCAP_TLIFE",$AX$10:$AX$16)),0,""))</f>
        <v/>
      </c>
      <c r="AJ212" s="369" t="str">
        <f ca="1">IF($B212&lt;&gt;"PRC_RESID","",IF(AJ$7=2005+OFFSET(COM_N_2012!$B$60,$AW212,SUMIF($B$10:$B$16,"NCAP_TLIFE",$AX$10:$AX$16)),0,""))</f>
        <v/>
      </c>
      <c r="AK212" s="369" t="str">
        <f ca="1">IF($B212&lt;&gt;"PRC_RESID","",IF(AK$7=2005+OFFSET(COM_N_2012!$B$60,$AW212,SUMIF($B$10:$B$16,"NCAP_TLIFE",$AX$10:$AX$16)),0,""))</f>
        <v/>
      </c>
      <c r="AL212" s="369" t="str">
        <f ca="1">IF($B212&lt;&gt;"PRC_RESID","",IF(AL$7=2005+OFFSET(COM_N_2012!$B$60,$AW212,SUMIF($B$10:$B$16,"NCAP_TLIFE",$AX$10:$AX$16)),0,""))</f>
        <v/>
      </c>
      <c r="AM212" s="369" t="str">
        <f ca="1">IF($B212&lt;&gt;"PRC_RESID","",IF(AM$7=2005+OFFSET(COM_N_2012!$B$60,$AW212,SUMIF($B$10:$B$16,"NCAP_TLIFE",$AX$10:$AX$16)),0,""))</f>
        <v/>
      </c>
      <c r="AN212" s="369" t="str">
        <f ca="1">IF($B212&lt;&gt;"PRC_RESID","",IF(AN$7=2005+OFFSET(COM_N_2012!$B$60,$AW212,SUMIF($B$10:$B$16,"NCAP_TLIFE",$AX$10:$AX$16)),0,""))</f>
        <v/>
      </c>
      <c r="AO212" s="369" t="str">
        <f ca="1">IF($B212&lt;&gt;"PRC_RESID","",IF(AO$7=2005+OFFSET(COM_N_2012!$B$60,$AW212,SUMIF($B$10:$B$16,"NCAP_TLIFE",$AX$10:$AX$16)),0,""))</f>
        <v/>
      </c>
      <c r="AP212" s="369" t="str">
        <f ca="1">IF($B212&lt;&gt;"PRC_RESID","",IF(AP$7=2005+OFFSET(COM_N_2012!$B$60,$AW212,SUMIF($B$10:$B$16,"NCAP_TLIFE",$AX$10:$AX$16)),0,""))</f>
        <v/>
      </c>
      <c r="AQ212" s="369" t="str">
        <f ca="1">IF($B212&lt;&gt;"PRC_RESID","",IF(AQ$7=2005+OFFSET(COM_N_2012!$B$60,$AW212,SUMIF($B$10:$B$16,"NCAP_TLIFE",$AX$10:$AX$16)),0,""))</f>
        <v/>
      </c>
      <c r="AR212" s="369" t="str">
        <f ca="1">IF($B212&lt;&gt;"PRC_RESID","",IF(AR$7=2005+OFFSET(COM_N_2012!$B$60,$AW212,SUMIF($B$10:$B$16,"NCAP_TLIFE",$AX$10:$AX$16)),0,""))</f>
        <v/>
      </c>
      <c r="AS212" s="369" t="str">
        <f ca="1">IF($B212&lt;&gt;"PRC_RESID","",IF(AS$7=2005+OFFSET(COM_N_2012!$B$60,$AW212,SUMIF($B$10:$B$16,"NCAP_TLIFE",$AX$10:$AX$16)),0,""))</f>
        <v/>
      </c>
      <c r="AT212" s="369" t="str">
        <f ca="1">IF($B212&lt;&gt;"PRC_RESID","",IF(AT$7=2005+OFFSET(COM_N_2012!$B$60,$AW212,SUMIF($B$10:$B$16,"NCAP_TLIFE",$AX$10:$AX$16)),0,""))</f>
        <v/>
      </c>
      <c r="AU212" s="369" t="str">
        <f ca="1">IF($B212&lt;&gt;"PRC_RESID","",IF(AU$7=2005+OFFSET(COM_N_2012!$B$60,$AW212,SUMIF($B$10:$B$16,"NCAP_TLIFE",$AX$10:$AX$16)),0,""))</f>
        <v/>
      </c>
      <c r="AV212" s="304">
        <f>IF(AW211=COM_N_2012!$AK$121,AV211+1,AV211)</f>
        <v>4</v>
      </c>
      <c r="AW212" s="304">
        <f t="shared" si="29"/>
        <v>12</v>
      </c>
    </row>
    <row r="213" spans="1:49">
      <c r="A213" s="304" t="str">
        <f ca="1">IF(LEFT(OFFSET(COM_N_2012!$A$60,AW213,0),2)="\I","*","")</f>
        <v/>
      </c>
      <c r="B213" s="369" t="str">
        <f t="shared" ca="1" si="28"/>
        <v>NCAP_COST</v>
      </c>
      <c r="C213" s="369" t="str">
        <f ca="1">IF($A213="*","",OFFSET(COM_N_2012!$B$60,AW213,0))</f>
        <v>CNHGAS-N</v>
      </c>
      <c r="D213" s="369" t="str">
        <f t="shared" ca="1" si="27"/>
        <v>-</v>
      </c>
      <c r="E213" s="369" t="str">
        <f t="shared" ca="1" si="27"/>
        <v>-</v>
      </c>
      <c r="F213" s="369" t="str">
        <f t="shared" ca="1" si="27"/>
        <v>-</v>
      </c>
      <c r="G213" s="369" t="str">
        <f t="shared" ca="1" si="27"/>
        <v>-</v>
      </c>
      <c r="H213" s="369" t="str">
        <f t="shared" ca="1" si="27"/>
        <v>-</v>
      </c>
      <c r="I213" s="370">
        <f t="shared" ca="1" si="27"/>
        <v>0</v>
      </c>
      <c r="J213" s="391">
        <f ca="1">IF($A213="*","",OFFSET(COM_N_2012!$B$60,AW213,SUMIF($B$10:$B$16,B213,$AX$10:$AX$16)))</f>
        <v>34.864360018767009</v>
      </c>
      <c r="K213" s="369" t="str">
        <f ca="1">IF($B213&lt;&gt;"PRC_RESID","",IF(K$7=2005+OFFSET(COM_N_2012!$B$60,$AW213,SUMIF($B$10:$B$16,"NCAP_TLIFE",$AX$10:$AX$16)),0,""))</f>
        <v/>
      </c>
      <c r="L213" s="369" t="str">
        <f ca="1">IF($B213&lt;&gt;"PRC_RESID","",IF(L$7=2005+OFFSET(COM_N_2012!$B$60,$AW213,SUMIF($B$10:$B$16,"NCAP_TLIFE",$AX$10:$AX$16)),0,""))</f>
        <v/>
      </c>
      <c r="M213" s="369" t="str">
        <f ca="1">IF($B213&lt;&gt;"PRC_RESID","",IF(M$7=2005+OFFSET(COM_N_2012!$B$60,$AW213,SUMIF($B$10:$B$16,"NCAP_TLIFE",$AX$10:$AX$16)),0,""))</f>
        <v/>
      </c>
      <c r="N213" s="369" t="str">
        <f ca="1">IF($B213&lt;&gt;"PRC_RESID","",IF(N$7=2005+OFFSET(COM_N_2012!$B$60,$AW213,SUMIF($B$10:$B$16,"NCAP_TLIFE",$AX$10:$AX$16)),0,""))</f>
        <v/>
      </c>
      <c r="O213" s="369" t="str">
        <f ca="1">IF($B213&lt;&gt;"PRC_RESID","",IF(O$7=2005+OFFSET(COM_N_2012!$B$60,$AW213,SUMIF($B$10:$B$16,"NCAP_TLIFE",$AX$10:$AX$16)),0,""))</f>
        <v/>
      </c>
      <c r="P213" s="369" t="str">
        <f ca="1">IF($B213&lt;&gt;"PRC_RESID","",IF(P$7=2005+OFFSET(COM_N_2012!$B$60,$AW213,SUMIF($B$10:$B$16,"NCAP_TLIFE",$AX$10:$AX$16)),0,""))</f>
        <v/>
      </c>
      <c r="Q213" s="369" t="str">
        <f ca="1">IF($B213&lt;&gt;"PRC_RESID","",IF(Q$7=2005+OFFSET(COM_N_2012!$B$60,$AW213,SUMIF($B$10:$B$16,"NCAP_TLIFE",$AX$10:$AX$16)),0,""))</f>
        <v/>
      </c>
      <c r="R213" s="369" t="str">
        <f ca="1">IF($B213&lt;&gt;"PRC_RESID","",IF(R$7=2005+OFFSET(COM_N_2012!$B$60,$AW213,SUMIF($B$10:$B$16,"NCAP_TLIFE",$AX$10:$AX$16)),0,""))</f>
        <v/>
      </c>
      <c r="S213" s="369" t="str">
        <f ca="1">IF($B213&lt;&gt;"PRC_RESID","",IF(S$7=2005+OFFSET(COM_N_2012!$B$60,$AW213,SUMIF($B$10:$B$16,"NCAP_TLIFE",$AX$10:$AX$16)),0,""))</f>
        <v/>
      </c>
      <c r="T213" s="369" t="str">
        <f ca="1">IF($B213&lt;&gt;"PRC_RESID","",IF(T$7=2005+OFFSET(COM_N_2012!$B$60,$AW213,SUMIF($B$10:$B$16,"NCAP_TLIFE",$AX$10:$AX$16)),0,""))</f>
        <v/>
      </c>
      <c r="U213" s="369" t="str">
        <f ca="1">IF($B213&lt;&gt;"PRC_RESID","",IF(U$7=2005+OFFSET(COM_N_2012!$B$60,$AW213,SUMIF($B$10:$B$16,"NCAP_TLIFE",$AX$10:$AX$16)),0,""))</f>
        <v/>
      </c>
      <c r="V213" s="369" t="str">
        <f ca="1">IF($B213&lt;&gt;"PRC_RESID","",IF(V$7=2005+OFFSET(COM_N_2012!$B$60,$AW213,SUMIF($B$10:$B$16,"NCAP_TLIFE",$AX$10:$AX$16)),0,""))</f>
        <v/>
      </c>
      <c r="W213" s="369" t="str">
        <f ca="1">IF($B213&lt;&gt;"PRC_RESID","",IF(W$7=2005+OFFSET(COM_N_2012!$B$60,$AW213,SUMIF($B$10:$B$16,"NCAP_TLIFE",$AX$10:$AX$16)),0,""))</f>
        <v/>
      </c>
      <c r="X213" s="369" t="str">
        <f ca="1">IF($B213&lt;&gt;"PRC_RESID","",IF(X$7=2005+OFFSET(COM_N_2012!$B$60,$AW213,SUMIF($B$10:$B$16,"NCAP_TLIFE",$AX$10:$AX$16)),0,""))</f>
        <v/>
      </c>
      <c r="Y213" s="369" t="str">
        <f ca="1">IF($B213&lt;&gt;"PRC_RESID","",IF(Y$7=2005+OFFSET(COM_N_2012!$B$60,$AW213,SUMIF($B$10:$B$16,"NCAP_TLIFE",$AX$10:$AX$16)),0,""))</f>
        <v/>
      </c>
      <c r="Z213" s="369" t="str">
        <f ca="1">IF($B213&lt;&gt;"PRC_RESID","",IF(Z$7=2005+OFFSET(COM_N_2012!$B$60,$AW213,SUMIF($B$10:$B$16,"NCAP_TLIFE",$AX$10:$AX$16)),0,""))</f>
        <v/>
      </c>
      <c r="AA213" s="369" t="str">
        <f ca="1">IF($B213&lt;&gt;"PRC_RESID","",IF(AA$7=2005+OFFSET(COM_N_2012!$B$60,$AW213,SUMIF($B$10:$B$16,"NCAP_TLIFE",$AX$10:$AX$16)),0,""))</f>
        <v/>
      </c>
      <c r="AB213" s="369" t="str">
        <f ca="1">IF($B213&lt;&gt;"PRC_RESID","",IF(AB$7=2005+OFFSET(COM_N_2012!$B$60,$AW213,SUMIF($B$10:$B$16,"NCAP_TLIFE",$AX$10:$AX$16)),0,""))</f>
        <v/>
      </c>
      <c r="AC213" s="369" t="str">
        <f ca="1">IF($B213&lt;&gt;"PRC_RESID","",IF(AC$7=2005+OFFSET(COM_N_2012!$B$60,$AW213,SUMIF($B$10:$B$16,"NCAP_TLIFE",$AX$10:$AX$16)),0,""))</f>
        <v/>
      </c>
      <c r="AD213" s="369" t="str">
        <f ca="1">IF($B213&lt;&gt;"PRC_RESID","",IF(AD$7=2005+OFFSET(COM_N_2012!$B$60,$AW213,SUMIF($B$10:$B$16,"NCAP_TLIFE",$AX$10:$AX$16)),0,""))</f>
        <v/>
      </c>
      <c r="AE213" s="369" t="str">
        <f ca="1">IF($B213&lt;&gt;"PRC_RESID","",IF(AE$7=2005+OFFSET(COM_N_2012!$B$60,$AW213,SUMIF($B$10:$B$16,"NCAP_TLIFE",$AX$10:$AX$16)),0,""))</f>
        <v/>
      </c>
      <c r="AF213" s="369" t="str">
        <f ca="1">IF($B213&lt;&gt;"PRC_RESID","",IF(AF$7=2005+OFFSET(COM_N_2012!$B$60,$AW213,SUMIF($B$10:$B$16,"NCAP_TLIFE",$AX$10:$AX$16)),0,""))</f>
        <v/>
      </c>
      <c r="AG213" s="369" t="str">
        <f ca="1">IF($B213&lt;&gt;"PRC_RESID","",IF(AG$7=2005+OFFSET(COM_N_2012!$B$60,$AW213,SUMIF($B$10:$B$16,"NCAP_TLIFE",$AX$10:$AX$16)),0,""))</f>
        <v/>
      </c>
      <c r="AH213" s="369" t="str">
        <f ca="1">IF($B213&lt;&gt;"PRC_RESID","",IF(AH$7=2005+OFFSET(COM_N_2012!$B$60,$AW213,SUMIF($B$10:$B$16,"NCAP_TLIFE",$AX$10:$AX$16)),0,""))</f>
        <v/>
      </c>
      <c r="AI213" s="369" t="str">
        <f ca="1">IF($B213&lt;&gt;"PRC_RESID","",IF(AI$7=2005+OFFSET(COM_N_2012!$B$60,$AW213,SUMIF($B$10:$B$16,"NCAP_TLIFE",$AX$10:$AX$16)),0,""))</f>
        <v/>
      </c>
      <c r="AJ213" s="369" t="str">
        <f ca="1">IF($B213&lt;&gt;"PRC_RESID","",IF(AJ$7=2005+OFFSET(COM_N_2012!$B$60,$AW213,SUMIF($B$10:$B$16,"NCAP_TLIFE",$AX$10:$AX$16)),0,""))</f>
        <v/>
      </c>
      <c r="AK213" s="369" t="str">
        <f ca="1">IF($B213&lt;&gt;"PRC_RESID","",IF(AK$7=2005+OFFSET(COM_N_2012!$B$60,$AW213,SUMIF($B$10:$B$16,"NCAP_TLIFE",$AX$10:$AX$16)),0,""))</f>
        <v/>
      </c>
      <c r="AL213" s="369" t="str">
        <f ca="1">IF($B213&lt;&gt;"PRC_RESID","",IF(AL$7=2005+OFFSET(COM_N_2012!$B$60,$AW213,SUMIF($B$10:$B$16,"NCAP_TLIFE",$AX$10:$AX$16)),0,""))</f>
        <v/>
      </c>
      <c r="AM213" s="369" t="str">
        <f ca="1">IF($B213&lt;&gt;"PRC_RESID","",IF(AM$7=2005+OFFSET(COM_N_2012!$B$60,$AW213,SUMIF($B$10:$B$16,"NCAP_TLIFE",$AX$10:$AX$16)),0,""))</f>
        <v/>
      </c>
      <c r="AN213" s="369" t="str">
        <f ca="1">IF($B213&lt;&gt;"PRC_RESID","",IF(AN$7=2005+OFFSET(COM_N_2012!$B$60,$AW213,SUMIF($B$10:$B$16,"NCAP_TLIFE",$AX$10:$AX$16)),0,""))</f>
        <v/>
      </c>
      <c r="AO213" s="369" t="str">
        <f ca="1">IF($B213&lt;&gt;"PRC_RESID","",IF(AO$7=2005+OFFSET(COM_N_2012!$B$60,$AW213,SUMIF($B$10:$B$16,"NCAP_TLIFE",$AX$10:$AX$16)),0,""))</f>
        <v/>
      </c>
      <c r="AP213" s="369" t="str">
        <f ca="1">IF($B213&lt;&gt;"PRC_RESID","",IF(AP$7=2005+OFFSET(COM_N_2012!$B$60,$AW213,SUMIF($B$10:$B$16,"NCAP_TLIFE",$AX$10:$AX$16)),0,""))</f>
        <v/>
      </c>
      <c r="AQ213" s="369" t="str">
        <f ca="1">IF($B213&lt;&gt;"PRC_RESID","",IF(AQ$7=2005+OFFSET(COM_N_2012!$B$60,$AW213,SUMIF($B$10:$B$16,"NCAP_TLIFE",$AX$10:$AX$16)),0,""))</f>
        <v/>
      </c>
      <c r="AR213" s="369" t="str">
        <f ca="1">IF($B213&lt;&gt;"PRC_RESID","",IF(AR$7=2005+OFFSET(COM_N_2012!$B$60,$AW213,SUMIF($B$10:$B$16,"NCAP_TLIFE",$AX$10:$AX$16)),0,""))</f>
        <v/>
      </c>
      <c r="AS213" s="369" t="str">
        <f ca="1">IF($B213&lt;&gt;"PRC_RESID","",IF(AS$7=2005+OFFSET(COM_N_2012!$B$60,$AW213,SUMIF($B$10:$B$16,"NCAP_TLIFE",$AX$10:$AX$16)),0,""))</f>
        <v/>
      </c>
      <c r="AT213" s="369" t="str">
        <f ca="1">IF($B213&lt;&gt;"PRC_RESID","",IF(AT$7=2005+OFFSET(COM_N_2012!$B$60,$AW213,SUMIF($B$10:$B$16,"NCAP_TLIFE",$AX$10:$AX$16)),0,""))</f>
        <v/>
      </c>
      <c r="AU213" s="369" t="str">
        <f ca="1">IF($B213&lt;&gt;"PRC_RESID","",IF(AU$7=2005+OFFSET(COM_N_2012!$B$60,$AW213,SUMIF($B$10:$B$16,"NCAP_TLIFE",$AX$10:$AX$16)),0,""))</f>
        <v/>
      </c>
      <c r="AV213" s="304">
        <f>IF(AW212=COM_N_2012!$AK$121,AV212+1,AV212)</f>
        <v>4</v>
      </c>
      <c r="AW213" s="304">
        <f t="shared" si="29"/>
        <v>13</v>
      </c>
    </row>
    <row r="214" spans="1:49">
      <c r="A214" s="304" t="str">
        <f ca="1">IF(LEFT(OFFSET(COM_N_2012!$A$60,AW214,0),2)="\I","*","")</f>
        <v>*</v>
      </c>
      <c r="B214" s="369" t="str">
        <f t="shared" ca="1" si="28"/>
        <v/>
      </c>
      <c r="C214" s="369" t="str">
        <f ca="1">IF($A214="*","",OFFSET(COM_N_2012!$B$60,AW214,0))</f>
        <v/>
      </c>
      <c r="D214" s="369" t="str">
        <f t="shared" ca="1" si="27"/>
        <v/>
      </c>
      <c r="E214" s="369" t="str">
        <f t="shared" ca="1" si="27"/>
        <v/>
      </c>
      <c r="F214" s="369" t="str">
        <f t="shared" ca="1" si="27"/>
        <v/>
      </c>
      <c r="G214" s="369" t="str">
        <f t="shared" ca="1" si="27"/>
        <v/>
      </c>
      <c r="H214" s="369" t="str">
        <f t="shared" ca="1" si="27"/>
        <v/>
      </c>
      <c r="I214" s="370" t="str">
        <f t="shared" ca="1" si="27"/>
        <v/>
      </c>
      <c r="J214" s="391" t="str">
        <f ca="1">IF($A214="*","",OFFSET(COM_N_2012!$B$60,AW214,SUMIF($B$10:$B$16,B214,$AX$10:$AX$16)))</f>
        <v/>
      </c>
      <c r="K214" s="369" t="str">
        <f ca="1">IF($B214&lt;&gt;"PRC_RESID","",IF(K$7=2005+OFFSET(COM_N_2012!$B$60,$AW214,SUMIF($B$10:$B$16,"NCAP_TLIFE",$AX$10:$AX$16)),0,""))</f>
        <v/>
      </c>
      <c r="L214" s="369" t="str">
        <f ca="1">IF($B214&lt;&gt;"PRC_RESID","",IF(L$7=2005+OFFSET(COM_N_2012!$B$60,$AW214,SUMIF($B$10:$B$16,"NCAP_TLIFE",$AX$10:$AX$16)),0,""))</f>
        <v/>
      </c>
      <c r="M214" s="369" t="str">
        <f ca="1">IF($B214&lt;&gt;"PRC_RESID","",IF(M$7=2005+OFFSET(COM_N_2012!$B$60,$AW214,SUMIF($B$10:$B$16,"NCAP_TLIFE",$AX$10:$AX$16)),0,""))</f>
        <v/>
      </c>
      <c r="N214" s="369" t="str">
        <f ca="1">IF($B214&lt;&gt;"PRC_RESID","",IF(N$7=2005+OFFSET(COM_N_2012!$B$60,$AW214,SUMIF($B$10:$B$16,"NCAP_TLIFE",$AX$10:$AX$16)),0,""))</f>
        <v/>
      </c>
      <c r="O214" s="369" t="str">
        <f ca="1">IF($B214&lt;&gt;"PRC_RESID","",IF(O$7=2005+OFFSET(COM_N_2012!$B$60,$AW214,SUMIF($B$10:$B$16,"NCAP_TLIFE",$AX$10:$AX$16)),0,""))</f>
        <v/>
      </c>
      <c r="P214" s="369" t="str">
        <f ca="1">IF($B214&lt;&gt;"PRC_RESID","",IF(P$7=2005+OFFSET(COM_N_2012!$B$60,$AW214,SUMIF($B$10:$B$16,"NCAP_TLIFE",$AX$10:$AX$16)),0,""))</f>
        <v/>
      </c>
      <c r="Q214" s="369" t="str">
        <f ca="1">IF($B214&lt;&gt;"PRC_RESID","",IF(Q$7=2005+OFFSET(COM_N_2012!$B$60,$AW214,SUMIF($B$10:$B$16,"NCAP_TLIFE",$AX$10:$AX$16)),0,""))</f>
        <v/>
      </c>
      <c r="R214" s="369" t="str">
        <f ca="1">IF($B214&lt;&gt;"PRC_RESID","",IF(R$7=2005+OFFSET(COM_N_2012!$B$60,$AW214,SUMIF($B$10:$B$16,"NCAP_TLIFE",$AX$10:$AX$16)),0,""))</f>
        <v/>
      </c>
      <c r="S214" s="369" t="str">
        <f ca="1">IF($B214&lt;&gt;"PRC_RESID","",IF(S$7=2005+OFFSET(COM_N_2012!$B$60,$AW214,SUMIF($B$10:$B$16,"NCAP_TLIFE",$AX$10:$AX$16)),0,""))</f>
        <v/>
      </c>
      <c r="T214" s="369" t="str">
        <f ca="1">IF($B214&lt;&gt;"PRC_RESID","",IF(T$7=2005+OFFSET(COM_N_2012!$B$60,$AW214,SUMIF($B$10:$B$16,"NCAP_TLIFE",$AX$10:$AX$16)),0,""))</f>
        <v/>
      </c>
      <c r="U214" s="369" t="str">
        <f ca="1">IF($B214&lt;&gt;"PRC_RESID","",IF(U$7=2005+OFFSET(COM_N_2012!$B$60,$AW214,SUMIF($B$10:$B$16,"NCAP_TLIFE",$AX$10:$AX$16)),0,""))</f>
        <v/>
      </c>
      <c r="V214" s="369" t="str">
        <f ca="1">IF($B214&lt;&gt;"PRC_RESID","",IF(V$7=2005+OFFSET(COM_N_2012!$B$60,$AW214,SUMIF($B$10:$B$16,"NCAP_TLIFE",$AX$10:$AX$16)),0,""))</f>
        <v/>
      </c>
      <c r="W214" s="369" t="str">
        <f ca="1">IF($B214&lt;&gt;"PRC_RESID","",IF(W$7=2005+OFFSET(COM_N_2012!$B$60,$AW214,SUMIF($B$10:$B$16,"NCAP_TLIFE",$AX$10:$AX$16)),0,""))</f>
        <v/>
      </c>
      <c r="X214" s="369" t="str">
        <f ca="1">IF($B214&lt;&gt;"PRC_RESID","",IF(X$7=2005+OFFSET(COM_N_2012!$B$60,$AW214,SUMIF($B$10:$B$16,"NCAP_TLIFE",$AX$10:$AX$16)),0,""))</f>
        <v/>
      </c>
      <c r="Y214" s="369" t="str">
        <f ca="1">IF($B214&lt;&gt;"PRC_RESID","",IF(Y$7=2005+OFFSET(COM_N_2012!$B$60,$AW214,SUMIF($B$10:$B$16,"NCAP_TLIFE",$AX$10:$AX$16)),0,""))</f>
        <v/>
      </c>
      <c r="Z214" s="369" t="str">
        <f ca="1">IF($B214&lt;&gt;"PRC_RESID","",IF(Z$7=2005+OFFSET(COM_N_2012!$B$60,$AW214,SUMIF($B$10:$B$16,"NCAP_TLIFE",$AX$10:$AX$16)),0,""))</f>
        <v/>
      </c>
      <c r="AA214" s="369" t="str">
        <f ca="1">IF($B214&lt;&gt;"PRC_RESID","",IF(AA$7=2005+OFFSET(COM_N_2012!$B$60,$AW214,SUMIF($B$10:$B$16,"NCAP_TLIFE",$AX$10:$AX$16)),0,""))</f>
        <v/>
      </c>
      <c r="AB214" s="369" t="str">
        <f ca="1">IF($B214&lt;&gt;"PRC_RESID","",IF(AB$7=2005+OFFSET(COM_N_2012!$B$60,$AW214,SUMIF($B$10:$B$16,"NCAP_TLIFE",$AX$10:$AX$16)),0,""))</f>
        <v/>
      </c>
      <c r="AC214" s="369" t="str">
        <f ca="1">IF($B214&lt;&gt;"PRC_RESID","",IF(AC$7=2005+OFFSET(COM_N_2012!$B$60,$AW214,SUMIF($B$10:$B$16,"NCAP_TLIFE",$AX$10:$AX$16)),0,""))</f>
        <v/>
      </c>
      <c r="AD214" s="369" t="str">
        <f ca="1">IF($B214&lt;&gt;"PRC_RESID","",IF(AD$7=2005+OFFSET(COM_N_2012!$B$60,$AW214,SUMIF($B$10:$B$16,"NCAP_TLIFE",$AX$10:$AX$16)),0,""))</f>
        <v/>
      </c>
      <c r="AE214" s="369" t="str">
        <f ca="1">IF($B214&lt;&gt;"PRC_RESID","",IF(AE$7=2005+OFFSET(COM_N_2012!$B$60,$AW214,SUMIF($B$10:$B$16,"NCAP_TLIFE",$AX$10:$AX$16)),0,""))</f>
        <v/>
      </c>
      <c r="AF214" s="369" t="str">
        <f ca="1">IF($B214&lt;&gt;"PRC_RESID","",IF(AF$7=2005+OFFSET(COM_N_2012!$B$60,$AW214,SUMIF($B$10:$B$16,"NCAP_TLIFE",$AX$10:$AX$16)),0,""))</f>
        <v/>
      </c>
      <c r="AG214" s="369" t="str">
        <f ca="1">IF($B214&lt;&gt;"PRC_RESID","",IF(AG$7=2005+OFFSET(COM_N_2012!$B$60,$AW214,SUMIF($B$10:$B$16,"NCAP_TLIFE",$AX$10:$AX$16)),0,""))</f>
        <v/>
      </c>
      <c r="AH214" s="369" t="str">
        <f ca="1">IF($B214&lt;&gt;"PRC_RESID","",IF(AH$7=2005+OFFSET(COM_N_2012!$B$60,$AW214,SUMIF($B$10:$B$16,"NCAP_TLIFE",$AX$10:$AX$16)),0,""))</f>
        <v/>
      </c>
      <c r="AI214" s="369" t="str">
        <f ca="1">IF($B214&lt;&gt;"PRC_RESID","",IF(AI$7=2005+OFFSET(COM_N_2012!$B$60,$AW214,SUMIF($B$10:$B$16,"NCAP_TLIFE",$AX$10:$AX$16)),0,""))</f>
        <v/>
      </c>
      <c r="AJ214" s="369" t="str">
        <f ca="1">IF($B214&lt;&gt;"PRC_RESID","",IF(AJ$7=2005+OFFSET(COM_N_2012!$B$60,$AW214,SUMIF($B$10:$B$16,"NCAP_TLIFE",$AX$10:$AX$16)),0,""))</f>
        <v/>
      </c>
      <c r="AK214" s="369" t="str">
        <f ca="1">IF($B214&lt;&gt;"PRC_RESID","",IF(AK$7=2005+OFFSET(COM_N_2012!$B$60,$AW214,SUMIF($B$10:$B$16,"NCAP_TLIFE",$AX$10:$AX$16)),0,""))</f>
        <v/>
      </c>
      <c r="AL214" s="369" t="str">
        <f ca="1">IF($B214&lt;&gt;"PRC_RESID","",IF(AL$7=2005+OFFSET(COM_N_2012!$B$60,$AW214,SUMIF($B$10:$B$16,"NCAP_TLIFE",$AX$10:$AX$16)),0,""))</f>
        <v/>
      </c>
      <c r="AM214" s="369" t="str">
        <f ca="1">IF($B214&lt;&gt;"PRC_RESID","",IF(AM$7=2005+OFFSET(COM_N_2012!$B$60,$AW214,SUMIF($B$10:$B$16,"NCAP_TLIFE",$AX$10:$AX$16)),0,""))</f>
        <v/>
      </c>
      <c r="AN214" s="369" t="str">
        <f ca="1">IF($B214&lt;&gt;"PRC_RESID","",IF(AN$7=2005+OFFSET(COM_N_2012!$B$60,$AW214,SUMIF($B$10:$B$16,"NCAP_TLIFE",$AX$10:$AX$16)),0,""))</f>
        <v/>
      </c>
      <c r="AO214" s="369" t="str">
        <f ca="1">IF($B214&lt;&gt;"PRC_RESID","",IF(AO$7=2005+OFFSET(COM_N_2012!$B$60,$AW214,SUMIF($B$10:$B$16,"NCAP_TLIFE",$AX$10:$AX$16)),0,""))</f>
        <v/>
      </c>
      <c r="AP214" s="369" t="str">
        <f ca="1">IF($B214&lt;&gt;"PRC_RESID","",IF(AP$7=2005+OFFSET(COM_N_2012!$B$60,$AW214,SUMIF($B$10:$B$16,"NCAP_TLIFE",$AX$10:$AX$16)),0,""))</f>
        <v/>
      </c>
      <c r="AQ214" s="369" t="str">
        <f ca="1">IF($B214&lt;&gt;"PRC_RESID","",IF(AQ$7=2005+OFFSET(COM_N_2012!$B$60,$AW214,SUMIF($B$10:$B$16,"NCAP_TLIFE",$AX$10:$AX$16)),0,""))</f>
        <v/>
      </c>
      <c r="AR214" s="369" t="str">
        <f ca="1">IF($B214&lt;&gt;"PRC_RESID","",IF(AR$7=2005+OFFSET(COM_N_2012!$B$60,$AW214,SUMIF($B$10:$B$16,"NCAP_TLIFE",$AX$10:$AX$16)),0,""))</f>
        <v/>
      </c>
      <c r="AS214" s="369" t="str">
        <f ca="1">IF($B214&lt;&gt;"PRC_RESID","",IF(AS$7=2005+OFFSET(COM_N_2012!$B$60,$AW214,SUMIF($B$10:$B$16,"NCAP_TLIFE",$AX$10:$AX$16)),0,""))</f>
        <v/>
      </c>
      <c r="AT214" s="369" t="str">
        <f ca="1">IF($B214&lt;&gt;"PRC_RESID","",IF(AT$7=2005+OFFSET(COM_N_2012!$B$60,$AW214,SUMIF($B$10:$B$16,"NCAP_TLIFE",$AX$10:$AX$16)),0,""))</f>
        <v/>
      </c>
      <c r="AU214" s="369" t="str">
        <f ca="1">IF($B214&lt;&gt;"PRC_RESID","",IF(AU$7=2005+OFFSET(COM_N_2012!$B$60,$AW214,SUMIF($B$10:$B$16,"NCAP_TLIFE",$AX$10:$AX$16)),0,""))</f>
        <v/>
      </c>
      <c r="AV214" s="304">
        <f>IF(AW213=COM_N_2012!$AK$121,AV213+1,AV213)</f>
        <v>4</v>
      </c>
      <c r="AW214" s="304">
        <f t="shared" si="29"/>
        <v>14</v>
      </c>
    </row>
    <row r="215" spans="1:49">
      <c r="A215" s="304" t="str">
        <f ca="1">IF(LEFT(OFFSET(COM_N_2012!$A$60,AW215,0),2)="\I","*","")</f>
        <v>*</v>
      </c>
      <c r="B215" s="369" t="str">
        <f t="shared" ca="1" si="28"/>
        <v/>
      </c>
      <c r="C215" s="369" t="str">
        <f ca="1">IF($A215="*","",OFFSET(COM_N_2012!$B$60,AW215,0))</f>
        <v/>
      </c>
      <c r="D215" s="369" t="str">
        <f t="shared" ca="1" si="27"/>
        <v/>
      </c>
      <c r="E215" s="369" t="str">
        <f t="shared" ca="1" si="27"/>
        <v/>
      </c>
      <c r="F215" s="369" t="str">
        <f t="shared" ca="1" si="27"/>
        <v/>
      </c>
      <c r="G215" s="369" t="str">
        <f t="shared" ca="1" si="27"/>
        <v/>
      </c>
      <c r="H215" s="369" t="str">
        <f t="shared" ca="1" si="27"/>
        <v/>
      </c>
      <c r="I215" s="370" t="str">
        <f t="shared" ca="1" si="27"/>
        <v/>
      </c>
      <c r="J215" s="391" t="str">
        <f ca="1">IF($A215="*","",OFFSET(COM_N_2012!$B$60,AW215,SUMIF($B$10:$B$16,B215,$AX$10:$AX$16)))</f>
        <v/>
      </c>
      <c r="K215" s="369" t="str">
        <f ca="1">IF($B215&lt;&gt;"PRC_RESID","",IF(K$7=2005+OFFSET(COM_N_2012!$B$60,$AW215,SUMIF($B$10:$B$16,"NCAP_TLIFE",$AX$10:$AX$16)),0,""))</f>
        <v/>
      </c>
      <c r="L215" s="369" t="str">
        <f ca="1">IF($B215&lt;&gt;"PRC_RESID","",IF(L$7=2005+OFFSET(COM_N_2012!$B$60,$AW215,SUMIF($B$10:$B$16,"NCAP_TLIFE",$AX$10:$AX$16)),0,""))</f>
        <v/>
      </c>
      <c r="M215" s="369" t="str">
        <f ca="1">IF($B215&lt;&gt;"PRC_RESID","",IF(M$7=2005+OFFSET(COM_N_2012!$B$60,$AW215,SUMIF($B$10:$B$16,"NCAP_TLIFE",$AX$10:$AX$16)),0,""))</f>
        <v/>
      </c>
      <c r="N215" s="369" t="str">
        <f ca="1">IF($B215&lt;&gt;"PRC_RESID","",IF(N$7=2005+OFFSET(COM_N_2012!$B$60,$AW215,SUMIF($B$10:$B$16,"NCAP_TLIFE",$AX$10:$AX$16)),0,""))</f>
        <v/>
      </c>
      <c r="O215" s="369" t="str">
        <f ca="1">IF($B215&lt;&gt;"PRC_RESID","",IF(O$7=2005+OFFSET(COM_N_2012!$B$60,$AW215,SUMIF($B$10:$B$16,"NCAP_TLIFE",$AX$10:$AX$16)),0,""))</f>
        <v/>
      </c>
      <c r="P215" s="369" t="str">
        <f ca="1">IF($B215&lt;&gt;"PRC_RESID","",IF(P$7=2005+OFFSET(COM_N_2012!$B$60,$AW215,SUMIF($B$10:$B$16,"NCAP_TLIFE",$AX$10:$AX$16)),0,""))</f>
        <v/>
      </c>
      <c r="Q215" s="369" t="str">
        <f ca="1">IF($B215&lt;&gt;"PRC_RESID","",IF(Q$7=2005+OFFSET(COM_N_2012!$B$60,$AW215,SUMIF($B$10:$B$16,"NCAP_TLIFE",$AX$10:$AX$16)),0,""))</f>
        <v/>
      </c>
      <c r="R215" s="369" t="str">
        <f ca="1">IF($B215&lt;&gt;"PRC_RESID","",IF(R$7=2005+OFFSET(COM_N_2012!$B$60,$AW215,SUMIF($B$10:$B$16,"NCAP_TLIFE",$AX$10:$AX$16)),0,""))</f>
        <v/>
      </c>
      <c r="S215" s="369" t="str">
        <f ca="1">IF($B215&lt;&gt;"PRC_RESID","",IF(S$7=2005+OFFSET(COM_N_2012!$B$60,$AW215,SUMIF($B$10:$B$16,"NCAP_TLIFE",$AX$10:$AX$16)),0,""))</f>
        <v/>
      </c>
      <c r="T215" s="369" t="str">
        <f ca="1">IF($B215&lt;&gt;"PRC_RESID","",IF(T$7=2005+OFFSET(COM_N_2012!$B$60,$AW215,SUMIF($B$10:$B$16,"NCAP_TLIFE",$AX$10:$AX$16)),0,""))</f>
        <v/>
      </c>
      <c r="U215" s="369" t="str">
        <f ca="1">IF($B215&lt;&gt;"PRC_RESID","",IF(U$7=2005+OFFSET(COM_N_2012!$B$60,$AW215,SUMIF($B$10:$B$16,"NCAP_TLIFE",$AX$10:$AX$16)),0,""))</f>
        <v/>
      </c>
      <c r="V215" s="369" t="str">
        <f ca="1">IF($B215&lt;&gt;"PRC_RESID","",IF(V$7=2005+OFFSET(COM_N_2012!$B$60,$AW215,SUMIF($B$10:$B$16,"NCAP_TLIFE",$AX$10:$AX$16)),0,""))</f>
        <v/>
      </c>
      <c r="W215" s="369" t="str">
        <f ca="1">IF($B215&lt;&gt;"PRC_RESID","",IF(W$7=2005+OFFSET(COM_N_2012!$B$60,$AW215,SUMIF($B$10:$B$16,"NCAP_TLIFE",$AX$10:$AX$16)),0,""))</f>
        <v/>
      </c>
      <c r="X215" s="369" t="str">
        <f ca="1">IF($B215&lt;&gt;"PRC_RESID","",IF(X$7=2005+OFFSET(COM_N_2012!$B$60,$AW215,SUMIF($B$10:$B$16,"NCAP_TLIFE",$AX$10:$AX$16)),0,""))</f>
        <v/>
      </c>
      <c r="Y215" s="369" t="str">
        <f ca="1">IF($B215&lt;&gt;"PRC_RESID","",IF(Y$7=2005+OFFSET(COM_N_2012!$B$60,$AW215,SUMIF($B$10:$B$16,"NCAP_TLIFE",$AX$10:$AX$16)),0,""))</f>
        <v/>
      </c>
      <c r="Z215" s="369" t="str">
        <f ca="1">IF($B215&lt;&gt;"PRC_RESID","",IF(Z$7=2005+OFFSET(COM_N_2012!$B$60,$AW215,SUMIF($B$10:$B$16,"NCAP_TLIFE",$AX$10:$AX$16)),0,""))</f>
        <v/>
      </c>
      <c r="AA215" s="369" t="str">
        <f ca="1">IF($B215&lt;&gt;"PRC_RESID","",IF(AA$7=2005+OFFSET(COM_N_2012!$B$60,$AW215,SUMIF($B$10:$B$16,"NCAP_TLIFE",$AX$10:$AX$16)),0,""))</f>
        <v/>
      </c>
      <c r="AB215" s="369" t="str">
        <f ca="1">IF($B215&lt;&gt;"PRC_RESID","",IF(AB$7=2005+OFFSET(COM_N_2012!$B$60,$AW215,SUMIF($B$10:$B$16,"NCAP_TLIFE",$AX$10:$AX$16)),0,""))</f>
        <v/>
      </c>
      <c r="AC215" s="369" t="str">
        <f ca="1">IF($B215&lt;&gt;"PRC_RESID","",IF(AC$7=2005+OFFSET(COM_N_2012!$B$60,$AW215,SUMIF($B$10:$B$16,"NCAP_TLIFE",$AX$10:$AX$16)),0,""))</f>
        <v/>
      </c>
      <c r="AD215" s="369" t="str">
        <f ca="1">IF($B215&lt;&gt;"PRC_RESID","",IF(AD$7=2005+OFFSET(COM_N_2012!$B$60,$AW215,SUMIF($B$10:$B$16,"NCAP_TLIFE",$AX$10:$AX$16)),0,""))</f>
        <v/>
      </c>
      <c r="AE215" s="369" t="str">
        <f ca="1">IF($B215&lt;&gt;"PRC_RESID","",IF(AE$7=2005+OFFSET(COM_N_2012!$B$60,$AW215,SUMIF($B$10:$B$16,"NCAP_TLIFE",$AX$10:$AX$16)),0,""))</f>
        <v/>
      </c>
      <c r="AF215" s="369" t="str">
        <f ca="1">IF($B215&lt;&gt;"PRC_RESID","",IF(AF$7=2005+OFFSET(COM_N_2012!$B$60,$AW215,SUMIF($B$10:$B$16,"NCAP_TLIFE",$AX$10:$AX$16)),0,""))</f>
        <v/>
      </c>
      <c r="AG215" s="369" t="str">
        <f ca="1">IF($B215&lt;&gt;"PRC_RESID","",IF(AG$7=2005+OFFSET(COM_N_2012!$B$60,$AW215,SUMIF($B$10:$B$16,"NCAP_TLIFE",$AX$10:$AX$16)),0,""))</f>
        <v/>
      </c>
      <c r="AH215" s="369" t="str">
        <f ca="1">IF($B215&lt;&gt;"PRC_RESID","",IF(AH$7=2005+OFFSET(COM_N_2012!$B$60,$AW215,SUMIF($B$10:$B$16,"NCAP_TLIFE",$AX$10:$AX$16)),0,""))</f>
        <v/>
      </c>
      <c r="AI215" s="369" t="str">
        <f ca="1">IF($B215&lt;&gt;"PRC_RESID","",IF(AI$7=2005+OFFSET(COM_N_2012!$B$60,$AW215,SUMIF($B$10:$B$16,"NCAP_TLIFE",$AX$10:$AX$16)),0,""))</f>
        <v/>
      </c>
      <c r="AJ215" s="369" t="str">
        <f ca="1">IF($B215&lt;&gt;"PRC_RESID","",IF(AJ$7=2005+OFFSET(COM_N_2012!$B$60,$AW215,SUMIF($B$10:$B$16,"NCAP_TLIFE",$AX$10:$AX$16)),0,""))</f>
        <v/>
      </c>
      <c r="AK215" s="369" t="str">
        <f ca="1">IF($B215&lt;&gt;"PRC_RESID","",IF(AK$7=2005+OFFSET(COM_N_2012!$B$60,$AW215,SUMIF($B$10:$B$16,"NCAP_TLIFE",$AX$10:$AX$16)),0,""))</f>
        <v/>
      </c>
      <c r="AL215" s="369" t="str">
        <f ca="1">IF($B215&lt;&gt;"PRC_RESID","",IF(AL$7=2005+OFFSET(COM_N_2012!$B$60,$AW215,SUMIF($B$10:$B$16,"NCAP_TLIFE",$AX$10:$AX$16)),0,""))</f>
        <v/>
      </c>
      <c r="AM215" s="369" t="str">
        <f ca="1">IF($B215&lt;&gt;"PRC_RESID","",IF(AM$7=2005+OFFSET(COM_N_2012!$B$60,$AW215,SUMIF($B$10:$B$16,"NCAP_TLIFE",$AX$10:$AX$16)),0,""))</f>
        <v/>
      </c>
      <c r="AN215" s="369" t="str">
        <f ca="1">IF($B215&lt;&gt;"PRC_RESID","",IF(AN$7=2005+OFFSET(COM_N_2012!$B$60,$AW215,SUMIF($B$10:$B$16,"NCAP_TLIFE",$AX$10:$AX$16)),0,""))</f>
        <v/>
      </c>
      <c r="AO215" s="369" t="str">
        <f ca="1">IF($B215&lt;&gt;"PRC_RESID","",IF(AO$7=2005+OFFSET(COM_N_2012!$B$60,$AW215,SUMIF($B$10:$B$16,"NCAP_TLIFE",$AX$10:$AX$16)),0,""))</f>
        <v/>
      </c>
      <c r="AP215" s="369" t="str">
        <f ca="1">IF($B215&lt;&gt;"PRC_RESID","",IF(AP$7=2005+OFFSET(COM_N_2012!$B$60,$AW215,SUMIF($B$10:$B$16,"NCAP_TLIFE",$AX$10:$AX$16)),0,""))</f>
        <v/>
      </c>
      <c r="AQ215" s="369" t="str">
        <f ca="1">IF($B215&lt;&gt;"PRC_RESID","",IF(AQ$7=2005+OFFSET(COM_N_2012!$B$60,$AW215,SUMIF($B$10:$B$16,"NCAP_TLIFE",$AX$10:$AX$16)),0,""))</f>
        <v/>
      </c>
      <c r="AR215" s="369" t="str">
        <f ca="1">IF($B215&lt;&gt;"PRC_RESID","",IF(AR$7=2005+OFFSET(COM_N_2012!$B$60,$AW215,SUMIF($B$10:$B$16,"NCAP_TLIFE",$AX$10:$AX$16)),0,""))</f>
        <v/>
      </c>
      <c r="AS215" s="369" t="str">
        <f ca="1">IF($B215&lt;&gt;"PRC_RESID","",IF(AS$7=2005+OFFSET(COM_N_2012!$B$60,$AW215,SUMIF($B$10:$B$16,"NCAP_TLIFE",$AX$10:$AX$16)),0,""))</f>
        <v/>
      </c>
      <c r="AT215" s="369" t="str">
        <f ca="1">IF($B215&lt;&gt;"PRC_RESID","",IF(AT$7=2005+OFFSET(COM_N_2012!$B$60,$AW215,SUMIF($B$10:$B$16,"NCAP_TLIFE",$AX$10:$AX$16)),0,""))</f>
        <v/>
      </c>
      <c r="AU215" s="369" t="str">
        <f ca="1">IF($B215&lt;&gt;"PRC_RESID","",IF(AU$7=2005+OFFSET(COM_N_2012!$B$60,$AW215,SUMIF($B$10:$B$16,"NCAP_TLIFE",$AX$10:$AX$16)),0,""))</f>
        <v/>
      </c>
      <c r="AV215" s="304">
        <f>IF(AW214=COM_N_2012!$AK$121,AV214+1,AV214)</f>
        <v>4</v>
      </c>
      <c r="AW215" s="304">
        <f t="shared" si="29"/>
        <v>15</v>
      </c>
    </row>
    <row r="216" spans="1:49">
      <c r="A216" s="304" t="str">
        <f ca="1">IF(LEFT(OFFSET(COM_N_2012!$A$60,AW216,0),2)="\I","*","")</f>
        <v/>
      </c>
      <c r="B216" s="369" t="str">
        <f t="shared" ca="1" si="28"/>
        <v>NCAP_COST</v>
      </c>
      <c r="C216" s="369" t="str">
        <f ca="1">IF($A216="*","",OFFSET(COM_N_2012!$B$60,AW216,0))</f>
        <v>CNKOLP-E</v>
      </c>
      <c r="D216" s="369" t="str">
        <f t="shared" ca="1" si="27"/>
        <v>-</v>
      </c>
      <c r="E216" s="369" t="str">
        <f t="shared" ca="1" si="27"/>
        <v>-</v>
      </c>
      <c r="F216" s="369" t="str">
        <f t="shared" ca="1" si="27"/>
        <v>-</v>
      </c>
      <c r="G216" s="369" t="str">
        <f t="shared" ca="1" si="27"/>
        <v>-</v>
      </c>
      <c r="H216" s="369" t="str">
        <f t="shared" ca="1" si="27"/>
        <v>-</v>
      </c>
      <c r="I216" s="370">
        <f t="shared" ca="1" si="27"/>
        <v>0</v>
      </c>
      <c r="J216" s="391">
        <f ca="1">IF($A216="*","",OFFSET(COM_N_2012!$B$60,AW216,SUMIF($B$10:$B$16,B216,$AX$10:$AX$16)))</f>
        <v>176.62153776607363</v>
      </c>
      <c r="K216" s="369" t="str">
        <f ca="1">IF($B216&lt;&gt;"PRC_RESID","",IF(K$7=2005+OFFSET(COM_N_2012!$B$60,$AW216,SUMIF($B$10:$B$16,"NCAP_TLIFE",$AX$10:$AX$16)),0,""))</f>
        <v/>
      </c>
      <c r="L216" s="369" t="str">
        <f ca="1">IF($B216&lt;&gt;"PRC_RESID","",IF(L$7=2005+OFFSET(COM_N_2012!$B$60,$AW216,SUMIF($B$10:$B$16,"NCAP_TLIFE",$AX$10:$AX$16)),0,""))</f>
        <v/>
      </c>
      <c r="M216" s="369" t="str">
        <f ca="1">IF($B216&lt;&gt;"PRC_RESID","",IF(M$7=2005+OFFSET(COM_N_2012!$B$60,$AW216,SUMIF($B$10:$B$16,"NCAP_TLIFE",$AX$10:$AX$16)),0,""))</f>
        <v/>
      </c>
      <c r="N216" s="369" t="str">
        <f ca="1">IF($B216&lt;&gt;"PRC_RESID","",IF(N$7=2005+OFFSET(COM_N_2012!$B$60,$AW216,SUMIF($B$10:$B$16,"NCAP_TLIFE",$AX$10:$AX$16)),0,""))</f>
        <v/>
      </c>
      <c r="O216" s="369" t="str">
        <f ca="1">IF($B216&lt;&gt;"PRC_RESID","",IF(O$7=2005+OFFSET(COM_N_2012!$B$60,$AW216,SUMIF($B$10:$B$16,"NCAP_TLIFE",$AX$10:$AX$16)),0,""))</f>
        <v/>
      </c>
      <c r="P216" s="369" t="str">
        <f ca="1">IF($B216&lt;&gt;"PRC_RESID","",IF(P$7=2005+OFFSET(COM_N_2012!$B$60,$AW216,SUMIF($B$10:$B$16,"NCAP_TLIFE",$AX$10:$AX$16)),0,""))</f>
        <v/>
      </c>
      <c r="Q216" s="369" t="str">
        <f ca="1">IF($B216&lt;&gt;"PRC_RESID","",IF(Q$7=2005+OFFSET(COM_N_2012!$B$60,$AW216,SUMIF($B$10:$B$16,"NCAP_TLIFE",$AX$10:$AX$16)),0,""))</f>
        <v/>
      </c>
      <c r="R216" s="369" t="str">
        <f ca="1">IF($B216&lt;&gt;"PRC_RESID","",IF(R$7=2005+OFFSET(COM_N_2012!$B$60,$AW216,SUMIF($B$10:$B$16,"NCAP_TLIFE",$AX$10:$AX$16)),0,""))</f>
        <v/>
      </c>
      <c r="S216" s="369" t="str">
        <f ca="1">IF($B216&lt;&gt;"PRC_RESID","",IF(S$7=2005+OFFSET(COM_N_2012!$B$60,$AW216,SUMIF($B$10:$B$16,"NCAP_TLIFE",$AX$10:$AX$16)),0,""))</f>
        <v/>
      </c>
      <c r="T216" s="369" t="str">
        <f ca="1">IF($B216&lt;&gt;"PRC_RESID","",IF(T$7=2005+OFFSET(COM_N_2012!$B$60,$AW216,SUMIF($B$10:$B$16,"NCAP_TLIFE",$AX$10:$AX$16)),0,""))</f>
        <v/>
      </c>
      <c r="U216" s="369" t="str">
        <f ca="1">IF($B216&lt;&gt;"PRC_RESID","",IF(U$7=2005+OFFSET(COM_N_2012!$B$60,$AW216,SUMIF($B$10:$B$16,"NCAP_TLIFE",$AX$10:$AX$16)),0,""))</f>
        <v/>
      </c>
      <c r="V216" s="369" t="str">
        <f ca="1">IF($B216&lt;&gt;"PRC_RESID","",IF(V$7=2005+OFFSET(COM_N_2012!$B$60,$AW216,SUMIF($B$10:$B$16,"NCAP_TLIFE",$AX$10:$AX$16)),0,""))</f>
        <v/>
      </c>
      <c r="W216" s="369" t="str">
        <f ca="1">IF($B216&lt;&gt;"PRC_RESID","",IF(W$7=2005+OFFSET(COM_N_2012!$B$60,$AW216,SUMIF($B$10:$B$16,"NCAP_TLIFE",$AX$10:$AX$16)),0,""))</f>
        <v/>
      </c>
      <c r="X216" s="369" t="str">
        <f ca="1">IF($B216&lt;&gt;"PRC_RESID","",IF(X$7=2005+OFFSET(COM_N_2012!$B$60,$AW216,SUMIF($B$10:$B$16,"NCAP_TLIFE",$AX$10:$AX$16)),0,""))</f>
        <v/>
      </c>
      <c r="Y216" s="369" t="str">
        <f ca="1">IF($B216&lt;&gt;"PRC_RESID","",IF(Y$7=2005+OFFSET(COM_N_2012!$B$60,$AW216,SUMIF($B$10:$B$16,"NCAP_TLIFE",$AX$10:$AX$16)),0,""))</f>
        <v/>
      </c>
      <c r="Z216" s="369" t="str">
        <f ca="1">IF($B216&lt;&gt;"PRC_RESID","",IF(Z$7=2005+OFFSET(COM_N_2012!$B$60,$AW216,SUMIF($B$10:$B$16,"NCAP_TLIFE",$AX$10:$AX$16)),0,""))</f>
        <v/>
      </c>
      <c r="AA216" s="369" t="str">
        <f ca="1">IF($B216&lt;&gt;"PRC_RESID","",IF(AA$7=2005+OFFSET(COM_N_2012!$B$60,$AW216,SUMIF($B$10:$B$16,"NCAP_TLIFE",$AX$10:$AX$16)),0,""))</f>
        <v/>
      </c>
      <c r="AB216" s="369" t="str">
        <f ca="1">IF($B216&lt;&gt;"PRC_RESID","",IF(AB$7=2005+OFFSET(COM_N_2012!$B$60,$AW216,SUMIF($B$10:$B$16,"NCAP_TLIFE",$AX$10:$AX$16)),0,""))</f>
        <v/>
      </c>
      <c r="AC216" s="369" t="str">
        <f ca="1">IF($B216&lt;&gt;"PRC_RESID","",IF(AC$7=2005+OFFSET(COM_N_2012!$B$60,$AW216,SUMIF($B$10:$B$16,"NCAP_TLIFE",$AX$10:$AX$16)),0,""))</f>
        <v/>
      </c>
      <c r="AD216" s="369" t="str">
        <f ca="1">IF($B216&lt;&gt;"PRC_RESID","",IF(AD$7=2005+OFFSET(COM_N_2012!$B$60,$AW216,SUMIF($B$10:$B$16,"NCAP_TLIFE",$AX$10:$AX$16)),0,""))</f>
        <v/>
      </c>
      <c r="AE216" s="369" t="str">
        <f ca="1">IF($B216&lt;&gt;"PRC_RESID","",IF(AE$7=2005+OFFSET(COM_N_2012!$B$60,$AW216,SUMIF($B$10:$B$16,"NCAP_TLIFE",$AX$10:$AX$16)),0,""))</f>
        <v/>
      </c>
      <c r="AF216" s="369" t="str">
        <f ca="1">IF($B216&lt;&gt;"PRC_RESID","",IF(AF$7=2005+OFFSET(COM_N_2012!$B$60,$AW216,SUMIF($B$10:$B$16,"NCAP_TLIFE",$AX$10:$AX$16)),0,""))</f>
        <v/>
      </c>
      <c r="AG216" s="369" t="str">
        <f ca="1">IF($B216&lt;&gt;"PRC_RESID","",IF(AG$7=2005+OFFSET(COM_N_2012!$B$60,$AW216,SUMIF($B$10:$B$16,"NCAP_TLIFE",$AX$10:$AX$16)),0,""))</f>
        <v/>
      </c>
      <c r="AH216" s="369" t="str">
        <f ca="1">IF($B216&lt;&gt;"PRC_RESID","",IF(AH$7=2005+OFFSET(COM_N_2012!$B$60,$AW216,SUMIF($B$10:$B$16,"NCAP_TLIFE",$AX$10:$AX$16)),0,""))</f>
        <v/>
      </c>
      <c r="AI216" s="369" t="str">
        <f ca="1">IF($B216&lt;&gt;"PRC_RESID","",IF(AI$7=2005+OFFSET(COM_N_2012!$B$60,$AW216,SUMIF($B$10:$B$16,"NCAP_TLIFE",$AX$10:$AX$16)),0,""))</f>
        <v/>
      </c>
      <c r="AJ216" s="369" t="str">
        <f ca="1">IF($B216&lt;&gt;"PRC_RESID","",IF(AJ$7=2005+OFFSET(COM_N_2012!$B$60,$AW216,SUMIF($B$10:$B$16,"NCAP_TLIFE",$AX$10:$AX$16)),0,""))</f>
        <v/>
      </c>
      <c r="AK216" s="369" t="str">
        <f ca="1">IF($B216&lt;&gt;"PRC_RESID","",IF(AK$7=2005+OFFSET(COM_N_2012!$B$60,$AW216,SUMIF($B$10:$B$16,"NCAP_TLIFE",$AX$10:$AX$16)),0,""))</f>
        <v/>
      </c>
      <c r="AL216" s="369" t="str">
        <f ca="1">IF($B216&lt;&gt;"PRC_RESID","",IF(AL$7=2005+OFFSET(COM_N_2012!$B$60,$AW216,SUMIF($B$10:$B$16,"NCAP_TLIFE",$AX$10:$AX$16)),0,""))</f>
        <v/>
      </c>
      <c r="AM216" s="369" t="str">
        <f ca="1">IF($B216&lt;&gt;"PRC_RESID","",IF(AM$7=2005+OFFSET(COM_N_2012!$B$60,$AW216,SUMIF($B$10:$B$16,"NCAP_TLIFE",$AX$10:$AX$16)),0,""))</f>
        <v/>
      </c>
      <c r="AN216" s="369" t="str">
        <f ca="1">IF($B216&lt;&gt;"PRC_RESID","",IF(AN$7=2005+OFFSET(COM_N_2012!$B$60,$AW216,SUMIF($B$10:$B$16,"NCAP_TLIFE",$AX$10:$AX$16)),0,""))</f>
        <v/>
      </c>
      <c r="AO216" s="369" t="str">
        <f ca="1">IF($B216&lt;&gt;"PRC_RESID","",IF(AO$7=2005+OFFSET(COM_N_2012!$B$60,$AW216,SUMIF($B$10:$B$16,"NCAP_TLIFE",$AX$10:$AX$16)),0,""))</f>
        <v/>
      </c>
      <c r="AP216" s="369" t="str">
        <f ca="1">IF($B216&lt;&gt;"PRC_RESID","",IF(AP$7=2005+OFFSET(COM_N_2012!$B$60,$AW216,SUMIF($B$10:$B$16,"NCAP_TLIFE",$AX$10:$AX$16)),0,""))</f>
        <v/>
      </c>
      <c r="AQ216" s="369" t="str">
        <f ca="1">IF($B216&lt;&gt;"PRC_RESID","",IF(AQ$7=2005+OFFSET(COM_N_2012!$B$60,$AW216,SUMIF($B$10:$B$16,"NCAP_TLIFE",$AX$10:$AX$16)),0,""))</f>
        <v/>
      </c>
      <c r="AR216" s="369" t="str">
        <f ca="1">IF($B216&lt;&gt;"PRC_RESID","",IF(AR$7=2005+OFFSET(COM_N_2012!$B$60,$AW216,SUMIF($B$10:$B$16,"NCAP_TLIFE",$AX$10:$AX$16)),0,""))</f>
        <v/>
      </c>
      <c r="AS216" s="369" t="str">
        <f ca="1">IF($B216&lt;&gt;"PRC_RESID","",IF(AS$7=2005+OFFSET(COM_N_2012!$B$60,$AW216,SUMIF($B$10:$B$16,"NCAP_TLIFE",$AX$10:$AX$16)),0,""))</f>
        <v/>
      </c>
      <c r="AT216" s="369" t="str">
        <f ca="1">IF($B216&lt;&gt;"PRC_RESID","",IF(AT$7=2005+OFFSET(COM_N_2012!$B$60,$AW216,SUMIF($B$10:$B$16,"NCAP_TLIFE",$AX$10:$AX$16)),0,""))</f>
        <v/>
      </c>
      <c r="AU216" s="369" t="str">
        <f ca="1">IF($B216&lt;&gt;"PRC_RESID","",IF(AU$7=2005+OFFSET(COM_N_2012!$B$60,$AW216,SUMIF($B$10:$B$16,"NCAP_TLIFE",$AX$10:$AX$16)),0,""))</f>
        <v/>
      </c>
      <c r="AV216" s="304">
        <f>IF(AW215=COM_N_2012!$AK$121,AV215+1,AV215)</f>
        <v>4</v>
      </c>
      <c r="AW216" s="304">
        <f t="shared" si="29"/>
        <v>16</v>
      </c>
    </row>
    <row r="217" spans="1:49">
      <c r="A217" s="304" t="str">
        <f ca="1">IF(LEFT(OFFSET(COM_N_2012!$A$60,AW217,0),2)="\I","*","")</f>
        <v/>
      </c>
      <c r="B217" s="369" t="str">
        <f t="shared" ca="1" si="28"/>
        <v>NCAP_COST</v>
      </c>
      <c r="C217" s="369" t="str">
        <f ca="1">IF($A217="*","",OFFSET(COM_N_2012!$B$60,AW217,0))</f>
        <v>CNKELC-E</v>
      </c>
      <c r="D217" s="369" t="str">
        <f t="shared" ca="1" si="27"/>
        <v>-</v>
      </c>
      <c r="E217" s="369" t="str">
        <f t="shared" ca="1" si="27"/>
        <v>-</v>
      </c>
      <c r="F217" s="369" t="str">
        <f t="shared" ca="1" si="27"/>
        <v>-</v>
      </c>
      <c r="G217" s="369" t="str">
        <f t="shared" ca="1" si="27"/>
        <v>-</v>
      </c>
      <c r="H217" s="369" t="str">
        <f t="shared" ca="1" si="27"/>
        <v>-</v>
      </c>
      <c r="I217" s="370">
        <f t="shared" ca="1" si="27"/>
        <v>0</v>
      </c>
      <c r="J217" s="391">
        <f ca="1">IF($A217="*","",OFFSET(COM_N_2012!$B$60,AW217,SUMIF($B$10:$B$16,B217,$AX$10:$AX$16)))</f>
        <v>176.62153776607363</v>
      </c>
      <c r="K217" s="369" t="str">
        <f ca="1">IF($B217&lt;&gt;"PRC_RESID","",IF(K$7=2005+OFFSET(COM_N_2012!$B$60,$AW217,SUMIF($B$10:$B$16,"NCAP_TLIFE",$AX$10:$AX$16)),0,""))</f>
        <v/>
      </c>
      <c r="L217" s="369" t="str">
        <f ca="1">IF($B217&lt;&gt;"PRC_RESID","",IF(L$7=2005+OFFSET(COM_N_2012!$B$60,$AW217,SUMIF($B$10:$B$16,"NCAP_TLIFE",$AX$10:$AX$16)),0,""))</f>
        <v/>
      </c>
      <c r="M217" s="369" t="str">
        <f ca="1">IF($B217&lt;&gt;"PRC_RESID","",IF(M$7=2005+OFFSET(COM_N_2012!$B$60,$AW217,SUMIF($B$10:$B$16,"NCAP_TLIFE",$AX$10:$AX$16)),0,""))</f>
        <v/>
      </c>
      <c r="N217" s="369" t="str">
        <f ca="1">IF($B217&lt;&gt;"PRC_RESID","",IF(N$7=2005+OFFSET(COM_N_2012!$B$60,$AW217,SUMIF($B$10:$B$16,"NCAP_TLIFE",$AX$10:$AX$16)),0,""))</f>
        <v/>
      </c>
      <c r="O217" s="369" t="str">
        <f ca="1">IF($B217&lt;&gt;"PRC_RESID","",IF(O$7=2005+OFFSET(COM_N_2012!$B$60,$AW217,SUMIF($B$10:$B$16,"NCAP_TLIFE",$AX$10:$AX$16)),0,""))</f>
        <v/>
      </c>
      <c r="P217" s="369" t="str">
        <f ca="1">IF($B217&lt;&gt;"PRC_RESID","",IF(P$7=2005+OFFSET(COM_N_2012!$B$60,$AW217,SUMIF($B$10:$B$16,"NCAP_TLIFE",$AX$10:$AX$16)),0,""))</f>
        <v/>
      </c>
      <c r="Q217" s="369" t="str">
        <f ca="1">IF($B217&lt;&gt;"PRC_RESID","",IF(Q$7=2005+OFFSET(COM_N_2012!$B$60,$AW217,SUMIF($B$10:$B$16,"NCAP_TLIFE",$AX$10:$AX$16)),0,""))</f>
        <v/>
      </c>
      <c r="R217" s="369" t="str">
        <f ca="1">IF($B217&lt;&gt;"PRC_RESID","",IF(R$7=2005+OFFSET(COM_N_2012!$B$60,$AW217,SUMIF($B$10:$B$16,"NCAP_TLIFE",$AX$10:$AX$16)),0,""))</f>
        <v/>
      </c>
      <c r="S217" s="369" t="str">
        <f ca="1">IF($B217&lt;&gt;"PRC_RESID","",IF(S$7=2005+OFFSET(COM_N_2012!$B$60,$AW217,SUMIF($B$10:$B$16,"NCAP_TLIFE",$AX$10:$AX$16)),0,""))</f>
        <v/>
      </c>
      <c r="T217" s="369" t="str">
        <f ca="1">IF($B217&lt;&gt;"PRC_RESID","",IF(T$7=2005+OFFSET(COM_N_2012!$B$60,$AW217,SUMIF($B$10:$B$16,"NCAP_TLIFE",$AX$10:$AX$16)),0,""))</f>
        <v/>
      </c>
      <c r="U217" s="369" t="str">
        <f ca="1">IF($B217&lt;&gt;"PRC_RESID","",IF(U$7=2005+OFFSET(COM_N_2012!$B$60,$AW217,SUMIF($B$10:$B$16,"NCAP_TLIFE",$AX$10:$AX$16)),0,""))</f>
        <v/>
      </c>
      <c r="V217" s="369" t="str">
        <f ca="1">IF($B217&lt;&gt;"PRC_RESID","",IF(V$7=2005+OFFSET(COM_N_2012!$B$60,$AW217,SUMIF($B$10:$B$16,"NCAP_TLIFE",$AX$10:$AX$16)),0,""))</f>
        <v/>
      </c>
      <c r="W217" s="369" t="str">
        <f ca="1">IF($B217&lt;&gt;"PRC_RESID","",IF(W$7=2005+OFFSET(COM_N_2012!$B$60,$AW217,SUMIF($B$10:$B$16,"NCAP_TLIFE",$AX$10:$AX$16)),0,""))</f>
        <v/>
      </c>
      <c r="X217" s="369" t="str">
        <f ca="1">IF($B217&lt;&gt;"PRC_RESID","",IF(X$7=2005+OFFSET(COM_N_2012!$B$60,$AW217,SUMIF($B$10:$B$16,"NCAP_TLIFE",$AX$10:$AX$16)),0,""))</f>
        <v/>
      </c>
      <c r="Y217" s="369" t="str">
        <f ca="1">IF($B217&lt;&gt;"PRC_RESID","",IF(Y$7=2005+OFFSET(COM_N_2012!$B$60,$AW217,SUMIF($B$10:$B$16,"NCAP_TLIFE",$AX$10:$AX$16)),0,""))</f>
        <v/>
      </c>
      <c r="Z217" s="369" t="str">
        <f ca="1">IF($B217&lt;&gt;"PRC_RESID","",IF(Z$7=2005+OFFSET(COM_N_2012!$B$60,$AW217,SUMIF($B$10:$B$16,"NCAP_TLIFE",$AX$10:$AX$16)),0,""))</f>
        <v/>
      </c>
      <c r="AA217" s="369" t="str">
        <f ca="1">IF($B217&lt;&gt;"PRC_RESID","",IF(AA$7=2005+OFFSET(COM_N_2012!$B$60,$AW217,SUMIF($B$10:$B$16,"NCAP_TLIFE",$AX$10:$AX$16)),0,""))</f>
        <v/>
      </c>
      <c r="AB217" s="369" t="str">
        <f ca="1">IF($B217&lt;&gt;"PRC_RESID","",IF(AB$7=2005+OFFSET(COM_N_2012!$B$60,$AW217,SUMIF($B$10:$B$16,"NCAP_TLIFE",$AX$10:$AX$16)),0,""))</f>
        <v/>
      </c>
      <c r="AC217" s="369" t="str">
        <f ca="1">IF($B217&lt;&gt;"PRC_RESID","",IF(AC$7=2005+OFFSET(COM_N_2012!$B$60,$AW217,SUMIF($B$10:$B$16,"NCAP_TLIFE",$AX$10:$AX$16)),0,""))</f>
        <v/>
      </c>
      <c r="AD217" s="369" t="str">
        <f ca="1">IF($B217&lt;&gt;"PRC_RESID","",IF(AD$7=2005+OFFSET(COM_N_2012!$B$60,$AW217,SUMIF($B$10:$B$16,"NCAP_TLIFE",$AX$10:$AX$16)),0,""))</f>
        <v/>
      </c>
      <c r="AE217" s="369" t="str">
        <f ca="1">IF($B217&lt;&gt;"PRC_RESID","",IF(AE$7=2005+OFFSET(COM_N_2012!$B$60,$AW217,SUMIF($B$10:$B$16,"NCAP_TLIFE",$AX$10:$AX$16)),0,""))</f>
        <v/>
      </c>
      <c r="AF217" s="369" t="str">
        <f ca="1">IF($B217&lt;&gt;"PRC_RESID","",IF(AF$7=2005+OFFSET(COM_N_2012!$B$60,$AW217,SUMIF($B$10:$B$16,"NCAP_TLIFE",$AX$10:$AX$16)),0,""))</f>
        <v/>
      </c>
      <c r="AG217" s="369" t="str">
        <f ca="1">IF($B217&lt;&gt;"PRC_RESID","",IF(AG$7=2005+OFFSET(COM_N_2012!$B$60,$AW217,SUMIF($B$10:$B$16,"NCAP_TLIFE",$AX$10:$AX$16)),0,""))</f>
        <v/>
      </c>
      <c r="AH217" s="369" t="str">
        <f ca="1">IF($B217&lt;&gt;"PRC_RESID","",IF(AH$7=2005+OFFSET(COM_N_2012!$B$60,$AW217,SUMIF($B$10:$B$16,"NCAP_TLIFE",$AX$10:$AX$16)),0,""))</f>
        <v/>
      </c>
      <c r="AI217" s="369" t="str">
        <f ca="1">IF($B217&lt;&gt;"PRC_RESID","",IF(AI$7=2005+OFFSET(COM_N_2012!$B$60,$AW217,SUMIF($B$10:$B$16,"NCAP_TLIFE",$AX$10:$AX$16)),0,""))</f>
        <v/>
      </c>
      <c r="AJ217" s="369" t="str">
        <f ca="1">IF($B217&lt;&gt;"PRC_RESID","",IF(AJ$7=2005+OFFSET(COM_N_2012!$B$60,$AW217,SUMIF($B$10:$B$16,"NCAP_TLIFE",$AX$10:$AX$16)),0,""))</f>
        <v/>
      </c>
      <c r="AK217" s="369" t="str">
        <f ca="1">IF($B217&lt;&gt;"PRC_RESID","",IF(AK$7=2005+OFFSET(COM_N_2012!$B$60,$AW217,SUMIF($B$10:$B$16,"NCAP_TLIFE",$AX$10:$AX$16)),0,""))</f>
        <v/>
      </c>
      <c r="AL217" s="369" t="str">
        <f ca="1">IF($B217&lt;&gt;"PRC_RESID","",IF(AL$7=2005+OFFSET(COM_N_2012!$B$60,$AW217,SUMIF($B$10:$B$16,"NCAP_TLIFE",$AX$10:$AX$16)),0,""))</f>
        <v/>
      </c>
      <c r="AM217" s="369" t="str">
        <f ca="1">IF($B217&lt;&gt;"PRC_RESID","",IF(AM$7=2005+OFFSET(COM_N_2012!$B$60,$AW217,SUMIF($B$10:$B$16,"NCAP_TLIFE",$AX$10:$AX$16)),0,""))</f>
        <v/>
      </c>
      <c r="AN217" s="369" t="str">
        <f ca="1">IF($B217&lt;&gt;"PRC_RESID","",IF(AN$7=2005+OFFSET(COM_N_2012!$B$60,$AW217,SUMIF($B$10:$B$16,"NCAP_TLIFE",$AX$10:$AX$16)),0,""))</f>
        <v/>
      </c>
      <c r="AO217" s="369" t="str">
        <f ca="1">IF($B217&lt;&gt;"PRC_RESID","",IF(AO$7=2005+OFFSET(COM_N_2012!$B$60,$AW217,SUMIF($B$10:$B$16,"NCAP_TLIFE",$AX$10:$AX$16)),0,""))</f>
        <v/>
      </c>
      <c r="AP217" s="369" t="str">
        <f ca="1">IF($B217&lt;&gt;"PRC_RESID","",IF(AP$7=2005+OFFSET(COM_N_2012!$B$60,$AW217,SUMIF($B$10:$B$16,"NCAP_TLIFE",$AX$10:$AX$16)),0,""))</f>
        <v/>
      </c>
      <c r="AQ217" s="369" t="str">
        <f ca="1">IF($B217&lt;&gt;"PRC_RESID","",IF(AQ$7=2005+OFFSET(COM_N_2012!$B$60,$AW217,SUMIF($B$10:$B$16,"NCAP_TLIFE",$AX$10:$AX$16)),0,""))</f>
        <v/>
      </c>
      <c r="AR217" s="369" t="str">
        <f ca="1">IF($B217&lt;&gt;"PRC_RESID","",IF(AR$7=2005+OFFSET(COM_N_2012!$B$60,$AW217,SUMIF($B$10:$B$16,"NCAP_TLIFE",$AX$10:$AX$16)),0,""))</f>
        <v/>
      </c>
      <c r="AS217" s="369" t="str">
        <f ca="1">IF($B217&lt;&gt;"PRC_RESID","",IF(AS$7=2005+OFFSET(COM_N_2012!$B$60,$AW217,SUMIF($B$10:$B$16,"NCAP_TLIFE",$AX$10:$AX$16)),0,""))</f>
        <v/>
      </c>
      <c r="AT217" s="369" t="str">
        <f ca="1">IF($B217&lt;&gt;"PRC_RESID","",IF(AT$7=2005+OFFSET(COM_N_2012!$B$60,$AW217,SUMIF($B$10:$B$16,"NCAP_TLIFE",$AX$10:$AX$16)),0,""))</f>
        <v/>
      </c>
      <c r="AU217" s="369" t="str">
        <f ca="1">IF($B217&lt;&gt;"PRC_RESID","",IF(AU$7=2005+OFFSET(COM_N_2012!$B$60,$AW217,SUMIF($B$10:$B$16,"NCAP_TLIFE",$AX$10:$AX$16)),0,""))</f>
        <v/>
      </c>
      <c r="AV217" s="304">
        <f>IF(AW216=COM_N_2012!$AK$121,AV216+1,AV216)</f>
        <v>4</v>
      </c>
      <c r="AW217" s="304">
        <f t="shared" si="29"/>
        <v>17</v>
      </c>
    </row>
    <row r="218" spans="1:49">
      <c r="A218" s="304" t="str">
        <f ca="1">IF(LEFT(OFFSET(COM_N_2012!$A$60,AW218,0),2)="\I","*","")</f>
        <v/>
      </c>
      <c r="B218" s="369" t="str">
        <f t="shared" ca="1" si="28"/>
        <v>NCAP_COST</v>
      </c>
      <c r="C218" s="369" t="str">
        <f ca="1">IF($A218="*","",OFFSET(COM_N_2012!$B$60,AW218,0))</f>
        <v>CNKCOA-E</v>
      </c>
      <c r="D218" s="369" t="str">
        <f t="shared" ref="D218:I227" ca="1" si="30">IF($A218="*","",VLOOKUP($B218,$B$10:$I$16,D$9,FALSE))</f>
        <v>-</v>
      </c>
      <c r="E218" s="369" t="str">
        <f t="shared" ca="1" si="30"/>
        <v>-</v>
      </c>
      <c r="F218" s="369" t="str">
        <f t="shared" ca="1" si="30"/>
        <v>-</v>
      </c>
      <c r="G218" s="369" t="str">
        <f t="shared" ca="1" si="30"/>
        <v>-</v>
      </c>
      <c r="H218" s="369" t="str">
        <f t="shared" ca="1" si="30"/>
        <v>-</v>
      </c>
      <c r="I218" s="370">
        <f t="shared" ca="1" si="30"/>
        <v>0</v>
      </c>
      <c r="J218" s="391">
        <f ca="1">IF($A218="*","",OFFSET(COM_N_2012!$B$60,AW218,SUMIF($B$10:$B$16,B218,$AX$10:$AX$16)))</f>
        <v>176.62153776607363</v>
      </c>
      <c r="K218" s="369" t="str">
        <f ca="1">IF($B218&lt;&gt;"PRC_RESID","",IF(K$7=2005+OFFSET(COM_N_2012!$B$60,$AW218,SUMIF($B$10:$B$16,"NCAP_TLIFE",$AX$10:$AX$16)),0,""))</f>
        <v/>
      </c>
      <c r="L218" s="369" t="str">
        <f ca="1">IF($B218&lt;&gt;"PRC_RESID","",IF(L$7=2005+OFFSET(COM_N_2012!$B$60,$AW218,SUMIF($B$10:$B$16,"NCAP_TLIFE",$AX$10:$AX$16)),0,""))</f>
        <v/>
      </c>
      <c r="M218" s="369" t="str">
        <f ca="1">IF($B218&lt;&gt;"PRC_RESID","",IF(M$7=2005+OFFSET(COM_N_2012!$B$60,$AW218,SUMIF($B$10:$B$16,"NCAP_TLIFE",$AX$10:$AX$16)),0,""))</f>
        <v/>
      </c>
      <c r="N218" s="369" t="str">
        <f ca="1">IF($B218&lt;&gt;"PRC_RESID","",IF(N$7=2005+OFFSET(COM_N_2012!$B$60,$AW218,SUMIF($B$10:$B$16,"NCAP_TLIFE",$AX$10:$AX$16)),0,""))</f>
        <v/>
      </c>
      <c r="O218" s="369" t="str">
        <f ca="1">IF($B218&lt;&gt;"PRC_RESID","",IF(O$7=2005+OFFSET(COM_N_2012!$B$60,$AW218,SUMIF($B$10:$B$16,"NCAP_TLIFE",$AX$10:$AX$16)),0,""))</f>
        <v/>
      </c>
      <c r="P218" s="369" t="str">
        <f ca="1">IF($B218&lt;&gt;"PRC_RESID","",IF(P$7=2005+OFFSET(COM_N_2012!$B$60,$AW218,SUMIF($B$10:$B$16,"NCAP_TLIFE",$AX$10:$AX$16)),0,""))</f>
        <v/>
      </c>
      <c r="Q218" s="369" t="str">
        <f ca="1">IF($B218&lt;&gt;"PRC_RESID","",IF(Q$7=2005+OFFSET(COM_N_2012!$B$60,$AW218,SUMIF($B$10:$B$16,"NCAP_TLIFE",$AX$10:$AX$16)),0,""))</f>
        <v/>
      </c>
      <c r="R218" s="369" t="str">
        <f ca="1">IF($B218&lt;&gt;"PRC_RESID","",IF(R$7=2005+OFFSET(COM_N_2012!$B$60,$AW218,SUMIF($B$10:$B$16,"NCAP_TLIFE",$AX$10:$AX$16)),0,""))</f>
        <v/>
      </c>
      <c r="S218" s="369" t="str">
        <f ca="1">IF($B218&lt;&gt;"PRC_RESID","",IF(S$7=2005+OFFSET(COM_N_2012!$B$60,$AW218,SUMIF($B$10:$B$16,"NCAP_TLIFE",$AX$10:$AX$16)),0,""))</f>
        <v/>
      </c>
      <c r="T218" s="369" t="str">
        <f ca="1">IF($B218&lt;&gt;"PRC_RESID","",IF(T$7=2005+OFFSET(COM_N_2012!$B$60,$AW218,SUMIF($B$10:$B$16,"NCAP_TLIFE",$AX$10:$AX$16)),0,""))</f>
        <v/>
      </c>
      <c r="U218" s="369" t="str">
        <f ca="1">IF($B218&lt;&gt;"PRC_RESID","",IF(U$7=2005+OFFSET(COM_N_2012!$B$60,$AW218,SUMIF($B$10:$B$16,"NCAP_TLIFE",$AX$10:$AX$16)),0,""))</f>
        <v/>
      </c>
      <c r="V218" s="369" t="str">
        <f ca="1">IF($B218&lt;&gt;"PRC_RESID","",IF(V$7=2005+OFFSET(COM_N_2012!$B$60,$AW218,SUMIF($B$10:$B$16,"NCAP_TLIFE",$AX$10:$AX$16)),0,""))</f>
        <v/>
      </c>
      <c r="W218" s="369" t="str">
        <f ca="1">IF($B218&lt;&gt;"PRC_RESID","",IF(W$7=2005+OFFSET(COM_N_2012!$B$60,$AW218,SUMIF($B$10:$B$16,"NCAP_TLIFE",$AX$10:$AX$16)),0,""))</f>
        <v/>
      </c>
      <c r="X218" s="369" t="str">
        <f ca="1">IF($B218&lt;&gt;"PRC_RESID","",IF(X$7=2005+OFFSET(COM_N_2012!$B$60,$AW218,SUMIF($B$10:$B$16,"NCAP_TLIFE",$AX$10:$AX$16)),0,""))</f>
        <v/>
      </c>
      <c r="Y218" s="369" t="str">
        <f ca="1">IF($B218&lt;&gt;"PRC_RESID","",IF(Y$7=2005+OFFSET(COM_N_2012!$B$60,$AW218,SUMIF($B$10:$B$16,"NCAP_TLIFE",$AX$10:$AX$16)),0,""))</f>
        <v/>
      </c>
      <c r="Z218" s="369" t="str">
        <f ca="1">IF($B218&lt;&gt;"PRC_RESID","",IF(Z$7=2005+OFFSET(COM_N_2012!$B$60,$AW218,SUMIF($B$10:$B$16,"NCAP_TLIFE",$AX$10:$AX$16)),0,""))</f>
        <v/>
      </c>
      <c r="AA218" s="369" t="str">
        <f ca="1">IF($B218&lt;&gt;"PRC_RESID","",IF(AA$7=2005+OFFSET(COM_N_2012!$B$60,$AW218,SUMIF($B$10:$B$16,"NCAP_TLIFE",$AX$10:$AX$16)),0,""))</f>
        <v/>
      </c>
      <c r="AB218" s="369" t="str">
        <f ca="1">IF($B218&lt;&gt;"PRC_RESID","",IF(AB$7=2005+OFFSET(COM_N_2012!$B$60,$AW218,SUMIF($B$10:$B$16,"NCAP_TLIFE",$AX$10:$AX$16)),0,""))</f>
        <v/>
      </c>
      <c r="AC218" s="369" t="str">
        <f ca="1">IF($B218&lt;&gt;"PRC_RESID","",IF(AC$7=2005+OFFSET(COM_N_2012!$B$60,$AW218,SUMIF($B$10:$B$16,"NCAP_TLIFE",$AX$10:$AX$16)),0,""))</f>
        <v/>
      </c>
      <c r="AD218" s="369" t="str">
        <f ca="1">IF($B218&lt;&gt;"PRC_RESID","",IF(AD$7=2005+OFFSET(COM_N_2012!$B$60,$AW218,SUMIF($B$10:$B$16,"NCAP_TLIFE",$AX$10:$AX$16)),0,""))</f>
        <v/>
      </c>
      <c r="AE218" s="369" t="str">
        <f ca="1">IF($B218&lt;&gt;"PRC_RESID","",IF(AE$7=2005+OFFSET(COM_N_2012!$B$60,$AW218,SUMIF($B$10:$B$16,"NCAP_TLIFE",$AX$10:$AX$16)),0,""))</f>
        <v/>
      </c>
      <c r="AF218" s="369" t="str">
        <f ca="1">IF($B218&lt;&gt;"PRC_RESID","",IF(AF$7=2005+OFFSET(COM_N_2012!$B$60,$AW218,SUMIF($B$10:$B$16,"NCAP_TLIFE",$AX$10:$AX$16)),0,""))</f>
        <v/>
      </c>
      <c r="AG218" s="369" t="str">
        <f ca="1">IF($B218&lt;&gt;"PRC_RESID","",IF(AG$7=2005+OFFSET(COM_N_2012!$B$60,$AW218,SUMIF($B$10:$B$16,"NCAP_TLIFE",$AX$10:$AX$16)),0,""))</f>
        <v/>
      </c>
      <c r="AH218" s="369" t="str">
        <f ca="1">IF($B218&lt;&gt;"PRC_RESID","",IF(AH$7=2005+OFFSET(COM_N_2012!$B$60,$AW218,SUMIF($B$10:$B$16,"NCAP_TLIFE",$AX$10:$AX$16)),0,""))</f>
        <v/>
      </c>
      <c r="AI218" s="369" t="str">
        <f ca="1">IF($B218&lt;&gt;"PRC_RESID","",IF(AI$7=2005+OFFSET(COM_N_2012!$B$60,$AW218,SUMIF($B$10:$B$16,"NCAP_TLIFE",$AX$10:$AX$16)),0,""))</f>
        <v/>
      </c>
      <c r="AJ218" s="369" t="str">
        <f ca="1">IF($B218&lt;&gt;"PRC_RESID","",IF(AJ$7=2005+OFFSET(COM_N_2012!$B$60,$AW218,SUMIF($B$10:$B$16,"NCAP_TLIFE",$AX$10:$AX$16)),0,""))</f>
        <v/>
      </c>
      <c r="AK218" s="369" t="str">
        <f ca="1">IF($B218&lt;&gt;"PRC_RESID","",IF(AK$7=2005+OFFSET(COM_N_2012!$B$60,$AW218,SUMIF($B$10:$B$16,"NCAP_TLIFE",$AX$10:$AX$16)),0,""))</f>
        <v/>
      </c>
      <c r="AL218" s="369" t="str">
        <f ca="1">IF($B218&lt;&gt;"PRC_RESID","",IF(AL$7=2005+OFFSET(COM_N_2012!$B$60,$AW218,SUMIF($B$10:$B$16,"NCAP_TLIFE",$AX$10:$AX$16)),0,""))</f>
        <v/>
      </c>
      <c r="AM218" s="369" t="str">
        <f ca="1">IF($B218&lt;&gt;"PRC_RESID","",IF(AM$7=2005+OFFSET(COM_N_2012!$B$60,$AW218,SUMIF($B$10:$B$16,"NCAP_TLIFE",$AX$10:$AX$16)),0,""))</f>
        <v/>
      </c>
      <c r="AN218" s="369" t="str">
        <f ca="1">IF($B218&lt;&gt;"PRC_RESID","",IF(AN$7=2005+OFFSET(COM_N_2012!$B$60,$AW218,SUMIF($B$10:$B$16,"NCAP_TLIFE",$AX$10:$AX$16)),0,""))</f>
        <v/>
      </c>
      <c r="AO218" s="369" t="str">
        <f ca="1">IF($B218&lt;&gt;"PRC_RESID","",IF(AO$7=2005+OFFSET(COM_N_2012!$B$60,$AW218,SUMIF($B$10:$B$16,"NCAP_TLIFE",$AX$10:$AX$16)),0,""))</f>
        <v/>
      </c>
      <c r="AP218" s="369" t="str">
        <f ca="1">IF($B218&lt;&gt;"PRC_RESID","",IF(AP$7=2005+OFFSET(COM_N_2012!$B$60,$AW218,SUMIF($B$10:$B$16,"NCAP_TLIFE",$AX$10:$AX$16)),0,""))</f>
        <v/>
      </c>
      <c r="AQ218" s="369" t="str">
        <f ca="1">IF($B218&lt;&gt;"PRC_RESID","",IF(AQ$7=2005+OFFSET(COM_N_2012!$B$60,$AW218,SUMIF($B$10:$B$16,"NCAP_TLIFE",$AX$10:$AX$16)),0,""))</f>
        <v/>
      </c>
      <c r="AR218" s="369" t="str">
        <f ca="1">IF($B218&lt;&gt;"PRC_RESID","",IF(AR$7=2005+OFFSET(COM_N_2012!$B$60,$AW218,SUMIF($B$10:$B$16,"NCAP_TLIFE",$AX$10:$AX$16)),0,""))</f>
        <v/>
      </c>
      <c r="AS218" s="369" t="str">
        <f ca="1">IF($B218&lt;&gt;"PRC_RESID","",IF(AS$7=2005+OFFSET(COM_N_2012!$B$60,$AW218,SUMIF($B$10:$B$16,"NCAP_TLIFE",$AX$10:$AX$16)),0,""))</f>
        <v/>
      </c>
      <c r="AT218" s="369" t="str">
        <f ca="1">IF($B218&lt;&gt;"PRC_RESID","",IF(AT$7=2005+OFFSET(COM_N_2012!$B$60,$AW218,SUMIF($B$10:$B$16,"NCAP_TLIFE",$AX$10:$AX$16)),0,""))</f>
        <v/>
      </c>
      <c r="AU218" s="369" t="str">
        <f ca="1">IF($B218&lt;&gt;"PRC_RESID","",IF(AU$7=2005+OFFSET(COM_N_2012!$B$60,$AW218,SUMIF($B$10:$B$16,"NCAP_TLIFE",$AX$10:$AX$16)),0,""))</f>
        <v/>
      </c>
      <c r="AV218" s="304">
        <f>IF(AW217=COM_N_2012!$AK$121,AV217+1,AV217)</f>
        <v>4</v>
      </c>
      <c r="AW218" s="304">
        <f t="shared" si="29"/>
        <v>18</v>
      </c>
    </row>
    <row r="219" spans="1:49">
      <c r="A219" s="304" t="str">
        <f ca="1">IF(LEFT(OFFSET(COM_N_2012!$A$60,AW219,0),2)="\I","*","")</f>
        <v>*</v>
      </c>
      <c r="B219" s="369" t="str">
        <f t="shared" ca="1" si="28"/>
        <v/>
      </c>
      <c r="C219" s="369" t="str">
        <f ca="1">IF($A219="*","",OFFSET(COM_N_2012!$B$60,AW219,0))</f>
        <v/>
      </c>
      <c r="D219" s="369" t="str">
        <f t="shared" ca="1" si="30"/>
        <v/>
      </c>
      <c r="E219" s="369" t="str">
        <f t="shared" ca="1" si="30"/>
        <v/>
      </c>
      <c r="F219" s="369" t="str">
        <f t="shared" ca="1" si="30"/>
        <v/>
      </c>
      <c r="G219" s="369" t="str">
        <f t="shared" ca="1" si="30"/>
        <v/>
      </c>
      <c r="H219" s="369" t="str">
        <f t="shared" ca="1" si="30"/>
        <v/>
      </c>
      <c r="I219" s="370" t="str">
        <f t="shared" ca="1" si="30"/>
        <v/>
      </c>
      <c r="J219" s="391" t="str">
        <f ca="1">IF($A219="*","",OFFSET(COM_N_2012!$B$60,AW219,SUMIF($B$10:$B$16,B219,$AX$10:$AX$16)))</f>
        <v/>
      </c>
      <c r="K219" s="369" t="str">
        <f ca="1">IF($B219&lt;&gt;"PRC_RESID","",IF(K$7=2005+OFFSET(COM_N_2012!$B$60,$AW219,SUMIF($B$10:$B$16,"NCAP_TLIFE",$AX$10:$AX$16)),0,""))</f>
        <v/>
      </c>
      <c r="L219" s="369" t="str">
        <f ca="1">IF($B219&lt;&gt;"PRC_RESID","",IF(L$7=2005+OFFSET(COM_N_2012!$B$60,$AW219,SUMIF($B$10:$B$16,"NCAP_TLIFE",$AX$10:$AX$16)),0,""))</f>
        <v/>
      </c>
      <c r="M219" s="369" t="str">
        <f ca="1">IF($B219&lt;&gt;"PRC_RESID","",IF(M$7=2005+OFFSET(COM_N_2012!$B$60,$AW219,SUMIF($B$10:$B$16,"NCAP_TLIFE",$AX$10:$AX$16)),0,""))</f>
        <v/>
      </c>
      <c r="N219" s="369" t="str">
        <f ca="1">IF($B219&lt;&gt;"PRC_RESID","",IF(N$7=2005+OFFSET(COM_N_2012!$B$60,$AW219,SUMIF($B$10:$B$16,"NCAP_TLIFE",$AX$10:$AX$16)),0,""))</f>
        <v/>
      </c>
      <c r="O219" s="369" t="str">
        <f ca="1">IF($B219&lt;&gt;"PRC_RESID","",IF(O$7=2005+OFFSET(COM_N_2012!$B$60,$AW219,SUMIF($B$10:$B$16,"NCAP_TLIFE",$AX$10:$AX$16)),0,""))</f>
        <v/>
      </c>
      <c r="P219" s="369" t="str">
        <f ca="1">IF($B219&lt;&gt;"PRC_RESID","",IF(P$7=2005+OFFSET(COM_N_2012!$B$60,$AW219,SUMIF($B$10:$B$16,"NCAP_TLIFE",$AX$10:$AX$16)),0,""))</f>
        <v/>
      </c>
      <c r="Q219" s="369" t="str">
        <f ca="1">IF($B219&lt;&gt;"PRC_RESID","",IF(Q$7=2005+OFFSET(COM_N_2012!$B$60,$AW219,SUMIF($B$10:$B$16,"NCAP_TLIFE",$AX$10:$AX$16)),0,""))</f>
        <v/>
      </c>
      <c r="R219" s="369" t="str">
        <f ca="1">IF($B219&lt;&gt;"PRC_RESID","",IF(R$7=2005+OFFSET(COM_N_2012!$B$60,$AW219,SUMIF($B$10:$B$16,"NCAP_TLIFE",$AX$10:$AX$16)),0,""))</f>
        <v/>
      </c>
      <c r="S219" s="369" t="str">
        <f ca="1">IF($B219&lt;&gt;"PRC_RESID","",IF(S$7=2005+OFFSET(COM_N_2012!$B$60,$AW219,SUMIF($B$10:$B$16,"NCAP_TLIFE",$AX$10:$AX$16)),0,""))</f>
        <v/>
      </c>
      <c r="T219" s="369" t="str">
        <f ca="1">IF($B219&lt;&gt;"PRC_RESID","",IF(T$7=2005+OFFSET(COM_N_2012!$B$60,$AW219,SUMIF($B$10:$B$16,"NCAP_TLIFE",$AX$10:$AX$16)),0,""))</f>
        <v/>
      </c>
      <c r="U219" s="369" t="str">
        <f ca="1">IF($B219&lt;&gt;"PRC_RESID","",IF(U$7=2005+OFFSET(COM_N_2012!$B$60,$AW219,SUMIF($B$10:$B$16,"NCAP_TLIFE",$AX$10:$AX$16)),0,""))</f>
        <v/>
      </c>
      <c r="V219" s="369" t="str">
        <f ca="1">IF($B219&lt;&gt;"PRC_RESID","",IF(V$7=2005+OFFSET(COM_N_2012!$B$60,$AW219,SUMIF($B$10:$B$16,"NCAP_TLIFE",$AX$10:$AX$16)),0,""))</f>
        <v/>
      </c>
      <c r="W219" s="369" t="str">
        <f ca="1">IF($B219&lt;&gt;"PRC_RESID","",IF(W$7=2005+OFFSET(COM_N_2012!$B$60,$AW219,SUMIF($B$10:$B$16,"NCAP_TLIFE",$AX$10:$AX$16)),0,""))</f>
        <v/>
      </c>
      <c r="X219" s="369" t="str">
        <f ca="1">IF($B219&lt;&gt;"PRC_RESID","",IF(X$7=2005+OFFSET(COM_N_2012!$B$60,$AW219,SUMIF($B$10:$B$16,"NCAP_TLIFE",$AX$10:$AX$16)),0,""))</f>
        <v/>
      </c>
      <c r="Y219" s="369" t="str">
        <f ca="1">IF($B219&lt;&gt;"PRC_RESID","",IF(Y$7=2005+OFFSET(COM_N_2012!$B$60,$AW219,SUMIF($B$10:$B$16,"NCAP_TLIFE",$AX$10:$AX$16)),0,""))</f>
        <v/>
      </c>
      <c r="Z219" s="369" t="str">
        <f ca="1">IF($B219&lt;&gt;"PRC_RESID","",IF(Z$7=2005+OFFSET(COM_N_2012!$B$60,$AW219,SUMIF($B$10:$B$16,"NCAP_TLIFE",$AX$10:$AX$16)),0,""))</f>
        <v/>
      </c>
      <c r="AA219" s="369" t="str">
        <f ca="1">IF($B219&lt;&gt;"PRC_RESID","",IF(AA$7=2005+OFFSET(COM_N_2012!$B$60,$AW219,SUMIF($B$10:$B$16,"NCAP_TLIFE",$AX$10:$AX$16)),0,""))</f>
        <v/>
      </c>
      <c r="AB219" s="369" t="str">
        <f ca="1">IF($B219&lt;&gt;"PRC_RESID","",IF(AB$7=2005+OFFSET(COM_N_2012!$B$60,$AW219,SUMIF($B$10:$B$16,"NCAP_TLIFE",$AX$10:$AX$16)),0,""))</f>
        <v/>
      </c>
      <c r="AC219" s="369" t="str">
        <f ca="1">IF($B219&lt;&gt;"PRC_RESID","",IF(AC$7=2005+OFFSET(COM_N_2012!$B$60,$AW219,SUMIF($B$10:$B$16,"NCAP_TLIFE",$AX$10:$AX$16)),0,""))</f>
        <v/>
      </c>
      <c r="AD219" s="369" t="str">
        <f ca="1">IF($B219&lt;&gt;"PRC_RESID","",IF(AD$7=2005+OFFSET(COM_N_2012!$B$60,$AW219,SUMIF($B$10:$B$16,"NCAP_TLIFE",$AX$10:$AX$16)),0,""))</f>
        <v/>
      </c>
      <c r="AE219" s="369" t="str">
        <f ca="1">IF($B219&lt;&gt;"PRC_RESID","",IF(AE$7=2005+OFFSET(COM_N_2012!$B$60,$AW219,SUMIF($B$10:$B$16,"NCAP_TLIFE",$AX$10:$AX$16)),0,""))</f>
        <v/>
      </c>
      <c r="AF219" s="369" t="str">
        <f ca="1">IF($B219&lt;&gt;"PRC_RESID","",IF(AF$7=2005+OFFSET(COM_N_2012!$B$60,$AW219,SUMIF($B$10:$B$16,"NCAP_TLIFE",$AX$10:$AX$16)),0,""))</f>
        <v/>
      </c>
      <c r="AG219" s="369" t="str">
        <f ca="1">IF($B219&lt;&gt;"PRC_RESID","",IF(AG$7=2005+OFFSET(COM_N_2012!$B$60,$AW219,SUMIF($B$10:$B$16,"NCAP_TLIFE",$AX$10:$AX$16)),0,""))</f>
        <v/>
      </c>
      <c r="AH219" s="369" t="str">
        <f ca="1">IF($B219&lt;&gt;"PRC_RESID","",IF(AH$7=2005+OFFSET(COM_N_2012!$B$60,$AW219,SUMIF($B$10:$B$16,"NCAP_TLIFE",$AX$10:$AX$16)),0,""))</f>
        <v/>
      </c>
      <c r="AI219" s="369" t="str">
        <f ca="1">IF($B219&lt;&gt;"PRC_RESID","",IF(AI$7=2005+OFFSET(COM_N_2012!$B$60,$AW219,SUMIF($B$10:$B$16,"NCAP_TLIFE",$AX$10:$AX$16)),0,""))</f>
        <v/>
      </c>
      <c r="AJ219" s="369" t="str">
        <f ca="1">IF($B219&lt;&gt;"PRC_RESID","",IF(AJ$7=2005+OFFSET(COM_N_2012!$B$60,$AW219,SUMIF($B$10:$B$16,"NCAP_TLIFE",$AX$10:$AX$16)),0,""))</f>
        <v/>
      </c>
      <c r="AK219" s="369" t="str">
        <f ca="1">IF($B219&lt;&gt;"PRC_RESID","",IF(AK$7=2005+OFFSET(COM_N_2012!$B$60,$AW219,SUMIF($B$10:$B$16,"NCAP_TLIFE",$AX$10:$AX$16)),0,""))</f>
        <v/>
      </c>
      <c r="AL219" s="369" t="str">
        <f ca="1">IF($B219&lt;&gt;"PRC_RESID","",IF(AL$7=2005+OFFSET(COM_N_2012!$B$60,$AW219,SUMIF($B$10:$B$16,"NCAP_TLIFE",$AX$10:$AX$16)),0,""))</f>
        <v/>
      </c>
      <c r="AM219" s="369" t="str">
        <f ca="1">IF($B219&lt;&gt;"PRC_RESID","",IF(AM$7=2005+OFFSET(COM_N_2012!$B$60,$AW219,SUMIF($B$10:$B$16,"NCAP_TLIFE",$AX$10:$AX$16)),0,""))</f>
        <v/>
      </c>
      <c r="AN219" s="369" t="str">
        <f ca="1">IF($B219&lt;&gt;"PRC_RESID","",IF(AN$7=2005+OFFSET(COM_N_2012!$B$60,$AW219,SUMIF($B$10:$B$16,"NCAP_TLIFE",$AX$10:$AX$16)),0,""))</f>
        <v/>
      </c>
      <c r="AO219" s="369" t="str">
        <f ca="1">IF($B219&lt;&gt;"PRC_RESID","",IF(AO$7=2005+OFFSET(COM_N_2012!$B$60,$AW219,SUMIF($B$10:$B$16,"NCAP_TLIFE",$AX$10:$AX$16)),0,""))</f>
        <v/>
      </c>
      <c r="AP219" s="369" t="str">
        <f ca="1">IF($B219&lt;&gt;"PRC_RESID","",IF(AP$7=2005+OFFSET(COM_N_2012!$B$60,$AW219,SUMIF($B$10:$B$16,"NCAP_TLIFE",$AX$10:$AX$16)),0,""))</f>
        <v/>
      </c>
      <c r="AQ219" s="369" t="str">
        <f ca="1">IF($B219&lt;&gt;"PRC_RESID","",IF(AQ$7=2005+OFFSET(COM_N_2012!$B$60,$AW219,SUMIF($B$10:$B$16,"NCAP_TLIFE",$AX$10:$AX$16)),0,""))</f>
        <v/>
      </c>
      <c r="AR219" s="369" t="str">
        <f ca="1">IF($B219&lt;&gt;"PRC_RESID","",IF(AR$7=2005+OFFSET(COM_N_2012!$B$60,$AW219,SUMIF($B$10:$B$16,"NCAP_TLIFE",$AX$10:$AX$16)),0,""))</f>
        <v/>
      </c>
      <c r="AS219" s="369" t="str">
        <f ca="1">IF($B219&lt;&gt;"PRC_RESID","",IF(AS$7=2005+OFFSET(COM_N_2012!$B$60,$AW219,SUMIF($B$10:$B$16,"NCAP_TLIFE",$AX$10:$AX$16)),0,""))</f>
        <v/>
      </c>
      <c r="AT219" s="369" t="str">
        <f ca="1">IF($B219&lt;&gt;"PRC_RESID","",IF(AT$7=2005+OFFSET(COM_N_2012!$B$60,$AW219,SUMIF($B$10:$B$16,"NCAP_TLIFE",$AX$10:$AX$16)),0,""))</f>
        <v/>
      </c>
      <c r="AU219" s="369" t="str">
        <f ca="1">IF($B219&lt;&gt;"PRC_RESID","",IF(AU$7=2005+OFFSET(COM_N_2012!$B$60,$AW219,SUMIF($B$10:$B$16,"NCAP_TLIFE",$AX$10:$AX$16)),0,""))</f>
        <v/>
      </c>
      <c r="AV219" s="304">
        <f>IF(AW218=COM_N_2012!$AK$121,AV218+1,AV218)</f>
        <v>4</v>
      </c>
      <c r="AW219" s="304">
        <f t="shared" si="29"/>
        <v>19</v>
      </c>
    </row>
    <row r="220" spans="1:49">
      <c r="A220" s="304" t="str">
        <f ca="1">IF(LEFT(OFFSET(COM_N_2012!$A$60,AW220,0),2)="\I","*","")</f>
        <v>*</v>
      </c>
      <c r="B220" s="369" t="str">
        <f t="shared" ca="1" si="28"/>
        <v/>
      </c>
      <c r="C220" s="369" t="str">
        <f ca="1">IF($A220="*","",OFFSET(COM_N_2012!$B$60,AW220,0))</f>
        <v/>
      </c>
      <c r="D220" s="369" t="str">
        <f t="shared" ca="1" si="30"/>
        <v/>
      </c>
      <c r="E220" s="369" t="str">
        <f t="shared" ca="1" si="30"/>
        <v/>
      </c>
      <c r="F220" s="369" t="str">
        <f t="shared" ca="1" si="30"/>
        <v/>
      </c>
      <c r="G220" s="369" t="str">
        <f t="shared" ca="1" si="30"/>
        <v/>
      </c>
      <c r="H220" s="369" t="str">
        <f t="shared" ca="1" si="30"/>
        <v/>
      </c>
      <c r="I220" s="370" t="str">
        <f t="shared" ca="1" si="30"/>
        <v/>
      </c>
      <c r="J220" s="391" t="str">
        <f ca="1">IF($A220="*","",OFFSET(COM_N_2012!$B$60,AW220,SUMIF($B$10:$B$16,B220,$AX$10:$AX$16)))</f>
        <v/>
      </c>
      <c r="K220" s="369" t="str">
        <f ca="1">IF($B220&lt;&gt;"PRC_RESID","",IF(K$7=2005+OFFSET(COM_N_2012!$B$60,$AW220,SUMIF($B$10:$B$16,"NCAP_TLIFE",$AX$10:$AX$16)),0,""))</f>
        <v/>
      </c>
      <c r="L220" s="369" t="str">
        <f ca="1">IF($B220&lt;&gt;"PRC_RESID","",IF(L$7=2005+OFFSET(COM_N_2012!$B$60,$AW220,SUMIF($B$10:$B$16,"NCAP_TLIFE",$AX$10:$AX$16)),0,""))</f>
        <v/>
      </c>
      <c r="M220" s="369" t="str">
        <f ca="1">IF($B220&lt;&gt;"PRC_RESID","",IF(M$7=2005+OFFSET(COM_N_2012!$B$60,$AW220,SUMIF($B$10:$B$16,"NCAP_TLIFE",$AX$10:$AX$16)),0,""))</f>
        <v/>
      </c>
      <c r="N220" s="369" t="str">
        <f ca="1">IF($B220&lt;&gt;"PRC_RESID","",IF(N$7=2005+OFFSET(COM_N_2012!$B$60,$AW220,SUMIF($B$10:$B$16,"NCAP_TLIFE",$AX$10:$AX$16)),0,""))</f>
        <v/>
      </c>
      <c r="O220" s="369" t="str">
        <f ca="1">IF($B220&lt;&gt;"PRC_RESID","",IF(O$7=2005+OFFSET(COM_N_2012!$B$60,$AW220,SUMIF($B$10:$B$16,"NCAP_TLIFE",$AX$10:$AX$16)),0,""))</f>
        <v/>
      </c>
      <c r="P220" s="369" t="str">
        <f ca="1">IF($B220&lt;&gt;"PRC_RESID","",IF(P$7=2005+OFFSET(COM_N_2012!$B$60,$AW220,SUMIF($B$10:$B$16,"NCAP_TLIFE",$AX$10:$AX$16)),0,""))</f>
        <v/>
      </c>
      <c r="Q220" s="369" t="str">
        <f ca="1">IF($B220&lt;&gt;"PRC_RESID","",IF(Q$7=2005+OFFSET(COM_N_2012!$B$60,$AW220,SUMIF($B$10:$B$16,"NCAP_TLIFE",$AX$10:$AX$16)),0,""))</f>
        <v/>
      </c>
      <c r="R220" s="369" t="str">
        <f ca="1">IF($B220&lt;&gt;"PRC_RESID","",IF(R$7=2005+OFFSET(COM_N_2012!$B$60,$AW220,SUMIF($B$10:$B$16,"NCAP_TLIFE",$AX$10:$AX$16)),0,""))</f>
        <v/>
      </c>
      <c r="S220" s="369" t="str">
        <f ca="1">IF($B220&lt;&gt;"PRC_RESID","",IF(S$7=2005+OFFSET(COM_N_2012!$B$60,$AW220,SUMIF($B$10:$B$16,"NCAP_TLIFE",$AX$10:$AX$16)),0,""))</f>
        <v/>
      </c>
      <c r="T220" s="369" t="str">
        <f ca="1">IF($B220&lt;&gt;"PRC_RESID","",IF(T$7=2005+OFFSET(COM_N_2012!$B$60,$AW220,SUMIF($B$10:$B$16,"NCAP_TLIFE",$AX$10:$AX$16)),0,""))</f>
        <v/>
      </c>
      <c r="U220" s="369" t="str">
        <f ca="1">IF($B220&lt;&gt;"PRC_RESID","",IF(U$7=2005+OFFSET(COM_N_2012!$B$60,$AW220,SUMIF($B$10:$B$16,"NCAP_TLIFE",$AX$10:$AX$16)),0,""))</f>
        <v/>
      </c>
      <c r="V220" s="369" t="str">
        <f ca="1">IF($B220&lt;&gt;"PRC_RESID","",IF(V$7=2005+OFFSET(COM_N_2012!$B$60,$AW220,SUMIF($B$10:$B$16,"NCAP_TLIFE",$AX$10:$AX$16)),0,""))</f>
        <v/>
      </c>
      <c r="W220" s="369" t="str">
        <f ca="1">IF($B220&lt;&gt;"PRC_RESID","",IF(W$7=2005+OFFSET(COM_N_2012!$B$60,$AW220,SUMIF($B$10:$B$16,"NCAP_TLIFE",$AX$10:$AX$16)),0,""))</f>
        <v/>
      </c>
      <c r="X220" s="369" t="str">
        <f ca="1">IF($B220&lt;&gt;"PRC_RESID","",IF(X$7=2005+OFFSET(COM_N_2012!$B$60,$AW220,SUMIF($B$10:$B$16,"NCAP_TLIFE",$AX$10:$AX$16)),0,""))</f>
        <v/>
      </c>
      <c r="Y220" s="369" t="str">
        <f ca="1">IF($B220&lt;&gt;"PRC_RESID","",IF(Y$7=2005+OFFSET(COM_N_2012!$B$60,$AW220,SUMIF($B$10:$B$16,"NCAP_TLIFE",$AX$10:$AX$16)),0,""))</f>
        <v/>
      </c>
      <c r="Z220" s="369" t="str">
        <f ca="1">IF($B220&lt;&gt;"PRC_RESID","",IF(Z$7=2005+OFFSET(COM_N_2012!$B$60,$AW220,SUMIF($B$10:$B$16,"NCAP_TLIFE",$AX$10:$AX$16)),0,""))</f>
        <v/>
      </c>
      <c r="AA220" s="369" t="str">
        <f ca="1">IF($B220&lt;&gt;"PRC_RESID","",IF(AA$7=2005+OFFSET(COM_N_2012!$B$60,$AW220,SUMIF($B$10:$B$16,"NCAP_TLIFE",$AX$10:$AX$16)),0,""))</f>
        <v/>
      </c>
      <c r="AB220" s="369" t="str">
        <f ca="1">IF($B220&lt;&gt;"PRC_RESID","",IF(AB$7=2005+OFFSET(COM_N_2012!$B$60,$AW220,SUMIF($B$10:$B$16,"NCAP_TLIFE",$AX$10:$AX$16)),0,""))</f>
        <v/>
      </c>
      <c r="AC220" s="369" t="str">
        <f ca="1">IF($B220&lt;&gt;"PRC_RESID","",IF(AC$7=2005+OFFSET(COM_N_2012!$B$60,$AW220,SUMIF($B$10:$B$16,"NCAP_TLIFE",$AX$10:$AX$16)),0,""))</f>
        <v/>
      </c>
      <c r="AD220" s="369" t="str">
        <f ca="1">IF($B220&lt;&gt;"PRC_RESID","",IF(AD$7=2005+OFFSET(COM_N_2012!$B$60,$AW220,SUMIF($B$10:$B$16,"NCAP_TLIFE",$AX$10:$AX$16)),0,""))</f>
        <v/>
      </c>
      <c r="AE220" s="369" t="str">
        <f ca="1">IF($B220&lt;&gt;"PRC_RESID","",IF(AE$7=2005+OFFSET(COM_N_2012!$B$60,$AW220,SUMIF($B$10:$B$16,"NCAP_TLIFE",$AX$10:$AX$16)),0,""))</f>
        <v/>
      </c>
      <c r="AF220" s="369" t="str">
        <f ca="1">IF($B220&lt;&gt;"PRC_RESID","",IF(AF$7=2005+OFFSET(COM_N_2012!$B$60,$AW220,SUMIF($B$10:$B$16,"NCAP_TLIFE",$AX$10:$AX$16)),0,""))</f>
        <v/>
      </c>
      <c r="AG220" s="369" t="str">
        <f ca="1">IF($B220&lt;&gt;"PRC_RESID","",IF(AG$7=2005+OFFSET(COM_N_2012!$B$60,$AW220,SUMIF($B$10:$B$16,"NCAP_TLIFE",$AX$10:$AX$16)),0,""))</f>
        <v/>
      </c>
      <c r="AH220" s="369" t="str">
        <f ca="1">IF($B220&lt;&gt;"PRC_RESID","",IF(AH$7=2005+OFFSET(COM_N_2012!$B$60,$AW220,SUMIF($B$10:$B$16,"NCAP_TLIFE",$AX$10:$AX$16)),0,""))</f>
        <v/>
      </c>
      <c r="AI220" s="369" t="str">
        <f ca="1">IF($B220&lt;&gt;"PRC_RESID","",IF(AI$7=2005+OFFSET(COM_N_2012!$B$60,$AW220,SUMIF($B$10:$B$16,"NCAP_TLIFE",$AX$10:$AX$16)),0,""))</f>
        <v/>
      </c>
      <c r="AJ220" s="369" t="str">
        <f ca="1">IF($B220&lt;&gt;"PRC_RESID","",IF(AJ$7=2005+OFFSET(COM_N_2012!$B$60,$AW220,SUMIF($B$10:$B$16,"NCAP_TLIFE",$AX$10:$AX$16)),0,""))</f>
        <v/>
      </c>
      <c r="AK220" s="369" t="str">
        <f ca="1">IF($B220&lt;&gt;"PRC_RESID","",IF(AK$7=2005+OFFSET(COM_N_2012!$B$60,$AW220,SUMIF($B$10:$B$16,"NCAP_TLIFE",$AX$10:$AX$16)),0,""))</f>
        <v/>
      </c>
      <c r="AL220" s="369" t="str">
        <f ca="1">IF($B220&lt;&gt;"PRC_RESID","",IF(AL$7=2005+OFFSET(COM_N_2012!$B$60,$AW220,SUMIF($B$10:$B$16,"NCAP_TLIFE",$AX$10:$AX$16)),0,""))</f>
        <v/>
      </c>
      <c r="AM220" s="369" t="str">
        <f ca="1">IF($B220&lt;&gt;"PRC_RESID","",IF(AM$7=2005+OFFSET(COM_N_2012!$B$60,$AW220,SUMIF($B$10:$B$16,"NCAP_TLIFE",$AX$10:$AX$16)),0,""))</f>
        <v/>
      </c>
      <c r="AN220" s="369" t="str">
        <f ca="1">IF($B220&lt;&gt;"PRC_RESID","",IF(AN$7=2005+OFFSET(COM_N_2012!$B$60,$AW220,SUMIF($B$10:$B$16,"NCAP_TLIFE",$AX$10:$AX$16)),0,""))</f>
        <v/>
      </c>
      <c r="AO220" s="369" t="str">
        <f ca="1">IF($B220&lt;&gt;"PRC_RESID","",IF(AO$7=2005+OFFSET(COM_N_2012!$B$60,$AW220,SUMIF($B$10:$B$16,"NCAP_TLIFE",$AX$10:$AX$16)),0,""))</f>
        <v/>
      </c>
      <c r="AP220" s="369" t="str">
        <f ca="1">IF($B220&lt;&gt;"PRC_RESID","",IF(AP$7=2005+OFFSET(COM_N_2012!$B$60,$AW220,SUMIF($B$10:$B$16,"NCAP_TLIFE",$AX$10:$AX$16)),0,""))</f>
        <v/>
      </c>
      <c r="AQ220" s="369" t="str">
        <f ca="1">IF($B220&lt;&gt;"PRC_RESID","",IF(AQ$7=2005+OFFSET(COM_N_2012!$B$60,$AW220,SUMIF($B$10:$B$16,"NCAP_TLIFE",$AX$10:$AX$16)),0,""))</f>
        <v/>
      </c>
      <c r="AR220" s="369" t="str">
        <f ca="1">IF($B220&lt;&gt;"PRC_RESID","",IF(AR$7=2005+OFFSET(COM_N_2012!$B$60,$AW220,SUMIF($B$10:$B$16,"NCAP_TLIFE",$AX$10:$AX$16)),0,""))</f>
        <v/>
      </c>
      <c r="AS220" s="369" t="str">
        <f ca="1">IF($B220&lt;&gt;"PRC_RESID","",IF(AS$7=2005+OFFSET(COM_N_2012!$B$60,$AW220,SUMIF($B$10:$B$16,"NCAP_TLIFE",$AX$10:$AX$16)),0,""))</f>
        <v/>
      </c>
      <c r="AT220" s="369" t="str">
        <f ca="1">IF($B220&lt;&gt;"PRC_RESID","",IF(AT$7=2005+OFFSET(COM_N_2012!$B$60,$AW220,SUMIF($B$10:$B$16,"NCAP_TLIFE",$AX$10:$AX$16)),0,""))</f>
        <v/>
      </c>
      <c r="AU220" s="369" t="str">
        <f ca="1">IF($B220&lt;&gt;"PRC_RESID","",IF(AU$7=2005+OFFSET(COM_N_2012!$B$60,$AW220,SUMIF($B$10:$B$16,"NCAP_TLIFE",$AX$10:$AX$16)),0,""))</f>
        <v/>
      </c>
      <c r="AV220" s="304">
        <f>IF(AW219=COM_N_2012!$AK$121,AV219+1,AV219)</f>
        <v>4</v>
      </c>
      <c r="AW220" s="304">
        <f t="shared" si="29"/>
        <v>20</v>
      </c>
    </row>
    <row r="221" spans="1:49">
      <c r="A221" s="304" t="str">
        <f ca="1">IF(LEFT(OFFSET(COM_N_2012!$A$60,AW221,0),2)="\I","*","")</f>
        <v/>
      </c>
      <c r="B221" s="369" t="str">
        <f t="shared" ca="1" si="28"/>
        <v>NCAP_COST</v>
      </c>
      <c r="C221" s="369" t="str">
        <f ca="1">IF($A221="*","",OFFSET(COM_N_2012!$B$60,AW221,0))</f>
        <v>CNLELCCFL-E</v>
      </c>
      <c r="D221" s="369" t="str">
        <f t="shared" ca="1" si="30"/>
        <v>-</v>
      </c>
      <c r="E221" s="369" t="str">
        <f t="shared" ca="1" si="30"/>
        <v>-</v>
      </c>
      <c r="F221" s="369" t="str">
        <f t="shared" ca="1" si="30"/>
        <v>-</v>
      </c>
      <c r="G221" s="369" t="str">
        <f t="shared" ca="1" si="30"/>
        <v>-</v>
      </c>
      <c r="H221" s="369" t="str">
        <f t="shared" ca="1" si="30"/>
        <v>-</v>
      </c>
      <c r="I221" s="370">
        <f t="shared" ca="1" si="30"/>
        <v>0</v>
      </c>
      <c r="J221" s="391">
        <f ca="1">IF($A221="*","",OFFSET(COM_N_2012!$B$60,AW221,SUMIF($B$10:$B$16,B221,$AX$10:$AX$16)))</f>
        <v>2.5202184369189848</v>
      </c>
      <c r="K221" s="369" t="str">
        <f ca="1">IF($B221&lt;&gt;"PRC_RESID","",IF(K$7=2005+OFFSET(COM_N_2012!$B$60,$AW221,SUMIF($B$10:$B$16,"NCAP_TLIFE",$AX$10:$AX$16)),0,""))</f>
        <v/>
      </c>
      <c r="L221" s="369" t="str">
        <f ca="1">IF($B221&lt;&gt;"PRC_RESID","",IF(L$7=2005+OFFSET(COM_N_2012!$B$60,$AW221,SUMIF($B$10:$B$16,"NCAP_TLIFE",$AX$10:$AX$16)),0,""))</f>
        <v/>
      </c>
      <c r="M221" s="369" t="str">
        <f ca="1">IF($B221&lt;&gt;"PRC_RESID","",IF(M$7=2005+OFFSET(COM_N_2012!$B$60,$AW221,SUMIF($B$10:$B$16,"NCAP_TLIFE",$AX$10:$AX$16)),0,""))</f>
        <v/>
      </c>
      <c r="N221" s="369" t="str">
        <f ca="1">IF($B221&lt;&gt;"PRC_RESID","",IF(N$7=2005+OFFSET(COM_N_2012!$B$60,$AW221,SUMIF($B$10:$B$16,"NCAP_TLIFE",$AX$10:$AX$16)),0,""))</f>
        <v/>
      </c>
      <c r="O221" s="369" t="str">
        <f ca="1">IF($B221&lt;&gt;"PRC_RESID","",IF(O$7=2005+OFFSET(COM_N_2012!$B$60,$AW221,SUMIF($B$10:$B$16,"NCAP_TLIFE",$AX$10:$AX$16)),0,""))</f>
        <v/>
      </c>
      <c r="P221" s="369" t="str">
        <f ca="1">IF($B221&lt;&gt;"PRC_RESID","",IF(P$7=2005+OFFSET(COM_N_2012!$B$60,$AW221,SUMIF($B$10:$B$16,"NCAP_TLIFE",$AX$10:$AX$16)),0,""))</f>
        <v/>
      </c>
      <c r="Q221" s="369" t="str">
        <f ca="1">IF($B221&lt;&gt;"PRC_RESID","",IF(Q$7=2005+OFFSET(COM_N_2012!$B$60,$AW221,SUMIF($B$10:$B$16,"NCAP_TLIFE",$AX$10:$AX$16)),0,""))</f>
        <v/>
      </c>
      <c r="R221" s="369" t="str">
        <f ca="1">IF($B221&lt;&gt;"PRC_RESID","",IF(R$7=2005+OFFSET(COM_N_2012!$B$60,$AW221,SUMIF($B$10:$B$16,"NCAP_TLIFE",$AX$10:$AX$16)),0,""))</f>
        <v/>
      </c>
      <c r="S221" s="369" t="str">
        <f ca="1">IF($B221&lt;&gt;"PRC_RESID","",IF(S$7=2005+OFFSET(COM_N_2012!$B$60,$AW221,SUMIF($B$10:$B$16,"NCAP_TLIFE",$AX$10:$AX$16)),0,""))</f>
        <v/>
      </c>
      <c r="T221" s="369" t="str">
        <f ca="1">IF($B221&lt;&gt;"PRC_RESID","",IF(T$7=2005+OFFSET(COM_N_2012!$B$60,$AW221,SUMIF($B$10:$B$16,"NCAP_TLIFE",$AX$10:$AX$16)),0,""))</f>
        <v/>
      </c>
      <c r="U221" s="369" t="str">
        <f ca="1">IF($B221&lt;&gt;"PRC_RESID","",IF(U$7=2005+OFFSET(COM_N_2012!$B$60,$AW221,SUMIF($B$10:$B$16,"NCAP_TLIFE",$AX$10:$AX$16)),0,""))</f>
        <v/>
      </c>
      <c r="V221" s="369" t="str">
        <f ca="1">IF($B221&lt;&gt;"PRC_RESID","",IF(V$7=2005+OFFSET(COM_N_2012!$B$60,$AW221,SUMIF($B$10:$B$16,"NCAP_TLIFE",$AX$10:$AX$16)),0,""))</f>
        <v/>
      </c>
      <c r="W221" s="369" t="str">
        <f ca="1">IF($B221&lt;&gt;"PRC_RESID","",IF(W$7=2005+OFFSET(COM_N_2012!$B$60,$AW221,SUMIF($B$10:$B$16,"NCAP_TLIFE",$AX$10:$AX$16)),0,""))</f>
        <v/>
      </c>
      <c r="X221" s="369" t="str">
        <f ca="1">IF($B221&lt;&gt;"PRC_RESID","",IF(X$7=2005+OFFSET(COM_N_2012!$B$60,$AW221,SUMIF($B$10:$B$16,"NCAP_TLIFE",$AX$10:$AX$16)),0,""))</f>
        <v/>
      </c>
      <c r="Y221" s="369" t="str">
        <f ca="1">IF($B221&lt;&gt;"PRC_RESID","",IF(Y$7=2005+OFFSET(COM_N_2012!$B$60,$AW221,SUMIF($B$10:$B$16,"NCAP_TLIFE",$AX$10:$AX$16)),0,""))</f>
        <v/>
      </c>
      <c r="Z221" s="369" t="str">
        <f ca="1">IF($B221&lt;&gt;"PRC_RESID","",IF(Z$7=2005+OFFSET(COM_N_2012!$B$60,$AW221,SUMIF($B$10:$B$16,"NCAP_TLIFE",$AX$10:$AX$16)),0,""))</f>
        <v/>
      </c>
      <c r="AA221" s="369" t="str">
        <f ca="1">IF($B221&lt;&gt;"PRC_RESID","",IF(AA$7=2005+OFFSET(COM_N_2012!$B$60,$AW221,SUMIF($B$10:$B$16,"NCAP_TLIFE",$AX$10:$AX$16)),0,""))</f>
        <v/>
      </c>
      <c r="AB221" s="369" t="str">
        <f ca="1">IF($B221&lt;&gt;"PRC_RESID","",IF(AB$7=2005+OFFSET(COM_N_2012!$B$60,$AW221,SUMIF($B$10:$B$16,"NCAP_TLIFE",$AX$10:$AX$16)),0,""))</f>
        <v/>
      </c>
      <c r="AC221" s="369" t="str">
        <f ca="1">IF($B221&lt;&gt;"PRC_RESID","",IF(AC$7=2005+OFFSET(COM_N_2012!$B$60,$AW221,SUMIF($B$10:$B$16,"NCAP_TLIFE",$AX$10:$AX$16)),0,""))</f>
        <v/>
      </c>
      <c r="AD221" s="369" t="str">
        <f ca="1">IF($B221&lt;&gt;"PRC_RESID","",IF(AD$7=2005+OFFSET(COM_N_2012!$B$60,$AW221,SUMIF($B$10:$B$16,"NCAP_TLIFE",$AX$10:$AX$16)),0,""))</f>
        <v/>
      </c>
      <c r="AE221" s="369" t="str">
        <f ca="1">IF($B221&lt;&gt;"PRC_RESID","",IF(AE$7=2005+OFFSET(COM_N_2012!$B$60,$AW221,SUMIF($B$10:$B$16,"NCAP_TLIFE",$AX$10:$AX$16)),0,""))</f>
        <v/>
      </c>
      <c r="AF221" s="369" t="str">
        <f ca="1">IF($B221&lt;&gt;"PRC_RESID","",IF(AF$7=2005+OFFSET(COM_N_2012!$B$60,$AW221,SUMIF($B$10:$B$16,"NCAP_TLIFE",$AX$10:$AX$16)),0,""))</f>
        <v/>
      </c>
      <c r="AG221" s="369" t="str">
        <f ca="1">IF($B221&lt;&gt;"PRC_RESID","",IF(AG$7=2005+OFFSET(COM_N_2012!$B$60,$AW221,SUMIF($B$10:$B$16,"NCAP_TLIFE",$AX$10:$AX$16)),0,""))</f>
        <v/>
      </c>
      <c r="AH221" s="369" t="str">
        <f ca="1">IF($B221&lt;&gt;"PRC_RESID","",IF(AH$7=2005+OFFSET(COM_N_2012!$B$60,$AW221,SUMIF($B$10:$B$16,"NCAP_TLIFE",$AX$10:$AX$16)),0,""))</f>
        <v/>
      </c>
      <c r="AI221" s="369" t="str">
        <f ca="1">IF($B221&lt;&gt;"PRC_RESID","",IF(AI$7=2005+OFFSET(COM_N_2012!$B$60,$AW221,SUMIF($B$10:$B$16,"NCAP_TLIFE",$AX$10:$AX$16)),0,""))</f>
        <v/>
      </c>
      <c r="AJ221" s="369" t="str">
        <f ca="1">IF($B221&lt;&gt;"PRC_RESID","",IF(AJ$7=2005+OFFSET(COM_N_2012!$B$60,$AW221,SUMIF($B$10:$B$16,"NCAP_TLIFE",$AX$10:$AX$16)),0,""))</f>
        <v/>
      </c>
      <c r="AK221" s="369" t="str">
        <f ca="1">IF($B221&lt;&gt;"PRC_RESID","",IF(AK$7=2005+OFFSET(COM_N_2012!$B$60,$AW221,SUMIF($B$10:$B$16,"NCAP_TLIFE",$AX$10:$AX$16)),0,""))</f>
        <v/>
      </c>
      <c r="AL221" s="369" t="str">
        <f ca="1">IF($B221&lt;&gt;"PRC_RESID","",IF(AL$7=2005+OFFSET(COM_N_2012!$B$60,$AW221,SUMIF($B$10:$B$16,"NCAP_TLIFE",$AX$10:$AX$16)),0,""))</f>
        <v/>
      </c>
      <c r="AM221" s="369" t="str">
        <f ca="1">IF($B221&lt;&gt;"PRC_RESID","",IF(AM$7=2005+OFFSET(COM_N_2012!$B$60,$AW221,SUMIF($B$10:$B$16,"NCAP_TLIFE",$AX$10:$AX$16)),0,""))</f>
        <v/>
      </c>
      <c r="AN221" s="369" t="str">
        <f ca="1">IF($B221&lt;&gt;"PRC_RESID","",IF(AN$7=2005+OFFSET(COM_N_2012!$B$60,$AW221,SUMIF($B$10:$B$16,"NCAP_TLIFE",$AX$10:$AX$16)),0,""))</f>
        <v/>
      </c>
      <c r="AO221" s="369" t="str">
        <f ca="1">IF($B221&lt;&gt;"PRC_RESID","",IF(AO$7=2005+OFFSET(COM_N_2012!$B$60,$AW221,SUMIF($B$10:$B$16,"NCAP_TLIFE",$AX$10:$AX$16)),0,""))</f>
        <v/>
      </c>
      <c r="AP221" s="369" t="str">
        <f ca="1">IF($B221&lt;&gt;"PRC_RESID","",IF(AP$7=2005+OFFSET(COM_N_2012!$B$60,$AW221,SUMIF($B$10:$B$16,"NCAP_TLIFE",$AX$10:$AX$16)),0,""))</f>
        <v/>
      </c>
      <c r="AQ221" s="369" t="str">
        <f ca="1">IF($B221&lt;&gt;"PRC_RESID","",IF(AQ$7=2005+OFFSET(COM_N_2012!$B$60,$AW221,SUMIF($B$10:$B$16,"NCAP_TLIFE",$AX$10:$AX$16)),0,""))</f>
        <v/>
      </c>
      <c r="AR221" s="369" t="str">
        <f ca="1">IF($B221&lt;&gt;"PRC_RESID","",IF(AR$7=2005+OFFSET(COM_N_2012!$B$60,$AW221,SUMIF($B$10:$B$16,"NCAP_TLIFE",$AX$10:$AX$16)),0,""))</f>
        <v/>
      </c>
      <c r="AS221" s="369" t="str">
        <f ca="1">IF($B221&lt;&gt;"PRC_RESID","",IF(AS$7=2005+OFFSET(COM_N_2012!$B$60,$AW221,SUMIF($B$10:$B$16,"NCAP_TLIFE",$AX$10:$AX$16)),0,""))</f>
        <v/>
      </c>
      <c r="AT221" s="369" t="str">
        <f ca="1">IF($B221&lt;&gt;"PRC_RESID","",IF(AT$7=2005+OFFSET(COM_N_2012!$B$60,$AW221,SUMIF($B$10:$B$16,"NCAP_TLIFE",$AX$10:$AX$16)),0,""))</f>
        <v/>
      </c>
      <c r="AU221" s="369" t="str">
        <f ca="1">IF($B221&lt;&gt;"PRC_RESID","",IF(AU$7=2005+OFFSET(COM_N_2012!$B$60,$AW221,SUMIF($B$10:$B$16,"NCAP_TLIFE",$AX$10:$AX$16)),0,""))</f>
        <v/>
      </c>
      <c r="AV221" s="304">
        <f>IF(AW220=COM_N_2012!$AK$121,AV220+1,AV220)</f>
        <v>4</v>
      </c>
      <c r="AW221" s="304">
        <f t="shared" si="29"/>
        <v>21</v>
      </c>
    </row>
    <row r="222" spans="1:49">
      <c r="A222" s="304" t="str">
        <f ca="1">IF(LEFT(OFFSET(COM_N_2012!$A$60,AW222,0),2)="\I","*","")</f>
        <v/>
      </c>
      <c r="B222" s="369" t="str">
        <f t="shared" ca="1" si="28"/>
        <v>NCAP_COST</v>
      </c>
      <c r="C222" s="369" t="str">
        <f ca="1">IF($A222="*","",OFFSET(COM_N_2012!$B$60,AW222,0))</f>
        <v>CNLELCFLU-E</v>
      </c>
      <c r="D222" s="369" t="str">
        <f t="shared" ca="1" si="30"/>
        <v>-</v>
      </c>
      <c r="E222" s="369" t="str">
        <f t="shared" ca="1" si="30"/>
        <v>-</v>
      </c>
      <c r="F222" s="369" t="str">
        <f t="shared" ca="1" si="30"/>
        <v>-</v>
      </c>
      <c r="G222" s="369" t="str">
        <f t="shared" ca="1" si="30"/>
        <v>-</v>
      </c>
      <c r="H222" s="369" t="str">
        <f t="shared" ca="1" si="30"/>
        <v>-</v>
      </c>
      <c r="I222" s="370">
        <f t="shared" ca="1" si="30"/>
        <v>0</v>
      </c>
      <c r="J222" s="391">
        <f ca="1">IF($A222="*","",OFFSET(COM_N_2012!$B$60,AW222,SUMIF($B$10:$B$16,B222,$AX$10:$AX$16)))</f>
        <v>2.1020405989346398</v>
      </c>
      <c r="K222" s="369" t="str">
        <f ca="1">IF($B222&lt;&gt;"PRC_RESID","",IF(K$7=2005+OFFSET(COM_N_2012!$B$60,$AW222,SUMIF($B$10:$B$16,"NCAP_TLIFE",$AX$10:$AX$16)),0,""))</f>
        <v/>
      </c>
      <c r="L222" s="369" t="str">
        <f ca="1">IF($B222&lt;&gt;"PRC_RESID","",IF(L$7=2005+OFFSET(COM_N_2012!$B$60,$AW222,SUMIF($B$10:$B$16,"NCAP_TLIFE",$AX$10:$AX$16)),0,""))</f>
        <v/>
      </c>
      <c r="M222" s="369" t="str">
        <f ca="1">IF($B222&lt;&gt;"PRC_RESID","",IF(M$7=2005+OFFSET(COM_N_2012!$B$60,$AW222,SUMIF($B$10:$B$16,"NCAP_TLIFE",$AX$10:$AX$16)),0,""))</f>
        <v/>
      </c>
      <c r="N222" s="369" t="str">
        <f ca="1">IF($B222&lt;&gt;"PRC_RESID","",IF(N$7=2005+OFFSET(COM_N_2012!$B$60,$AW222,SUMIF($B$10:$B$16,"NCAP_TLIFE",$AX$10:$AX$16)),0,""))</f>
        <v/>
      </c>
      <c r="O222" s="369" t="str">
        <f ca="1">IF($B222&lt;&gt;"PRC_RESID","",IF(O$7=2005+OFFSET(COM_N_2012!$B$60,$AW222,SUMIF($B$10:$B$16,"NCAP_TLIFE",$AX$10:$AX$16)),0,""))</f>
        <v/>
      </c>
      <c r="P222" s="369" t="str">
        <f ca="1">IF($B222&lt;&gt;"PRC_RESID","",IF(P$7=2005+OFFSET(COM_N_2012!$B$60,$AW222,SUMIF($B$10:$B$16,"NCAP_TLIFE",$AX$10:$AX$16)),0,""))</f>
        <v/>
      </c>
      <c r="Q222" s="369" t="str">
        <f ca="1">IF($B222&lt;&gt;"PRC_RESID","",IF(Q$7=2005+OFFSET(COM_N_2012!$B$60,$AW222,SUMIF($B$10:$B$16,"NCAP_TLIFE",$AX$10:$AX$16)),0,""))</f>
        <v/>
      </c>
      <c r="R222" s="369" t="str">
        <f ca="1">IF($B222&lt;&gt;"PRC_RESID","",IF(R$7=2005+OFFSET(COM_N_2012!$B$60,$AW222,SUMIF($B$10:$B$16,"NCAP_TLIFE",$AX$10:$AX$16)),0,""))</f>
        <v/>
      </c>
      <c r="S222" s="369" t="str">
        <f ca="1">IF($B222&lt;&gt;"PRC_RESID","",IF(S$7=2005+OFFSET(COM_N_2012!$B$60,$AW222,SUMIF($B$10:$B$16,"NCAP_TLIFE",$AX$10:$AX$16)),0,""))</f>
        <v/>
      </c>
      <c r="T222" s="369" t="str">
        <f ca="1">IF($B222&lt;&gt;"PRC_RESID","",IF(T$7=2005+OFFSET(COM_N_2012!$B$60,$AW222,SUMIF($B$10:$B$16,"NCAP_TLIFE",$AX$10:$AX$16)),0,""))</f>
        <v/>
      </c>
      <c r="U222" s="369" t="str">
        <f ca="1">IF($B222&lt;&gt;"PRC_RESID","",IF(U$7=2005+OFFSET(COM_N_2012!$B$60,$AW222,SUMIF($B$10:$B$16,"NCAP_TLIFE",$AX$10:$AX$16)),0,""))</f>
        <v/>
      </c>
      <c r="V222" s="369" t="str">
        <f ca="1">IF($B222&lt;&gt;"PRC_RESID","",IF(V$7=2005+OFFSET(COM_N_2012!$B$60,$AW222,SUMIF($B$10:$B$16,"NCAP_TLIFE",$AX$10:$AX$16)),0,""))</f>
        <v/>
      </c>
      <c r="W222" s="369" t="str">
        <f ca="1">IF($B222&lt;&gt;"PRC_RESID","",IF(W$7=2005+OFFSET(COM_N_2012!$B$60,$AW222,SUMIF($B$10:$B$16,"NCAP_TLIFE",$AX$10:$AX$16)),0,""))</f>
        <v/>
      </c>
      <c r="X222" s="369" t="str">
        <f ca="1">IF($B222&lt;&gt;"PRC_RESID","",IF(X$7=2005+OFFSET(COM_N_2012!$B$60,$AW222,SUMIF($B$10:$B$16,"NCAP_TLIFE",$AX$10:$AX$16)),0,""))</f>
        <v/>
      </c>
      <c r="Y222" s="369" t="str">
        <f ca="1">IF($B222&lt;&gt;"PRC_RESID","",IF(Y$7=2005+OFFSET(COM_N_2012!$B$60,$AW222,SUMIF($B$10:$B$16,"NCAP_TLIFE",$AX$10:$AX$16)),0,""))</f>
        <v/>
      </c>
      <c r="Z222" s="369" t="str">
        <f ca="1">IF($B222&lt;&gt;"PRC_RESID","",IF(Z$7=2005+OFFSET(COM_N_2012!$B$60,$AW222,SUMIF($B$10:$B$16,"NCAP_TLIFE",$AX$10:$AX$16)),0,""))</f>
        <v/>
      </c>
      <c r="AA222" s="369" t="str">
        <f ca="1">IF($B222&lt;&gt;"PRC_RESID","",IF(AA$7=2005+OFFSET(COM_N_2012!$B$60,$AW222,SUMIF($B$10:$B$16,"NCAP_TLIFE",$AX$10:$AX$16)),0,""))</f>
        <v/>
      </c>
      <c r="AB222" s="369" t="str">
        <f ca="1">IF($B222&lt;&gt;"PRC_RESID","",IF(AB$7=2005+OFFSET(COM_N_2012!$B$60,$AW222,SUMIF($B$10:$B$16,"NCAP_TLIFE",$AX$10:$AX$16)),0,""))</f>
        <v/>
      </c>
      <c r="AC222" s="369" t="str">
        <f ca="1">IF($B222&lt;&gt;"PRC_RESID","",IF(AC$7=2005+OFFSET(COM_N_2012!$B$60,$AW222,SUMIF($B$10:$B$16,"NCAP_TLIFE",$AX$10:$AX$16)),0,""))</f>
        <v/>
      </c>
      <c r="AD222" s="369" t="str">
        <f ca="1">IF($B222&lt;&gt;"PRC_RESID","",IF(AD$7=2005+OFFSET(COM_N_2012!$B$60,$AW222,SUMIF($B$10:$B$16,"NCAP_TLIFE",$AX$10:$AX$16)),0,""))</f>
        <v/>
      </c>
      <c r="AE222" s="369" t="str">
        <f ca="1">IF($B222&lt;&gt;"PRC_RESID","",IF(AE$7=2005+OFFSET(COM_N_2012!$B$60,$AW222,SUMIF($B$10:$B$16,"NCAP_TLIFE",$AX$10:$AX$16)),0,""))</f>
        <v/>
      </c>
      <c r="AF222" s="369" t="str">
        <f ca="1">IF($B222&lt;&gt;"PRC_RESID","",IF(AF$7=2005+OFFSET(COM_N_2012!$B$60,$AW222,SUMIF($B$10:$B$16,"NCAP_TLIFE",$AX$10:$AX$16)),0,""))</f>
        <v/>
      </c>
      <c r="AG222" s="369" t="str">
        <f ca="1">IF($B222&lt;&gt;"PRC_RESID","",IF(AG$7=2005+OFFSET(COM_N_2012!$B$60,$AW222,SUMIF($B$10:$B$16,"NCAP_TLIFE",$AX$10:$AX$16)),0,""))</f>
        <v/>
      </c>
      <c r="AH222" s="369" t="str">
        <f ca="1">IF($B222&lt;&gt;"PRC_RESID","",IF(AH$7=2005+OFFSET(COM_N_2012!$B$60,$AW222,SUMIF($B$10:$B$16,"NCAP_TLIFE",$AX$10:$AX$16)),0,""))</f>
        <v/>
      </c>
      <c r="AI222" s="369" t="str">
        <f ca="1">IF($B222&lt;&gt;"PRC_RESID","",IF(AI$7=2005+OFFSET(COM_N_2012!$B$60,$AW222,SUMIF($B$10:$B$16,"NCAP_TLIFE",$AX$10:$AX$16)),0,""))</f>
        <v/>
      </c>
      <c r="AJ222" s="369" t="str">
        <f ca="1">IF($B222&lt;&gt;"PRC_RESID","",IF(AJ$7=2005+OFFSET(COM_N_2012!$B$60,$AW222,SUMIF($B$10:$B$16,"NCAP_TLIFE",$AX$10:$AX$16)),0,""))</f>
        <v/>
      </c>
      <c r="AK222" s="369" t="str">
        <f ca="1">IF($B222&lt;&gt;"PRC_RESID","",IF(AK$7=2005+OFFSET(COM_N_2012!$B$60,$AW222,SUMIF($B$10:$B$16,"NCAP_TLIFE",$AX$10:$AX$16)),0,""))</f>
        <v/>
      </c>
      <c r="AL222" s="369" t="str">
        <f ca="1">IF($B222&lt;&gt;"PRC_RESID","",IF(AL$7=2005+OFFSET(COM_N_2012!$B$60,$AW222,SUMIF($B$10:$B$16,"NCAP_TLIFE",$AX$10:$AX$16)),0,""))</f>
        <v/>
      </c>
      <c r="AM222" s="369" t="str">
        <f ca="1">IF($B222&lt;&gt;"PRC_RESID","",IF(AM$7=2005+OFFSET(COM_N_2012!$B$60,$AW222,SUMIF($B$10:$B$16,"NCAP_TLIFE",$AX$10:$AX$16)),0,""))</f>
        <v/>
      </c>
      <c r="AN222" s="369" t="str">
        <f ca="1">IF($B222&lt;&gt;"PRC_RESID","",IF(AN$7=2005+OFFSET(COM_N_2012!$B$60,$AW222,SUMIF($B$10:$B$16,"NCAP_TLIFE",$AX$10:$AX$16)),0,""))</f>
        <v/>
      </c>
      <c r="AO222" s="369" t="str">
        <f ca="1">IF($B222&lt;&gt;"PRC_RESID","",IF(AO$7=2005+OFFSET(COM_N_2012!$B$60,$AW222,SUMIF($B$10:$B$16,"NCAP_TLIFE",$AX$10:$AX$16)),0,""))</f>
        <v/>
      </c>
      <c r="AP222" s="369" t="str">
        <f ca="1">IF($B222&lt;&gt;"PRC_RESID","",IF(AP$7=2005+OFFSET(COM_N_2012!$B$60,$AW222,SUMIF($B$10:$B$16,"NCAP_TLIFE",$AX$10:$AX$16)),0,""))</f>
        <v/>
      </c>
      <c r="AQ222" s="369" t="str">
        <f ca="1">IF($B222&lt;&gt;"PRC_RESID","",IF(AQ$7=2005+OFFSET(COM_N_2012!$B$60,$AW222,SUMIF($B$10:$B$16,"NCAP_TLIFE",$AX$10:$AX$16)),0,""))</f>
        <v/>
      </c>
      <c r="AR222" s="369" t="str">
        <f ca="1">IF($B222&lt;&gt;"PRC_RESID","",IF(AR$7=2005+OFFSET(COM_N_2012!$B$60,$AW222,SUMIF($B$10:$B$16,"NCAP_TLIFE",$AX$10:$AX$16)),0,""))</f>
        <v/>
      </c>
      <c r="AS222" s="369" t="str">
        <f ca="1">IF($B222&lt;&gt;"PRC_RESID","",IF(AS$7=2005+OFFSET(COM_N_2012!$B$60,$AW222,SUMIF($B$10:$B$16,"NCAP_TLIFE",$AX$10:$AX$16)),0,""))</f>
        <v/>
      </c>
      <c r="AT222" s="369" t="str">
        <f ca="1">IF($B222&lt;&gt;"PRC_RESID","",IF(AT$7=2005+OFFSET(COM_N_2012!$B$60,$AW222,SUMIF($B$10:$B$16,"NCAP_TLIFE",$AX$10:$AX$16)),0,""))</f>
        <v/>
      </c>
      <c r="AU222" s="369" t="str">
        <f ca="1">IF($B222&lt;&gt;"PRC_RESID","",IF(AU$7=2005+OFFSET(COM_N_2012!$B$60,$AW222,SUMIF($B$10:$B$16,"NCAP_TLIFE",$AX$10:$AX$16)),0,""))</f>
        <v/>
      </c>
      <c r="AV222" s="304">
        <f>IF(AW221=COM_N_2012!$AK$121,AV221+1,AV221)</f>
        <v>4</v>
      </c>
      <c r="AW222" s="304">
        <f t="shared" si="29"/>
        <v>22</v>
      </c>
    </row>
    <row r="223" spans="1:49">
      <c r="A223" s="304" t="str">
        <f ca="1">IF(LEFT(OFFSET(COM_N_2012!$A$60,AW223,0),2)="\I","*","")</f>
        <v/>
      </c>
      <c r="B223" s="369" t="str">
        <f t="shared" ca="1" si="28"/>
        <v>NCAP_COST</v>
      </c>
      <c r="C223" s="369" t="str">
        <f ca="1">IF($A223="*","",OFFSET(COM_N_2012!$B$60,AW223,0))</f>
        <v>CNLELCHAL-E</v>
      </c>
      <c r="D223" s="369" t="str">
        <f t="shared" ca="1" si="30"/>
        <v>-</v>
      </c>
      <c r="E223" s="369" t="str">
        <f t="shared" ca="1" si="30"/>
        <v>-</v>
      </c>
      <c r="F223" s="369" t="str">
        <f t="shared" ca="1" si="30"/>
        <v>-</v>
      </c>
      <c r="G223" s="369" t="str">
        <f t="shared" ca="1" si="30"/>
        <v>-</v>
      </c>
      <c r="H223" s="369" t="str">
        <f t="shared" ca="1" si="30"/>
        <v>-</v>
      </c>
      <c r="I223" s="370">
        <f t="shared" ca="1" si="30"/>
        <v>0</v>
      </c>
      <c r="J223" s="391">
        <f ca="1">IF($A223="*","",OFFSET(COM_N_2012!$B$60,AW223,SUMIF($B$10:$B$16,B223,$AX$10:$AX$16)))</f>
        <v>0.75829581287827852</v>
      </c>
      <c r="K223" s="369" t="str">
        <f ca="1">IF($B223&lt;&gt;"PRC_RESID","",IF(K$7=2005+OFFSET(COM_N_2012!$B$60,$AW223,SUMIF($B$10:$B$16,"NCAP_TLIFE",$AX$10:$AX$16)),0,""))</f>
        <v/>
      </c>
      <c r="L223" s="369" t="str">
        <f ca="1">IF($B223&lt;&gt;"PRC_RESID","",IF(L$7=2005+OFFSET(COM_N_2012!$B$60,$AW223,SUMIF($B$10:$B$16,"NCAP_TLIFE",$AX$10:$AX$16)),0,""))</f>
        <v/>
      </c>
      <c r="M223" s="369" t="str">
        <f ca="1">IF($B223&lt;&gt;"PRC_RESID","",IF(M$7=2005+OFFSET(COM_N_2012!$B$60,$AW223,SUMIF($B$10:$B$16,"NCAP_TLIFE",$AX$10:$AX$16)),0,""))</f>
        <v/>
      </c>
      <c r="N223" s="369" t="str">
        <f ca="1">IF($B223&lt;&gt;"PRC_RESID","",IF(N$7=2005+OFFSET(COM_N_2012!$B$60,$AW223,SUMIF($B$10:$B$16,"NCAP_TLIFE",$AX$10:$AX$16)),0,""))</f>
        <v/>
      </c>
      <c r="O223" s="369" t="str">
        <f ca="1">IF($B223&lt;&gt;"PRC_RESID","",IF(O$7=2005+OFFSET(COM_N_2012!$B$60,$AW223,SUMIF($B$10:$B$16,"NCAP_TLIFE",$AX$10:$AX$16)),0,""))</f>
        <v/>
      </c>
      <c r="P223" s="369" t="str">
        <f ca="1">IF($B223&lt;&gt;"PRC_RESID","",IF(P$7=2005+OFFSET(COM_N_2012!$B$60,$AW223,SUMIF($B$10:$B$16,"NCAP_TLIFE",$AX$10:$AX$16)),0,""))</f>
        <v/>
      </c>
      <c r="Q223" s="369" t="str">
        <f ca="1">IF($B223&lt;&gt;"PRC_RESID","",IF(Q$7=2005+OFFSET(COM_N_2012!$B$60,$AW223,SUMIF($B$10:$B$16,"NCAP_TLIFE",$AX$10:$AX$16)),0,""))</f>
        <v/>
      </c>
      <c r="R223" s="369" t="str">
        <f ca="1">IF($B223&lt;&gt;"PRC_RESID","",IF(R$7=2005+OFFSET(COM_N_2012!$B$60,$AW223,SUMIF($B$10:$B$16,"NCAP_TLIFE",$AX$10:$AX$16)),0,""))</f>
        <v/>
      </c>
      <c r="S223" s="369" t="str">
        <f ca="1">IF($B223&lt;&gt;"PRC_RESID","",IF(S$7=2005+OFFSET(COM_N_2012!$B$60,$AW223,SUMIF($B$10:$B$16,"NCAP_TLIFE",$AX$10:$AX$16)),0,""))</f>
        <v/>
      </c>
      <c r="T223" s="369" t="str">
        <f ca="1">IF($B223&lt;&gt;"PRC_RESID","",IF(T$7=2005+OFFSET(COM_N_2012!$B$60,$AW223,SUMIF($B$10:$B$16,"NCAP_TLIFE",$AX$10:$AX$16)),0,""))</f>
        <v/>
      </c>
      <c r="U223" s="369" t="str">
        <f ca="1">IF($B223&lt;&gt;"PRC_RESID","",IF(U$7=2005+OFFSET(COM_N_2012!$B$60,$AW223,SUMIF($B$10:$B$16,"NCAP_TLIFE",$AX$10:$AX$16)),0,""))</f>
        <v/>
      </c>
      <c r="V223" s="369" t="str">
        <f ca="1">IF($B223&lt;&gt;"PRC_RESID","",IF(V$7=2005+OFFSET(COM_N_2012!$B$60,$AW223,SUMIF($B$10:$B$16,"NCAP_TLIFE",$AX$10:$AX$16)),0,""))</f>
        <v/>
      </c>
      <c r="W223" s="369" t="str">
        <f ca="1">IF($B223&lt;&gt;"PRC_RESID","",IF(W$7=2005+OFFSET(COM_N_2012!$B$60,$AW223,SUMIF($B$10:$B$16,"NCAP_TLIFE",$AX$10:$AX$16)),0,""))</f>
        <v/>
      </c>
      <c r="X223" s="369" t="str">
        <f ca="1">IF($B223&lt;&gt;"PRC_RESID","",IF(X$7=2005+OFFSET(COM_N_2012!$B$60,$AW223,SUMIF($B$10:$B$16,"NCAP_TLIFE",$AX$10:$AX$16)),0,""))</f>
        <v/>
      </c>
      <c r="Y223" s="369" t="str">
        <f ca="1">IF($B223&lt;&gt;"PRC_RESID","",IF(Y$7=2005+OFFSET(COM_N_2012!$B$60,$AW223,SUMIF($B$10:$B$16,"NCAP_TLIFE",$AX$10:$AX$16)),0,""))</f>
        <v/>
      </c>
      <c r="Z223" s="369" t="str">
        <f ca="1">IF($B223&lt;&gt;"PRC_RESID","",IF(Z$7=2005+OFFSET(COM_N_2012!$B$60,$AW223,SUMIF($B$10:$B$16,"NCAP_TLIFE",$AX$10:$AX$16)),0,""))</f>
        <v/>
      </c>
      <c r="AA223" s="369" t="str">
        <f ca="1">IF($B223&lt;&gt;"PRC_RESID","",IF(AA$7=2005+OFFSET(COM_N_2012!$B$60,$AW223,SUMIF($B$10:$B$16,"NCAP_TLIFE",$AX$10:$AX$16)),0,""))</f>
        <v/>
      </c>
      <c r="AB223" s="369" t="str">
        <f ca="1">IF($B223&lt;&gt;"PRC_RESID","",IF(AB$7=2005+OFFSET(COM_N_2012!$B$60,$AW223,SUMIF($B$10:$B$16,"NCAP_TLIFE",$AX$10:$AX$16)),0,""))</f>
        <v/>
      </c>
      <c r="AC223" s="369" t="str">
        <f ca="1">IF($B223&lt;&gt;"PRC_RESID","",IF(AC$7=2005+OFFSET(COM_N_2012!$B$60,$AW223,SUMIF($B$10:$B$16,"NCAP_TLIFE",$AX$10:$AX$16)),0,""))</f>
        <v/>
      </c>
      <c r="AD223" s="369" t="str">
        <f ca="1">IF($B223&lt;&gt;"PRC_RESID","",IF(AD$7=2005+OFFSET(COM_N_2012!$B$60,$AW223,SUMIF($B$10:$B$16,"NCAP_TLIFE",$AX$10:$AX$16)),0,""))</f>
        <v/>
      </c>
      <c r="AE223" s="369" t="str">
        <f ca="1">IF($B223&lt;&gt;"PRC_RESID","",IF(AE$7=2005+OFFSET(COM_N_2012!$B$60,$AW223,SUMIF($B$10:$B$16,"NCAP_TLIFE",$AX$10:$AX$16)),0,""))</f>
        <v/>
      </c>
      <c r="AF223" s="369" t="str">
        <f ca="1">IF($B223&lt;&gt;"PRC_RESID","",IF(AF$7=2005+OFFSET(COM_N_2012!$B$60,$AW223,SUMIF($B$10:$B$16,"NCAP_TLIFE",$AX$10:$AX$16)),0,""))</f>
        <v/>
      </c>
      <c r="AG223" s="369" t="str">
        <f ca="1">IF($B223&lt;&gt;"PRC_RESID","",IF(AG$7=2005+OFFSET(COM_N_2012!$B$60,$AW223,SUMIF($B$10:$B$16,"NCAP_TLIFE",$AX$10:$AX$16)),0,""))</f>
        <v/>
      </c>
      <c r="AH223" s="369" t="str">
        <f ca="1">IF($B223&lt;&gt;"PRC_RESID","",IF(AH$7=2005+OFFSET(COM_N_2012!$B$60,$AW223,SUMIF($B$10:$B$16,"NCAP_TLIFE",$AX$10:$AX$16)),0,""))</f>
        <v/>
      </c>
      <c r="AI223" s="369" t="str">
        <f ca="1">IF($B223&lt;&gt;"PRC_RESID","",IF(AI$7=2005+OFFSET(COM_N_2012!$B$60,$AW223,SUMIF($B$10:$B$16,"NCAP_TLIFE",$AX$10:$AX$16)),0,""))</f>
        <v/>
      </c>
      <c r="AJ223" s="369" t="str">
        <f ca="1">IF($B223&lt;&gt;"PRC_RESID","",IF(AJ$7=2005+OFFSET(COM_N_2012!$B$60,$AW223,SUMIF($B$10:$B$16,"NCAP_TLIFE",$AX$10:$AX$16)),0,""))</f>
        <v/>
      </c>
      <c r="AK223" s="369" t="str">
        <f ca="1">IF($B223&lt;&gt;"PRC_RESID","",IF(AK$7=2005+OFFSET(COM_N_2012!$B$60,$AW223,SUMIF($B$10:$B$16,"NCAP_TLIFE",$AX$10:$AX$16)),0,""))</f>
        <v/>
      </c>
      <c r="AL223" s="369" t="str">
        <f ca="1">IF($B223&lt;&gt;"PRC_RESID","",IF(AL$7=2005+OFFSET(COM_N_2012!$B$60,$AW223,SUMIF($B$10:$B$16,"NCAP_TLIFE",$AX$10:$AX$16)),0,""))</f>
        <v/>
      </c>
      <c r="AM223" s="369" t="str">
        <f ca="1">IF($B223&lt;&gt;"PRC_RESID","",IF(AM$7=2005+OFFSET(COM_N_2012!$B$60,$AW223,SUMIF($B$10:$B$16,"NCAP_TLIFE",$AX$10:$AX$16)),0,""))</f>
        <v/>
      </c>
      <c r="AN223" s="369" t="str">
        <f ca="1">IF($B223&lt;&gt;"PRC_RESID","",IF(AN$7=2005+OFFSET(COM_N_2012!$B$60,$AW223,SUMIF($B$10:$B$16,"NCAP_TLIFE",$AX$10:$AX$16)),0,""))</f>
        <v/>
      </c>
      <c r="AO223" s="369" t="str">
        <f ca="1">IF($B223&lt;&gt;"PRC_RESID","",IF(AO$7=2005+OFFSET(COM_N_2012!$B$60,$AW223,SUMIF($B$10:$B$16,"NCAP_TLIFE",$AX$10:$AX$16)),0,""))</f>
        <v/>
      </c>
      <c r="AP223" s="369" t="str">
        <f ca="1">IF($B223&lt;&gt;"PRC_RESID","",IF(AP$7=2005+OFFSET(COM_N_2012!$B$60,$AW223,SUMIF($B$10:$B$16,"NCAP_TLIFE",$AX$10:$AX$16)),0,""))</f>
        <v/>
      </c>
      <c r="AQ223" s="369" t="str">
        <f ca="1">IF($B223&lt;&gt;"PRC_RESID","",IF(AQ$7=2005+OFFSET(COM_N_2012!$B$60,$AW223,SUMIF($B$10:$B$16,"NCAP_TLIFE",$AX$10:$AX$16)),0,""))</f>
        <v/>
      </c>
      <c r="AR223" s="369" t="str">
        <f ca="1">IF($B223&lt;&gt;"PRC_RESID","",IF(AR$7=2005+OFFSET(COM_N_2012!$B$60,$AW223,SUMIF($B$10:$B$16,"NCAP_TLIFE",$AX$10:$AX$16)),0,""))</f>
        <v/>
      </c>
      <c r="AS223" s="369" t="str">
        <f ca="1">IF($B223&lt;&gt;"PRC_RESID","",IF(AS$7=2005+OFFSET(COM_N_2012!$B$60,$AW223,SUMIF($B$10:$B$16,"NCAP_TLIFE",$AX$10:$AX$16)),0,""))</f>
        <v/>
      </c>
      <c r="AT223" s="369" t="str">
        <f ca="1">IF($B223&lt;&gt;"PRC_RESID","",IF(AT$7=2005+OFFSET(COM_N_2012!$B$60,$AW223,SUMIF($B$10:$B$16,"NCAP_TLIFE",$AX$10:$AX$16)),0,""))</f>
        <v/>
      </c>
      <c r="AU223" s="369" t="str">
        <f ca="1">IF($B223&lt;&gt;"PRC_RESID","",IF(AU$7=2005+OFFSET(COM_N_2012!$B$60,$AW223,SUMIF($B$10:$B$16,"NCAP_TLIFE",$AX$10:$AX$16)),0,""))</f>
        <v/>
      </c>
      <c r="AV223" s="304">
        <f>IF(AW222=COM_N_2012!$AK$121,AV222+1,AV222)</f>
        <v>4</v>
      </c>
      <c r="AW223" s="304">
        <f t="shared" si="29"/>
        <v>23</v>
      </c>
    </row>
    <row r="224" spans="1:49">
      <c r="A224" s="304" t="str">
        <f ca="1">IF(LEFT(OFFSET(COM_N_2012!$A$60,AW224,0),2)="\I","*","")</f>
        <v/>
      </c>
      <c r="B224" s="369" t="str">
        <f t="shared" ca="1" si="28"/>
        <v>NCAP_COST</v>
      </c>
      <c r="C224" s="369" t="str">
        <f ca="1">IF($A224="*","",OFFSET(COM_N_2012!$B$60,AW224,0))</f>
        <v>CNLELCHID-E</v>
      </c>
      <c r="D224" s="369" t="str">
        <f t="shared" ca="1" si="30"/>
        <v>-</v>
      </c>
      <c r="E224" s="369" t="str">
        <f t="shared" ca="1" si="30"/>
        <v>-</v>
      </c>
      <c r="F224" s="369" t="str">
        <f t="shared" ca="1" si="30"/>
        <v>-</v>
      </c>
      <c r="G224" s="369" t="str">
        <f t="shared" ca="1" si="30"/>
        <v>-</v>
      </c>
      <c r="H224" s="369" t="str">
        <f t="shared" ca="1" si="30"/>
        <v>-</v>
      </c>
      <c r="I224" s="370">
        <f t="shared" ca="1" si="30"/>
        <v>0</v>
      </c>
      <c r="J224" s="391">
        <f ca="1">IF($A224="*","",OFFSET(COM_N_2012!$B$60,AW224,SUMIF($B$10:$B$16,B224,$AX$10:$AX$16)))</f>
        <v>0.30666374785518619</v>
      </c>
      <c r="K224" s="369" t="str">
        <f ca="1">IF($B224&lt;&gt;"PRC_RESID","",IF(K$7=2005+OFFSET(COM_N_2012!$B$60,$AW224,SUMIF($B$10:$B$16,"NCAP_TLIFE",$AX$10:$AX$16)),0,""))</f>
        <v/>
      </c>
      <c r="L224" s="369" t="str">
        <f ca="1">IF($B224&lt;&gt;"PRC_RESID","",IF(L$7=2005+OFFSET(COM_N_2012!$B$60,$AW224,SUMIF($B$10:$B$16,"NCAP_TLIFE",$AX$10:$AX$16)),0,""))</f>
        <v/>
      </c>
      <c r="M224" s="369" t="str">
        <f ca="1">IF($B224&lt;&gt;"PRC_RESID","",IF(M$7=2005+OFFSET(COM_N_2012!$B$60,$AW224,SUMIF($B$10:$B$16,"NCAP_TLIFE",$AX$10:$AX$16)),0,""))</f>
        <v/>
      </c>
      <c r="N224" s="369" t="str">
        <f ca="1">IF($B224&lt;&gt;"PRC_RESID","",IF(N$7=2005+OFFSET(COM_N_2012!$B$60,$AW224,SUMIF($B$10:$B$16,"NCAP_TLIFE",$AX$10:$AX$16)),0,""))</f>
        <v/>
      </c>
      <c r="O224" s="369" t="str">
        <f ca="1">IF($B224&lt;&gt;"PRC_RESID","",IF(O$7=2005+OFFSET(COM_N_2012!$B$60,$AW224,SUMIF($B$10:$B$16,"NCAP_TLIFE",$AX$10:$AX$16)),0,""))</f>
        <v/>
      </c>
      <c r="P224" s="369" t="str">
        <f ca="1">IF($B224&lt;&gt;"PRC_RESID","",IF(P$7=2005+OFFSET(COM_N_2012!$B$60,$AW224,SUMIF($B$10:$B$16,"NCAP_TLIFE",$AX$10:$AX$16)),0,""))</f>
        <v/>
      </c>
      <c r="Q224" s="369" t="str">
        <f ca="1">IF($B224&lt;&gt;"PRC_RESID","",IF(Q$7=2005+OFFSET(COM_N_2012!$B$60,$AW224,SUMIF($B$10:$B$16,"NCAP_TLIFE",$AX$10:$AX$16)),0,""))</f>
        <v/>
      </c>
      <c r="R224" s="369" t="str">
        <f ca="1">IF($B224&lt;&gt;"PRC_RESID","",IF(R$7=2005+OFFSET(COM_N_2012!$B$60,$AW224,SUMIF($B$10:$B$16,"NCAP_TLIFE",$AX$10:$AX$16)),0,""))</f>
        <v/>
      </c>
      <c r="S224" s="369" t="str">
        <f ca="1">IF($B224&lt;&gt;"PRC_RESID","",IF(S$7=2005+OFFSET(COM_N_2012!$B$60,$AW224,SUMIF($B$10:$B$16,"NCAP_TLIFE",$AX$10:$AX$16)),0,""))</f>
        <v/>
      </c>
      <c r="T224" s="369" t="str">
        <f ca="1">IF($B224&lt;&gt;"PRC_RESID","",IF(T$7=2005+OFFSET(COM_N_2012!$B$60,$AW224,SUMIF($B$10:$B$16,"NCAP_TLIFE",$AX$10:$AX$16)),0,""))</f>
        <v/>
      </c>
      <c r="U224" s="369" t="str">
        <f ca="1">IF($B224&lt;&gt;"PRC_RESID","",IF(U$7=2005+OFFSET(COM_N_2012!$B$60,$AW224,SUMIF($B$10:$B$16,"NCAP_TLIFE",$AX$10:$AX$16)),0,""))</f>
        <v/>
      </c>
      <c r="V224" s="369" t="str">
        <f ca="1">IF($B224&lt;&gt;"PRC_RESID","",IF(V$7=2005+OFFSET(COM_N_2012!$B$60,$AW224,SUMIF($B$10:$B$16,"NCAP_TLIFE",$AX$10:$AX$16)),0,""))</f>
        <v/>
      </c>
      <c r="W224" s="369" t="str">
        <f ca="1">IF($B224&lt;&gt;"PRC_RESID","",IF(W$7=2005+OFFSET(COM_N_2012!$B$60,$AW224,SUMIF($B$10:$B$16,"NCAP_TLIFE",$AX$10:$AX$16)),0,""))</f>
        <v/>
      </c>
      <c r="X224" s="369" t="str">
        <f ca="1">IF($B224&lt;&gt;"PRC_RESID","",IF(X$7=2005+OFFSET(COM_N_2012!$B$60,$AW224,SUMIF($B$10:$B$16,"NCAP_TLIFE",$AX$10:$AX$16)),0,""))</f>
        <v/>
      </c>
      <c r="Y224" s="369" t="str">
        <f ca="1">IF($B224&lt;&gt;"PRC_RESID","",IF(Y$7=2005+OFFSET(COM_N_2012!$B$60,$AW224,SUMIF($B$10:$B$16,"NCAP_TLIFE",$AX$10:$AX$16)),0,""))</f>
        <v/>
      </c>
      <c r="Z224" s="369" t="str">
        <f ca="1">IF($B224&lt;&gt;"PRC_RESID","",IF(Z$7=2005+OFFSET(COM_N_2012!$B$60,$AW224,SUMIF($B$10:$B$16,"NCAP_TLIFE",$AX$10:$AX$16)),0,""))</f>
        <v/>
      </c>
      <c r="AA224" s="369" t="str">
        <f ca="1">IF($B224&lt;&gt;"PRC_RESID","",IF(AA$7=2005+OFFSET(COM_N_2012!$B$60,$AW224,SUMIF($B$10:$B$16,"NCAP_TLIFE",$AX$10:$AX$16)),0,""))</f>
        <v/>
      </c>
      <c r="AB224" s="369" t="str">
        <f ca="1">IF($B224&lt;&gt;"PRC_RESID","",IF(AB$7=2005+OFFSET(COM_N_2012!$B$60,$AW224,SUMIF($B$10:$B$16,"NCAP_TLIFE",$AX$10:$AX$16)),0,""))</f>
        <v/>
      </c>
      <c r="AC224" s="369" t="str">
        <f ca="1">IF($B224&lt;&gt;"PRC_RESID","",IF(AC$7=2005+OFFSET(COM_N_2012!$B$60,$AW224,SUMIF($B$10:$B$16,"NCAP_TLIFE",$AX$10:$AX$16)),0,""))</f>
        <v/>
      </c>
      <c r="AD224" s="369" t="str">
        <f ca="1">IF($B224&lt;&gt;"PRC_RESID","",IF(AD$7=2005+OFFSET(COM_N_2012!$B$60,$AW224,SUMIF($B$10:$B$16,"NCAP_TLIFE",$AX$10:$AX$16)),0,""))</f>
        <v/>
      </c>
      <c r="AE224" s="369" t="str">
        <f ca="1">IF($B224&lt;&gt;"PRC_RESID","",IF(AE$7=2005+OFFSET(COM_N_2012!$B$60,$AW224,SUMIF($B$10:$B$16,"NCAP_TLIFE",$AX$10:$AX$16)),0,""))</f>
        <v/>
      </c>
      <c r="AF224" s="369" t="str">
        <f ca="1">IF($B224&lt;&gt;"PRC_RESID","",IF(AF$7=2005+OFFSET(COM_N_2012!$B$60,$AW224,SUMIF($B$10:$B$16,"NCAP_TLIFE",$AX$10:$AX$16)),0,""))</f>
        <v/>
      </c>
      <c r="AG224" s="369" t="str">
        <f ca="1">IF($B224&lt;&gt;"PRC_RESID","",IF(AG$7=2005+OFFSET(COM_N_2012!$B$60,$AW224,SUMIF($B$10:$B$16,"NCAP_TLIFE",$AX$10:$AX$16)),0,""))</f>
        <v/>
      </c>
      <c r="AH224" s="369" t="str">
        <f ca="1">IF($B224&lt;&gt;"PRC_RESID","",IF(AH$7=2005+OFFSET(COM_N_2012!$B$60,$AW224,SUMIF($B$10:$B$16,"NCAP_TLIFE",$AX$10:$AX$16)),0,""))</f>
        <v/>
      </c>
      <c r="AI224" s="369" t="str">
        <f ca="1">IF($B224&lt;&gt;"PRC_RESID","",IF(AI$7=2005+OFFSET(COM_N_2012!$B$60,$AW224,SUMIF($B$10:$B$16,"NCAP_TLIFE",$AX$10:$AX$16)),0,""))</f>
        <v/>
      </c>
      <c r="AJ224" s="369" t="str">
        <f ca="1">IF($B224&lt;&gt;"PRC_RESID","",IF(AJ$7=2005+OFFSET(COM_N_2012!$B$60,$AW224,SUMIF($B$10:$B$16,"NCAP_TLIFE",$AX$10:$AX$16)),0,""))</f>
        <v/>
      </c>
      <c r="AK224" s="369" t="str">
        <f ca="1">IF($B224&lt;&gt;"PRC_RESID","",IF(AK$7=2005+OFFSET(COM_N_2012!$B$60,$AW224,SUMIF($B$10:$B$16,"NCAP_TLIFE",$AX$10:$AX$16)),0,""))</f>
        <v/>
      </c>
      <c r="AL224" s="369" t="str">
        <f ca="1">IF($B224&lt;&gt;"PRC_RESID","",IF(AL$7=2005+OFFSET(COM_N_2012!$B$60,$AW224,SUMIF($B$10:$B$16,"NCAP_TLIFE",$AX$10:$AX$16)),0,""))</f>
        <v/>
      </c>
      <c r="AM224" s="369" t="str">
        <f ca="1">IF($B224&lt;&gt;"PRC_RESID","",IF(AM$7=2005+OFFSET(COM_N_2012!$B$60,$AW224,SUMIF($B$10:$B$16,"NCAP_TLIFE",$AX$10:$AX$16)),0,""))</f>
        <v/>
      </c>
      <c r="AN224" s="369" t="str">
        <f ca="1">IF($B224&lt;&gt;"PRC_RESID","",IF(AN$7=2005+OFFSET(COM_N_2012!$B$60,$AW224,SUMIF($B$10:$B$16,"NCAP_TLIFE",$AX$10:$AX$16)),0,""))</f>
        <v/>
      </c>
      <c r="AO224" s="369" t="str">
        <f ca="1">IF($B224&lt;&gt;"PRC_RESID","",IF(AO$7=2005+OFFSET(COM_N_2012!$B$60,$AW224,SUMIF($B$10:$B$16,"NCAP_TLIFE",$AX$10:$AX$16)),0,""))</f>
        <v/>
      </c>
      <c r="AP224" s="369" t="str">
        <f ca="1">IF($B224&lt;&gt;"PRC_RESID","",IF(AP$7=2005+OFFSET(COM_N_2012!$B$60,$AW224,SUMIF($B$10:$B$16,"NCAP_TLIFE",$AX$10:$AX$16)),0,""))</f>
        <v/>
      </c>
      <c r="AQ224" s="369" t="str">
        <f ca="1">IF($B224&lt;&gt;"PRC_RESID","",IF(AQ$7=2005+OFFSET(COM_N_2012!$B$60,$AW224,SUMIF($B$10:$B$16,"NCAP_TLIFE",$AX$10:$AX$16)),0,""))</f>
        <v/>
      </c>
      <c r="AR224" s="369" t="str">
        <f ca="1">IF($B224&lt;&gt;"PRC_RESID","",IF(AR$7=2005+OFFSET(COM_N_2012!$B$60,$AW224,SUMIF($B$10:$B$16,"NCAP_TLIFE",$AX$10:$AX$16)),0,""))</f>
        <v/>
      </c>
      <c r="AS224" s="369" t="str">
        <f ca="1">IF($B224&lt;&gt;"PRC_RESID","",IF(AS$7=2005+OFFSET(COM_N_2012!$B$60,$AW224,SUMIF($B$10:$B$16,"NCAP_TLIFE",$AX$10:$AX$16)),0,""))</f>
        <v/>
      </c>
      <c r="AT224" s="369" t="str">
        <f ca="1">IF($B224&lt;&gt;"PRC_RESID","",IF(AT$7=2005+OFFSET(COM_N_2012!$B$60,$AW224,SUMIF($B$10:$B$16,"NCAP_TLIFE",$AX$10:$AX$16)),0,""))</f>
        <v/>
      </c>
      <c r="AU224" s="369" t="str">
        <f ca="1">IF($B224&lt;&gt;"PRC_RESID","",IF(AU$7=2005+OFFSET(COM_N_2012!$B$60,$AW224,SUMIF($B$10:$B$16,"NCAP_TLIFE",$AX$10:$AX$16)),0,""))</f>
        <v/>
      </c>
      <c r="AV224" s="304">
        <f>IF(AW223=COM_N_2012!$AK$121,AV223+1,AV223)</f>
        <v>4</v>
      </c>
      <c r="AW224" s="304">
        <f t="shared" si="29"/>
        <v>24</v>
      </c>
    </row>
    <row r="225" spans="1:49">
      <c r="A225" s="304" t="str">
        <f ca="1">IF(LEFT(OFFSET(COM_N_2012!$A$60,AW225,0),2)="\I","*","")</f>
        <v/>
      </c>
      <c r="B225" s="369" t="str">
        <f t="shared" ca="1" si="28"/>
        <v>NCAP_COST</v>
      </c>
      <c r="C225" s="369" t="str">
        <f ca="1">IF($A225="*","",OFFSET(COM_N_2012!$B$60,AW225,0))</f>
        <v>CNLELCINC-E</v>
      </c>
      <c r="D225" s="369" t="str">
        <f t="shared" ca="1" si="30"/>
        <v>-</v>
      </c>
      <c r="E225" s="369" t="str">
        <f t="shared" ca="1" si="30"/>
        <v>-</v>
      </c>
      <c r="F225" s="369" t="str">
        <f t="shared" ca="1" si="30"/>
        <v>-</v>
      </c>
      <c r="G225" s="369" t="str">
        <f t="shared" ca="1" si="30"/>
        <v>-</v>
      </c>
      <c r="H225" s="369" t="str">
        <f t="shared" ca="1" si="30"/>
        <v>-</v>
      </c>
      <c r="I225" s="370">
        <f t="shared" ca="1" si="30"/>
        <v>0</v>
      </c>
      <c r="J225" s="391">
        <f ca="1">IF($A225="*","",OFFSET(COM_N_2012!$B$60,AW225,SUMIF($B$10:$B$16,B225,$AX$10:$AX$16)))</f>
        <v>0.26729589482474081</v>
      </c>
      <c r="K225" s="369" t="str">
        <f ca="1">IF($B225&lt;&gt;"PRC_RESID","",IF(K$7=2005+OFFSET(COM_N_2012!$B$60,$AW225,SUMIF($B$10:$B$16,"NCAP_TLIFE",$AX$10:$AX$16)),0,""))</f>
        <v/>
      </c>
      <c r="L225" s="369" t="str">
        <f ca="1">IF($B225&lt;&gt;"PRC_RESID","",IF(L$7=2005+OFFSET(COM_N_2012!$B$60,$AW225,SUMIF($B$10:$B$16,"NCAP_TLIFE",$AX$10:$AX$16)),0,""))</f>
        <v/>
      </c>
      <c r="M225" s="369" t="str">
        <f ca="1">IF($B225&lt;&gt;"PRC_RESID","",IF(M$7=2005+OFFSET(COM_N_2012!$B$60,$AW225,SUMIF($B$10:$B$16,"NCAP_TLIFE",$AX$10:$AX$16)),0,""))</f>
        <v/>
      </c>
      <c r="N225" s="369" t="str">
        <f ca="1">IF($B225&lt;&gt;"PRC_RESID","",IF(N$7=2005+OFFSET(COM_N_2012!$B$60,$AW225,SUMIF($B$10:$B$16,"NCAP_TLIFE",$AX$10:$AX$16)),0,""))</f>
        <v/>
      </c>
      <c r="O225" s="369" t="str">
        <f ca="1">IF($B225&lt;&gt;"PRC_RESID","",IF(O$7=2005+OFFSET(COM_N_2012!$B$60,$AW225,SUMIF($B$10:$B$16,"NCAP_TLIFE",$AX$10:$AX$16)),0,""))</f>
        <v/>
      </c>
      <c r="P225" s="369" t="str">
        <f ca="1">IF($B225&lt;&gt;"PRC_RESID","",IF(P$7=2005+OFFSET(COM_N_2012!$B$60,$AW225,SUMIF($B$10:$B$16,"NCAP_TLIFE",$AX$10:$AX$16)),0,""))</f>
        <v/>
      </c>
      <c r="Q225" s="369" t="str">
        <f ca="1">IF($B225&lt;&gt;"PRC_RESID","",IF(Q$7=2005+OFFSET(COM_N_2012!$B$60,$AW225,SUMIF($B$10:$B$16,"NCAP_TLIFE",$AX$10:$AX$16)),0,""))</f>
        <v/>
      </c>
      <c r="R225" s="369" t="str">
        <f ca="1">IF($B225&lt;&gt;"PRC_RESID","",IF(R$7=2005+OFFSET(COM_N_2012!$B$60,$AW225,SUMIF($B$10:$B$16,"NCAP_TLIFE",$AX$10:$AX$16)),0,""))</f>
        <v/>
      </c>
      <c r="S225" s="369" t="str">
        <f ca="1">IF($B225&lt;&gt;"PRC_RESID","",IF(S$7=2005+OFFSET(COM_N_2012!$B$60,$AW225,SUMIF($B$10:$B$16,"NCAP_TLIFE",$AX$10:$AX$16)),0,""))</f>
        <v/>
      </c>
      <c r="T225" s="369" t="str">
        <f ca="1">IF($B225&lt;&gt;"PRC_RESID","",IF(T$7=2005+OFFSET(COM_N_2012!$B$60,$AW225,SUMIF($B$10:$B$16,"NCAP_TLIFE",$AX$10:$AX$16)),0,""))</f>
        <v/>
      </c>
      <c r="U225" s="369" t="str">
        <f ca="1">IF($B225&lt;&gt;"PRC_RESID","",IF(U$7=2005+OFFSET(COM_N_2012!$B$60,$AW225,SUMIF($B$10:$B$16,"NCAP_TLIFE",$AX$10:$AX$16)),0,""))</f>
        <v/>
      </c>
      <c r="V225" s="369" t="str">
        <f ca="1">IF($B225&lt;&gt;"PRC_RESID","",IF(V$7=2005+OFFSET(COM_N_2012!$B$60,$AW225,SUMIF($B$10:$B$16,"NCAP_TLIFE",$AX$10:$AX$16)),0,""))</f>
        <v/>
      </c>
      <c r="W225" s="369" t="str">
        <f ca="1">IF($B225&lt;&gt;"PRC_RESID","",IF(W$7=2005+OFFSET(COM_N_2012!$B$60,$AW225,SUMIF($B$10:$B$16,"NCAP_TLIFE",$AX$10:$AX$16)),0,""))</f>
        <v/>
      </c>
      <c r="X225" s="369" t="str">
        <f ca="1">IF($B225&lt;&gt;"PRC_RESID","",IF(X$7=2005+OFFSET(COM_N_2012!$B$60,$AW225,SUMIF($B$10:$B$16,"NCAP_TLIFE",$AX$10:$AX$16)),0,""))</f>
        <v/>
      </c>
      <c r="Y225" s="369" t="str">
        <f ca="1">IF($B225&lt;&gt;"PRC_RESID","",IF(Y$7=2005+OFFSET(COM_N_2012!$B$60,$AW225,SUMIF($B$10:$B$16,"NCAP_TLIFE",$AX$10:$AX$16)),0,""))</f>
        <v/>
      </c>
      <c r="Z225" s="369" t="str">
        <f ca="1">IF($B225&lt;&gt;"PRC_RESID","",IF(Z$7=2005+OFFSET(COM_N_2012!$B$60,$AW225,SUMIF($B$10:$B$16,"NCAP_TLIFE",$AX$10:$AX$16)),0,""))</f>
        <v/>
      </c>
      <c r="AA225" s="369" t="str">
        <f ca="1">IF($B225&lt;&gt;"PRC_RESID","",IF(AA$7=2005+OFFSET(COM_N_2012!$B$60,$AW225,SUMIF($B$10:$B$16,"NCAP_TLIFE",$AX$10:$AX$16)),0,""))</f>
        <v/>
      </c>
      <c r="AB225" s="369" t="str">
        <f ca="1">IF($B225&lt;&gt;"PRC_RESID","",IF(AB$7=2005+OFFSET(COM_N_2012!$B$60,$AW225,SUMIF($B$10:$B$16,"NCAP_TLIFE",$AX$10:$AX$16)),0,""))</f>
        <v/>
      </c>
      <c r="AC225" s="369" t="str">
        <f ca="1">IF($B225&lt;&gt;"PRC_RESID","",IF(AC$7=2005+OFFSET(COM_N_2012!$B$60,$AW225,SUMIF($B$10:$B$16,"NCAP_TLIFE",$AX$10:$AX$16)),0,""))</f>
        <v/>
      </c>
      <c r="AD225" s="369" t="str">
        <f ca="1">IF($B225&lt;&gt;"PRC_RESID","",IF(AD$7=2005+OFFSET(COM_N_2012!$B$60,$AW225,SUMIF($B$10:$B$16,"NCAP_TLIFE",$AX$10:$AX$16)),0,""))</f>
        <v/>
      </c>
      <c r="AE225" s="369" t="str">
        <f ca="1">IF($B225&lt;&gt;"PRC_RESID","",IF(AE$7=2005+OFFSET(COM_N_2012!$B$60,$AW225,SUMIF($B$10:$B$16,"NCAP_TLIFE",$AX$10:$AX$16)),0,""))</f>
        <v/>
      </c>
      <c r="AF225" s="369" t="str">
        <f ca="1">IF($B225&lt;&gt;"PRC_RESID","",IF(AF$7=2005+OFFSET(COM_N_2012!$B$60,$AW225,SUMIF($B$10:$B$16,"NCAP_TLIFE",$AX$10:$AX$16)),0,""))</f>
        <v/>
      </c>
      <c r="AG225" s="369" t="str">
        <f ca="1">IF($B225&lt;&gt;"PRC_RESID","",IF(AG$7=2005+OFFSET(COM_N_2012!$B$60,$AW225,SUMIF($B$10:$B$16,"NCAP_TLIFE",$AX$10:$AX$16)),0,""))</f>
        <v/>
      </c>
      <c r="AH225" s="369" t="str">
        <f ca="1">IF($B225&lt;&gt;"PRC_RESID","",IF(AH$7=2005+OFFSET(COM_N_2012!$B$60,$AW225,SUMIF($B$10:$B$16,"NCAP_TLIFE",$AX$10:$AX$16)),0,""))</f>
        <v/>
      </c>
      <c r="AI225" s="369" t="str">
        <f ca="1">IF($B225&lt;&gt;"PRC_RESID","",IF(AI$7=2005+OFFSET(COM_N_2012!$B$60,$AW225,SUMIF($B$10:$B$16,"NCAP_TLIFE",$AX$10:$AX$16)),0,""))</f>
        <v/>
      </c>
      <c r="AJ225" s="369" t="str">
        <f ca="1">IF($B225&lt;&gt;"PRC_RESID","",IF(AJ$7=2005+OFFSET(COM_N_2012!$B$60,$AW225,SUMIF($B$10:$B$16,"NCAP_TLIFE",$AX$10:$AX$16)),0,""))</f>
        <v/>
      </c>
      <c r="AK225" s="369" t="str">
        <f ca="1">IF($B225&lt;&gt;"PRC_RESID","",IF(AK$7=2005+OFFSET(COM_N_2012!$B$60,$AW225,SUMIF($B$10:$B$16,"NCAP_TLIFE",$AX$10:$AX$16)),0,""))</f>
        <v/>
      </c>
      <c r="AL225" s="369" t="str">
        <f ca="1">IF($B225&lt;&gt;"PRC_RESID","",IF(AL$7=2005+OFFSET(COM_N_2012!$B$60,$AW225,SUMIF($B$10:$B$16,"NCAP_TLIFE",$AX$10:$AX$16)),0,""))</f>
        <v/>
      </c>
      <c r="AM225" s="369" t="str">
        <f ca="1">IF($B225&lt;&gt;"PRC_RESID","",IF(AM$7=2005+OFFSET(COM_N_2012!$B$60,$AW225,SUMIF($B$10:$B$16,"NCAP_TLIFE",$AX$10:$AX$16)),0,""))</f>
        <v/>
      </c>
      <c r="AN225" s="369" t="str">
        <f ca="1">IF($B225&lt;&gt;"PRC_RESID","",IF(AN$7=2005+OFFSET(COM_N_2012!$B$60,$AW225,SUMIF($B$10:$B$16,"NCAP_TLIFE",$AX$10:$AX$16)),0,""))</f>
        <v/>
      </c>
      <c r="AO225" s="369" t="str">
        <f ca="1">IF($B225&lt;&gt;"PRC_RESID","",IF(AO$7=2005+OFFSET(COM_N_2012!$B$60,$AW225,SUMIF($B$10:$B$16,"NCAP_TLIFE",$AX$10:$AX$16)),0,""))</f>
        <v/>
      </c>
      <c r="AP225" s="369" t="str">
        <f ca="1">IF($B225&lt;&gt;"PRC_RESID","",IF(AP$7=2005+OFFSET(COM_N_2012!$B$60,$AW225,SUMIF($B$10:$B$16,"NCAP_TLIFE",$AX$10:$AX$16)),0,""))</f>
        <v/>
      </c>
      <c r="AQ225" s="369" t="str">
        <f ca="1">IF($B225&lt;&gt;"PRC_RESID","",IF(AQ$7=2005+OFFSET(COM_N_2012!$B$60,$AW225,SUMIF($B$10:$B$16,"NCAP_TLIFE",$AX$10:$AX$16)),0,""))</f>
        <v/>
      </c>
      <c r="AR225" s="369" t="str">
        <f ca="1">IF($B225&lt;&gt;"PRC_RESID","",IF(AR$7=2005+OFFSET(COM_N_2012!$B$60,$AW225,SUMIF($B$10:$B$16,"NCAP_TLIFE",$AX$10:$AX$16)),0,""))</f>
        <v/>
      </c>
      <c r="AS225" s="369" t="str">
        <f ca="1">IF($B225&lt;&gt;"PRC_RESID","",IF(AS$7=2005+OFFSET(COM_N_2012!$B$60,$AW225,SUMIF($B$10:$B$16,"NCAP_TLIFE",$AX$10:$AX$16)),0,""))</f>
        <v/>
      </c>
      <c r="AT225" s="369" t="str">
        <f ca="1">IF($B225&lt;&gt;"PRC_RESID","",IF(AT$7=2005+OFFSET(COM_N_2012!$B$60,$AW225,SUMIF($B$10:$B$16,"NCAP_TLIFE",$AX$10:$AX$16)),0,""))</f>
        <v/>
      </c>
      <c r="AU225" s="369" t="str">
        <f ca="1">IF($B225&lt;&gt;"PRC_RESID","",IF(AU$7=2005+OFFSET(COM_N_2012!$B$60,$AW225,SUMIF($B$10:$B$16,"NCAP_TLIFE",$AX$10:$AX$16)),0,""))</f>
        <v/>
      </c>
      <c r="AV225" s="304">
        <f>IF(AW224=COM_N_2012!$AK$121,AV224+1,AV224)</f>
        <v>4</v>
      </c>
      <c r="AW225" s="304">
        <f t="shared" si="29"/>
        <v>25</v>
      </c>
    </row>
    <row r="226" spans="1:49">
      <c r="A226" s="304" t="str">
        <f ca="1">IF(LEFT(OFFSET(COM_N_2012!$A$60,AW226,0),2)="\I","*","")</f>
        <v/>
      </c>
      <c r="B226" s="369" t="str">
        <f t="shared" ca="1" si="28"/>
        <v>NCAP_COST</v>
      </c>
      <c r="C226" s="369" t="str">
        <f ca="1">IF($A226="*","",OFFSET(COM_N_2012!$B$60,AW226,0))</f>
        <v>CNLELCLED-N</v>
      </c>
      <c r="D226" s="369" t="str">
        <f t="shared" ca="1" si="30"/>
        <v>-</v>
      </c>
      <c r="E226" s="369" t="str">
        <f t="shared" ca="1" si="30"/>
        <v>-</v>
      </c>
      <c r="F226" s="369" t="str">
        <f t="shared" ca="1" si="30"/>
        <v>-</v>
      </c>
      <c r="G226" s="369" t="str">
        <f t="shared" ca="1" si="30"/>
        <v>-</v>
      </c>
      <c r="H226" s="369" t="str">
        <f t="shared" ca="1" si="30"/>
        <v>-</v>
      </c>
      <c r="I226" s="370">
        <f t="shared" ca="1" si="30"/>
        <v>0</v>
      </c>
      <c r="J226" s="391">
        <f ca="1">IF($A226="*","",OFFSET(COM_N_2012!$B$60,AW226,SUMIF($B$10:$B$16,B226,$AX$10:$AX$16)))</f>
        <v>4.9258814903416521</v>
      </c>
      <c r="K226" s="369" t="str">
        <f ca="1">IF($B226&lt;&gt;"PRC_RESID","",IF(K$7=2005+OFFSET(COM_N_2012!$B$60,$AW226,SUMIF($B$10:$B$16,"NCAP_TLIFE",$AX$10:$AX$16)),0,""))</f>
        <v/>
      </c>
      <c r="L226" s="369" t="str">
        <f ca="1">IF($B226&lt;&gt;"PRC_RESID","",IF(L$7=2005+OFFSET(COM_N_2012!$B$60,$AW226,SUMIF($B$10:$B$16,"NCAP_TLIFE",$AX$10:$AX$16)),0,""))</f>
        <v/>
      </c>
      <c r="M226" s="369" t="str">
        <f ca="1">IF($B226&lt;&gt;"PRC_RESID","",IF(M$7=2005+OFFSET(COM_N_2012!$B$60,$AW226,SUMIF($B$10:$B$16,"NCAP_TLIFE",$AX$10:$AX$16)),0,""))</f>
        <v/>
      </c>
      <c r="N226" s="369" t="str">
        <f ca="1">IF($B226&lt;&gt;"PRC_RESID","",IF(N$7=2005+OFFSET(COM_N_2012!$B$60,$AW226,SUMIF($B$10:$B$16,"NCAP_TLIFE",$AX$10:$AX$16)),0,""))</f>
        <v/>
      </c>
      <c r="O226" s="369" t="str">
        <f ca="1">IF($B226&lt;&gt;"PRC_RESID","",IF(O$7=2005+OFFSET(COM_N_2012!$B$60,$AW226,SUMIF($B$10:$B$16,"NCAP_TLIFE",$AX$10:$AX$16)),0,""))</f>
        <v/>
      </c>
      <c r="P226" s="369" t="str">
        <f ca="1">IF($B226&lt;&gt;"PRC_RESID","",IF(P$7=2005+OFFSET(COM_N_2012!$B$60,$AW226,SUMIF($B$10:$B$16,"NCAP_TLIFE",$AX$10:$AX$16)),0,""))</f>
        <v/>
      </c>
      <c r="Q226" s="369" t="str">
        <f ca="1">IF($B226&lt;&gt;"PRC_RESID","",IF(Q$7=2005+OFFSET(COM_N_2012!$B$60,$AW226,SUMIF($B$10:$B$16,"NCAP_TLIFE",$AX$10:$AX$16)),0,""))</f>
        <v/>
      </c>
      <c r="R226" s="369" t="str">
        <f ca="1">IF($B226&lt;&gt;"PRC_RESID","",IF(R$7=2005+OFFSET(COM_N_2012!$B$60,$AW226,SUMIF($B$10:$B$16,"NCAP_TLIFE",$AX$10:$AX$16)),0,""))</f>
        <v/>
      </c>
      <c r="S226" s="369" t="str">
        <f ca="1">IF($B226&lt;&gt;"PRC_RESID","",IF(S$7=2005+OFFSET(COM_N_2012!$B$60,$AW226,SUMIF($B$10:$B$16,"NCAP_TLIFE",$AX$10:$AX$16)),0,""))</f>
        <v/>
      </c>
      <c r="T226" s="369" t="str">
        <f ca="1">IF($B226&lt;&gt;"PRC_RESID","",IF(T$7=2005+OFFSET(COM_N_2012!$B$60,$AW226,SUMIF($B$10:$B$16,"NCAP_TLIFE",$AX$10:$AX$16)),0,""))</f>
        <v/>
      </c>
      <c r="U226" s="369" t="str">
        <f ca="1">IF($B226&lt;&gt;"PRC_RESID","",IF(U$7=2005+OFFSET(COM_N_2012!$B$60,$AW226,SUMIF($B$10:$B$16,"NCAP_TLIFE",$AX$10:$AX$16)),0,""))</f>
        <v/>
      </c>
      <c r="V226" s="369" t="str">
        <f ca="1">IF($B226&lt;&gt;"PRC_RESID","",IF(V$7=2005+OFFSET(COM_N_2012!$B$60,$AW226,SUMIF($B$10:$B$16,"NCAP_TLIFE",$AX$10:$AX$16)),0,""))</f>
        <v/>
      </c>
      <c r="W226" s="369" t="str">
        <f ca="1">IF($B226&lt;&gt;"PRC_RESID","",IF(W$7=2005+OFFSET(COM_N_2012!$B$60,$AW226,SUMIF($B$10:$B$16,"NCAP_TLIFE",$AX$10:$AX$16)),0,""))</f>
        <v/>
      </c>
      <c r="X226" s="369" t="str">
        <f ca="1">IF($B226&lt;&gt;"PRC_RESID","",IF(X$7=2005+OFFSET(COM_N_2012!$B$60,$AW226,SUMIF($B$10:$B$16,"NCAP_TLIFE",$AX$10:$AX$16)),0,""))</f>
        <v/>
      </c>
      <c r="Y226" s="369" t="str">
        <f ca="1">IF($B226&lt;&gt;"PRC_RESID","",IF(Y$7=2005+OFFSET(COM_N_2012!$B$60,$AW226,SUMIF($B$10:$B$16,"NCAP_TLIFE",$AX$10:$AX$16)),0,""))</f>
        <v/>
      </c>
      <c r="Z226" s="369" t="str">
        <f ca="1">IF($B226&lt;&gt;"PRC_RESID","",IF(Z$7=2005+OFFSET(COM_N_2012!$B$60,$AW226,SUMIF($B$10:$B$16,"NCAP_TLIFE",$AX$10:$AX$16)),0,""))</f>
        <v/>
      </c>
      <c r="AA226" s="369" t="str">
        <f ca="1">IF($B226&lt;&gt;"PRC_RESID","",IF(AA$7=2005+OFFSET(COM_N_2012!$B$60,$AW226,SUMIF($B$10:$B$16,"NCAP_TLIFE",$AX$10:$AX$16)),0,""))</f>
        <v/>
      </c>
      <c r="AB226" s="369" t="str">
        <f ca="1">IF($B226&lt;&gt;"PRC_RESID","",IF(AB$7=2005+OFFSET(COM_N_2012!$B$60,$AW226,SUMIF($B$10:$B$16,"NCAP_TLIFE",$AX$10:$AX$16)),0,""))</f>
        <v/>
      </c>
      <c r="AC226" s="369" t="str">
        <f ca="1">IF($B226&lt;&gt;"PRC_RESID","",IF(AC$7=2005+OFFSET(COM_N_2012!$B$60,$AW226,SUMIF($B$10:$B$16,"NCAP_TLIFE",$AX$10:$AX$16)),0,""))</f>
        <v/>
      </c>
      <c r="AD226" s="369" t="str">
        <f ca="1">IF($B226&lt;&gt;"PRC_RESID","",IF(AD$7=2005+OFFSET(COM_N_2012!$B$60,$AW226,SUMIF($B$10:$B$16,"NCAP_TLIFE",$AX$10:$AX$16)),0,""))</f>
        <v/>
      </c>
      <c r="AE226" s="369" t="str">
        <f ca="1">IF($B226&lt;&gt;"PRC_RESID","",IF(AE$7=2005+OFFSET(COM_N_2012!$B$60,$AW226,SUMIF($B$10:$B$16,"NCAP_TLIFE",$AX$10:$AX$16)),0,""))</f>
        <v/>
      </c>
      <c r="AF226" s="369" t="str">
        <f ca="1">IF($B226&lt;&gt;"PRC_RESID","",IF(AF$7=2005+OFFSET(COM_N_2012!$B$60,$AW226,SUMIF($B$10:$B$16,"NCAP_TLIFE",$AX$10:$AX$16)),0,""))</f>
        <v/>
      </c>
      <c r="AG226" s="369" t="str">
        <f ca="1">IF($B226&lt;&gt;"PRC_RESID","",IF(AG$7=2005+OFFSET(COM_N_2012!$B$60,$AW226,SUMIF($B$10:$B$16,"NCAP_TLIFE",$AX$10:$AX$16)),0,""))</f>
        <v/>
      </c>
      <c r="AH226" s="369" t="str">
        <f ca="1">IF($B226&lt;&gt;"PRC_RESID","",IF(AH$7=2005+OFFSET(COM_N_2012!$B$60,$AW226,SUMIF($B$10:$B$16,"NCAP_TLIFE",$AX$10:$AX$16)),0,""))</f>
        <v/>
      </c>
      <c r="AI226" s="369" t="str">
        <f ca="1">IF($B226&lt;&gt;"PRC_RESID","",IF(AI$7=2005+OFFSET(COM_N_2012!$B$60,$AW226,SUMIF($B$10:$B$16,"NCAP_TLIFE",$AX$10:$AX$16)),0,""))</f>
        <v/>
      </c>
      <c r="AJ226" s="369" t="str">
        <f ca="1">IF($B226&lt;&gt;"PRC_RESID","",IF(AJ$7=2005+OFFSET(COM_N_2012!$B$60,$AW226,SUMIF($B$10:$B$16,"NCAP_TLIFE",$AX$10:$AX$16)),0,""))</f>
        <v/>
      </c>
      <c r="AK226" s="369" t="str">
        <f ca="1">IF($B226&lt;&gt;"PRC_RESID","",IF(AK$7=2005+OFFSET(COM_N_2012!$B$60,$AW226,SUMIF($B$10:$B$16,"NCAP_TLIFE",$AX$10:$AX$16)),0,""))</f>
        <v/>
      </c>
      <c r="AL226" s="369" t="str">
        <f ca="1">IF($B226&lt;&gt;"PRC_RESID","",IF(AL$7=2005+OFFSET(COM_N_2012!$B$60,$AW226,SUMIF($B$10:$B$16,"NCAP_TLIFE",$AX$10:$AX$16)),0,""))</f>
        <v/>
      </c>
      <c r="AM226" s="369" t="str">
        <f ca="1">IF($B226&lt;&gt;"PRC_RESID","",IF(AM$7=2005+OFFSET(COM_N_2012!$B$60,$AW226,SUMIF($B$10:$B$16,"NCAP_TLIFE",$AX$10:$AX$16)),0,""))</f>
        <v/>
      </c>
      <c r="AN226" s="369" t="str">
        <f ca="1">IF($B226&lt;&gt;"PRC_RESID","",IF(AN$7=2005+OFFSET(COM_N_2012!$B$60,$AW226,SUMIF($B$10:$B$16,"NCAP_TLIFE",$AX$10:$AX$16)),0,""))</f>
        <v/>
      </c>
      <c r="AO226" s="369" t="str">
        <f ca="1">IF($B226&lt;&gt;"PRC_RESID","",IF(AO$7=2005+OFFSET(COM_N_2012!$B$60,$AW226,SUMIF($B$10:$B$16,"NCAP_TLIFE",$AX$10:$AX$16)),0,""))</f>
        <v/>
      </c>
      <c r="AP226" s="369" t="str">
        <f ca="1">IF($B226&lt;&gt;"PRC_RESID","",IF(AP$7=2005+OFFSET(COM_N_2012!$B$60,$AW226,SUMIF($B$10:$B$16,"NCAP_TLIFE",$AX$10:$AX$16)),0,""))</f>
        <v/>
      </c>
      <c r="AQ226" s="369" t="str">
        <f ca="1">IF($B226&lt;&gt;"PRC_RESID","",IF(AQ$7=2005+OFFSET(COM_N_2012!$B$60,$AW226,SUMIF($B$10:$B$16,"NCAP_TLIFE",$AX$10:$AX$16)),0,""))</f>
        <v/>
      </c>
      <c r="AR226" s="369" t="str">
        <f ca="1">IF($B226&lt;&gt;"PRC_RESID","",IF(AR$7=2005+OFFSET(COM_N_2012!$B$60,$AW226,SUMIF($B$10:$B$16,"NCAP_TLIFE",$AX$10:$AX$16)),0,""))</f>
        <v/>
      </c>
      <c r="AS226" s="369" t="str">
        <f ca="1">IF($B226&lt;&gt;"PRC_RESID","",IF(AS$7=2005+OFFSET(COM_N_2012!$B$60,$AW226,SUMIF($B$10:$B$16,"NCAP_TLIFE",$AX$10:$AX$16)),0,""))</f>
        <v/>
      </c>
      <c r="AT226" s="369" t="str">
        <f ca="1">IF($B226&lt;&gt;"PRC_RESID","",IF(AT$7=2005+OFFSET(COM_N_2012!$B$60,$AW226,SUMIF($B$10:$B$16,"NCAP_TLIFE",$AX$10:$AX$16)),0,""))</f>
        <v/>
      </c>
      <c r="AU226" s="369" t="str">
        <f ca="1">IF($B226&lt;&gt;"PRC_RESID","",IF(AU$7=2005+OFFSET(COM_N_2012!$B$60,$AW226,SUMIF($B$10:$B$16,"NCAP_TLIFE",$AX$10:$AX$16)),0,""))</f>
        <v/>
      </c>
      <c r="AV226" s="304">
        <f>IF(AW225=COM_N_2012!$AK$121,AV225+1,AV225)</f>
        <v>4</v>
      </c>
      <c r="AW226" s="304">
        <f t="shared" si="29"/>
        <v>26</v>
      </c>
    </row>
    <row r="227" spans="1:49">
      <c r="A227" s="304" t="str">
        <f ca="1">IF(LEFT(OFFSET(COM_N_2012!$A$60,AW227,0),2)="\I","*","")</f>
        <v>*</v>
      </c>
      <c r="B227" s="369" t="str">
        <f t="shared" ca="1" si="28"/>
        <v/>
      </c>
      <c r="C227" s="369" t="str">
        <f ca="1">IF($A227="*","",OFFSET(COM_N_2012!$B$60,AW227,0))</f>
        <v/>
      </c>
      <c r="D227" s="369" t="str">
        <f t="shared" ca="1" si="30"/>
        <v/>
      </c>
      <c r="E227" s="369" t="str">
        <f t="shared" ca="1" si="30"/>
        <v/>
      </c>
      <c r="F227" s="369" t="str">
        <f t="shared" ca="1" si="30"/>
        <v/>
      </c>
      <c r="G227" s="369" t="str">
        <f t="shared" ca="1" si="30"/>
        <v/>
      </c>
      <c r="H227" s="369" t="str">
        <f t="shared" ca="1" si="30"/>
        <v/>
      </c>
      <c r="I227" s="370" t="str">
        <f t="shared" ca="1" si="30"/>
        <v/>
      </c>
      <c r="J227" s="391" t="str">
        <f ca="1">IF($A227="*","",OFFSET(COM_N_2012!$B$60,AW227,SUMIF($B$10:$B$16,B227,$AX$10:$AX$16)))</f>
        <v/>
      </c>
      <c r="K227" s="369" t="str">
        <f ca="1">IF($B227&lt;&gt;"PRC_RESID","",IF(K$7=2005+OFFSET(COM_N_2012!$B$60,$AW227,SUMIF($B$10:$B$16,"NCAP_TLIFE",$AX$10:$AX$16)),0,""))</f>
        <v/>
      </c>
      <c r="L227" s="369" t="str">
        <f ca="1">IF($B227&lt;&gt;"PRC_RESID","",IF(L$7=2005+OFFSET(COM_N_2012!$B$60,$AW227,SUMIF($B$10:$B$16,"NCAP_TLIFE",$AX$10:$AX$16)),0,""))</f>
        <v/>
      </c>
      <c r="M227" s="369" t="str">
        <f ca="1">IF($B227&lt;&gt;"PRC_RESID","",IF(M$7=2005+OFFSET(COM_N_2012!$B$60,$AW227,SUMIF($B$10:$B$16,"NCAP_TLIFE",$AX$10:$AX$16)),0,""))</f>
        <v/>
      </c>
      <c r="N227" s="369" t="str">
        <f ca="1">IF($B227&lt;&gt;"PRC_RESID","",IF(N$7=2005+OFFSET(COM_N_2012!$B$60,$AW227,SUMIF($B$10:$B$16,"NCAP_TLIFE",$AX$10:$AX$16)),0,""))</f>
        <v/>
      </c>
      <c r="O227" s="369" t="str">
        <f ca="1">IF($B227&lt;&gt;"PRC_RESID","",IF(O$7=2005+OFFSET(COM_N_2012!$B$60,$AW227,SUMIF($B$10:$B$16,"NCAP_TLIFE",$AX$10:$AX$16)),0,""))</f>
        <v/>
      </c>
      <c r="P227" s="369" t="str">
        <f ca="1">IF($B227&lt;&gt;"PRC_RESID","",IF(P$7=2005+OFFSET(COM_N_2012!$B$60,$AW227,SUMIF($B$10:$B$16,"NCAP_TLIFE",$AX$10:$AX$16)),0,""))</f>
        <v/>
      </c>
      <c r="Q227" s="369" t="str">
        <f ca="1">IF($B227&lt;&gt;"PRC_RESID","",IF(Q$7=2005+OFFSET(COM_N_2012!$B$60,$AW227,SUMIF($B$10:$B$16,"NCAP_TLIFE",$AX$10:$AX$16)),0,""))</f>
        <v/>
      </c>
      <c r="R227" s="369" t="str">
        <f ca="1">IF($B227&lt;&gt;"PRC_RESID","",IF(R$7=2005+OFFSET(COM_N_2012!$B$60,$AW227,SUMIF($B$10:$B$16,"NCAP_TLIFE",$AX$10:$AX$16)),0,""))</f>
        <v/>
      </c>
      <c r="S227" s="369" t="str">
        <f ca="1">IF($B227&lt;&gt;"PRC_RESID","",IF(S$7=2005+OFFSET(COM_N_2012!$B$60,$AW227,SUMIF($B$10:$B$16,"NCAP_TLIFE",$AX$10:$AX$16)),0,""))</f>
        <v/>
      </c>
      <c r="T227" s="369" t="str">
        <f ca="1">IF($B227&lt;&gt;"PRC_RESID","",IF(T$7=2005+OFFSET(COM_N_2012!$B$60,$AW227,SUMIF($B$10:$B$16,"NCAP_TLIFE",$AX$10:$AX$16)),0,""))</f>
        <v/>
      </c>
      <c r="U227" s="369" t="str">
        <f ca="1">IF($B227&lt;&gt;"PRC_RESID","",IF(U$7=2005+OFFSET(COM_N_2012!$B$60,$AW227,SUMIF($B$10:$B$16,"NCAP_TLIFE",$AX$10:$AX$16)),0,""))</f>
        <v/>
      </c>
      <c r="V227" s="369" t="str">
        <f ca="1">IF($B227&lt;&gt;"PRC_RESID","",IF(V$7=2005+OFFSET(COM_N_2012!$B$60,$AW227,SUMIF($B$10:$B$16,"NCAP_TLIFE",$AX$10:$AX$16)),0,""))</f>
        <v/>
      </c>
      <c r="W227" s="369" t="str">
        <f ca="1">IF($B227&lt;&gt;"PRC_RESID","",IF(W$7=2005+OFFSET(COM_N_2012!$B$60,$AW227,SUMIF($B$10:$B$16,"NCAP_TLIFE",$AX$10:$AX$16)),0,""))</f>
        <v/>
      </c>
      <c r="X227" s="369" t="str">
        <f ca="1">IF($B227&lt;&gt;"PRC_RESID","",IF(X$7=2005+OFFSET(COM_N_2012!$B$60,$AW227,SUMIF($B$10:$B$16,"NCAP_TLIFE",$AX$10:$AX$16)),0,""))</f>
        <v/>
      </c>
      <c r="Y227" s="369" t="str">
        <f ca="1">IF($B227&lt;&gt;"PRC_RESID","",IF(Y$7=2005+OFFSET(COM_N_2012!$B$60,$AW227,SUMIF($B$10:$B$16,"NCAP_TLIFE",$AX$10:$AX$16)),0,""))</f>
        <v/>
      </c>
      <c r="Z227" s="369" t="str">
        <f ca="1">IF($B227&lt;&gt;"PRC_RESID","",IF(Z$7=2005+OFFSET(COM_N_2012!$B$60,$AW227,SUMIF($B$10:$B$16,"NCAP_TLIFE",$AX$10:$AX$16)),0,""))</f>
        <v/>
      </c>
      <c r="AA227" s="369" t="str">
        <f ca="1">IF($B227&lt;&gt;"PRC_RESID","",IF(AA$7=2005+OFFSET(COM_N_2012!$B$60,$AW227,SUMIF($B$10:$B$16,"NCAP_TLIFE",$AX$10:$AX$16)),0,""))</f>
        <v/>
      </c>
      <c r="AB227" s="369" t="str">
        <f ca="1">IF($B227&lt;&gt;"PRC_RESID","",IF(AB$7=2005+OFFSET(COM_N_2012!$B$60,$AW227,SUMIF($B$10:$B$16,"NCAP_TLIFE",$AX$10:$AX$16)),0,""))</f>
        <v/>
      </c>
      <c r="AC227" s="369" t="str">
        <f ca="1">IF($B227&lt;&gt;"PRC_RESID","",IF(AC$7=2005+OFFSET(COM_N_2012!$B$60,$AW227,SUMIF($B$10:$B$16,"NCAP_TLIFE",$AX$10:$AX$16)),0,""))</f>
        <v/>
      </c>
      <c r="AD227" s="369" t="str">
        <f ca="1">IF($B227&lt;&gt;"PRC_RESID","",IF(AD$7=2005+OFFSET(COM_N_2012!$B$60,$AW227,SUMIF($B$10:$B$16,"NCAP_TLIFE",$AX$10:$AX$16)),0,""))</f>
        <v/>
      </c>
      <c r="AE227" s="369" t="str">
        <f ca="1">IF($B227&lt;&gt;"PRC_RESID","",IF(AE$7=2005+OFFSET(COM_N_2012!$B$60,$AW227,SUMIF($B$10:$B$16,"NCAP_TLIFE",$AX$10:$AX$16)),0,""))</f>
        <v/>
      </c>
      <c r="AF227" s="369" t="str">
        <f ca="1">IF($B227&lt;&gt;"PRC_RESID","",IF(AF$7=2005+OFFSET(COM_N_2012!$B$60,$AW227,SUMIF($B$10:$B$16,"NCAP_TLIFE",$AX$10:$AX$16)),0,""))</f>
        <v/>
      </c>
      <c r="AG227" s="369" t="str">
        <f ca="1">IF($B227&lt;&gt;"PRC_RESID","",IF(AG$7=2005+OFFSET(COM_N_2012!$B$60,$AW227,SUMIF($B$10:$B$16,"NCAP_TLIFE",$AX$10:$AX$16)),0,""))</f>
        <v/>
      </c>
      <c r="AH227" s="369" t="str">
        <f ca="1">IF($B227&lt;&gt;"PRC_RESID","",IF(AH$7=2005+OFFSET(COM_N_2012!$B$60,$AW227,SUMIF($B$10:$B$16,"NCAP_TLIFE",$AX$10:$AX$16)),0,""))</f>
        <v/>
      </c>
      <c r="AI227" s="369" t="str">
        <f ca="1">IF($B227&lt;&gt;"PRC_RESID","",IF(AI$7=2005+OFFSET(COM_N_2012!$B$60,$AW227,SUMIF($B$10:$B$16,"NCAP_TLIFE",$AX$10:$AX$16)),0,""))</f>
        <v/>
      </c>
      <c r="AJ227" s="369" t="str">
        <f ca="1">IF($B227&lt;&gt;"PRC_RESID","",IF(AJ$7=2005+OFFSET(COM_N_2012!$B$60,$AW227,SUMIF($B$10:$B$16,"NCAP_TLIFE",$AX$10:$AX$16)),0,""))</f>
        <v/>
      </c>
      <c r="AK227" s="369" t="str">
        <f ca="1">IF($B227&lt;&gt;"PRC_RESID","",IF(AK$7=2005+OFFSET(COM_N_2012!$B$60,$AW227,SUMIF($B$10:$B$16,"NCAP_TLIFE",$AX$10:$AX$16)),0,""))</f>
        <v/>
      </c>
      <c r="AL227" s="369" t="str">
        <f ca="1">IF($B227&lt;&gt;"PRC_RESID","",IF(AL$7=2005+OFFSET(COM_N_2012!$B$60,$AW227,SUMIF($B$10:$B$16,"NCAP_TLIFE",$AX$10:$AX$16)),0,""))</f>
        <v/>
      </c>
      <c r="AM227" s="369" t="str">
        <f ca="1">IF($B227&lt;&gt;"PRC_RESID","",IF(AM$7=2005+OFFSET(COM_N_2012!$B$60,$AW227,SUMIF($B$10:$B$16,"NCAP_TLIFE",$AX$10:$AX$16)),0,""))</f>
        <v/>
      </c>
      <c r="AN227" s="369" t="str">
        <f ca="1">IF($B227&lt;&gt;"PRC_RESID","",IF(AN$7=2005+OFFSET(COM_N_2012!$B$60,$AW227,SUMIF($B$10:$B$16,"NCAP_TLIFE",$AX$10:$AX$16)),0,""))</f>
        <v/>
      </c>
      <c r="AO227" s="369" t="str">
        <f ca="1">IF($B227&lt;&gt;"PRC_RESID","",IF(AO$7=2005+OFFSET(COM_N_2012!$B$60,$AW227,SUMIF($B$10:$B$16,"NCAP_TLIFE",$AX$10:$AX$16)),0,""))</f>
        <v/>
      </c>
      <c r="AP227" s="369" t="str">
        <f ca="1">IF($B227&lt;&gt;"PRC_RESID","",IF(AP$7=2005+OFFSET(COM_N_2012!$B$60,$AW227,SUMIF($B$10:$B$16,"NCAP_TLIFE",$AX$10:$AX$16)),0,""))</f>
        <v/>
      </c>
      <c r="AQ227" s="369" t="str">
        <f ca="1">IF($B227&lt;&gt;"PRC_RESID","",IF(AQ$7=2005+OFFSET(COM_N_2012!$B$60,$AW227,SUMIF($B$10:$B$16,"NCAP_TLIFE",$AX$10:$AX$16)),0,""))</f>
        <v/>
      </c>
      <c r="AR227" s="369" t="str">
        <f ca="1">IF($B227&lt;&gt;"PRC_RESID","",IF(AR$7=2005+OFFSET(COM_N_2012!$B$60,$AW227,SUMIF($B$10:$B$16,"NCAP_TLIFE",$AX$10:$AX$16)),0,""))</f>
        <v/>
      </c>
      <c r="AS227" s="369" t="str">
        <f ca="1">IF($B227&lt;&gt;"PRC_RESID","",IF(AS$7=2005+OFFSET(COM_N_2012!$B$60,$AW227,SUMIF($B$10:$B$16,"NCAP_TLIFE",$AX$10:$AX$16)),0,""))</f>
        <v/>
      </c>
      <c r="AT227" s="369" t="str">
        <f ca="1">IF($B227&lt;&gt;"PRC_RESID","",IF(AT$7=2005+OFFSET(COM_N_2012!$B$60,$AW227,SUMIF($B$10:$B$16,"NCAP_TLIFE",$AX$10:$AX$16)),0,""))</f>
        <v/>
      </c>
      <c r="AU227" s="369" t="str">
        <f ca="1">IF($B227&lt;&gt;"PRC_RESID","",IF(AU$7=2005+OFFSET(COM_N_2012!$B$60,$AW227,SUMIF($B$10:$B$16,"NCAP_TLIFE",$AX$10:$AX$16)),0,""))</f>
        <v/>
      </c>
      <c r="AV227" s="304">
        <f>IF(AW226=COM_N_2012!$AK$121,AV226+1,AV226)</f>
        <v>4</v>
      </c>
      <c r="AW227" s="304">
        <f t="shared" si="29"/>
        <v>27</v>
      </c>
    </row>
    <row r="228" spans="1:49">
      <c r="A228" s="304" t="str">
        <f ca="1">IF(LEFT(OFFSET(COM_N_2012!$A$60,AW228,0),2)="\I","*","")</f>
        <v>*</v>
      </c>
      <c r="B228" s="369" t="str">
        <f t="shared" ca="1" si="28"/>
        <v/>
      </c>
      <c r="C228" s="369" t="str">
        <f ca="1">IF($A228="*","",OFFSET(COM_N_2012!$B$60,AW228,0))</f>
        <v/>
      </c>
      <c r="D228" s="369" t="str">
        <f t="shared" ref="D228:I237" ca="1" si="31">IF($A228="*","",VLOOKUP($B228,$B$10:$I$16,D$9,FALSE))</f>
        <v/>
      </c>
      <c r="E228" s="369" t="str">
        <f t="shared" ca="1" si="31"/>
        <v/>
      </c>
      <c r="F228" s="369" t="str">
        <f t="shared" ca="1" si="31"/>
        <v/>
      </c>
      <c r="G228" s="369" t="str">
        <f t="shared" ca="1" si="31"/>
        <v/>
      </c>
      <c r="H228" s="369" t="str">
        <f t="shared" ca="1" si="31"/>
        <v/>
      </c>
      <c r="I228" s="370" t="str">
        <f t="shared" ca="1" si="31"/>
        <v/>
      </c>
      <c r="J228" s="391" t="str">
        <f ca="1">IF($A228="*","",OFFSET(COM_N_2012!$B$60,AW228,SUMIF($B$10:$B$16,B228,$AX$10:$AX$16)))</f>
        <v/>
      </c>
      <c r="K228" s="369" t="str">
        <f ca="1">IF($B228&lt;&gt;"PRC_RESID","",IF(K$7=2005+OFFSET(COM_N_2012!$B$60,$AW228,SUMIF($B$10:$B$16,"NCAP_TLIFE",$AX$10:$AX$16)),0,""))</f>
        <v/>
      </c>
      <c r="L228" s="369" t="str">
        <f ca="1">IF($B228&lt;&gt;"PRC_RESID","",IF(L$7=2005+OFFSET(COM_N_2012!$B$60,$AW228,SUMIF($B$10:$B$16,"NCAP_TLIFE",$AX$10:$AX$16)),0,""))</f>
        <v/>
      </c>
      <c r="M228" s="369" t="str">
        <f ca="1">IF($B228&lt;&gt;"PRC_RESID","",IF(M$7=2005+OFFSET(COM_N_2012!$B$60,$AW228,SUMIF($B$10:$B$16,"NCAP_TLIFE",$AX$10:$AX$16)),0,""))</f>
        <v/>
      </c>
      <c r="N228" s="369" t="str">
        <f ca="1">IF($B228&lt;&gt;"PRC_RESID","",IF(N$7=2005+OFFSET(COM_N_2012!$B$60,$AW228,SUMIF($B$10:$B$16,"NCAP_TLIFE",$AX$10:$AX$16)),0,""))</f>
        <v/>
      </c>
      <c r="O228" s="369" t="str">
        <f ca="1">IF($B228&lt;&gt;"PRC_RESID","",IF(O$7=2005+OFFSET(COM_N_2012!$B$60,$AW228,SUMIF($B$10:$B$16,"NCAP_TLIFE",$AX$10:$AX$16)),0,""))</f>
        <v/>
      </c>
      <c r="P228" s="369" t="str">
        <f ca="1">IF($B228&lt;&gt;"PRC_RESID","",IF(P$7=2005+OFFSET(COM_N_2012!$B$60,$AW228,SUMIF($B$10:$B$16,"NCAP_TLIFE",$AX$10:$AX$16)),0,""))</f>
        <v/>
      </c>
      <c r="Q228" s="369" t="str">
        <f ca="1">IF($B228&lt;&gt;"PRC_RESID","",IF(Q$7=2005+OFFSET(COM_N_2012!$B$60,$AW228,SUMIF($B$10:$B$16,"NCAP_TLIFE",$AX$10:$AX$16)),0,""))</f>
        <v/>
      </c>
      <c r="R228" s="369" t="str">
        <f ca="1">IF($B228&lt;&gt;"PRC_RESID","",IF(R$7=2005+OFFSET(COM_N_2012!$B$60,$AW228,SUMIF($B$10:$B$16,"NCAP_TLIFE",$AX$10:$AX$16)),0,""))</f>
        <v/>
      </c>
      <c r="S228" s="369" t="str">
        <f ca="1">IF($B228&lt;&gt;"PRC_RESID","",IF(S$7=2005+OFFSET(COM_N_2012!$B$60,$AW228,SUMIF($B$10:$B$16,"NCAP_TLIFE",$AX$10:$AX$16)),0,""))</f>
        <v/>
      </c>
      <c r="T228" s="369" t="str">
        <f ca="1">IF($B228&lt;&gt;"PRC_RESID","",IF(T$7=2005+OFFSET(COM_N_2012!$B$60,$AW228,SUMIF($B$10:$B$16,"NCAP_TLIFE",$AX$10:$AX$16)),0,""))</f>
        <v/>
      </c>
      <c r="U228" s="369" t="str">
        <f ca="1">IF($B228&lt;&gt;"PRC_RESID","",IF(U$7=2005+OFFSET(COM_N_2012!$B$60,$AW228,SUMIF($B$10:$B$16,"NCAP_TLIFE",$AX$10:$AX$16)),0,""))</f>
        <v/>
      </c>
      <c r="V228" s="369" t="str">
        <f ca="1">IF($B228&lt;&gt;"PRC_RESID","",IF(V$7=2005+OFFSET(COM_N_2012!$B$60,$AW228,SUMIF($B$10:$B$16,"NCAP_TLIFE",$AX$10:$AX$16)),0,""))</f>
        <v/>
      </c>
      <c r="W228" s="369" t="str">
        <f ca="1">IF($B228&lt;&gt;"PRC_RESID","",IF(W$7=2005+OFFSET(COM_N_2012!$B$60,$AW228,SUMIF($B$10:$B$16,"NCAP_TLIFE",$AX$10:$AX$16)),0,""))</f>
        <v/>
      </c>
      <c r="X228" s="369" t="str">
        <f ca="1">IF($B228&lt;&gt;"PRC_RESID","",IF(X$7=2005+OFFSET(COM_N_2012!$B$60,$AW228,SUMIF($B$10:$B$16,"NCAP_TLIFE",$AX$10:$AX$16)),0,""))</f>
        <v/>
      </c>
      <c r="Y228" s="369" t="str">
        <f ca="1">IF($B228&lt;&gt;"PRC_RESID","",IF(Y$7=2005+OFFSET(COM_N_2012!$B$60,$AW228,SUMIF($B$10:$B$16,"NCAP_TLIFE",$AX$10:$AX$16)),0,""))</f>
        <v/>
      </c>
      <c r="Z228" s="369" t="str">
        <f ca="1">IF($B228&lt;&gt;"PRC_RESID","",IF(Z$7=2005+OFFSET(COM_N_2012!$B$60,$AW228,SUMIF($B$10:$B$16,"NCAP_TLIFE",$AX$10:$AX$16)),0,""))</f>
        <v/>
      </c>
      <c r="AA228" s="369" t="str">
        <f ca="1">IF($B228&lt;&gt;"PRC_RESID","",IF(AA$7=2005+OFFSET(COM_N_2012!$B$60,$AW228,SUMIF($B$10:$B$16,"NCAP_TLIFE",$AX$10:$AX$16)),0,""))</f>
        <v/>
      </c>
      <c r="AB228" s="369" t="str">
        <f ca="1">IF($B228&lt;&gt;"PRC_RESID","",IF(AB$7=2005+OFFSET(COM_N_2012!$B$60,$AW228,SUMIF($B$10:$B$16,"NCAP_TLIFE",$AX$10:$AX$16)),0,""))</f>
        <v/>
      </c>
      <c r="AC228" s="369" t="str">
        <f ca="1">IF($B228&lt;&gt;"PRC_RESID","",IF(AC$7=2005+OFFSET(COM_N_2012!$B$60,$AW228,SUMIF($B$10:$B$16,"NCAP_TLIFE",$AX$10:$AX$16)),0,""))</f>
        <v/>
      </c>
      <c r="AD228" s="369" t="str">
        <f ca="1">IF($B228&lt;&gt;"PRC_RESID","",IF(AD$7=2005+OFFSET(COM_N_2012!$B$60,$AW228,SUMIF($B$10:$B$16,"NCAP_TLIFE",$AX$10:$AX$16)),0,""))</f>
        <v/>
      </c>
      <c r="AE228" s="369" t="str">
        <f ca="1">IF($B228&lt;&gt;"PRC_RESID","",IF(AE$7=2005+OFFSET(COM_N_2012!$B$60,$AW228,SUMIF($B$10:$B$16,"NCAP_TLIFE",$AX$10:$AX$16)),0,""))</f>
        <v/>
      </c>
      <c r="AF228" s="369" t="str">
        <f ca="1">IF($B228&lt;&gt;"PRC_RESID","",IF(AF$7=2005+OFFSET(COM_N_2012!$B$60,$AW228,SUMIF($B$10:$B$16,"NCAP_TLIFE",$AX$10:$AX$16)),0,""))</f>
        <v/>
      </c>
      <c r="AG228" s="369" t="str">
        <f ca="1">IF($B228&lt;&gt;"PRC_RESID","",IF(AG$7=2005+OFFSET(COM_N_2012!$B$60,$AW228,SUMIF($B$10:$B$16,"NCAP_TLIFE",$AX$10:$AX$16)),0,""))</f>
        <v/>
      </c>
      <c r="AH228" s="369" t="str">
        <f ca="1">IF($B228&lt;&gt;"PRC_RESID","",IF(AH$7=2005+OFFSET(COM_N_2012!$B$60,$AW228,SUMIF($B$10:$B$16,"NCAP_TLIFE",$AX$10:$AX$16)),0,""))</f>
        <v/>
      </c>
      <c r="AI228" s="369" t="str">
        <f ca="1">IF($B228&lt;&gt;"PRC_RESID","",IF(AI$7=2005+OFFSET(COM_N_2012!$B$60,$AW228,SUMIF($B$10:$B$16,"NCAP_TLIFE",$AX$10:$AX$16)),0,""))</f>
        <v/>
      </c>
      <c r="AJ228" s="369" t="str">
        <f ca="1">IF($B228&lt;&gt;"PRC_RESID","",IF(AJ$7=2005+OFFSET(COM_N_2012!$B$60,$AW228,SUMIF($B$10:$B$16,"NCAP_TLIFE",$AX$10:$AX$16)),0,""))</f>
        <v/>
      </c>
      <c r="AK228" s="369" t="str">
        <f ca="1">IF($B228&lt;&gt;"PRC_RESID","",IF(AK$7=2005+OFFSET(COM_N_2012!$B$60,$AW228,SUMIF($B$10:$B$16,"NCAP_TLIFE",$AX$10:$AX$16)),0,""))</f>
        <v/>
      </c>
      <c r="AL228" s="369" t="str">
        <f ca="1">IF($B228&lt;&gt;"PRC_RESID","",IF(AL$7=2005+OFFSET(COM_N_2012!$B$60,$AW228,SUMIF($B$10:$B$16,"NCAP_TLIFE",$AX$10:$AX$16)),0,""))</f>
        <v/>
      </c>
      <c r="AM228" s="369" t="str">
        <f ca="1">IF($B228&lt;&gt;"PRC_RESID","",IF(AM$7=2005+OFFSET(COM_N_2012!$B$60,$AW228,SUMIF($B$10:$B$16,"NCAP_TLIFE",$AX$10:$AX$16)),0,""))</f>
        <v/>
      </c>
      <c r="AN228" s="369" t="str">
        <f ca="1">IF($B228&lt;&gt;"PRC_RESID","",IF(AN$7=2005+OFFSET(COM_N_2012!$B$60,$AW228,SUMIF($B$10:$B$16,"NCAP_TLIFE",$AX$10:$AX$16)),0,""))</f>
        <v/>
      </c>
      <c r="AO228" s="369" t="str">
        <f ca="1">IF($B228&lt;&gt;"PRC_RESID","",IF(AO$7=2005+OFFSET(COM_N_2012!$B$60,$AW228,SUMIF($B$10:$B$16,"NCAP_TLIFE",$AX$10:$AX$16)),0,""))</f>
        <v/>
      </c>
      <c r="AP228" s="369" t="str">
        <f ca="1">IF($B228&lt;&gt;"PRC_RESID","",IF(AP$7=2005+OFFSET(COM_N_2012!$B$60,$AW228,SUMIF($B$10:$B$16,"NCAP_TLIFE",$AX$10:$AX$16)),0,""))</f>
        <v/>
      </c>
      <c r="AQ228" s="369" t="str">
        <f ca="1">IF($B228&lt;&gt;"PRC_RESID","",IF(AQ$7=2005+OFFSET(COM_N_2012!$B$60,$AW228,SUMIF($B$10:$B$16,"NCAP_TLIFE",$AX$10:$AX$16)),0,""))</f>
        <v/>
      </c>
      <c r="AR228" s="369" t="str">
        <f ca="1">IF($B228&lt;&gt;"PRC_RESID","",IF(AR$7=2005+OFFSET(COM_N_2012!$B$60,$AW228,SUMIF($B$10:$B$16,"NCAP_TLIFE",$AX$10:$AX$16)),0,""))</f>
        <v/>
      </c>
      <c r="AS228" s="369" t="str">
        <f ca="1">IF($B228&lt;&gt;"PRC_RESID","",IF(AS$7=2005+OFFSET(COM_N_2012!$B$60,$AW228,SUMIF($B$10:$B$16,"NCAP_TLIFE",$AX$10:$AX$16)),0,""))</f>
        <v/>
      </c>
      <c r="AT228" s="369" t="str">
        <f ca="1">IF($B228&lt;&gt;"PRC_RESID","",IF(AT$7=2005+OFFSET(COM_N_2012!$B$60,$AW228,SUMIF($B$10:$B$16,"NCAP_TLIFE",$AX$10:$AX$16)),0,""))</f>
        <v/>
      </c>
      <c r="AU228" s="369" t="str">
        <f ca="1">IF($B228&lt;&gt;"PRC_RESID","",IF(AU$7=2005+OFFSET(COM_N_2012!$B$60,$AW228,SUMIF($B$10:$B$16,"NCAP_TLIFE",$AX$10:$AX$16)),0,""))</f>
        <v/>
      </c>
      <c r="AV228" s="304">
        <f>IF(AW227=COM_N_2012!$AK$121,AV227+1,AV227)</f>
        <v>4</v>
      </c>
      <c r="AW228" s="304">
        <f t="shared" si="29"/>
        <v>28</v>
      </c>
    </row>
    <row r="229" spans="1:49">
      <c r="A229" s="304" t="str">
        <f ca="1">IF(LEFT(OFFSET(COM_N_2012!$A$60,AW229,0),2)="\I","*","")</f>
        <v/>
      </c>
      <c r="B229" s="369" t="str">
        <f t="shared" ca="1" si="28"/>
        <v>NCAP_COST</v>
      </c>
      <c r="C229" s="369" t="str">
        <f ca="1">IF($A229="*","",OFFSET(COM_N_2012!$B$60,AW229,0))</f>
        <v>CNRELC-E</v>
      </c>
      <c r="D229" s="369" t="str">
        <f t="shared" ca="1" si="31"/>
        <v>-</v>
      </c>
      <c r="E229" s="369" t="str">
        <f t="shared" ca="1" si="31"/>
        <v>-</v>
      </c>
      <c r="F229" s="369" t="str">
        <f t="shared" ca="1" si="31"/>
        <v>-</v>
      </c>
      <c r="G229" s="369" t="str">
        <f t="shared" ca="1" si="31"/>
        <v>-</v>
      </c>
      <c r="H229" s="369" t="str">
        <f t="shared" ca="1" si="31"/>
        <v>-</v>
      </c>
      <c r="I229" s="370">
        <f t="shared" ca="1" si="31"/>
        <v>0</v>
      </c>
      <c r="J229" s="391">
        <f ca="1">IF($A229="*","",OFFSET(COM_N_2012!$B$60,AW229,SUMIF($B$10:$B$16,B229,$AX$10:$AX$16)))</f>
        <v>1734.2705050470356</v>
      </c>
      <c r="K229" s="369" t="str">
        <f ca="1">IF($B229&lt;&gt;"PRC_RESID","",IF(K$7=2005+OFFSET(COM_N_2012!$B$60,$AW229,SUMIF($B$10:$B$16,"NCAP_TLIFE",$AX$10:$AX$16)),0,""))</f>
        <v/>
      </c>
      <c r="L229" s="369" t="str">
        <f ca="1">IF($B229&lt;&gt;"PRC_RESID","",IF(L$7=2005+OFFSET(COM_N_2012!$B$60,$AW229,SUMIF($B$10:$B$16,"NCAP_TLIFE",$AX$10:$AX$16)),0,""))</f>
        <v/>
      </c>
      <c r="M229" s="369" t="str">
        <f ca="1">IF($B229&lt;&gt;"PRC_RESID","",IF(M$7=2005+OFFSET(COM_N_2012!$B$60,$AW229,SUMIF($B$10:$B$16,"NCAP_TLIFE",$AX$10:$AX$16)),0,""))</f>
        <v/>
      </c>
      <c r="N229" s="369" t="str">
        <f ca="1">IF($B229&lt;&gt;"PRC_RESID","",IF(N$7=2005+OFFSET(COM_N_2012!$B$60,$AW229,SUMIF($B$10:$B$16,"NCAP_TLIFE",$AX$10:$AX$16)),0,""))</f>
        <v/>
      </c>
      <c r="O229" s="369" t="str">
        <f ca="1">IF($B229&lt;&gt;"PRC_RESID","",IF(O$7=2005+OFFSET(COM_N_2012!$B$60,$AW229,SUMIF($B$10:$B$16,"NCAP_TLIFE",$AX$10:$AX$16)),0,""))</f>
        <v/>
      </c>
      <c r="P229" s="369" t="str">
        <f ca="1">IF($B229&lt;&gt;"PRC_RESID","",IF(P$7=2005+OFFSET(COM_N_2012!$B$60,$AW229,SUMIF($B$10:$B$16,"NCAP_TLIFE",$AX$10:$AX$16)),0,""))</f>
        <v/>
      </c>
      <c r="Q229" s="369" t="str">
        <f ca="1">IF($B229&lt;&gt;"PRC_RESID","",IF(Q$7=2005+OFFSET(COM_N_2012!$B$60,$AW229,SUMIF($B$10:$B$16,"NCAP_TLIFE",$AX$10:$AX$16)),0,""))</f>
        <v/>
      </c>
      <c r="R229" s="369" t="str">
        <f ca="1">IF($B229&lt;&gt;"PRC_RESID","",IF(R$7=2005+OFFSET(COM_N_2012!$B$60,$AW229,SUMIF($B$10:$B$16,"NCAP_TLIFE",$AX$10:$AX$16)),0,""))</f>
        <v/>
      </c>
      <c r="S229" s="369" t="str">
        <f ca="1">IF($B229&lt;&gt;"PRC_RESID","",IF(S$7=2005+OFFSET(COM_N_2012!$B$60,$AW229,SUMIF($B$10:$B$16,"NCAP_TLIFE",$AX$10:$AX$16)),0,""))</f>
        <v/>
      </c>
      <c r="T229" s="369" t="str">
        <f ca="1">IF($B229&lt;&gt;"PRC_RESID","",IF(T$7=2005+OFFSET(COM_N_2012!$B$60,$AW229,SUMIF($B$10:$B$16,"NCAP_TLIFE",$AX$10:$AX$16)),0,""))</f>
        <v/>
      </c>
      <c r="U229" s="369" t="str">
        <f ca="1">IF($B229&lt;&gt;"PRC_RESID","",IF(U$7=2005+OFFSET(COM_N_2012!$B$60,$AW229,SUMIF($B$10:$B$16,"NCAP_TLIFE",$AX$10:$AX$16)),0,""))</f>
        <v/>
      </c>
      <c r="V229" s="369" t="str">
        <f ca="1">IF($B229&lt;&gt;"PRC_RESID","",IF(V$7=2005+OFFSET(COM_N_2012!$B$60,$AW229,SUMIF($B$10:$B$16,"NCAP_TLIFE",$AX$10:$AX$16)),0,""))</f>
        <v/>
      </c>
      <c r="W229" s="369" t="str">
        <f ca="1">IF($B229&lt;&gt;"PRC_RESID","",IF(W$7=2005+OFFSET(COM_N_2012!$B$60,$AW229,SUMIF($B$10:$B$16,"NCAP_TLIFE",$AX$10:$AX$16)),0,""))</f>
        <v/>
      </c>
      <c r="X229" s="369" t="str">
        <f ca="1">IF($B229&lt;&gt;"PRC_RESID","",IF(X$7=2005+OFFSET(COM_N_2012!$B$60,$AW229,SUMIF($B$10:$B$16,"NCAP_TLIFE",$AX$10:$AX$16)),0,""))</f>
        <v/>
      </c>
      <c r="Y229" s="369" t="str">
        <f ca="1">IF($B229&lt;&gt;"PRC_RESID","",IF(Y$7=2005+OFFSET(COM_N_2012!$B$60,$AW229,SUMIF($B$10:$B$16,"NCAP_TLIFE",$AX$10:$AX$16)),0,""))</f>
        <v/>
      </c>
      <c r="Z229" s="369" t="str">
        <f ca="1">IF($B229&lt;&gt;"PRC_RESID","",IF(Z$7=2005+OFFSET(COM_N_2012!$B$60,$AW229,SUMIF($B$10:$B$16,"NCAP_TLIFE",$AX$10:$AX$16)),0,""))</f>
        <v/>
      </c>
      <c r="AA229" s="369" t="str">
        <f ca="1">IF($B229&lt;&gt;"PRC_RESID","",IF(AA$7=2005+OFFSET(COM_N_2012!$B$60,$AW229,SUMIF($B$10:$B$16,"NCAP_TLIFE",$AX$10:$AX$16)),0,""))</f>
        <v/>
      </c>
      <c r="AB229" s="369" t="str">
        <f ca="1">IF($B229&lt;&gt;"PRC_RESID","",IF(AB$7=2005+OFFSET(COM_N_2012!$B$60,$AW229,SUMIF($B$10:$B$16,"NCAP_TLIFE",$AX$10:$AX$16)),0,""))</f>
        <v/>
      </c>
      <c r="AC229" s="369" t="str">
        <f ca="1">IF($B229&lt;&gt;"PRC_RESID","",IF(AC$7=2005+OFFSET(COM_N_2012!$B$60,$AW229,SUMIF($B$10:$B$16,"NCAP_TLIFE",$AX$10:$AX$16)),0,""))</f>
        <v/>
      </c>
      <c r="AD229" s="369" t="str">
        <f ca="1">IF($B229&lt;&gt;"PRC_RESID","",IF(AD$7=2005+OFFSET(COM_N_2012!$B$60,$AW229,SUMIF($B$10:$B$16,"NCAP_TLIFE",$AX$10:$AX$16)),0,""))</f>
        <v/>
      </c>
      <c r="AE229" s="369" t="str">
        <f ca="1">IF($B229&lt;&gt;"PRC_RESID","",IF(AE$7=2005+OFFSET(COM_N_2012!$B$60,$AW229,SUMIF($B$10:$B$16,"NCAP_TLIFE",$AX$10:$AX$16)),0,""))</f>
        <v/>
      </c>
      <c r="AF229" s="369" t="str">
        <f ca="1">IF($B229&lt;&gt;"PRC_RESID","",IF(AF$7=2005+OFFSET(COM_N_2012!$B$60,$AW229,SUMIF($B$10:$B$16,"NCAP_TLIFE",$AX$10:$AX$16)),0,""))</f>
        <v/>
      </c>
      <c r="AG229" s="369" t="str">
        <f ca="1">IF($B229&lt;&gt;"PRC_RESID","",IF(AG$7=2005+OFFSET(COM_N_2012!$B$60,$AW229,SUMIF($B$10:$B$16,"NCAP_TLIFE",$AX$10:$AX$16)),0,""))</f>
        <v/>
      </c>
      <c r="AH229" s="369" t="str">
        <f ca="1">IF($B229&lt;&gt;"PRC_RESID","",IF(AH$7=2005+OFFSET(COM_N_2012!$B$60,$AW229,SUMIF($B$10:$B$16,"NCAP_TLIFE",$AX$10:$AX$16)),0,""))</f>
        <v/>
      </c>
      <c r="AI229" s="369" t="str">
        <f ca="1">IF($B229&lt;&gt;"PRC_RESID","",IF(AI$7=2005+OFFSET(COM_N_2012!$B$60,$AW229,SUMIF($B$10:$B$16,"NCAP_TLIFE",$AX$10:$AX$16)),0,""))</f>
        <v/>
      </c>
      <c r="AJ229" s="369" t="str">
        <f ca="1">IF($B229&lt;&gt;"PRC_RESID","",IF(AJ$7=2005+OFFSET(COM_N_2012!$B$60,$AW229,SUMIF($B$10:$B$16,"NCAP_TLIFE",$AX$10:$AX$16)),0,""))</f>
        <v/>
      </c>
      <c r="AK229" s="369" t="str">
        <f ca="1">IF($B229&lt;&gt;"PRC_RESID","",IF(AK$7=2005+OFFSET(COM_N_2012!$B$60,$AW229,SUMIF($B$10:$B$16,"NCAP_TLIFE",$AX$10:$AX$16)),0,""))</f>
        <v/>
      </c>
      <c r="AL229" s="369" t="str">
        <f ca="1">IF($B229&lt;&gt;"PRC_RESID","",IF(AL$7=2005+OFFSET(COM_N_2012!$B$60,$AW229,SUMIF($B$10:$B$16,"NCAP_TLIFE",$AX$10:$AX$16)),0,""))</f>
        <v/>
      </c>
      <c r="AM229" s="369" t="str">
        <f ca="1">IF($B229&lt;&gt;"PRC_RESID","",IF(AM$7=2005+OFFSET(COM_N_2012!$B$60,$AW229,SUMIF($B$10:$B$16,"NCAP_TLIFE",$AX$10:$AX$16)),0,""))</f>
        <v/>
      </c>
      <c r="AN229" s="369" t="str">
        <f ca="1">IF($B229&lt;&gt;"PRC_RESID","",IF(AN$7=2005+OFFSET(COM_N_2012!$B$60,$AW229,SUMIF($B$10:$B$16,"NCAP_TLIFE",$AX$10:$AX$16)),0,""))</f>
        <v/>
      </c>
      <c r="AO229" s="369" t="str">
        <f ca="1">IF($B229&lt;&gt;"PRC_RESID","",IF(AO$7=2005+OFFSET(COM_N_2012!$B$60,$AW229,SUMIF($B$10:$B$16,"NCAP_TLIFE",$AX$10:$AX$16)),0,""))</f>
        <v/>
      </c>
      <c r="AP229" s="369" t="str">
        <f ca="1">IF($B229&lt;&gt;"PRC_RESID","",IF(AP$7=2005+OFFSET(COM_N_2012!$B$60,$AW229,SUMIF($B$10:$B$16,"NCAP_TLIFE",$AX$10:$AX$16)),0,""))</f>
        <v/>
      </c>
      <c r="AQ229" s="369" t="str">
        <f ca="1">IF($B229&lt;&gt;"PRC_RESID","",IF(AQ$7=2005+OFFSET(COM_N_2012!$B$60,$AW229,SUMIF($B$10:$B$16,"NCAP_TLIFE",$AX$10:$AX$16)),0,""))</f>
        <v/>
      </c>
      <c r="AR229" s="369" t="str">
        <f ca="1">IF($B229&lt;&gt;"PRC_RESID","",IF(AR$7=2005+OFFSET(COM_N_2012!$B$60,$AW229,SUMIF($B$10:$B$16,"NCAP_TLIFE",$AX$10:$AX$16)),0,""))</f>
        <v/>
      </c>
      <c r="AS229" s="369" t="str">
        <f ca="1">IF($B229&lt;&gt;"PRC_RESID","",IF(AS$7=2005+OFFSET(COM_N_2012!$B$60,$AW229,SUMIF($B$10:$B$16,"NCAP_TLIFE",$AX$10:$AX$16)),0,""))</f>
        <v/>
      </c>
      <c r="AT229" s="369" t="str">
        <f ca="1">IF($B229&lt;&gt;"PRC_RESID","",IF(AT$7=2005+OFFSET(COM_N_2012!$B$60,$AW229,SUMIF($B$10:$B$16,"NCAP_TLIFE",$AX$10:$AX$16)),0,""))</f>
        <v/>
      </c>
      <c r="AU229" s="369" t="str">
        <f ca="1">IF($B229&lt;&gt;"PRC_RESID","",IF(AU$7=2005+OFFSET(COM_N_2012!$B$60,$AW229,SUMIF($B$10:$B$16,"NCAP_TLIFE",$AX$10:$AX$16)),0,""))</f>
        <v/>
      </c>
      <c r="AV229" s="304">
        <f>IF(AW228=COM_N_2012!$AK$121,AV228+1,AV228)</f>
        <v>4</v>
      </c>
      <c r="AW229" s="304">
        <f t="shared" si="29"/>
        <v>29</v>
      </c>
    </row>
    <row r="230" spans="1:49">
      <c r="A230" s="304" t="str">
        <f ca="1">IF(LEFT(OFFSET(COM_N_2012!$A$60,AW230,0),2)="\I","*","")</f>
        <v/>
      </c>
      <c r="B230" s="369" t="str">
        <f t="shared" ca="1" si="28"/>
        <v>NCAP_COST</v>
      </c>
      <c r="C230" s="369" t="str">
        <f ca="1">IF($A230="*","",OFFSET(COM_N_2012!$B$60,AW230,0))</f>
        <v>CNRELC-N</v>
      </c>
      <c r="D230" s="369" t="str">
        <f t="shared" ca="1" si="31"/>
        <v>-</v>
      </c>
      <c r="E230" s="369" t="str">
        <f t="shared" ca="1" si="31"/>
        <v>-</v>
      </c>
      <c r="F230" s="369" t="str">
        <f t="shared" ca="1" si="31"/>
        <v>-</v>
      </c>
      <c r="G230" s="369" t="str">
        <f t="shared" ca="1" si="31"/>
        <v>-</v>
      </c>
      <c r="H230" s="369" t="str">
        <f t="shared" ca="1" si="31"/>
        <v>-</v>
      </c>
      <c r="I230" s="370">
        <f t="shared" ca="1" si="31"/>
        <v>0</v>
      </c>
      <c r="J230" s="391">
        <f ca="1">IF($A230="*","",OFFSET(COM_N_2012!$B$60,AW230,SUMIF($B$10:$B$16,B230,$AX$10:$AX$16)))</f>
        <v>1799.6770713155252</v>
      </c>
      <c r="K230" s="369" t="str">
        <f ca="1">IF($B230&lt;&gt;"PRC_RESID","",IF(K$7=2005+OFFSET(COM_N_2012!$B$60,$AW230,SUMIF($B$10:$B$16,"NCAP_TLIFE",$AX$10:$AX$16)),0,""))</f>
        <v/>
      </c>
      <c r="L230" s="369" t="str">
        <f ca="1">IF($B230&lt;&gt;"PRC_RESID","",IF(L$7=2005+OFFSET(COM_N_2012!$B$60,$AW230,SUMIF($B$10:$B$16,"NCAP_TLIFE",$AX$10:$AX$16)),0,""))</f>
        <v/>
      </c>
      <c r="M230" s="369" t="str">
        <f ca="1">IF($B230&lt;&gt;"PRC_RESID","",IF(M$7=2005+OFFSET(COM_N_2012!$B$60,$AW230,SUMIF($B$10:$B$16,"NCAP_TLIFE",$AX$10:$AX$16)),0,""))</f>
        <v/>
      </c>
      <c r="N230" s="369" t="str">
        <f ca="1">IF($B230&lt;&gt;"PRC_RESID","",IF(N$7=2005+OFFSET(COM_N_2012!$B$60,$AW230,SUMIF($B$10:$B$16,"NCAP_TLIFE",$AX$10:$AX$16)),0,""))</f>
        <v/>
      </c>
      <c r="O230" s="369" t="str">
        <f ca="1">IF($B230&lt;&gt;"PRC_RESID","",IF(O$7=2005+OFFSET(COM_N_2012!$B$60,$AW230,SUMIF($B$10:$B$16,"NCAP_TLIFE",$AX$10:$AX$16)),0,""))</f>
        <v/>
      </c>
      <c r="P230" s="369" t="str">
        <f ca="1">IF($B230&lt;&gt;"PRC_RESID","",IF(P$7=2005+OFFSET(COM_N_2012!$B$60,$AW230,SUMIF($B$10:$B$16,"NCAP_TLIFE",$AX$10:$AX$16)),0,""))</f>
        <v/>
      </c>
      <c r="Q230" s="369" t="str">
        <f ca="1">IF($B230&lt;&gt;"PRC_RESID","",IF(Q$7=2005+OFFSET(COM_N_2012!$B$60,$AW230,SUMIF($B$10:$B$16,"NCAP_TLIFE",$AX$10:$AX$16)),0,""))</f>
        <v/>
      </c>
      <c r="R230" s="369" t="str">
        <f ca="1">IF($B230&lt;&gt;"PRC_RESID","",IF(R$7=2005+OFFSET(COM_N_2012!$B$60,$AW230,SUMIF($B$10:$B$16,"NCAP_TLIFE",$AX$10:$AX$16)),0,""))</f>
        <v/>
      </c>
      <c r="S230" s="369" t="str">
        <f ca="1">IF($B230&lt;&gt;"PRC_RESID","",IF(S$7=2005+OFFSET(COM_N_2012!$B$60,$AW230,SUMIF($B$10:$B$16,"NCAP_TLIFE",$AX$10:$AX$16)),0,""))</f>
        <v/>
      </c>
      <c r="T230" s="369" t="str">
        <f ca="1">IF($B230&lt;&gt;"PRC_RESID","",IF(T$7=2005+OFFSET(COM_N_2012!$B$60,$AW230,SUMIF($B$10:$B$16,"NCAP_TLIFE",$AX$10:$AX$16)),0,""))</f>
        <v/>
      </c>
      <c r="U230" s="369" t="str">
        <f ca="1">IF($B230&lt;&gt;"PRC_RESID","",IF(U$7=2005+OFFSET(COM_N_2012!$B$60,$AW230,SUMIF($B$10:$B$16,"NCAP_TLIFE",$AX$10:$AX$16)),0,""))</f>
        <v/>
      </c>
      <c r="V230" s="369" t="str">
        <f ca="1">IF($B230&lt;&gt;"PRC_RESID","",IF(V$7=2005+OFFSET(COM_N_2012!$B$60,$AW230,SUMIF($B$10:$B$16,"NCAP_TLIFE",$AX$10:$AX$16)),0,""))</f>
        <v/>
      </c>
      <c r="W230" s="369" t="str">
        <f ca="1">IF($B230&lt;&gt;"PRC_RESID","",IF(W$7=2005+OFFSET(COM_N_2012!$B$60,$AW230,SUMIF($B$10:$B$16,"NCAP_TLIFE",$AX$10:$AX$16)),0,""))</f>
        <v/>
      </c>
      <c r="X230" s="369" t="str">
        <f ca="1">IF($B230&lt;&gt;"PRC_RESID","",IF(X$7=2005+OFFSET(COM_N_2012!$B$60,$AW230,SUMIF($B$10:$B$16,"NCAP_TLIFE",$AX$10:$AX$16)),0,""))</f>
        <v/>
      </c>
      <c r="Y230" s="369" t="str">
        <f ca="1">IF($B230&lt;&gt;"PRC_RESID","",IF(Y$7=2005+OFFSET(COM_N_2012!$B$60,$AW230,SUMIF($B$10:$B$16,"NCAP_TLIFE",$AX$10:$AX$16)),0,""))</f>
        <v/>
      </c>
      <c r="Z230" s="369" t="str">
        <f ca="1">IF($B230&lt;&gt;"PRC_RESID","",IF(Z$7=2005+OFFSET(COM_N_2012!$B$60,$AW230,SUMIF($B$10:$B$16,"NCAP_TLIFE",$AX$10:$AX$16)),0,""))</f>
        <v/>
      </c>
      <c r="AA230" s="369" t="str">
        <f ca="1">IF($B230&lt;&gt;"PRC_RESID","",IF(AA$7=2005+OFFSET(COM_N_2012!$B$60,$AW230,SUMIF($B$10:$B$16,"NCAP_TLIFE",$AX$10:$AX$16)),0,""))</f>
        <v/>
      </c>
      <c r="AB230" s="369" t="str">
        <f ca="1">IF($B230&lt;&gt;"PRC_RESID","",IF(AB$7=2005+OFFSET(COM_N_2012!$B$60,$AW230,SUMIF($B$10:$B$16,"NCAP_TLIFE",$AX$10:$AX$16)),0,""))</f>
        <v/>
      </c>
      <c r="AC230" s="369" t="str">
        <f ca="1">IF($B230&lt;&gt;"PRC_RESID","",IF(AC$7=2005+OFFSET(COM_N_2012!$B$60,$AW230,SUMIF($B$10:$B$16,"NCAP_TLIFE",$AX$10:$AX$16)),0,""))</f>
        <v/>
      </c>
      <c r="AD230" s="369" t="str">
        <f ca="1">IF($B230&lt;&gt;"PRC_RESID","",IF(AD$7=2005+OFFSET(COM_N_2012!$B$60,$AW230,SUMIF($B$10:$B$16,"NCAP_TLIFE",$AX$10:$AX$16)),0,""))</f>
        <v/>
      </c>
      <c r="AE230" s="369" t="str">
        <f ca="1">IF($B230&lt;&gt;"PRC_RESID","",IF(AE$7=2005+OFFSET(COM_N_2012!$B$60,$AW230,SUMIF($B$10:$B$16,"NCAP_TLIFE",$AX$10:$AX$16)),0,""))</f>
        <v/>
      </c>
      <c r="AF230" s="369" t="str">
        <f ca="1">IF($B230&lt;&gt;"PRC_RESID","",IF(AF$7=2005+OFFSET(COM_N_2012!$B$60,$AW230,SUMIF($B$10:$B$16,"NCAP_TLIFE",$AX$10:$AX$16)),0,""))</f>
        <v/>
      </c>
      <c r="AG230" s="369" t="str">
        <f ca="1">IF($B230&lt;&gt;"PRC_RESID","",IF(AG$7=2005+OFFSET(COM_N_2012!$B$60,$AW230,SUMIF($B$10:$B$16,"NCAP_TLIFE",$AX$10:$AX$16)),0,""))</f>
        <v/>
      </c>
      <c r="AH230" s="369" t="str">
        <f ca="1">IF($B230&lt;&gt;"PRC_RESID","",IF(AH$7=2005+OFFSET(COM_N_2012!$B$60,$AW230,SUMIF($B$10:$B$16,"NCAP_TLIFE",$AX$10:$AX$16)),0,""))</f>
        <v/>
      </c>
      <c r="AI230" s="369" t="str">
        <f ca="1">IF($B230&lt;&gt;"PRC_RESID","",IF(AI$7=2005+OFFSET(COM_N_2012!$B$60,$AW230,SUMIF($B$10:$B$16,"NCAP_TLIFE",$AX$10:$AX$16)),0,""))</f>
        <v/>
      </c>
      <c r="AJ230" s="369" t="str">
        <f ca="1">IF($B230&lt;&gt;"PRC_RESID","",IF(AJ$7=2005+OFFSET(COM_N_2012!$B$60,$AW230,SUMIF($B$10:$B$16,"NCAP_TLIFE",$AX$10:$AX$16)),0,""))</f>
        <v/>
      </c>
      <c r="AK230" s="369" t="str">
        <f ca="1">IF($B230&lt;&gt;"PRC_RESID","",IF(AK$7=2005+OFFSET(COM_N_2012!$B$60,$AW230,SUMIF($B$10:$B$16,"NCAP_TLIFE",$AX$10:$AX$16)),0,""))</f>
        <v/>
      </c>
      <c r="AL230" s="369" t="str">
        <f ca="1">IF($B230&lt;&gt;"PRC_RESID","",IF(AL$7=2005+OFFSET(COM_N_2012!$B$60,$AW230,SUMIF($B$10:$B$16,"NCAP_TLIFE",$AX$10:$AX$16)),0,""))</f>
        <v/>
      </c>
      <c r="AM230" s="369" t="str">
        <f ca="1">IF($B230&lt;&gt;"PRC_RESID","",IF(AM$7=2005+OFFSET(COM_N_2012!$B$60,$AW230,SUMIF($B$10:$B$16,"NCAP_TLIFE",$AX$10:$AX$16)),0,""))</f>
        <v/>
      </c>
      <c r="AN230" s="369" t="str">
        <f ca="1">IF($B230&lt;&gt;"PRC_RESID","",IF(AN$7=2005+OFFSET(COM_N_2012!$B$60,$AW230,SUMIF($B$10:$B$16,"NCAP_TLIFE",$AX$10:$AX$16)),0,""))</f>
        <v/>
      </c>
      <c r="AO230" s="369" t="str">
        <f ca="1">IF($B230&lt;&gt;"PRC_RESID","",IF(AO$7=2005+OFFSET(COM_N_2012!$B$60,$AW230,SUMIF($B$10:$B$16,"NCAP_TLIFE",$AX$10:$AX$16)),0,""))</f>
        <v/>
      </c>
      <c r="AP230" s="369" t="str">
        <f ca="1">IF($B230&lt;&gt;"PRC_RESID","",IF(AP$7=2005+OFFSET(COM_N_2012!$B$60,$AW230,SUMIF($B$10:$B$16,"NCAP_TLIFE",$AX$10:$AX$16)),0,""))</f>
        <v/>
      </c>
      <c r="AQ230" s="369" t="str">
        <f ca="1">IF($B230&lt;&gt;"PRC_RESID","",IF(AQ$7=2005+OFFSET(COM_N_2012!$B$60,$AW230,SUMIF($B$10:$B$16,"NCAP_TLIFE",$AX$10:$AX$16)),0,""))</f>
        <v/>
      </c>
      <c r="AR230" s="369" t="str">
        <f ca="1">IF($B230&lt;&gt;"PRC_RESID","",IF(AR$7=2005+OFFSET(COM_N_2012!$B$60,$AW230,SUMIF($B$10:$B$16,"NCAP_TLIFE",$AX$10:$AX$16)),0,""))</f>
        <v/>
      </c>
      <c r="AS230" s="369" t="str">
        <f ca="1">IF($B230&lt;&gt;"PRC_RESID","",IF(AS$7=2005+OFFSET(COM_N_2012!$B$60,$AW230,SUMIF($B$10:$B$16,"NCAP_TLIFE",$AX$10:$AX$16)),0,""))</f>
        <v/>
      </c>
      <c r="AT230" s="369" t="str">
        <f ca="1">IF($B230&lt;&gt;"PRC_RESID","",IF(AT$7=2005+OFFSET(COM_N_2012!$B$60,$AW230,SUMIF($B$10:$B$16,"NCAP_TLIFE",$AX$10:$AX$16)),0,""))</f>
        <v/>
      </c>
      <c r="AU230" s="369" t="str">
        <f ca="1">IF($B230&lt;&gt;"PRC_RESID","",IF(AU$7=2005+OFFSET(COM_N_2012!$B$60,$AW230,SUMIF($B$10:$B$16,"NCAP_TLIFE",$AX$10:$AX$16)),0,""))</f>
        <v/>
      </c>
      <c r="AV230" s="304">
        <f>IF(AW229=COM_N_2012!$AK$121,AV229+1,AV229)</f>
        <v>4</v>
      </c>
      <c r="AW230" s="304">
        <f t="shared" si="29"/>
        <v>30</v>
      </c>
    </row>
    <row r="231" spans="1:49">
      <c r="A231" s="304" t="str">
        <f ca="1">IF(LEFT(OFFSET(COM_N_2012!$A$60,AW231,0),2)="\I","*","")</f>
        <v>*</v>
      </c>
      <c r="B231" s="369" t="str">
        <f t="shared" ca="1" si="28"/>
        <v/>
      </c>
      <c r="C231" s="369" t="str">
        <f ca="1">IF($A231="*","",OFFSET(COM_N_2012!$B$60,AW231,0))</f>
        <v/>
      </c>
      <c r="D231" s="369" t="str">
        <f t="shared" ca="1" si="31"/>
        <v/>
      </c>
      <c r="E231" s="369" t="str">
        <f t="shared" ca="1" si="31"/>
        <v/>
      </c>
      <c r="F231" s="369" t="str">
        <f t="shared" ca="1" si="31"/>
        <v/>
      </c>
      <c r="G231" s="369" t="str">
        <f t="shared" ca="1" si="31"/>
        <v/>
      </c>
      <c r="H231" s="369" t="str">
        <f t="shared" ca="1" si="31"/>
        <v/>
      </c>
      <c r="I231" s="370" t="str">
        <f t="shared" ca="1" si="31"/>
        <v/>
      </c>
      <c r="J231" s="391" t="str">
        <f ca="1">IF($A231="*","",OFFSET(COM_N_2012!$B$60,AW231,SUMIF($B$10:$B$16,B231,$AX$10:$AX$16)))</f>
        <v/>
      </c>
      <c r="K231" s="369" t="str">
        <f ca="1">IF($B231&lt;&gt;"PRC_RESID","",IF(K$7=2005+OFFSET(COM_N_2012!$B$60,$AW231,SUMIF($B$10:$B$16,"NCAP_TLIFE",$AX$10:$AX$16)),0,""))</f>
        <v/>
      </c>
      <c r="L231" s="369" t="str">
        <f ca="1">IF($B231&lt;&gt;"PRC_RESID","",IF(L$7=2005+OFFSET(COM_N_2012!$B$60,$AW231,SUMIF($B$10:$B$16,"NCAP_TLIFE",$AX$10:$AX$16)),0,""))</f>
        <v/>
      </c>
      <c r="M231" s="369" t="str">
        <f ca="1">IF($B231&lt;&gt;"PRC_RESID","",IF(M$7=2005+OFFSET(COM_N_2012!$B$60,$AW231,SUMIF($B$10:$B$16,"NCAP_TLIFE",$AX$10:$AX$16)),0,""))</f>
        <v/>
      </c>
      <c r="N231" s="369" t="str">
        <f ca="1">IF($B231&lt;&gt;"PRC_RESID","",IF(N$7=2005+OFFSET(COM_N_2012!$B$60,$AW231,SUMIF($B$10:$B$16,"NCAP_TLIFE",$AX$10:$AX$16)),0,""))</f>
        <v/>
      </c>
      <c r="O231" s="369" t="str">
        <f ca="1">IF($B231&lt;&gt;"PRC_RESID","",IF(O$7=2005+OFFSET(COM_N_2012!$B$60,$AW231,SUMIF($B$10:$B$16,"NCAP_TLIFE",$AX$10:$AX$16)),0,""))</f>
        <v/>
      </c>
      <c r="P231" s="369" t="str">
        <f ca="1">IF($B231&lt;&gt;"PRC_RESID","",IF(P$7=2005+OFFSET(COM_N_2012!$B$60,$AW231,SUMIF($B$10:$B$16,"NCAP_TLIFE",$AX$10:$AX$16)),0,""))</f>
        <v/>
      </c>
      <c r="Q231" s="369" t="str">
        <f ca="1">IF($B231&lt;&gt;"PRC_RESID","",IF(Q$7=2005+OFFSET(COM_N_2012!$B$60,$AW231,SUMIF($B$10:$B$16,"NCAP_TLIFE",$AX$10:$AX$16)),0,""))</f>
        <v/>
      </c>
      <c r="R231" s="369" t="str">
        <f ca="1">IF($B231&lt;&gt;"PRC_RESID","",IF(R$7=2005+OFFSET(COM_N_2012!$B$60,$AW231,SUMIF($B$10:$B$16,"NCAP_TLIFE",$AX$10:$AX$16)),0,""))</f>
        <v/>
      </c>
      <c r="S231" s="369" t="str">
        <f ca="1">IF($B231&lt;&gt;"PRC_RESID","",IF(S$7=2005+OFFSET(COM_N_2012!$B$60,$AW231,SUMIF($B$10:$B$16,"NCAP_TLIFE",$AX$10:$AX$16)),0,""))</f>
        <v/>
      </c>
      <c r="T231" s="369" t="str">
        <f ca="1">IF($B231&lt;&gt;"PRC_RESID","",IF(T$7=2005+OFFSET(COM_N_2012!$B$60,$AW231,SUMIF($B$10:$B$16,"NCAP_TLIFE",$AX$10:$AX$16)),0,""))</f>
        <v/>
      </c>
      <c r="U231" s="369" t="str">
        <f ca="1">IF($B231&lt;&gt;"PRC_RESID","",IF(U$7=2005+OFFSET(COM_N_2012!$B$60,$AW231,SUMIF($B$10:$B$16,"NCAP_TLIFE",$AX$10:$AX$16)),0,""))</f>
        <v/>
      </c>
      <c r="V231" s="369" t="str">
        <f ca="1">IF($B231&lt;&gt;"PRC_RESID","",IF(V$7=2005+OFFSET(COM_N_2012!$B$60,$AW231,SUMIF($B$10:$B$16,"NCAP_TLIFE",$AX$10:$AX$16)),0,""))</f>
        <v/>
      </c>
      <c r="W231" s="369" t="str">
        <f ca="1">IF($B231&lt;&gt;"PRC_RESID","",IF(W$7=2005+OFFSET(COM_N_2012!$B$60,$AW231,SUMIF($B$10:$B$16,"NCAP_TLIFE",$AX$10:$AX$16)),0,""))</f>
        <v/>
      </c>
      <c r="X231" s="369" t="str">
        <f ca="1">IF($B231&lt;&gt;"PRC_RESID","",IF(X$7=2005+OFFSET(COM_N_2012!$B$60,$AW231,SUMIF($B$10:$B$16,"NCAP_TLIFE",$AX$10:$AX$16)),0,""))</f>
        <v/>
      </c>
      <c r="Y231" s="369" t="str">
        <f ca="1">IF($B231&lt;&gt;"PRC_RESID","",IF(Y$7=2005+OFFSET(COM_N_2012!$B$60,$AW231,SUMIF($B$10:$B$16,"NCAP_TLIFE",$AX$10:$AX$16)),0,""))</f>
        <v/>
      </c>
      <c r="Z231" s="369" t="str">
        <f ca="1">IF($B231&lt;&gt;"PRC_RESID","",IF(Z$7=2005+OFFSET(COM_N_2012!$B$60,$AW231,SUMIF($B$10:$B$16,"NCAP_TLIFE",$AX$10:$AX$16)),0,""))</f>
        <v/>
      </c>
      <c r="AA231" s="369" t="str">
        <f ca="1">IF($B231&lt;&gt;"PRC_RESID","",IF(AA$7=2005+OFFSET(COM_N_2012!$B$60,$AW231,SUMIF($B$10:$B$16,"NCAP_TLIFE",$AX$10:$AX$16)),0,""))</f>
        <v/>
      </c>
      <c r="AB231" s="369" t="str">
        <f ca="1">IF($B231&lt;&gt;"PRC_RESID","",IF(AB$7=2005+OFFSET(COM_N_2012!$B$60,$AW231,SUMIF($B$10:$B$16,"NCAP_TLIFE",$AX$10:$AX$16)),0,""))</f>
        <v/>
      </c>
      <c r="AC231" s="369" t="str">
        <f ca="1">IF($B231&lt;&gt;"PRC_RESID","",IF(AC$7=2005+OFFSET(COM_N_2012!$B$60,$AW231,SUMIF($B$10:$B$16,"NCAP_TLIFE",$AX$10:$AX$16)),0,""))</f>
        <v/>
      </c>
      <c r="AD231" s="369" t="str">
        <f ca="1">IF($B231&lt;&gt;"PRC_RESID","",IF(AD$7=2005+OFFSET(COM_N_2012!$B$60,$AW231,SUMIF($B$10:$B$16,"NCAP_TLIFE",$AX$10:$AX$16)),0,""))</f>
        <v/>
      </c>
      <c r="AE231" s="369" t="str">
        <f ca="1">IF($B231&lt;&gt;"PRC_RESID","",IF(AE$7=2005+OFFSET(COM_N_2012!$B$60,$AW231,SUMIF($B$10:$B$16,"NCAP_TLIFE",$AX$10:$AX$16)),0,""))</f>
        <v/>
      </c>
      <c r="AF231" s="369" t="str">
        <f ca="1">IF($B231&lt;&gt;"PRC_RESID","",IF(AF$7=2005+OFFSET(COM_N_2012!$B$60,$AW231,SUMIF($B$10:$B$16,"NCAP_TLIFE",$AX$10:$AX$16)),0,""))</f>
        <v/>
      </c>
      <c r="AG231" s="369" t="str">
        <f ca="1">IF($B231&lt;&gt;"PRC_RESID","",IF(AG$7=2005+OFFSET(COM_N_2012!$B$60,$AW231,SUMIF($B$10:$B$16,"NCAP_TLIFE",$AX$10:$AX$16)),0,""))</f>
        <v/>
      </c>
      <c r="AH231" s="369" t="str">
        <f ca="1">IF($B231&lt;&gt;"PRC_RESID","",IF(AH$7=2005+OFFSET(COM_N_2012!$B$60,$AW231,SUMIF($B$10:$B$16,"NCAP_TLIFE",$AX$10:$AX$16)),0,""))</f>
        <v/>
      </c>
      <c r="AI231" s="369" t="str">
        <f ca="1">IF($B231&lt;&gt;"PRC_RESID","",IF(AI$7=2005+OFFSET(COM_N_2012!$B$60,$AW231,SUMIF($B$10:$B$16,"NCAP_TLIFE",$AX$10:$AX$16)),0,""))</f>
        <v/>
      </c>
      <c r="AJ231" s="369" t="str">
        <f ca="1">IF($B231&lt;&gt;"PRC_RESID","",IF(AJ$7=2005+OFFSET(COM_N_2012!$B$60,$AW231,SUMIF($B$10:$B$16,"NCAP_TLIFE",$AX$10:$AX$16)),0,""))</f>
        <v/>
      </c>
      <c r="AK231" s="369" t="str">
        <f ca="1">IF($B231&lt;&gt;"PRC_RESID","",IF(AK$7=2005+OFFSET(COM_N_2012!$B$60,$AW231,SUMIF($B$10:$B$16,"NCAP_TLIFE",$AX$10:$AX$16)),0,""))</f>
        <v/>
      </c>
      <c r="AL231" s="369" t="str">
        <f ca="1">IF($B231&lt;&gt;"PRC_RESID","",IF(AL$7=2005+OFFSET(COM_N_2012!$B$60,$AW231,SUMIF($B$10:$B$16,"NCAP_TLIFE",$AX$10:$AX$16)),0,""))</f>
        <v/>
      </c>
      <c r="AM231" s="369" t="str">
        <f ca="1">IF($B231&lt;&gt;"PRC_RESID","",IF(AM$7=2005+OFFSET(COM_N_2012!$B$60,$AW231,SUMIF($B$10:$B$16,"NCAP_TLIFE",$AX$10:$AX$16)),0,""))</f>
        <v/>
      </c>
      <c r="AN231" s="369" t="str">
        <f ca="1">IF($B231&lt;&gt;"PRC_RESID","",IF(AN$7=2005+OFFSET(COM_N_2012!$B$60,$AW231,SUMIF($B$10:$B$16,"NCAP_TLIFE",$AX$10:$AX$16)),0,""))</f>
        <v/>
      </c>
      <c r="AO231" s="369" t="str">
        <f ca="1">IF($B231&lt;&gt;"PRC_RESID","",IF(AO$7=2005+OFFSET(COM_N_2012!$B$60,$AW231,SUMIF($B$10:$B$16,"NCAP_TLIFE",$AX$10:$AX$16)),0,""))</f>
        <v/>
      </c>
      <c r="AP231" s="369" t="str">
        <f ca="1">IF($B231&lt;&gt;"PRC_RESID","",IF(AP$7=2005+OFFSET(COM_N_2012!$B$60,$AW231,SUMIF($B$10:$B$16,"NCAP_TLIFE",$AX$10:$AX$16)),0,""))</f>
        <v/>
      </c>
      <c r="AQ231" s="369" t="str">
        <f ca="1">IF($B231&lt;&gt;"PRC_RESID","",IF(AQ$7=2005+OFFSET(COM_N_2012!$B$60,$AW231,SUMIF($B$10:$B$16,"NCAP_TLIFE",$AX$10:$AX$16)),0,""))</f>
        <v/>
      </c>
      <c r="AR231" s="369" t="str">
        <f ca="1">IF($B231&lt;&gt;"PRC_RESID","",IF(AR$7=2005+OFFSET(COM_N_2012!$B$60,$AW231,SUMIF($B$10:$B$16,"NCAP_TLIFE",$AX$10:$AX$16)),0,""))</f>
        <v/>
      </c>
      <c r="AS231" s="369" t="str">
        <f ca="1">IF($B231&lt;&gt;"PRC_RESID","",IF(AS$7=2005+OFFSET(COM_N_2012!$B$60,$AW231,SUMIF($B$10:$B$16,"NCAP_TLIFE",$AX$10:$AX$16)),0,""))</f>
        <v/>
      </c>
      <c r="AT231" s="369" t="str">
        <f ca="1">IF($B231&lt;&gt;"PRC_RESID","",IF(AT$7=2005+OFFSET(COM_N_2012!$B$60,$AW231,SUMIF($B$10:$B$16,"NCAP_TLIFE",$AX$10:$AX$16)),0,""))</f>
        <v/>
      </c>
      <c r="AU231" s="369" t="str">
        <f ca="1">IF($B231&lt;&gt;"PRC_RESID","",IF(AU$7=2005+OFFSET(COM_N_2012!$B$60,$AW231,SUMIF($B$10:$B$16,"NCAP_TLIFE",$AX$10:$AX$16)),0,""))</f>
        <v/>
      </c>
      <c r="AV231" s="304">
        <f>IF(AW230=COM_N_2012!$AK$121,AV230+1,AV230)</f>
        <v>4</v>
      </c>
      <c r="AW231" s="304">
        <f t="shared" si="29"/>
        <v>31</v>
      </c>
    </row>
    <row r="232" spans="1:49">
      <c r="A232" s="304" t="str">
        <f ca="1">IF(LEFT(OFFSET(COM_N_2012!$A$60,AW232,0),2)="\I","*","")</f>
        <v>*</v>
      </c>
      <c r="B232" s="369" t="str">
        <f t="shared" ca="1" si="28"/>
        <v/>
      </c>
      <c r="C232" s="369" t="str">
        <f ca="1">IF($A232="*","",OFFSET(COM_N_2012!$B$60,AW232,0))</f>
        <v/>
      </c>
      <c r="D232" s="369" t="str">
        <f t="shared" ca="1" si="31"/>
        <v/>
      </c>
      <c r="E232" s="369" t="str">
        <f t="shared" ca="1" si="31"/>
        <v/>
      </c>
      <c r="F232" s="369" t="str">
        <f t="shared" ca="1" si="31"/>
        <v/>
      </c>
      <c r="G232" s="369" t="str">
        <f t="shared" ca="1" si="31"/>
        <v/>
      </c>
      <c r="H232" s="369" t="str">
        <f t="shared" ca="1" si="31"/>
        <v/>
      </c>
      <c r="I232" s="370" t="str">
        <f t="shared" ca="1" si="31"/>
        <v/>
      </c>
      <c r="J232" s="391" t="str">
        <f ca="1">IF($A232="*","",OFFSET(COM_N_2012!$B$60,AW232,SUMIF($B$10:$B$16,B232,$AX$10:$AX$16)))</f>
        <v/>
      </c>
      <c r="K232" s="369" t="str">
        <f ca="1">IF($B232&lt;&gt;"PRC_RESID","",IF(K$7=2005+OFFSET(COM_N_2012!$B$60,$AW232,SUMIF($B$10:$B$16,"NCAP_TLIFE",$AX$10:$AX$16)),0,""))</f>
        <v/>
      </c>
      <c r="L232" s="369" t="str">
        <f ca="1">IF($B232&lt;&gt;"PRC_RESID","",IF(L$7=2005+OFFSET(COM_N_2012!$B$60,$AW232,SUMIF($B$10:$B$16,"NCAP_TLIFE",$AX$10:$AX$16)),0,""))</f>
        <v/>
      </c>
      <c r="M232" s="369" t="str">
        <f ca="1">IF($B232&lt;&gt;"PRC_RESID","",IF(M$7=2005+OFFSET(COM_N_2012!$B$60,$AW232,SUMIF($B$10:$B$16,"NCAP_TLIFE",$AX$10:$AX$16)),0,""))</f>
        <v/>
      </c>
      <c r="N232" s="369" t="str">
        <f ca="1">IF($B232&lt;&gt;"PRC_RESID","",IF(N$7=2005+OFFSET(COM_N_2012!$B$60,$AW232,SUMIF($B$10:$B$16,"NCAP_TLIFE",$AX$10:$AX$16)),0,""))</f>
        <v/>
      </c>
      <c r="O232" s="369" t="str">
        <f ca="1">IF($B232&lt;&gt;"PRC_RESID","",IF(O$7=2005+OFFSET(COM_N_2012!$B$60,$AW232,SUMIF($B$10:$B$16,"NCAP_TLIFE",$AX$10:$AX$16)),0,""))</f>
        <v/>
      </c>
      <c r="P232" s="369" t="str">
        <f ca="1">IF($B232&lt;&gt;"PRC_RESID","",IF(P$7=2005+OFFSET(COM_N_2012!$B$60,$AW232,SUMIF($B$10:$B$16,"NCAP_TLIFE",$AX$10:$AX$16)),0,""))</f>
        <v/>
      </c>
      <c r="Q232" s="369" t="str">
        <f ca="1">IF($B232&lt;&gt;"PRC_RESID","",IF(Q$7=2005+OFFSET(COM_N_2012!$B$60,$AW232,SUMIF($B$10:$B$16,"NCAP_TLIFE",$AX$10:$AX$16)),0,""))</f>
        <v/>
      </c>
      <c r="R232" s="369" t="str">
        <f ca="1">IF($B232&lt;&gt;"PRC_RESID","",IF(R$7=2005+OFFSET(COM_N_2012!$B$60,$AW232,SUMIF($B$10:$B$16,"NCAP_TLIFE",$AX$10:$AX$16)),0,""))</f>
        <v/>
      </c>
      <c r="S232" s="369" t="str">
        <f ca="1">IF($B232&lt;&gt;"PRC_RESID","",IF(S$7=2005+OFFSET(COM_N_2012!$B$60,$AW232,SUMIF($B$10:$B$16,"NCAP_TLIFE",$AX$10:$AX$16)),0,""))</f>
        <v/>
      </c>
      <c r="T232" s="369" t="str">
        <f ca="1">IF($B232&lt;&gt;"PRC_RESID","",IF(T$7=2005+OFFSET(COM_N_2012!$B$60,$AW232,SUMIF($B$10:$B$16,"NCAP_TLIFE",$AX$10:$AX$16)),0,""))</f>
        <v/>
      </c>
      <c r="U232" s="369" t="str">
        <f ca="1">IF($B232&lt;&gt;"PRC_RESID","",IF(U$7=2005+OFFSET(COM_N_2012!$B$60,$AW232,SUMIF($B$10:$B$16,"NCAP_TLIFE",$AX$10:$AX$16)),0,""))</f>
        <v/>
      </c>
      <c r="V232" s="369" t="str">
        <f ca="1">IF($B232&lt;&gt;"PRC_RESID","",IF(V$7=2005+OFFSET(COM_N_2012!$B$60,$AW232,SUMIF($B$10:$B$16,"NCAP_TLIFE",$AX$10:$AX$16)),0,""))</f>
        <v/>
      </c>
      <c r="W232" s="369" t="str">
        <f ca="1">IF($B232&lt;&gt;"PRC_RESID","",IF(W$7=2005+OFFSET(COM_N_2012!$B$60,$AW232,SUMIF($B$10:$B$16,"NCAP_TLIFE",$AX$10:$AX$16)),0,""))</f>
        <v/>
      </c>
      <c r="X232" s="369" t="str">
        <f ca="1">IF($B232&lt;&gt;"PRC_RESID","",IF(X$7=2005+OFFSET(COM_N_2012!$B$60,$AW232,SUMIF($B$10:$B$16,"NCAP_TLIFE",$AX$10:$AX$16)),0,""))</f>
        <v/>
      </c>
      <c r="Y232" s="369" t="str">
        <f ca="1">IF($B232&lt;&gt;"PRC_RESID","",IF(Y$7=2005+OFFSET(COM_N_2012!$B$60,$AW232,SUMIF($B$10:$B$16,"NCAP_TLIFE",$AX$10:$AX$16)),0,""))</f>
        <v/>
      </c>
      <c r="Z232" s="369" t="str">
        <f ca="1">IF($B232&lt;&gt;"PRC_RESID","",IF(Z$7=2005+OFFSET(COM_N_2012!$B$60,$AW232,SUMIF($B$10:$B$16,"NCAP_TLIFE",$AX$10:$AX$16)),0,""))</f>
        <v/>
      </c>
      <c r="AA232" s="369" t="str">
        <f ca="1">IF($B232&lt;&gt;"PRC_RESID","",IF(AA$7=2005+OFFSET(COM_N_2012!$B$60,$AW232,SUMIF($B$10:$B$16,"NCAP_TLIFE",$AX$10:$AX$16)),0,""))</f>
        <v/>
      </c>
      <c r="AB232" s="369" t="str">
        <f ca="1">IF($B232&lt;&gt;"PRC_RESID","",IF(AB$7=2005+OFFSET(COM_N_2012!$B$60,$AW232,SUMIF($B$10:$B$16,"NCAP_TLIFE",$AX$10:$AX$16)),0,""))</f>
        <v/>
      </c>
      <c r="AC232" s="369" t="str">
        <f ca="1">IF($B232&lt;&gt;"PRC_RESID","",IF(AC$7=2005+OFFSET(COM_N_2012!$B$60,$AW232,SUMIF($B$10:$B$16,"NCAP_TLIFE",$AX$10:$AX$16)),0,""))</f>
        <v/>
      </c>
      <c r="AD232" s="369" t="str">
        <f ca="1">IF($B232&lt;&gt;"PRC_RESID","",IF(AD$7=2005+OFFSET(COM_N_2012!$B$60,$AW232,SUMIF($B$10:$B$16,"NCAP_TLIFE",$AX$10:$AX$16)),0,""))</f>
        <v/>
      </c>
      <c r="AE232" s="369" t="str">
        <f ca="1">IF($B232&lt;&gt;"PRC_RESID","",IF(AE$7=2005+OFFSET(COM_N_2012!$B$60,$AW232,SUMIF($B$10:$B$16,"NCAP_TLIFE",$AX$10:$AX$16)),0,""))</f>
        <v/>
      </c>
      <c r="AF232" s="369" t="str">
        <f ca="1">IF($B232&lt;&gt;"PRC_RESID","",IF(AF$7=2005+OFFSET(COM_N_2012!$B$60,$AW232,SUMIF($B$10:$B$16,"NCAP_TLIFE",$AX$10:$AX$16)),0,""))</f>
        <v/>
      </c>
      <c r="AG232" s="369" t="str">
        <f ca="1">IF($B232&lt;&gt;"PRC_RESID","",IF(AG$7=2005+OFFSET(COM_N_2012!$B$60,$AW232,SUMIF($B$10:$B$16,"NCAP_TLIFE",$AX$10:$AX$16)),0,""))</f>
        <v/>
      </c>
      <c r="AH232" s="369" t="str">
        <f ca="1">IF($B232&lt;&gt;"PRC_RESID","",IF(AH$7=2005+OFFSET(COM_N_2012!$B$60,$AW232,SUMIF($B$10:$B$16,"NCAP_TLIFE",$AX$10:$AX$16)),0,""))</f>
        <v/>
      </c>
      <c r="AI232" s="369" t="str">
        <f ca="1">IF($B232&lt;&gt;"PRC_RESID","",IF(AI$7=2005+OFFSET(COM_N_2012!$B$60,$AW232,SUMIF($B$10:$B$16,"NCAP_TLIFE",$AX$10:$AX$16)),0,""))</f>
        <v/>
      </c>
      <c r="AJ232" s="369" t="str">
        <f ca="1">IF($B232&lt;&gt;"PRC_RESID","",IF(AJ$7=2005+OFFSET(COM_N_2012!$B$60,$AW232,SUMIF($B$10:$B$16,"NCAP_TLIFE",$AX$10:$AX$16)),0,""))</f>
        <v/>
      </c>
      <c r="AK232" s="369" t="str">
        <f ca="1">IF($B232&lt;&gt;"PRC_RESID","",IF(AK$7=2005+OFFSET(COM_N_2012!$B$60,$AW232,SUMIF($B$10:$B$16,"NCAP_TLIFE",$AX$10:$AX$16)),0,""))</f>
        <v/>
      </c>
      <c r="AL232" s="369" t="str">
        <f ca="1">IF($B232&lt;&gt;"PRC_RESID","",IF(AL$7=2005+OFFSET(COM_N_2012!$B$60,$AW232,SUMIF($B$10:$B$16,"NCAP_TLIFE",$AX$10:$AX$16)),0,""))</f>
        <v/>
      </c>
      <c r="AM232" s="369" t="str">
        <f ca="1">IF($B232&lt;&gt;"PRC_RESID","",IF(AM$7=2005+OFFSET(COM_N_2012!$B$60,$AW232,SUMIF($B$10:$B$16,"NCAP_TLIFE",$AX$10:$AX$16)),0,""))</f>
        <v/>
      </c>
      <c r="AN232" s="369" t="str">
        <f ca="1">IF($B232&lt;&gt;"PRC_RESID","",IF(AN$7=2005+OFFSET(COM_N_2012!$B$60,$AW232,SUMIF($B$10:$B$16,"NCAP_TLIFE",$AX$10:$AX$16)),0,""))</f>
        <v/>
      </c>
      <c r="AO232" s="369" t="str">
        <f ca="1">IF($B232&lt;&gt;"PRC_RESID","",IF(AO$7=2005+OFFSET(COM_N_2012!$B$60,$AW232,SUMIF($B$10:$B$16,"NCAP_TLIFE",$AX$10:$AX$16)),0,""))</f>
        <v/>
      </c>
      <c r="AP232" s="369" t="str">
        <f ca="1">IF($B232&lt;&gt;"PRC_RESID","",IF(AP$7=2005+OFFSET(COM_N_2012!$B$60,$AW232,SUMIF($B$10:$B$16,"NCAP_TLIFE",$AX$10:$AX$16)),0,""))</f>
        <v/>
      </c>
      <c r="AQ232" s="369" t="str">
        <f ca="1">IF($B232&lt;&gt;"PRC_RESID","",IF(AQ$7=2005+OFFSET(COM_N_2012!$B$60,$AW232,SUMIF($B$10:$B$16,"NCAP_TLIFE",$AX$10:$AX$16)),0,""))</f>
        <v/>
      </c>
      <c r="AR232" s="369" t="str">
        <f ca="1">IF($B232&lt;&gt;"PRC_RESID","",IF(AR$7=2005+OFFSET(COM_N_2012!$B$60,$AW232,SUMIF($B$10:$B$16,"NCAP_TLIFE",$AX$10:$AX$16)),0,""))</f>
        <v/>
      </c>
      <c r="AS232" s="369" t="str">
        <f ca="1">IF($B232&lt;&gt;"PRC_RESID","",IF(AS$7=2005+OFFSET(COM_N_2012!$B$60,$AW232,SUMIF($B$10:$B$16,"NCAP_TLIFE",$AX$10:$AX$16)),0,""))</f>
        <v/>
      </c>
      <c r="AT232" s="369" t="str">
        <f ca="1">IF($B232&lt;&gt;"PRC_RESID","",IF(AT$7=2005+OFFSET(COM_N_2012!$B$60,$AW232,SUMIF($B$10:$B$16,"NCAP_TLIFE",$AX$10:$AX$16)),0,""))</f>
        <v/>
      </c>
      <c r="AU232" s="369" t="str">
        <f ca="1">IF($B232&lt;&gt;"PRC_RESID","",IF(AU$7=2005+OFFSET(COM_N_2012!$B$60,$AW232,SUMIF($B$10:$B$16,"NCAP_TLIFE",$AX$10:$AX$16)),0,""))</f>
        <v/>
      </c>
      <c r="AV232" s="304">
        <f>IF(AW231=COM_N_2012!$AK$121,AV231+1,AV231)</f>
        <v>4</v>
      </c>
      <c r="AW232" s="304">
        <f t="shared" si="29"/>
        <v>32</v>
      </c>
    </row>
    <row r="233" spans="1:49">
      <c r="A233" s="304" t="str">
        <f ca="1">IF(LEFT(OFFSET(COM_N_2012!$A$60,AW233,0),2)="\I","*","")</f>
        <v/>
      </c>
      <c r="B233" s="369" t="str">
        <f t="shared" ca="1" si="28"/>
        <v>NCAP_COST</v>
      </c>
      <c r="C233" s="369" t="str">
        <f ca="1">IF($A233="*","",OFFSET(COM_N_2012!$B$60,AW233,0))</f>
        <v>CNWELC-E</v>
      </c>
      <c r="D233" s="369" t="str">
        <f t="shared" ca="1" si="31"/>
        <v>-</v>
      </c>
      <c r="E233" s="369" t="str">
        <f t="shared" ca="1" si="31"/>
        <v>-</v>
      </c>
      <c r="F233" s="369" t="str">
        <f t="shared" ca="1" si="31"/>
        <v>-</v>
      </c>
      <c r="G233" s="369" t="str">
        <f t="shared" ca="1" si="31"/>
        <v>-</v>
      </c>
      <c r="H233" s="369" t="str">
        <f t="shared" ca="1" si="31"/>
        <v>-</v>
      </c>
      <c r="I233" s="370">
        <f t="shared" ca="1" si="31"/>
        <v>0</v>
      </c>
      <c r="J233" s="391">
        <f ca="1">IF($A233="*","",OFFSET(COM_N_2012!$B$60,AW233,SUMIF($B$10:$B$16,B233,$AX$10:$AX$16)))</f>
        <v>31.581453839889381</v>
      </c>
      <c r="K233" s="369" t="str">
        <f ca="1">IF($B233&lt;&gt;"PRC_RESID","",IF(K$7=2005+OFFSET(COM_N_2012!$B$60,$AW233,SUMIF($B$10:$B$16,"NCAP_TLIFE",$AX$10:$AX$16)),0,""))</f>
        <v/>
      </c>
      <c r="L233" s="369" t="str">
        <f ca="1">IF($B233&lt;&gt;"PRC_RESID","",IF(L$7=2005+OFFSET(COM_N_2012!$B$60,$AW233,SUMIF($B$10:$B$16,"NCAP_TLIFE",$AX$10:$AX$16)),0,""))</f>
        <v/>
      </c>
      <c r="M233" s="369" t="str">
        <f ca="1">IF($B233&lt;&gt;"PRC_RESID","",IF(M$7=2005+OFFSET(COM_N_2012!$B$60,$AW233,SUMIF($B$10:$B$16,"NCAP_TLIFE",$AX$10:$AX$16)),0,""))</f>
        <v/>
      </c>
      <c r="N233" s="369" t="str">
        <f ca="1">IF($B233&lt;&gt;"PRC_RESID","",IF(N$7=2005+OFFSET(COM_N_2012!$B$60,$AW233,SUMIF($B$10:$B$16,"NCAP_TLIFE",$AX$10:$AX$16)),0,""))</f>
        <v/>
      </c>
      <c r="O233" s="369" t="str">
        <f ca="1">IF($B233&lt;&gt;"PRC_RESID","",IF(O$7=2005+OFFSET(COM_N_2012!$B$60,$AW233,SUMIF($B$10:$B$16,"NCAP_TLIFE",$AX$10:$AX$16)),0,""))</f>
        <v/>
      </c>
      <c r="P233" s="369" t="str">
        <f ca="1">IF($B233&lt;&gt;"PRC_RESID","",IF(P$7=2005+OFFSET(COM_N_2012!$B$60,$AW233,SUMIF($B$10:$B$16,"NCAP_TLIFE",$AX$10:$AX$16)),0,""))</f>
        <v/>
      </c>
      <c r="Q233" s="369" t="str">
        <f ca="1">IF($B233&lt;&gt;"PRC_RESID","",IF(Q$7=2005+OFFSET(COM_N_2012!$B$60,$AW233,SUMIF($B$10:$B$16,"NCAP_TLIFE",$AX$10:$AX$16)),0,""))</f>
        <v/>
      </c>
      <c r="R233" s="369" t="str">
        <f ca="1">IF($B233&lt;&gt;"PRC_RESID","",IF(R$7=2005+OFFSET(COM_N_2012!$B$60,$AW233,SUMIF($B$10:$B$16,"NCAP_TLIFE",$AX$10:$AX$16)),0,""))</f>
        <v/>
      </c>
      <c r="S233" s="369" t="str">
        <f ca="1">IF($B233&lt;&gt;"PRC_RESID","",IF(S$7=2005+OFFSET(COM_N_2012!$B$60,$AW233,SUMIF($B$10:$B$16,"NCAP_TLIFE",$AX$10:$AX$16)),0,""))</f>
        <v/>
      </c>
      <c r="T233" s="369" t="str">
        <f ca="1">IF($B233&lt;&gt;"PRC_RESID","",IF(T$7=2005+OFFSET(COM_N_2012!$B$60,$AW233,SUMIF($B$10:$B$16,"NCAP_TLIFE",$AX$10:$AX$16)),0,""))</f>
        <v/>
      </c>
      <c r="U233" s="369" t="str">
        <f ca="1">IF($B233&lt;&gt;"PRC_RESID","",IF(U$7=2005+OFFSET(COM_N_2012!$B$60,$AW233,SUMIF($B$10:$B$16,"NCAP_TLIFE",$AX$10:$AX$16)),0,""))</f>
        <v/>
      </c>
      <c r="V233" s="369" t="str">
        <f ca="1">IF($B233&lt;&gt;"PRC_RESID","",IF(V$7=2005+OFFSET(COM_N_2012!$B$60,$AW233,SUMIF($B$10:$B$16,"NCAP_TLIFE",$AX$10:$AX$16)),0,""))</f>
        <v/>
      </c>
      <c r="W233" s="369" t="str">
        <f ca="1">IF($B233&lt;&gt;"PRC_RESID","",IF(W$7=2005+OFFSET(COM_N_2012!$B$60,$AW233,SUMIF($B$10:$B$16,"NCAP_TLIFE",$AX$10:$AX$16)),0,""))</f>
        <v/>
      </c>
      <c r="X233" s="369" t="str">
        <f ca="1">IF($B233&lt;&gt;"PRC_RESID","",IF(X$7=2005+OFFSET(COM_N_2012!$B$60,$AW233,SUMIF($B$10:$B$16,"NCAP_TLIFE",$AX$10:$AX$16)),0,""))</f>
        <v/>
      </c>
      <c r="Y233" s="369" t="str">
        <f ca="1">IF($B233&lt;&gt;"PRC_RESID","",IF(Y$7=2005+OFFSET(COM_N_2012!$B$60,$AW233,SUMIF($B$10:$B$16,"NCAP_TLIFE",$AX$10:$AX$16)),0,""))</f>
        <v/>
      </c>
      <c r="Z233" s="369" t="str">
        <f ca="1">IF($B233&lt;&gt;"PRC_RESID","",IF(Z$7=2005+OFFSET(COM_N_2012!$B$60,$AW233,SUMIF($B$10:$B$16,"NCAP_TLIFE",$AX$10:$AX$16)),0,""))</f>
        <v/>
      </c>
      <c r="AA233" s="369" t="str">
        <f ca="1">IF($B233&lt;&gt;"PRC_RESID","",IF(AA$7=2005+OFFSET(COM_N_2012!$B$60,$AW233,SUMIF($B$10:$B$16,"NCAP_TLIFE",$AX$10:$AX$16)),0,""))</f>
        <v/>
      </c>
      <c r="AB233" s="369" t="str">
        <f ca="1">IF($B233&lt;&gt;"PRC_RESID","",IF(AB$7=2005+OFFSET(COM_N_2012!$B$60,$AW233,SUMIF($B$10:$B$16,"NCAP_TLIFE",$AX$10:$AX$16)),0,""))</f>
        <v/>
      </c>
      <c r="AC233" s="369" t="str">
        <f ca="1">IF($B233&lt;&gt;"PRC_RESID","",IF(AC$7=2005+OFFSET(COM_N_2012!$B$60,$AW233,SUMIF($B$10:$B$16,"NCAP_TLIFE",$AX$10:$AX$16)),0,""))</f>
        <v/>
      </c>
      <c r="AD233" s="369" t="str">
        <f ca="1">IF($B233&lt;&gt;"PRC_RESID","",IF(AD$7=2005+OFFSET(COM_N_2012!$B$60,$AW233,SUMIF($B$10:$B$16,"NCAP_TLIFE",$AX$10:$AX$16)),0,""))</f>
        <v/>
      </c>
      <c r="AE233" s="369" t="str">
        <f ca="1">IF($B233&lt;&gt;"PRC_RESID","",IF(AE$7=2005+OFFSET(COM_N_2012!$B$60,$AW233,SUMIF($B$10:$B$16,"NCAP_TLIFE",$AX$10:$AX$16)),0,""))</f>
        <v/>
      </c>
      <c r="AF233" s="369" t="str">
        <f ca="1">IF($B233&lt;&gt;"PRC_RESID","",IF(AF$7=2005+OFFSET(COM_N_2012!$B$60,$AW233,SUMIF($B$10:$B$16,"NCAP_TLIFE",$AX$10:$AX$16)),0,""))</f>
        <v/>
      </c>
      <c r="AG233" s="369" t="str">
        <f ca="1">IF($B233&lt;&gt;"PRC_RESID","",IF(AG$7=2005+OFFSET(COM_N_2012!$B$60,$AW233,SUMIF($B$10:$B$16,"NCAP_TLIFE",$AX$10:$AX$16)),0,""))</f>
        <v/>
      </c>
      <c r="AH233" s="369" t="str">
        <f ca="1">IF($B233&lt;&gt;"PRC_RESID","",IF(AH$7=2005+OFFSET(COM_N_2012!$B$60,$AW233,SUMIF($B$10:$B$16,"NCAP_TLIFE",$AX$10:$AX$16)),0,""))</f>
        <v/>
      </c>
      <c r="AI233" s="369" t="str">
        <f ca="1">IF($B233&lt;&gt;"PRC_RESID","",IF(AI$7=2005+OFFSET(COM_N_2012!$B$60,$AW233,SUMIF($B$10:$B$16,"NCAP_TLIFE",$AX$10:$AX$16)),0,""))</f>
        <v/>
      </c>
      <c r="AJ233" s="369" t="str">
        <f ca="1">IF($B233&lt;&gt;"PRC_RESID","",IF(AJ$7=2005+OFFSET(COM_N_2012!$B$60,$AW233,SUMIF($B$10:$B$16,"NCAP_TLIFE",$AX$10:$AX$16)),0,""))</f>
        <v/>
      </c>
      <c r="AK233" s="369" t="str">
        <f ca="1">IF($B233&lt;&gt;"PRC_RESID","",IF(AK$7=2005+OFFSET(COM_N_2012!$B$60,$AW233,SUMIF($B$10:$B$16,"NCAP_TLIFE",$AX$10:$AX$16)),0,""))</f>
        <v/>
      </c>
      <c r="AL233" s="369" t="str">
        <f ca="1">IF($B233&lt;&gt;"PRC_RESID","",IF(AL$7=2005+OFFSET(COM_N_2012!$B$60,$AW233,SUMIF($B$10:$B$16,"NCAP_TLIFE",$AX$10:$AX$16)),0,""))</f>
        <v/>
      </c>
      <c r="AM233" s="369" t="str">
        <f ca="1">IF($B233&lt;&gt;"PRC_RESID","",IF(AM$7=2005+OFFSET(COM_N_2012!$B$60,$AW233,SUMIF($B$10:$B$16,"NCAP_TLIFE",$AX$10:$AX$16)),0,""))</f>
        <v/>
      </c>
      <c r="AN233" s="369" t="str">
        <f ca="1">IF($B233&lt;&gt;"PRC_RESID","",IF(AN$7=2005+OFFSET(COM_N_2012!$B$60,$AW233,SUMIF($B$10:$B$16,"NCAP_TLIFE",$AX$10:$AX$16)),0,""))</f>
        <v/>
      </c>
      <c r="AO233" s="369" t="str">
        <f ca="1">IF($B233&lt;&gt;"PRC_RESID","",IF(AO$7=2005+OFFSET(COM_N_2012!$B$60,$AW233,SUMIF($B$10:$B$16,"NCAP_TLIFE",$AX$10:$AX$16)),0,""))</f>
        <v/>
      </c>
      <c r="AP233" s="369" t="str">
        <f ca="1">IF($B233&lt;&gt;"PRC_RESID","",IF(AP$7=2005+OFFSET(COM_N_2012!$B$60,$AW233,SUMIF($B$10:$B$16,"NCAP_TLIFE",$AX$10:$AX$16)),0,""))</f>
        <v/>
      </c>
      <c r="AQ233" s="369" t="str">
        <f ca="1">IF($B233&lt;&gt;"PRC_RESID","",IF(AQ$7=2005+OFFSET(COM_N_2012!$B$60,$AW233,SUMIF($B$10:$B$16,"NCAP_TLIFE",$AX$10:$AX$16)),0,""))</f>
        <v/>
      </c>
      <c r="AR233" s="369" t="str">
        <f ca="1">IF($B233&lt;&gt;"PRC_RESID","",IF(AR$7=2005+OFFSET(COM_N_2012!$B$60,$AW233,SUMIF($B$10:$B$16,"NCAP_TLIFE",$AX$10:$AX$16)),0,""))</f>
        <v/>
      </c>
      <c r="AS233" s="369" t="str">
        <f ca="1">IF($B233&lt;&gt;"PRC_RESID","",IF(AS$7=2005+OFFSET(COM_N_2012!$B$60,$AW233,SUMIF($B$10:$B$16,"NCAP_TLIFE",$AX$10:$AX$16)),0,""))</f>
        <v/>
      </c>
      <c r="AT233" s="369" t="str">
        <f ca="1">IF($B233&lt;&gt;"PRC_RESID","",IF(AT$7=2005+OFFSET(COM_N_2012!$B$60,$AW233,SUMIF($B$10:$B$16,"NCAP_TLIFE",$AX$10:$AX$16)),0,""))</f>
        <v/>
      </c>
      <c r="AU233" s="369" t="str">
        <f ca="1">IF($B233&lt;&gt;"PRC_RESID","",IF(AU$7=2005+OFFSET(COM_N_2012!$B$60,$AW233,SUMIF($B$10:$B$16,"NCAP_TLIFE",$AX$10:$AX$16)),0,""))</f>
        <v/>
      </c>
      <c r="AV233" s="304">
        <f>IF(AW232=COM_N_2012!$AK$121,AV232+1,AV232)</f>
        <v>4</v>
      </c>
      <c r="AW233" s="304">
        <f t="shared" si="29"/>
        <v>33</v>
      </c>
    </row>
    <row r="234" spans="1:49">
      <c r="A234" s="304" t="str">
        <f ca="1">IF(LEFT(OFFSET(COM_N_2012!$A$60,AW234,0),2)="\I","*","")</f>
        <v/>
      </c>
      <c r="B234" s="369" t="str">
        <f t="shared" ca="1" si="28"/>
        <v>NCAP_COST</v>
      </c>
      <c r="C234" s="369" t="str">
        <f ca="1">IF($A234="*","",OFFSET(COM_N_2012!$B$60,AW234,0))</f>
        <v>CNWCOA-E</v>
      </c>
      <c r="D234" s="369" t="str">
        <f t="shared" ca="1" si="31"/>
        <v>-</v>
      </c>
      <c r="E234" s="369" t="str">
        <f t="shared" ca="1" si="31"/>
        <v>-</v>
      </c>
      <c r="F234" s="369" t="str">
        <f t="shared" ca="1" si="31"/>
        <v>-</v>
      </c>
      <c r="G234" s="369" t="str">
        <f t="shared" ca="1" si="31"/>
        <v>-</v>
      </c>
      <c r="H234" s="369" t="str">
        <f t="shared" ca="1" si="31"/>
        <v>-</v>
      </c>
      <c r="I234" s="370">
        <f t="shared" ca="1" si="31"/>
        <v>0</v>
      </c>
      <c r="J234" s="391">
        <f ca="1">IF($A234="*","",OFFSET(COM_N_2012!$B$60,AW234,SUMIF($B$10:$B$16,B234,$AX$10:$AX$16)))</f>
        <v>211.94584531928834</v>
      </c>
      <c r="K234" s="369" t="str">
        <f ca="1">IF($B234&lt;&gt;"PRC_RESID","",IF(K$7=2005+OFFSET(COM_N_2012!$B$60,$AW234,SUMIF($B$10:$B$16,"NCAP_TLIFE",$AX$10:$AX$16)),0,""))</f>
        <v/>
      </c>
      <c r="L234" s="369" t="str">
        <f ca="1">IF($B234&lt;&gt;"PRC_RESID","",IF(L$7=2005+OFFSET(COM_N_2012!$B$60,$AW234,SUMIF($B$10:$B$16,"NCAP_TLIFE",$AX$10:$AX$16)),0,""))</f>
        <v/>
      </c>
      <c r="M234" s="369" t="str">
        <f ca="1">IF($B234&lt;&gt;"PRC_RESID","",IF(M$7=2005+OFFSET(COM_N_2012!$B$60,$AW234,SUMIF($B$10:$B$16,"NCAP_TLIFE",$AX$10:$AX$16)),0,""))</f>
        <v/>
      </c>
      <c r="N234" s="369" t="str">
        <f ca="1">IF($B234&lt;&gt;"PRC_RESID","",IF(N$7=2005+OFFSET(COM_N_2012!$B$60,$AW234,SUMIF($B$10:$B$16,"NCAP_TLIFE",$AX$10:$AX$16)),0,""))</f>
        <v/>
      </c>
      <c r="O234" s="369" t="str">
        <f ca="1">IF($B234&lt;&gt;"PRC_RESID","",IF(O$7=2005+OFFSET(COM_N_2012!$B$60,$AW234,SUMIF($B$10:$B$16,"NCAP_TLIFE",$AX$10:$AX$16)),0,""))</f>
        <v/>
      </c>
      <c r="P234" s="369" t="str">
        <f ca="1">IF($B234&lt;&gt;"PRC_RESID","",IF(P$7=2005+OFFSET(COM_N_2012!$B$60,$AW234,SUMIF($B$10:$B$16,"NCAP_TLIFE",$AX$10:$AX$16)),0,""))</f>
        <v/>
      </c>
      <c r="Q234" s="369" t="str">
        <f ca="1">IF($B234&lt;&gt;"PRC_RESID","",IF(Q$7=2005+OFFSET(COM_N_2012!$B$60,$AW234,SUMIF($B$10:$B$16,"NCAP_TLIFE",$AX$10:$AX$16)),0,""))</f>
        <v/>
      </c>
      <c r="R234" s="369" t="str">
        <f ca="1">IF($B234&lt;&gt;"PRC_RESID","",IF(R$7=2005+OFFSET(COM_N_2012!$B$60,$AW234,SUMIF($B$10:$B$16,"NCAP_TLIFE",$AX$10:$AX$16)),0,""))</f>
        <v/>
      </c>
      <c r="S234" s="369" t="str">
        <f ca="1">IF($B234&lt;&gt;"PRC_RESID","",IF(S$7=2005+OFFSET(COM_N_2012!$B$60,$AW234,SUMIF($B$10:$B$16,"NCAP_TLIFE",$AX$10:$AX$16)),0,""))</f>
        <v/>
      </c>
      <c r="T234" s="369" t="str">
        <f ca="1">IF($B234&lt;&gt;"PRC_RESID","",IF(T$7=2005+OFFSET(COM_N_2012!$B$60,$AW234,SUMIF($B$10:$B$16,"NCAP_TLIFE",$AX$10:$AX$16)),0,""))</f>
        <v/>
      </c>
      <c r="U234" s="369" t="str">
        <f ca="1">IF($B234&lt;&gt;"PRC_RESID","",IF(U$7=2005+OFFSET(COM_N_2012!$B$60,$AW234,SUMIF($B$10:$B$16,"NCAP_TLIFE",$AX$10:$AX$16)),0,""))</f>
        <v/>
      </c>
      <c r="V234" s="369" t="str">
        <f ca="1">IF($B234&lt;&gt;"PRC_RESID","",IF(V$7=2005+OFFSET(COM_N_2012!$B$60,$AW234,SUMIF($B$10:$B$16,"NCAP_TLIFE",$AX$10:$AX$16)),0,""))</f>
        <v/>
      </c>
      <c r="W234" s="369" t="str">
        <f ca="1">IF($B234&lt;&gt;"PRC_RESID","",IF(W$7=2005+OFFSET(COM_N_2012!$B$60,$AW234,SUMIF($B$10:$B$16,"NCAP_TLIFE",$AX$10:$AX$16)),0,""))</f>
        <v/>
      </c>
      <c r="X234" s="369" t="str">
        <f ca="1">IF($B234&lt;&gt;"PRC_RESID","",IF(X$7=2005+OFFSET(COM_N_2012!$B$60,$AW234,SUMIF($B$10:$B$16,"NCAP_TLIFE",$AX$10:$AX$16)),0,""))</f>
        <v/>
      </c>
      <c r="Y234" s="369" t="str">
        <f ca="1">IF($B234&lt;&gt;"PRC_RESID","",IF(Y$7=2005+OFFSET(COM_N_2012!$B$60,$AW234,SUMIF($B$10:$B$16,"NCAP_TLIFE",$AX$10:$AX$16)),0,""))</f>
        <v/>
      </c>
      <c r="Z234" s="369" t="str">
        <f ca="1">IF($B234&lt;&gt;"PRC_RESID","",IF(Z$7=2005+OFFSET(COM_N_2012!$B$60,$AW234,SUMIF($B$10:$B$16,"NCAP_TLIFE",$AX$10:$AX$16)),0,""))</f>
        <v/>
      </c>
      <c r="AA234" s="369" t="str">
        <f ca="1">IF($B234&lt;&gt;"PRC_RESID","",IF(AA$7=2005+OFFSET(COM_N_2012!$B$60,$AW234,SUMIF($B$10:$B$16,"NCAP_TLIFE",$AX$10:$AX$16)),0,""))</f>
        <v/>
      </c>
      <c r="AB234" s="369" t="str">
        <f ca="1">IF($B234&lt;&gt;"PRC_RESID","",IF(AB$7=2005+OFFSET(COM_N_2012!$B$60,$AW234,SUMIF($B$10:$B$16,"NCAP_TLIFE",$AX$10:$AX$16)),0,""))</f>
        <v/>
      </c>
      <c r="AC234" s="369" t="str">
        <f ca="1">IF($B234&lt;&gt;"PRC_RESID","",IF(AC$7=2005+OFFSET(COM_N_2012!$B$60,$AW234,SUMIF($B$10:$B$16,"NCAP_TLIFE",$AX$10:$AX$16)),0,""))</f>
        <v/>
      </c>
      <c r="AD234" s="369" t="str">
        <f ca="1">IF($B234&lt;&gt;"PRC_RESID","",IF(AD$7=2005+OFFSET(COM_N_2012!$B$60,$AW234,SUMIF($B$10:$B$16,"NCAP_TLIFE",$AX$10:$AX$16)),0,""))</f>
        <v/>
      </c>
      <c r="AE234" s="369" t="str">
        <f ca="1">IF($B234&lt;&gt;"PRC_RESID","",IF(AE$7=2005+OFFSET(COM_N_2012!$B$60,$AW234,SUMIF($B$10:$B$16,"NCAP_TLIFE",$AX$10:$AX$16)),0,""))</f>
        <v/>
      </c>
      <c r="AF234" s="369" t="str">
        <f ca="1">IF($B234&lt;&gt;"PRC_RESID","",IF(AF$7=2005+OFFSET(COM_N_2012!$B$60,$AW234,SUMIF($B$10:$B$16,"NCAP_TLIFE",$AX$10:$AX$16)),0,""))</f>
        <v/>
      </c>
      <c r="AG234" s="369" t="str">
        <f ca="1">IF($B234&lt;&gt;"PRC_RESID","",IF(AG$7=2005+OFFSET(COM_N_2012!$B$60,$AW234,SUMIF($B$10:$B$16,"NCAP_TLIFE",$AX$10:$AX$16)),0,""))</f>
        <v/>
      </c>
      <c r="AH234" s="369" t="str">
        <f ca="1">IF($B234&lt;&gt;"PRC_RESID","",IF(AH$7=2005+OFFSET(COM_N_2012!$B$60,$AW234,SUMIF($B$10:$B$16,"NCAP_TLIFE",$AX$10:$AX$16)),0,""))</f>
        <v/>
      </c>
      <c r="AI234" s="369" t="str">
        <f ca="1">IF($B234&lt;&gt;"PRC_RESID","",IF(AI$7=2005+OFFSET(COM_N_2012!$B$60,$AW234,SUMIF($B$10:$B$16,"NCAP_TLIFE",$AX$10:$AX$16)),0,""))</f>
        <v/>
      </c>
      <c r="AJ234" s="369" t="str">
        <f ca="1">IF($B234&lt;&gt;"PRC_RESID","",IF(AJ$7=2005+OFFSET(COM_N_2012!$B$60,$AW234,SUMIF($B$10:$B$16,"NCAP_TLIFE",$AX$10:$AX$16)),0,""))</f>
        <v/>
      </c>
      <c r="AK234" s="369" t="str">
        <f ca="1">IF($B234&lt;&gt;"PRC_RESID","",IF(AK$7=2005+OFFSET(COM_N_2012!$B$60,$AW234,SUMIF($B$10:$B$16,"NCAP_TLIFE",$AX$10:$AX$16)),0,""))</f>
        <v/>
      </c>
      <c r="AL234" s="369" t="str">
        <f ca="1">IF($B234&lt;&gt;"PRC_RESID","",IF(AL$7=2005+OFFSET(COM_N_2012!$B$60,$AW234,SUMIF($B$10:$B$16,"NCAP_TLIFE",$AX$10:$AX$16)),0,""))</f>
        <v/>
      </c>
      <c r="AM234" s="369" t="str">
        <f ca="1">IF($B234&lt;&gt;"PRC_RESID","",IF(AM$7=2005+OFFSET(COM_N_2012!$B$60,$AW234,SUMIF($B$10:$B$16,"NCAP_TLIFE",$AX$10:$AX$16)),0,""))</f>
        <v/>
      </c>
      <c r="AN234" s="369" t="str">
        <f ca="1">IF($B234&lt;&gt;"PRC_RESID","",IF(AN$7=2005+OFFSET(COM_N_2012!$B$60,$AW234,SUMIF($B$10:$B$16,"NCAP_TLIFE",$AX$10:$AX$16)),0,""))</f>
        <v/>
      </c>
      <c r="AO234" s="369" t="str">
        <f ca="1">IF($B234&lt;&gt;"PRC_RESID","",IF(AO$7=2005+OFFSET(COM_N_2012!$B$60,$AW234,SUMIF($B$10:$B$16,"NCAP_TLIFE",$AX$10:$AX$16)),0,""))</f>
        <v/>
      </c>
      <c r="AP234" s="369" t="str">
        <f ca="1">IF($B234&lt;&gt;"PRC_RESID","",IF(AP$7=2005+OFFSET(COM_N_2012!$B$60,$AW234,SUMIF($B$10:$B$16,"NCAP_TLIFE",$AX$10:$AX$16)),0,""))</f>
        <v/>
      </c>
      <c r="AQ234" s="369" t="str">
        <f ca="1">IF($B234&lt;&gt;"PRC_RESID","",IF(AQ$7=2005+OFFSET(COM_N_2012!$B$60,$AW234,SUMIF($B$10:$B$16,"NCAP_TLIFE",$AX$10:$AX$16)),0,""))</f>
        <v/>
      </c>
      <c r="AR234" s="369" t="str">
        <f ca="1">IF($B234&lt;&gt;"PRC_RESID","",IF(AR$7=2005+OFFSET(COM_N_2012!$B$60,$AW234,SUMIF($B$10:$B$16,"NCAP_TLIFE",$AX$10:$AX$16)),0,""))</f>
        <v/>
      </c>
      <c r="AS234" s="369" t="str">
        <f ca="1">IF($B234&lt;&gt;"PRC_RESID","",IF(AS$7=2005+OFFSET(COM_N_2012!$B$60,$AW234,SUMIF($B$10:$B$16,"NCAP_TLIFE",$AX$10:$AX$16)),0,""))</f>
        <v/>
      </c>
      <c r="AT234" s="369" t="str">
        <f ca="1">IF($B234&lt;&gt;"PRC_RESID","",IF(AT$7=2005+OFFSET(COM_N_2012!$B$60,$AW234,SUMIF($B$10:$B$16,"NCAP_TLIFE",$AX$10:$AX$16)),0,""))</f>
        <v/>
      </c>
      <c r="AU234" s="369" t="str">
        <f ca="1">IF($B234&lt;&gt;"PRC_RESID","",IF(AU$7=2005+OFFSET(COM_N_2012!$B$60,$AW234,SUMIF($B$10:$B$16,"NCAP_TLIFE",$AX$10:$AX$16)),0,""))</f>
        <v/>
      </c>
      <c r="AV234" s="304">
        <f>IF(AW233=COM_N_2012!$AK$121,AV233+1,AV233)</f>
        <v>4</v>
      </c>
      <c r="AW234" s="304">
        <f t="shared" si="29"/>
        <v>34</v>
      </c>
    </row>
    <row r="235" spans="1:49">
      <c r="A235" s="304" t="str">
        <f ca="1">IF(LEFT(OFFSET(COM_N_2012!$A$60,AW235,0),2)="\I","*","")</f>
        <v/>
      </c>
      <c r="B235" s="369" t="str">
        <f t="shared" ca="1" si="28"/>
        <v>NCAP_COST</v>
      </c>
      <c r="C235" s="369" t="str">
        <f ca="1">IF($A235="*","",OFFSET(COM_N_2012!$B$60,AW235,0))</f>
        <v>CNWOLP-E</v>
      </c>
      <c r="D235" s="369" t="str">
        <f t="shared" ca="1" si="31"/>
        <v>-</v>
      </c>
      <c r="E235" s="369" t="str">
        <f t="shared" ca="1" si="31"/>
        <v>-</v>
      </c>
      <c r="F235" s="369" t="str">
        <f t="shared" ca="1" si="31"/>
        <v>-</v>
      </c>
      <c r="G235" s="369" t="str">
        <f t="shared" ca="1" si="31"/>
        <v>-</v>
      </c>
      <c r="H235" s="369" t="str">
        <f t="shared" ca="1" si="31"/>
        <v>-</v>
      </c>
      <c r="I235" s="370">
        <f t="shared" ca="1" si="31"/>
        <v>0</v>
      </c>
      <c r="J235" s="391">
        <f ca="1">IF($A235="*","",OFFSET(COM_N_2012!$B$60,AW235,SUMIF($B$10:$B$16,B235,$AX$10:$AX$16)))</f>
        <v>24.826371391503535</v>
      </c>
      <c r="K235" s="369" t="str">
        <f ca="1">IF($B235&lt;&gt;"PRC_RESID","",IF(K$7=2005+OFFSET(COM_N_2012!$B$60,$AW235,SUMIF($B$10:$B$16,"NCAP_TLIFE",$AX$10:$AX$16)),0,""))</f>
        <v/>
      </c>
      <c r="L235" s="369" t="str">
        <f ca="1">IF($B235&lt;&gt;"PRC_RESID","",IF(L$7=2005+OFFSET(COM_N_2012!$B$60,$AW235,SUMIF($B$10:$B$16,"NCAP_TLIFE",$AX$10:$AX$16)),0,""))</f>
        <v/>
      </c>
      <c r="M235" s="369" t="str">
        <f ca="1">IF($B235&lt;&gt;"PRC_RESID","",IF(M$7=2005+OFFSET(COM_N_2012!$B$60,$AW235,SUMIF($B$10:$B$16,"NCAP_TLIFE",$AX$10:$AX$16)),0,""))</f>
        <v/>
      </c>
      <c r="N235" s="369" t="str">
        <f ca="1">IF($B235&lt;&gt;"PRC_RESID","",IF(N$7=2005+OFFSET(COM_N_2012!$B$60,$AW235,SUMIF($B$10:$B$16,"NCAP_TLIFE",$AX$10:$AX$16)),0,""))</f>
        <v/>
      </c>
      <c r="O235" s="369" t="str">
        <f ca="1">IF($B235&lt;&gt;"PRC_RESID","",IF(O$7=2005+OFFSET(COM_N_2012!$B$60,$AW235,SUMIF($B$10:$B$16,"NCAP_TLIFE",$AX$10:$AX$16)),0,""))</f>
        <v/>
      </c>
      <c r="P235" s="369" t="str">
        <f ca="1">IF($B235&lt;&gt;"PRC_RESID","",IF(P$7=2005+OFFSET(COM_N_2012!$B$60,$AW235,SUMIF($B$10:$B$16,"NCAP_TLIFE",$AX$10:$AX$16)),0,""))</f>
        <v/>
      </c>
      <c r="Q235" s="369" t="str">
        <f ca="1">IF($B235&lt;&gt;"PRC_RESID","",IF(Q$7=2005+OFFSET(COM_N_2012!$B$60,$AW235,SUMIF($B$10:$B$16,"NCAP_TLIFE",$AX$10:$AX$16)),0,""))</f>
        <v/>
      </c>
      <c r="R235" s="369" t="str">
        <f ca="1">IF($B235&lt;&gt;"PRC_RESID","",IF(R$7=2005+OFFSET(COM_N_2012!$B$60,$AW235,SUMIF($B$10:$B$16,"NCAP_TLIFE",$AX$10:$AX$16)),0,""))</f>
        <v/>
      </c>
      <c r="S235" s="369" t="str">
        <f ca="1">IF($B235&lt;&gt;"PRC_RESID","",IF(S$7=2005+OFFSET(COM_N_2012!$B$60,$AW235,SUMIF($B$10:$B$16,"NCAP_TLIFE",$AX$10:$AX$16)),0,""))</f>
        <v/>
      </c>
      <c r="T235" s="369" t="str">
        <f ca="1">IF($B235&lt;&gt;"PRC_RESID","",IF(T$7=2005+OFFSET(COM_N_2012!$B$60,$AW235,SUMIF($B$10:$B$16,"NCAP_TLIFE",$AX$10:$AX$16)),0,""))</f>
        <v/>
      </c>
      <c r="U235" s="369" t="str">
        <f ca="1">IF($B235&lt;&gt;"PRC_RESID","",IF(U$7=2005+OFFSET(COM_N_2012!$B$60,$AW235,SUMIF($B$10:$B$16,"NCAP_TLIFE",$AX$10:$AX$16)),0,""))</f>
        <v/>
      </c>
      <c r="V235" s="369" t="str">
        <f ca="1">IF($B235&lt;&gt;"PRC_RESID","",IF(V$7=2005+OFFSET(COM_N_2012!$B$60,$AW235,SUMIF($B$10:$B$16,"NCAP_TLIFE",$AX$10:$AX$16)),0,""))</f>
        <v/>
      </c>
      <c r="W235" s="369" t="str">
        <f ca="1">IF($B235&lt;&gt;"PRC_RESID","",IF(W$7=2005+OFFSET(COM_N_2012!$B$60,$AW235,SUMIF($B$10:$B$16,"NCAP_TLIFE",$AX$10:$AX$16)),0,""))</f>
        <v/>
      </c>
      <c r="X235" s="369" t="str">
        <f ca="1">IF($B235&lt;&gt;"PRC_RESID","",IF(X$7=2005+OFFSET(COM_N_2012!$B$60,$AW235,SUMIF($B$10:$B$16,"NCAP_TLIFE",$AX$10:$AX$16)),0,""))</f>
        <v/>
      </c>
      <c r="Y235" s="369" t="str">
        <f ca="1">IF($B235&lt;&gt;"PRC_RESID","",IF(Y$7=2005+OFFSET(COM_N_2012!$B$60,$AW235,SUMIF($B$10:$B$16,"NCAP_TLIFE",$AX$10:$AX$16)),0,""))</f>
        <v/>
      </c>
      <c r="Z235" s="369" t="str">
        <f ca="1">IF($B235&lt;&gt;"PRC_RESID","",IF(Z$7=2005+OFFSET(COM_N_2012!$B$60,$AW235,SUMIF($B$10:$B$16,"NCAP_TLIFE",$AX$10:$AX$16)),0,""))</f>
        <v/>
      </c>
      <c r="AA235" s="369" t="str">
        <f ca="1">IF($B235&lt;&gt;"PRC_RESID","",IF(AA$7=2005+OFFSET(COM_N_2012!$B$60,$AW235,SUMIF($B$10:$B$16,"NCAP_TLIFE",$AX$10:$AX$16)),0,""))</f>
        <v/>
      </c>
      <c r="AB235" s="369" t="str">
        <f ca="1">IF($B235&lt;&gt;"PRC_RESID","",IF(AB$7=2005+OFFSET(COM_N_2012!$B$60,$AW235,SUMIF($B$10:$B$16,"NCAP_TLIFE",$AX$10:$AX$16)),0,""))</f>
        <v/>
      </c>
      <c r="AC235" s="369" t="str">
        <f ca="1">IF($B235&lt;&gt;"PRC_RESID","",IF(AC$7=2005+OFFSET(COM_N_2012!$B$60,$AW235,SUMIF($B$10:$B$16,"NCAP_TLIFE",$AX$10:$AX$16)),0,""))</f>
        <v/>
      </c>
      <c r="AD235" s="369" t="str">
        <f ca="1">IF($B235&lt;&gt;"PRC_RESID","",IF(AD$7=2005+OFFSET(COM_N_2012!$B$60,$AW235,SUMIF($B$10:$B$16,"NCAP_TLIFE",$AX$10:$AX$16)),0,""))</f>
        <v/>
      </c>
      <c r="AE235" s="369" t="str">
        <f ca="1">IF($B235&lt;&gt;"PRC_RESID","",IF(AE$7=2005+OFFSET(COM_N_2012!$B$60,$AW235,SUMIF($B$10:$B$16,"NCAP_TLIFE",$AX$10:$AX$16)),0,""))</f>
        <v/>
      </c>
      <c r="AF235" s="369" t="str">
        <f ca="1">IF($B235&lt;&gt;"PRC_RESID","",IF(AF$7=2005+OFFSET(COM_N_2012!$B$60,$AW235,SUMIF($B$10:$B$16,"NCAP_TLIFE",$AX$10:$AX$16)),0,""))</f>
        <v/>
      </c>
      <c r="AG235" s="369" t="str">
        <f ca="1">IF($B235&lt;&gt;"PRC_RESID","",IF(AG$7=2005+OFFSET(COM_N_2012!$B$60,$AW235,SUMIF($B$10:$B$16,"NCAP_TLIFE",$AX$10:$AX$16)),0,""))</f>
        <v/>
      </c>
      <c r="AH235" s="369" t="str">
        <f ca="1">IF($B235&lt;&gt;"PRC_RESID","",IF(AH$7=2005+OFFSET(COM_N_2012!$B$60,$AW235,SUMIF($B$10:$B$16,"NCAP_TLIFE",$AX$10:$AX$16)),0,""))</f>
        <v/>
      </c>
      <c r="AI235" s="369" t="str">
        <f ca="1">IF($B235&lt;&gt;"PRC_RESID","",IF(AI$7=2005+OFFSET(COM_N_2012!$B$60,$AW235,SUMIF($B$10:$B$16,"NCAP_TLIFE",$AX$10:$AX$16)),0,""))</f>
        <v/>
      </c>
      <c r="AJ235" s="369" t="str">
        <f ca="1">IF($B235&lt;&gt;"PRC_RESID","",IF(AJ$7=2005+OFFSET(COM_N_2012!$B$60,$AW235,SUMIF($B$10:$B$16,"NCAP_TLIFE",$AX$10:$AX$16)),0,""))</f>
        <v/>
      </c>
      <c r="AK235" s="369" t="str">
        <f ca="1">IF($B235&lt;&gt;"PRC_RESID","",IF(AK$7=2005+OFFSET(COM_N_2012!$B$60,$AW235,SUMIF($B$10:$B$16,"NCAP_TLIFE",$AX$10:$AX$16)),0,""))</f>
        <v/>
      </c>
      <c r="AL235" s="369" t="str">
        <f ca="1">IF($B235&lt;&gt;"PRC_RESID","",IF(AL$7=2005+OFFSET(COM_N_2012!$B$60,$AW235,SUMIF($B$10:$B$16,"NCAP_TLIFE",$AX$10:$AX$16)),0,""))</f>
        <v/>
      </c>
      <c r="AM235" s="369" t="str">
        <f ca="1">IF($B235&lt;&gt;"PRC_RESID","",IF(AM$7=2005+OFFSET(COM_N_2012!$B$60,$AW235,SUMIF($B$10:$B$16,"NCAP_TLIFE",$AX$10:$AX$16)),0,""))</f>
        <v/>
      </c>
      <c r="AN235" s="369" t="str">
        <f ca="1">IF($B235&lt;&gt;"PRC_RESID","",IF(AN$7=2005+OFFSET(COM_N_2012!$B$60,$AW235,SUMIF($B$10:$B$16,"NCAP_TLIFE",$AX$10:$AX$16)),0,""))</f>
        <v/>
      </c>
      <c r="AO235" s="369" t="str">
        <f ca="1">IF($B235&lt;&gt;"PRC_RESID","",IF(AO$7=2005+OFFSET(COM_N_2012!$B$60,$AW235,SUMIF($B$10:$B$16,"NCAP_TLIFE",$AX$10:$AX$16)),0,""))</f>
        <v/>
      </c>
      <c r="AP235" s="369" t="str">
        <f ca="1">IF($B235&lt;&gt;"PRC_RESID","",IF(AP$7=2005+OFFSET(COM_N_2012!$B$60,$AW235,SUMIF($B$10:$B$16,"NCAP_TLIFE",$AX$10:$AX$16)),0,""))</f>
        <v/>
      </c>
      <c r="AQ235" s="369" t="str">
        <f ca="1">IF($B235&lt;&gt;"PRC_RESID","",IF(AQ$7=2005+OFFSET(COM_N_2012!$B$60,$AW235,SUMIF($B$10:$B$16,"NCAP_TLIFE",$AX$10:$AX$16)),0,""))</f>
        <v/>
      </c>
      <c r="AR235" s="369" t="str">
        <f ca="1">IF($B235&lt;&gt;"PRC_RESID","",IF(AR$7=2005+OFFSET(COM_N_2012!$B$60,$AW235,SUMIF($B$10:$B$16,"NCAP_TLIFE",$AX$10:$AX$16)),0,""))</f>
        <v/>
      </c>
      <c r="AS235" s="369" t="str">
        <f ca="1">IF($B235&lt;&gt;"PRC_RESID","",IF(AS$7=2005+OFFSET(COM_N_2012!$B$60,$AW235,SUMIF($B$10:$B$16,"NCAP_TLIFE",$AX$10:$AX$16)),0,""))</f>
        <v/>
      </c>
      <c r="AT235" s="369" t="str">
        <f ca="1">IF($B235&lt;&gt;"PRC_RESID","",IF(AT$7=2005+OFFSET(COM_N_2012!$B$60,$AW235,SUMIF($B$10:$B$16,"NCAP_TLIFE",$AX$10:$AX$16)),0,""))</f>
        <v/>
      </c>
      <c r="AU235" s="369" t="str">
        <f ca="1">IF($B235&lt;&gt;"PRC_RESID","",IF(AU$7=2005+OFFSET(COM_N_2012!$B$60,$AW235,SUMIF($B$10:$B$16,"NCAP_TLIFE",$AX$10:$AX$16)),0,""))</f>
        <v/>
      </c>
      <c r="AV235" s="304">
        <f>IF(AW234=COM_N_2012!$AK$121,AV234+1,AV234)</f>
        <v>4</v>
      </c>
      <c r="AW235" s="304">
        <f t="shared" si="29"/>
        <v>35</v>
      </c>
    </row>
    <row r="236" spans="1:49">
      <c r="A236" s="304" t="str">
        <f ca="1">IF(LEFT(OFFSET(COM_N_2012!$A$60,AW236,0),2)="\I","*","")</f>
        <v/>
      </c>
      <c r="B236" s="369" t="str">
        <f t="shared" ca="1" si="28"/>
        <v>NCAP_COST</v>
      </c>
      <c r="C236" s="369" t="str">
        <f ca="1">IF($A236="*","",OFFSET(COM_N_2012!$B$60,AW236,0))</f>
        <v>CNWGAS-E</v>
      </c>
      <c r="D236" s="369" t="str">
        <f t="shared" ca="1" si="31"/>
        <v>-</v>
      </c>
      <c r="E236" s="369" t="str">
        <f t="shared" ca="1" si="31"/>
        <v>-</v>
      </c>
      <c r="F236" s="369" t="str">
        <f t="shared" ca="1" si="31"/>
        <v>-</v>
      </c>
      <c r="G236" s="369" t="str">
        <f t="shared" ca="1" si="31"/>
        <v>-</v>
      </c>
      <c r="H236" s="369" t="str">
        <f t="shared" ca="1" si="31"/>
        <v>-</v>
      </c>
      <c r="I236" s="370">
        <f t="shared" ca="1" si="31"/>
        <v>0</v>
      </c>
      <c r="J236" s="391">
        <f ca="1">IF($A236="*","",OFFSET(COM_N_2012!$B$60,AW236,SUMIF($B$10:$B$16,B236,$AX$10:$AX$16)))</f>
        <v>24.826371391503535</v>
      </c>
      <c r="K236" s="369" t="str">
        <f ca="1">IF($B236&lt;&gt;"PRC_RESID","",IF(K$7=2005+OFFSET(COM_N_2012!$B$60,$AW236,SUMIF($B$10:$B$16,"NCAP_TLIFE",$AX$10:$AX$16)),0,""))</f>
        <v/>
      </c>
      <c r="L236" s="369" t="str">
        <f ca="1">IF($B236&lt;&gt;"PRC_RESID","",IF(L$7=2005+OFFSET(COM_N_2012!$B$60,$AW236,SUMIF($B$10:$B$16,"NCAP_TLIFE",$AX$10:$AX$16)),0,""))</f>
        <v/>
      </c>
      <c r="M236" s="369" t="str">
        <f ca="1">IF($B236&lt;&gt;"PRC_RESID","",IF(M$7=2005+OFFSET(COM_N_2012!$B$60,$AW236,SUMIF($B$10:$B$16,"NCAP_TLIFE",$AX$10:$AX$16)),0,""))</f>
        <v/>
      </c>
      <c r="N236" s="369" t="str">
        <f ca="1">IF($B236&lt;&gt;"PRC_RESID","",IF(N$7=2005+OFFSET(COM_N_2012!$B$60,$AW236,SUMIF($B$10:$B$16,"NCAP_TLIFE",$AX$10:$AX$16)),0,""))</f>
        <v/>
      </c>
      <c r="O236" s="369" t="str">
        <f ca="1">IF($B236&lt;&gt;"PRC_RESID","",IF(O$7=2005+OFFSET(COM_N_2012!$B$60,$AW236,SUMIF($B$10:$B$16,"NCAP_TLIFE",$AX$10:$AX$16)),0,""))</f>
        <v/>
      </c>
      <c r="P236" s="369" t="str">
        <f ca="1">IF($B236&lt;&gt;"PRC_RESID","",IF(P$7=2005+OFFSET(COM_N_2012!$B$60,$AW236,SUMIF($B$10:$B$16,"NCAP_TLIFE",$AX$10:$AX$16)),0,""))</f>
        <v/>
      </c>
      <c r="Q236" s="369" t="str">
        <f ca="1">IF($B236&lt;&gt;"PRC_RESID","",IF(Q$7=2005+OFFSET(COM_N_2012!$B$60,$AW236,SUMIF($B$10:$B$16,"NCAP_TLIFE",$AX$10:$AX$16)),0,""))</f>
        <v/>
      </c>
      <c r="R236" s="369" t="str">
        <f ca="1">IF($B236&lt;&gt;"PRC_RESID","",IF(R$7=2005+OFFSET(COM_N_2012!$B$60,$AW236,SUMIF($B$10:$B$16,"NCAP_TLIFE",$AX$10:$AX$16)),0,""))</f>
        <v/>
      </c>
      <c r="S236" s="369" t="str">
        <f ca="1">IF($B236&lt;&gt;"PRC_RESID","",IF(S$7=2005+OFFSET(COM_N_2012!$B$60,$AW236,SUMIF($B$10:$B$16,"NCAP_TLIFE",$AX$10:$AX$16)),0,""))</f>
        <v/>
      </c>
      <c r="T236" s="369" t="str">
        <f ca="1">IF($B236&lt;&gt;"PRC_RESID","",IF(T$7=2005+OFFSET(COM_N_2012!$B$60,$AW236,SUMIF($B$10:$B$16,"NCAP_TLIFE",$AX$10:$AX$16)),0,""))</f>
        <v/>
      </c>
      <c r="U236" s="369" t="str">
        <f ca="1">IF($B236&lt;&gt;"PRC_RESID","",IF(U$7=2005+OFFSET(COM_N_2012!$B$60,$AW236,SUMIF($B$10:$B$16,"NCAP_TLIFE",$AX$10:$AX$16)),0,""))</f>
        <v/>
      </c>
      <c r="V236" s="369" t="str">
        <f ca="1">IF($B236&lt;&gt;"PRC_RESID","",IF(V$7=2005+OFFSET(COM_N_2012!$B$60,$AW236,SUMIF($B$10:$B$16,"NCAP_TLIFE",$AX$10:$AX$16)),0,""))</f>
        <v/>
      </c>
      <c r="W236" s="369" t="str">
        <f ca="1">IF($B236&lt;&gt;"PRC_RESID","",IF(W$7=2005+OFFSET(COM_N_2012!$B$60,$AW236,SUMIF($B$10:$B$16,"NCAP_TLIFE",$AX$10:$AX$16)),0,""))</f>
        <v/>
      </c>
      <c r="X236" s="369" t="str">
        <f ca="1">IF($B236&lt;&gt;"PRC_RESID","",IF(X$7=2005+OFFSET(COM_N_2012!$B$60,$AW236,SUMIF($B$10:$B$16,"NCAP_TLIFE",$AX$10:$AX$16)),0,""))</f>
        <v/>
      </c>
      <c r="Y236" s="369" t="str">
        <f ca="1">IF($B236&lt;&gt;"PRC_RESID","",IF(Y$7=2005+OFFSET(COM_N_2012!$B$60,$AW236,SUMIF($B$10:$B$16,"NCAP_TLIFE",$AX$10:$AX$16)),0,""))</f>
        <v/>
      </c>
      <c r="Z236" s="369" t="str">
        <f ca="1">IF($B236&lt;&gt;"PRC_RESID","",IF(Z$7=2005+OFFSET(COM_N_2012!$B$60,$AW236,SUMIF($B$10:$B$16,"NCAP_TLIFE",$AX$10:$AX$16)),0,""))</f>
        <v/>
      </c>
      <c r="AA236" s="369" t="str">
        <f ca="1">IF($B236&lt;&gt;"PRC_RESID","",IF(AA$7=2005+OFFSET(COM_N_2012!$B$60,$AW236,SUMIF($B$10:$B$16,"NCAP_TLIFE",$AX$10:$AX$16)),0,""))</f>
        <v/>
      </c>
      <c r="AB236" s="369" t="str">
        <f ca="1">IF($B236&lt;&gt;"PRC_RESID","",IF(AB$7=2005+OFFSET(COM_N_2012!$B$60,$AW236,SUMIF($B$10:$B$16,"NCAP_TLIFE",$AX$10:$AX$16)),0,""))</f>
        <v/>
      </c>
      <c r="AC236" s="369" t="str">
        <f ca="1">IF($B236&lt;&gt;"PRC_RESID","",IF(AC$7=2005+OFFSET(COM_N_2012!$B$60,$AW236,SUMIF($B$10:$B$16,"NCAP_TLIFE",$AX$10:$AX$16)),0,""))</f>
        <v/>
      </c>
      <c r="AD236" s="369" t="str">
        <f ca="1">IF($B236&lt;&gt;"PRC_RESID","",IF(AD$7=2005+OFFSET(COM_N_2012!$B$60,$AW236,SUMIF($B$10:$B$16,"NCAP_TLIFE",$AX$10:$AX$16)),0,""))</f>
        <v/>
      </c>
      <c r="AE236" s="369" t="str">
        <f ca="1">IF($B236&lt;&gt;"PRC_RESID","",IF(AE$7=2005+OFFSET(COM_N_2012!$B$60,$AW236,SUMIF($B$10:$B$16,"NCAP_TLIFE",$AX$10:$AX$16)),0,""))</f>
        <v/>
      </c>
      <c r="AF236" s="369" t="str">
        <f ca="1">IF($B236&lt;&gt;"PRC_RESID","",IF(AF$7=2005+OFFSET(COM_N_2012!$B$60,$AW236,SUMIF($B$10:$B$16,"NCAP_TLIFE",$AX$10:$AX$16)),0,""))</f>
        <v/>
      </c>
      <c r="AG236" s="369" t="str">
        <f ca="1">IF($B236&lt;&gt;"PRC_RESID","",IF(AG$7=2005+OFFSET(COM_N_2012!$B$60,$AW236,SUMIF($B$10:$B$16,"NCAP_TLIFE",$AX$10:$AX$16)),0,""))</f>
        <v/>
      </c>
      <c r="AH236" s="369" t="str">
        <f ca="1">IF($B236&lt;&gt;"PRC_RESID","",IF(AH$7=2005+OFFSET(COM_N_2012!$B$60,$AW236,SUMIF($B$10:$B$16,"NCAP_TLIFE",$AX$10:$AX$16)),0,""))</f>
        <v/>
      </c>
      <c r="AI236" s="369" t="str">
        <f ca="1">IF($B236&lt;&gt;"PRC_RESID","",IF(AI$7=2005+OFFSET(COM_N_2012!$B$60,$AW236,SUMIF($B$10:$B$16,"NCAP_TLIFE",$AX$10:$AX$16)),0,""))</f>
        <v/>
      </c>
      <c r="AJ236" s="369" t="str">
        <f ca="1">IF($B236&lt;&gt;"PRC_RESID","",IF(AJ$7=2005+OFFSET(COM_N_2012!$B$60,$AW236,SUMIF($B$10:$B$16,"NCAP_TLIFE",$AX$10:$AX$16)),0,""))</f>
        <v/>
      </c>
      <c r="AK236" s="369" t="str">
        <f ca="1">IF($B236&lt;&gt;"PRC_RESID","",IF(AK$7=2005+OFFSET(COM_N_2012!$B$60,$AW236,SUMIF($B$10:$B$16,"NCAP_TLIFE",$AX$10:$AX$16)),0,""))</f>
        <v/>
      </c>
      <c r="AL236" s="369" t="str">
        <f ca="1">IF($B236&lt;&gt;"PRC_RESID","",IF(AL$7=2005+OFFSET(COM_N_2012!$B$60,$AW236,SUMIF($B$10:$B$16,"NCAP_TLIFE",$AX$10:$AX$16)),0,""))</f>
        <v/>
      </c>
      <c r="AM236" s="369" t="str">
        <f ca="1">IF($B236&lt;&gt;"PRC_RESID","",IF(AM$7=2005+OFFSET(COM_N_2012!$B$60,$AW236,SUMIF($B$10:$B$16,"NCAP_TLIFE",$AX$10:$AX$16)),0,""))</f>
        <v/>
      </c>
      <c r="AN236" s="369" t="str">
        <f ca="1">IF($B236&lt;&gt;"PRC_RESID","",IF(AN$7=2005+OFFSET(COM_N_2012!$B$60,$AW236,SUMIF($B$10:$B$16,"NCAP_TLIFE",$AX$10:$AX$16)),0,""))</f>
        <v/>
      </c>
      <c r="AO236" s="369" t="str">
        <f ca="1">IF($B236&lt;&gt;"PRC_RESID","",IF(AO$7=2005+OFFSET(COM_N_2012!$B$60,$AW236,SUMIF($B$10:$B$16,"NCAP_TLIFE",$AX$10:$AX$16)),0,""))</f>
        <v/>
      </c>
      <c r="AP236" s="369" t="str">
        <f ca="1">IF($B236&lt;&gt;"PRC_RESID","",IF(AP$7=2005+OFFSET(COM_N_2012!$B$60,$AW236,SUMIF($B$10:$B$16,"NCAP_TLIFE",$AX$10:$AX$16)),0,""))</f>
        <v/>
      </c>
      <c r="AQ236" s="369" t="str">
        <f ca="1">IF($B236&lt;&gt;"PRC_RESID","",IF(AQ$7=2005+OFFSET(COM_N_2012!$B$60,$AW236,SUMIF($B$10:$B$16,"NCAP_TLIFE",$AX$10:$AX$16)),0,""))</f>
        <v/>
      </c>
      <c r="AR236" s="369" t="str">
        <f ca="1">IF($B236&lt;&gt;"PRC_RESID","",IF(AR$7=2005+OFFSET(COM_N_2012!$B$60,$AW236,SUMIF($B$10:$B$16,"NCAP_TLIFE",$AX$10:$AX$16)),0,""))</f>
        <v/>
      </c>
      <c r="AS236" s="369" t="str">
        <f ca="1">IF($B236&lt;&gt;"PRC_RESID","",IF(AS$7=2005+OFFSET(COM_N_2012!$B$60,$AW236,SUMIF($B$10:$B$16,"NCAP_TLIFE",$AX$10:$AX$16)),0,""))</f>
        <v/>
      </c>
      <c r="AT236" s="369" t="str">
        <f ca="1">IF($B236&lt;&gt;"PRC_RESID","",IF(AT$7=2005+OFFSET(COM_N_2012!$B$60,$AW236,SUMIF($B$10:$B$16,"NCAP_TLIFE",$AX$10:$AX$16)),0,""))</f>
        <v/>
      </c>
      <c r="AU236" s="369" t="str">
        <f ca="1">IF($B236&lt;&gt;"PRC_RESID","",IF(AU$7=2005+OFFSET(COM_N_2012!$B$60,$AW236,SUMIF($B$10:$B$16,"NCAP_TLIFE",$AX$10:$AX$16)),0,""))</f>
        <v/>
      </c>
      <c r="AV236" s="304">
        <f>IF(AW235=COM_N_2012!$AK$121,AV235+1,AV235)</f>
        <v>4</v>
      </c>
      <c r="AW236" s="304">
        <f t="shared" si="29"/>
        <v>36</v>
      </c>
    </row>
    <row r="237" spans="1:49">
      <c r="A237" s="304" t="str">
        <f ca="1">IF(LEFT(OFFSET(COM_N_2012!$A$60,AW237,0),2)="\I","*","")</f>
        <v/>
      </c>
      <c r="B237" s="369" t="str">
        <f t="shared" ca="1" si="28"/>
        <v>NCAP_COST</v>
      </c>
      <c r="C237" s="369" t="str">
        <f ca="1">IF($A237="*","",OFFSET(COM_N_2012!$B$60,AW237,0))</f>
        <v>CNWOKE-E</v>
      </c>
      <c r="D237" s="369" t="str">
        <f t="shared" ca="1" si="31"/>
        <v>-</v>
      </c>
      <c r="E237" s="369" t="str">
        <f t="shared" ca="1" si="31"/>
        <v>-</v>
      </c>
      <c r="F237" s="369" t="str">
        <f t="shared" ca="1" si="31"/>
        <v>-</v>
      </c>
      <c r="G237" s="369" t="str">
        <f t="shared" ca="1" si="31"/>
        <v>-</v>
      </c>
      <c r="H237" s="369" t="str">
        <f t="shared" ca="1" si="31"/>
        <v>-</v>
      </c>
      <c r="I237" s="370">
        <f t="shared" ca="1" si="31"/>
        <v>0</v>
      </c>
      <c r="J237" s="391">
        <f ca="1">IF($A237="*","",OFFSET(COM_N_2012!$B$60,AW237,SUMIF($B$10:$B$16,B237,$AX$10:$AX$16)))</f>
        <v>24.826371391503535</v>
      </c>
      <c r="K237" s="369" t="str">
        <f ca="1">IF($B237&lt;&gt;"PRC_RESID","",IF(K$7=2005+OFFSET(COM_N_2012!$B$60,$AW237,SUMIF($B$10:$B$16,"NCAP_TLIFE",$AX$10:$AX$16)),0,""))</f>
        <v/>
      </c>
      <c r="L237" s="369" t="str">
        <f ca="1">IF($B237&lt;&gt;"PRC_RESID","",IF(L$7=2005+OFFSET(COM_N_2012!$B$60,$AW237,SUMIF($B$10:$B$16,"NCAP_TLIFE",$AX$10:$AX$16)),0,""))</f>
        <v/>
      </c>
      <c r="M237" s="369" t="str">
        <f ca="1">IF($B237&lt;&gt;"PRC_RESID","",IF(M$7=2005+OFFSET(COM_N_2012!$B$60,$AW237,SUMIF($B$10:$B$16,"NCAP_TLIFE",$AX$10:$AX$16)),0,""))</f>
        <v/>
      </c>
      <c r="N237" s="369" t="str">
        <f ca="1">IF($B237&lt;&gt;"PRC_RESID","",IF(N$7=2005+OFFSET(COM_N_2012!$B$60,$AW237,SUMIF($B$10:$B$16,"NCAP_TLIFE",$AX$10:$AX$16)),0,""))</f>
        <v/>
      </c>
      <c r="O237" s="369" t="str">
        <f ca="1">IF($B237&lt;&gt;"PRC_RESID","",IF(O$7=2005+OFFSET(COM_N_2012!$B$60,$AW237,SUMIF($B$10:$B$16,"NCAP_TLIFE",$AX$10:$AX$16)),0,""))</f>
        <v/>
      </c>
      <c r="P237" s="369" t="str">
        <f ca="1">IF($B237&lt;&gt;"PRC_RESID","",IF(P$7=2005+OFFSET(COM_N_2012!$B$60,$AW237,SUMIF($B$10:$B$16,"NCAP_TLIFE",$AX$10:$AX$16)),0,""))</f>
        <v/>
      </c>
      <c r="Q237" s="369" t="str">
        <f ca="1">IF($B237&lt;&gt;"PRC_RESID","",IF(Q$7=2005+OFFSET(COM_N_2012!$B$60,$AW237,SUMIF($B$10:$B$16,"NCAP_TLIFE",$AX$10:$AX$16)),0,""))</f>
        <v/>
      </c>
      <c r="R237" s="369" t="str">
        <f ca="1">IF($B237&lt;&gt;"PRC_RESID","",IF(R$7=2005+OFFSET(COM_N_2012!$B$60,$AW237,SUMIF($B$10:$B$16,"NCAP_TLIFE",$AX$10:$AX$16)),0,""))</f>
        <v/>
      </c>
      <c r="S237" s="369" t="str">
        <f ca="1">IF($B237&lt;&gt;"PRC_RESID","",IF(S$7=2005+OFFSET(COM_N_2012!$B$60,$AW237,SUMIF($B$10:$B$16,"NCAP_TLIFE",$AX$10:$AX$16)),0,""))</f>
        <v/>
      </c>
      <c r="T237" s="369" t="str">
        <f ca="1">IF($B237&lt;&gt;"PRC_RESID","",IF(T$7=2005+OFFSET(COM_N_2012!$B$60,$AW237,SUMIF($B$10:$B$16,"NCAP_TLIFE",$AX$10:$AX$16)),0,""))</f>
        <v/>
      </c>
      <c r="U237" s="369" t="str">
        <f ca="1">IF($B237&lt;&gt;"PRC_RESID","",IF(U$7=2005+OFFSET(COM_N_2012!$B$60,$AW237,SUMIF($B$10:$B$16,"NCAP_TLIFE",$AX$10:$AX$16)),0,""))</f>
        <v/>
      </c>
      <c r="V237" s="369" t="str">
        <f ca="1">IF($B237&lt;&gt;"PRC_RESID","",IF(V$7=2005+OFFSET(COM_N_2012!$B$60,$AW237,SUMIF($B$10:$B$16,"NCAP_TLIFE",$AX$10:$AX$16)),0,""))</f>
        <v/>
      </c>
      <c r="W237" s="369" t="str">
        <f ca="1">IF($B237&lt;&gt;"PRC_RESID","",IF(W$7=2005+OFFSET(COM_N_2012!$B$60,$AW237,SUMIF($B$10:$B$16,"NCAP_TLIFE",$AX$10:$AX$16)),0,""))</f>
        <v/>
      </c>
      <c r="X237" s="369" t="str">
        <f ca="1">IF($B237&lt;&gt;"PRC_RESID","",IF(X$7=2005+OFFSET(COM_N_2012!$B$60,$AW237,SUMIF($B$10:$B$16,"NCAP_TLIFE",$AX$10:$AX$16)),0,""))</f>
        <v/>
      </c>
      <c r="Y237" s="369" t="str">
        <f ca="1">IF($B237&lt;&gt;"PRC_RESID","",IF(Y$7=2005+OFFSET(COM_N_2012!$B$60,$AW237,SUMIF($B$10:$B$16,"NCAP_TLIFE",$AX$10:$AX$16)),0,""))</f>
        <v/>
      </c>
      <c r="Z237" s="369" t="str">
        <f ca="1">IF($B237&lt;&gt;"PRC_RESID","",IF(Z$7=2005+OFFSET(COM_N_2012!$B$60,$AW237,SUMIF($B$10:$B$16,"NCAP_TLIFE",$AX$10:$AX$16)),0,""))</f>
        <v/>
      </c>
      <c r="AA237" s="369" t="str">
        <f ca="1">IF($B237&lt;&gt;"PRC_RESID","",IF(AA$7=2005+OFFSET(COM_N_2012!$B$60,$AW237,SUMIF($B$10:$B$16,"NCAP_TLIFE",$AX$10:$AX$16)),0,""))</f>
        <v/>
      </c>
      <c r="AB237" s="369" t="str">
        <f ca="1">IF($B237&lt;&gt;"PRC_RESID","",IF(AB$7=2005+OFFSET(COM_N_2012!$B$60,$AW237,SUMIF($B$10:$B$16,"NCAP_TLIFE",$AX$10:$AX$16)),0,""))</f>
        <v/>
      </c>
      <c r="AC237" s="369" t="str">
        <f ca="1">IF($B237&lt;&gt;"PRC_RESID","",IF(AC$7=2005+OFFSET(COM_N_2012!$B$60,$AW237,SUMIF($B$10:$B$16,"NCAP_TLIFE",$AX$10:$AX$16)),0,""))</f>
        <v/>
      </c>
      <c r="AD237" s="369" t="str">
        <f ca="1">IF($B237&lt;&gt;"PRC_RESID","",IF(AD$7=2005+OFFSET(COM_N_2012!$B$60,$AW237,SUMIF($B$10:$B$16,"NCAP_TLIFE",$AX$10:$AX$16)),0,""))</f>
        <v/>
      </c>
      <c r="AE237" s="369" t="str">
        <f ca="1">IF($B237&lt;&gt;"PRC_RESID","",IF(AE$7=2005+OFFSET(COM_N_2012!$B$60,$AW237,SUMIF($B$10:$B$16,"NCAP_TLIFE",$AX$10:$AX$16)),0,""))</f>
        <v/>
      </c>
      <c r="AF237" s="369" t="str">
        <f ca="1">IF($B237&lt;&gt;"PRC_RESID","",IF(AF$7=2005+OFFSET(COM_N_2012!$B$60,$AW237,SUMIF($B$10:$B$16,"NCAP_TLIFE",$AX$10:$AX$16)),0,""))</f>
        <v/>
      </c>
      <c r="AG237" s="369" t="str">
        <f ca="1">IF($B237&lt;&gt;"PRC_RESID","",IF(AG$7=2005+OFFSET(COM_N_2012!$B$60,$AW237,SUMIF($B$10:$B$16,"NCAP_TLIFE",$AX$10:$AX$16)),0,""))</f>
        <v/>
      </c>
      <c r="AH237" s="369" t="str">
        <f ca="1">IF($B237&lt;&gt;"PRC_RESID","",IF(AH$7=2005+OFFSET(COM_N_2012!$B$60,$AW237,SUMIF($B$10:$B$16,"NCAP_TLIFE",$AX$10:$AX$16)),0,""))</f>
        <v/>
      </c>
      <c r="AI237" s="369" t="str">
        <f ca="1">IF($B237&lt;&gt;"PRC_RESID","",IF(AI$7=2005+OFFSET(COM_N_2012!$B$60,$AW237,SUMIF($B$10:$B$16,"NCAP_TLIFE",$AX$10:$AX$16)),0,""))</f>
        <v/>
      </c>
      <c r="AJ237" s="369" t="str">
        <f ca="1">IF($B237&lt;&gt;"PRC_RESID","",IF(AJ$7=2005+OFFSET(COM_N_2012!$B$60,$AW237,SUMIF($B$10:$B$16,"NCAP_TLIFE",$AX$10:$AX$16)),0,""))</f>
        <v/>
      </c>
      <c r="AK237" s="369" t="str">
        <f ca="1">IF($B237&lt;&gt;"PRC_RESID","",IF(AK$7=2005+OFFSET(COM_N_2012!$B$60,$AW237,SUMIF($B$10:$B$16,"NCAP_TLIFE",$AX$10:$AX$16)),0,""))</f>
        <v/>
      </c>
      <c r="AL237" s="369" t="str">
        <f ca="1">IF($B237&lt;&gt;"PRC_RESID","",IF(AL$7=2005+OFFSET(COM_N_2012!$B$60,$AW237,SUMIF($B$10:$B$16,"NCAP_TLIFE",$AX$10:$AX$16)),0,""))</f>
        <v/>
      </c>
      <c r="AM237" s="369" t="str">
        <f ca="1">IF($B237&lt;&gt;"PRC_RESID","",IF(AM$7=2005+OFFSET(COM_N_2012!$B$60,$AW237,SUMIF($B$10:$B$16,"NCAP_TLIFE",$AX$10:$AX$16)),0,""))</f>
        <v/>
      </c>
      <c r="AN237" s="369" t="str">
        <f ca="1">IF($B237&lt;&gt;"PRC_RESID","",IF(AN$7=2005+OFFSET(COM_N_2012!$B$60,$AW237,SUMIF($B$10:$B$16,"NCAP_TLIFE",$AX$10:$AX$16)),0,""))</f>
        <v/>
      </c>
      <c r="AO237" s="369" t="str">
        <f ca="1">IF($B237&lt;&gt;"PRC_RESID","",IF(AO$7=2005+OFFSET(COM_N_2012!$B$60,$AW237,SUMIF($B$10:$B$16,"NCAP_TLIFE",$AX$10:$AX$16)),0,""))</f>
        <v/>
      </c>
      <c r="AP237" s="369" t="str">
        <f ca="1">IF($B237&lt;&gt;"PRC_RESID","",IF(AP$7=2005+OFFSET(COM_N_2012!$B$60,$AW237,SUMIF($B$10:$B$16,"NCAP_TLIFE",$AX$10:$AX$16)),0,""))</f>
        <v/>
      </c>
      <c r="AQ237" s="369" t="str">
        <f ca="1">IF($B237&lt;&gt;"PRC_RESID","",IF(AQ$7=2005+OFFSET(COM_N_2012!$B$60,$AW237,SUMIF($B$10:$B$16,"NCAP_TLIFE",$AX$10:$AX$16)),0,""))</f>
        <v/>
      </c>
      <c r="AR237" s="369" t="str">
        <f ca="1">IF($B237&lt;&gt;"PRC_RESID","",IF(AR$7=2005+OFFSET(COM_N_2012!$B$60,$AW237,SUMIF($B$10:$B$16,"NCAP_TLIFE",$AX$10:$AX$16)),0,""))</f>
        <v/>
      </c>
      <c r="AS237" s="369" t="str">
        <f ca="1">IF($B237&lt;&gt;"PRC_RESID","",IF(AS$7=2005+OFFSET(COM_N_2012!$B$60,$AW237,SUMIF($B$10:$B$16,"NCAP_TLIFE",$AX$10:$AX$16)),0,""))</f>
        <v/>
      </c>
      <c r="AT237" s="369" t="str">
        <f ca="1">IF($B237&lt;&gt;"PRC_RESID","",IF(AT$7=2005+OFFSET(COM_N_2012!$B$60,$AW237,SUMIF($B$10:$B$16,"NCAP_TLIFE",$AX$10:$AX$16)),0,""))</f>
        <v/>
      </c>
      <c r="AU237" s="369" t="str">
        <f ca="1">IF($B237&lt;&gt;"PRC_RESID","",IF(AU$7=2005+OFFSET(COM_N_2012!$B$60,$AW237,SUMIF($B$10:$B$16,"NCAP_TLIFE",$AX$10:$AX$16)),0,""))</f>
        <v/>
      </c>
      <c r="AV237" s="304">
        <f>IF(AW236=COM_N_2012!$AK$121,AV236+1,AV236)</f>
        <v>4</v>
      </c>
      <c r="AW237" s="304">
        <f t="shared" si="29"/>
        <v>37</v>
      </c>
    </row>
    <row r="238" spans="1:49">
      <c r="A238" s="304" t="str">
        <f ca="1">IF(LEFT(OFFSET(COM_N_2012!$A$60,AW238,0),2)="\I","*","")</f>
        <v/>
      </c>
      <c r="B238" s="369" t="str">
        <f t="shared" ca="1" si="28"/>
        <v>NCAP_COST</v>
      </c>
      <c r="C238" s="369" t="str">
        <f ca="1">IF($A238="*","",OFFSET(COM_N_2012!$B$60,AW238,0))</f>
        <v>CNWELC-N</v>
      </c>
      <c r="D238" s="369" t="str">
        <f t="shared" ref="D238:I247" ca="1" si="32">IF($A238="*","",VLOOKUP($B238,$B$10:$I$16,D$9,FALSE))</f>
        <v>-</v>
      </c>
      <c r="E238" s="369" t="str">
        <f t="shared" ca="1" si="32"/>
        <v>-</v>
      </c>
      <c r="F238" s="369" t="str">
        <f t="shared" ca="1" si="32"/>
        <v>-</v>
      </c>
      <c r="G238" s="369" t="str">
        <f t="shared" ca="1" si="32"/>
        <v>-</v>
      </c>
      <c r="H238" s="369" t="str">
        <f t="shared" ca="1" si="32"/>
        <v>-</v>
      </c>
      <c r="I238" s="370">
        <f t="shared" ca="1" si="32"/>
        <v>0</v>
      </c>
      <c r="J238" s="391">
        <f ca="1">IF($A238="*","",OFFSET(COM_N_2012!$B$60,AW238,SUMIF($B$10:$B$16,B238,$AX$10:$AX$16)))</f>
        <v>31.581453839889381</v>
      </c>
      <c r="K238" s="369" t="str">
        <f ca="1">IF($B238&lt;&gt;"PRC_RESID","",IF(K$7=2005+OFFSET(COM_N_2012!$B$60,$AW238,SUMIF($B$10:$B$16,"NCAP_TLIFE",$AX$10:$AX$16)),0,""))</f>
        <v/>
      </c>
      <c r="L238" s="369" t="str">
        <f ca="1">IF($B238&lt;&gt;"PRC_RESID","",IF(L$7=2005+OFFSET(COM_N_2012!$B$60,$AW238,SUMIF($B$10:$B$16,"NCAP_TLIFE",$AX$10:$AX$16)),0,""))</f>
        <v/>
      </c>
      <c r="M238" s="369" t="str">
        <f ca="1">IF($B238&lt;&gt;"PRC_RESID","",IF(M$7=2005+OFFSET(COM_N_2012!$B$60,$AW238,SUMIF($B$10:$B$16,"NCAP_TLIFE",$AX$10:$AX$16)),0,""))</f>
        <v/>
      </c>
      <c r="N238" s="369" t="str">
        <f ca="1">IF($B238&lt;&gt;"PRC_RESID","",IF(N$7=2005+OFFSET(COM_N_2012!$B$60,$AW238,SUMIF($B$10:$B$16,"NCAP_TLIFE",$AX$10:$AX$16)),0,""))</f>
        <v/>
      </c>
      <c r="O238" s="369" t="str">
        <f ca="1">IF($B238&lt;&gt;"PRC_RESID","",IF(O$7=2005+OFFSET(COM_N_2012!$B$60,$AW238,SUMIF($B$10:$B$16,"NCAP_TLIFE",$AX$10:$AX$16)),0,""))</f>
        <v/>
      </c>
      <c r="P238" s="369" t="str">
        <f ca="1">IF($B238&lt;&gt;"PRC_RESID","",IF(P$7=2005+OFFSET(COM_N_2012!$B$60,$AW238,SUMIF($B$10:$B$16,"NCAP_TLIFE",$AX$10:$AX$16)),0,""))</f>
        <v/>
      </c>
      <c r="Q238" s="369" t="str">
        <f ca="1">IF($B238&lt;&gt;"PRC_RESID","",IF(Q$7=2005+OFFSET(COM_N_2012!$B$60,$AW238,SUMIF($B$10:$B$16,"NCAP_TLIFE",$AX$10:$AX$16)),0,""))</f>
        <v/>
      </c>
      <c r="R238" s="369" t="str">
        <f ca="1">IF($B238&lt;&gt;"PRC_RESID","",IF(R$7=2005+OFFSET(COM_N_2012!$B$60,$AW238,SUMIF($B$10:$B$16,"NCAP_TLIFE",$AX$10:$AX$16)),0,""))</f>
        <v/>
      </c>
      <c r="S238" s="369" t="str">
        <f ca="1">IF($B238&lt;&gt;"PRC_RESID","",IF(S$7=2005+OFFSET(COM_N_2012!$B$60,$AW238,SUMIF($B$10:$B$16,"NCAP_TLIFE",$AX$10:$AX$16)),0,""))</f>
        <v/>
      </c>
      <c r="T238" s="369" t="str">
        <f ca="1">IF($B238&lt;&gt;"PRC_RESID","",IF(T$7=2005+OFFSET(COM_N_2012!$B$60,$AW238,SUMIF($B$10:$B$16,"NCAP_TLIFE",$AX$10:$AX$16)),0,""))</f>
        <v/>
      </c>
      <c r="U238" s="369" t="str">
        <f ca="1">IF($B238&lt;&gt;"PRC_RESID","",IF(U$7=2005+OFFSET(COM_N_2012!$B$60,$AW238,SUMIF($B$10:$B$16,"NCAP_TLIFE",$AX$10:$AX$16)),0,""))</f>
        <v/>
      </c>
      <c r="V238" s="369" t="str">
        <f ca="1">IF($B238&lt;&gt;"PRC_RESID","",IF(V$7=2005+OFFSET(COM_N_2012!$B$60,$AW238,SUMIF($B$10:$B$16,"NCAP_TLIFE",$AX$10:$AX$16)),0,""))</f>
        <v/>
      </c>
      <c r="W238" s="369" t="str">
        <f ca="1">IF($B238&lt;&gt;"PRC_RESID","",IF(W$7=2005+OFFSET(COM_N_2012!$B$60,$AW238,SUMIF($B$10:$B$16,"NCAP_TLIFE",$AX$10:$AX$16)),0,""))</f>
        <v/>
      </c>
      <c r="X238" s="369" t="str">
        <f ca="1">IF($B238&lt;&gt;"PRC_RESID","",IF(X$7=2005+OFFSET(COM_N_2012!$B$60,$AW238,SUMIF($B$10:$B$16,"NCAP_TLIFE",$AX$10:$AX$16)),0,""))</f>
        <v/>
      </c>
      <c r="Y238" s="369" t="str">
        <f ca="1">IF($B238&lt;&gt;"PRC_RESID","",IF(Y$7=2005+OFFSET(COM_N_2012!$B$60,$AW238,SUMIF($B$10:$B$16,"NCAP_TLIFE",$AX$10:$AX$16)),0,""))</f>
        <v/>
      </c>
      <c r="Z238" s="369" t="str">
        <f ca="1">IF($B238&lt;&gt;"PRC_RESID","",IF(Z$7=2005+OFFSET(COM_N_2012!$B$60,$AW238,SUMIF($B$10:$B$16,"NCAP_TLIFE",$AX$10:$AX$16)),0,""))</f>
        <v/>
      </c>
      <c r="AA238" s="369" t="str">
        <f ca="1">IF($B238&lt;&gt;"PRC_RESID","",IF(AA$7=2005+OFFSET(COM_N_2012!$B$60,$AW238,SUMIF($B$10:$B$16,"NCAP_TLIFE",$AX$10:$AX$16)),0,""))</f>
        <v/>
      </c>
      <c r="AB238" s="369" t="str">
        <f ca="1">IF($B238&lt;&gt;"PRC_RESID","",IF(AB$7=2005+OFFSET(COM_N_2012!$B$60,$AW238,SUMIF($B$10:$B$16,"NCAP_TLIFE",$AX$10:$AX$16)),0,""))</f>
        <v/>
      </c>
      <c r="AC238" s="369" t="str">
        <f ca="1">IF($B238&lt;&gt;"PRC_RESID","",IF(AC$7=2005+OFFSET(COM_N_2012!$B$60,$AW238,SUMIF($B$10:$B$16,"NCAP_TLIFE",$AX$10:$AX$16)),0,""))</f>
        <v/>
      </c>
      <c r="AD238" s="369" t="str">
        <f ca="1">IF($B238&lt;&gt;"PRC_RESID","",IF(AD$7=2005+OFFSET(COM_N_2012!$B$60,$AW238,SUMIF($B$10:$B$16,"NCAP_TLIFE",$AX$10:$AX$16)),0,""))</f>
        <v/>
      </c>
      <c r="AE238" s="369" t="str">
        <f ca="1">IF($B238&lt;&gt;"PRC_RESID","",IF(AE$7=2005+OFFSET(COM_N_2012!$B$60,$AW238,SUMIF($B$10:$B$16,"NCAP_TLIFE",$AX$10:$AX$16)),0,""))</f>
        <v/>
      </c>
      <c r="AF238" s="369" t="str">
        <f ca="1">IF($B238&lt;&gt;"PRC_RESID","",IF(AF$7=2005+OFFSET(COM_N_2012!$B$60,$AW238,SUMIF($B$10:$B$16,"NCAP_TLIFE",$AX$10:$AX$16)),0,""))</f>
        <v/>
      </c>
      <c r="AG238" s="369" t="str">
        <f ca="1">IF($B238&lt;&gt;"PRC_RESID","",IF(AG$7=2005+OFFSET(COM_N_2012!$B$60,$AW238,SUMIF($B$10:$B$16,"NCAP_TLIFE",$AX$10:$AX$16)),0,""))</f>
        <v/>
      </c>
      <c r="AH238" s="369" t="str">
        <f ca="1">IF($B238&lt;&gt;"PRC_RESID","",IF(AH$7=2005+OFFSET(COM_N_2012!$B$60,$AW238,SUMIF($B$10:$B$16,"NCAP_TLIFE",$AX$10:$AX$16)),0,""))</f>
        <v/>
      </c>
      <c r="AI238" s="369" t="str">
        <f ca="1">IF($B238&lt;&gt;"PRC_RESID","",IF(AI$7=2005+OFFSET(COM_N_2012!$B$60,$AW238,SUMIF($B$10:$B$16,"NCAP_TLIFE",$AX$10:$AX$16)),0,""))</f>
        <v/>
      </c>
      <c r="AJ238" s="369" t="str">
        <f ca="1">IF($B238&lt;&gt;"PRC_RESID","",IF(AJ$7=2005+OFFSET(COM_N_2012!$B$60,$AW238,SUMIF($B$10:$B$16,"NCAP_TLIFE",$AX$10:$AX$16)),0,""))</f>
        <v/>
      </c>
      <c r="AK238" s="369" t="str">
        <f ca="1">IF($B238&lt;&gt;"PRC_RESID","",IF(AK$7=2005+OFFSET(COM_N_2012!$B$60,$AW238,SUMIF($B$10:$B$16,"NCAP_TLIFE",$AX$10:$AX$16)),0,""))</f>
        <v/>
      </c>
      <c r="AL238" s="369" t="str">
        <f ca="1">IF($B238&lt;&gt;"PRC_RESID","",IF(AL$7=2005+OFFSET(COM_N_2012!$B$60,$AW238,SUMIF($B$10:$B$16,"NCAP_TLIFE",$AX$10:$AX$16)),0,""))</f>
        <v/>
      </c>
      <c r="AM238" s="369" t="str">
        <f ca="1">IF($B238&lt;&gt;"PRC_RESID","",IF(AM$7=2005+OFFSET(COM_N_2012!$B$60,$AW238,SUMIF($B$10:$B$16,"NCAP_TLIFE",$AX$10:$AX$16)),0,""))</f>
        <v/>
      </c>
      <c r="AN238" s="369" t="str">
        <f ca="1">IF($B238&lt;&gt;"PRC_RESID","",IF(AN$7=2005+OFFSET(COM_N_2012!$B$60,$AW238,SUMIF($B$10:$B$16,"NCAP_TLIFE",$AX$10:$AX$16)),0,""))</f>
        <v/>
      </c>
      <c r="AO238" s="369" t="str">
        <f ca="1">IF($B238&lt;&gt;"PRC_RESID","",IF(AO$7=2005+OFFSET(COM_N_2012!$B$60,$AW238,SUMIF($B$10:$B$16,"NCAP_TLIFE",$AX$10:$AX$16)),0,""))</f>
        <v/>
      </c>
      <c r="AP238" s="369" t="str">
        <f ca="1">IF($B238&lt;&gt;"PRC_RESID","",IF(AP$7=2005+OFFSET(COM_N_2012!$B$60,$AW238,SUMIF($B$10:$B$16,"NCAP_TLIFE",$AX$10:$AX$16)),0,""))</f>
        <v/>
      </c>
      <c r="AQ238" s="369" t="str">
        <f ca="1">IF($B238&lt;&gt;"PRC_RESID","",IF(AQ$7=2005+OFFSET(COM_N_2012!$B$60,$AW238,SUMIF($B$10:$B$16,"NCAP_TLIFE",$AX$10:$AX$16)),0,""))</f>
        <v/>
      </c>
      <c r="AR238" s="369" t="str">
        <f ca="1">IF($B238&lt;&gt;"PRC_RESID","",IF(AR$7=2005+OFFSET(COM_N_2012!$B$60,$AW238,SUMIF($B$10:$B$16,"NCAP_TLIFE",$AX$10:$AX$16)),0,""))</f>
        <v/>
      </c>
      <c r="AS238" s="369" t="str">
        <f ca="1">IF($B238&lt;&gt;"PRC_RESID","",IF(AS$7=2005+OFFSET(COM_N_2012!$B$60,$AW238,SUMIF($B$10:$B$16,"NCAP_TLIFE",$AX$10:$AX$16)),0,""))</f>
        <v/>
      </c>
      <c r="AT238" s="369" t="str">
        <f ca="1">IF($B238&lt;&gt;"PRC_RESID","",IF(AT$7=2005+OFFSET(COM_N_2012!$B$60,$AW238,SUMIF($B$10:$B$16,"NCAP_TLIFE",$AX$10:$AX$16)),0,""))</f>
        <v/>
      </c>
      <c r="AU238" s="369" t="str">
        <f ca="1">IF($B238&lt;&gt;"PRC_RESID","",IF(AU$7=2005+OFFSET(COM_N_2012!$B$60,$AW238,SUMIF($B$10:$B$16,"NCAP_TLIFE",$AX$10:$AX$16)),0,""))</f>
        <v/>
      </c>
      <c r="AV238" s="304">
        <f>IF(AW237=COM_N_2012!$AK$121,AV237+1,AV237)</f>
        <v>4</v>
      </c>
      <c r="AW238" s="304">
        <f t="shared" si="29"/>
        <v>38</v>
      </c>
    </row>
    <row r="239" spans="1:49">
      <c r="A239" s="304" t="str">
        <f ca="1">IF(LEFT(OFFSET(COM_N_2012!$A$60,AW239,0),2)="\I","*","")</f>
        <v/>
      </c>
      <c r="B239" s="369" t="str">
        <f t="shared" ca="1" si="28"/>
        <v>NCAP_COST</v>
      </c>
      <c r="C239" s="369" t="str">
        <f ca="1">IF($A239="*","",OFFSET(COM_N_2012!$B$60,AW239,0))</f>
        <v>CNWELCHP-N</v>
      </c>
      <c r="D239" s="369" t="str">
        <f t="shared" ca="1" si="32"/>
        <v>-</v>
      </c>
      <c r="E239" s="369" t="str">
        <f t="shared" ca="1" si="32"/>
        <v>-</v>
      </c>
      <c r="F239" s="369" t="str">
        <f t="shared" ca="1" si="32"/>
        <v>-</v>
      </c>
      <c r="G239" s="369" t="str">
        <f t="shared" ca="1" si="32"/>
        <v>-</v>
      </c>
      <c r="H239" s="369" t="str">
        <f t="shared" ca="1" si="32"/>
        <v>-</v>
      </c>
      <c r="I239" s="370">
        <f t="shared" ca="1" si="32"/>
        <v>0</v>
      </c>
      <c r="J239" s="391">
        <f ca="1">IF($A239="*","",OFFSET(COM_N_2012!$B$60,AW239,SUMIF($B$10:$B$16,B239,$AX$10:$AX$16)))</f>
        <v>94.744361519668146</v>
      </c>
      <c r="K239" s="369" t="str">
        <f ca="1">IF($B239&lt;&gt;"PRC_RESID","",IF(K$7=2005+OFFSET(COM_N_2012!$B$60,$AW239,SUMIF($B$10:$B$16,"NCAP_TLIFE",$AX$10:$AX$16)),0,""))</f>
        <v/>
      </c>
      <c r="L239" s="369" t="str">
        <f ca="1">IF($B239&lt;&gt;"PRC_RESID","",IF(L$7=2005+OFFSET(COM_N_2012!$B$60,$AW239,SUMIF($B$10:$B$16,"NCAP_TLIFE",$AX$10:$AX$16)),0,""))</f>
        <v/>
      </c>
      <c r="M239" s="369" t="str">
        <f ca="1">IF($B239&lt;&gt;"PRC_RESID","",IF(M$7=2005+OFFSET(COM_N_2012!$B$60,$AW239,SUMIF($B$10:$B$16,"NCAP_TLIFE",$AX$10:$AX$16)),0,""))</f>
        <v/>
      </c>
      <c r="N239" s="369" t="str">
        <f ca="1">IF($B239&lt;&gt;"PRC_RESID","",IF(N$7=2005+OFFSET(COM_N_2012!$B$60,$AW239,SUMIF($B$10:$B$16,"NCAP_TLIFE",$AX$10:$AX$16)),0,""))</f>
        <v/>
      </c>
      <c r="O239" s="369" t="str">
        <f ca="1">IF($B239&lt;&gt;"PRC_RESID","",IF(O$7=2005+OFFSET(COM_N_2012!$B$60,$AW239,SUMIF($B$10:$B$16,"NCAP_TLIFE",$AX$10:$AX$16)),0,""))</f>
        <v/>
      </c>
      <c r="P239" s="369" t="str">
        <f ca="1">IF($B239&lt;&gt;"PRC_RESID","",IF(P$7=2005+OFFSET(COM_N_2012!$B$60,$AW239,SUMIF($B$10:$B$16,"NCAP_TLIFE",$AX$10:$AX$16)),0,""))</f>
        <v/>
      </c>
      <c r="Q239" s="369" t="str">
        <f ca="1">IF($B239&lt;&gt;"PRC_RESID","",IF(Q$7=2005+OFFSET(COM_N_2012!$B$60,$AW239,SUMIF($B$10:$B$16,"NCAP_TLIFE",$AX$10:$AX$16)),0,""))</f>
        <v/>
      </c>
      <c r="R239" s="369" t="str">
        <f ca="1">IF($B239&lt;&gt;"PRC_RESID","",IF(R$7=2005+OFFSET(COM_N_2012!$B$60,$AW239,SUMIF($B$10:$B$16,"NCAP_TLIFE",$AX$10:$AX$16)),0,""))</f>
        <v/>
      </c>
      <c r="S239" s="369" t="str">
        <f ca="1">IF($B239&lt;&gt;"PRC_RESID","",IF(S$7=2005+OFFSET(COM_N_2012!$B$60,$AW239,SUMIF($B$10:$B$16,"NCAP_TLIFE",$AX$10:$AX$16)),0,""))</f>
        <v/>
      </c>
      <c r="T239" s="369" t="str">
        <f ca="1">IF($B239&lt;&gt;"PRC_RESID","",IF(T$7=2005+OFFSET(COM_N_2012!$B$60,$AW239,SUMIF($B$10:$B$16,"NCAP_TLIFE",$AX$10:$AX$16)),0,""))</f>
        <v/>
      </c>
      <c r="U239" s="369" t="str">
        <f ca="1">IF($B239&lt;&gt;"PRC_RESID","",IF(U$7=2005+OFFSET(COM_N_2012!$B$60,$AW239,SUMIF($B$10:$B$16,"NCAP_TLIFE",$AX$10:$AX$16)),0,""))</f>
        <v/>
      </c>
      <c r="V239" s="369" t="str">
        <f ca="1">IF($B239&lt;&gt;"PRC_RESID","",IF(V$7=2005+OFFSET(COM_N_2012!$B$60,$AW239,SUMIF($B$10:$B$16,"NCAP_TLIFE",$AX$10:$AX$16)),0,""))</f>
        <v/>
      </c>
      <c r="W239" s="369" t="str">
        <f ca="1">IF($B239&lt;&gt;"PRC_RESID","",IF(W$7=2005+OFFSET(COM_N_2012!$B$60,$AW239,SUMIF($B$10:$B$16,"NCAP_TLIFE",$AX$10:$AX$16)),0,""))</f>
        <v/>
      </c>
      <c r="X239" s="369" t="str">
        <f ca="1">IF($B239&lt;&gt;"PRC_RESID","",IF(X$7=2005+OFFSET(COM_N_2012!$B$60,$AW239,SUMIF($B$10:$B$16,"NCAP_TLIFE",$AX$10:$AX$16)),0,""))</f>
        <v/>
      </c>
      <c r="Y239" s="369" t="str">
        <f ca="1">IF($B239&lt;&gt;"PRC_RESID","",IF(Y$7=2005+OFFSET(COM_N_2012!$B$60,$AW239,SUMIF($B$10:$B$16,"NCAP_TLIFE",$AX$10:$AX$16)),0,""))</f>
        <v/>
      </c>
      <c r="Z239" s="369" t="str">
        <f ca="1">IF($B239&lt;&gt;"PRC_RESID","",IF(Z$7=2005+OFFSET(COM_N_2012!$B$60,$AW239,SUMIF($B$10:$B$16,"NCAP_TLIFE",$AX$10:$AX$16)),0,""))</f>
        <v/>
      </c>
      <c r="AA239" s="369" t="str">
        <f ca="1">IF($B239&lt;&gt;"PRC_RESID","",IF(AA$7=2005+OFFSET(COM_N_2012!$B$60,$AW239,SUMIF($B$10:$B$16,"NCAP_TLIFE",$AX$10:$AX$16)),0,""))</f>
        <v/>
      </c>
      <c r="AB239" s="369" t="str">
        <f ca="1">IF($B239&lt;&gt;"PRC_RESID","",IF(AB$7=2005+OFFSET(COM_N_2012!$B$60,$AW239,SUMIF($B$10:$B$16,"NCAP_TLIFE",$AX$10:$AX$16)),0,""))</f>
        <v/>
      </c>
      <c r="AC239" s="369" t="str">
        <f ca="1">IF($B239&lt;&gt;"PRC_RESID","",IF(AC$7=2005+OFFSET(COM_N_2012!$B$60,$AW239,SUMIF($B$10:$B$16,"NCAP_TLIFE",$AX$10:$AX$16)),0,""))</f>
        <v/>
      </c>
      <c r="AD239" s="369" t="str">
        <f ca="1">IF($B239&lt;&gt;"PRC_RESID","",IF(AD$7=2005+OFFSET(COM_N_2012!$B$60,$AW239,SUMIF($B$10:$B$16,"NCAP_TLIFE",$AX$10:$AX$16)),0,""))</f>
        <v/>
      </c>
      <c r="AE239" s="369" t="str">
        <f ca="1">IF($B239&lt;&gt;"PRC_RESID","",IF(AE$7=2005+OFFSET(COM_N_2012!$B$60,$AW239,SUMIF($B$10:$B$16,"NCAP_TLIFE",$AX$10:$AX$16)),0,""))</f>
        <v/>
      </c>
      <c r="AF239" s="369" t="str">
        <f ca="1">IF($B239&lt;&gt;"PRC_RESID","",IF(AF$7=2005+OFFSET(COM_N_2012!$B$60,$AW239,SUMIF($B$10:$B$16,"NCAP_TLIFE",$AX$10:$AX$16)),0,""))</f>
        <v/>
      </c>
      <c r="AG239" s="369" t="str">
        <f ca="1">IF($B239&lt;&gt;"PRC_RESID","",IF(AG$7=2005+OFFSET(COM_N_2012!$B$60,$AW239,SUMIF($B$10:$B$16,"NCAP_TLIFE",$AX$10:$AX$16)),0,""))</f>
        <v/>
      </c>
      <c r="AH239" s="369" t="str">
        <f ca="1">IF($B239&lt;&gt;"PRC_RESID","",IF(AH$7=2005+OFFSET(COM_N_2012!$B$60,$AW239,SUMIF($B$10:$B$16,"NCAP_TLIFE",$AX$10:$AX$16)),0,""))</f>
        <v/>
      </c>
      <c r="AI239" s="369" t="str">
        <f ca="1">IF($B239&lt;&gt;"PRC_RESID","",IF(AI$7=2005+OFFSET(COM_N_2012!$B$60,$AW239,SUMIF($B$10:$B$16,"NCAP_TLIFE",$AX$10:$AX$16)),0,""))</f>
        <v/>
      </c>
      <c r="AJ239" s="369" t="str">
        <f ca="1">IF($B239&lt;&gt;"PRC_RESID","",IF(AJ$7=2005+OFFSET(COM_N_2012!$B$60,$AW239,SUMIF($B$10:$B$16,"NCAP_TLIFE",$AX$10:$AX$16)),0,""))</f>
        <v/>
      </c>
      <c r="AK239" s="369" t="str">
        <f ca="1">IF($B239&lt;&gt;"PRC_RESID","",IF(AK$7=2005+OFFSET(COM_N_2012!$B$60,$AW239,SUMIF($B$10:$B$16,"NCAP_TLIFE",$AX$10:$AX$16)),0,""))</f>
        <v/>
      </c>
      <c r="AL239" s="369" t="str">
        <f ca="1">IF($B239&lt;&gt;"PRC_RESID","",IF(AL$7=2005+OFFSET(COM_N_2012!$B$60,$AW239,SUMIF($B$10:$B$16,"NCAP_TLIFE",$AX$10:$AX$16)),0,""))</f>
        <v/>
      </c>
      <c r="AM239" s="369" t="str">
        <f ca="1">IF($B239&lt;&gt;"PRC_RESID","",IF(AM$7=2005+OFFSET(COM_N_2012!$B$60,$AW239,SUMIF($B$10:$B$16,"NCAP_TLIFE",$AX$10:$AX$16)),0,""))</f>
        <v/>
      </c>
      <c r="AN239" s="369" t="str">
        <f ca="1">IF($B239&lt;&gt;"PRC_RESID","",IF(AN$7=2005+OFFSET(COM_N_2012!$B$60,$AW239,SUMIF($B$10:$B$16,"NCAP_TLIFE",$AX$10:$AX$16)),0,""))</f>
        <v/>
      </c>
      <c r="AO239" s="369" t="str">
        <f ca="1">IF($B239&lt;&gt;"PRC_RESID","",IF(AO$7=2005+OFFSET(COM_N_2012!$B$60,$AW239,SUMIF($B$10:$B$16,"NCAP_TLIFE",$AX$10:$AX$16)),0,""))</f>
        <v/>
      </c>
      <c r="AP239" s="369" t="str">
        <f ca="1">IF($B239&lt;&gt;"PRC_RESID","",IF(AP$7=2005+OFFSET(COM_N_2012!$B$60,$AW239,SUMIF($B$10:$B$16,"NCAP_TLIFE",$AX$10:$AX$16)),0,""))</f>
        <v/>
      </c>
      <c r="AQ239" s="369" t="str">
        <f ca="1">IF($B239&lt;&gt;"PRC_RESID","",IF(AQ$7=2005+OFFSET(COM_N_2012!$B$60,$AW239,SUMIF($B$10:$B$16,"NCAP_TLIFE",$AX$10:$AX$16)),0,""))</f>
        <v/>
      </c>
      <c r="AR239" s="369" t="str">
        <f ca="1">IF($B239&lt;&gt;"PRC_RESID","",IF(AR$7=2005+OFFSET(COM_N_2012!$B$60,$AW239,SUMIF($B$10:$B$16,"NCAP_TLIFE",$AX$10:$AX$16)),0,""))</f>
        <v/>
      </c>
      <c r="AS239" s="369" t="str">
        <f ca="1">IF($B239&lt;&gt;"PRC_RESID","",IF(AS$7=2005+OFFSET(COM_N_2012!$B$60,$AW239,SUMIF($B$10:$B$16,"NCAP_TLIFE",$AX$10:$AX$16)),0,""))</f>
        <v/>
      </c>
      <c r="AT239" s="369" t="str">
        <f ca="1">IF($B239&lt;&gt;"PRC_RESID","",IF(AT$7=2005+OFFSET(COM_N_2012!$B$60,$AW239,SUMIF($B$10:$B$16,"NCAP_TLIFE",$AX$10:$AX$16)),0,""))</f>
        <v/>
      </c>
      <c r="AU239" s="369" t="str">
        <f ca="1">IF($B239&lt;&gt;"PRC_RESID","",IF(AU$7=2005+OFFSET(COM_N_2012!$B$60,$AW239,SUMIF($B$10:$B$16,"NCAP_TLIFE",$AX$10:$AX$16)),0,""))</f>
        <v/>
      </c>
      <c r="AV239" s="304">
        <f>IF(AW238=COM_N_2012!$AK$121,AV238+1,AV238)</f>
        <v>4</v>
      </c>
      <c r="AW239" s="304">
        <f t="shared" si="29"/>
        <v>39</v>
      </c>
    </row>
    <row r="240" spans="1:49">
      <c r="A240" s="304" t="str">
        <f ca="1">IF(LEFT(OFFSET(COM_N_2012!$A$60,AW240,0),2)="\I","*","")</f>
        <v>*</v>
      </c>
      <c r="B240" s="369" t="str">
        <f t="shared" ca="1" si="28"/>
        <v/>
      </c>
      <c r="C240" s="369" t="str">
        <f ca="1">IF($A240="*","",OFFSET(COM_N_2012!$B$60,AW240,0))</f>
        <v/>
      </c>
      <c r="D240" s="369" t="str">
        <f t="shared" ca="1" si="32"/>
        <v/>
      </c>
      <c r="E240" s="369" t="str">
        <f t="shared" ca="1" si="32"/>
        <v/>
      </c>
      <c r="F240" s="369" t="str">
        <f t="shared" ca="1" si="32"/>
        <v/>
      </c>
      <c r="G240" s="369" t="str">
        <f t="shared" ca="1" si="32"/>
        <v/>
      </c>
      <c r="H240" s="369" t="str">
        <f t="shared" ca="1" si="32"/>
        <v/>
      </c>
      <c r="I240" s="370" t="str">
        <f t="shared" ca="1" si="32"/>
        <v/>
      </c>
      <c r="J240" s="391" t="str">
        <f ca="1">IF($A240="*","",OFFSET(COM_N_2012!$B$60,AW240,SUMIF($B$10:$B$16,B240,$AX$10:$AX$16)))</f>
        <v/>
      </c>
      <c r="K240" s="369" t="str">
        <f ca="1">IF($B240&lt;&gt;"PRC_RESID","",IF(K$7=2005+OFFSET(COM_N_2012!$B$60,$AW240,SUMIF($B$10:$B$16,"NCAP_TLIFE",$AX$10:$AX$16)),0,""))</f>
        <v/>
      </c>
      <c r="L240" s="369" t="str">
        <f ca="1">IF($B240&lt;&gt;"PRC_RESID","",IF(L$7=2005+OFFSET(COM_N_2012!$B$60,$AW240,SUMIF($B$10:$B$16,"NCAP_TLIFE",$AX$10:$AX$16)),0,""))</f>
        <v/>
      </c>
      <c r="M240" s="369" t="str">
        <f ca="1">IF($B240&lt;&gt;"PRC_RESID","",IF(M$7=2005+OFFSET(COM_N_2012!$B$60,$AW240,SUMIF($B$10:$B$16,"NCAP_TLIFE",$AX$10:$AX$16)),0,""))</f>
        <v/>
      </c>
      <c r="N240" s="369" t="str">
        <f ca="1">IF($B240&lt;&gt;"PRC_RESID","",IF(N$7=2005+OFFSET(COM_N_2012!$B$60,$AW240,SUMIF($B$10:$B$16,"NCAP_TLIFE",$AX$10:$AX$16)),0,""))</f>
        <v/>
      </c>
      <c r="O240" s="369" t="str">
        <f ca="1">IF($B240&lt;&gt;"PRC_RESID","",IF(O$7=2005+OFFSET(COM_N_2012!$B$60,$AW240,SUMIF($B$10:$B$16,"NCAP_TLIFE",$AX$10:$AX$16)),0,""))</f>
        <v/>
      </c>
      <c r="P240" s="369" t="str">
        <f ca="1">IF($B240&lt;&gt;"PRC_RESID","",IF(P$7=2005+OFFSET(COM_N_2012!$B$60,$AW240,SUMIF($B$10:$B$16,"NCAP_TLIFE",$AX$10:$AX$16)),0,""))</f>
        <v/>
      </c>
      <c r="Q240" s="369" t="str">
        <f ca="1">IF($B240&lt;&gt;"PRC_RESID","",IF(Q$7=2005+OFFSET(COM_N_2012!$B$60,$AW240,SUMIF($B$10:$B$16,"NCAP_TLIFE",$AX$10:$AX$16)),0,""))</f>
        <v/>
      </c>
      <c r="R240" s="369" t="str">
        <f ca="1">IF($B240&lt;&gt;"PRC_RESID","",IF(R$7=2005+OFFSET(COM_N_2012!$B$60,$AW240,SUMIF($B$10:$B$16,"NCAP_TLIFE",$AX$10:$AX$16)),0,""))</f>
        <v/>
      </c>
      <c r="S240" s="369" t="str">
        <f ca="1">IF($B240&lt;&gt;"PRC_RESID","",IF(S$7=2005+OFFSET(COM_N_2012!$B$60,$AW240,SUMIF($B$10:$B$16,"NCAP_TLIFE",$AX$10:$AX$16)),0,""))</f>
        <v/>
      </c>
      <c r="T240" s="369" t="str">
        <f ca="1">IF($B240&lt;&gt;"PRC_RESID","",IF(T$7=2005+OFFSET(COM_N_2012!$B$60,$AW240,SUMIF($B$10:$B$16,"NCAP_TLIFE",$AX$10:$AX$16)),0,""))</f>
        <v/>
      </c>
      <c r="U240" s="369" t="str">
        <f ca="1">IF($B240&lt;&gt;"PRC_RESID","",IF(U$7=2005+OFFSET(COM_N_2012!$B$60,$AW240,SUMIF($B$10:$B$16,"NCAP_TLIFE",$AX$10:$AX$16)),0,""))</f>
        <v/>
      </c>
      <c r="V240" s="369" t="str">
        <f ca="1">IF($B240&lt;&gt;"PRC_RESID","",IF(V$7=2005+OFFSET(COM_N_2012!$B$60,$AW240,SUMIF($B$10:$B$16,"NCAP_TLIFE",$AX$10:$AX$16)),0,""))</f>
        <v/>
      </c>
      <c r="W240" s="369" t="str">
        <f ca="1">IF($B240&lt;&gt;"PRC_RESID","",IF(W$7=2005+OFFSET(COM_N_2012!$B$60,$AW240,SUMIF($B$10:$B$16,"NCAP_TLIFE",$AX$10:$AX$16)),0,""))</f>
        <v/>
      </c>
      <c r="X240" s="369" t="str">
        <f ca="1">IF($B240&lt;&gt;"PRC_RESID","",IF(X$7=2005+OFFSET(COM_N_2012!$B$60,$AW240,SUMIF($B$10:$B$16,"NCAP_TLIFE",$AX$10:$AX$16)),0,""))</f>
        <v/>
      </c>
      <c r="Y240" s="369" t="str">
        <f ca="1">IF($B240&lt;&gt;"PRC_RESID","",IF(Y$7=2005+OFFSET(COM_N_2012!$B$60,$AW240,SUMIF($B$10:$B$16,"NCAP_TLIFE",$AX$10:$AX$16)),0,""))</f>
        <v/>
      </c>
      <c r="Z240" s="369" t="str">
        <f ca="1">IF($B240&lt;&gt;"PRC_RESID","",IF(Z$7=2005+OFFSET(COM_N_2012!$B$60,$AW240,SUMIF($B$10:$B$16,"NCAP_TLIFE",$AX$10:$AX$16)),0,""))</f>
        <v/>
      </c>
      <c r="AA240" s="369" t="str">
        <f ca="1">IF($B240&lt;&gt;"PRC_RESID","",IF(AA$7=2005+OFFSET(COM_N_2012!$B$60,$AW240,SUMIF($B$10:$B$16,"NCAP_TLIFE",$AX$10:$AX$16)),0,""))</f>
        <v/>
      </c>
      <c r="AB240" s="369" t="str">
        <f ca="1">IF($B240&lt;&gt;"PRC_RESID","",IF(AB$7=2005+OFFSET(COM_N_2012!$B$60,$AW240,SUMIF($B$10:$B$16,"NCAP_TLIFE",$AX$10:$AX$16)),0,""))</f>
        <v/>
      </c>
      <c r="AC240" s="369" t="str">
        <f ca="1">IF($B240&lt;&gt;"PRC_RESID","",IF(AC$7=2005+OFFSET(COM_N_2012!$B$60,$AW240,SUMIF($B$10:$B$16,"NCAP_TLIFE",$AX$10:$AX$16)),0,""))</f>
        <v/>
      </c>
      <c r="AD240" s="369" t="str">
        <f ca="1">IF($B240&lt;&gt;"PRC_RESID","",IF(AD$7=2005+OFFSET(COM_N_2012!$B$60,$AW240,SUMIF($B$10:$B$16,"NCAP_TLIFE",$AX$10:$AX$16)),0,""))</f>
        <v/>
      </c>
      <c r="AE240" s="369" t="str">
        <f ca="1">IF($B240&lt;&gt;"PRC_RESID","",IF(AE$7=2005+OFFSET(COM_N_2012!$B$60,$AW240,SUMIF($B$10:$B$16,"NCAP_TLIFE",$AX$10:$AX$16)),0,""))</f>
        <v/>
      </c>
      <c r="AF240" s="369" t="str">
        <f ca="1">IF($B240&lt;&gt;"PRC_RESID","",IF(AF$7=2005+OFFSET(COM_N_2012!$B$60,$AW240,SUMIF($B$10:$B$16,"NCAP_TLIFE",$AX$10:$AX$16)),0,""))</f>
        <v/>
      </c>
      <c r="AG240" s="369" t="str">
        <f ca="1">IF($B240&lt;&gt;"PRC_RESID","",IF(AG$7=2005+OFFSET(COM_N_2012!$B$60,$AW240,SUMIF($B$10:$B$16,"NCAP_TLIFE",$AX$10:$AX$16)),0,""))</f>
        <v/>
      </c>
      <c r="AH240" s="369" t="str">
        <f ca="1">IF($B240&lt;&gt;"PRC_RESID","",IF(AH$7=2005+OFFSET(COM_N_2012!$B$60,$AW240,SUMIF($B$10:$B$16,"NCAP_TLIFE",$AX$10:$AX$16)),0,""))</f>
        <v/>
      </c>
      <c r="AI240" s="369" t="str">
        <f ca="1">IF($B240&lt;&gt;"PRC_RESID","",IF(AI$7=2005+OFFSET(COM_N_2012!$B$60,$AW240,SUMIF($B$10:$B$16,"NCAP_TLIFE",$AX$10:$AX$16)),0,""))</f>
        <v/>
      </c>
      <c r="AJ240" s="369" t="str">
        <f ca="1">IF($B240&lt;&gt;"PRC_RESID","",IF(AJ$7=2005+OFFSET(COM_N_2012!$B$60,$AW240,SUMIF($B$10:$B$16,"NCAP_TLIFE",$AX$10:$AX$16)),0,""))</f>
        <v/>
      </c>
      <c r="AK240" s="369" t="str">
        <f ca="1">IF($B240&lt;&gt;"PRC_RESID","",IF(AK$7=2005+OFFSET(COM_N_2012!$B$60,$AW240,SUMIF($B$10:$B$16,"NCAP_TLIFE",$AX$10:$AX$16)),0,""))</f>
        <v/>
      </c>
      <c r="AL240" s="369" t="str">
        <f ca="1">IF($B240&lt;&gt;"PRC_RESID","",IF(AL$7=2005+OFFSET(COM_N_2012!$B$60,$AW240,SUMIF($B$10:$B$16,"NCAP_TLIFE",$AX$10:$AX$16)),0,""))</f>
        <v/>
      </c>
      <c r="AM240" s="369" t="str">
        <f ca="1">IF($B240&lt;&gt;"PRC_RESID","",IF(AM$7=2005+OFFSET(COM_N_2012!$B$60,$AW240,SUMIF($B$10:$B$16,"NCAP_TLIFE",$AX$10:$AX$16)),0,""))</f>
        <v/>
      </c>
      <c r="AN240" s="369" t="str">
        <f ca="1">IF($B240&lt;&gt;"PRC_RESID","",IF(AN$7=2005+OFFSET(COM_N_2012!$B$60,$AW240,SUMIF($B$10:$B$16,"NCAP_TLIFE",$AX$10:$AX$16)),0,""))</f>
        <v/>
      </c>
      <c r="AO240" s="369" t="str">
        <f ca="1">IF($B240&lt;&gt;"PRC_RESID","",IF(AO$7=2005+OFFSET(COM_N_2012!$B$60,$AW240,SUMIF($B$10:$B$16,"NCAP_TLIFE",$AX$10:$AX$16)),0,""))</f>
        <v/>
      </c>
      <c r="AP240" s="369" t="str">
        <f ca="1">IF($B240&lt;&gt;"PRC_RESID","",IF(AP$7=2005+OFFSET(COM_N_2012!$B$60,$AW240,SUMIF($B$10:$B$16,"NCAP_TLIFE",$AX$10:$AX$16)),0,""))</f>
        <v/>
      </c>
      <c r="AQ240" s="369" t="str">
        <f ca="1">IF($B240&lt;&gt;"PRC_RESID","",IF(AQ$7=2005+OFFSET(COM_N_2012!$B$60,$AW240,SUMIF($B$10:$B$16,"NCAP_TLIFE",$AX$10:$AX$16)),0,""))</f>
        <v/>
      </c>
      <c r="AR240" s="369" t="str">
        <f ca="1">IF($B240&lt;&gt;"PRC_RESID","",IF(AR$7=2005+OFFSET(COM_N_2012!$B$60,$AW240,SUMIF($B$10:$B$16,"NCAP_TLIFE",$AX$10:$AX$16)),0,""))</f>
        <v/>
      </c>
      <c r="AS240" s="369" t="str">
        <f ca="1">IF($B240&lt;&gt;"PRC_RESID","",IF(AS$7=2005+OFFSET(COM_N_2012!$B$60,$AW240,SUMIF($B$10:$B$16,"NCAP_TLIFE",$AX$10:$AX$16)),0,""))</f>
        <v/>
      </c>
      <c r="AT240" s="369" t="str">
        <f ca="1">IF($B240&lt;&gt;"PRC_RESID","",IF(AT$7=2005+OFFSET(COM_N_2012!$B$60,$AW240,SUMIF($B$10:$B$16,"NCAP_TLIFE",$AX$10:$AX$16)),0,""))</f>
        <v/>
      </c>
      <c r="AU240" s="369" t="str">
        <f ca="1">IF($B240&lt;&gt;"PRC_RESID","",IF(AU$7=2005+OFFSET(COM_N_2012!$B$60,$AW240,SUMIF($B$10:$B$16,"NCAP_TLIFE",$AX$10:$AX$16)),0,""))</f>
        <v/>
      </c>
      <c r="AV240" s="304">
        <f>IF(AW239=COM_N_2012!$AK$121,AV239+1,AV239)</f>
        <v>4</v>
      </c>
      <c r="AW240" s="304">
        <f t="shared" si="29"/>
        <v>40</v>
      </c>
    </row>
    <row r="241" spans="1:49">
      <c r="A241" s="304" t="str">
        <f ca="1">IF(LEFT(OFFSET(COM_N_2012!$A$60,AW241,0),2)="\I","*","")</f>
        <v>*</v>
      </c>
      <c r="B241" s="369" t="str">
        <f t="shared" ca="1" si="28"/>
        <v/>
      </c>
      <c r="C241" s="369" t="str">
        <f ca="1">IF($A241="*","",OFFSET(COM_N_2012!$B$60,AW241,0))</f>
        <v/>
      </c>
      <c r="D241" s="369" t="str">
        <f t="shared" ca="1" si="32"/>
        <v/>
      </c>
      <c r="E241" s="369" t="str">
        <f t="shared" ca="1" si="32"/>
        <v/>
      </c>
      <c r="F241" s="369" t="str">
        <f t="shared" ca="1" si="32"/>
        <v/>
      </c>
      <c r="G241" s="369" t="str">
        <f t="shared" ca="1" si="32"/>
        <v/>
      </c>
      <c r="H241" s="369" t="str">
        <f t="shared" ca="1" si="32"/>
        <v/>
      </c>
      <c r="I241" s="370" t="str">
        <f t="shared" ca="1" si="32"/>
        <v/>
      </c>
      <c r="J241" s="391" t="str">
        <f ca="1">IF($A241="*","",OFFSET(COM_N_2012!$B$60,AW241,SUMIF($B$10:$B$16,B241,$AX$10:$AX$16)))</f>
        <v/>
      </c>
      <c r="K241" s="369" t="str">
        <f ca="1">IF($B241&lt;&gt;"PRC_RESID","",IF(K$7=2005+OFFSET(COM_N_2012!$B$60,$AW241,SUMIF($B$10:$B$16,"NCAP_TLIFE",$AX$10:$AX$16)),0,""))</f>
        <v/>
      </c>
      <c r="L241" s="369" t="str">
        <f ca="1">IF($B241&lt;&gt;"PRC_RESID","",IF(L$7=2005+OFFSET(COM_N_2012!$B$60,$AW241,SUMIF($B$10:$B$16,"NCAP_TLIFE",$AX$10:$AX$16)),0,""))</f>
        <v/>
      </c>
      <c r="M241" s="369" t="str">
        <f ca="1">IF($B241&lt;&gt;"PRC_RESID","",IF(M$7=2005+OFFSET(COM_N_2012!$B$60,$AW241,SUMIF($B$10:$B$16,"NCAP_TLIFE",$AX$10:$AX$16)),0,""))</f>
        <v/>
      </c>
      <c r="N241" s="369" t="str">
        <f ca="1">IF($B241&lt;&gt;"PRC_RESID","",IF(N$7=2005+OFFSET(COM_N_2012!$B$60,$AW241,SUMIF($B$10:$B$16,"NCAP_TLIFE",$AX$10:$AX$16)),0,""))</f>
        <v/>
      </c>
      <c r="O241" s="369" t="str">
        <f ca="1">IF($B241&lt;&gt;"PRC_RESID","",IF(O$7=2005+OFFSET(COM_N_2012!$B$60,$AW241,SUMIF($B$10:$B$16,"NCAP_TLIFE",$AX$10:$AX$16)),0,""))</f>
        <v/>
      </c>
      <c r="P241" s="369" t="str">
        <f ca="1">IF($B241&lt;&gt;"PRC_RESID","",IF(P$7=2005+OFFSET(COM_N_2012!$B$60,$AW241,SUMIF($B$10:$B$16,"NCAP_TLIFE",$AX$10:$AX$16)),0,""))</f>
        <v/>
      </c>
      <c r="Q241" s="369" t="str">
        <f ca="1">IF($B241&lt;&gt;"PRC_RESID","",IF(Q$7=2005+OFFSET(COM_N_2012!$B$60,$AW241,SUMIF($B$10:$B$16,"NCAP_TLIFE",$AX$10:$AX$16)),0,""))</f>
        <v/>
      </c>
      <c r="R241" s="369" t="str">
        <f ca="1">IF($B241&lt;&gt;"PRC_RESID","",IF(R$7=2005+OFFSET(COM_N_2012!$B$60,$AW241,SUMIF($B$10:$B$16,"NCAP_TLIFE",$AX$10:$AX$16)),0,""))</f>
        <v/>
      </c>
      <c r="S241" s="369" t="str">
        <f ca="1">IF($B241&lt;&gt;"PRC_RESID","",IF(S$7=2005+OFFSET(COM_N_2012!$B$60,$AW241,SUMIF($B$10:$B$16,"NCAP_TLIFE",$AX$10:$AX$16)),0,""))</f>
        <v/>
      </c>
      <c r="T241" s="369" t="str">
        <f ca="1">IF($B241&lt;&gt;"PRC_RESID","",IF(T$7=2005+OFFSET(COM_N_2012!$B$60,$AW241,SUMIF($B$10:$B$16,"NCAP_TLIFE",$AX$10:$AX$16)),0,""))</f>
        <v/>
      </c>
      <c r="U241" s="369" t="str">
        <f ca="1">IF($B241&lt;&gt;"PRC_RESID","",IF(U$7=2005+OFFSET(COM_N_2012!$B$60,$AW241,SUMIF($B$10:$B$16,"NCAP_TLIFE",$AX$10:$AX$16)),0,""))</f>
        <v/>
      </c>
      <c r="V241" s="369" t="str">
        <f ca="1">IF($B241&lt;&gt;"PRC_RESID","",IF(V$7=2005+OFFSET(COM_N_2012!$B$60,$AW241,SUMIF($B$10:$B$16,"NCAP_TLIFE",$AX$10:$AX$16)),0,""))</f>
        <v/>
      </c>
      <c r="W241" s="369" t="str">
        <f ca="1">IF($B241&lt;&gt;"PRC_RESID","",IF(W$7=2005+OFFSET(COM_N_2012!$B$60,$AW241,SUMIF($B$10:$B$16,"NCAP_TLIFE",$AX$10:$AX$16)),0,""))</f>
        <v/>
      </c>
      <c r="X241" s="369" t="str">
        <f ca="1">IF($B241&lt;&gt;"PRC_RESID","",IF(X$7=2005+OFFSET(COM_N_2012!$B$60,$AW241,SUMIF($B$10:$B$16,"NCAP_TLIFE",$AX$10:$AX$16)),0,""))</f>
        <v/>
      </c>
      <c r="Y241" s="369" t="str">
        <f ca="1">IF($B241&lt;&gt;"PRC_RESID","",IF(Y$7=2005+OFFSET(COM_N_2012!$B$60,$AW241,SUMIF($B$10:$B$16,"NCAP_TLIFE",$AX$10:$AX$16)),0,""))</f>
        <v/>
      </c>
      <c r="Z241" s="369" t="str">
        <f ca="1">IF($B241&lt;&gt;"PRC_RESID","",IF(Z$7=2005+OFFSET(COM_N_2012!$B$60,$AW241,SUMIF($B$10:$B$16,"NCAP_TLIFE",$AX$10:$AX$16)),0,""))</f>
        <v/>
      </c>
      <c r="AA241" s="369" t="str">
        <f ca="1">IF($B241&lt;&gt;"PRC_RESID","",IF(AA$7=2005+OFFSET(COM_N_2012!$B$60,$AW241,SUMIF($B$10:$B$16,"NCAP_TLIFE",$AX$10:$AX$16)),0,""))</f>
        <v/>
      </c>
      <c r="AB241" s="369" t="str">
        <f ca="1">IF($B241&lt;&gt;"PRC_RESID","",IF(AB$7=2005+OFFSET(COM_N_2012!$B$60,$AW241,SUMIF($B$10:$B$16,"NCAP_TLIFE",$AX$10:$AX$16)),0,""))</f>
        <v/>
      </c>
      <c r="AC241" s="369" t="str">
        <f ca="1">IF($B241&lt;&gt;"PRC_RESID","",IF(AC$7=2005+OFFSET(COM_N_2012!$B$60,$AW241,SUMIF($B$10:$B$16,"NCAP_TLIFE",$AX$10:$AX$16)),0,""))</f>
        <v/>
      </c>
      <c r="AD241" s="369" t="str">
        <f ca="1">IF($B241&lt;&gt;"PRC_RESID","",IF(AD$7=2005+OFFSET(COM_N_2012!$B$60,$AW241,SUMIF($B$10:$B$16,"NCAP_TLIFE",$AX$10:$AX$16)),0,""))</f>
        <v/>
      </c>
      <c r="AE241" s="369" t="str">
        <f ca="1">IF($B241&lt;&gt;"PRC_RESID","",IF(AE$7=2005+OFFSET(COM_N_2012!$B$60,$AW241,SUMIF($B$10:$B$16,"NCAP_TLIFE",$AX$10:$AX$16)),0,""))</f>
        <v/>
      </c>
      <c r="AF241" s="369" t="str">
        <f ca="1">IF($B241&lt;&gt;"PRC_RESID","",IF(AF$7=2005+OFFSET(COM_N_2012!$B$60,$AW241,SUMIF($B$10:$B$16,"NCAP_TLIFE",$AX$10:$AX$16)),0,""))</f>
        <v/>
      </c>
      <c r="AG241" s="369" t="str">
        <f ca="1">IF($B241&lt;&gt;"PRC_RESID","",IF(AG$7=2005+OFFSET(COM_N_2012!$B$60,$AW241,SUMIF($B$10:$B$16,"NCAP_TLIFE",$AX$10:$AX$16)),0,""))</f>
        <v/>
      </c>
      <c r="AH241" s="369" t="str">
        <f ca="1">IF($B241&lt;&gt;"PRC_RESID","",IF(AH$7=2005+OFFSET(COM_N_2012!$B$60,$AW241,SUMIF($B$10:$B$16,"NCAP_TLIFE",$AX$10:$AX$16)),0,""))</f>
        <v/>
      </c>
      <c r="AI241" s="369" t="str">
        <f ca="1">IF($B241&lt;&gt;"PRC_RESID","",IF(AI$7=2005+OFFSET(COM_N_2012!$B$60,$AW241,SUMIF($B$10:$B$16,"NCAP_TLIFE",$AX$10:$AX$16)),0,""))</f>
        <v/>
      </c>
      <c r="AJ241" s="369" t="str">
        <f ca="1">IF($B241&lt;&gt;"PRC_RESID","",IF(AJ$7=2005+OFFSET(COM_N_2012!$B$60,$AW241,SUMIF($B$10:$B$16,"NCAP_TLIFE",$AX$10:$AX$16)),0,""))</f>
        <v/>
      </c>
      <c r="AK241" s="369" t="str">
        <f ca="1">IF($B241&lt;&gt;"PRC_RESID","",IF(AK$7=2005+OFFSET(COM_N_2012!$B$60,$AW241,SUMIF($B$10:$B$16,"NCAP_TLIFE",$AX$10:$AX$16)),0,""))</f>
        <v/>
      </c>
      <c r="AL241" s="369" t="str">
        <f ca="1">IF($B241&lt;&gt;"PRC_RESID","",IF(AL$7=2005+OFFSET(COM_N_2012!$B$60,$AW241,SUMIF($B$10:$B$16,"NCAP_TLIFE",$AX$10:$AX$16)),0,""))</f>
        <v/>
      </c>
      <c r="AM241" s="369" t="str">
        <f ca="1">IF($B241&lt;&gt;"PRC_RESID","",IF(AM$7=2005+OFFSET(COM_N_2012!$B$60,$AW241,SUMIF($B$10:$B$16,"NCAP_TLIFE",$AX$10:$AX$16)),0,""))</f>
        <v/>
      </c>
      <c r="AN241" s="369" t="str">
        <f ca="1">IF($B241&lt;&gt;"PRC_RESID","",IF(AN$7=2005+OFFSET(COM_N_2012!$B$60,$AW241,SUMIF($B$10:$B$16,"NCAP_TLIFE",$AX$10:$AX$16)),0,""))</f>
        <v/>
      </c>
      <c r="AO241" s="369" t="str">
        <f ca="1">IF($B241&lt;&gt;"PRC_RESID","",IF(AO$7=2005+OFFSET(COM_N_2012!$B$60,$AW241,SUMIF($B$10:$B$16,"NCAP_TLIFE",$AX$10:$AX$16)),0,""))</f>
        <v/>
      </c>
      <c r="AP241" s="369" t="str">
        <f ca="1">IF($B241&lt;&gt;"PRC_RESID","",IF(AP$7=2005+OFFSET(COM_N_2012!$B$60,$AW241,SUMIF($B$10:$B$16,"NCAP_TLIFE",$AX$10:$AX$16)),0,""))</f>
        <v/>
      </c>
      <c r="AQ241" s="369" t="str">
        <f ca="1">IF($B241&lt;&gt;"PRC_RESID","",IF(AQ$7=2005+OFFSET(COM_N_2012!$B$60,$AW241,SUMIF($B$10:$B$16,"NCAP_TLIFE",$AX$10:$AX$16)),0,""))</f>
        <v/>
      </c>
      <c r="AR241" s="369" t="str">
        <f ca="1">IF($B241&lt;&gt;"PRC_RESID","",IF(AR$7=2005+OFFSET(COM_N_2012!$B$60,$AW241,SUMIF($B$10:$B$16,"NCAP_TLIFE",$AX$10:$AX$16)),0,""))</f>
        <v/>
      </c>
      <c r="AS241" s="369" t="str">
        <f ca="1">IF($B241&lt;&gt;"PRC_RESID","",IF(AS$7=2005+OFFSET(COM_N_2012!$B$60,$AW241,SUMIF($B$10:$B$16,"NCAP_TLIFE",$AX$10:$AX$16)),0,""))</f>
        <v/>
      </c>
      <c r="AT241" s="369" t="str">
        <f ca="1">IF($B241&lt;&gt;"PRC_RESID","",IF(AT$7=2005+OFFSET(COM_N_2012!$B$60,$AW241,SUMIF($B$10:$B$16,"NCAP_TLIFE",$AX$10:$AX$16)),0,""))</f>
        <v/>
      </c>
      <c r="AU241" s="369" t="str">
        <f ca="1">IF($B241&lt;&gt;"PRC_RESID","",IF(AU$7=2005+OFFSET(COM_N_2012!$B$60,$AW241,SUMIF($B$10:$B$16,"NCAP_TLIFE",$AX$10:$AX$16)),0,""))</f>
        <v/>
      </c>
      <c r="AV241" s="304">
        <f>IF(AW240=COM_N_2012!$AK$121,AV240+1,AV240)</f>
        <v>4</v>
      </c>
      <c r="AW241" s="304">
        <f t="shared" si="29"/>
        <v>41</v>
      </c>
    </row>
    <row r="242" spans="1:49">
      <c r="A242" s="304" t="str">
        <f ca="1">IF(LEFT(OFFSET(COM_N_2012!$A$60,AW242,0),2)="\I","*","")</f>
        <v/>
      </c>
      <c r="B242" s="369" t="str">
        <f t="shared" ca="1" si="28"/>
        <v>NCAP_COST</v>
      </c>
      <c r="C242" s="369" t="str">
        <f ca="1">IF($A242="*","",OFFSET(COM_N_2012!$B$60,AW242,0))</f>
        <v>CNGELCINC-E</v>
      </c>
      <c r="D242" s="369" t="str">
        <f t="shared" ca="1" si="32"/>
        <v>-</v>
      </c>
      <c r="E242" s="369" t="str">
        <f t="shared" ca="1" si="32"/>
        <v>-</v>
      </c>
      <c r="F242" s="369" t="str">
        <f t="shared" ca="1" si="32"/>
        <v>-</v>
      </c>
      <c r="G242" s="369" t="str">
        <f t="shared" ca="1" si="32"/>
        <v>-</v>
      </c>
      <c r="H242" s="369" t="str">
        <f t="shared" ca="1" si="32"/>
        <v>-</v>
      </c>
      <c r="I242" s="370">
        <f t="shared" ca="1" si="32"/>
        <v>0</v>
      </c>
      <c r="J242" s="391">
        <f ca="1">IF($A242="*","",OFFSET(COM_N_2012!$B$60,AW242,SUMIF($B$10:$B$16,B242,$AX$10:$AX$16)))</f>
        <v>0.26729589482474081</v>
      </c>
      <c r="K242" s="369" t="str">
        <f ca="1">IF($B242&lt;&gt;"PRC_RESID","",IF(K$7=2005+OFFSET(COM_N_2012!$B$60,$AW242,SUMIF($B$10:$B$16,"NCAP_TLIFE",$AX$10:$AX$16)),0,""))</f>
        <v/>
      </c>
      <c r="L242" s="369" t="str">
        <f ca="1">IF($B242&lt;&gt;"PRC_RESID","",IF(L$7=2005+OFFSET(COM_N_2012!$B$60,$AW242,SUMIF($B$10:$B$16,"NCAP_TLIFE",$AX$10:$AX$16)),0,""))</f>
        <v/>
      </c>
      <c r="M242" s="369" t="str">
        <f ca="1">IF($B242&lt;&gt;"PRC_RESID","",IF(M$7=2005+OFFSET(COM_N_2012!$B$60,$AW242,SUMIF($B$10:$B$16,"NCAP_TLIFE",$AX$10:$AX$16)),0,""))</f>
        <v/>
      </c>
      <c r="N242" s="369" t="str">
        <f ca="1">IF($B242&lt;&gt;"PRC_RESID","",IF(N$7=2005+OFFSET(COM_N_2012!$B$60,$AW242,SUMIF($B$10:$B$16,"NCAP_TLIFE",$AX$10:$AX$16)),0,""))</f>
        <v/>
      </c>
      <c r="O242" s="369" t="str">
        <f ca="1">IF($B242&lt;&gt;"PRC_RESID","",IF(O$7=2005+OFFSET(COM_N_2012!$B$60,$AW242,SUMIF($B$10:$B$16,"NCAP_TLIFE",$AX$10:$AX$16)),0,""))</f>
        <v/>
      </c>
      <c r="P242" s="369" t="str">
        <f ca="1">IF($B242&lt;&gt;"PRC_RESID","",IF(P$7=2005+OFFSET(COM_N_2012!$B$60,$AW242,SUMIF($B$10:$B$16,"NCAP_TLIFE",$AX$10:$AX$16)),0,""))</f>
        <v/>
      </c>
      <c r="Q242" s="369" t="str">
        <f ca="1">IF($B242&lt;&gt;"PRC_RESID","",IF(Q$7=2005+OFFSET(COM_N_2012!$B$60,$AW242,SUMIF($B$10:$B$16,"NCAP_TLIFE",$AX$10:$AX$16)),0,""))</f>
        <v/>
      </c>
      <c r="R242" s="369" t="str">
        <f ca="1">IF($B242&lt;&gt;"PRC_RESID","",IF(R$7=2005+OFFSET(COM_N_2012!$B$60,$AW242,SUMIF($B$10:$B$16,"NCAP_TLIFE",$AX$10:$AX$16)),0,""))</f>
        <v/>
      </c>
      <c r="S242" s="369" t="str">
        <f ca="1">IF($B242&lt;&gt;"PRC_RESID","",IF(S$7=2005+OFFSET(COM_N_2012!$B$60,$AW242,SUMIF($B$10:$B$16,"NCAP_TLIFE",$AX$10:$AX$16)),0,""))</f>
        <v/>
      </c>
      <c r="T242" s="369" t="str">
        <f ca="1">IF($B242&lt;&gt;"PRC_RESID","",IF(T$7=2005+OFFSET(COM_N_2012!$B$60,$AW242,SUMIF($B$10:$B$16,"NCAP_TLIFE",$AX$10:$AX$16)),0,""))</f>
        <v/>
      </c>
      <c r="U242" s="369" t="str">
        <f ca="1">IF($B242&lt;&gt;"PRC_RESID","",IF(U$7=2005+OFFSET(COM_N_2012!$B$60,$AW242,SUMIF($B$10:$B$16,"NCAP_TLIFE",$AX$10:$AX$16)),0,""))</f>
        <v/>
      </c>
      <c r="V242" s="369" t="str">
        <f ca="1">IF($B242&lt;&gt;"PRC_RESID","",IF(V$7=2005+OFFSET(COM_N_2012!$B$60,$AW242,SUMIF($B$10:$B$16,"NCAP_TLIFE",$AX$10:$AX$16)),0,""))</f>
        <v/>
      </c>
      <c r="W242" s="369" t="str">
        <f ca="1">IF($B242&lt;&gt;"PRC_RESID","",IF(W$7=2005+OFFSET(COM_N_2012!$B$60,$AW242,SUMIF($B$10:$B$16,"NCAP_TLIFE",$AX$10:$AX$16)),0,""))</f>
        <v/>
      </c>
      <c r="X242" s="369" t="str">
        <f ca="1">IF($B242&lt;&gt;"PRC_RESID","",IF(X$7=2005+OFFSET(COM_N_2012!$B$60,$AW242,SUMIF($B$10:$B$16,"NCAP_TLIFE",$AX$10:$AX$16)),0,""))</f>
        <v/>
      </c>
      <c r="Y242" s="369" t="str">
        <f ca="1">IF($B242&lt;&gt;"PRC_RESID","",IF(Y$7=2005+OFFSET(COM_N_2012!$B$60,$AW242,SUMIF($B$10:$B$16,"NCAP_TLIFE",$AX$10:$AX$16)),0,""))</f>
        <v/>
      </c>
      <c r="Z242" s="369" t="str">
        <f ca="1">IF($B242&lt;&gt;"PRC_RESID","",IF(Z$7=2005+OFFSET(COM_N_2012!$B$60,$AW242,SUMIF($B$10:$B$16,"NCAP_TLIFE",$AX$10:$AX$16)),0,""))</f>
        <v/>
      </c>
      <c r="AA242" s="369" t="str">
        <f ca="1">IF($B242&lt;&gt;"PRC_RESID","",IF(AA$7=2005+OFFSET(COM_N_2012!$B$60,$AW242,SUMIF($B$10:$B$16,"NCAP_TLIFE",$AX$10:$AX$16)),0,""))</f>
        <v/>
      </c>
      <c r="AB242" s="369" t="str">
        <f ca="1">IF($B242&lt;&gt;"PRC_RESID","",IF(AB$7=2005+OFFSET(COM_N_2012!$B$60,$AW242,SUMIF($B$10:$B$16,"NCAP_TLIFE",$AX$10:$AX$16)),0,""))</f>
        <v/>
      </c>
      <c r="AC242" s="369" t="str">
        <f ca="1">IF($B242&lt;&gt;"PRC_RESID","",IF(AC$7=2005+OFFSET(COM_N_2012!$B$60,$AW242,SUMIF($B$10:$B$16,"NCAP_TLIFE",$AX$10:$AX$16)),0,""))</f>
        <v/>
      </c>
      <c r="AD242" s="369" t="str">
        <f ca="1">IF($B242&lt;&gt;"PRC_RESID","",IF(AD$7=2005+OFFSET(COM_N_2012!$B$60,$AW242,SUMIF($B$10:$B$16,"NCAP_TLIFE",$AX$10:$AX$16)),0,""))</f>
        <v/>
      </c>
      <c r="AE242" s="369" t="str">
        <f ca="1">IF($B242&lt;&gt;"PRC_RESID","",IF(AE$7=2005+OFFSET(COM_N_2012!$B$60,$AW242,SUMIF($B$10:$B$16,"NCAP_TLIFE",$AX$10:$AX$16)),0,""))</f>
        <v/>
      </c>
      <c r="AF242" s="369" t="str">
        <f ca="1">IF($B242&lt;&gt;"PRC_RESID","",IF(AF$7=2005+OFFSET(COM_N_2012!$B$60,$AW242,SUMIF($B$10:$B$16,"NCAP_TLIFE",$AX$10:$AX$16)),0,""))</f>
        <v/>
      </c>
      <c r="AG242" s="369" t="str">
        <f ca="1">IF($B242&lt;&gt;"PRC_RESID","",IF(AG$7=2005+OFFSET(COM_N_2012!$B$60,$AW242,SUMIF($B$10:$B$16,"NCAP_TLIFE",$AX$10:$AX$16)),0,""))</f>
        <v/>
      </c>
      <c r="AH242" s="369" t="str">
        <f ca="1">IF($B242&lt;&gt;"PRC_RESID","",IF(AH$7=2005+OFFSET(COM_N_2012!$B$60,$AW242,SUMIF($B$10:$B$16,"NCAP_TLIFE",$AX$10:$AX$16)),0,""))</f>
        <v/>
      </c>
      <c r="AI242" s="369" t="str">
        <f ca="1">IF($B242&lt;&gt;"PRC_RESID","",IF(AI$7=2005+OFFSET(COM_N_2012!$B$60,$AW242,SUMIF($B$10:$B$16,"NCAP_TLIFE",$AX$10:$AX$16)),0,""))</f>
        <v/>
      </c>
      <c r="AJ242" s="369" t="str">
        <f ca="1">IF($B242&lt;&gt;"PRC_RESID","",IF(AJ$7=2005+OFFSET(COM_N_2012!$B$60,$AW242,SUMIF($B$10:$B$16,"NCAP_TLIFE",$AX$10:$AX$16)),0,""))</f>
        <v/>
      </c>
      <c r="AK242" s="369" t="str">
        <f ca="1">IF($B242&lt;&gt;"PRC_RESID","",IF(AK$7=2005+OFFSET(COM_N_2012!$B$60,$AW242,SUMIF($B$10:$B$16,"NCAP_TLIFE",$AX$10:$AX$16)),0,""))</f>
        <v/>
      </c>
      <c r="AL242" s="369" t="str">
        <f ca="1">IF($B242&lt;&gt;"PRC_RESID","",IF(AL$7=2005+OFFSET(COM_N_2012!$B$60,$AW242,SUMIF($B$10:$B$16,"NCAP_TLIFE",$AX$10:$AX$16)),0,""))</f>
        <v/>
      </c>
      <c r="AM242" s="369" t="str">
        <f ca="1">IF($B242&lt;&gt;"PRC_RESID","",IF(AM$7=2005+OFFSET(COM_N_2012!$B$60,$AW242,SUMIF($B$10:$B$16,"NCAP_TLIFE",$AX$10:$AX$16)),0,""))</f>
        <v/>
      </c>
      <c r="AN242" s="369" t="str">
        <f ca="1">IF($B242&lt;&gt;"PRC_RESID","",IF(AN$7=2005+OFFSET(COM_N_2012!$B$60,$AW242,SUMIF($B$10:$B$16,"NCAP_TLIFE",$AX$10:$AX$16)),0,""))</f>
        <v/>
      </c>
      <c r="AO242" s="369" t="str">
        <f ca="1">IF($B242&lt;&gt;"PRC_RESID","",IF(AO$7=2005+OFFSET(COM_N_2012!$B$60,$AW242,SUMIF($B$10:$B$16,"NCAP_TLIFE",$AX$10:$AX$16)),0,""))</f>
        <v/>
      </c>
      <c r="AP242" s="369" t="str">
        <f ca="1">IF($B242&lt;&gt;"PRC_RESID","",IF(AP$7=2005+OFFSET(COM_N_2012!$B$60,$AW242,SUMIF($B$10:$B$16,"NCAP_TLIFE",$AX$10:$AX$16)),0,""))</f>
        <v/>
      </c>
      <c r="AQ242" s="369" t="str">
        <f ca="1">IF($B242&lt;&gt;"PRC_RESID","",IF(AQ$7=2005+OFFSET(COM_N_2012!$B$60,$AW242,SUMIF($B$10:$B$16,"NCAP_TLIFE",$AX$10:$AX$16)),0,""))</f>
        <v/>
      </c>
      <c r="AR242" s="369" t="str">
        <f ca="1">IF($B242&lt;&gt;"PRC_RESID","",IF(AR$7=2005+OFFSET(COM_N_2012!$B$60,$AW242,SUMIF($B$10:$B$16,"NCAP_TLIFE",$AX$10:$AX$16)),0,""))</f>
        <v/>
      </c>
      <c r="AS242" s="369" t="str">
        <f ca="1">IF($B242&lt;&gt;"PRC_RESID","",IF(AS$7=2005+OFFSET(COM_N_2012!$B$60,$AW242,SUMIF($B$10:$B$16,"NCAP_TLIFE",$AX$10:$AX$16)),0,""))</f>
        <v/>
      </c>
      <c r="AT242" s="369" t="str">
        <f ca="1">IF($B242&lt;&gt;"PRC_RESID","",IF(AT$7=2005+OFFSET(COM_N_2012!$B$60,$AW242,SUMIF($B$10:$B$16,"NCAP_TLIFE",$AX$10:$AX$16)),0,""))</f>
        <v/>
      </c>
      <c r="AU242" s="369" t="str">
        <f ca="1">IF($B242&lt;&gt;"PRC_RESID","",IF(AU$7=2005+OFFSET(COM_N_2012!$B$60,$AW242,SUMIF($B$10:$B$16,"NCAP_TLIFE",$AX$10:$AX$16)),0,""))</f>
        <v/>
      </c>
      <c r="AV242" s="304">
        <f>IF(AW241=COM_N_2012!$AK$121,AV241+1,AV241)</f>
        <v>4</v>
      </c>
      <c r="AW242" s="304">
        <f t="shared" si="29"/>
        <v>42</v>
      </c>
    </row>
    <row r="243" spans="1:49">
      <c r="A243" s="304" t="str">
        <f ca="1">IF(LEFT(OFFSET(COM_N_2012!$A$60,AW243,0),2)="\I","*","")</f>
        <v/>
      </c>
      <c r="B243" s="369" t="str">
        <f t="shared" ca="1" si="28"/>
        <v>NCAP_COST</v>
      </c>
      <c r="C243" s="369" t="str">
        <f ca="1">IF($A243="*","",OFFSET(COM_N_2012!$B$60,AW243,0))</f>
        <v>CNGELCHAL-E</v>
      </c>
      <c r="D243" s="369" t="str">
        <f t="shared" ca="1" si="32"/>
        <v>-</v>
      </c>
      <c r="E243" s="369" t="str">
        <f t="shared" ca="1" si="32"/>
        <v>-</v>
      </c>
      <c r="F243" s="369" t="str">
        <f t="shared" ca="1" si="32"/>
        <v>-</v>
      </c>
      <c r="G243" s="369" t="str">
        <f t="shared" ca="1" si="32"/>
        <v>-</v>
      </c>
      <c r="H243" s="369" t="str">
        <f t="shared" ca="1" si="32"/>
        <v>-</v>
      </c>
      <c r="I243" s="370">
        <f t="shared" ca="1" si="32"/>
        <v>0</v>
      </c>
      <c r="J243" s="391">
        <f ca="1">IF($A243="*","",OFFSET(COM_N_2012!$B$60,AW243,SUMIF($B$10:$B$16,B243,$AX$10:$AX$16)))</f>
        <v>0.75829581287827852</v>
      </c>
      <c r="K243" s="369" t="str">
        <f ca="1">IF($B243&lt;&gt;"PRC_RESID","",IF(K$7=2005+OFFSET(COM_N_2012!$B$60,$AW243,SUMIF($B$10:$B$16,"NCAP_TLIFE",$AX$10:$AX$16)),0,""))</f>
        <v/>
      </c>
      <c r="L243" s="369" t="str">
        <f ca="1">IF($B243&lt;&gt;"PRC_RESID","",IF(L$7=2005+OFFSET(COM_N_2012!$B$60,$AW243,SUMIF($B$10:$B$16,"NCAP_TLIFE",$AX$10:$AX$16)),0,""))</f>
        <v/>
      </c>
      <c r="M243" s="369" t="str">
        <f ca="1">IF($B243&lt;&gt;"PRC_RESID","",IF(M$7=2005+OFFSET(COM_N_2012!$B$60,$AW243,SUMIF($B$10:$B$16,"NCAP_TLIFE",$AX$10:$AX$16)),0,""))</f>
        <v/>
      </c>
      <c r="N243" s="369" t="str">
        <f ca="1">IF($B243&lt;&gt;"PRC_RESID","",IF(N$7=2005+OFFSET(COM_N_2012!$B$60,$AW243,SUMIF($B$10:$B$16,"NCAP_TLIFE",$AX$10:$AX$16)),0,""))</f>
        <v/>
      </c>
      <c r="O243" s="369" t="str">
        <f ca="1">IF($B243&lt;&gt;"PRC_RESID","",IF(O$7=2005+OFFSET(COM_N_2012!$B$60,$AW243,SUMIF($B$10:$B$16,"NCAP_TLIFE",$AX$10:$AX$16)),0,""))</f>
        <v/>
      </c>
      <c r="P243" s="369" t="str">
        <f ca="1">IF($B243&lt;&gt;"PRC_RESID","",IF(P$7=2005+OFFSET(COM_N_2012!$B$60,$AW243,SUMIF($B$10:$B$16,"NCAP_TLIFE",$AX$10:$AX$16)),0,""))</f>
        <v/>
      </c>
      <c r="Q243" s="369" t="str">
        <f ca="1">IF($B243&lt;&gt;"PRC_RESID","",IF(Q$7=2005+OFFSET(COM_N_2012!$B$60,$AW243,SUMIF($B$10:$B$16,"NCAP_TLIFE",$AX$10:$AX$16)),0,""))</f>
        <v/>
      </c>
      <c r="R243" s="369" t="str">
        <f ca="1">IF($B243&lt;&gt;"PRC_RESID","",IF(R$7=2005+OFFSET(COM_N_2012!$B$60,$AW243,SUMIF($B$10:$B$16,"NCAP_TLIFE",$AX$10:$AX$16)),0,""))</f>
        <v/>
      </c>
      <c r="S243" s="369" t="str">
        <f ca="1">IF($B243&lt;&gt;"PRC_RESID","",IF(S$7=2005+OFFSET(COM_N_2012!$B$60,$AW243,SUMIF($B$10:$B$16,"NCAP_TLIFE",$AX$10:$AX$16)),0,""))</f>
        <v/>
      </c>
      <c r="T243" s="369" t="str">
        <f ca="1">IF($B243&lt;&gt;"PRC_RESID","",IF(T$7=2005+OFFSET(COM_N_2012!$B$60,$AW243,SUMIF($B$10:$B$16,"NCAP_TLIFE",$AX$10:$AX$16)),0,""))</f>
        <v/>
      </c>
      <c r="U243" s="369" t="str">
        <f ca="1">IF($B243&lt;&gt;"PRC_RESID","",IF(U$7=2005+OFFSET(COM_N_2012!$B$60,$AW243,SUMIF($B$10:$B$16,"NCAP_TLIFE",$AX$10:$AX$16)),0,""))</f>
        <v/>
      </c>
      <c r="V243" s="369" t="str">
        <f ca="1">IF($B243&lt;&gt;"PRC_RESID","",IF(V$7=2005+OFFSET(COM_N_2012!$B$60,$AW243,SUMIF($B$10:$B$16,"NCAP_TLIFE",$AX$10:$AX$16)),0,""))</f>
        <v/>
      </c>
      <c r="W243" s="369" t="str">
        <f ca="1">IF($B243&lt;&gt;"PRC_RESID","",IF(W$7=2005+OFFSET(COM_N_2012!$B$60,$AW243,SUMIF($B$10:$B$16,"NCAP_TLIFE",$AX$10:$AX$16)),0,""))</f>
        <v/>
      </c>
      <c r="X243" s="369" t="str">
        <f ca="1">IF($B243&lt;&gt;"PRC_RESID","",IF(X$7=2005+OFFSET(COM_N_2012!$B$60,$AW243,SUMIF($B$10:$B$16,"NCAP_TLIFE",$AX$10:$AX$16)),0,""))</f>
        <v/>
      </c>
      <c r="Y243" s="369" t="str">
        <f ca="1">IF($B243&lt;&gt;"PRC_RESID","",IF(Y$7=2005+OFFSET(COM_N_2012!$B$60,$AW243,SUMIF($B$10:$B$16,"NCAP_TLIFE",$AX$10:$AX$16)),0,""))</f>
        <v/>
      </c>
      <c r="Z243" s="369" t="str">
        <f ca="1">IF($B243&lt;&gt;"PRC_RESID","",IF(Z$7=2005+OFFSET(COM_N_2012!$B$60,$AW243,SUMIF($B$10:$B$16,"NCAP_TLIFE",$AX$10:$AX$16)),0,""))</f>
        <v/>
      </c>
      <c r="AA243" s="369" t="str">
        <f ca="1">IF($B243&lt;&gt;"PRC_RESID","",IF(AA$7=2005+OFFSET(COM_N_2012!$B$60,$AW243,SUMIF($B$10:$B$16,"NCAP_TLIFE",$AX$10:$AX$16)),0,""))</f>
        <v/>
      </c>
      <c r="AB243" s="369" t="str">
        <f ca="1">IF($B243&lt;&gt;"PRC_RESID","",IF(AB$7=2005+OFFSET(COM_N_2012!$B$60,$AW243,SUMIF($B$10:$B$16,"NCAP_TLIFE",$AX$10:$AX$16)),0,""))</f>
        <v/>
      </c>
      <c r="AC243" s="369" t="str">
        <f ca="1">IF($B243&lt;&gt;"PRC_RESID","",IF(AC$7=2005+OFFSET(COM_N_2012!$B$60,$AW243,SUMIF($B$10:$B$16,"NCAP_TLIFE",$AX$10:$AX$16)),0,""))</f>
        <v/>
      </c>
      <c r="AD243" s="369" t="str">
        <f ca="1">IF($B243&lt;&gt;"PRC_RESID","",IF(AD$7=2005+OFFSET(COM_N_2012!$B$60,$AW243,SUMIF($B$10:$B$16,"NCAP_TLIFE",$AX$10:$AX$16)),0,""))</f>
        <v/>
      </c>
      <c r="AE243" s="369" t="str">
        <f ca="1">IF($B243&lt;&gt;"PRC_RESID","",IF(AE$7=2005+OFFSET(COM_N_2012!$B$60,$AW243,SUMIF($B$10:$B$16,"NCAP_TLIFE",$AX$10:$AX$16)),0,""))</f>
        <v/>
      </c>
      <c r="AF243" s="369" t="str">
        <f ca="1">IF($B243&lt;&gt;"PRC_RESID","",IF(AF$7=2005+OFFSET(COM_N_2012!$B$60,$AW243,SUMIF($B$10:$B$16,"NCAP_TLIFE",$AX$10:$AX$16)),0,""))</f>
        <v/>
      </c>
      <c r="AG243" s="369" t="str">
        <f ca="1">IF($B243&lt;&gt;"PRC_RESID","",IF(AG$7=2005+OFFSET(COM_N_2012!$B$60,$AW243,SUMIF($B$10:$B$16,"NCAP_TLIFE",$AX$10:$AX$16)),0,""))</f>
        <v/>
      </c>
      <c r="AH243" s="369" t="str">
        <f ca="1">IF($B243&lt;&gt;"PRC_RESID","",IF(AH$7=2005+OFFSET(COM_N_2012!$B$60,$AW243,SUMIF($B$10:$B$16,"NCAP_TLIFE",$AX$10:$AX$16)),0,""))</f>
        <v/>
      </c>
      <c r="AI243" s="369" t="str">
        <f ca="1">IF($B243&lt;&gt;"PRC_RESID","",IF(AI$7=2005+OFFSET(COM_N_2012!$B$60,$AW243,SUMIF($B$10:$B$16,"NCAP_TLIFE",$AX$10:$AX$16)),0,""))</f>
        <v/>
      </c>
      <c r="AJ243" s="369" t="str">
        <f ca="1">IF($B243&lt;&gt;"PRC_RESID","",IF(AJ$7=2005+OFFSET(COM_N_2012!$B$60,$AW243,SUMIF($B$10:$B$16,"NCAP_TLIFE",$AX$10:$AX$16)),0,""))</f>
        <v/>
      </c>
      <c r="AK243" s="369" t="str">
        <f ca="1">IF($B243&lt;&gt;"PRC_RESID","",IF(AK$7=2005+OFFSET(COM_N_2012!$B$60,$AW243,SUMIF($B$10:$B$16,"NCAP_TLIFE",$AX$10:$AX$16)),0,""))</f>
        <v/>
      </c>
      <c r="AL243" s="369" t="str">
        <f ca="1">IF($B243&lt;&gt;"PRC_RESID","",IF(AL$7=2005+OFFSET(COM_N_2012!$B$60,$AW243,SUMIF($B$10:$B$16,"NCAP_TLIFE",$AX$10:$AX$16)),0,""))</f>
        <v/>
      </c>
      <c r="AM243" s="369" t="str">
        <f ca="1">IF($B243&lt;&gt;"PRC_RESID","",IF(AM$7=2005+OFFSET(COM_N_2012!$B$60,$AW243,SUMIF($B$10:$B$16,"NCAP_TLIFE",$AX$10:$AX$16)),0,""))</f>
        <v/>
      </c>
      <c r="AN243" s="369" t="str">
        <f ca="1">IF($B243&lt;&gt;"PRC_RESID","",IF(AN$7=2005+OFFSET(COM_N_2012!$B$60,$AW243,SUMIF($B$10:$B$16,"NCAP_TLIFE",$AX$10:$AX$16)),0,""))</f>
        <v/>
      </c>
      <c r="AO243" s="369" t="str">
        <f ca="1">IF($B243&lt;&gt;"PRC_RESID","",IF(AO$7=2005+OFFSET(COM_N_2012!$B$60,$AW243,SUMIF($B$10:$B$16,"NCAP_TLIFE",$AX$10:$AX$16)),0,""))</f>
        <v/>
      </c>
      <c r="AP243" s="369" t="str">
        <f ca="1">IF($B243&lt;&gt;"PRC_RESID","",IF(AP$7=2005+OFFSET(COM_N_2012!$B$60,$AW243,SUMIF($B$10:$B$16,"NCAP_TLIFE",$AX$10:$AX$16)),0,""))</f>
        <v/>
      </c>
      <c r="AQ243" s="369" t="str">
        <f ca="1">IF($B243&lt;&gt;"PRC_RESID","",IF(AQ$7=2005+OFFSET(COM_N_2012!$B$60,$AW243,SUMIF($B$10:$B$16,"NCAP_TLIFE",$AX$10:$AX$16)),0,""))</f>
        <v/>
      </c>
      <c r="AR243" s="369" t="str">
        <f ca="1">IF($B243&lt;&gt;"PRC_RESID","",IF(AR$7=2005+OFFSET(COM_N_2012!$B$60,$AW243,SUMIF($B$10:$B$16,"NCAP_TLIFE",$AX$10:$AX$16)),0,""))</f>
        <v/>
      </c>
      <c r="AS243" s="369" t="str">
        <f ca="1">IF($B243&lt;&gt;"PRC_RESID","",IF(AS$7=2005+OFFSET(COM_N_2012!$B$60,$AW243,SUMIF($B$10:$B$16,"NCAP_TLIFE",$AX$10:$AX$16)),0,""))</f>
        <v/>
      </c>
      <c r="AT243" s="369" t="str">
        <f ca="1">IF($B243&lt;&gt;"PRC_RESID","",IF(AT$7=2005+OFFSET(COM_N_2012!$B$60,$AW243,SUMIF($B$10:$B$16,"NCAP_TLIFE",$AX$10:$AX$16)),0,""))</f>
        <v/>
      </c>
      <c r="AU243" s="369" t="str">
        <f ca="1">IF($B243&lt;&gt;"PRC_RESID","",IF(AU$7=2005+OFFSET(COM_N_2012!$B$60,$AW243,SUMIF($B$10:$B$16,"NCAP_TLIFE",$AX$10:$AX$16)),0,""))</f>
        <v/>
      </c>
      <c r="AV243" s="304">
        <f>IF(AW242=COM_N_2012!$AK$121,AV242+1,AV242)</f>
        <v>4</v>
      </c>
      <c r="AW243" s="304">
        <f t="shared" si="29"/>
        <v>43</v>
      </c>
    </row>
    <row r="244" spans="1:49">
      <c r="A244" s="304" t="str">
        <f ca="1">IF(LEFT(OFFSET(COM_N_2012!$A$60,AW244,0),2)="\I","*","")</f>
        <v/>
      </c>
      <c r="B244" s="369" t="str">
        <f t="shared" ca="1" si="28"/>
        <v>NCAP_COST</v>
      </c>
      <c r="C244" s="369" t="str">
        <f ca="1">IF($A244="*","",OFFSET(COM_N_2012!$B$60,AW244,0))</f>
        <v>CNGELCHPM-E</v>
      </c>
      <c r="D244" s="369" t="str">
        <f t="shared" ca="1" si="32"/>
        <v>-</v>
      </c>
      <c r="E244" s="369" t="str">
        <f t="shared" ca="1" si="32"/>
        <v>-</v>
      </c>
      <c r="F244" s="369" t="str">
        <f t="shared" ca="1" si="32"/>
        <v>-</v>
      </c>
      <c r="G244" s="369" t="str">
        <f t="shared" ca="1" si="32"/>
        <v>-</v>
      </c>
      <c r="H244" s="369" t="str">
        <f t="shared" ca="1" si="32"/>
        <v>-</v>
      </c>
      <c r="I244" s="370">
        <f t="shared" ca="1" si="32"/>
        <v>0</v>
      </c>
      <c r="J244" s="391">
        <f ca="1">IF($A244="*","",OFFSET(COM_N_2012!$B$60,AW244,SUMIF($B$10:$B$16,B244,$AX$10:$AX$16)))</f>
        <v>0.75829581287827852</v>
      </c>
      <c r="K244" s="369" t="str">
        <f ca="1">IF($B244&lt;&gt;"PRC_RESID","",IF(K$7=2005+OFFSET(COM_N_2012!$B$60,$AW244,SUMIF($B$10:$B$16,"NCAP_TLIFE",$AX$10:$AX$16)),0,""))</f>
        <v/>
      </c>
      <c r="L244" s="369" t="str">
        <f ca="1">IF($B244&lt;&gt;"PRC_RESID","",IF(L$7=2005+OFFSET(COM_N_2012!$B$60,$AW244,SUMIF($B$10:$B$16,"NCAP_TLIFE",$AX$10:$AX$16)),0,""))</f>
        <v/>
      </c>
      <c r="M244" s="369" t="str">
        <f ca="1">IF($B244&lt;&gt;"PRC_RESID","",IF(M$7=2005+OFFSET(COM_N_2012!$B$60,$AW244,SUMIF($B$10:$B$16,"NCAP_TLIFE",$AX$10:$AX$16)),0,""))</f>
        <v/>
      </c>
      <c r="N244" s="369" t="str">
        <f ca="1">IF($B244&lt;&gt;"PRC_RESID","",IF(N$7=2005+OFFSET(COM_N_2012!$B$60,$AW244,SUMIF($B$10:$B$16,"NCAP_TLIFE",$AX$10:$AX$16)),0,""))</f>
        <v/>
      </c>
      <c r="O244" s="369" t="str">
        <f ca="1">IF($B244&lt;&gt;"PRC_RESID","",IF(O$7=2005+OFFSET(COM_N_2012!$B$60,$AW244,SUMIF($B$10:$B$16,"NCAP_TLIFE",$AX$10:$AX$16)),0,""))</f>
        <v/>
      </c>
      <c r="P244" s="369" t="str">
        <f ca="1">IF($B244&lt;&gt;"PRC_RESID","",IF(P$7=2005+OFFSET(COM_N_2012!$B$60,$AW244,SUMIF($B$10:$B$16,"NCAP_TLIFE",$AX$10:$AX$16)),0,""))</f>
        <v/>
      </c>
      <c r="Q244" s="369" t="str">
        <f ca="1">IF($B244&lt;&gt;"PRC_RESID","",IF(Q$7=2005+OFFSET(COM_N_2012!$B$60,$AW244,SUMIF($B$10:$B$16,"NCAP_TLIFE",$AX$10:$AX$16)),0,""))</f>
        <v/>
      </c>
      <c r="R244" s="369" t="str">
        <f ca="1">IF($B244&lt;&gt;"PRC_RESID","",IF(R$7=2005+OFFSET(COM_N_2012!$B$60,$AW244,SUMIF($B$10:$B$16,"NCAP_TLIFE",$AX$10:$AX$16)),0,""))</f>
        <v/>
      </c>
      <c r="S244" s="369" t="str">
        <f ca="1">IF($B244&lt;&gt;"PRC_RESID","",IF(S$7=2005+OFFSET(COM_N_2012!$B$60,$AW244,SUMIF($B$10:$B$16,"NCAP_TLIFE",$AX$10:$AX$16)),0,""))</f>
        <v/>
      </c>
      <c r="T244" s="369" t="str">
        <f ca="1">IF($B244&lt;&gt;"PRC_RESID","",IF(T$7=2005+OFFSET(COM_N_2012!$B$60,$AW244,SUMIF($B$10:$B$16,"NCAP_TLIFE",$AX$10:$AX$16)),0,""))</f>
        <v/>
      </c>
      <c r="U244" s="369" t="str">
        <f ca="1">IF($B244&lt;&gt;"PRC_RESID","",IF(U$7=2005+OFFSET(COM_N_2012!$B$60,$AW244,SUMIF($B$10:$B$16,"NCAP_TLIFE",$AX$10:$AX$16)),0,""))</f>
        <v/>
      </c>
      <c r="V244" s="369" t="str">
        <f ca="1">IF($B244&lt;&gt;"PRC_RESID","",IF(V$7=2005+OFFSET(COM_N_2012!$B$60,$AW244,SUMIF($B$10:$B$16,"NCAP_TLIFE",$AX$10:$AX$16)),0,""))</f>
        <v/>
      </c>
      <c r="W244" s="369" t="str">
        <f ca="1">IF($B244&lt;&gt;"PRC_RESID","",IF(W$7=2005+OFFSET(COM_N_2012!$B$60,$AW244,SUMIF($B$10:$B$16,"NCAP_TLIFE",$AX$10:$AX$16)),0,""))</f>
        <v/>
      </c>
      <c r="X244" s="369" t="str">
        <f ca="1">IF($B244&lt;&gt;"PRC_RESID","",IF(X$7=2005+OFFSET(COM_N_2012!$B$60,$AW244,SUMIF($B$10:$B$16,"NCAP_TLIFE",$AX$10:$AX$16)),0,""))</f>
        <v/>
      </c>
      <c r="Y244" s="369" t="str">
        <f ca="1">IF($B244&lt;&gt;"PRC_RESID","",IF(Y$7=2005+OFFSET(COM_N_2012!$B$60,$AW244,SUMIF($B$10:$B$16,"NCAP_TLIFE",$AX$10:$AX$16)),0,""))</f>
        <v/>
      </c>
      <c r="Z244" s="369" t="str">
        <f ca="1">IF($B244&lt;&gt;"PRC_RESID","",IF(Z$7=2005+OFFSET(COM_N_2012!$B$60,$AW244,SUMIF($B$10:$B$16,"NCAP_TLIFE",$AX$10:$AX$16)),0,""))</f>
        <v/>
      </c>
      <c r="AA244" s="369" t="str">
        <f ca="1">IF($B244&lt;&gt;"PRC_RESID","",IF(AA$7=2005+OFFSET(COM_N_2012!$B$60,$AW244,SUMIF($B$10:$B$16,"NCAP_TLIFE",$AX$10:$AX$16)),0,""))</f>
        <v/>
      </c>
      <c r="AB244" s="369" t="str">
        <f ca="1">IF($B244&lt;&gt;"PRC_RESID","",IF(AB$7=2005+OFFSET(COM_N_2012!$B$60,$AW244,SUMIF($B$10:$B$16,"NCAP_TLIFE",$AX$10:$AX$16)),0,""))</f>
        <v/>
      </c>
      <c r="AC244" s="369" t="str">
        <f ca="1">IF($B244&lt;&gt;"PRC_RESID","",IF(AC$7=2005+OFFSET(COM_N_2012!$B$60,$AW244,SUMIF($B$10:$B$16,"NCAP_TLIFE",$AX$10:$AX$16)),0,""))</f>
        <v/>
      </c>
      <c r="AD244" s="369" t="str">
        <f ca="1">IF($B244&lt;&gt;"PRC_RESID","",IF(AD$7=2005+OFFSET(COM_N_2012!$B$60,$AW244,SUMIF($B$10:$B$16,"NCAP_TLIFE",$AX$10:$AX$16)),0,""))</f>
        <v/>
      </c>
      <c r="AE244" s="369" t="str">
        <f ca="1">IF($B244&lt;&gt;"PRC_RESID","",IF(AE$7=2005+OFFSET(COM_N_2012!$B$60,$AW244,SUMIF($B$10:$B$16,"NCAP_TLIFE",$AX$10:$AX$16)),0,""))</f>
        <v/>
      </c>
      <c r="AF244" s="369" t="str">
        <f ca="1">IF($B244&lt;&gt;"PRC_RESID","",IF(AF$7=2005+OFFSET(COM_N_2012!$B$60,$AW244,SUMIF($B$10:$B$16,"NCAP_TLIFE",$AX$10:$AX$16)),0,""))</f>
        <v/>
      </c>
      <c r="AG244" s="369" t="str">
        <f ca="1">IF($B244&lt;&gt;"PRC_RESID","",IF(AG$7=2005+OFFSET(COM_N_2012!$B$60,$AW244,SUMIF($B$10:$B$16,"NCAP_TLIFE",$AX$10:$AX$16)),0,""))</f>
        <v/>
      </c>
      <c r="AH244" s="369" t="str">
        <f ca="1">IF($B244&lt;&gt;"PRC_RESID","",IF(AH$7=2005+OFFSET(COM_N_2012!$B$60,$AW244,SUMIF($B$10:$B$16,"NCAP_TLIFE",$AX$10:$AX$16)),0,""))</f>
        <v/>
      </c>
      <c r="AI244" s="369" t="str">
        <f ca="1">IF($B244&lt;&gt;"PRC_RESID","",IF(AI$7=2005+OFFSET(COM_N_2012!$B$60,$AW244,SUMIF($B$10:$B$16,"NCAP_TLIFE",$AX$10:$AX$16)),0,""))</f>
        <v/>
      </c>
      <c r="AJ244" s="369" t="str">
        <f ca="1">IF($B244&lt;&gt;"PRC_RESID","",IF(AJ$7=2005+OFFSET(COM_N_2012!$B$60,$AW244,SUMIF($B$10:$B$16,"NCAP_TLIFE",$AX$10:$AX$16)),0,""))</f>
        <v/>
      </c>
      <c r="AK244" s="369" t="str">
        <f ca="1">IF($B244&lt;&gt;"PRC_RESID","",IF(AK$7=2005+OFFSET(COM_N_2012!$B$60,$AW244,SUMIF($B$10:$B$16,"NCAP_TLIFE",$AX$10:$AX$16)),0,""))</f>
        <v/>
      </c>
      <c r="AL244" s="369" t="str">
        <f ca="1">IF($B244&lt;&gt;"PRC_RESID","",IF(AL$7=2005+OFFSET(COM_N_2012!$B$60,$AW244,SUMIF($B$10:$B$16,"NCAP_TLIFE",$AX$10:$AX$16)),0,""))</f>
        <v/>
      </c>
      <c r="AM244" s="369" t="str">
        <f ca="1">IF($B244&lt;&gt;"PRC_RESID","",IF(AM$7=2005+OFFSET(COM_N_2012!$B$60,$AW244,SUMIF($B$10:$B$16,"NCAP_TLIFE",$AX$10:$AX$16)),0,""))</f>
        <v/>
      </c>
      <c r="AN244" s="369" t="str">
        <f ca="1">IF($B244&lt;&gt;"PRC_RESID","",IF(AN$7=2005+OFFSET(COM_N_2012!$B$60,$AW244,SUMIF($B$10:$B$16,"NCAP_TLIFE",$AX$10:$AX$16)),0,""))</f>
        <v/>
      </c>
      <c r="AO244" s="369" t="str">
        <f ca="1">IF($B244&lt;&gt;"PRC_RESID","",IF(AO$7=2005+OFFSET(COM_N_2012!$B$60,$AW244,SUMIF($B$10:$B$16,"NCAP_TLIFE",$AX$10:$AX$16)),0,""))</f>
        <v/>
      </c>
      <c r="AP244" s="369" t="str">
        <f ca="1">IF($B244&lt;&gt;"PRC_RESID","",IF(AP$7=2005+OFFSET(COM_N_2012!$B$60,$AW244,SUMIF($B$10:$B$16,"NCAP_TLIFE",$AX$10:$AX$16)),0,""))</f>
        <v/>
      </c>
      <c r="AQ244" s="369" t="str">
        <f ca="1">IF($B244&lt;&gt;"PRC_RESID","",IF(AQ$7=2005+OFFSET(COM_N_2012!$B$60,$AW244,SUMIF($B$10:$B$16,"NCAP_TLIFE",$AX$10:$AX$16)),0,""))</f>
        <v/>
      </c>
      <c r="AR244" s="369" t="str">
        <f ca="1">IF($B244&lt;&gt;"PRC_RESID","",IF(AR$7=2005+OFFSET(COM_N_2012!$B$60,$AW244,SUMIF($B$10:$B$16,"NCAP_TLIFE",$AX$10:$AX$16)),0,""))</f>
        <v/>
      </c>
      <c r="AS244" s="369" t="str">
        <f ca="1">IF($B244&lt;&gt;"PRC_RESID","",IF(AS$7=2005+OFFSET(COM_N_2012!$B$60,$AW244,SUMIF($B$10:$B$16,"NCAP_TLIFE",$AX$10:$AX$16)),0,""))</f>
        <v/>
      </c>
      <c r="AT244" s="369" t="str">
        <f ca="1">IF($B244&lt;&gt;"PRC_RESID","",IF(AT$7=2005+OFFSET(COM_N_2012!$B$60,$AW244,SUMIF($B$10:$B$16,"NCAP_TLIFE",$AX$10:$AX$16)),0,""))</f>
        <v/>
      </c>
      <c r="AU244" s="369" t="str">
        <f ca="1">IF($B244&lt;&gt;"PRC_RESID","",IF(AU$7=2005+OFFSET(COM_N_2012!$B$60,$AW244,SUMIF($B$10:$B$16,"NCAP_TLIFE",$AX$10:$AX$16)),0,""))</f>
        <v/>
      </c>
      <c r="AV244" s="304">
        <f>IF(AW243=COM_N_2012!$AK$121,AV243+1,AV243)</f>
        <v>4</v>
      </c>
      <c r="AW244" s="304">
        <f t="shared" si="29"/>
        <v>44</v>
      </c>
    </row>
    <row r="245" spans="1:49">
      <c r="A245" s="304" t="str">
        <f ca="1">IF(LEFT(OFFSET(COM_N_2012!$A$60,AW245,0),2)="\I","*","")</f>
        <v/>
      </c>
      <c r="B245" s="369" t="str">
        <f t="shared" ca="1" si="28"/>
        <v>NCAP_COST</v>
      </c>
      <c r="C245" s="369" t="str">
        <f ca="1">IF($A245="*","",OFFSET(COM_N_2012!$B$60,AW245,0))</f>
        <v>CNGELCHPS-E</v>
      </c>
      <c r="D245" s="369" t="str">
        <f t="shared" ca="1" si="32"/>
        <v>-</v>
      </c>
      <c r="E245" s="369" t="str">
        <f t="shared" ca="1" si="32"/>
        <v>-</v>
      </c>
      <c r="F245" s="369" t="str">
        <f t="shared" ca="1" si="32"/>
        <v>-</v>
      </c>
      <c r="G245" s="369" t="str">
        <f t="shared" ca="1" si="32"/>
        <v>-</v>
      </c>
      <c r="H245" s="369" t="str">
        <f t="shared" ca="1" si="32"/>
        <v>-</v>
      </c>
      <c r="I245" s="370">
        <f t="shared" ca="1" si="32"/>
        <v>0</v>
      </c>
      <c r="J245" s="391">
        <f ca="1">IF($A245="*","",OFFSET(COM_N_2012!$B$60,AW245,SUMIF($B$10:$B$16,B245,$AX$10:$AX$16)))</f>
        <v>0.75829581287827852</v>
      </c>
      <c r="K245" s="369" t="str">
        <f ca="1">IF($B245&lt;&gt;"PRC_RESID","",IF(K$7=2005+OFFSET(COM_N_2012!$B$60,$AW245,SUMIF($B$10:$B$16,"NCAP_TLIFE",$AX$10:$AX$16)),0,""))</f>
        <v/>
      </c>
      <c r="L245" s="369" t="str">
        <f ca="1">IF($B245&lt;&gt;"PRC_RESID","",IF(L$7=2005+OFFSET(COM_N_2012!$B$60,$AW245,SUMIF($B$10:$B$16,"NCAP_TLIFE",$AX$10:$AX$16)),0,""))</f>
        <v/>
      </c>
      <c r="M245" s="369" t="str">
        <f ca="1">IF($B245&lt;&gt;"PRC_RESID","",IF(M$7=2005+OFFSET(COM_N_2012!$B$60,$AW245,SUMIF($B$10:$B$16,"NCAP_TLIFE",$AX$10:$AX$16)),0,""))</f>
        <v/>
      </c>
      <c r="N245" s="369" t="str">
        <f ca="1">IF($B245&lt;&gt;"PRC_RESID","",IF(N$7=2005+OFFSET(COM_N_2012!$B$60,$AW245,SUMIF($B$10:$B$16,"NCAP_TLIFE",$AX$10:$AX$16)),0,""))</f>
        <v/>
      </c>
      <c r="O245" s="369" t="str">
        <f ca="1">IF($B245&lt;&gt;"PRC_RESID","",IF(O$7=2005+OFFSET(COM_N_2012!$B$60,$AW245,SUMIF($B$10:$B$16,"NCAP_TLIFE",$AX$10:$AX$16)),0,""))</f>
        <v/>
      </c>
      <c r="P245" s="369" t="str">
        <f ca="1">IF($B245&lt;&gt;"PRC_RESID","",IF(P$7=2005+OFFSET(COM_N_2012!$B$60,$AW245,SUMIF($B$10:$B$16,"NCAP_TLIFE",$AX$10:$AX$16)),0,""))</f>
        <v/>
      </c>
      <c r="Q245" s="369" t="str">
        <f ca="1">IF($B245&lt;&gt;"PRC_RESID","",IF(Q$7=2005+OFFSET(COM_N_2012!$B$60,$AW245,SUMIF($B$10:$B$16,"NCAP_TLIFE",$AX$10:$AX$16)),0,""))</f>
        <v/>
      </c>
      <c r="R245" s="369" t="str">
        <f ca="1">IF($B245&lt;&gt;"PRC_RESID","",IF(R$7=2005+OFFSET(COM_N_2012!$B$60,$AW245,SUMIF($B$10:$B$16,"NCAP_TLIFE",$AX$10:$AX$16)),0,""))</f>
        <v/>
      </c>
      <c r="S245" s="369" t="str">
        <f ca="1">IF($B245&lt;&gt;"PRC_RESID","",IF(S$7=2005+OFFSET(COM_N_2012!$B$60,$AW245,SUMIF($B$10:$B$16,"NCAP_TLIFE",$AX$10:$AX$16)),0,""))</f>
        <v/>
      </c>
      <c r="T245" s="369" t="str">
        <f ca="1">IF($B245&lt;&gt;"PRC_RESID","",IF(T$7=2005+OFFSET(COM_N_2012!$B$60,$AW245,SUMIF($B$10:$B$16,"NCAP_TLIFE",$AX$10:$AX$16)),0,""))</f>
        <v/>
      </c>
      <c r="U245" s="369" t="str">
        <f ca="1">IF($B245&lt;&gt;"PRC_RESID","",IF(U$7=2005+OFFSET(COM_N_2012!$B$60,$AW245,SUMIF($B$10:$B$16,"NCAP_TLIFE",$AX$10:$AX$16)),0,""))</f>
        <v/>
      </c>
      <c r="V245" s="369" t="str">
        <f ca="1">IF($B245&lt;&gt;"PRC_RESID","",IF(V$7=2005+OFFSET(COM_N_2012!$B$60,$AW245,SUMIF($B$10:$B$16,"NCAP_TLIFE",$AX$10:$AX$16)),0,""))</f>
        <v/>
      </c>
      <c r="W245" s="369" t="str">
        <f ca="1">IF($B245&lt;&gt;"PRC_RESID","",IF(W$7=2005+OFFSET(COM_N_2012!$B$60,$AW245,SUMIF($B$10:$B$16,"NCAP_TLIFE",$AX$10:$AX$16)),0,""))</f>
        <v/>
      </c>
      <c r="X245" s="369" t="str">
        <f ca="1">IF($B245&lt;&gt;"PRC_RESID","",IF(X$7=2005+OFFSET(COM_N_2012!$B$60,$AW245,SUMIF($B$10:$B$16,"NCAP_TLIFE",$AX$10:$AX$16)),0,""))</f>
        <v/>
      </c>
      <c r="Y245" s="369" t="str">
        <f ca="1">IF($B245&lt;&gt;"PRC_RESID","",IF(Y$7=2005+OFFSET(COM_N_2012!$B$60,$AW245,SUMIF($B$10:$B$16,"NCAP_TLIFE",$AX$10:$AX$16)),0,""))</f>
        <v/>
      </c>
      <c r="Z245" s="369" t="str">
        <f ca="1">IF($B245&lt;&gt;"PRC_RESID","",IF(Z$7=2005+OFFSET(COM_N_2012!$B$60,$AW245,SUMIF($B$10:$B$16,"NCAP_TLIFE",$AX$10:$AX$16)),0,""))</f>
        <v/>
      </c>
      <c r="AA245" s="369" t="str">
        <f ca="1">IF($B245&lt;&gt;"PRC_RESID","",IF(AA$7=2005+OFFSET(COM_N_2012!$B$60,$AW245,SUMIF($B$10:$B$16,"NCAP_TLIFE",$AX$10:$AX$16)),0,""))</f>
        <v/>
      </c>
      <c r="AB245" s="369" t="str">
        <f ca="1">IF($B245&lt;&gt;"PRC_RESID","",IF(AB$7=2005+OFFSET(COM_N_2012!$B$60,$AW245,SUMIF($B$10:$B$16,"NCAP_TLIFE",$AX$10:$AX$16)),0,""))</f>
        <v/>
      </c>
      <c r="AC245" s="369" t="str">
        <f ca="1">IF($B245&lt;&gt;"PRC_RESID","",IF(AC$7=2005+OFFSET(COM_N_2012!$B$60,$AW245,SUMIF($B$10:$B$16,"NCAP_TLIFE",$AX$10:$AX$16)),0,""))</f>
        <v/>
      </c>
      <c r="AD245" s="369" t="str">
        <f ca="1">IF($B245&lt;&gt;"PRC_RESID","",IF(AD$7=2005+OFFSET(COM_N_2012!$B$60,$AW245,SUMIF($B$10:$B$16,"NCAP_TLIFE",$AX$10:$AX$16)),0,""))</f>
        <v/>
      </c>
      <c r="AE245" s="369" t="str">
        <f ca="1">IF($B245&lt;&gt;"PRC_RESID","",IF(AE$7=2005+OFFSET(COM_N_2012!$B$60,$AW245,SUMIF($B$10:$B$16,"NCAP_TLIFE",$AX$10:$AX$16)),0,""))</f>
        <v/>
      </c>
      <c r="AF245" s="369" t="str">
        <f ca="1">IF($B245&lt;&gt;"PRC_RESID","",IF(AF$7=2005+OFFSET(COM_N_2012!$B$60,$AW245,SUMIF($B$10:$B$16,"NCAP_TLIFE",$AX$10:$AX$16)),0,""))</f>
        <v/>
      </c>
      <c r="AG245" s="369" t="str">
        <f ca="1">IF($B245&lt;&gt;"PRC_RESID","",IF(AG$7=2005+OFFSET(COM_N_2012!$B$60,$AW245,SUMIF($B$10:$B$16,"NCAP_TLIFE",$AX$10:$AX$16)),0,""))</f>
        <v/>
      </c>
      <c r="AH245" s="369" t="str">
        <f ca="1">IF($B245&lt;&gt;"PRC_RESID","",IF(AH$7=2005+OFFSET(COM_N_2012!$B$60,$AW245,SUMIF($B$10:$B$16,"NCAP_TLIFE",$AX$10:$AX$16)),0,""))</f>
        <v/>
      </c>
      <c r="AI245" s="369" t="str">
        <f ca="1">IF($B245&lt;&gt;"PRC_RESID","",IF(AI$7=2005+OFFSET(COM_N_2012!$B$60,$AW245,SUMIF($B$10:$B$16,"NCAP_TLIFE",$AX$10:$AX$16)),0,""))</f>
        <v/>
      </c>
      <c r="AJ245" s="369" t="str">
        <f ca="1">IF($B245&lt;&gt;"PRC_RESID","",IF(AJ$7=2005+OFFSET(COM_N_2012!$B$60,$AW245,SUMIF($B$10:$B$16,"NCAP_TLIFE",$AX$10:$AX$16)),0,""))</f>
        <v/>
      </c>
      <c r="AK245" s="369" t="str">
        <f ca="1">IF($B245&lt;&gt;"PRC_RESID","",IF(AK$7=2005+OFFSET(COM_N_2012!$B$60,$AW245,SUMIF($B$10:$B$16,"NCAP_TLIFE",$AX$10:$AX$16)),0,""))</f>
        <v/>
      </c>
      <c r="AL245" s="369" t="str">
        <f ca="1">IF($B245&lt;&gt;"PRC_RESID","",IF(AL$7=2005+OFFSET(COM_N_2012!$B$60,$AW245,SUMIF($B$10:$B$16,"NCAP_TLIFE",$AX$10:$AX$16)),0,""))</f>
        <v/>
      </c>
      <c r="AM245" s="369" t="str">
        <f ca="1">IF($B245&lt;&gt;"PRC_RESID","",IF(AM$7=2005+OFFSET(COM_N_2012!$B$60,$AW245,SUMIF($B$10:$B$16,"NCAP_TLIFE",$AX$10:$AX$16)),0,""))</f>
        <v/>
      </c>
      <c r="AN245" s="369" t="str">
        <f ca="1">IF($B245&lt;&gt;"PRC_RESID","",IF(AN$7=2005+OFFSET(COM_N_2012!$B$60,$AW245,SUMIF($B$10:$B$16,"NCAP_TLIFE",$AX$10:$AX$16)),0,""))</f>
        <v/>
      </c>
      <c r="AO245" s="369" t="str">
        <f ca="1">IF($B245&lt;&gt;"PRC_RESID","",IF(AO$7=2005+OFFSET(COM_N_2012!$B$60,$AW245,SUMIF($B$10:$B$16,"NCAP_TLIFE",$AX$10:$AX$16)),0,""))</f>
        <v/>
      </c>
      <c r="AP245" s="369" t="str">
        <f ca="1">IF($B245&lt;&gt;"PRC_RESID","",IF(AP$7=2005+OFFSET(COM_N_2012!$B$60,$AW245,SUMIF($B$10:$B$16,"NCAP_TLIFE",$AX$10:$AX$16)),0,""))</f>
        <v/>
      </c>
      <c r="AQ245" s="369" t="str">
        <f ca="1">IF($B245&lt;&gt;"PRC_RESID","",IF(AQ$7=2005+OFFSET(COM_N_2012!$B$60,$AW245,SUMIF($B$10:$B$16,"NCAP_TLIFE",$AX$10:$AX$16)),0,""))</f>
        <v/>
      </c>
      <c r="AR245" s="369" t="str">
        <f ca="1">IF($B245&lt;&gt;"PRC_RESID","",IF(AR$7=2005+OFFSET(COM_N_2012!$B$60,$AW245,SUMIF($B$10:$B$16,"NCAP_TLIFE",$AX$10:$AX$16)),0,""))</f>
        <v/>
      </c>
      <c r="AS245" s="369" t="str">
        <f ca="1">IF($B245&lt;&gt;"PRC_RESID","",IF(AS$7=2005+OFFSET(COM_N_2012!$B$60,$AW245,SUMIF($B$10:$B$16,"NCAP_TLIFE",$AX$10:$AX$16)),0,""))</f>
        <v/>
      </c>
      <c r="AT245" s="369" t="str">
        <f ca="1">IF($B245&lt;&gt;"PRC_RESID","",IF(AT$7=2005+OFFSET(COM_N_2012!$B$60,$AW245,SUMIF($B$10:$B$16,"NCAP_TLIFE",$AX$10:$AX$16)),0,""))</f>
        <v/>
      </c>
      <c r="AU245" s="369" t="str">
        <f ca="1">IF($B245&lt;&gt;"PRC_RESID","",IF(AU$7=2005+OFFSET(COM_N_2012!$B$60,$AW245,SUMIF($B$10:$B$16,"NCAP_TLIFE",$AX$10:$AX$16)),0,""))</f>
        <v/>
      </c>
      <c r="AV245" s="304">
        <f>IF(AW244=COM_N_2012!$AK$121,AV244+1,AV244)</f>
        <v>4</v>
      </c>
      <c r="AW245" s="304">
        <f t="shared" si="29"/>
        <v>45</v>
      </c>
    </row>
    <row r="246" spans="1:49">
      <c r="A246" s="304" t="str">
        <f ca="1">IF(LEFT(OFFSET(COM_N_2012!$A$60,AW246,0),2)="\I","*","")</f>
        <v/>
      </c>
      <c r="B246" s="369" t="str">
        <f t="shared" ca="1" si="28"/>
        <v>NCAP_COST</v>
      </c>
      <c r="C246" s="369" t="str">
        <f ca="1">IF($A246="*","",OFFSET(COM_N_2012!$B$60,AW246,0))</f>
        <v>CNGELCMHL-E</v>
      </c>
      <c r="D246" s="369" t="str">
        <f t="shared" ca="1" si="32"/>
        <v>-</v>
      </c>
      <c r="E246" s="369" t="str">
        <f t="shared" ca="1" si="32"/>
        <v>-</v>
      </c>
      <c r="F246" s="369" t="str">
        <f t="shared" ca="1" si="32"/>
        <v>-</v>
      </c>
      <c r="G246" s="369" t="str">
        <f t="shared" ca="1" si="32"/>
        <v>-</v>
      </c>
      <c r="H246" s="369" t="str">
        <f t="shared" ca="1" si="32"/>
        <v>-</v>
      </c>
      <c r="I246" s="370">
        <f t="shared" ca="1" si="32"/>
        <v>0</v>
      </c>
      <c r="J246" s="391">
        <f ca="1">IF($A246="*","",OFFSET(COM_N_2012!$B$60,AW246,SUMIF($B$10:$B$16,B246,$AX$10:$AX$16)))</f>
        <v>0.30666374785518619</v>
      </c>
      <c r="K246" s="369" t="str">
        <f ca="1">IF($B246&lt;&gt;"PRC_RESID","",IF(K$7=2005+OFFSET(COM_N_2012!$B$60,$AW246,SUMIF($B$10:$B$16,"NCAP_TLIFE",$AX$10:$AX$16)),0,""))</f>
        <v/>
      </c>
      <c r="L246" s="369" t="str">
        <f ca="1">IF($B246&lt;&gt;"PRC_RESID","",IF(L$7=2005+OFFSET(COM_N_2012!$B$60,$AW246,SUMIF($B$10:$B$16,"NCAP_TLIFE",$AX$10:$AX$16)),0,""))</f>
        <v/>
      </c>
      <c r="M246" s="369" t="str">
        <f ca="1">IF($B246&lt;&gt;"PRC_RESID","",IF(M$7=2005+OFFSET(COM_N_2012!$B$60,$AW246,SUMIF($B$10:$B$16,"NCAP_TLIFE",$AX$10:$AX$16)),0,""))</f>
        <v/>
      </c>
      <c r="N246" s="369" t="str">
        <f ca="1">IF($B246&lt;&gt;"PRC_RESID","",IF(N$7=2005+OFFSET(COM_N_2012!$B$60,$AW246,SUMIF($B$10:$B$16,"NCAP_TLIFE",$AX$10:$AX$16)),0,""))</f>
        <v/>
      </c>
      <c r="O246" s="369" t="str">
        <f ca="1">IF($B246&lt;&gt;"PRC_RESID","",IF(O$7=2005+OFFSET(COM_N_2012!$B$60,$AW246,SUMIF($B$10:$B$16,"NCAP_TLIFE",$AX$10:$AX$16)),0,""))</f>
        <v/>
      </c>
      <c r="P246" s="369" t="str">
        <f ca="1">IF($B246&lt;&gt;"PRC_RESID","",IF(P$7=2005+OFFSET(COM_N_2012!$B$60,$AW246,SUMIF($B$10:$B$16,"NCAP_TLIFE",$AX$10:$AX$16)),0,""))</f>
        <v/>
      </c>
      <c r="Q246" s="369" t="str">
        <f ca="1">IF($B246&lt;&gt;"PRC_RESID","",IF(Q$7=2005+OFFSET(COM_N_2012!$B$60,$AW246,SUMIF($B$10:$B$16,"NCAP_TLIFE",$AX$10:$AX$16)),0,""))</f>
        <v/>
      </c>
      <c r="R246" s="369" t="str">
        <f ca="1">IF($B246&lt;&gt;"PRC_RESID","",IF(R$7=2005+OFFSET(COM_N_2012!$B$60,$AW246,SUMIF($B$10:$B$16,"NCAP_TLIFE",$AX$10:$AX$16)),0,""))</f>
        <v/>
      </c>
      <c r="S246" s="369" t="str">
        <f ca="1">IF($B246&lt;&gt;"PRC_RESID","",IF(S$7=2005+OFFSET(COM_N_2012!$B$60,$AW246,SUMIF($B$10:$B$16,"NCAP_TLIFE",$AX$10:$AX$16)),0,""))</f>
        <v/>
      </c>
      <c r="T246" s="369" t="str">
        <f ca="1">IF($B246&lt;&gt;"PRC_RESID","",IF(T$7=2005+OFFSET(COM_N_2012!$B$60,$AW246,SUMIF($B$10:$B$16,"NCAP_TLIFE",$AX$10:$AX$16)),0,""))</f>
        <v/>
      </c>
      <c r="U246" s="369" t="str">
        <f ca="1">IF($B246&lt;&gt;"PRC_RESID","",IF(U$7=2005+OFFSET(COM_N_2012!$B$60,$AW246,SUMIF($B$10:$B$16,"NCAP_TLIFE",$AX$10:$AX$16)),0,""))</f>
        <v/>
      </c>
      <c r="V246" s="369" t="str">
        <f ca="1">IF($B246&lt;&gt;"PRC_RESID","",IF(V$7=2005+OFFSET(COM_N_2012!$B$60,$AW246,SUMIF($B$10:$B$16,"NCAP_TLIFE",$AX$10:$AX$16)),0,""))</f>
        <v/>
      </c>
      <c r="W246" s="369" t="str">
        <f ca="1">IF($B246&lt;&gt;"PRC_RESID","",IF(W$7=2005+OFFSET(COM_N_2012!$B$60,$AW246,SUMIF($B$10:$B$16,"NCAP_TLIFE",$AX$10:$AX$16)),0,""))</f>
        <v/>
      </c>
      <c r="X246" s="369" t="str">
        <f ca="1">IF($B246&lt;&gt;"PRC_RESID","",IF(X$7=2005+OFFSET(COM_N_2012!$B$60,$AW246,SUMIF($B$10:$B$16,"NCAP_TLIFE",$AX$10:$AX$16)),0,""))</f>
        <v/>
      </c>
      <c r="Y246" s="369" t="str">
        <f ca="1">IF($B246&lt;&gt;"PRC_RESID","",IF(Y$7=2005+OFFSET(COM_N_2012!$B$60,$AW246,SUMIF($B$10:$B$16,"NCAP_TLIFE",$AX$10:$AX$16)),0,""))</f>
        <v/>
      </c>
      <c r="Z246" s="369" t="str">
        <f ca="1">IF($B246&lt;&gt;"PRC_RESID","",IF(Z$7=2005+OFFSET(COM_N_2012!$B$60,$AW246,SUMIF($B$10:$B$16,"NCAP_TLIFE",$AX$10:$AX$16)),0,""))</f>
        <v/>
      </c>
      <c r="AA246" s="369" t="str">
        <f ca="1">IF($B246&lt;&gt;"PRC_RESID","",IF(AA$7=2005+OFFSET(COM_N_2012!$B$60,$AW246,SUMIF($B$10:$B$16,"NCAP_TLIFE",$AX$10:$AX$16)),0,""))</f>
        <v/>
      </c>
      <c r="AB246" s="369" t="str">
        <f ca="1">IF($B246&lt;&gt;"PRC_RESID","",IF(AB$7=2005+OFFSET(COM_N_2012!$B$60,$AW246,SUMIF($B$10:$B$16,"NCAP_TLIFE",$AX$10:$AX$16)),0,""))</f>
        <v/>
      </c>
      <c r="AC246" s="369" t="str">
        <f ca="1">IF($B246&lt;&gt;"PRC_RESID","",IF(AC$7=2005+OFFSET(COM_N_2012!$B$60,$AW246,SUMIF($B$10:$B$16,"NCAP_TLIFE",$AX$10:$AX$16)),0,""))</f>
        <v/>
      </c>
      <c r="AD246" s="369" t="str">
        <f ca="1">IF($B246&lt;&gt;"PRC_RESID","",IF(AD$7=2005+OFFSET(COM_N_2012!$B$60,$AW246,SUMIF($B$10:$B$16,"NCAP_TLIFE",$AX$10:$AX$16)),0,""))</f>
        <v/>
      </c>
      <c r="AE246" s="369" t="str">
        <f ca="1">IF($B246&lt;&gt;"PRC_RESID","",IF(AE$7=2005+OFFSET(COM_N_2012!$B$60,$AW246,SUMIF($B$10:$B$16,"NCAP_TLIFE",$AX$10:$AX$16)),0,""))</f>
        <v/>
      </c>
      <c r="AF246" s="369" t="str">
        <f ca="1">IF($B246&lt;&gt;"PRC_RESID","",IF(AF$7=2005+OFFSET(COM_N_2012!$B$60,$AW246,SUMIF($B$10:$B$16,"NCAP_TLIFE",$AX$10:$AX$16)),0,""))</f>
        <v/>
      </c>
      <c r="AG246" s="369" t="str">
        <f ca="1">IF($B246&lt;&gt;"PRC_RESID","",IF(AG$7=2005+OFFSET(COM_N_2012!$B$60,$AW246,SUMIF($B$10:$B$16,"NCAP_TLIFE",$AX$10:$AX$16)),0,""))</f>
        <v/>
      </c>
      <c r="AH246" s="369" t="str">
        <f ca="1">IF($B246&lt;&gt;"PRC_RESID","",IF(AH$7=2005+OFFSET(COM_N_2012!$B$60,$AW246,SUMIF($B$10:$B$16,"NCAP_TLIFE",$AX$10:$AX$16)),0,""))</f>
        <v/>
      </c>
      <c r="AI246" s="369" t="str">
        <f ca="1">IF($B246&lt;&gt;"PRC_RESID","",IF(AI$7=2005+OFFSET(COM_N_2012!$B$60,$AW246,SUMIF($B$10:$B$16,"NCAP_TLIFE",$AX$10:$AX$16)),0,""))</f>
        <v/>
      </c>
      <c r="AJ246" s="369" t="str">
        <f ca="1">IF($B246&lt;&gt;"PRC_RESID","",IF(AJ$7=2005+OFFSET(COM_N_2012!$B$60,$AW246,SUMIF($B$10:$B$16,"NCAP_TLIFE",$AX$10:$AX$16)),0,""))</f>
        <v/>
      </c>
      <c r="AK246" s="369" t="str">
        <f ca="1">IF($B246&lt;&gt;"PRC_RESID","",IF(AK$7=2005+OFFSET(COM_N_2012!$B$60,$AW246,SUMIF($B$10:$B$16,"NCAP_TLIFE",$AX$10:$AX$16)),0,""))</f>
        <v/>
      </c>
      <c r="AL246" s="369" t="str">
        <f ca="1">IF($B246&lt;&gt;"PRC_RESID","",IF(AL$7=2005+OFFSET(COM_N_2012!$B$60,$AW246,SUMIF($B$10:$B$16,"NCAP_TLIFE",$AX$10:$AX$16)),0,""))</f>
        <v/>
      </c>
      <c r="AM246" s="369" t="str">
        <f ca="1">IF($B246&lt;&gt;"PRC_RESID","",IF(AM$7=2005+OFFSET(COM_N_2012!$B$60,$AW246,SUMIF($B$10:$B$16,"NCAP_TLIFE",$AX$10:$AX$16)),0,""))</f>
        <v/>
      </c>
      <c r="AN246" s="369" t="str">
        <f ca="1">IF($B246&lt;&gt;"PRC_RESID","",IF(AN$7=2005+OFFSET(COM_N_2012!$B$60,$AW246,SUMIF($B$10:$B$16,"NCAP_TLIFE",$AX$10:$AX$16)),0,""))</f>
        <v/>
      </c>
      <c r="AO246" s="369" t="str">
        <f ca="1">IF($B246&lt;&gt;"PRC_RESID","",IF(AO$7=2005+OFFSET(COM_N_2012!$B$60,$AW246,SUMIF($B$10:$B$16,"NCAP_TLIFE",$AX$10:$AX$16)),0,""))</f>
        <v/>
      </c>
      <c r="AP246" s="369" t="str">
        <f ca="1">IF($B246&lt;&gt;"PRC_RESID","",IF(AP$7=2005+OFFSET(COM_N_2012!$B$60,$AW246,SUMIF($B$10:$B$16,"NCAP_TLIFE",$AX$10:$AX$16)),0,""))</f>
        <v/>
      </c>
      <c r="AQ246" s="369" t="str">
        <f ca="1">IF($B246&lt;&gt;"PRC_RESID","",IF(AQ$7=2005+OFFSET(COM_N_2012!$B$60,$AW246,SUMIF($B$10:$B$16,"NCAP_TLIFE",$AX$10:$AX$16)),0,""))</f>
        <v/>
      </c>
      <c r="AR246" s="369" t="str">
        <f ca="1">IF($B246&lt;&gt;"PRC_RESID","",IF(AR$7=2005+OFFSET(COM_N_2012!$B$60,$AW246,SUMIF($B$10:$B$16,"NCAP_TLIFE",$AX$10:$AX$16)),0,""))</f>
        <v/>
      </c>
      <c r="AS246" s="369" t="str">
        <f ca="1">IF($B246&lt;&gt;"PRC_RESID","",IF(AS$7=2005+OFFSET(COM_N_2012!$B$60,$AW246,SUMIF($B$10:$B$16,"NCAP_TLIFE",$AX$10:$AX$16)),0,""))</f>
        <v/>
      </c>
      <c r="AT246" s="369" t="str">
        <f ca="1">IF($B246&lt;&gt;"PRC_RESID","",IF(AT$7=2005+OFFSET(COM_N_2012!$B$60,$AW246,SUMIF($B$10:$B$16,"NCAP_TLIFE",$AX$10:$AX$16)),0,""))</f>
        <v/>
      </c>
      <c r="AU246" s="369" t="str">
        <f ca="1">IF($B246&lt;&gt;"PRC_RESID","",IF(AU$7=2005+OFFSET(COM_N_2012!$B$60,$AW246,SUMIF($B$10:$B$16,"NCAP_TLIFE",$AX$10:$AX$16)),0,""))</f>
        <v/>
      </c>
      <c r="AV246" s="304">
        <f>IF(AW245=COM_N_2012!$AK$121,AV245+1,AV245)</f>
        <v>4</v>
      </c>
      <c r="AW246" s="304">
        <f t="shared" si="29"/>
        <v>46</v>
      </c>
    </row>
    <row r="247" spans="1:49">
      <c r="A247" s="304" t="str">
        <f ca="1">IF(LEFT(OFFSET(COM_N_2012!$A$60,AW247,0),2)="\I","*","")</f>
        <v/>
      </c>
      <c r="B247" s="369" t="str">
        <f t="shared" ca="1" si="28"/>
        <v>NCAP_COST</v>
      </c>
      <c r="C247" s="369" t="str">
        <f ca="1">IF($A247="*","",OFFSET(COM_N_2012!$B$60,AW247,0))</f>
        <v>CNGELCLED-N</v>
      </c>
      <c r="D247" s="369" t="str">
        <f t="shared" ca="1" si="32"/>
        <v>-</v>
      </c>
      <c r="E247" s="369" t="str">
        <f t="shared" ca="1" si="32"/>
        <v>-</v>
      </c>
      <c r="F247" s="369" t="str">
        <f t="shared" ca="1" si="32"/>
        <v>-</v>
      </c>
      <c r="G247" s="369" t="str">
        <f t="shared" ca="1" si="32"/>
        <v>-</v>
      </c>
      <c r="H247" s="369" t="str">
        <f t="shared" ca="1" si="32"/>
        <v>-</v>
      </c>
      <c r="I247" s="370">
        <f t="shared" ca="1" si="32"/>
        <v>0</v>
      </c>
      <c r="J247" s="391">
        <f ca="1">IF($A247="*","",OFFSET(COM_N_2012!$B$60,AW247,SUMIF($B$10:$B$16,B247,$AX$10:$AX$16)))</f>
        <v>4.9258814903416521</v>
      </c>
      <c r="K247" s="369" t="str">
        <f ca="1">IF($B247&lt;&gt;"PRC_RESID","",IF(K$7=2005+OFFSET(COM_N_2012!$B$60,$AW247,SUMIF($B$10:$B$16,"NCAP_TLIFE",$AX$10:$AX$16)),0,""))</f>
        <v/>
      </c>
      <c r="L247" s="369" t="str">
        <f ca="1">IF($B247&lt;&gt;"PRC_RESID","",IF(L$7=2005+OFFSET(COM_N_2012!$B$60,$AW247,SUMIF($B$10:$B$16,"NCAP_TLIFE",$AX$10:$AX$16)),0,""))</f>
        <v/>
      </c>
      <c r="M247" s="369" t="str">
        <f ca="1">IF($B247&lt;&gt;"PRC_RESID","",IF(M$7=2005+OFFSET(COM_N_2012!$B$60,$AW247,SUMIF($B$10:$B$16,"NCAP_TLIFE",$AX$10:$AX$16)),0,""))</f>
        <v/>
      </c>
      <c r="N247" s="369" t="str">
        <f ca="1">IF($B247&lt;&gt;"PRC_RESID","",IF(N$7=2005+OFFSET(COM_N_2012!$B$60,$AW247,SUMIF($B$10:$B$16,"NCAP_TLIFE",$AX$10:$AX$16)),0,""))</f>
        <v/>
      </c>
      <c r="O247" s="369" t="str">
        <f ca="1">IF($B247&lt;&gt;"PRC_RESID","",IF(O$7=2005+OFFSET(COM_N_2012!$B$60,$AW247,SUMIF($B$10:$B$16,"NCAP_TLIFE",$AX$10:$AX$16)),0,""))</f>
        <v/>
      </c>
      <c r="P247" s="369" t="str">
        <f ca="1">IF($B247&lt;&gt;"PRC_RESID","",IF(P$7=2005+OFFSET(COM_N_2012!$B$60,$AW247,SUMIF($B$10:$B$16,"NCAP_TLIFE",$AX$10:$AX$16)),0,""))</f>
        <v/>
      </c>
      <c r="Q247" s="369" t="str">
        <f ca="1">IF($B247&lt;&gt;"PRC_RESID","",IF(Q$7=2005+OFFSET(COM_N_2012!$B$60,$AW247,SUMIF($B$10:$B$16,"NCAP_TLIFE",$AX$10:$AX$16)),0,""))</f>
        <v/>
      </c>
      <c r="R247" s="369" t="str">
        <f ca="1">IF($B247&lt;&gt;"PRC_RESID","",IF(R$7=2005+OFFSET(COM_N_2012!$B$60,$AW247,SUMIF($B$10:$B$16,"NCAP_TLIFE",$AX$10:$AX$16)),0,""))</f>
        <v/>
      </c>
      <c r="S247" s="369" t="str">
        <f ca="1">IF($B247&lt;&gt;"PRC_RESID","",IF(S$7=2005+OFFSET(COM_N_2012!$B$60,$AW247,SUMIF($B$10:$B$16,"NCAP_TLIFE",$AX$10:$AX$16)),0,""))</f>
        <v/>
      </c>
      <c r="T247" s="369" t="str">
        <f ca="1">IF($B247&lt;&gt;"PRC_RESID","",IF(T$7=2005+OFFSET(COM_N_2012!$B$60,$AW247,SUMIF($B$10:$B$16,"NCAP_TLIFE",$AX$10:$AX$16)),0,""))</f>
        <v/>
      </c>
      <c r="U247" s="369" t="str">
        <f ca="1">IF($B247&lt;&gt;"PRC_RESID","",IF(U$7=2005+OFFSET(COM_N_2012!$B$60,$AW247,SUMIF($B$10:$B$16,"NCAP_TLIFE",$AX$10:$AX$16)),0,""))</f>
        <v/>
      </c>
      <c r="V247" s="369" t="str">
        <f ca="1">IF($B247&lt;&gt;"PRC_RESID","",IF(V$7=2005+OFFSET(COM_N_2012!$B$60,$AW247,SUMIF($B$10:$B$16,"NCAP_TLIFE",$AX$10:$AX$16)),0,""))</f>
        <v/>
      </c>
      <c r="W247" s="369" t="str">
        <f ca="1">IF($B247&lt;&gt;"PRC_RESID","",IF(W$7=2005+OFFSET(COM_N_2012!$B$60,$AW247,SUMIF($B$10:$B$16,"NCAP_TLIFE",$AX$10:$AX$16)),0,""))</f>
        <v/>
      </c>
      <c r="X247" s="369" t="str">
        <f ca="1">IF($B247&lt;&gt;"PRC_RESID","",IF(X$7=2005+OFFSET(COM_N_2012!$B$60,$AW247,SUMIF($B$10:$B$16,"NCAP_TLIFE",$AX$10:$AX$16)),0,""))</f>
        <v/>
      </c>
      <c r="Y247" s="369" t="str">
        <f ca="1">IF($B247&lt;&gt;"PRC_RESID","",IF(Y$7=2005+OFFSET(COM_N_2012!$B$60,$AW247,SUMIF($B$10:$B$16,"NCAP_TLIFE",$AX$10:$AX$16)),0,""))</f>
        <v/>
      </c>
      <c r="Z247" s="369" t="str">
        <f ca="1">IF($B247&lt;&gt;"PRC_RESID","",IF(Z$7=2005+OFFSET(COM_N_2012!$B$60,$AW247,SUMIF($B$10:$B$16,"NCAP_TLIFE",$AX$10:$AX$16)),0,""))</f>
        <v/>
      </c>
      <c r="AA247" s="369" t="str">
        <f ca="1">IF($B247&lt;&gt;"PRC_RESID","",IF(AA$7=2005+OFFSET(COM_N_2012!$B$60,$AW247,SUMIF($B$10:$B$16,"NCAP_TLIFE",$AX$10:$AX$16)),0,""))</f>
        <v/>
      </c>
      <c r="AB247" s="369" t="str">
        <f ca="1">IF($B247&lt;&gt;"PRC_RESID","",IF(AB$7=2005+OFFSET(COM_N_2012!$B$60,$AW247,SUMIF($B$10:$B$16,"NCAP_TLIFE",$AX$10:$AX$16)),0,""))</f>
        <v/>
      </c>
      <c r="AC247" s="369" t="str">
        <f ca="1">IF($B247&lt;&gt;"PRC_RESID","",IF(AC$7=2005+OFFSET(COM_N_2012!$B$60,$AW247,SUMIF($B$10:$B$16,"NCAP_TLIFE",$AX$10:$AX$16)),0,""))</f>
        <v/>
      </c>
      <c r="AD247" s="369" t="str">
        <f ca="1">IF($B247&lt;&gt;"PRC_RESID","",IF(AD$7=2005+OFFSET(COM_N_2012!$B$60,$AW247,SUMIF($B$10:$B$16,"NCAP_TLIFE",$AX$10:$AX$16)),0,""))</f>
        <v/>
      </c>
      <c r="AE247" s="369" t="str">
        <f ca="1">IF($B247&lt;&gt;"PRC_RESID","",IF(AE$7=2005+OFFSET(COM_N_2012!$B$60,$AW247,SUMIF($B$10:$B$16,"NCAP_TLIFE",$AX$10:$AX$16)),0,""))</f>
        <v/>
      </c>
      <c r="AF247" s="369" t="str">
        <f ca="1">IF($B247&lt;&gt;"PRC_RESID","",IF(AF$7=2005+OFFSET(COM_N_2012!$B$60,$AW247,SUMIF($B$10:$B$16,"NCAP_TLIFE",$AX$10:$AX$16)),0,""))</f>
        <v/>
      </c>
      <c r="AG247" s="369" t="str">
        <f ca="1">IF($B247&lt;&gt;"PRC_RESID","",IF(AG$7=2005+OFFSET(COM_N_2012!$B$60,$AW247,SUMIF($B$10:$B$16,"NCAP_TLIFE",$AX$10:$AX$16)),0,""))</f>
        <v/>
      </c>
      <c r="AH247" s="369" t="str">
        <f ca="1">IF($B247&lt;&gt;"PRC_RESID","",IF(AH$7=2005+OFFSET(COM_N_2012!$B$60,$AW247,SUMIF($B$10:$B$16,"NCAP_TLIFE",$AX$10:$AX$16)),0,""))</f>
        <v/>
      </c>
      <c r="AI247" s="369" t="str">
        <f ca="1">IF($B247&lt;&gt;"PRC_RESID","",IF(AI$7=2005+OFFSET(COM_N_2012!$B$60,$AW247,SUMIF($B$10:$B$16,"NCAP_TLIFE",$AX$10:$AX$16)),0,""))</f>
        <v/>
      </c>
      <c r="AJ247" s="369" t="str">
        <f ca="1">IF($B247&lt;&gt;"PRC_RESID","",IF(AJ$7=2005+OFFSET(COM_N_2012!$B$60,$AW247,SUMIF($B$10:$B$16,"NCAP_TLIFE",$AX$10:$AX$16)),0,""))</f>
        <v/>
      </c>
      <c r="AK247" s="369" t="str">
        <f ca="1">IF($B247&lt;&gt;"PRC_RESID","",IF(AK$7=2005+OFFSET(COM_N_2012!$B$60,$AW247,SUMIF($B$10:$B$16,"NCAP_TLIFE",$AX$10:$AX$16)),0,""))</f>
        <v/>
      </c>
      <c r="AL247" s="369" t="str">
        <f ca="1">IF($B247&lt;&gt;"PRC_RESID","",IF(AL$7=2005+OFFSET(COM_N_2012!$B$60,$AW247,SUMIF($B$10:$B$16,"NCAP_TLIFE",$AX$10:$AX$16)),0,""))</f>
        <v/>
      </c>
      <c r="AM247" s="369" t="str">
        <f ca="1">IF($B247&lt;&gt;"PRC_RESID","",IF(AM$7=2005+OFFSET(COM_N_2012!$B$60,$AW247,SUMIF($B$10:$B$16,"NCAP_TLIFE",$AX$10:$AX$16)),0,""))</f>
        <v/>
      </c>
      <c r="AN247" s="369" t="str">
        <f ca="1">IF($B247&lt;&gt;"PRC_RESID","",IF(AN$7=2005+OFFSET(COM_N_2012!$B$60,$AW247,SUMIF($B$10:$B$16,"NCAP_TLIFE",$AX$10:$AX$16)),0,""))</f>
        <v/>
      </c>
      <c r="AO247" s="369" t="str">
        <f ca="1">IF($B247&lt;&gt;"PRC_RESID","",IF(AO$7=2005+OFFSET(COM_N_2012!$B$60,$AW247,SUMIF($B$10:$B$16,"NCAP_TLIFE",$AX$10:$AX$16)),0,""))</f>
        <v/>
      </c>
      <c r="AP247" s="369" t="str">
        <f ca="1">IF($B247&lt;&gt;"PRC_RESID","",IF(AP$7=2005+OFFSET(COM_N_2012!$B$60,$AW247,SUMIF($B$10:$B$16,"NCAP_TLIFE",$AX$10:$AX$16)),0,""))</f>
        <v/>
      </c>
      <c r="AQ247" s="369" t="str">
        <f ca="1">IF($B247&lt;&gt;"PRC_RESID","",IF(AQ$7=2005+OFFSET(COM_N_2012!$B$60,$AW247,SUMIF($B$10:$B$16,"NCAP_TLIFE",$AX$10:$AX$16)),0,""))</f>
        <v/>
      </c>
      <c r="AR247" s="369" t="str">
        <f ca="1">IF($B247&lt;&gt;"PRC_RESID","",IF(AR$7=2005+OFFSET(COM_N_2012!$B$60,$AW247,SUMIF($B$10:$B$16,"NCAP_TLIFE",$AX$10:$AX$16)),0,""))</f>
        <v/>
      </c>
      <c r="AS247" s="369" t="str">
        <f ca="1">IF($B247&lt;&gt;"PRC_RESID","",IF(AS$7=2005+OFFSET(COM_N_2012!$B$60,$AW247,SUMIF($B$10:$B$16,"NCAP_TLIFE",$AX$10:$AX$16)),0,""))</f>
        <v/>
      </c>
      <c r="AT247" s="369" t="str">
        <f ca="1">IF($B247&lt;&gt;"PRC_RESID","",IF(AT$7=2005+OFFSET(COM_N_2012!$B$60,$AW247,SUMIF($B$10:$B$16,"NCAP_TLIFE",$AX$10:$AX$16)),0,""))</f>
        <v/>
      </c>
      <c r="AU247" s="369" t="str">
        <f ca="1">IF($B247&lt;&gt;"PRC_RESID","",IF(AU$7=2005+OFFSET(COM_N_2012!$B$60,$AW247,SUMIF($B$10:$B$16,"NCAP_TLIFE",$AX$10:$AX$16)),0,""))</f>
        <v/>
      </c>
      <c r="AV247" s="304">
        <f>IF(AW246=COM_N_2012!$AK$121,AV246+1,AV246)</f>
        <v>4</v>
      </c>
      <c r="AW247" s="304">
        <f t="shared" si="29"/>
        <v>47</v>
      </c>
    </row>
    <row r="248" spans="1:49">
      <c r="A248" s="304" t="str">
        <f ca="1">IF(LEFT(OFFSET(COM_N_2012!$A$60,AW248,0),2)="\I","*","")</f>
        <v>*</v>
      </c>
      <c r="B248" s="369" t="str">
        <f t="shared" ca="1" si="28"/>
        <v/>
      </c>
      <c r="C248" s="369" t="str">
        <f ca="1">IF($A248="*","",OFFSET(COM_N_2012!$B$60,AW248,0))</f>
        <v/>
      </c>
      <c r="D248" s="369" t="str">
        <f t="shared" ref="D248:I257" ca="1" si="33">IF($A248="*","",VLOOKUP($B248,$B$10:$I$16,D$9,FALSE))</f>
        <v/>
      </c>
      <c r="E248" s="369" t="str">
        <f t="shared" ca="1" si="33"/>
        <v/>
      </c>
      <c r="F248" s="369" t="str">
        <f t="shared" ca="1" si="33"/>
        <v/>
      </c>
      <c r="G248" s="369" t="str">
        <f t="shared" ca="1" si="33"/>
        <v/>
      </c>
      <c r="H248" s="369" t="str">
        <f t="shared" ca="1" si="33"/>
        <v/>
      </c>
      <c r="I248" s="370" t="str">
        <f t="shared" ca="1" si="33"/>
        <v/>
      </c>
      <c r="J248" s="391" t="str">
        <f ca="1">IF($A248="*","",OFFSET(COM_N_2012!$B$60,AW248,SUMIF($B$10:$B$16,B248,$AX$10:$AX$16)))</f>
        <v/>
      </c>
      <c r="K248" s="369" t="str">
        <f ca="1">IF($B248&lt;&gt;"PRC_RESID","",IF(K$7=2005+OFFSET(COM_N_2012!$B$60,$AW248,SUMIF($B$10:$B$16,"NCAP_TLIFE",$AX$10:$AX$16)),0,""))</f>
        <v/>
      </c>
      <c r="L248" s="369" t="str">
        <f ca="1">IF($B248&lt;&gt;"PRC_RESID","",IF(L$7=2005+OFFSET(COM_N_2012!$B$60,$AW248,SUMIF($B$10:$B$16,"NCAP_TLIFE",$AX$10:$AX$16)),0,""))</f>
        <v/>
      </c>
      <c r="M248" s="369" t="str">
        <f ca="1">IF($B248&lt;&gt;"PRC_RESID","",IF(M$7=2005+OFFSET(COM_N_2012!$B$60,$AW248,SUMIF($B$10:$B$16,"NCAP_TLIFE",$AX$10:$AX$16)),0,""))</f>
        <v/>
      </c>
      <c r="N248" s="369" t="str">
        <f ca="1">IF($B248&lt;&gt;"PRC_RESID","",IF(N$7=2005+OFFSET(COM_N_2012!$B$60,$AW248,SUMIF($B$10:$B$16,"NCAP_TLIFE",$AX$10:$AX$16)),0,""))</f>
        <v/>
      </c>
      <c r="O248" s="369" t="str">
        <f ca="1">IF($B248&lt;&gt;"PRC_RESID","",IF(O$7=2005+OFFSET(COM_N_2012!$B$60,$AW248,SUMIF($B$10:$B$16,"NCAP_TLIFE",$AX$10:$AX$16)),0,""))</f>
        <v/>
      </c>
      <c r="P248" s="369" t="str">
        <f ca="1">IF($B248&lt;&gt;"PRC_RESID","",IF(P$7=2005+OFFSET(COM_N_2012!$B$60,$AW248,SUMIF($B$10:$B$16,"NCAP_TLIFE",$AX$10:$AX$16)),0,""))</f>
        <v/>
      </c>
      <c r="Q248" s="369" t="str">
        <f ca="1">IF($B248&lt;&gt;"PRC_RESID","",IF(Q$7=2005+OFFSET(COM_N_2012!$B$60,$AW248,SUMIF($B$10:$B$16,"NCAP_TLIFE",$AX$10:$AX$16)),0,""))</f>
        <v/>
      </c>
      <c r="R248" s="369" t="str">
        <f ca="1">IF($B248&lt;&gt;"PRC_RESID","",IF(R$7=2005+OFFSET(COM_N_2012!$B$60,$AW248,SUMIF($B$10:$B$16,"NCAP_TLIFE",$AX$10:$AX$16)),0,""))</f>
        <v/>
      </c>
      <c r="S248" s="369" t="str">
        <f ca="1">IF($B248&lt;&gt;"PRC_RESID","",IF(S$7=2005+OFFSET(COM_N_2012!$B$60,$AW248,SUMIF($B$10:$B$16,"NCAP_TLIFE",$AX$10:$AX$16)),0,""))</f>
        <v/>
      </c>
      <c r="T248" s="369" t="str">
        <f ca="1">IF($B248&lt;&gt;"PRC_RESID","",IF(T$7=2005+OFFSET(COM_N_2012!$B$60,$AW248,SUMIF($B$10:$B$16,"NCAP_TLIFE",$AX$10:$AX$16)),0,""))</f>
        <v/>
      </c>
      <c r="U248" s="369" t="str">
        <f ca="1">IF($B248&lt;&gt;"PRC_RESID","",IF(U$7=2005+OFFSET(COM_N_2012!$B$60,$AW248,SUMIF($B$10:$B$16,"NCAP_TLIFE",$AX$10:$AX$16)),0,""))</f>
        <v/>
      </c>
      <c r="V248" s="369" t="str">
        <f ca="1">IF($B248&lt;&gt;"PRC_RESID","",IF(V$7=2005+OFFSET(COM_N_2012!$B$60,$AW248,SUMIF($B$10:$B$16,"NCAP_TLIFE",$AX$10:$AX$16)),0,""))</f>
        <v/>
      </c>
      <c r="W248" s="369" t="str">
        <f ca="1">IF($B248&lt;&gt;"PRC_RESID","",IF(W$7=2005+OFFSET(COM_N_2012!$B$60,$AW248,SUMIF($B$10:$B$16,"NCAP_TLIFE",$AX$10:$AX$16)),0,""))</f>
        <v/>
      </c>
      <c r="X248" s="369" t="str">
        <f ca="1">IF($B248&lt;&gt;"PRC_RESID","",IF(X$7=2005+OFFSET(COM_N_2012!$B$60,$AW248,SUMIF($B$10:$B$16,"NCAP_TLIFE",$AX$10:$AX$16)),0,""))</f>
        <v/>
      </c>
      <c r="Y248" s="369" t="str">
        <f ca="1">IF($B248&lt;&gt;"PRC_RESID","",IF(Y$7=2005+OFFSET(COM_N_2012!$B$60,$AW248,SUMIF($B$10:$B$16,"NCAP_TLIFE",$AX$10:$AX$16)),0,""))</f>
        <v/>
      </c>
      <c r="Z248" s="369" t="str">
        <f ca="1">IF($B248&lt;&gt;"PRC_RESID","",IF(Z$7=2005+OFFSET(COM_N_2012!$B$60,$AW248,SUMIF($B$10:$B$16,"NCAP_TLIFE",$AX$10:$AX$16)),0,""))</f>
        <v/>
      </c>
      <c r="AA248" s="369" t="str">
        <f ca="1">IF($B248&lt;&gt;"PRC_RESID","",IF(AA$7=2005+OFFSET(COM_N_2012!$B$60,$AW248,SUMIF($B$10:$B$16,"NCAP_TLIFE",$AX$10:$AX$16)),0,""))</f>
        <v/>
      </c>
      <c r="AB248" s="369" t="str">
        <f ca="1">IF($B248&lt;&gt;"PRC_RESID","",IF(AB$7=2005+OFFSET(COM_N_2012!$B$60,$AW248,SUMIF($B$10:$B$16,"NCAP_TLIFE",$AX$10:$AX$16)),0,""))</f>
        <v/>
      </c>
      <c r="AC248" s="369" t="str">
        <f ca="1">IF($B248&lt;&gt;"PRC_RESID","",IF(AC$7=2005+OFFSET(COM_N_2012!$B$60,$AW248,SUMIF($B$10:$B$16,"NCAP_TLIFE",$AX$10:$AX$16)),0,""))</f>
        <v/>
      </c>
      <c r="AD248" s="369" t="str">
        <f ca="1">IF($B248&lt;&gt;"PRC_RESID","",IF(AD$7=2005+OFFSET(COM_N_2012!$B$60,$AW248,SUMIF($B$10:$B$16,"NCAP_TLIFE",$AX$10:$AX$16)),0,""))</f>
        <v/>
      </c>
      <c r="AE248" s="369" t="str">
        <f ca="1">IF($B248&lt;&gt;"PRC_RESID","",IF(AE$7=2005+OFFSET(COM_N_2012!$B$60,$AW248,SUMIF($B$10:$B$16,"NCAP_TLIFE",$AX$10:$AX$16)),0,""))</f>
        <v/>
      </c>
      <c r="AF248" s="369" t="str">
        <f ca="1">IF($B248&lt;&gt;"PRC_RESID","",IF(AF$7=2005+OFFSET(COM_N_2012!$B$60,$AW248,SUMIF($B$10:$B$16,"NCAP_TLIFE",$AX$10:$AX$16)),0,""))</f>
        <v/>
      </c>
      <c r="AG248" s="369" t="str">
        <f ca="1">IF($B248&lt;&gt;"PRC_RESID","",IF(AG$7=2005+OFFSET(COM_N_2012!$B$60,$AW248,SUMIF($B$10:$B$16,"NCAP_TLIFE",$AX$10:$AX$16)),0,""))</f>
        <v/>
      </c>
      <c r="AH248" s="369" t="str">
        <f ca="1">IF($B248&lt;&gt;"PRC_RESID","",IF(AH$7=2005+OFFSET(COM_N_2012!$B$60,$AW248,SUMIF($B$10:$B$16,"NCAP_TLIFE",$AX$10:$AX$16)),0,""))</f>
        <v/>
      </c>
      <c r="AI248" s="369" t="str">
        <f ca="1">IF($B248&lt;&gt;"PRC_RESID","",IF(AI$7=2005+OFFSET(COM_N_2012!$B$60,$AW248,SUMIF($B$10:$B$16,"NCAP_TLIFE",$AX$10:$AX$16)),0,""))</f>
        <v/>
      </c>
      <c r="AJ248" s="369" t="str">
        <f ca="1">IF($B248&lt;&gt;"PRC_RESID","",IF(AJ$7=2005+OFFSET(COM_N_2012!$B$60,$AW248,SUMIF($B$10:$B$16,"NCAP_TLIFE",$AX$10:$AX$16)),0,""))</f>
        <v/>
      </c>
      <c r="AK248" s="369" t="str">
        <f ca="1">IF($B248&lt;&gt;"PRC_RESID","",IF(AK$7=2005+OFFSET(COM_N_2012!$B$60,$AW248,SUMIF($B$10:$B$16,"NCAP_TLIFE",$AX$10:$AX$16)),0,""))</f>
        <v/>
      </c>
      <c r="AL248" s="369" t="str">
        <f ca="1">IF($B248&lt;&gt;"PRC_RESID","",IF(AL$7=2005+OFFSET(COM_N_2012!$B$60,$AW248,SUMIF($B$10:$B$16,"NCAP_TLIFE",$AX$10:$AX$16)),0,""))</f>
        <v/>
      </c>
      <c r="AM248" s="369" t="str">
        <f ca="1">IF($B248&lt;&gt;"PRC_RESID","",IF(AM$7=2005+OFFSET(COM_N_2012!$B$60,$AW248,SUMIF($B$10:$B$16,"NCAP_TLIFE",$AX$10:$AX$16)),0,""))</f>
        <v/>
      </c>
      <c r="AN248" s="369" t="str">
        <f ca="1">IF($B248&lt;&gt;"PRC_RESID","",IF(AN$7=2005+OFFSET(COM_N_2012!$B$60,$AW248,SUMIF($B$10:$B$16,"NCAP_TLIFE",$AX$10:$AX$16)),0,""))</f>
        <v/>
      </c>
      <c r="AO248" s="369" t="str">
        <f ca="1">IF($B248&lt;&gt;"PRC_RESID","",IF(AO$7=2005+OFFSET(COM_N_2012!$B$60,$AW248,SUMIF($B$10:$B$16,"NCAP_TLIFE",$AX$10:$AX$16)),0,""))</f>
        <v/>
      </c>
      <c r="AP248" s="369" t="str">
        <f ca="1">IF($B248&lt;&gt;"PRC_RESID","",IF(AP$7=2005+OFFSET(COM_N_2012!$B$60,$AW248,SUMIF($B$10:$B$16,"NCAP_TLIFE",$AX$10:$AX$16)),0,""))</f>
        <v/>
      </c>
      <c r="AQ248" s="369" t="str">
        <f ca="1">IF($B248&lt;&gt;"PRC_RESID","",IF(AQ$7=2005+OFFSET(COM_N_2012!$B$60,$AW248,SUMIF($B$10:$B$16,"NCAP_TLIFE",$AX$10:$AX$16)),0,""))</f>
        <v/>
      </c>
      <c r="AR248" s="369" t="str">
        <f ca="1">IF($B248&lt;&gt;"PRC_RESID","",IF(AR$7=2005+OFFSET(COM_N_2012!$B$60,$AW248,SUMIF($B$10:$B$16,"NCAP_TLIFE",$AX$10:$AX$16)),0,""))</f>
        <v/>
      </c>
      <c r="AS248" s="369" t="str">
        <f ca="1">IF($B248&lt;&gt;"PRC_RESID","",IF(AS$7=2005+OFFSET(COM_N_2012!$B$60,$AW248,SUMIF($B$10:$B$16,"NCAP_TLIFE",$AX$10:$AX$16)),0,""))</f>
        <v/>
      </c>
      <c r="AT248" s="369" t="str">
        <f ca="1">IF($B248&lt;&gt;"PRC_RESID","",IF(AT$7=2005+OFFSET(COM_N_2012!$B$60,$AW248,SUMIF($B$10:$B$16,"NCAP_TLIFE",$AX$10:$AX$16)),0,""))</f>
        <v/>
      </c>
      <c r="AU248" s="369" t="str">
        <f ca="1">IF($B248&lt;&gt;"PRC_RESID","",IF(AU$7=2005+OFFSET(COM_N_2012!$B$60,$AW248,SUMIF($B$10:$B$16,"NCAP_TLIFE",$AX$10:$AX$16)),0,""))</f>
        <v/>
      </c>
      <c r="AV248" s="304">
        <f>IF(AW247=COM_N_2012!$AK$121,AV247+1,AV247)</f>
        <v>4</v>
      </c>
      <c r="AW248" s="304">
        <f t="shared" si="29"/>
        <v>48</v>
      </c>
    </row>
    <row r="249" spans="1:49">
      <c r="A249" s="304" t="str">
        <f ca="1">IF(LEFT(OFFSET(COM_N_2012!$A$60,AW249,0),2)="\I","*","")</f>
        <v>*</v>
      </c>
      <c r="B249" s="369" t="str">
        <f t="shared" ca="1" si="28"/>
        <v/>
      </c>
      <c r="C249" s="369" t="str">
        <f ca="1">IF($A249="*","",OFFSET(COM_N_2012!$B$60,AW249,0))</f>
        <v/>
      </c>
      <c r="D249" s="369" t="str">
        <f t="shared" ca="1" si="33"/>
        <v/>
      </c>
      <c r="E249" s="369" t="str">
        <f t="shared" ca="1" si="33"/>
        <v/>
      </c>
      <c r="F249" s="369" t="str">
        <f t="shared" ca="1" si="33"/>
        <v/>
      </c>
      <c r="G249" s="369" t="str">
        <f t="shared" ca="1" si="33"/>
        <v/>
      </c>
      <c r="H249" s="369" t="str">
        <f t="shared" ca="1" si="33"/>
        <v/>
      </c>
      <c r="I249" s="370" t="str">
        <f t="shared" ca="1" si="33"/>
        <v/>
      </c>
      <c r="J249" s="391" t="str">
        <f ca="1">IF($A249="*","",OFFSET(COM_N_2012!$B$60,AW249,SUMIF($B$10:$B$16,B249,$AX$10:$AX$16)))</f>
        <v/>
      </c>
      <c r="K249" s="369" t="str">
        <f ca="1">IF($B249&lt;&gt;"PRC_RESID","",IF(K$7=2005+OFFSET(COM_N_2012!$B$60,$AW249,SUMIF($B$10:$B$16,"NCAP_TLIFE",$AX$10:$AX$16)),0,""))</f>
        <v/>
      </c>
      <c r="L249" s="369" t="str">
        <f ca="1">IF($B249&lt;&gt;"PRC_RESID","",IF(L$7=2005+OFFSET(COM_N_2012!$B$60,$AW249,SUMIF($B$10:$B$16,"NCAP_TLIFE",$AX$10:$AX$16)),0,""))</f>
        <v/>
      </c>
      <c r="M249" s="369" t="str">
        <f ca="1">IF($B249&lt;&gt;"PRC_RESID","",IF(M$7=2005+OFFSET(COM_N_2012!$B$60,$AW249,SUMIF($B$10:$B$16,"NCAP_TLIFE",$AX$10:$AX$16)),0,""))</f>
        <v/>
      </c>
      <c r="N249" s="369" t="str">
        <f ca="1">IF($B249&lt;&gt;"PRC_RESID","",IF(N$7=2005+OFFSET(COM_N_2012!$B$60,$AW249,SUMIF($B$10:$B$16,"NCAP_TLIFE",$AX$10:$AX$16)),0,""))</f>
        <v/>
      </c>
      <c r="O249" s="369" t="str">
        <f ca="1">IF($B249&lt;&gt;"PRC_RESID","",IF(O$7=2005+OFFSET(COM_N_2012!$B$60,$AW249,SUMIF($B$10:$B$16,"NCAP_TLIFE",$AX$10:$AX$16)),0,""))</f>
        <v/>
      </c>
      <c r="P249" s="369" t="str">
        <f ca="1">IF($B249&lt;&gt;"PRC_RESID","",IF(P$7=2005+OFFSET(COM_N_2012!$B$60,$AW249,SUMIF($B$10:$B$16,"NCAP_TLIFE",$AX$10:$AX$16)),0,""))</f>
        <v/>
      </c>
      <c r="Q249" s="369" t="str">
        <f ca="1">IF($B249&lt;&gt;"PRC_RESID","",IF(Q$7=2005+OFFSET(COM_N_2012!$B$60,$AW249,SUMIF($B$10:$B$16,"NCAP_TLIFE",$AX$10:$AX$16)),0,""))</f>
        <v/>
      </c>
      <c r="R249" s="369" t="str">
        <f ca="1">IF($B249&lt;&gt;"PRC_RESID","",IF(R$7=2005+OFFSET(COM_N_2012!$B$60,$AW249,SUMIF($B$10:$B$16,"NCAP_TLIFE",$AX$10:$AX$16)),0,""))</f>
        <v/>
      </c>
      <c r="S249" s="369" t="str">
        <f ca="1">IF($B249&lt;&gt;"PRC_RESID","",IF(S$7=2005+OFFSET(COM_N_2012!$B$60,$AW249,SUMIF($B$10:$B$16,"NCAP_TLIFE",$AX$10:$AX$16)),0,""))</f>
        <v/>
      </c>
      <c r="T249" s="369" t="str">
        <f ca="1">IF($B249&lt;&gt;"PRC_RESID","",IF(T$7=2005+OFFSET(COM_N_2012!$B$60,$AW249,SUMIF($B$10:$B$16,"NCAP_TLIFE",$AX$10:$AX$16)),0,""))</f>
        <v/>
      </c>
      <c r="U249" s="369" t="str">
        <f ca="1">IF($B249&lt;&gt;"PRC_RESID","",IF(U$7=2005+OFFSET(COM_N_2012!$B$60,$AW249,SUMIF($B$10:$B$16,"NCAP_TLIFE",$AX$10:$AX$16)),0,""))</f>
        <v/>
      </c>
      <c r="V249" s="369" t="str">
        <f ca="1">IF($B249&lt;&gt;"PRC_RESID","",IF(V$7=2005+OFFSET(COM_N_2012!$B$60,$AW249,SUMIF($B$10:$B$16,"NCAP_TLIFE",$AX$10:$AX$16)),0,""))</f>
        <v/>
      </c>
      <c r="W249" s="369" t="str">
        <f ca="1">IF($B249&lt;&gt;"PRC_RESID","",IF(W$7=2005+OFFSET(COM_N_2012!$B$60,$AW249,SUMIF($B$10:$B$16,"NCAP_TLIFE",$AX$10:$AX$16)),0,""))</f>
        <v/>
      </c>
      <c r="X249" s="369" t="str">
        <f ca="1">IF($B249&lt;&gt;"PRC_RESID","",IF(X$7=2005+OFFSET(COM_N_2012!$B$60,$AW249,SUMIF($B$10:$B$16,"NCAP_TLIFE",$AX$10:$AX$16)),0,""))</f>
        <v/>
      </c>
      <c r="Y249" s="369" t="str">
        <f ca="1">IF($B249&lt;&gt;"PRC_RESID","",IF(Y$7=2005+OFFSET(COM_N_2012!$B$60,$AW249,SUMIF($B$10:$B$16,"NCAP_TLIFE",$AX$10:$AX$16)),0,""))</f>
        <v/>
      </c>
      <c r="Z249" s="369" t="str">
        <f ca="1">IF($B249&lt;&gt;"PRC_RESID","",IF(Z$7=2005+OFFSET(COM_N_2012!$B$60,$AW249,SUMIF($B$10:$B$16,"NCAP_TLIFE",$AX$10:$AX$16)),0,""))</f>
        <v/>
      </c>
      <c r="AA249" s="369" t="str">
        <f ca="1">IF($B249&lt;&gt;"PRC_RESID","",IF(AA$7=2005+OFFSET(COM_N_2012!$B$60,$AW249,SUMIF($B$10:$B$16,"NCAP_TLIFE",$AX$10:$AX$16)),0,""))</f>
        <v/>
      </c>
      <c r="AB249" s="369" t="str">
        <f ca="1">IF($B249&lt;&gt;"PRC_RESID","",IF(AB$7=2005+OFFSET(COM_N_2012!$B$60,$AW249,SUMIF($B$10:$B$16,"NCAP_TLIFE",$AX$10:$AX$16)),0,""))</f>
        <v/>
      </c>
      <c r="AC249" s="369" t="str">
        <f ca="1">IF($B249&lt;&gt;"PRC_RESID","",IF(AC$7=2005+OFFSET(COM_N_2012!$B$60,$AW249,SUMIF($B$10:$B$16,"NCAP_TLIFE",$AX$10:$AX$16)),0,""))</f>
        <v/>
      </c>
      <c r="AD249" s="369" t="str">
        <f ca="1">IF($B249&lt;&gt;"PRC_RESID","",IF(AD$7=2005+OFFSET(COM_N_2012!$B$60,$AW249,SUMIF($B$10:$B$16,"NCAP_TLIFE",$AX$10:$AX$16)),0,""))</f>
        <v/>
      </c>
      <c r="AE249" s="369" t="str">
        <f ca="1">IF($B249&lt;&gt;"PRC_RESID","",IF(AE$7=2005+OFFSET(COM_N_2012!$B$60,$AW249,SUMIF($B$10:$B$16,"NCAP_TLIFE",$AX$10:$AX$16)),0,""))</f>
        <v/>
      </c>
      <c r="AF249" s="369" t="str">
        <f ca="1">IF($B249&lt;&gt;"PRC_RESID","",IF(AF$7=2005+OFFSET(COM_N_2012!$B$60,$AW249,SUMIF($B$10:$B$16,"NCAP_TLIFE",$AX$10:$AX$16)),0,""))</f>
        <v/>
      </c>
      <c r="AG249" s="369" t="str">
        <f ca="1">IF($B249&lt;&gt;"PRC_RESID","",IF(AG$7=2005+OFFSET(COM_N_2012!$B$60,$AW249,SUMIF($B$10:$B$16,"NCAP_TLIFE",$AX$10:$AX$16)),0,""))</f>
        <v/>
      </c>
      <c r="AH249" s="369" t="str">
        <f ca="1">IF($B249&lt;&gt;"PRC_RESID","",IF(AH$7=2005+OFFSET(COM_N_2012!$B$60,$AW249,SUMIF($B$10:$B$16,"NCAP_TLIFE",$AX$10:$AX$16)),0,""))</f>
        <v/>
      </c>
      <c r="AI249" s="369" t="str">
        <f ca="1">IF($B249&lt;&gt;"PRC_RESID","",IF(AI$7=2005+OFFSET(COM_N_2012!$B$60,$AW249,SUMIF($B$10:$B$16,"NCAP_TLIFE",$AX$10:$AX$16)),0,""))</f>
        <v/>
      </c>
      <c r="AJ249" s="369" t="str">
        <f ca="1">IF($B249&lt;&gt;"PRC_RESID","",IF(AJ$7=2005+OFFSET(COM_N_2012!$B$60,$AW249,SUMIF($B$10:$B$16,"NCAP_TLIFE",$AX$10:$AX$16)),0,""))</f>
        <v/>
      </c>
      <c r="AK249" s="369" t="str">
        <f ca="1">IF($B249&lt;&gt;"PRC_RESID","",IF(AK$7=2005+OFFSET(COM_N_2012!$B$60,$AW249,SUMIF($B$10:$B$16,"NCAP_TLIFE",$AX$10:$AX$16)),0,""))</f>
        <v/>
      </c>
      <c r="AL249" s="369" t="str">
        <f ca="1">IF($B249&lt;&gt;"PRC_RESID","",IF(AL$7=2005+OFFSET(COM_N_2012!$B$60,$AW249,SUMIF($B$10:$B$16,"NCAP_TLIFE",$AX$10:$AX$16)),0,""))</f>
        <v/>
      </c>
      <c r="AM249" s="369" t="str">
        <f ca="1">IF($B249&lt;&gt;"PRC_RESID","",IF(AM$7=2005+OFFSET(COM_N_2012!$B$60,$AW249,SUMIF($B$10:$B$16,"NCAP_TLIFE",$AX$10:$AX$16)),0,""))</f>
        <v/>
      </c>
      <c r="AN249" s="369" t="str">
        <f ca="1">IF($B249&lt;&gt;"PRC_RESID","",IF(AN$7=2005+OFFSET(COM_N_2012!$B$60,$AW249,SUMIF($B$10:$B$16,"NCAP_TLIFE",$AX$10:$AX$16)),0,""))</f>
        <v/>
      </c>
      <c r="AO249" s="369" t="str">
        <f ca="1">IF($B249&lt;&gt;"PRC_RESID","",IF(AO$7=2005+OFFSET(COM_N_2012!$B$60,$AW249,SUMIF($B$10:$B$16,"NCAP_TLIFE",$AX$10:$AX$16)),0,""))</f>
        <v/>
      </c>
      <c r="AP249" s="369" t="str">
        <f ca="1">IF($B249&lt;&gt;"PRC_RESID","",IF(AP$7=2005+OFFSET(COM_N_2012!$B$60,$AW249,SUMIF($B$10:$B$16,"NCAP_TLIFE",$AX$10:$AX$16)),0,""))</f>
        <v/>
      </c>
      <c r="AQ249" s="369" t="str">
        <f ca="1">IF($B249&lt;&gt;"PRC_RESID","",IF(AQ$7=2005+OFFSET(COM_N_2012!$B$60,$AW249,SUMIF($B$10:$B$16,"NCAP_TLIFE",$AX$10:$AX$16)),0,""))</f>
        <v/>
      </c>
      <c r="AR249" s="369" t="str">
        <f ca="1">IF($B249&lt;&gt;"PRC_RESID","",IF(AR$7=2005+OFFSET(COM_N_2012!$B$60,$AW249,SUMIF($B$10:$B$16,"NCAP_TLIFE",$AX$10:$AX$16)),0,""))</f>
        <v/>
      </c>
      <c r="AS249" s="369" t="str">
        <f ca="1">IF($B249&lt;&gt;"PRC_RESID","",IF(AS$7=2005+OFFSET(COM_N_2012!$B$60,$AW249,SUMIF($B$10:$B$16,"NCAP_TLIFE",$AX$10:$AX$16)),0,""))</f>
        <v/>
      </c>
      <c r="AT249" s="369" t="str">
        <f ca="1">IF($B249&lt;&gt;"PRC_RESID","",IF(AT$7=2005+OFFSET(COM_N_2012!$B$60,$AW249,SUMIF($B$10:$B$16,"NCAP_TLIFE",$AX$10:$AX$16)),0,""))</f>
        <v/>
      </c>
      <c r="AU249" s="369" t="str">
        <f ca="1">IF($B249&lt;&gt;"PRC_RESID","",IF(AU$7=2005+OFFSET(COM_N_2012!$B$60,$AW249,SUMIF($B$10:$B$16,"NCAP_TLIFE",$AX$10:$AX$16)),0,""))</f>
        <v/>
      </c>
      <c r="AV249" s="304">
        <f>IF(AW248=COM_N_2012!$AK$121,AV248+1,AV248)</f>
        <v>4</v>
      </c>
      <c r="AW249" s="304">
        <f t="shared" si="29"/>
        <v>49</v>
      </c>
    </row>
    <row r="250" spans="1:49">
      <c r="A250" s="304" t="str">
        <f ca="1">IF(LEFT(OFFSET(COM_N_2012!$A$60,AW250,0),2)="\I","*","")</f>
        <v/>
      </c>
      <c r="B250" s="369" t="str">
        <f t="shared" ca="1" si="28"/>
        <v>NCAP_COST</v>
      </c>
      <c r="C250" s="369" t="str">
        <f ca="1">IF($A250="*","",OFFSET(COM_N_2012!$B$60,AW250,0))</f>
        <v>CNTELC-E</v>
      </c>
      <c r="D250" s="369" t="str">
        <f t="shared" ca="1" si="33"/>
        <v>-</v>
      </c>
      <c r="E250" s="369" t="str">
        <f t="shared" ca="1" si="33"/>
        <v>-</v>
      </c>
      <c r="F250" s="369" t="str">
        <f t="shared" ca="1" si="33"/>
        <v>-</v>
      </c>
      <c r="G250" s="369" t="str">
        <f t="shared" ca="1" si="33"/>
        <v>-</v>
      </c>
      <c r="H250" s="369" t="str">
        <f t="shared" ca="1" si="33"/>
        <v>-</v>
      </c>
      <c r="I250" s="370">
        <f t="shared" ca="1" si="33"/>
        <v>0</v>
      </c>
      <c r="J250" s="391">
        <f ca="1">IF($A250="*","",OFFSET(COM_N_2012!$B$60,AW250,SUMIF($B$10:$B$16,B250,$AX$10:$AX$16)))</f>
        <v>100</v>
      </c>
      <c r="K250" s="369" t="str">
        <f ca="1">IF($B250&lt;&gt;"PRC_RESID","",IF(K$7=2005+OFFSET(COM_N_2012!$B$60,$AW250,SUMIF($B$10:$B$16,"NCAP_TLIFE",$AX$10:$AX$16)),0,""))</f>
        <v/>
      </c>
      <c r="L250" s="369" t="str">
        <f ca="1">IF($B250&lt;&gt;"PRC_RESID","",IF(L$7=2005+OFFSET(COM_N_2012!$B$60,$AW250,SUMIF($B$10:$B$16,"NCAP_TLIFE",$AX$10:$AX$16)),0,""))</f>
        <v/>
      </c>
      <c r="M250" s="369" t="str">
        <f ca="1">IF($B250&lt;&gt;"PRC_RESID","",IF(M$7=2005+OFFSET(COM_N_2012!$B$60,$AW250,SUMIF($B$10:$B$16,"NCAP_TLIFE",$AX$10:$AX$16)),0,""))</f>
        <v/>
      </c>
      <c r="N250" s="369" t="str">
        <f ca="1">IF($B250&lt;&gt;"PRC_RESID","",IF(N$7=2005+OFFSET(COM_N_2012!$B$60,$AW250,SUMIF($B$10:$B$16,"NCAP_TLIFE",$AX$10:$AX$16)),0,""))</f>
        <v/>
      </c>
      <c r="O250" s="369" t="str">
        <f ca="1">IF($B250&lt;&gt;"PRC_RESID","",IF(O$7=2005+OFFSET(COM_N_2012!$B$60,$AW250,SUMIF($B$10:$B$16,"NCAP_TLIFE",$AX$10:$AX$16)),0,""))</f>
        <v/>
      </c>
      <c r="P250" s="369" t="str">
        <f ca="1">IF($B250&lt;&gt;"PRC_RESID","",IF(P$7=2005+OFFSET(COM_N_2012!$B$60,$AW250,SUMIF($B$10:$B$16,"NCAP_TLIFE",$AX$10:$AX$16)),0,""))</f>
        <v/>
      </c>
      <c r="Q250" s="369" t="str">
        <f ca="1">IF($B250&lt;&gt;"PRC_RESID","",IF(Q$7=2005+OFFSET(COM_N_2012!$B$60,$AW250,SUMIF($B$10:$B$16,"NCAP_TLIFE",$AX$10:$AX$16)),0,""))</f>
        <v/>
      </c>
      <c r="R250" s="369" t="str">
        <f ca="1">IF($B250&lt;&gt;"PRC_RESID","",IF(R$7=2005+OFFSET(COM_N_2012!$B$60,$AW250,SUMIF($B$10:$B$16,"NCAP_TLIFE",$AX$10:$AX$16)),0,""))</f>
        <v/>
      </c>
      <c r="S250" s="369" t="str">
        <f ca="1">IF($B250&lt;&gt;"PRC_RESID","",IF(S$7=2005+OFFSET(COM_N_2012!$B$60,$AW250,SUMIF($B$10:$B$16,"NCAP_TLIFE",$AX$10:$AX$16)),0,""))</f>
        <v/>
      </c>
      <c r="T250" s="369" t="str">
        <f ca="1">IF($B250&lt;&gt;"PRC_RESID","",IF(T$7=2005+OFFSET(COM_N_2012!$B$60,$AW250,SUMIF($B$10:$B$16,"NCAP_TLIFE",$AX$10:$AX$16)),0,""))</f>
        <v/>
      </c>
      <c r="U250" s="369" t="str">
        <f ca="1">IF($B250&lt;&gt;"PRC_RESID","",IF(U$7=2005+OFFSET(COM_N_2012!$B$60,$AW250,SUMIF($B$10:$B$16,"NCAP_TLIFE",$AX$10:$AX$16)),0,""))</f>
        <v/>
      </c>
      <c r="V250" s="369" t="str">
        <f ca="1">IF($B250&lt;&gt;"PRC_RESID","",IF(V$7=2005+OFFSET(COM_N_2012!$B$60,$AW250,SUMIF($B$10:$B$16,"NCAP_TLIFE",$AX$10:$AX$16)),0,""))</f>
        <v/>
      </c>
      <c r="W250" s="369" t="str">
        <f ca="1">IF($B250&lt;&gt;"PRC_RESID","",IF(W$7=2005+OFFSET(COM_N_2012!$B$60,$AW250,SUMIF($B$10:$B$16,"NCAP_TLIFE",$AX$10:$AX$16)),0,""))</f>
        <v/>
      </c>
      <c r="X250" s="369" t="str">
        <f ca="1">IF($B250&lt;&gt;"PRC_RESID","",IF(X$7=2005+OFFSET(COM_N_2012!$B$60,$AW250,SUMIF($B$10:$B$16,"NCAP_TLIFE",$AX$10:$AX$16)),0,""))</f>
        <v/>
      </c>
      <c r="Y250" s="369" t="str">
        <f ca="1">IF($B250&lt;&gt;"PRC_RESID","",IF(Y$7=2005+OFFSET(COM_N_2012!$B$60,$AW250,SUMIF($B$10:$B$16,"NCAP_TLIFE",$AX$10:$AX$16)),0,""))</f>
        <v/>
      </c>
      <c r="Z250" s="369" t="str">
        <f ca="1">IF($B250&lt;&gt;"PRC_RESID","",IF(Z$7=2005+OFFSET(COM_N_2012!$B$60,$AW250,SUMIF($B$10:$B$16,"NCAP_TLIFE",$AX$10:$AX$16)),0,""))</f>
        <v/>
      </c>
      <c r="AA250" s="369" t="str">
        <f ca="1">IF($B250&lt;&gt;"PRC_RESID","",IF(AA$7=2005+OFFSET(COM_N_2012!$B$60,$AW250,SUMIF($B$10:$B$16,"NCAP_TLIFE",$AX$10:$AX$16)),0,""))</f>
        <v/>
      </c>
      <c r="AB250" s="369" t="str">
        <f ca="1">IF($B250&lt;&gt;"PRC_RESID","",IF(AB$7=2005+OFFSET(COM_N_2012!$B$60,$AW250,SUMIF($B$10:$B$16,"NCAP_TLIFE",$AX$10:$AX$16)),0,""))</f>
        <v/>
      </c>
      <c r="AC250" s="369" t="str">
        <f ca="1">IF($B250&lt;&gt;"PRC_RESID","",IF(AC$7=2005+OFFSET(COM_N_2012!$B$60,$AW250,SUMIF($B$10:$B$16,"NCAP_TLIFE",$AX$10:$AX$16)),0,""))</f>
        <v/>
      </c>
      <c r="AD250" s="369" t="str">
        <f ca="1">IF($B250&lt;&gt;"PRC_RESID","",IF(AD$7=2005+OFFSET(COM_N_2012!$B$60,$AW250,SUMIF($B$10:$B$16,"NCAP_TLIFE",$AX$10:$AX$16)),0,""))</f>
        <v/>
      </c>
      <c r="AE250" s="369" t="str">
        <f ca="1">IF($B250&lt;&gt;"PRC_RESID","",IF(AE$7=2005+OFFSET(COM_N_2012!$B$60,$AW250,SUMIF($B$10:$B$16,"NCAP_TLIFE",$AX$10:$AX$16)),0,""))</f>
        <v/>
      </c>
      <c r="AF250" s="369" t="str">
        <f ca="1">IF($B250&lt;&gt;"PRC_RESID","",IF(AF$7=2005+OFFSET(COM_N_2012!$B$60,$AW250,SUMIF($B$10:$B$16,"NCAP_TLIFE",$AX$10:$AX$16)),0,""))</f>
        <v/>
      </c>
      <c r="AG250" s="369" t="str">
        <f ca="1">IF($B250&lt;&gt;"PRC_RESID","",IF(AG$7=2005+OFFSET(COM_N_2012!$B$60,$AW250,SUMIF($B$10:$B$16,"NCAP_TLIFE",$AX$10:$AX$16)),0,""))</f>
        <v/>
      </c>
      <c r="AH250" s="369" t="str">
        <f ca="1">IF($B250&lt;&gt;"PRC_RESID","",IF(AH$7=2005+OFFSET(COM_N_2012!$B$60,$AW250,SUMIF($B$10:$B$16,"NCAP_TLIFE",$AX$10:$AX$16)),0,""))</f>
        <v/>
      </c>
      <c r="AI250" s="369" t="str">
        <f ca="1">IF($B250&lt;&gt;"PRC_RESID","",IF(AI$7=2005+OFFSET(COM_N_2012!$B$60,$AW250,SUMIF($B$10:$B$16,"NCAP_TLIFE",$AX$10:$AX$16)),0,""))</f>
        <v/>
      </c>
      <c r="AJ250" s="369" t="str">
        <f ca="1">IF($B250&lt;&gt;"PRC_RESID","",IF(AJ$7=2005+OFFSET(COM_N_2012!$B$60,$AW250,SUMIF($B$10:$B$16,"NCAP_TLIFE",$AX$10:$AX$16)),0,""))</f>
        <v/>
      </c>
      <c r="AK250" s="369" t="str">
        <f ca="1">IF($B250&lt;&gt;"PRC_RESID","",IF(AK$7=2005+OFFSET(COM_N_2012!$B$60,$AW250,SUMIF($B$10:$B$16,"NCAP_TLIFE",$AX$10:$AX$16)),0,""))</f>
        <v/>
      </c>
      <c r="AL250" s="369" t="str">
        <f ca="1">IF($B250&lt;&gt;"PRC_RESID","",IF(AL$7=2005+OFFSET(COM_N_2012!$B$60,$AW250,SUMIF($B$10:$B$16,"NCAP_TLIFE",$AX$10:$AX$16)),0,""))</f>
        <v/>
      </c>
      <c r="AM250" s="369" t="str">
        <f ca="1">IF($B250&lt;&gt;"PRC_RESID","",IF(AM$7=2005+OFFSET(COM_N_2012!$B$60,$AW250,SUMIF($B$10:$B$16,"NCAP_TLIFE",$AX$10:$AX$16)),0,""))</f>
        <v/>
      </c>
      <c r="AN250" s="369" t="str">
        <f ca="1">IF($B250&lt;&gt;"PRC_RESID","",IF(AN$7=2005+OFFSET(COM_N_2012!$B$60,$AW250,SUMIF($B$10:$B$16,"NCAP_TLIFE",$AX$10:$AX$16)),0,""))</f>
        <v/>
      </c>
      <c r="AO250" s="369" t="str">
        <f ca="1">IF($B250&lt;&gt;"PRC_RESID","",IF(AO$7=2005+OFFSET(COM_N_2012!$B$60,$AW250,SUMIF($B$10:$B$16,"NCAP_TLIFE",$AX$10:$AX$16)),0,""))</f>
        <v/>
      </c>
      <c r="AP250" s="369" t="str">
        <f ca="1">IF($B250&lt;&gt;"PRC_RESID","",IF(AP$7=2005+OFFSET(COM_N_2012!$B$60,$AW250,SUMIF($B$10:$B$16,"NCAP_TLIFE",$AX$10:$AX$16)),0,""))</f>
        <v/>
      </c>
      <c r="AQ250" s="369" t="str">
        <f ca="1">IF($B250&lt;&gt;"PRC_RESID","",IF(AQ$7=2005+OFFSET(COM_N_2012!$B$60,$AW250,SUMIF($B$10:$B$16,"NCAP_TLIFE",$AX$10:$AX$16)),0,""))</f>
        <v/>
      </c>
      <c r="AR250" s="369" t="str">
        <f ca="1">IF($B250&lt;&gt;"PRC_RESID","",IF(AR$7=2005+OFFSET(COM_N_2012!$B$60,$AW250,SUMIF($B$10:$B$16,"NCAP_TLIFE",$AX$10:$AX$16)),0,""))</f>
        <v/>
      </c>
      <c r="AS250" s="369" t="str">
        <f ca="1">IF($B250&lt;&gt;"PRC_RESID","",IF(AS$7=2005+OFFSET(COM_N_2012!$B$60,$AW250,SUMIF($B$10:$B$16,"NCAP_TLIFE",$AX$10:$AX$16)),0,""))</f>
        <v/>
      </c>
      <c r="AT250" s="369" t="str">
        <f ca="1">IF($B250&lt;&gt;"PRC_RESID","",IF(AT$7=2005+OFFSET(COM_N_2012!$B$60,$AW250,SUMIF($B$10:$B$16,"NCAP_TLIFE",$AX$10:$AX$16)),0,""))</f>
        <v/>
      </c>
      <c r="AU250" s="369" t="str">
        <f ca="1">IF($B250&lt;&gt;"PRC_RESID","",IF(AU$7=2005+OFFSET(COM_N_2012!$B$60,$AW250,SUMIF($B$10:$B$16,"NCAP_TLIFE",$AX$10:$AX$16)),0,""))</f>
        <v/>
      </c>
      <c r="AV250" s="304">
        <f>IF(AW249=COM_N_2012!$AK$121,AV249+1,AV249)</f>
        <v>4</v>
      </c>
      <c r="AW250" s="304">
        <f t="shared" si="29"/>
        <v>50</v>
      </c>
    </row>
    <row r="251" spans="1:49">
      <c r="A251" s="304" t="str">
        <f ca="1">IF(LEFT(OFFSET(COM_N_2012!$A$60,AW251,0),2)="\I","*","")</f>
        <v>*</v>
      </c>
      <c r="B251" s="369" t="str">
        <f t="shared" ca="1" si="28"/>
        <v/>
      </c>
      <c r="C251" s="369" t="str">
        <f ca="1">IF($A251="*","",OFFSET(COM_N_2012!$B$60,AW251,0))</f>
        <v/>
      </c>
      <c r="D251" s="369" t="str">
        <f t="shared" ca="1" si="33"/>
        <v/>
      </c>
      <c r="E251" s="369" t="str">
        <f t="shared" ca="1" si="33"/>
        <v/>
      </c>
      <c r="F251" s="369" t="str">
        <f t="shared" ca="1" si="33"/>
        <v/>
      </c>
      <c r="G251" s="369" t="str">
        <f t="shared" ca="1" si="33"/>
        <v/>
      </c>
      <c r="H251" s="369" t="str">
        <f t="shared" ca="1" si="33"/>
        <v/>
      </c>
      <c r="I251" s="370" t="str">
        <f t="shared" ca="1" si="33"/>
        <v/>
      </c>
      <c r="J251" s="391" t="str">
        <f ca="1">IF($A251="*","",OFFSET(COM_N_2012!$B$60,AW251,SUMIF($B$10:$B$16,B251,$AX$10:$AX$16)))</f>
        <v/>
      </c>
      <c r="K251" s="369" t="str">
        <f ca="1">IF($B251&lt;&gt;"PRC_RESID","",IF(K$7=2005+OFFSET(COM_N_2012!$B$60,$AW251,SUMIF($B$10:$B$16,"NCAP_TLIFE",$AX$10:$AX$16)),0,""))</f>
        <v/>
      </c>
      <c r="L251" s="369" t="str">
        <f ca="1">IF($B251&lt;&gt;"PRC_RESID","",IF(L$7=2005+OFFSET(COM_N_2012!$B$60,$AW251,SUMIF($B$10:$B$16,"NCAP_TLIFE",$AX$10:$AX$16)),0,""))</f>
        <v/>
      </c>
      <c r="M251" s="369" t="str">
        <f ca="1">IF($B251&lt;&gt;"PRC_RESID","",IF(M$7=2005+OFFSET(COM_N_2012!$B$60,$AW251,SUMIF($B$10:$B$16,"NCAP_TLIFE",$AX$10:$AX$16)),0,""))</f>
        <v/>
      </c>
      <c r="N251" s="369" t="str">
        <f ca="1">IF($B251&lt;&gt;"PRC_RESID","",IF(N$7=2005+OFFSET(COM_N_2012!$B$60,$AW251,SUMIF($B$10:$B$16,"NCAP_TLIFE",$AX$10:$AX$16)),0,""))</f>
        <v/>
      </c>
      <c r="O251" s="369" t="str">
        <f ca="1">IF($B251&lt;&gt;"PRC_RESID","",IF(O$7=2005+OFFSET(COM_N_2012!$B$60,$AW251,SUMIF($B$10:$B$16,"NCAP_TLIFE",$AX$10:$AX$16)),0,""))</f>
        <v/>
      </c>
      <c r="P251" s="369" t="str">
        <f ca="1">IF($B251&lt;&gt;"PRC_RESID","",IF(P$7=2005+OFFSET(COM_N_2012!$B$60,$AW251,SUMIF($B$10:$B$16,"NCAP_TLIFE",$AX$10:$AX$16)),0,""))</f>
        <v/>
      </c>
      <c r="Q251" s="369" t="str">
        <f ca="1">IF($B251&lt;&gt;"PRC_RESID","",IF(Q$7=2005+OFFSET(COM_N_2012!$B$60,$AW251,SUMIF($B$10:$B$16,"NCAP_TLIFE",$AX$10:$AX$16)),0,""))</f>
        <v/>
      </c>
      <c r="R251" s="369" t="str">
        <f ca="1">IF($B251&lt;&gt;"PRC_RESID","",IF(R$7=2005+OFFSET(COM_N_2012!$B$60,$AW251,SUMIF($B$10:$B$16,"NCAP_TLIFE",$AX$10:$AX$16)),0,""))</f>
        <v/>
      </c>
      <c r="S251" s="369" t="str">
        <f ca="1">IF($B251&lt;&gt;"PRC_RESID","",IF(S$7=2005+OFFSET(COM_N_2012!$B$60,$AW251,SUMIF($B$10:$B$16,"NCAP_TLIFE",$AX$10:$AX$16)),0,""))</f>
        <v/>
      </c>
      <c r="T251" s="369" t="str">
        <f ca="1">IF($B251&lt;&gt;"PRC_RESID","",IF(T$7=2005+OFFSET(COM_N_2012!$B$60,$AW251,SUMIF($B$10:$B$16,"NCAP_TLIFE",$AX$10:$AX$16)),0,""))</f>
        <v/>
      </c>
      <c r="U251" s="369" t="str">
        <f ca="1">IF($B251&lt;&gt;"PRC_RESID","",IF(U$7=2005+OFFSET(COM_N_2012!$B$60,$AW251,SUMIF($B$10:$B$16,"NCAP_TLIFE",$AX$10:$AX$16)),0,""))</f>
        <v/>
      </c>
      <c r="V251" s="369" t="str">
        <f ca="1">IF($B251&lt;&gt;"PRC_RESID","",IF(V$7=2005+OFFSET(COM_N_2012!$B$60,$AW251,SUMIF($B$10:$B$16,"NCAP_TLIFE",$AX$10:$AX$16)),0,""))</f>
        <v/>
      </c>
      <c r="W251" s="369" t="str">
        <f ca="1">IF($B251&lt;&gt;"PRC_RESID","",IF(W$7=2005+OFFSET(COM_N_2012!$B$60,$AW251,SUMIF($B$10:$B$16,"NCAP_TLIFE",$AX$10:$AX$16)),0,""))</f>
        <v/>
      </c>
      <c r="X251" s="369" t="str">
        <f ca="1">IF($B251&lt;&gt;"PRC_RESID","",IF(X$7=2005+OFFSET(COM_N_2012!$B$60,$AW251,SUMIF($B$10:$B$16,"NCAP_TLIFE",$AX$10:$AX$16)),0,""))</f>
        <v/>
      </c>
      <c r="Y251" s="369" t="str">
        <f ca="1">IF($B251&lt;&gt;"PRC_RESID","",IF(Y$7=2005+OFFSET(COM_N_2012!$B$60,$AW251,SUMIF($B$10:$B$16,"NCAP_TLIFE",$AX$10:$AX$16)),0,""))</f>
        <v/>
      </c>
      <c r="Z251" s="369" t="str">
        <f ca="1">IF($B251&lt;&gt;"PRC_RESID","",IF(Z$7=2005+OFFSET(COM_N_2012!$B$60,$AW251,SUMIF($B$10:$B$16,"NCAP_TLIFE",$AX$10:$AX$16)),0,""))</f>
        <v/>
      </c>
      <c r="AA251" s="369" t="str">
        <f ca="1">IF($B251&lt;&gt;"PRC_RESID","",IF(AA$7=2005+OFFSET(COM_N_2012!$B$60,$AW251,SUMIF($B$10:$B$16,"NCAP_TLIFE",$AX$10:$AX$16)),0,""))</f>
        <v/>
      </c>
      <c r="AB251" s="369" t="str">
        <f ca="1">IF($B251&lt;&gt;"PRC_RESID","",IF(AB$7=2005+OFFSET(COM_N_2012!$B$60,$AW251,SUMIF($B$10:$B$16,"NCAP_TLIFE",$AX$10:$AX$16)),0,""))</f>
        <v/>
      </c>
      <c r="AC251" s="369" t="str">
        <f ca="1">IF($B251&lt;&gt;"PRC_RESID","",IF(AC$7=2005+OFFSET(COM_N_2012!$B$60,$AW251,SUMIF($B$10:$B$16,"NCAP_TLIFE",$AX$10:$AX$16)),0,""))</f>
        <v/>
      </c>
      <c r="AD251" s="369" t="str">
        <f ca="1">IF($B251&lt;&gt;"PRC_RESID","",IF(AD$7=2005+OFFSET(COM_N_2012!$B$60,$AW251,SUMIF($B$10:$B$16,"NCAP_TLIFE",$AX$10:$AX$16)),0,""))</f>
        <v/>
      </c>
      <c r="AE251" s="369" t="str">
        <f ca="1">IF($B251&lt;&gt;"PRC_RESID","",IF(AE$7=2005+OFFSET(COM_N_2012!$B$60,$AW251,SUMIF($B$10:$B$16,"NCAP_TLIFE",$AX$10:$AX$16)),0,""))</f>
        <v/>
      </c>
      <c r="AF251" s="369" t="str">
        <f ca="1">IF($B251&lt;&gt;"PRC_RESID","",IF(AF$7=2005+OFFSET(COM_N_2012!$B$60,$AW251,SUMIF($B$10:$B$16,"NCAP_TLIFE",$AX$10:$AX$16)),0,""))</f>
        <v/>
      </c>
      <c r="AG251" s="369" t="str">
        <f ca="1">IF($B251&lt;&gt;"PRC_RESID","",IF(AG$7=2005+OFFSET(COM_N_2012!$B$60,$AW251,SUMIF($B$10:$B$16,"NCAP_TLIFE",$AX$10:$AX$16)),0,""))</f>
        <v/>
      </c>
      <c r="AH251" s="369" t="str">
        <f ca="1">IF($B251&lt;&gt;"PRC_RESID","",IF(AH$7=2005+OFFSET(COM_N_2012!$B$60,$AW251,SUMIF($B$10:$B$16,"NCAP_TLIFE",$AX$10:$AX$16)),0,""))</f>
        <v/>
      </c>
      <c r="AI251" s="369" t="str">
        <f ca="1">IF($B251&lt;&gt;"PRC_RESID","",IF(AI$7=2005+OFFSET(COM_N_2012!$B$60,$AW251,SUMIF($B$10:$B$16,"NCAP_TLIFE",$AX$10:$AX$16)),0,""))</f>
        <v/>
      </c>
      <c r="AJ251" s="369" t="str">
        <f ca="1">IF($B251&lt;&gt;"PRC_RESID","",IF(AJ$7=2005+OFFSET(COM_N_2012!$B$60,$AW251,SUMIF($B$10:$B$16,"NCAP_TLIFE",$AX$10:$AX$16)),0,""))</f>
        <v/>
      </c>
      <c r="AK251" s="369" t="str">
        <f ca="1">IF($B251&lt;&gt;"PRC_RESID","",IF(AK$7=2005+OFFSET(COM_N_2012!$B$60,$AW251,SUMIF($B$10:$B$16,"NCAP_TLIFE",$AX$10:$AX$16)),0,""))</f>
        <v/>
      </c>
      <c r="AL251" s="369" t="str">
        <f ca="1">IF($B251&lt;&gt;"PRC_RESID","",IF(AL$7=2005+OFFSET(COM_N_2012!$B$60,$AW251,SUMIF($B$10:$B$16,"NCAP_TLIFE",$AX$10:$AX$16)),0,""))</f>
        <v/>
      </c>
      <c r="AM251" s="369" t="str">
        <f ca="1">IF($B251&lt;&gt;"PRC_RESID","",IF(AM$7=2005+OFFSET(COM_N_2012!$B$60,$AW251,SUMIF($B$10:$B$16,"NCAP_TLIFE",$AX$10:$AX$16)),0,""))</f>
        <v/>
      </c>
      <c r="AN251" s="369" t="str">
        <f ca="1">IF($B251&lt;&gt;"PRC_RESID","",IF(AN$7=2005+OFFSET(COM_N_2012!$B$60,$AW251,SUMIF($B$10:$B$16,"NCAP_TLIFE",$AX$10:$AX$16)),0,""))</f>
        <v/>
      </c>
      <c r="AO251" s="369" t="str">
        <f ca="1">IF($B251&lt;&gt;"PRC_RESID","",IF(AO$7=2005+OFFSET(COM_N_2012!$B$60,$AW251,SUMIF($B$10:$B$16,"NCAP_TLIFE",$AX$10:$AX$16)),0,""))</f>
        <v/>
      </c>
      <c r="AP251" s="369" t="str">
        <f ca="1">IF($B251&lt;&gt;"PRC_RESID","",IF(AP$7=2005+OFFSET(COM_N_2012!$B$60,$AW251,SUMIF($B$10:$B$16,"NCAP_TLIFE",$AX$10:$AX$16)),0,""))</f>
        <v/>
      </c>
      <c r="AQ251" s="369" t="str">
        <f ca="1">IF($B251&lt;&gt;"PRC_RESID","",IF(AQ$7=2005+OFFSET(COM_N_2012!$B$60,$AW251,SUMIF($B$10:$B$16,"NCAP_TLIFE",$AX$10:$AX$16)),0,""))</f>
        <v/>
      </c>
      <c r="AR251" s="369" t="str">
        <f ca="1">IF($B251&lt;&gt;"PRC_RESID","",IF(AR$7=2005+OFFSET(COM_N_2012!$B$60,$AW251,SUMIF($B$10:$B$16,"NCAP_TLIFE",$AX$10:$AX$16)),0,""))</f>
        <v/>
      </c>
      <c r="AS251" s="369" t="str">
        <f ca="1">IF($B251&lt;&gt;"PRC_RESID","",IF(AS$7=2005+OFFSET(COM_N_2012!$B$60,$AW251,SUMIF($B$10:$B$16,"NCAP_TLIFE",$AX$10:$AX$16)),0,""))</f>
        <v/>
      </c>
      <c r="AT251" s="369" t="str">
        <f ca="1">IF($B251&lt;&gt;"PRC_RESID","",IF(AT$7=2005+OFFSET(COM_N_2012!$B$60,$AW251,SUMIF($B$10:$B$16,"NCAP_TLIFE",$AX$10:$AX$16)),0,""))</f>
        <v/>
      </c>
      <c r="AU251" s="369" t="str">
        <f ca="1">IF($B251&lt;&gt;"PRC_RESID","",IF(AU$7=2005+OFFSET(COM_N_2012!$B$60,$AW251,SUMIF($B$10:$B$16,"NCAP_TLIFE",$AX$10:$AX$16)),0,""))</f>
        <v/>
      </c>
      <c r="AV251" s="304">
        <f>IF(AW250=COM_N_2012!$AK$121,AV250+1,AV250)</f>
        <v>4</v>
      </c>
      <c r="AW251" s="304">
        <f t="shared" si="29"/>
        <v>51</v>
      </c>
    </row>
    <row r="252" spans="1:49">
      <c r="A252" s="304" t="str">
        <f ca="1">IF(LEFT(OFFSET(COM_N_2012!$A$60,AW252,0),2)="\I","*","")</f>
        <v>*</v>
      </c>
      <c r="B252" s="369" t="str">
        <f t="shared" ca="1" si="28"/>
        <v/>
      </c>
      <c r="C252" s="369" t="str">
        <f ca="1">IF($A252="*","",OFFSET(COM_N_2012!$B$60,AW252,0))</f>
        <v/>
      </c>
      <c r="D252" s="369" t="str">
        <f t="shared" ca="1" si="33"/>
        <v/>
      </c>
      <c r="E252" s="369" t="str">
        <f t="shared" ca="1" si="33"/>
        <v/>
      </c>
      <c r="F252" s="369" t="str">
        <f t="shared" ca="1" si="33"/>
        <v/>
      </c>
      <c r="G252" s="369" t="str">
        <f t="shared" ca="1" si="33"/>
        <v/>
      </c>
      <c r="H252" s="369" t="str">
        <f t="shared" ca="1" si="33"/>
        <v/>
      </c>
      <c r="I252" s="370" t="str">
        <f t="shared" ca="1" si="33"/>
        <v/>
      </c>
      <c r="J252" s="391" t="str">
        <f ca="1">IF($A252="*","",OFFSET(COM_N_2012!$B$60,AW252,SUMIF($B$10:$B$16,B252,$AX$10:$AX$16)))</f>
        <v/>
      </c>
      <c r="K252" s="369" t="str">
        <f ca="1">IF($B252&lt;&gt;"PRC_RESID","",IF(K$7=2005+OFFSET(COM_N_2012!$B$60,$AW252,SUMIF($B$10:$B$16,"NCAP_TLIFE",$AX$10:$AX$16)),0,""))</f>
        <v/>
      </c>
      <c r="L252" s="369" t="str">
        <f ca="1">IF($B252&lt;&gt;"PRC_RESID","",IF(L$7=2005+OFFSET(COM_N_2012!$B$60,$AW252,SUMIF($B$10:$B$16,"NCAP_TLIFE",$AX$10:$AX$16)),0,""))</f>
        <v/>
      </c>
      <c r="M252" s="369" t="str">
        <f ca="1">IF($B252&lt;&gt;"PRC_RESID","",IF(M$7=2005+OFFSET(COM_N_2012!$B$60,$AW252,SUMIF($B$10:$B$16,"NCAP_TLIFE",$AX$10:$AX$16)),0,""))</f>
        <v/>
      </c>
      <c r="N252" s="369" t="str">
        <f ca="1">IF($B252&lt;&gt;"PRC_RESID","",IF(N$7=2005+OFFSET(COM_N_2012!$B$60,$AW252,SUMIF($B$10:$B$16,"NCAP_TLIFE",$AX$10:$AX$16)),0,""))</f>
        <v/>
      </c>
      <c r="O252" s="369" t="str">
        <f ca="1">IF($B252&lt;&gt;"PRC_RESID","",IF(O$7=2005+OFFSET(COM_N_2012!$B$60,$AW252,SUMIF($B$10:$B$16,"NCAP_TLIFE",$AX$10:$AX$16)),0,""))</f>
        <v/>
      </c>
      <c r="P252" s="369" t="str">
        <f ca="1">IF($B252&lt;&gt;"PRC_RESID","",IF(P$7=2005+OFFSET(COM_N_2012!$B$60,$AW252,SUMIF($B$10:$B$16,"NCAP_TLIFE",$AX$10:$AX$16)),0,""))</f>
        <v/>
      </c>
      <c r="Q252" s="369" t="str">
        <f ca="1">IF($B252&lt;&gt;"PRC_RESID","",IF(Q$7=2005+OFFSET(COM_N_2012!$B$60,$AW252,SUMIF($B$10:$B$16,"NCAP_TLIFE",$AX$10:$AX$16)),0,""))</f>
        <v/>
      </c>
      <c r="R252" s="369" t="str">
        <f ca="1">IF($B252&lt;&gt;"PRC_RESID","",IF(R$7=2005+OFFSET(COM_N_2012!$B$60,$AW252,SUMIF($B$10:$B$16,"NCAP_TLIFE",$AX$10:$AX$16)),0,""))</f>
        <v/>
      </c>
      <c r="S252" s="369" t="str">
        <f ca="1">IF($B252&lt;&gt;"PRC_RESID","",IF(S$7=2005+OFFSET(COM_N_2012!$B$60,$AW252,SUMIF($B$10:$B$16,"NCAP_TLIFE",$AX$10:$AX$16)),0,""))</f>
        <v/>
      </c>
      <c r="T252" s="369" t="str">
        <f ca="1">IF($B252&lt;&gt;"PRC_RESID","",IF(T$7=2005+OFFSET(COM_N_2012!$B$60,$AW252,SUMIF($B$10:$B$16,"NCAP_TLIFE",$AX$10:$AX$16)),0,""))</f>
        <v/>
      </c>
      <c r="U252" s="369" t="str">
        <f ca="1">IF($B252&lt;&gt;"PRC_RESID","",IF(U$7=2005+OFFSET(COM_N_2012!$B$60,$AW252,SUMIF($B$10:$B$16,"NCAP_TLIFE",$AX$10:$AX$16)),0,""))</f>
        <v/>
      </c>
      <c r="V252" s="369" t="str">
        <f ca="1">IF($B252&lt;&gt;"PRC_RESID","",IF(V$7=2005+OFFSET(COM_N_2012!$B$60,$AW252,SUMIF($B$10:$B$16,"NCAP_TLIFE",$AX$10:$AX$16)),0,""))</f>
        <v/>
      </c>
      <c r="W252" s="369" t="str">
        <f ca="1">IF($B252&lt;&gt;"PRC_RESID","",IF(W$7=2005+OFFSET(COM_N_2012!$B$60,$AW252,SUMIF($B$10:$B$16,"NCAP_TLIFE",$AX$10:$AX$16)),0,""))</f>
        <v/>
      </c>
      <c r="X252" s="369" t="str">
        <f ca="1">IF($B252&lt;&gt;"PRC_RESID","",IF(X$7=2005+OFFSET(COM_N_2012!$B$60,$AW252,SUMIF($B$10:$B$16,"NCAP_TLIFE",$AX$10:$AX$16)),0,""))</f>
        <v/>
      </c>
      <c r="Y252" s="369" t="str">
        <f ca="1">IF($B252&lt;&gt;"PRC_RESID","",IF(Y$7=2005+OFFSET(COM_N_2012!$B$60,$AW252,SUMIF($B$10:$B$16,"NCAP_TLIFE",$AX$10:$AX$16)),0,""))</f>
        <v/>
      </c>
      <c r="Z252" s="369" t="str">
        <f ca="1">IF($B252&lt;&gt;"PRC_RESID","",IF(Z$7=2005+OFFSET(COM_N_2012!$B$60,$AW252,SUMIF($B$10:$B$16,"NCAP_TLIFE",$AX$10:$AX$16)),0,""))</f>
        <v/>
      </c>
      <c r="AA252" s="369" t="str">
        <f ca="1">IF($B252&lt;&gt;"PRC_RESID","",IF(AA$7=2005+OFFSET(COM_N_2012!$B$60,$AW252,SUMIF($B$10:$B$16,"NCAP_TLIFE",$AX$10:$AX$16)),0,""))</f>
        <v/>
      </c>
      <c r="AB252" s="369" t="str">
        <f ca="1">IF($B252&lt;&gt;"PRC_RESID","",IF(AB$7=2005+OFFSET(COM_N_2012!$B$60,$AW252,SUMIF($B$10:$B$16,"NCAP_TLIFE",$AX$10:$AX$16)),0,""))</f>
        <v/>
      </c>
      <c r="AC252" s="369" t="str">
        <f ca="1">IF($B252&lt;&gt;"PRC_RESID","",IF(AC$7=2005+OFFSET(COM_N_2012!$B$60,$AW252,SUMIF($B$10:$B$16,"NCAP_TLIFE",$AX$10:$AX$16)),0,""))</f>
        <v/>
      </c>
      <c r="AD252" s="369" t="str">
        <f ca="1">IF($B252&lt;&gt;"PRC_RESID","",IF(AD$7=2005+OFFSET(COM_N_2012!$B$60,$AW252,SUMIF($B$10:$B$16,"NCAP_TLIFE",$AX$10:$AX$16)),0,""))</f>
        <v/>
      </c>
      <c r="AE252" s="369" t="str">
        <f ca="1">IF($B252&lt;&gt;"PRC_RESID","",IF(AE$7=2005+OFFSET(COM_N_2012!$B$60,$AW252,SUMIF($B$10:$B$16,"NCAP_TLIFE",$AX$10:$AX$16)),0,""))</f>
        <v/>
      </c>
      <c r="AF252" s="369" t="str">
        <f ca="1">IF($B252&lt;&gt;"PRC_RESID","",IF(AF$7=2005+OFFSET(COM_N_2012!$B$60,$AW252,SUMIF($B$10:$B$16,"NCAP_TLIFE",$AX$10:$AX$16)),0,""))</f>
        <v/>
      </c>
      <c r="AG252" s="369" t="str">
        <f ca="1">IF($B252&lt;&gt;"PRC_RESID","",IF(AG$7=2005+OFFSET(COM_N_2012!$B$60,$AW252,SUMIF($B$10:$B$16,"NCAP_TLIFE",$AX$10:$AX$16)),0,""))</f>
        <v/>
      </c>
      <c r="AH252" s="369" t="str">
        <f ca="1">IF($B252&lt;&gt;"PRC_RESID","",IF(AH$7=2005+OFFSET(COM_N_2012!$B$60,$AW252,SUMIF($B$10:$B$16,"NCAP_TLIFE",$AX$10:$AX$16)),0,""))</f>
        <v/>
      </c>
      <c r="AI252" s="369" t="str">
        <f ca="1">IF($B252&lt;&gt;"PRC_RESID","",IF(AI$7=2005+OFFSET(COM_N_2012!$B$60,$AW252,SUMIF($B$10:$B$16,"NCAP_TLIFE",$AX$10:$AX$16)),0,""))</f>
        <v/>
      </c>
      <c r="AJ252" s="369" t="str">
        <f ca="1">IF($B252&lt;&gt;"PRC_RESID","",IF(AJ$7=2005+OFFSET(COM_N_2012!$B$60,$AW252,SUMIF($B$10:$B$16,"NCAP_TLIFE",$AX$10:$AX$16)),0,""))</f>
        <v/>
      </c>
      <c r="AK252" s="369" t="str">
        <f ca="1">IF($B252&lt;&gt;"PRC_RESID","",IF(AK$7=2005+OFFSET(COM_N_2012!$B$60,$AW252,SUMIF($B$10:$B$16,"NCAP_TLIFE",$AX$10:$AX$16)),0,""))</f>
        <v/>
      </c>
      <c r="AL252" s="369" t="str">
        <f ca="1">IF($B252&lt;&gt;"PRC_RESID","",IF(AL$7=2005+OFFSET(COM_N_2012!$B$60,$AW252,SUMIF($B$10:$B$16,"NCAP_TLIFE",$AX$10:$AX$16)),0,""))</f>
        <v/>
      </c>
      <c r="AM252" s="369" t="str">
        <f ca="1">IF($B252&lt;&gt;"PRC_RESID","",IF(AM$7=2005+OFFSET(COM_N_2012!$B$60,$AW252,SUMIF($B$10:$B$16,"NCAP_TLIFE",$AX$10:$AX$16)),0,""))</f>
        <v/>
      </c>
      <c r="AN252" s="369" t="str">
        <f ca="1">IF($B252&lt;&gt;"PRC_RESID","",IF(AN$7=2005+OFFSET(COM_N_2012!$B$60,$AW252,SUMIF($B$10:$B$16,"NCAP_TLIFE",$AX$10:$AX$16)),0,""))</f>
        <v/>
      </c>
      <c r="AO252" s="369" t="str">
        <f ca="1">IF($B252&lt;&gt;"PRC_RESID","",IF(AO$7=2005+OFFSET(COM_N_2012!$B$60,$AW252,SUMIF($B$10:$B$16,"NCAP_TLIFE",$AX$10:$AX$16)),0,""))</f>
        <v/>
      </c>
      <c r="AP252" s="369" t="str">
        <f ca="1">IF($B252&lt;&gt;"PRC_RESID","",IF(AP$7=2005+OFFSET(COM_N_2012!$B$60,$AW252,SUMIF($B$10:$B$16,"NCAP_TLIFE",$AX$10:$AX$16)),0,""))</f>
        <v/>
      </c>
      <c r="AQ252" s="369" t="str">
        <f ca="1">IF($B252&lt;&gt;"PRC_RESID","",IF(AQ$7=2005+OFFSET(COM_N_2012!$B$60,$AW252,SUMIF($B$10:$B$16,"NCAP_TLIFE",$AX$10:$AX$16)),0,""))</f>
        <v/>
      </c>
      <c r="AR252" s="369" t="str">
        <f ca="1">IF($B252&lt;&gt;"PRC_RESID","",IF(AR$7=2005+OFFSET(COM_N_2012!$B$60,$AW252,SUMIF($B$10:$B$16,"NCAP_TLIFE",$AX$10:$AX$16)),0,""))</f>
        <v/>
      </c>
      <c r="AS252" s="369" t="str">
        <f ca="1">IF($B252&lt;&gt;"PRC_RESID","",IF(AS$7=2005+OFFSET(COM_N_2012!$B$60,$AW252,SUMIF($B$10:$B$16,"NCAP_TLIFE",$AX$10:$AX$16)),0,""))</f>
        <v/>
      </c>
      <c r="AT252" s="369" t="str">
        <f ca="1">IF($B252&lt;&gt;"PRC_RESID","",IF(AT$7=2005+OFFSET(COM_N_2012!$B$60,$AW252,SUMIF($B$10:$B$16,"NCAP_TLIFE",$AX$10:$AX$16)),0,""))</f>
        <v/>
      </c>
      <c r="AU252" s="369" t="str">
        <f ca="1">IF($B252&lt;&gt;"PRC_RESID","",IF(AU$7=2005+OFFSET(COM_N_2012!$B$60,$AW252,SUMIF($B$10:$B$16,"NCAP_TLIFE",$AX$10:$AX$16)),0,""))</f>
        <v/>
      </c>
      <c r="AV252" s="304">
        <f>IF(AW251=COM_N_2012!$AK$121,AV251+1,AV251)</f>
        <v>4</v>
      </c>
      <c r="AW252" s="304">
        <f t="shared" si="29"/>
        <v>52</v>
      </c>
    </row>
    <row r="253" spans="1:49">
      <c r="A253" s="304" t="str">
        <f ca="1">IF(LEFT(OFFSET(COM_N_2012!$A$60,AW253,0),2)="\I","*","")</f>
        <v/>
      </c>
      <c r="B253" s="369" t="str">
        <f t="shared" ca="1" si="28"/>
        <v>NCAP_COST</v>
      </c>
      <c r="C253" s="369" t="str">
        <f ca="1">IF($A253="*","",OFFSET(COM_N_2012!$B$60,AW253,0))</f>
        <v>CNOCOA-E</v>
      </c>
      <c r="D253" s="369" t="str">
        <f t="shared" ca="1" si="33"/>
        <v>-</v>
      </c>
      <c r="E253" s="369" t="str">
        <f t="shared" ca="1" si="33"/>
        <v>-</v>
      </c>
      <c r="F253" s="369" t="str">
        <f t="shared" ca="1" si="33"/>
        <v>-</v>
      </c>
      <c r="G253" s="369" t="str">
        <f t="shared" ca="1" si="33"/>
        <v>-</v>
      </c>
      <c r="H253" s="369" t="str">
        <f t="shared" ca="1" si="33"/>
        <v>-</v>
      </c>
      <c r="I253" s="370">
        <f t="shared" ca="1" si="33"/>
        <v>0</v>
      </c>
      <c r="J253" s="391">
        <f ca="1">IF($A253="*","",OFFSET(COM_N_2012!$B$60,AW253,SUMIF($B$10:$B$16,B253,$AX$10:$AX$16)))</f>
        <v>410.88682603593844</v>
      </c>
      <c r="K253" s="369" t="str">
        <f ca="1">IF($B253&lt;&gt;"PRC_RESID","",IF(K$7=2005+OFFSET(COM_N_2012!$B$60,$AW253,SUMIF($B$10:$B$16,"NCAP_TLIFE",$AX$10:$AX$16)),0,""))</f>
        <v/>
      </c>
      <c r="L253" s="369" t="str">
        <f ca="1">IF($B253&lt;&gt;"PRC_RESID","",IF(L$7=2005+OFFSET(COM_N_2012!$B$60,$AW253,SUMIF($B$10:$B$16,"NCAP_TLIFE",$AX$10:$AX$16)),0,""))</f>
        <v/>
      </c>
      <c r="M253" s="369" t="str">
        <f ca="1">IF($B253&lt;&gt;"PRC_RESID","",IF(M$7=2005+OFFSET(COM_N_2012!$B$60,$AW253,SUMIF($B$10:$B$16,"NCAP_TLIFE",$AX$10:$AX$16)),0,""))</f>
        <v/>
      </c>
      <c r="N253" s="369" t="str">
        <f ca="1">IF($B253&lt;&gt;"PRC_RESID","",IF(N$7=2005+OFFSET(COM_N_2012!$B$60,$AW253,SUMIF($B$10:$B$16,"NCAP_TLIFE",$AX$10:$AX$16)),0,""))</f>
        <v/>
      </c>
      <c r="O253" s="369" t="str">
        <f ca="1">IF($B253&lt;&gt;"PRC_RESID","",IF(O$7=2005+OFFSET(COM_N_2012!$B$60,$AW253,SUMIF($B$10:$B$16,"NCAP_TLIFE",$AX$10:$AX$16)),0,""))</f>
        <v/>
      </c>
      <c r="P253" s="369" t="str">
        <f ca="1">IF($B253&lt;&gt;"PRC_RESID","",IF(P$7=2005+OFFSET(COM_N_2012!$B$60,$AW253,SUMIF($B$10:$B$16,"NCAP_TLIFE",$AX$10:$AX$16)),0,""))</f>
        <v/>
      </c>
      <c r="Q253" s="369" t="str">
        <f ca="1">IF($B253&lt;&gt;"PRC_RESID","",IF(Q$7=2005+OFFSET(COM_N_2012!$B$60,$AW253,SUMIF($B$10:$B$16,"NCAP_TLIFE",$AX$10:$AX$16)),0,""))</f>
        <v/>
      </c>
      <c r="R253" s="369" t="str">
        <f ca="1">IF($B253&lt;&gt;"PRC_RESID","",IF(R$7=2005+OFFSET(COM_N_2012!$B$60,$AW253,SUMIF($B$10:$B$16,"NCAP_TLIFE",$AX$10:$AX$16)),0,""))</f>
        <v/>
      </c>
      <c r="S253" s="369" t="str">
        <f ca="1">IF($B253&lt;&gt;"PRC_RESID","",IF(S$7=2005+OFFSET(COM_N_2012!$B$60,$AW253,SUMIF($B$10:$B$16,"NCAP_TLIFE",$AX$10:$AX$16)),0,""))</f>
        <v/>
      </c>
      <c r="T253" s="369" t="str">
        <f ca="1">IF($B253&lt;&gt;"PRC_RESID","",IF(T$7=2005+OFFSET(COM_N_2012!$B$60,$AW253,SUMIF($B$10:$B$16,"NCAP_TLIFE",$AX$10:$AX$16)),0,""))</f>
        <v/>
      </c>
      <c r="U253" s="369" t="str">
        <f ca="1">IF($B253&lt;&gt;"PRC_RESID","",IF(U$7=2005+OFFSET(COM_N_2012!$B$60,$AW253,SUMIF($B$10:$B$16,"NCAP_TLIFE",$AX$10:$AX$16)),0,""))</f>
        <v/>
      </c>
      <c r="V253" s="369" t="str">
        <f ca="1">IF($B253&lt;&gt;"PRC_RESID","",IF(V$7=2005+OFFSET(COM_N_2012!$B$60,$AW253,SUMIF($B$10:$B$16,"NCAP_TLIFE",$AX$10:$AX$16)),0,""))</f>
        <v/>
      </c>
      <c r="W253" s="369" t="str">
        <f ca="1">IF($B253&lt;&gt;"PRC_RESID","",IF(W$7=2005+OFFSET(COM_N_2012!$B$60,$AW253,SUMIF($B$10:$B$16,"NCAP_TLIFE",$AX$10:$AX$16)),0,""))</f>
        <v/>
      </c>
      <c r="X253" s="369" t="str">
        <f ca="1">IF($B253&lt;&gt;"PRC_RESID","",IF(X$7=2005+OFFSET(COM_N_2012!$B$60,$AW253,SUMIF($B$10:$B$16,"NCAP_TLIFE",$AX$10:$AX$16)),0,""))</f>
        <v/>
      </c>
      <c r="Y253" s="369" t="str">
        <f ca="1">IF($B253&lt;&gt;"PRC_RESID","",IF(Y$7=2005+OFFSET(COM_N_2012!$B$60,$AW253,SUMIF($B$10:$B$16,"NCAP_TLIFE",$AX$10:$AX$16)),0,""))</f>
        <v/>
      </c>
      <c r="Z253" s="369" t="str">
        <f ca="1">IF($B253&lt;&gt;"PRC_RESID","",IF(Z$7=2005+OFFSET(COM_N_2012!$B$60,$AW253,SUMIF($B$10:$B$16,"NCAP_TLIFE",$AX$10:$AX$16)),0,""))</f>
        <v/>
      </c>
      <c r="AA253" s="369" t="str">
        <f ca="1">IF($B253&lt;&gt;"PRC_RESID","",IF(AA$7=2005+OFFSET(COM_N_2012!$B$60,$AW253,SUMIF($B$10:$B$16,"NCAP_TLIFE",$AX$10:$AX$16)),0,""))</f>
        <v/>
      </c>
      <c r="AB253" s="369" t="str">
        <f ca="1">IF($B253&lt;&gt;"PRC_RESID","",IF(AB$7=2005+OFFSET(COM_N_2012!$B$60,$AW253,SUMIF($B$10:$B$16,"NCAP_TLIFE",$AX$10:$AX$16)),0,""))</f>
        <v/>
      </c>
      <c r="AC253" s="369" t="str">
        <f ca="1">IF($B253&lt;&gt;"PRC_RESID","",IF(AC$7=2005+OFFSET(COM_N_2012!$B$60,$AW253,SUMIF($B$10:$B$16,"NCAP_TLIFE",$AX$10:$AX$16)),0,""))</f>
        <v/>
      </c>
      <c r="AD253" s="369" t="str">
        <f ca="1">IF($B253&lt;&gt;"PRC_RESID","",IF(AD$7=2005+OFFSET(COM_N_2012!$B$60,$AW253,SUMIF($B$10:$B$16,"NCAP_TLIFE",$AX$10:$AX$16)),0,""))</f>
        <v/>
      </c>
      <c r="AE253" s="369" t="str">
        <f ca="1">IF($B253&lt;&gt;"PRC_RESID","",IF(AE$7=2005+OFFSET(COM_N_2012!$B$60,$AW253,SUMIF($B$10:$B$16,"NCAP_TLIFE",$AX$10:$AX$16)),0,""))</f>
        <v/>
      </c>
      <c r="AF253" s="369" t="str">
        <f ca="1">IF($B253&lt;&gt;"PRC_RESID","",IF(AF$7=2005+OFFSET(COM_N_2012!$B$60,$AW253,SUMIF($B$10:$B$16,"NCAP_TLIFE",$AX$10:$AX$16)),0,""))</f>
        <v/>
      </c>
      <c r="AG253" s="369" t="str">
        <f ca="1">IF($B253&lt;&gt;"PRC_RESID","",IF(AG$7=2005+OFFSET(COM_N_2012!$B$60,$AW253,SUMIF($B$10:$B$16,"NCAP_TLIFE",$AX$10:$AX$16)),0,""))</f>
        <v/>
      </c>
      <c r="AH253" s="369" t="str">
        <f ca="1">IF($B253&lt;&gt;"PRC_RESID","",IF(AH$7=2005+OFFSET(COM_N_2012!$B$60,$AW253,SUMIF($B$10:$B$16,"NCAP_TLIFE",$AX$10:$AX$16)),0,""))</f>
        <v/>
      </c>
      <c r="AI253" s="369" t="str">
        <f ca="1">IF($B253&lt;&gt;"PRC_RESID","",IF(AI$7=2005+OFFSET(COM_N_2012!$B$60,$AW253,SUMIF($B$10:$B$16,"NCAP_TLIFE",$AX$10:$AX$16)),0,""))</f>
        <v/>
      </c>
      <c r="AJ253" s="369" t="str">
        <f ca="1">IF($B253&lt;&gt;"PRC_RESID","",IF(AJ$7=2005+OFFSET(COM_N_2012!$B$60,$AW253,SUMIF($B$10:$B$16,"NCAP_TLIFE",$AX$10:$AX$16)),0,""))</f>
        <v/>
      </c>
      <c r="AK253" s="369" t="str">
        <f ca="1">IF($B253&lt;&gt;"PRC_RESID","",IF(AK$7=2005+OFFSET(COM_N_2012!$B$60,$AW253,SUMIF($B$10:$B$16,"NCAP_TLIFE",$AX$10:$AX$16)),0,""))</f>
        <v/>
      </c>
      <c r="AL253" s="369" t="str">
        <f ca="1">IF($B253&lt;&gt;"PRC_RESID","",IF(AL$7=2005+OFFSET(COM_N_2012!$B$60,$AW253,SUMIF($B$10:$B$16,"NCAP_TLIFE",$AX$10:$AX$16)),0,""))</f>
        <v/>
      </c>
      <c r="AM253" s="369" t="str">
        <f ca="1">IF($B253&lt;&gt;"PRC_RESID","",IF(AM$7=2005+OFFSET(COM_N_2012!$B$60,$AW253,SUMIF($B$10:$B$16,"NCAP_TLIFE",$AX$10:$AX$16)),0,""))</f>
        <v/>
      </c>
      <c r="AN253" s="369" t="str">
        <f ca="1">IF($B253&lt;&gt;"PRC_RESID","",IF(AN$7=2005+OFFSET(COM_N_2012!$B$60,$AW253,SUMIF($B$10:$B$16,"NCAP_TLIFE",$AX$10:$AX$16)),0,""))</f>
        <v/>
      </c>
      <c r="AO253" s="369" t="str">
        <f ca="1">IF($B253&lt;&gt;"PRC_RESID","",IF(AO$7=2005+OFFSET(COM_N_2012!$B$60,$AW253,SUMIF($B$10:$B$16,"NCAP_TLIFE",$AX$10:$AX$16)),0,""))</f>
        <v/>
      </c>
      <c r="AP253" s="369" t="str">
        <f ca="1">IF($B253&lt;&gt;"PRC_RESID","",IF(AP$7=2005+OFFSET(COM_N_2012!$B$60,$AW253,SUMIF($B$10:$B$16,"NCAP_TLIFE",$AX$10:$AX$16)),0,""))</f>
        <v/>
      </c>
      <c r="AQ253" s="369" t="str">
        <f ca="1">IF($B253&lt;&gt;"PRC_RESID","",IF(AQ$7=2005+OFFSET(COM_N_2012!$B$60,$AW253,SUMIF($B$10:$B$16,"NCAP_TLIFE",$AX$10:$AX$16)),0,""))</f>
        <v/>
      </c>
      <c r="AR253" s="369" t="str">
        <f ca="1">IF($B253&lt;&gt;"PRC_RESID","",IF(AR$7=2005+OFFSET(COM_N_2012!$B$60,$AW253,SUMIF($B$10:$B$16,"NCAP_TLIFE",$AX$10:$AX$16)),0,""))</f>
        <v/>
      </c>
      <c r="AS253" s="369" t="str">
        <f ca="1">IF($B253&lt;&gt;"PRC_RESID","",IF(AS$7=2005+OFFSET(COM_N_2012!$B$60,$AW253,SUMIF($B$10:$B$16,"NCAP_TLIFE",$AX$10:$AX$16)),0,""))</f>
        <v/>
      </c>
      <c r="AT253" s="369" t="str">
        <f ca="1">IF($B253&lt;&gt;"PRC_RESID","",IF(AT$7=2005+OFFSET(COM_N_2012!$B$60,$AW253,SUMIF($B$10:$B$16,"NCAP_TLIFE",$AX$10:$AX$16)),0,""))</f>
        <v/>
      </c>
      <c r="AU253" s="369" t="str">
        <f ca="1">IF($B253&lt;&gt;"PRC_RESID","",IF(AU$7=2005+OFFSET(COM_N_2012!$B$60,$AW253,SUMIF($B$10:$B$16,"NCAP_TLIFE",$AX$10:$AX$16)),0,""))</f>
        <v/>
      </c>
      <c r="AV253" s="304">
        <f>IF(AW252=COM_N_2012!$AK$121,AV252+1,AV252)</f>
        <v>4</v>
      </c>
      <c r="AW253" s="304">
        <f t="shared" si="29"/>
        <v>53</v>
      </c>
    </row>
    <row r="254" spans="1:49">
      <c r="A254" s="304" t="str">
        <f ca="1">IF(LEFT(OFFSET(COM_N_2012!$A$60,AW254,0),2)="\I","*","")</f>
        <v/>
      </c>
      <c r="B254" s="369" t="str">
        <f t="shared" ca="1" si="28"/>
        <v>NCAP_COST</v>
      </c>
      <c r="C254" s="369" t="str">
        <f ca="1">IF($A254="*","",OFFSET(COM_N_2012!$B$60,AW254,0))</f>
        <v>CNOODS-E</v>
      </c>
      <c r="D254" s="369" t="str">
        <f t="shared" ca="1" si="33"/>
        <v>-</v>
      </c>
      <c r="E254" s="369" t="str">
        <f t="shared" ca="1" si="33"/>
        <v>-</v>
      </c>
      <c r="F254" s="369" t="str">
        <f t="shared" ca="1" si="33"/>
        <v>-</v>
      </c>
      <c r="G254" s="369" t="str">
        <f t="shared" ca="1" si="33"/>
        <v>-</v>
      </c>
      <c r="H254" s="369" t="str">
        <f t="shared" ca="1" si="33"/>
        <v>-</v>
      </c>
      <c r="I254" s="370">
        <f t="shared" ca="1" si="33"/>
        <v>0</v>
      </c>
      <c r="J254" s="391">
        <f ca="1">IF($A254="*","",OFFSET(COM_N_2012!$B$60,AW254,SUMIF($B$10:$B$16,B254,$AX$10:$AX$16)))</f>
        <v>410.88682603593844</v>
      </c>
      <c r="K254" s="369" t="str">
        <f ca="1">IF($B254&lt;&gt;"PRC_RESID","",IF(K$7=2005+OFFSET(COM_N_2012!$B$60,$AW254,SUMIF($B$10:$B$16,"NCAP_TLIFE",$AX$10:$AX$16)),0,""))</f>
        <v/>
      </c>
      <c r="L254" s="369" t="str">
        <f ca="1">IF($B254&lt;&gt;"PRC_RESID","",IF(L$7=2005+OFFSET(COM_N_2012!$B$60,$AW254,SUMIF($B$10:$B$16,"NCAP_TLIFE",$AX$10:$AX$16)),0,""))</f>
        <v/>
      </c>
      <c r="M254" s="369" t="str">
        <f ca="1">IF($B254&lt;&gt;"PRC_RESID","",IF(M$7=2005+OFFSET(COM_N_2012!$B$60,$AW254,SUMIF($B$10:$B$16,"NCAP_TLIFE",$AX$10:$AX$16)),0,""))</f>
        <v/>
      </c>
      <c r="N254" s="369" t="str">
        <f ca="1">IF($B254&lt;&gt;"PRC_RESID","",IF(N$7=2005+OFFSET(COM_N_2012!$B$60,$AW254,SUMIF($B$10:$B$16,"NCAP_TLIFE",$AX$10:$AX$16)),0,""))</f>
        <v/>
      </c>
      <c r="O254" s="369" t="str">
        <f ca="1">IF($B254&lt;&gt;"PRC_RESID","",IF(O$7=2005+OFFSET(COM_N_2012!$B$60,$AW254,SUMIF($B$10:$B$16,"NCAP_TLIFE",$AX$10:$AX$16)),0,""))</f>
        <v/>
      </c>
      <c r="P254" s="369" t="str">
        <f ca="1">IF($B254&lt;&gt;"PRC_RESID","",IF(P$7=2005+OFFSET(COM_N_2012!$B$60,$AW254,SUMIF($B$10:$B$16,"NCAP_TLIFE",$AX$10:$AX$16)),0,""))</f>
        <v/>
      </c>
      <c r="Q254" s="369" t="str">
        <f ca="1">IF($B254&lt;&gt;"PRC_RESID","",IF(Q$7=2005+OFFSET(COM_N_2012!$B$60,$AW254,SUMIF($B$10:$B$16,"NCAP_TLIFE",$AX$10:$AX$16)),0,""))</f>
        <v/>
      </c>
      <c r="R254" s="369" t="str">
        <f ca="1">IF($B254&lt;&gt;"PRC_RESID","",IF(R$7=2005+OFFSET(COM_N_2012!$B$60,$AW254,SUMIF($B$10:$B$16,"NCAP_TLIFE",$AX$10:$AX$16)),0,""))</f>
        <v/>
      </c>
      <c r="S254" s="369" t="str">
        <f ca="1">IF($B254&lt;&gt;"PRC_RESID","",IF(S$7=2005+OFFSET(COM_N_2012!$B$60,$AW254,SUMIF($B$10:$B$16,"NCAP_TLIFE",$AX$10:$AX$16)),0,""))</f>
        <v/>
      </c>
      <c r="T254" s="369" t="str">
        <f ca="1">IF($B254&lt;&gt;"PRC_RESID","",IF(T$7=2005+OFFSET(COM_N_2012!$B$60,$AW254,SUMIF($B$10:$B$16,"NCAP_TLIFE",$AX$10:$AX$16)),0,""))</f>
        <v/>
      </c>
      <c r="U254" s="369" t="str">
        <f ca="1">IF($B254&lt;&gt;"PRC_RESID","",IF(U$7=2005+OFFSET(COM_N_2012!$B$60,$AW254,SUMIF($B$10:$B$16,"NCAP_TLIFE",$AX$10:$AX$16)),0,""))</f>
        <v/>
      </c>
      <c r="V254" s="369" t="str">
        <f ca="1">IF($B254&lt;&gt;"PRC_RESID","",IF(V$7=2005+OFFSET(COM_N_2012!$B$60,$AW254,SUMIF($B$10:$B$16,"NCAP_TLIFE",$AX$10:$AX$16)),0,""))</f>
        <v/>
      </c>
      <c r="W254" s="369" t="str">
        <f ca="1">IF($B254&lt;&gt;"PRC_RESID","",IF(W$7=2005+OFFSET(COM_N_2012!$B$60,$AW254,SUMIF($B$10:$B$16,"NCAP_TLIFE",$AX$10:$AX$16)),0,""))</f>
        <v/>
      </c>
      <c r="X254" s="369" t="str">
        <f ca="1">IF($B254&lt;&gt;"PRC_RESID","",IF(X$7=2005+OFFSET(COM_N_2012!$B$60,$AW254,SUMIF($B$10:$B$16,"NCAP_TLIFE",$AX$10:$AX$16)),0,""))</f>
        <v/>
      </c>
      <c r="Y254" s="369" t="str">
        <f ca="1">IF($B254&lt;&gt;"PRC_RESID","",IF(Y$7=2005+OFFSET(COM_N_2012!$B$60,$AW254,SUMIF($B$10:$B$16,"NCAP_TLIFE",$AX$10:$AX$16)),0,""))</f>
        <v/>
      </c>
      <c r="Z254" s="369" t="str">
        <f ca="1">IF($B254&lt;&gt;"PRC_RESID","",IF(Z$7=2005+OFFSET(COM_N_2012!$B$60,$AW254,SUMIF($B$10:$B$16,"NCAP_TLIFE",$AX$10:$AX$16)),0,""))</f>
        <v/>
      </c>
      <c r="AA254" s="369" t="str">
        <f ca="1">IF($B254&lt;&gt;"PRC_RESID","",IF(AA$7=2005+OFFSET(COM_N_2012!$B$60,$AW254,SUMIF($B$10:$B$16,"NCAP_TLIFE",$AX$10:$AX$16)),0,""))</f>
        <v/>
      </c>
      <c r="AB254" s="369" t="str">
        <f ca="1">IF($B254&lt;&gt;"PRC_RESID","",IF(AB$7=2005+OFFSET(COM_N_2012!$B$60,$AW254,SUMIF($B$10:$B$16,"NCAP_TLIFE",$AX$10:$AX$16)),0,""))</f>
        <v/>
      </c>
      <c r="AC254" s="369" t="str">
        <f ca="1">IF($B254&lt;&gt;"PRC_RESID","",IF(AC$7=2005+OFFSET(COM_N_2012!$B$60,$AW254,SUMIF($B$10:$B$16,"NCAP_TLIFE",$AX$10:$AX$16)),0,""))</f>
        <v/>
      </c>
      <c r="AD254" s="369" t="str">
        <f ca="1">IF($B254&lt;&gt;"PRC_RESID","",IF(AD$7=2005+OFFSET(COM_N_2012!$B$60,$AW254,SUMIF($B$10:$B$16,"NCAP_TLIFE",$AX$10:$AX$16)),0,""))</f>
        <v/>
      </c>
      <c r="AE254" s="369" t="str">
        <f ca="1">IF($B254&lt;&gt;"PRC_RESID","",IF(AE$7=2005+OFFSET(COM_N_2012!$B$60,$AW254,SUMIF($B$10:$B$16,"NCAP_TLIFE",$AX$10:$AX$16)),0,""))</f>
        <v/>
      </c>
      <c r="AF254" s="369" t="str">
        <f ca="1">IF($B254&lt;&gt;"PRC_RESID","",IF(AF$7=2005+OFFSET(COM_N_2012!$B$60,$AW254,SUMIF($B$10:$B$16,"NCAP_TLIFE",$AX$10:$AX$16)),0,""))</f>
        <v/>
      </c>
      <c r="AG254" s="369" t="str">
        <f ca="1">IF($B254&lt;&gt;"PRC_RESID","",IF(AG$7=2005+OFFSET(COM_N_2012!$B$60,$AW254,SUMIF($B$10:$B$16,"NCAP_TLIFE",$AX$10:$AX$16)),0,""))</f>
        <v/>
      </c>
      <c r="AH254" s="369" t="str">
        <f ca="1">IF($B254&lt;&gt;"PRC_RESID","",IF(AH$7=2005+OFFSET(COM_N_2012!$B$60,$AW254,SUMIF($B$10:$B$16,"NCAP_TLIFE",$AX$10:$AX$16)),0,""))</f>
        <v/>
      </c>
      <c r="AI254" s="369" t="str">
        <f ca="1">IF($B254&lt;&gt;"PRC_RESID","",IF(AI$7=2005+OFFSET(COM_N_2012!$B$60,$AW254,SUMIF($B$10:$B$16,"NCAP_TLIFE",$AX$10:$AX$16)),0,""))</f>
        <v/>
      </c>
      <c r="AJ254" s="369" t="str">
        <f ca="1">IF($B254&lt;&gt;"PRC_RESID","",IF(AJ$7=2005+OFFSET(COM_N_2012!$B$60,$AW254,SUMIF($B$10:$B$16,"NCAP_TLIFE",$AX$10:$AX$16)),0,""))</f>
        <v/>
      </c>
      <c r="AK254" s="369" t="str">
        <f ca="1">IF($B254&lt;&gt;"PRC_RESID","",IF(AK$7=2005+OFFSET(COM_N_2012!$B$60,$AW254,SUMIF($B$10:$B$16,"NCAP_TLIFE",$AX$10:$AX$16)),0,""))</f>
        <v/>
      </c>
      <c r="AL254" s="369" t="str">
        <f ca="1">IF($B254&lt;&gt;"PRC_RESID","",IF(AL$7=2005+OFFSET(COM_N_2012!$B$60,$AW254,SUMIF($B$10:$B$16,"NCAP_TLIFE",$AX$10:$AX$16)),0,""))</f>
        <v/>
      </c>
      <c r="AM254" s="369" t="str">
        <f ca="1">IF($B254&lt;&gt;"PRC_RESID","",IF(AM$7=2005+OFFSET(COM_N_2012!$B$60,$AW254,SUMIF($B$10:$B$16,"NCAP_TLIFE",$AX$10:$AX$16)),0,""))</f>
        <v/>
      </c>
      <c r="AN254" s="369" t="str">
        <f ca="1">IF($B254&lt;&gt;"PRC_RESID","",IF(AN$7=2005+OFFSET(COM_N_2012!$B$60,$AW254,SUMIF($B$10:$B$16,"NCAP_TLIFE",$AX$10:$AX$16)),0,""))</f>
        <v/>
      </c>
      <c r="AO254" s="369" t="str">
        <f ca="1">IF($B254&lt;&gt;"PRC_RESID","",IF(AO$7=2005+OFFSET(COM_N_2012!$B$60,$AW254,SUMIF($B$10:$B$16,"NCAP_TLIFE",$AX$10:$AX$16)),0,""))</f>
        <v/>
      </c>
      <c r="AP254" s="369" t="str">
        <f ca="1">IF($B254&lt;&gt;"PRC_RESID","",IF(AP$7=2005+OFFSET(COM_N_2012!$B$60,$AW254,SUMIF($B$10:$B$16,"NCAP_TLIFE",$AX$10:$AX$16)),0,""))</f>
        <v/>
      </c>
      <c r="AQ254" s="369" t="str">
        <f ca="1">IF($B254&lt;&gt;"PRC_RESID","",IF(AQ$7=2005+OFFSET(COM_N_2012!$B$60,$AW254,SUMIF($B$10:$B$16,"NCAP_TLIFE",$AX$10:$AX$16)),0,""))</f>
        <v/>
      </c>
      <c r="AR254" s="369" t="str">
        <f ca="1">IF($B254&lt;&gt;"PRC_RESID","",IF(AR$7=2005+OFFSET(COM_N_2012!$B$60,$AW254,SUMIF($B$10:$B$16,"NCAP_TLIFE",$AX$10:$AX$16)),0,""))</f>
        <v/>
      </c>
      <c r="AS254" s="369" t="str">
        <f ca="1">IF($B254&lt;&gt;"PRC_RESID","",IF(AS$7=2005+OFFSET(COM_N_2012!$B$60,$AW254,SUMIF($B$10:$B$16,"NCAP_TLIFE",$AX$10:$AX$16)),0,""))</f>
        <v/>
      </c>
      <c r="AT254" s="369" t="str">
        <f ca="1">IF($B254&lt;&gt;"PRC_RESID","",IF(AT$7=2005+OFFSET(COM_N_2012!$B$60,$AW254,SUMIF($B$10:$B$16,"NCAP_TLIFE",$AX$10:$AX$16)),0,""))</f>
        <v/>
      </c>
      <c r="AU254" s="369" t="str">
        <f ca="1">IF($B254&lt;&gt;"PRC_RESID","",IF(AU$7=2005+OFFSET(COM_N_2012!$B$60,$AW254,SUMIF($B$10:$B$16,"NCAP_TLIFE",$AX$10:$AX$16)),0,""))</f>
        <v/>
      </c>
      <c r="AV254" s="304">
        <f>IF(AW253=COM_N_2012!$AK$121,AV253+1,AV253)</f>
        <v>4</v>
      </c>
      <c r="AW254" s="304">
        <f t="shared" si="29"/>
        <v>54</v>
      </c>
    </row>
    <row r="255" spans="1:49">
      <c r="A255" s="304" t="str">
        <f ca="1">IF(LEFT(OFFSET(COM_N_2012!$A$60,AW255,0),2)="\I","*","")</f>
        <v/>
      </c>
      <c r="B255" s="369" t="str">
        <f t="shared" ca="1" si="28"/>
        <v>NCAP_COST</v>
      </c>
      <c r="C255" s="369" t="str">
        <f ca="1">IF($A255="*","",OFFSET(COM_N_2012!$B$60,AW255,0))</f>
        <v>CNOELC-E</v>
      </c>
      <c r="D255" s="369" t="str">
        <f t="shared" ca="1" si="33"/>
        <v>-</v>
      </c>
      <c r="E255" s="369" t="str">
        <f t="shared" ca="1" si="33"/>
        <v>-</v>
      </c>
      <c r="F255" s="369" t="str">
        <f t="shared" ca="1" si="33"/>
        <v>-</v>
      </c>
      <c r="G255" s="369" t="str">
        <f t="shared" ca="1" si="33"/>
        <v>-</v>
      </c>
      <c r="H255" s="369" t="str">
        <f t="shared" ca="1" si="33"/>
        <v>-</v>
      </c>
      <c r="I255" s="370">
        <f t="shared" ca="1" si="33"/>
        <v>0</v>
      </c>
      <c r="J255" s="391">
        <f ca="1">IF($A255="*","",OFFSET(COM_N_2012!$B$60,AW255,SUMIF($B$10:$B$16,B255,$AX$10:$AX$16)))</f>
        <v>410.88682603593844</v>
      </c>
      <c r="K255" s="369" t="str">
        <f ca="1">IF($B255&lt;&gt;"PRC_RESID","",IF(K$7=2005+OFFSET(COM_N_2012!$B$60,$AW255,SUMIF($B$10:$B$16,"NCAP_TLIFE",$AX$10:$AX$16)),0,""))</f>
        <v/>
      </c>
      <c r="L255" s="369" t="str">
        <f ca="1">IF($B255&lt;&gt;"PRC_RESID","",IF(L$7=2005+OFFSET(COM_N_2012!$B$60,$AW255,SUMIF($B$10:$B$16,"NCAP_TLIFE",$AX$10:$AX$16)),0,""))</f>
        <v/>
      </c>
      <c r="M255" s="369" t="str">
        <f ca="1">IF($B255&lt;&gt;"PRC_RESID","",IF(M$7=2005+OFFSET(COM_N_2012!$B$60,$AW255,SUMIF($B$10:$B$16,"NCAP_TLIFE",$AX$10:$AX$16)),0,""))</f>
        <v/>
      </c>
      <c r="N255" s="369" t="str">
        <f ca="1">IF($B255&lt;&gt;"PRC_RESID","",IF(N$7=2005+OFFSET(COM_N_2012!$B$60,$AW255,SUMIF($B$10:$B$16,"NCAP_TLIFE",$AX$10:$AX$16)),0,""))</f>
        <v/>
      </c>
      <c r="O255" s="369" t="str">
        <f ca="1">IF($B255&lt;&gt;"PRC_RESID","",IF(O$7=2005+OFFSET(COM_N_2012!$B$60,$AW255,SUMIF($B$10:$B$16,"NCAP_TLIFE",$AX$10:$AX$16)),0,""))</f>
        <v/>
      </c>
      <c r="P255" s="369" t="str">
        <f ca="1">IF($B255&lt;&gt;"PRC_RESID","",IF(P$7=2005+OFFSET(COM_N_2012!$B$60,$AW255,SUMIF($B$10:$B$16,"NCAP_TLIFE",$AX$10:$AX$16)),0,""))</f>
        <v/>
      </c>
      <c r="Q255" s="369" t="str">
        <f ca="1">IF($B255&lt;&gt;"PRC_RESID","",IF(Q$7=2005+OFFSET(COM_N_2012!$B$60,$AW255,SUMIF($B$10:$B$16,"NCAP_TLIFE",$AX$10:$AX$16)),0,""))</f>
        <v/>
      </c>
      <c r="R255" s="369" t="str">
        <f ca="1">IF($B255&lt;&gt;"PRC_RESID","",IF(R$7=2005+OFFSET(COM_N_2012!$B$60,$AW255,SUMIF($B$10:$B$16,"NCAP_TLIFE",$AX$10:$AX$16)),0,""))</f>
        <v/>
      </c>
      <c r="S255" s="369" t="str">
        <f ca="1">IF($B255&lt;&gt;"PRC_RESID","",IF(S$7=2005+OFFSET(COM_N_2012!$B$60,$AW255,SUMIF($B$10:$B$16,"NCAP_TLIFE",$AX$10:$AX$16)),0,""))</f>
        <v/>
      </c>
      <c r="T255" s="369" t="str">
        <f ca="1">IF($B255&lt;&gt;"PRC_RESID","",IF(T$7=2005+OFFSET(COM_N_2012!$B$60,$AW255,SUMIF($B$10:$B$16,"NCAP_TLIFE",$AX$10:$AX$16)),0,""))</f>
        <v/>
      </c>
      <c r="U255" s="369" t="str">
        <f ca="1">IF($B255&lt;&gt;"PRC_RESID","",IF(U$7=2005+OFFSET(COM_N_2012!$B$60,$AW255,SUMIF($B$10:$B$16,"NCAP_TLIFE",$AX$10:$AX$16)),0,""))</f>
        <v/>
      </c>
      <c r="V255" s="369" t="str">
        <f ca="1">IF($B255&lt;&gt;"PRC_RESID","",IF(V$7=2005+OFFSET(COM_N_2012!$B$60,$AW255,SUMIF($B$10:$B$16,"NCAP_TLIFE",$AX$10:$AX$16)),0,""))</f>
        <v/>
      </c>
      <c r="W255" s="369" t="str">
        <f ca="1">IF($B255&lt;&gt;"PRC_RESID","",IF(W$7=2005+OFFSET(COM_N_2012!$B$60,$AW255,SUMIF($B$10:$B$16,"NCAP_TLIFE",$AX$10:$AX$16)),0,""))</f>
        <v/>
      </c>
      <c r="X255" s="369" t="str">
        <f ca="1">IF($B255&lt;&gt;"PRC_RESID","",IF(X$7=2005+OFFSET(COM_N_2012!$B$60,$AW255,SUMIF($B$10:$B$16,"NCAP_TLIFE",$AX$10:$AX$16)),0,""))</f>
        <v/>
      </c>
      <c r="Y255" s="369" t="str">
        <f ca="1">IF($B255&lt;&gt;"PRC_RESID","",IF(Y$7=2005+OFFSET(COM_N_2012!$B$60,$AW255,SUMIF($B$10:$B$16,"NCAP_TLIFE",$AX$10:$AX$16)),0,""))</f>
        <v/>
      </c>
      <c r="Z255" s="369" t="str">
        <f ca="1">IF($B255&lt;&gt;"PRC_RESID","",IF(Z$7=2005+OFFSET(COM_N_2012!$B$60,$AW255,SUMIF($B$10:$B$16,"NCAP_TLIFE",$AX$10:$AX$16)),0,""))</f>
        <v/>
      </c>
      <c r="AA255" s="369" t="str">
        <f ca="1">IF($B255&lt;&gt;"PRC_RESID","",IF(AA$7=2005+OFFSET(COM_N_2012!$B$60,$AW255,SUMIF($B$10:$B$16,"NCAP_TLIFE",$AX$10:$AX$16)),0,""))</f>
        <v/>
      </c>
      <c r="AB255" s="369" t="str">
        <f ca="1">IF($B255&lt;&gt;"PRC_RESID","",IF(AB$7=2005+OFFSET(COM_N_2012!$B$60,$AW255,SUMIF($B$10:$B$16,"NCAP_TLIFE",$AX$10:$AX$16)),0,""))</f>
        <v/>
      </c>
      <c r="AC255" s="369" t="str">
        <f ca="1">IF($B255&lt;&gt;"PRC_RESID","",IF(AC$7=2005+OFFSET(COM_N_2012!$B$60,$AW255,SUMIF($B$10:$B$16,"NCAP_TLIFE",$AX$10:$AX$16)),0,""))</f>
        <v/>
      </c>
      <c r="AD255" s="369" t="str">
        <f ca="1">IF($B255&lt;&gt;"PRC_RESID","",IF(AD$7=2005+OFFSET(COM_N_2012!$B$60,$AW255,SUMIF($B$10:$B$16,"NCAP_TLIFE",$AX$10:$AX$16)),0,""))</f>
        <v/>
      </c>
      <c r="AE255" s="369" t="str">
        <f ca="1">IF($B255&lt;&gt;"PRC_RESID","",IF(AE$7=2005+OFFSET(COM_N_2012!$B$60,$AW255,SUMIF($B$10:$B$16,"NCAP_TLIFE",$AX$10:$AX$16)),0,""))</f>
        <v/>
      </c>
      <c r="AF255" s="369" t="str">
        <f ca="1">IF($B255&lt;&gt;"PRC_RESID","",IF(AF$7=2005+OFFSET(COM_N_2012!$B$60,$AW255,SUMIF($B$10:$B$16,"NCAP_TLIFE",$AX$10:$AX$16)),0,""))</f>
        <v/>
      </c>
      <c r="AG255" s="369" t="str">
        <f ca="1">IF($B255&lt;&gt;"PRC_RESID","",IF(AG$7=2005+OFFSET(COM_N_2012!$B$60,$AW255,SUMIF($B$10:$B$16,"NCAP_TLIFE",$AX$10:$AX$16)),0,""))</f>
        <v/>
      </c>
      <c r="AH255" s="369" t="str">
        <f ca="1">IF($B255&lt;&gt;"PRC_RESID","",IF(AH$7=2005+OFFSET(COM_N_2012!$B$60,$AW255,SUMIF($B$10:$B$16,"NCAP_TLIFE",$AX$10:$AX$16)),0,""))</f>
        <v/>
      </c>
      <c r="AI255" s="369" t="str">
        <f ca="1">IF($B255&lt;&gt;"PRC_RESID","",IF(AI$7=2005+OFFSET(COM_N_2012!$B$60,$AW255,SUMIF($B$10:$B$16,"NCAP_TLIFE",$AX$10:$AX$16)),0,""))</f>
        <v/>
      </c>
      <c r="AJ255" s="369" t="str">
        <f ca="1">IF($B255&lt;&gt;"PRC_RESID","",IF(AJ$7=2005+OFFSET(COM_N_2012!$B$60,$AW255,SUMIF($B$10:$B$16,"NCAP_TLIFE",$AX$10:$AX$16)),0,""))</f>
        <v/>
      </c>
      <c r="AK255" s="369" t="str">
        <f ca="1">IF($B255&lt;&gt;"PRC_RESID","",IF(AK$7=2005+OFFSET(COM_N_2012!$B$60,$AW255,SUMIF($B$10:$B$16,"NCAP_TLIFE",$AX$10:$AX$16)),0,""))</f>
        <v/>
      </c>
      <c r="AL255" s="369" t="str">
        <f ca="1">IF($B255&lt;&gt;"PRC_RESID","",IF(AL$7=2005+OFFSET(COM_N_2012!$B$60,$AW255,SUMIF($B$10:$B$16,"NCAP_TLIFE",$AX$10:$AX$16)),0,""))</f>
        <v/>
      </c>
      <c r="AM255" s="369" t="str">
        <f ca="1">IF($B255&lt;&gt;"PRC_RESID","",IF(AM$7=2005+OFFSET(COM_N_2012!$B$60,$AW255,SUMIF($B$10:$B$16,"NCAP_TLIFE",$AX$10:$AX$16)),0,""))</f>
        <v/>
      </c>
      <c r="AN255" s="369" t="str">
        <f ca="1">IF($B255&lt;&gt;"PRC_RESID","",IF(AN$7=2005+OFFSET(COM_N_2012!$B$60,$AW255,SUMIF($B$10:$B$16,"NCAP_TLIFE",$AX$10:$AX$16)),0,""))</f>
        <v/>
      </c>
      <c r="AO255" s="369" t="str">
        <f ca="1">IF($B255&lt;&gt;"PRC_RESID","",IF(AO$7=2005+OFFSET(COM_N_2012!$B$60,$AW255,SUMIF($B$10:$B$16,"NCAP_TLIFE",$AX$10:$AX$16)),0,""))</f>
        <v/>
      </c>
      <c r="AP255" s="369" t="str">
        <f ca="1">IF($B255&lt;&gt;"PRC_RESID","",IF(AP$7=2005+OFFSET(COM_N_2012!$B$60,$AW255,SUMIF($B$10:$B$16,"NCAP_TLIFE",$AX$10:$AX$16)),0,""))</f>
        <v/>
      </c>
      <c r="AQ255" s="369" t="str">
        <f ca="1">IF($B255&lt;&gt;"PRC_RESID","",IF(AQ$7=2005+OFFSET(COM_N_2012!$B$60,$AW255,SUMIF($B$10:$B$16,"NCAP_TLIFE",$AX$10:$AX$16)),0,""))</f>
        <v/>
      </c>
      <c r="AR255" s="369" t="str">
        <f ca="1">IF($B255&lt;&gt;"PRC_RESID","",IF(AR$7=2005+OFFSET(COM_N_2012!$B$60,$AW255,SUMIF($B$10:$B$16,"NCAP_TLIFE",$AX$10:$AX$16)),0,""))</f>
        <v/>
      </c>
      <c r="AS255" s="369" t="str">
        <f ca="1">IF($B255&lt;&gt;"PRC_RESID","",IF(AS$7=2005+OFFSET(COM_N_2012!$B$60,$AW255,SUMIF($B$10:$B$16,"NCAP_TLIFE",$AX$10:$AX$16)),0,""))</f>
        <v/>
      </c>
      <c r="AT255" s="369" t="str">
        <f ca="1">IF($B255&lt;&gt;"PRC_RESID","",IF(AT$7=2005+OFFSET(COM_N_2012!$B$60,$AW255,SUMIF($B$10:$B$16,"NCAP_TLIFE",$AX$10:$AX$16)),0,""))</f>
        <v/>
      </c>
      <c r="AU255" s="369" t="str">
        <f ca="1">IF($B255&lt;&gt;"PRC_RESID","",IF(AU$7=2005+OFFSET(COM_N_2012!$B$60,$AW255,SUMIF($B$10:$B$16,"NCAP_TLIFE",$AX$10:$AX$16)),0,""))</f>
        <v/>
      </c>
      <c r="AV255" s="304">
        <f>IF(AW254=COM_N_2012!$AK$121,AV254+1,AV254)</f>
        <v>4</v>
      </c>
      <c r="AW255" s="304">
        <f t="shared" si="29"/>
        <v>55</v>
      </c>
    </row>
    <row r="256" spans="1:49">
      <c r="A256" s="304" t="str">
        <f ca="1">IF(LEFT(OFFSET(COM_N_2012!$A$60,AW256,0),2)="\I","*","")</f>
        <v/>
      </c>
      <c r="B256" s="369" t="str">
        <f t="shared" ca="1" si="28"/>
        <v>NCAP_COST</v>
      </c>
      <c r="C256" s="369" t="str">
        <f ca="1">IF($A256="*","",OFFSET(COM_N_2012!$B$60,AW256,0))</f>
        <v>CNOGAS-E</v>
      </c>
      <c r="D256" s="369" t="str">
        <f t="shared" ca="1" si="33"/>
        <v>-</v>
      </c>
      <c r="E256" s="369" t="str">
        <f t="shared" ca="1" si="33"/>
        <v>-</v>
      </c>
      <c r="F256" s="369" t="str">
        <f t="shared" ca="1" si="33"/>
        <v>-</v>
      </c>
      <c r="G256" s="369" t="str">
        <f t="shared" ca="1" si="33"/>
        <v>-</v>
      </c>
      <c r="H256" s="369" t="str">
        <f t="shared" ca="1" si="33"/>
        <v>-</v>
      </c>
      <c r="I256" s="370">
        <f t="shared" ca="1" si="33"/>
        <v>0</v>
      </c>
      <c r="J256" s="391">
        <f ca="1">IF($A256="*","",OFFSET(COM_N_2012!$B$60,AW256,SUMIF($B$10:$B$16,B256,$AX$10:$AX$16)))</f>
        <v>410.88682603593844</v>
      </c>
      <c r="K256" s="369" t="str">
        <f ca="1">IF($B256&lt;&gt;"PRC_RESID","",IF(K$7=2005+OFFSET(COM_N_2012!$B$60,$AW256,SUMIF($B$10:$B$16,"NCAP_TLIFE",$AX$10:$AX$16)),0,""))</f>
        <v/>
      </c>
      <c r="L256" s="369" t="str">
        <f ca="1">IF($B256&lt;&gt;"PRC_RESID","",IF(L$7=2005+OFFSET(COM_N_2012!$B$60,$AW256,SUMIF($B$10:$B$16,"NCAP_TLIFE",$AX$10:$AX$16)),0,""))</f>
        <v/>
      </c>
      <c r="M256" s="369" t="str">
        <f ca="1">IF($B256&lt;&gt;"PRC_RESID","",IF(M$7=2005+OFFSET(COM_N_2012!$B$60,$AW256,SUMIF($B$10:$B$16,"NCAP_TLIFE",$AX$10:$AX$16)),0,""))</f>
        <v/>
      </c>
      <c r="N256" s="369" t="str">
        <f ca="1">IF($B256&lt;&gt;"PRC_RESID","",IF(N$7=2005+OFFSET(COM_N_2012!$B$60,$AW256,SUMIF($B$10:$B$16,"NCAP_TLIFE",$AX$10:$AX$16)),0,""))</f>
        <v/>
      </c>
      <c r="O256" s="369" t="str">
        <f ca="1">IF($B256&lt;&gt;"PRC_RESID","",IF(O$7=2005+OFFSET(COM_N_2012!$B$60,$AW256,SUMIF($B$10:$B$16,"NCAP_TLIFE",$AX$10:$AX$16)),0,""))</f>
        <v/>
      </c>
      <c r="P256" s="369" t="str">
        <f ca="1">IF($B256&lt;&gt;"PRC_RESID","",IF(P$7=2005+OFFSET(COM_N_2012!$B$60,$AW256,SUMIF($B$10:$B$16,"NCAP_TLIFE",$AX$10:$AX$16)),0,""))</f>
        <v/>
      </c>
      <c r="Q256" s="369" t="str">
        <f ca="1">IF($B256&lt;&gt;"PRC_RESID","",IF(Q$7=2005+OFFSET(COM_N_2012!$B$60,$AW256,SUMIF($B$10:$B$16,"NCAP_TLIFE",$AX$10:$AX$16)),0,""))</f>
        <v/>
      </c>
      <c r="R256" s="369" t="str">
        <f ca="1">IF($B256&lt;&gt;"PRC_RESID","",IF(R$7=2005+OFFSET(COM_N_2012!$B$60,$AW256,SUMIF($B$10:$B$16,"NCAP_TLIFE",$AX$10:$AX$16)),0,""))</f>
        <v/>
      </c>
      <c r="S256" s="369" t="str">
        <f ca="1">IF($B256&lt;&gt;"PRC_RESID","",IF(S$7=2005+OFFSET(COM_N_2012!$B$60,$AW256,SUMIF($B$10:$B$16,"NCAP_TLIFE",$AX$10:$AX$16)),0,""))</f>
        <v/>
      </c>
      <c r="T256" s="369" t="str">
        <f ca="1">IF($B256&lt;&gt;"PRC_RESID","",IF(T$7=2005+OFFSET(COM_N_2012!$B$60,$AW256,SUMIF($B$10:$B$16,"NCAP_TLIFE",$AX$10:$AX$16)),0,""))</f>
        <v/>
      </c>
      <c r="U256" s="369" t="str">
        <f ca="1">IF($B256&lt;&gt;"PRC_RESID","",IF(U$7=2005+OFFSET(COM_N_2012!$B$60,$AW256,SUMIF($B$10:$B$16,"NCAP_TLIFE",$AX$10:$AX$16)),0,""))</f>
        <v/>
      </c>
      <c r="V256" s="369" t="str">
        <f ca="1">IF($B256&lt;&gt;"PRC_RESID","",IF(V$7=2005+OFFSET(COM_N_2012!$B$60,$AW256,SUMIF($B$10:$B$16,"NCAP_TLIFE",$AX$10:$AX$16)),0,""))</f>
        <v/>
      </c>
      <c r="W256" s="369" t="str">
        <f ca="1">IF($B256&lt;&gt;"PRC_RESID","",IF(W$7=2005+OFFSET(COM_N_2012!$B$60,$AW256,SUMIF($B$10:$B$16,"NCAP_TLIFE",$AX$10:$AX$16)),0,""))</f>
        <v/>
      </c>
      <c r="X256" s="369" t="str">
        <f ca="1">IF($B256&lt;&gt;"PRC_RESID","",IF(X$7=2005+OFFSET(COM_N_2012!$B$60,$AW256,SUMIF($B$10:$B$16,"NCAP_TLIFE",$AX$10:$AX$16)),0,""))</f>
        <v/>
      </c>
      <c r="Y256" s="369" t="str">
        <f ca="1">IF($B256&lt;&gt;"PRC_RESID","",IF(Y$7=2005+OFFSET(COM_N_2012!$B$60,$AW256,SUMIF($B$10:$B$16,"NCAP_TLIFE",$AX$10:$AX$16)),0,""))</f>
        <v/>
      </c>
      <c r="Z256" s="369" t="str">
        <f ca="1">IF($B256&lt;&gt;"PRC_RESID","",IF(Z$7=2005+OFFSET(COM_N_2012!$B$60,$AW256,SUMIF($B$10:$B$16,"NCAP_TLIFE",$AX$10:$AX$16)),0,""))</f>
        <v/>
      </c>
      <c r="AA256" s="369" t="str">
        <f ca="1">IF($B256&lt;&gt;"PRC_RESID","",IF(AA$7=2005+OFFSET(COM_N_2012!$B$60,$AW256,SUMIF($B$10:$B$16,"NCAP_TLIFE",$AX$10:$AX$16)),0,""))</f>
        <v/>
      </c>
      <c r="AB256" s="369" t="str">
        <f ca="1">IF($B256&lt;&gt;"PRC_RESID","",IF(AB$7=2005+OFFSET(COM_N_2012!$B$60,$AW256,SUMIF($B$10:$B$16,"NCAP_TLIFE",$AX$10:$AX$16)),0,""))</f>
        <v/>
      </c>
      <c r="AC256" s="369" t="str">
        <f ca="1">IF($B256&lt;&gt;"PRC_RESID","",IF(AC$7=2005+OFFSET(COM_N_2012!$B$60,$AW256,SUMIF($B$10:$B$16,"NCAP_TLIFE",$AX$10:$AX$16)),0,""))</f>
        <v/>
      </c>
      <c r="AD256" s="369" t="str">
        <f ca="1">IF($B256&lt;&gt;"PRC_RESID","",IF(AD$7=2005+OFFSET(COM_N_2012!$B$60,$AW256,SUMIF($B$10:$B$16,"NCAP_TLIFE",$AX$10:$AX$16)),0,""))</f>
        <v/>
      </c>
      <c r="AE256" s="369" t="str">
        <f ca="1">IF($B256&lt;&gt;"PRC_RESID","",IF(AE$7=2005+OFFSET(COM_N_2012!$B$60,$AW256,SUMIF($B$10:$B$16,"NCAP_TLIFE",$AX$10:$AX$16)),0,""))</f>
        <v/>
      </c>
      <c r="AF256" s="369" t="str">
        <f ca="1">IF($B256&lt;&gt;"PRC_RESID","",IF(AF$7=2005+OFFSET(COM_N_2012!$B$60,$AW256,SUMIF($B$10:$B$16,"NCAP_TLIFE",$AX$10:$AX$16)),0,""))</f>
        <v/>
      </c>
      <c r="AG256" s="369" t="str">
        <f ca="1">IF($B256&lt;&gt;"PRC_RESID","",IF(AG$7=2005+OFFSET(COM_N_2012!$B$60,$AW256,SUMIF($B$10:$B$16,"NCAP_TLIFE",$AX$10:$AX$16)),0,""))</f>
        <v/>
      </c>
      <c r="AH256" s="369" t="str">
        <f ca="1">IF($B256&lt;&gt;"PRC_RESID","",IF(AH$7=2005+OFFSET(COM_N_2012!$B$60,$AW256,SUMIF($B$10:$B$16,"NCAP_TLIFE",$AX$10:$AX$16)),0,""))</f>
        <v/>
      </c>
      <c r="AI256" s="369" t="str">
        <f ca="1">IF($B256&lt;&gt;"PRC_RESID","",IF(AI$7=2005+OFFSET(COM_N_2012!$B$60,$AW256,SUMIF($B$10:$B$16,"NCAP_TLIFE",$AX$10:$AX$16)),0,""))</f>
        <v/>
      </c>
      <c r="AJ256" s="369" t="str">
        <f ca="1">IF($B256&lt;&gt;"PRC_RESID","",IF(AJ$7=2005+OFFSET(COM_N_2012!$B$60,$AW256,SUMIF($B$10:$B$16,"NCAP_TLIFE",$AX$10:$AX$16)),0,""))</f>
        <v/>
      </c>
      <c r="AK256" s="369" t="str">
        <f ca="1">IF($B256&lt;&gt;"PRC_RESID","",IF(AK$7=2005+OFFSET(COM_N_2012!$B$60,$AW256,SUMIF($B$10:$B$16,"NCAP_TLIFE",$AX$10:$AX$16)),0,""))</f>
        <v/>
      </c>
      <c r="AL256" s="369" t="str">
        <f ca="1">IF($B256&lt;&gt;"PRC_RESID","",IF(AL$7=2005+OFFSET(COM_N_2012!$B$60,$AW256,SUMIF($B$10:$B$16,"NCAP_TLIFE",$AX$10:$AX$16)),0,""))</f>
        <v/>
      </c>
      <c r="AM256" s="369" t="str">
        <f ca="1">IF($B256&lt;&gt;"PRC_RESID","",IF(AM$7=2005+OFFSET(COM_N_2012!$B$60,$AW256,SUMIF($B$10:$B$16,"NCAP_TLIFE",$AX$10:$AX$16)),0,""))</f>
        <v/>
      </c>
      <c r="AN256" s="369" t="str">
        <f ca="1">IF($B256&lt;&gt;"PRC_RESID","",IF(AN$7=2005+OFFSET(COM_N_2012!$B$60,$AW256,SUMIF($B$10:$B$16,"NCAP_TLIFE",$AX$10:$AX$16)),0,""))</f>
        <v/>
      </c>
      <c r="AO256" s="369" t="str">
        <f ca="1">IF($B256&lt;&gt;"PRC_RESID","",IF(AO$7=2005+OFFSET(COM_N_2012!$B$60,$AW256,SUMIF($B$10:$B$16,"NCAP_TLIFE",$AX$10:$AX$16)),0,""))</f>
        <v/>
      </c>
      <c r="AP256" s="369" t="str">
        <f ca="1">IF($B256&lt;&gt;"PRC_RESID","",IF(AP$7=2005+OFFSET(COM_N_2012!$B$60,$AW256,SUMIF($B$10:$B$16,"NCAP_TLIFE",$AX$10:$AX$16)),0,""))</f>
        <v/>
      </c>
      <c r="AQ256" s="369" t="str">
        <f ca="1">IF($B256&lt;&gt;"PRC_RESID","",IF(AQ$7=2005+OFFSET(COM_N_2012!$B$60,$AW256,SUMIF($B$10:$B$16,"NCAP_TLIFE",$AX$10:$AX$16)),0,""))</f>
        <v/>
      </c>
      <c r="AR256" s="369" t="str">
        <f ca="1">IF($B256&lt;&gt;"PRC_RESID","",IF(AR$7=2005+OFFSET(COM_N_2012!$B$60,$AW256,SUMIF($B$10:$B$16,"NCAP_TLIFE",$AX$10:$AX$16)),0,""))</f>
        <v/>
      </c>
      <c r="AS256" s="369" t="str">
        <f ca="1">IF($B256&lt;&gt;"PRC_RESID","",IF(AS$7=2005+OFFSET(COM_N_2012!$B$60,$AW256,SUMIF($B$10:$B$16,"NCAP_TLIFE",$AX$10:$AX$16)),0,""))</f>
        <v/>
      </c>
      <c r="AT256" s="369" t="str">
        <f ca="1">IF($B256&lt;&gt;"PRC_RESID","",IF(AT$7=2005+OFFSET(COM_N_2012!$B$60,$AW256,SUMIF($B$10:$B$16,"NCAP_TLIFE",$AX$10:$AX$16)),0,""))</f>
        <v/>
      </c>
      <c r="AU256" s="369" t="str">
        <f ca="1">IF($B256&lt;&gt;"PRC_RESID","",IF(AU$7=2005+OFFSET(COM_N_2012!$B$60,$AW256,SUMIF($B$10:$B$16,"NCAP_TLIFE",$AX$10:$AX$16)),0,""))</f>
        <v/>
      </c>
      <c r="AV256" s="304">
        <f>IF(AW255=COM_N_2012!$AK$121,AV255+1,AV255)</f>
        <v>4</v>
      </c>
      <c r="AW256" s="304">
        <f t="shared" si="29"/>
        <v>56</v>
      </c>
    </row>
    <row r="257" spans="1:49">
      <c r="A257" s="304" t="str">
        <f ca="1">IF(LEFT(OFFSET(COM_N_2012!$A$60,AW257,0),2)="\I","*","")</f>
        <v/>
      </c>
      <c r="B257" s="369" t="str">
        <f t="shared" ca="1" si="28"/>
        <v>NCAP_COST</v>
      </c>
      <c r="C257" s="369" t="str">
        <f ca="1">IF($A257="*","",OFFSET(COM_N_2012!$B$60,AW257,0))</f>
        <v>CNOOGS-E</v>
      </c>
      <c r="D257" s="369" t="str">
        <f t="shared" ca="1" si="33"/>
        <v>-</v>
      </c>
      <c r="E257" s="369" t="str">
        <f t="shared" ca="1" si="33"/>
        <v>-</v>
      </c>
      <c r="F257" s="369" t="str">
        <f t="shared" ca="1" si="33"/>
        <v>-</v>
      </c>
      <c r="G257" s="369" t="str">
        <f t="shared" ca="1" si="33"/>
        <v>-</v>
      </c>
      <c r="H257" s="369" t="str">
        <f t="shared" ca="1" si="33"/>
        <v>-</v>
      </c>
      <c r="I257" s="370">
        <f t="shared" ca="1" si="33"/>
        <v>0</v>
      </c>
      <c r="J257" s="391">
        <f ca="1">IF($A257="*","",OFFSET(COM_N_2012!$B$60,AW257,SUMIF($B$10:$B$16,B257,$AX$10:$AX$16)))</f>
        <v>410.88682603593844</v>
      </c>
      <c r="K257" s="369" t="str">
        <f ca="1">IF($B257&lt;&gt;"PRC_RESID","",IF(K$7=2005+OFFSET(COM_N_2012!$B$60,$AW257,SUMIF($B$10:$B$16,"NCAP_TLIFE",$AX$10:$AX$16)),0,""))</f>
        <v/>
      </c>
      <c r="L257" s="369" t="str">
        <f ca="1">IF($B257&lt;&gt;"PRC_RESID","",IF(L$7=2005+OFFSET(COM_N_2012!$B$60,$AW257,SUMIF($B$10:$B$16,"NCAP_TLIFE",$AX$10:$AX$16)),0,""))</f>
        <v/>
      </c>
      <c r="M257" s="369" t="str">
        <f ca="1">IF($B257&lt;&gt;"PRC_RESID","",IF(M$7=2005+OFFSET(COM_N_2012!$B$60,$AW257,SUMIF($B$10:$B$16,"NCAP_TLIFE",$AX$10:$AX$16)),0,""))</f>
        <v/>
      </c>
      <c r="N257" s="369" t="str">
        <f ca="1">IF($B257&lt;&gt;"PRC_RESID","",IF(N$7=2005+OFFSET(COM_N_2012!$B$60,$AW257,SUMIF($B$10:$B$16,"NCAP_TLIFE",$AX$10:$AX$16)),0,""))</f>
        <v/>
      </c>
      <c r="O257" s="369" t="str">
        <f ca="1">IF($B257&lt;&gt;"PRC_RESID","",IF(O$7=2005+OFFSET(COM_N_2012!$B$60,$AW257,SUMIF($B$10:$B$16,"NCAP_TLIFE",$AX$10:$AX$16)),0,""))</f>
        <v/>
      </c>
      <c r="P257" s="369" t="str">
        <f ca="1">IF($B257&lt;&gt;"PRC_RESID","",IF(P$7=2005+OFFSET(COM_N_2012!$B$60,$AW257,SUMIF($B$10:$B$16,"NCAP_TLIFE",$AX$10:$AX$16)),0,""))</f>
        <v/>
      </c>
      <c r="Q257" s="369" t="str">
        <f ca="1">IF($B257&lt;&gt;"PRC_RESID","",IF(Q$7=2005+OFFSET(COM_N_2012!$B$60,$AW257,SUMIF($B$10:$B$16,"NCAP_TLIFE",$AX$10:$AX$16)),0,""))</f>
        <v/>
      </c>
      <c r="R257" s="369" t="str">
        <f ca="1">IF($B257&lt;&gt;"PRC_RESID","",IF(R$7=2005+OFFSET(COM_N_2012!$B$60,$AW257,SUMIF($B$10:$B$16,"NCAP_TLIFE",$AX$10:$AX$16)),0,""))</f>
        <v/>
      </c>
      <c r="S257" s="369" t="str">
        <f ca="1">IF($B257&lt;&gt;"PRC_RESID","",IF(S$7=2005+OFFSET(COM_N_2012!$B$60,$AW257,SUMIF($B$10:$B$16,"NCAP_TLIFE",$AX$10:$AX$16)),0,""))</f>
        <v/>
      </c>
      <c r="T257" s="369" t="str">
        <f ca="1">IF($B257&lt;&gt;"PRC_RESID","",IF(T$7=2005+OFFSET(COM_N_2012!$B$60,$AW257,SUMIF($B$10:$B$16,"NCAP_TLIFE",$AX$10:$AX$16)),0,""))</f>
        <v/>
      </c>
      <c r="U257" s="369" t="str">
        <f ca="1">IF($B257&lt;&gt;"PRC_RESID","",IF(U$7=2005+OFFSET(COM_N_2012!$B$60,$AW257,SUMIF($B$10:$B$16,"NCAP_TLIFE",$AX$10:$AX$16)),0,""))</f>
        <v/>
      </c>
      <c r="V257" s="369" t="str">
        <f ca="1">IF($B257&lt;&gt;"PRC_RESID","",IF(V$7=2005+OFFSET(COM_N_2012!$B$60,$AW257,SUMIF($B$10:$B$16,"NCAP_TLIFE",$AX$10:$AX$16)),0,""))</f>
        <v/>
      </c>
      <c r="W257" s="369" t="str">
        <f ca="1">IF($B257&lt;&gt;"PRC_RESID","",IF(W$7=2005+OFFSET(COM_N_2012!$B$60,$AW257,SUMIF($B$10:$B$16,"NCAP_TLIFE",$AX$10:$AX$16)),0,""))</f>
        <v/>
      </c>
      <c r="X257" s="369" t="str">
        <f ca="1">IF($B257&lt;&gt;"PRC_RESID","",IF(X$7=2005+OFFSET(COM_N_2012!$B$60,$AW257,SUMIF($B$10:$B$16,"NCAP_TLIFE",$AX$10:$AX$16)),0,""))</f>
        <v/>
      </c>
      <c r="Y257" s="369" t="str">
        <f ca="1">IF($B257&lt;&gt;"PRC_RESID","",IF(Y$7=2005+OFFSET(COM_N_2012!$B$60,$AW257,SUMIF($B$10:$B$16,"NCAP_TLIFE",$AX$10:$AX$16)),0,""))</f>
        <v/>
      </c>
      <c r="Z257" s="369" t="str">
        <f ca="1">IF($B257&lt;&gt;"PRC_RESID","",IF(Z$7=2005+OFFSET(COM_N_2012!$B$60,$AW257,SUMIF($B$10:$B$16,"NCAP_TLIFE",$AX$10:$AX$16)),0,""))</f>
        <v/>
      </c>
      <c r="AA257" s="369" t="str">
        <f ca="1">IF($B257&lt;&gt;"PRC_RESID","",IF(AA$7=2005+OFFSET(COM_N_2012!$B$60,$AW257,SUMIF($B$10:$B$16,"NCAP_TLIFE",$AX$10:$AX$16)),0,""))</f>
        <v/>
      </c>
      <c r="AB257" s="369" t="str">
        <f ca="1">IF($B257&lt;&gt;"PRC_RESID","",IF(AB$7=2005+OFFSET(COM_N_2012!$B$60,$AW257,SUMIF($B$10:$B$16,"NCAP_TLIFE",$AX$10:$AX$16)),0,""))</f>
        <v/>
      </c>
      <c r="AC257" s="369" t="str">
        <f ca="1">IF($B257&lt;&gt;"PRC_RESID","",IF(AC$7=2005+OFFSET(COM_N_2012!$B$60,$AW257,SUMIF($B$10:$B$16,"NCAP_TLIFE",$AX$10:$AX$16)),0,""))</f>
        <v/>
      </c>
      <c r="AD257" s="369" t="str">
        <f ca="1">IF($B257&lt;&gt;"PRC_RESID","",IF(AD$7=2005+OFFSET(COM_N_2012!$B$60,$AW257,SUMIF($B$10:$B$16,"NCAP_TLIFE",$AX$10:$AX$16)),0,""))</f>
        <v/>
      </c>
      <c r="AE257" s="369" t="str">
        <f ca="1">IF($B257&lt;&gt;"PRC_RESID","",IF(AE$7=2005+OFFSET(COM_N_2012!$B$60,$AW257,SUMIF($B$10:$B$16,"NCAP_TLIFE",$AX$10:$AX$16)),0,""))</f>
        <v/>
      </c>
      <c r="AF257" s="369" t="str">
        <f ca="1">IF($B257&lt;&gt;"PRC_RESID","",IF(AF$7=2005+OFFSET(COM_N_2012!$B$60,$AW257,SUMIF($B$10:$B$16,"NCAP_TLIFE",$AX$10:$AX$16)),0,""))</f>
        <v/>
      </c>
      <c r="AG257" s="369" t="str">
        <f ca="1">IF($B257&lt;&gt;"PRC_RESID","",IF(AG$7=2005+OFFSET(COM_N_2012!$B$60,$AW257,SUMIF($B$10:$B$16,"NCAP_TLIFE",$AX$10:$AX$16)),0,""))</f>
        <v/>
      </c>
      <c r="AH257" s="369" t="str">
        <f ca="1">IF($B257&lt;&gt;"PRC_RESID","",IF(AH$7=2005+OFFSET(COM_N_2012!$B$60,$AW257,SUMIF($B$10:$B$16,"NCAP_TLIFE",$AX$10:$AX$16)),0,""))</f>
        <v/>
      </c>
      <c r="AI257" s="369" t="str">
        <f ca="1">IF($B257&lt;&gt;"PRC_RESID","",IF(AI$7=2005+OFFSET(COM_N_2012!$B$60,$AW257,SUMIF($B$10:$B$16,"NCAP_TLIFE",$AX$10:$AX$16)),0,""))</f>
        <v/>
      </c>
      <c r="AJ257" s="369" t="str">
        <f ca="1">IF($B257&lt;&gt;"PRC_RESID","",IF(AJ$7=2005+OFFSET(COM_N_2012!$B$60,$AW257,SUMIF($B$10:$B$16,"NCAP_TLIFE",$AX$10:$AX$16)),0,""))</f>
        <v/>
      </c>
      <c r="AK257" s="369" t="str">
        <f ca="1">IF($B257&lt;&gt;"PRC_RESID","",IF(AK$7=2005+OFFSET(COM_N_2012!$B$60,$AW257,SUMIF($B$10:$B$16,"NCAP_TLIFE",$AX$10:$AX$16)),0,""))</f>
        <v/>
      </c>
      <c r="AL257" s="369" t="str">
        <f ca="1">IF($B257&lt;&gt;"PRC_RESID","",IF(AL$7=2005+OFFSET(COM_N_2012!$B$60,$AW257,SUMIF($B$10:$B$16,"NCAP_TLIFE",$AX$10:$AX$16)),0,""))</f>
        <v/>
      </c>
      <c r="AM257" s="369" t="str">
        <f ca="1">IF($B257&lt;&gt;"PRC_RESID","",IF(AM$7=2005+OFFSET(COM_N_2012!$B$60,$AW257,SUMIF($B$10:$B$16,"NCAP_TLIFE",$AX$10:$AX$16)),0,""))</f>
        <v/>
      </c>
      <c r="AN257" s="369" t="str">
        <f ca="1">IF($B257&lt;&gt;"PRC_RESID","",IF(AN$7=2005+OFFSET(COM_N_2012!$B$60,$AW257,SUMIF($B$10:$B$16,"NCAP_TLIFE",$AX$10:$AX$16)),0,""))</f>
        <v/>
      </c>
      <c r="AO257" s="369" t="str">
        <f ca="1">IF($B257&lt;&gt;"PRC_RESID","",IF(AO$7=2005+OFFSET(COM_N_2012!$B$60,$AW257,SUMIF($B$10:$B$16,"NCAP_TLIFE",$AX$10:$AX$16)),0,""))</f>
        <v/>
      </c>
      <c r="AP257" s="369" t="str">
        <f ca="1">IF($B257&lt;&gt;"PRC_RESID","",IF(AP$7=2005+OFFSET(COM_N_2012!$B$60,$AW257,SUMIF($B$10:$B$16,"NCAP_TLIFE",$AX$10:$AX$16)),0,""))</f>
        <v/>
      </c>
      <c r="AQ257" s="369" t="str">
        <f ca="1">IF($B257&lt;&gt;"PRC_RESID","",IF(AQ$7=2005+OFFSET(COM_N_2012!$B$60,$AW257,SUMIF($B$10:$B$16,"NCAP_TLIFE",$AX$10:$AX$16)),0,""))</f>
        <v/>
      </c>
      <c r="AR257" s="369" t="str">
        <f ca="1">IF($B257&lt;&gt;"PRC_RESID","",IF(AR$7=2005+OFFSET(COM_N_2012!$B$60,$AW257,SUMIF($B$10:$B$16,"NCAP_TLIFE",$AX$10:$AX$16)),0,""))</f>
        <v/>
      </c>
      <c r="AS257" s="369" t="str">
        <f ca="1">IF($B257&lt;&gt;"PRC_RESID","",IF(AS$7=2005+OFFSET(COM_N_2012!$B$60,$AW257,SUMIF($B$10:$B$16,"NCAP_TLIFE",$AX$10:$AX$16)),0,""))</f>
        <v/>
      </c>
      <c r="AT257" s="369" t="str">
        <f ca="1">IF($B257&lt;&gt;"PRC_RESID","",IF(AT$7=2005+OFFSET(COM_N_2012!$B$60,$AW257,SUMIF($B$10:$B$16,"NCAP_TLIFE",$AX$10:$AX$16)),0,""))</f>
        <v/>
      </c>
      <c r="AU257" s="369" t="str">
        <f ca="1">IF($B257&lt;&gt;"PRC_RESID","",IF(AU$7=2005+OFFSET(COM_N_2012!$B$60,$AW257,SUMIF($B$10:$B$16,"NCAP_TLIFE",$AX$10:$AX$16)),0,""))</f>
        <v/>
      </c>
      <c r="AV257" s="304">
        <f>IF(AW256=COM_N_2012!$AK$121,AV256+1,AV256)</f>
        <v>4</v>
      </c>
      <c r="AW257" s="304">
        <f t="shared" si="29"/>
        <v>57</v>
      </c>
    </row>
    <row r="258" spans="1:49">
      <c r="A258" s="304" t="str">
        <f ca="1">IF(LEFT(OFFSET(COM_N_2012!$A$60,AW258,0),2)="\I","*","")</f>
        <v/>
      </c>
      <c r="B258" s="369" t="str">
        <f t="shared" ca="1" si="28"/>
        <v>NCAP_COST</v>
      </c>
      <c r="C258" s="369" t="str">
        <f ca="1">IF($A258="*","",OFFSET(COM_N_2012!$B$60,AW258,0))</f>
        <v>CNOOHF-E</v>
      </c>
      <c r="D258" s="369" t="str">
        <f t="shared" ref="D258:I267" ca="1" si="34">IF($A258="*","",VLOOKUP($B258,$B$10:$I$16,D$9,FALSE))</f>
        <v>-</v>
      </c>
      <c r="E258" s="369" t="str">
        <f t="shared" ca="1" si="34"/>
        <v>-</v>
      </c>
      <c r="F258" s="369" t="str">
        <f t="shared" ca="1" si="34"/>
        <v>-</v>
      </c>
      <c r="G258" s="369" t="str">
        <f t="shared" ca="1" si="34"/>
        <v>-</v>
      </c>
      <c r="H258" s="369" t="str">
        <f t="shared" ca="1" si="34"/>
        <v>-</v>
      </c>
      <c r="I258" s="370">
        <f t="shared" ca="1" si="34"/>
        <v>0</v>
      </c>
      <c r="J258" s="391">
        <f ca="1">IF($A258="*","",OFFSET(COM_N_2012!$B$60,AW258,SUMIF($B$10:$B$16,B258,$AX$10:$AX$16)))</f>
        <v>410.88682603593844</v>
      </c>
      <c r="K258" s="369" t="str">
        <f ca="1">IF($B258&lt;&gt;"PRC_RESID","",IF(K$7=2005+OFFSET(COM_N_2012!$B$60,$AW258,SUMIF($B$10:$B$16,"NCAP_TLIFE",$AX$10:$AX$16)),0,""))</f>
        <v/>
      </c>
      <c r="L258" s="369" t="str">
        <f ca="1">IF($B258&lt;&gt;"PRC_RESID","",IF(L$7=2005+OFFSET(COM_N_2012!$B$60,$AW258,SUMIF($B$10:$B$16,"NCAP_TLIFE",$AX$10:$AX$16)),0,""))</f>
        <v/>
      </c>
      <c r="M258" s="369" t="str">
        <f ca="1">IF($B258&lt;&gt;"PRC_RESID","",IF(M$7=2005+OFFSET(COM_N_2012!$B$60,$AW258,SUMIF($B$10:$B$16,"NCAP_TLIFE",$AX$10:$AX$16)),0,""))</f>
        <v/>
      </c>
      <c r="N258" s="369" t="str">
        <f ca="1">IF($B258&lt;&gt;"PRC_RESID","",IF(N$7=2005+OFFSET(COM_N_2012!$B$60,$AW258,SUMIF($B$10:$B$16,"NCAP_TLIFE",$AX$10:$AX$16)),0,""))</f>
        <v/>
      </c>
      <c r="O258" s="369" t="str">
        <f ca="1">IF($B258&lt;&gt;"PRC_RESID","",IF(O$7=2005+OFFSET(COM_N_2012!$B$60,$AW258,SUMIF($B$10:$B$16,"NCAP_TLIFE",$AX$10:$AX$16)),0,""))</f>
        <v/>
      </c>
      <c r="P258" s="369" t="str">
        <f ca="1">IF($B258&lt;&gt;"PRC_RESID","",IF(P$7=2005+OFFSET(COM_N_2012!$B$60,$AW258,SUMIF($B$10:$B$16,"NCAP_TLIFE",$AX$10:$AX$16)),0,""))</f>
        <v/>
      </c>
      <c r="Q258" s="369" t="str">
        <f ca="1">IF($B258&lt;&gt;"PRC_RESID","",IF(Q$7=2005+OFFSET(COM_N_2012!$B$60,$AW258,SUMIF($B$10:$B$16,"NCAP_TLIFE",$AX$10:$AX$16)),0,""))</f>
        <v/>
      </c>
      <c r="R258" s="369" t="str">
        <f ca="1">IF($B258&lt;&gt;"PRC_RESID","",IF(R$7=2005+OFFSET(COM_N_2012!$B$60,$AW258,SUMIF($B$10:$B$16,"NCAP_TLIFE",$AX$10:$AX$16)),0,""))</f>
        <v/>
      </c>
      <c r="S258" s="369" t="str">
        <f ca="1">IF($B258&lt;&gt;"PRC_RESID","",IF(S$7=2005+OFFSET(COM_N_2012!$B$60,$AW258,SUMIF($B$10:$B$16,"NCAP_TLIFE",$AX$10:$AX$16)),0,""))</f>
        <v/>
      </c>
      <c r="T258" s="369" t="str">
        <f ca="1">IF($B258&lt;&gt;"PRC_RESID","",IF(T$7=2005+OFFSET(COM_N_2012!$B$60,$AW258,SUMIF($B$10:$B$16,"NCAP_TLIFE",$AX$10:$AX$16)),0,""))</f>
        <v/>
      </c>
      <c r="U258" s="369" t="str">
        <f ca="1">IF($B258&lt;&gt;"PRC_RESID","",IF(U$7=2005+OFFSET(COM_N_2012!$B$60,$AW258,SUMIF($B$10:$B$16,"NCAP_TLIFE",$AX$10:$AX$16)),0,""))</f>
        <v/>
      </c>
      <c r="V258" s="369" t="str">
        <f ca="1">IF($B258&lt;&gt;"PRC_RESID","",IF(V$7=2005+OFFSET(COM_N_2012!$B$60,$AW258,SUMIF($B$10:$B$16,"NCAP_TLIFE",$AX$10:$AX$16)),0,""))</f>
        <v/>
      </c>
      <c r="W258" s="369" t="str">
        <f ca="1">IF($B258&lt;&gt;"PRC_RESID","",IF(W$7=2005+OFFSET(COM_N_2012!$B$60,$AW258,SUMIF($B$10:$B$16,"NCAP_TLIFE",$AX$10:$AX$16)),0,""))</f>
        <v/>
      </c>
      <c r="X258" s="369" t="str">
        <f ca="1">IF($B258&lt;&gt;"PRC_RESID","",IF(X$7=2005+OFFSET(COM_N_2012!$B$60,$AW258,SUMIF($B$10:$B$16,"NCAP_TLIFE",$AX$10:$AX$16)),0,""))</f>
        <v/>
      </c>
      <c r="Y258" s="369" t="str">
        <f ca="1">IF($B258&lt;&gt;"PRC_RESID","",IF(Y$7=2005+OFFSET(COM_N_2012!$B$60,$AW258,SUMIF($B$10:$B$16,"NCAP_TLIFE",$AX$10:$AX$16)),0,""))</f>
        <v/>
      </c>
      <c r="Z258" s="369" t="str">
        <f ca="1">IF($B258&lt;&gt;"PRC_RESID","",IF(Z$7=2005+OFFSET(COM_N_2012!$B$60,$AW258,SUMIF($B$10:$B$16,"NCAP_TLIFE",$AX$10:$AX$16)),0,""))</f>
        <v/>
      </c>
      <c r="AA258" s="369" t="str">
        <f ca="1">IF($B258&lt;&gt;"PRC_RESID","",IF(AA$7=2005+OFFSET(COM_N_2012!$B$60,$AW258,SUMIF($B$10:$B$16,"NCAP_TLIFE",$AX$10:$AX$16)),0,""))</f>
        <v/>
      </c>
      <c r="AB258" s="369" t="str">
        <f ca="1">IF($B258&lt;&gt;"PRC_RESID","",IF(AB$7=2005+OFFSET(COM_N_2012!$B$60,$AW258,SUMIF($B$10:$B$16,"NCAP_TLIFE",$AX$10:$AX$16)),0,""))</f>
        <v/>
      </c>
      <c r="AC258" s="369" t="str">
        <f ca="1">IF($B258&lt;&gt;"PRC_RESID","",IF(AC$7=2005+OFFSET(COM_N_2012!$B$60,$AW258,SUMIF($B$10:$B$16,"NCAP_TLIFE",$AX$10:$AX$16)),0,""))</f>
        <v/>
      </c>
      <c r="AD258" s="369" t="str">
        <f ca="1">IF($B258&lt;&gt;"PRC_RESID","",IF(AD$7=2005+OFFSET(COM_N_2012!$B$60,$AW258,SUMIF($B$10:$B$16,"NCAP_TLIFE",$AX$10:$AX$16)),0,""))</f>
        <v/>
      </c>
      <c r="AE258" s="369" t="str">
        <f ca="1">IF($B258&lt;&gt;"PRC_RESID","",IF(AE$7=2005+OFFSET(COM_N_2012!$B$60,$AW258,SUMIF($B$10:$B$16,"NCAP_TLIFE",$AX$10:$AX$16)),0,""))</f>
        <v/>
      </c>
      <c r="AF258" s="369" t="str">
        <f ca="1">IF($B258&lt;&gt;"PRC_RESID","",IF(AF$7=2005+OFFSET(COM_N_2012!$B$60,$AW258,SUMIF($B$10:$B$16,"NCAP_TLIFE",$AX$10:$AX$16)),0,""))</f>
        <v/>
      </c>
      <c r="AG258" s="369" t="str">
        <f ca="1">IF($B258&lt;&gt;"PRC_RESID","",IF(AG$7=2005+OFFSET(COM_N_2012!$B$60,$AW258,SUMIF($B$10:$B$16,"NCAP_TLIFE",$AX$10:$AX$16)),0,""))</f>
        <v/>
      </c>
      <c r="AH258" s="369" t="str">
        <f ca="1">IF($B258&lt;&gt;"PRC_RESID","",IF(AH$7=2005+OFFSET(COM_N_2012!$B$60,$AW258,SUMIF($B$10:$B$16,"NCAP_TLIFE",$AX$10:$AX$16)),0,""))</f>
        <v/>
      </c>
      <c r="AI258" s="369" t="str">
        <f ca="1">IF($B258&lt;&gt;"PRC_RESID","",IF(AI$7=2005+OFFSET(COM_N_2012!$B$60,$AW258,SUMIF($B$10:$B$16,"NCAP_TLIFE",$AX$10:$AX$16)),0,""))</f>
        <v/>
      </c>
      <c r="AJ258" s="369" t="str">
        <f ca="1">IF($B258&lt;&gt;"PRC_RESID","",IF(AJ$7=2005+OFFSET(COM_N_2012!$B$60,$AW258,SUMIF($B$10:$B$16,"NCAP_TLIFE",$AX$10:$AX$16)),0,""))</f>
        <v/>
      </c>
      <c r="AK258" s="369" t="str">
        <f ca="1">IF($B258&lt;&gt;"PRC_RESID","",IF(AK$7=2005+OFFSET(COM_N_2012!$B$60,$AW258,SUMIF($B$10:$B$16,"NCAP_TLIFE",$AX$10:$AX$16)),0,""))</f>
        <v/>
      </c>
      <c r="AL258" s="369" t="str">
        <f ca="1">IF($B258&lt;&gt;"PRC_RESID","",IF(AL$7=2005+OFFSET(COM_N_2012!$B$60,$AW258,SUMIF($B$10:$B$16,"NCAP_TLIFE",$AX$10:$AX$16)),0,""))</f>
        <v/>
      </c>
      <c r="AM258" s="369" t="str">
        <f ca="1">IF($B258&lt;&gt;"PRC_RESID","",IF(AM$7=2005+OFFSET(COM_N_2012!$B$60,$AW258,SUMIF($B$10:$B$16,"NCAP_TLIFE",$AX$10:$AX$16)),0,""))</f>
        <v/>
      </c>
      <c r="AN258" s="369" t="str">
        <f ca="1">IF($B258&lt;&gt;"PRC_RESID","",IF(AN$7=2005+OFFSET(COM_N_2012!$B$60,$AW258,SUMIF($B$10:$B$16,"NCAP_TLIFE",$AX$10:$AX$16)),0,""))</f>
        <v/>
      </c>
      <c r="AO258" s="369" t="str">
        <f ca="1">IF($B258&lt;&gt;"PRC_RESID","",IF(AO$7=2005+OFFSET(COM_N_2012!$B$60,$AW258,SUMIF($B$10:$B$16,"NCAP_TLIFE",$AX$10:$AX$16)),0,""))</f>
        <v/>
      </c>
      <c r="AP258" s="369" t="str">
        <f ca="1">IF($B258&lt;&gt;"PRC_RESID","",IF(AP$7=2005+OFFSET(COM_N_2012!$B$60,$AW258,SUMIF($B$10:$B$16,"NCAP_TLIFE",$AX$10:$AX$16)),0,""))</f>
        <v/>
      </c>
      <c r="AQ258" s="369" t="str">
        <f ca="1">IF($B258&lt;&gt;"PRC_RESID","",IF(AQ$7=2005+OFFSET(COM_N_2012!$B$60,$AW258,SUMIF($B$10:$B$16,"NCAP_TLIFE",$AX$10:$AX$16)),0,""))</f>
        <v/>
      </c>
      <c r="AR258" s="369" t="str">
        <f ca="1">IF($B258&lt;&gt;"PRC_RESID","",IF(AR$7=2005+OFFSET(COM_N_2012!$B$60,$AW258,SUMIF($B$10:$B$16,"NCAP_TLIFE",$AX$10:$AX$16)),0,""))</f>
        <v/>
      </c>
      <c r="AS258" s="369" t="str">
        <f ca="1">IF($B258&lt;&gt;"PRC_RESID","",IF(AS$7=2005+OFFSET(COM_N_2012!$B$60,$AW258,SUMIF($B$10:$B$16,"NCAP_TLIFE",$AX$10:$AX$16)),0,""))</f>
        <v/>
      </c>
      <c r="AT258" s="369" t="str">
        <f ca="1">IF($B258&lt;&gt;"PRC_RESID","",IF(AT$7=2005+OFFSET(COM_N_2012!$B$60,$AW258,SUMIF($B$10:$B$16,"NCAP_TLIFE",$AX$10:$AX$16)),0,""))</f>
        <v/>
      </c>
      <c r="AU258" s="369" t="str">
        <f ca="1">IF($B258&lt;&gt;"PRC_RESID","",IF(AU$7=2005+OFFSET(COM_N_2012!$B$60,$AW258,SUMIF($B$10:$B$16,"NCAP_TLIFE",$AX$10:$AX$16)),0,""))</f>
        <v/>
      </c>
      <c r="AV258" s="304">
        <f>IF(AW257=COM_N_2012!$AK$121,AV257+1,AV257)</f>
        <v>4</v>
      </c>
      <c r="AW258" s="304">
        <f t="shared" si="29"/>
        <v>58</v>
      </c>
    </row>
    <row r="259" spans="1:49">
      <c r="A259" s="304" t="str">
        <f ca="1">IF(LEFT(OFFSET(COM_N_2012!$A$60,AW259,0),2)="\I","*","")</f>
        <v/>
      </c>
      <c r="B259" s="369" t="str">
        <f t="shared" ca="1" si="28"/>
        <v>NCAP_COST</v>
      </c>
      <c r="C259" s="369" t="str">
        <f ca="1">IF($A259="*","",OFFSET(COM_N_2012!$B$60,AW259,0))</f>
        <v>CNOOKE-E</v>
      </c>
      <c r="D259" s="369" t="str">
        <f t="shared" ca="1" si="34"/>
        <v>-</v>
      </c>
      <c r="E259" s="369" t="str">
        <f t="shared" ca="1" si="34"/>
        <v>-</v>
      </c>
      <c r="F259" s="369" t="str">
        <f t="shared" ca="1" si="34"/>
        <v>-</v>
      </c>
      <c r="G259" s="369" t="str">
        <f t="shared" ca="1" si="34"/>
        <v>-</v>
      </c>
      <c r="H259" s="369" t="str">
        <f t="shared" ca="1" si="34"/>
        <v>-</v>
      </c>
      <c r="I259" s="370">
        <f t="shared" ca="1" si="34"/>
        <v>0</v>
      </c>
      <c r="J259" s="391">
        <f ca="1">IF($A259="*","",OFFSET(COM_N_2012!$B$60,AW259,SUMIF($B$10:$B$16,B259,$AX$10:$AX$16)))</f>
        <v>410.88682603593844</v>
      </c>
      <c r="K259" s="369" t="str">
        <f ca="1">IF($B259&lt;&gt;"PRC_RESID","",IF(K$7=2005+OFFSET(COM_N_2012!$B$60,$AW259,SUMIF($B$10:$B$16,"NCAP_TLIFE",$AX$10:$AX$16)),0,""))</f>
        <v/>
      </c>
      <c r="L259" s="369" t="str">
        <f ca="1">IF($B259&lt;&gt;"PRC_RESID","",IF(L$7=2005+OFFSET(COM_N_2012!$B$60,$AW259,SUMIF($B$10:$B$16,"NCAP_TLIFE",$AX$10:$AX$16)),0,""))</f>
        <v/>
      </c>
      <c r="M259" s="369" t="str">
        <f ca="1">IF($B259&lt;&gt;"PRC_RESID","",IF(M$7=2005+OFFSET(COM_N_2012!$B$60,$AW259,SUMIF($B$10:$B$16,"NCAP_TLIFE",$AX$10:$AX$16)),0,""))</f>
        <v/>
      </c>
      <c r="N259" s="369" t="str">
        <f ca="1">IF($B259&lt;&gt;"PRC_RESID","",IF(N$7=2005+OFFSET(COM_N_2012!$B$60,$AW259,SUMIF($B$10:$B$16,"NCAP_TLIFE",$AX$10:$AX$16)),0,""))</f>
        <v/>
      </c>
      <c r="O259" s="369" t="str">
        <f ca="1">IF($B259&lt;&gt;"PRC_RESID","",IF(O$7=2005+OFFSET(COM_N_2012!$B$60,$AW259,SUMIF($B$10:$B$16,"NCAP_TLIFE",$AX$10:$AX$16)),0,""))</f>
        <v/>
      </c>
      <c r="P259" s="369" t="str">
        <f ca="1">IF($B259&lt;&gt;"PRC_RESID","",IF(P$7=2005+OFFSET(COM_N_2012!$B$60,$AW259,SUMIF($B$10:$B$16,"NCAP_TLIFE",$AX$10:$AX$16)),0,""))</f>
        <v/>
      </c>
      <c r="Q259" s="369" t="str">
        <f ca="1">IF($B259&lt;&gt;"PRC_RESID","",IF(Q$7=2005+OFFSET(COM_N_2012!$B$60,$AW259,SUMIF($B$10:$B$16,"NCAP_TLIFE",$AX$10:$AX$16)),0,""))</f>
        <v/>
      </c>
      <c r="R259" s="369" t="str">
        <f ca="1">IF($B259&lt;&gt;"PRC_RESID","",IF(R$7=2005+OFFSET(COM_N_2012!$B$60,$AW259,SUMIF($B$10:$B$16,"NCAP_TLIFE",$AX$10:$AX$16)),0,""))</f>
        <v/>
      </c>
      <c r="S259" s="369" t="str">
        <f ca="1">IF($B259&lt;&gt;"PRC_RESID","",IF(S$7=2005+OFFSET(COM_N_2012!$B$60,$AW259,SUMIF($B$10:$B$16,"NCAP_TLIFE",$AX$10:$AX$16)),0,""))</f>
        <v/>
      </c>
      <c r="T259" s="369" t="str">
        <f ca="1">IF($B259&lt;&gt;"PRC_RESID","",IF(T$7=2005+OFFSET(COM_N_2012!$B$60,$AW259,SUMIF($B$10:$B$16,"NCAP_TLIFE",$AX$10:$AX$16)),0,""))</f>
        <v/>
      </c>
      <c r="U259" s="369" t="str">
        <f ca="1">IF($B259&lt;&gt;"PRC_RESID","",IF(U$7=2005+OFFSET(COM_N_2012!$B$60,$AW259,SUMIF($B$10:$B$16,"NCAP_TLIFE",$AX$10:$AX$16)),0,""))</f>
        <v/>
      </c>
      <c r="V259" s="369" t="str">
        <f ca="1">IF($B259&lt;&gt;"PRC_RESID","",IF(V$7=2005+OFFSET(COM_N_2012!$B$60,$AW259,SUMIF($B$10:$B$16,"NCAP_TLIFE",$AX$10:$AX$16)),0,""))</f>
        <v/>
      </c>
      <c r="W259" s="369" t="str">
        <f ca="1">IF($B259&lt;&gt;"PRC_RESID","",IF(W$7=2005+OFFSET(COM_N_2012!$B$60,$AW259,SUMIF($B$10:$B$16,"NCAP_TLIFE",$AX$10:$AX$16)),0,""))</f>
        <v/>
      </c>
      <c r="X259" s="369" t="str">
        <f ca="1">IF($B259&lt;&gt;"PRC_RESID","",IF(X$7=2005+OFFSET(COM_N_2012!$B$60,$AW259,SUMIF($B$10:$B$16,"NCAP_TLIFE",$AX$10:$AX$16)),0,""))</f>
        <v/>
      </c>
      <c r="Y259" s="369" t="str">
        <f ca="1">IF($B259&lt;&gt;"PRC_RESID","",IF(Y$7=2005+OFFSET(COM_N_2012!$B$60,$AW259,SUMIF($B$10:$B$16,"NCAP_TLIFE",$AX$10:$AX$16)),0,""))</f>
        <v/>
      </c>
      <c r="Z259" s="369" t="str">
        <f ca="1">IF($B259&lt;&gt;"PRC_RESID","",IF(Z$7=2005+OFFSET(COM_N_2012!$B$60,$AW259,SUMIF($B$10:$B$16,"NCAP_TLIFE",$AX$10:$AX$16)),0,""))</f>
        <v/>
      </c>
      <c r="AA259" s="369" t="str">
        <f ca="1">IF($B259&lt;&gt;"PRC_RESID","",IF(AA$7=2005+OFFSET(COM_N_2012!$B$60,$AW259,SUMIF($B$10:$B$16,"NCAP_TLIFE",$AX$10:$AX$16)),0,""))</f>
        <v/>
      </c>
      <c r="AB259" s="369" t="str">
        <f ca="1">IF($B259&lt;&gt;"PRC_RESID","",IF(AB$7=2005+OFFSET(COM_N_2012!$B$60,$AW259,SUMIF($B$10:$B$16,"NCAP_TLIFE",$AX$10:$AX$16)),0,""))</f>
        <v/>
      </c>
      <c r="AC259" s="369" t="str">
        <f ca="1">IF($B259&lt;&gt;"PRC_RESID","",IF(AC$7=2005+OFFSET(COM_N_2012!$B$60,$AW259,SUMIF($B$10:$B$16,"NCAP_TLIFE",$AX$10:$AX$16)),0,""))</f>
        <v/>
      </c>
      <c r="AD259" s="369" t="str">
        <f ca="1">IF($B259&lt;&gt;"PRC_RESID","",IF(AD$7=2005+OFFSET(COM_N_2012!$B$60,$AW259,SUMIF($B$10:$B$16,"NCAP_TLIFE",$AX$10:$AX$16)),0,""))</f>
        <v/>
      </c>
      <c r="AE259" s="369" t="str">
        <f ca="1">IF($B259&lt;&gt;"PRC_RESID","",IF(AE$7=2005+OFFSET(COM_N_2012!$B$60,$AW259,SUMIF($B$10:$B$16,"NCAP_TLIFE",$AX$10:$AX$16)),0,""))</f>
        <v/>
      </c>
      <c r="AF259" s="369" t="str">
        <f ca="1">IF($B259&lt;&gt;"PRC_RESID","",IF(AF$7=2005+OFFSET(COM_N_2012!$B$60,$AW259,SUMIF($B$10:$B$16,"NCAP_TLIFE",$AX$10:$AX$16)),0,""))</f>
        <v/>
      </c>
      <c r="AG259" s="369" t="str">
        <f ca="1">IF($B259&lt;&gt;"PRC_RESID","",IF(AG$7=2005+OFFSET(COM_N_2012!$B$60,$AW259,SUMIF($B$10:$B$16,"NCAP_TLIFE",$AX$10:$AX$16)),0,""))</f>
        <v/>
      </c>
      <c r="AH259" s="369" t="str">
        <f ca="1">IF($B259&lt;&gt;"PRC_RESID","",IF(AH$7=2005+OFFSET(COM_N_2012!$B$60,$AW259,SUMIF($B$10:$B$16,"NCAP_TLIFE",$AX$10:$AX$16)),0,""))</f>
        <v/>
      </c>
      <c r="AI259" s="369" t="str">
        <f ca="1">IF($B259&lt;&gt;"PRC_RESID","",IF(AI$7=2005+OFFSET(COM_N_2012!$B$60,$AW259,SUMIF($B$10:$B$16,"NCAP_TLIFE",$AX$10:$AX$16)),0,""))</f>
        <v/>
      </c>
      <c r="AJ259" s="369" t="str">
        <f ca="1">IF($B259&lt;&gt;"PRC_RESID","",IF(AJ$7=2005+OFFSET(COM_N_2012!$B$60,$AW259,SUMIF($B$10:$B$16,"NCAP_TLIFE",$AX$10:$AX$16)),0,""))</f>
        <v/>
      </c>
      <c r="AK259" s="369" t="str">
        <f ca="1">IF($B259&lt;&gt;"PRC_RESID","",IF(AK$7=2005+OFFSET(COM_N_2012!$B$60,$AW259,SUMIF($B$10:$B$16,"NCAP_TLIFE",$AX$10:$AX$16)),0,""))</f>
        <v/>
      </c>
      <c r="AL259" s="369" t="str">
        <f ca="1">IF($B259&lt;&gt;"PRC_RESID","",IF(AL$7=2005+OFFSET(COM_N_2012!$B$60,$AW259,SUMIF($B$10:$B$16,"NCAP_TLIFE",$AX$10:$AX$16)),0,""))</f>
        <v/>
      </c>
      <c r="AM259" s="369" t="str">
        <f ca="1">IF($B259&lt;&gt;"PRC_RESID","",IF(AM$7=2005+OFFSET(COM_N_2012!$B$60,$AW259,SUMIF($B$10:$B$16,"NCAP_TLIFE",$AX$10:$AX$16)),0,""))</f>
        <v/>
      </c>
      <c r="AN259" s="369" t="str">
        <f ca="1">IF($B259&lt;&gt;"PRC_RESID","",IF(AN$7=2005+OFFSET(COM_N_2012!$B$60,$AW259,SUMIF($B$10:$B$16,"NCAP_TLIFE",$AX$10:$AX$16)),0,""))</f>
        <v/>
      </c>
      <c r="AO259" s="369" t="str">
        <f ca="1">IF($B259&lt;&gt;"PRC_RESID","",IF(AO$7=2005+OFFSET(COM_N_2012!$B$60,$AW259,SUMIF($B$10:$B$16,"NCAP_TLIFE",$AX$10:$AX$16)),0,""))</f>
        <v/>
      </c>
      <c r="AP259" s="369" t="str">
        <f ca="1">IF($B259&lt;&gt;"PRC_RESID","",IF(AP$7=2005+OFFSET(COM_N_2012!$B$60,$AW259,SUMIF($B$10:$B$16,"NCAP_TLIFE",$AX$10:$AX$16)),0,""))</f>
        <v/>
      </c>
      <c r="AQ259" s="369" t="str">
        <f ca="1">IF($B259&lt;&gt;"PRC_RESID","",IF(AQ$7=2005+OFFSET(COM_N_2012!$B$60,$AW259,SUMIF($B$10:$B$16,"NCAP_TLIFE",$AX$10:$AX$16)),0,""))</f>
        <v/>
      </c>
      <c r="AR259" s="369" t="str">
        <f ca="1">IF($B259&lt;&gt;"PRC_RESID","",IF(AR$7=2005+OFFSET(COM_N_2012!$B$60,$AW259,SUMIF($B$10:$B$16,"NCAP_TLIFE",$AX$10:$AX$16)),0,""))</f>
        <v/>
      </c>
      <c r="AS259" s="369" t="str">
        <f ca="1">IF($B259&lt;&gt;"PRC_RESID","",IF(AS$7=2005+OFFSET(COM_N_2012!$B$60,$AW259,SUMIF($B$10:$B$16,"NCAP_TLIFE",$AX$10:$AX$16)),0,""))</f>
        <v/>
      </c>
      <c r="AT259" s="369" t="str">
        <f ca="1">IF($B259&lt;&gt;"PRC_RESID","",IF(AT$7=2005+OFFSET(COM_N_2012!$B$60,$AW259,SUMIF($B$10:$B$16,"NCAP_TLIFE",$AX$10:$AX$16)),0,""))</f>
        <v/>
      </c>
      <c r="AU259" s="369" t="str">
        <f ca="1">IF($B259&lt;&gt;"PRC_RESID","",IF(AU$7=2005+OFFSET(COM_N_2012!$B$60,$AW259,SUMIF($B$10:$B$16,"NCAP_TLIFE",$AX$10:$AX$16)),0,""))</f>
        <v/>
      </c>
      <c r="AV259" s="304">
        <f>IF(AW258=COM_N_2012!$AK$121,AV258+1,AV258)</f>
        <v>4</v>
      </c>
      <c r="AW259" s="304">
        <f t="shared" si="29"/>
        <v>59</v>
      </c>
    </row>
    <row r="260" spans="1:49">
      <c r="A260" s="304" t="str">
        <f ca="1">IF(LEFT(OFFSET(COM_N_2012!$A$60,AW260,0),2)="\I","*","")</f>
        <v>*</v>
      </c>
      <c r="B260" s="369" t="str">
        <f t="shared" ca="1" si="28"/>
        <v/>
      </c>
      <c r="C260" s="369" t="str">
        <f ca="1">IF($A260="*","",OFFSET(COM_N_2012!$B$60,AW260,0))</f>
        <v/>
      </c>
      <c r="D260" s="369" t="str">
        <f t="shared" ca="1" si="34"/>
        <v/>
      </c>
      <c r="E260" s="369" t="str">
        <f t="shared" ca="1" si="34"/>
        <v/>
      </c>
      <c r="F260" s="369" t="str">
        <f t="shared" ca="1" si="34"/>
        <v/>
      </c>
      <c r="G260" s="369" t="str">
        <f t="shared" ca="1" si="34"/>
        <v/>
      </c>
      <c r="H260" s="369" t="str">
        <f t="shared" ca="1" si="34"/>
        <v/>
      </c>
      <c r="I260" s="370" t="str">
        <f t="shared" ca="1" si="34"/>
        <v/>
      </c>
      <c r="J260" s="391" t="str">
        <f ca="1">IF($A260="*","",OFFSET(COM_N_2012!$B$60,AW260,SUMIF($B$10:$B$16,B260,$AX$10:$AX$16)))</f>
        <v/>
      </c>
      <c r="K260" s="369" t="str">
        <f ca="1">IF($B260&lt;&gt;"PRC_RESID","",IF(K$7=2005+OFFSET(COM_N_2012!$B$60,$AW260,SUMIF($B$10:$B$16,"NCAP_TLIFE",$AX$10:$AX$16)),0,""))</f>
        <v/>
      </c>
      <c r="L260" s="369" t="str">
        <f ca="1">IF($B260&lt;&gt;"PRC_RESID","",IF(L$7=2005+OFFSET(COM_N_2012!$B$60,$AW260,SUMIF($B$10:$B$16,"NCAP_TLIFE",$AX$10:$AX$16)),0,""))</f>
        <v/>
      </c>
      <c r="M260" s="369" t="str">
        <f ca="1">IF($B260&lt;&gt;"PRC_RESID","",IF(M$7=2005+OFFSET(COM_N_2012!$B$60,$AW260,SUMIF($B$10:$B$16,"NCAP_TLIFE",$AX$10:$AX$16)),0,""))</f>
        <v/>
      </c>
      <c r="N260" s="369" t="str">
        <f ca="1">IF($B260&lt;&gt;"PRC_RESID","",IF(N$7=2005+OFFSET(COM_N_2012!$B$60,$AW260,SUMIF($B$10:$B$16,"NCAP_TLIFE",$AX$10:$AX$16)),0,""))</f>
        <v/>
      </c>
      <c r="O260" s="369" t="str">
        <f ca="1">IF($B260&lt;&gt;"PRC_RESID","",IF(O$7=2005+OFFSET(COM_N_2012!$B$60,$AW260,SUMIF($B$10:$B$16,"NCAP_TLIFE",$AX$10:$AX$16)),0,""))</f>
        <v/>
      </c>
      <c r="P260" s="369" t="str">
        <f ca="1">IF($B260&lt;&gt;"PRC_RESID","",IF(P$7=2005+OFFSET(COM_N_2012!$B$60,$AW260,SUMIF($B$10:$B$16,"NCAP_TLIFE",$AX$10:$AX$16)),0,""))</f>
        <v/>
      </c>
      <c r="Q260" s="369" t="str">
        <f ca="1">IF($B260&lt;&gt;"PRC_RESID","",IF(Q$7=2005+OFFSET(COM_N_2012!$B$60,$AW260,SUMIF($B$10:$B$16,"NCAP_TLIFE",$AX$10:$AX$16)),0,""))</f>
        <v/>
      </c>
      <c r="R260" s="369" t="str">
        <f ca="1">IF($B260&lt;&gt;"PRC_RESID","",IF(R$7=2005+OFFSET(COM_N_2012!$B$60,$AW260,SUMIF($B$10:$B$16,"NCAP_TLIFE",$AX$10:$AX$16)),0,""))</f>
        <v/>
      </c>
      <c r="S260" s="369" t="str">
        <f ca="1">IF($B260&lt;&gt;"PRC_RESID","",IF(S$7=2005+OFFSET(COM_N_2012!$B$60,$AW260,SUMIF($B$10:$B$16,"NCAP_TLIFE",$AX$10:$AX$16)),0,""))</f>
        <v/>
      </c>
      <c r="T260" s="369" t="str">
        <f ca="1">IF($B260&lt;&gt;"PRC_RESID","",IF(T$7=2005+OFFSET(COM_N_2012!$B$60,$AW260,SUMIF($B$10:$B$16,"NCAP_TLIFE",$AX$10:$AX$16)),0,""))</f>
        <v/>
      </c>
      <c r="U260" s="369" t="str">
        <f ca="1">IF($B260&lt;&gt;"PRC_RESID","",IF(U$7=2005+OFFSET(COM_N_2012!$B$60,$AW260,SUMIF($B$10:$B$16,"NCAP_TLIFE",$AX$10:$AX$16)),0,""))</f>
        <v/>
      </c>
      <c r="V260" s="369" t="str">
        <f ca="1">IF($B260&lt;&gt;"PRC_RESID","",IF(V$7=2005+OFFSET(COM_N_2012!$B$60,$AW260,SUMIF($B$10:$B$16,"NCAP_TLIFE",$AX$10:$AX$16)),0,""))</f>
        <v/>
      </c>
      <c r="W260" s="369" t="str">
        <f ca="1">IF($B260&lt;&gt;"PRC_RESID","",IF(W$7=2005+OFFSET(COM_N_2012!$B$60,$AW260,SUMIF($B$10:$B$16,"NCAP_TLIFE",$AX$10:$AX$16)),0,""))</f>
        <v/>
      </c>
      <c r="X260" s="369" t="str">
        <f ca="1">IF($B260&lt;&gt;"PRC_RESID","",IF(X$7=2005+OFFSET(COM_N_2012!$B$60,$AW260,SUMIF($B$10:$B$16,"NCAP_TLIFE",$AX$10:$AX$16)),0,""))</f>
        <v/>
      </c>
      <c r="Y260" s="369" t="str">
        <f ca="1">IF($B260&lt;&gt;"PRC_RESID","",IF(Y$7=2005+OFFSET(COM_N_2012!$B$60,$AW260,SUMIF($B$10:$B$16,"NCAP_TLIFE",$AX$10:$AX$16)),0,""))</f>
        <v/>
      </c>
      <c r="Z260" s="369" t="str">
        <f ca="1">IF($B260&lt;&gt;"PRC_RESID","",IF(Z$7=2005+OFFSET(COM_N_2012!$B$60,$AW260,SUMIF($B$10:$B$16,"NCAP_TLIFE",$AX$10:$AX$16)),0,""))</f>
        <v/>
      </c>
      <c r="AA260" s="369" t="str">
        <f ca="1">IF($B260&lt;&gt;"PRC_RESID","",IF(AA$7=2005+OFFSET(COM_N_2012!$B$60,$AW260,SUMIF($B$10:$B$16,"NCAP_TLIFE",$AX$10:$AX$16)),0,""))</f>
        <v/>
      </c>
      <c r="AB260" s="369" t="str">
        <f ca="1">IF($B260&lt;&gt;"PRC_RESID","",IF(AB$7=2005+OFFSET(COM_N_2012!$B$60,$AW260,SUMIF($B$10:$B$16,"NCAP_TLIFE",$AX$10:$AX$16)),0,""))</f>
        <v/>
      </c>
      <c r="AC260" s="369" t="str">
        <f ca="1">IF($B260&lt;&gt;"PRC_RESID","",IF(AC$7=2005+OFFSET(COM_N_2012!$B$60,$AW260,SUMIF($B$10:$B$16,"NCAP_TLIFE",$AX$10:$AX$16)),0,""))</f>
        <v/>
      </c>
      <c r="AD260" s="369" t="str">
        <f ca="1">IF($B260&lt;&gt;"PRC_RESID","",IF(AD$7=2005+OFFSET(COM_N_2012!$B$60,$AW260,SUMIF($B$10:$B$16,"NCAP_TLIFE",$AX$10:$AX$16)),0,""))</f>
        <v/>
      </c>
      <c r="AE260" s="369" t="str">
        <f ca="1">IF($B260&lt;&gt;"PRC_RESID","",IF(AE$7=2005+OFFSET(COM_N_2012!$B$60,$AW260,SUMIF($B$10:$B$16,"NCAP_TLIFE",$AX$10:$AX$16)),0,""))</f>
        <v/>
      </c>
      <c r="AF260" s="369" t="str">
        <f ca="1">IF($B260&lt;&gt;"PRC_RESID","",IF(AF$7=2005+OFFSET(COM_N_2012!$B$60,$AW260,SUMIF($B$10:$B$16,"NCAP_TLIFE",$AX$10:$AX$16)),0,""))</f>
        <v/>
      </c>
      <c r="AG260" s="369" t="str">
        <f ca="1">IF($B260&lt;&gt;"PRC_RESID","",IF(AG$7=2005+OFFSET(COM_N_2012!$B$60,$AW260,SUMIF($B$10:$B$16,"NCAP_TLIFE",$AX$10:$AX$16)),0,""))</f>
        <v/>
      </c>
      <c r="AH260" s="369" t="str">
        <f ca="1">IF($B260&lt;&gt;"PRC_RESID","",IF(AH$7=2005+OFFSET(COM_N_2012!$B$60,$AW260,SUMIF($B$10:$B$16,"NCAP_TLIFE",$AX$10:$AX$16)),0,""))</f>
        <v/>
      </c>
      <c r="AI260" s="369" t="str">
        <f ca="1">IF($B260&lt;&gt;"PRC_RESID","",IF(AI$7=2005+OFFSET(COM_N_2012!$B$60,$AW260,SUMIF($B$10:$B$16,"NCAP_TLIFE",$AX$10:$AX$16)),0,""))</f>
        <v/>
      </c>
      <c r="AJ260" s="369" t="str">
        <f ca="1">IF($B260&lt;&gt;"PRC_RESID","",IF(AJ$7=2005+OFFSET(COM_N_2012!$B$60,$AW260,SUMIF($B$10:$B$16,"NCAP_TLIFE",$AX$10:$AX$16)),0,""))</f>
        <v/>
      </c>
      <c r="AK260" s="369" t="str">
        <f ca="1">IF($B260&lt;&gt;"PRC_RESID","",IF(AK$7=2005+OFFSET(COM_N_2012!$B$60,$AW260,SUMIF($B$10:$B$16,"NCAP_TLIFE",$AX$10:$AX$16)),0,""))</f>
        <v/>
      </c>
      <c r="AL260" s="369" t="str">
        <f ca="1">IF($B260&lt;&gt;"PRC_RESID","",IF(AL$7=2005+OFFSET(COM_N_2012!$B$60,$AW260,SUMIF($B$10:$B$16,"NCAP_TLIFE",$AX$10:$AX$16)),0,""))</f>
        <v/>
      </c>
      <c r="AM260" s="369" t="str">
        <f ca="1">IF($B260&lt;&gt;"PRC_RESID","",IF(AM$7=2005+OFFSET(COM_N_2012!$B$60,$AW260,SUMIF($B$10:$B$16,"NCAP_TLIFE",$AX$10:$AX$16)),0,""))</f>
        <v/>
      </c>
      <c r="AN260" s="369" t="str">
        <f ca="1">IF($B260&lt;&gt;"PRC_RESID","",IF(AN$7=2005+OFFSET(COM_N_2012!$B$60,$AW260,SUMIF($B$10:$B$16,"NCAP_TLIFE",$AX$10:$AX$16)),0,""))</f>
        <v/>
      </c>
      <c r="AO260" s="369" t="str">
        <f ca="1">IF($B260&lt;&gt;"PRC_RESID","",IF(AO$7=2005+OFFSET(COM_N_2012!$B$60,$AW260,SUMIF($B$10:$B$16,"NCAP_TLIFE",$AX$10:$AX$16)),0,""))</f>
        <v/>
      </c>
      <c r="AP260" s="369" t="str">
        <f ca="1">IF($B260&lt;&gt;"PRC_RESID","",IF(AP$7=2005+OFFSET(COM_N_2012!$B$60,$AW260,SUMIF($B$10:$B$16,"NCAP_TLIFE",$AX$10:$AX$16)),0,""))</f>
        <v/>
      </c>
      <c r="AQ260" s="369" t="str">
        <f ca="1">IF($B260&lt;&gt;"PRC_RESID","",IF(AQ$7=2005+OFFSET(COM_N_2012!$B$60,$AW260,SUMIF($B$10:$B$16,"NCAP_TLIFE",$AX$10:$AX$16)),0,""))</f>
        <v/>
      </c>
      <c r="AR260" s="369" t="str">
        <f ca="1">IF($B260&lt;&gt;"PRC_RESID","",IF(AR$7=2005+OFFSET(COM_N_2012!$B$60,$AW260,SUMIF($B$10:$B$16,"NCAP_TLIFE",$AX$10:$AX$16)),0,""))</f>
        <v/>
      </c>
      <c r="AS260" s="369" t="str">
        <f ca="1">IF($B260&lt;&gt;"PRC_RESID","",IF(AS$7=2005+OFFSET(COM_N_2012!$B$60,$AW260,SUMIF($B$10:$B$16,"NCAP_TLIFE",$AX$10:$AX$16)),0,""))</f>
        <v/>
      </c>
      <c r="AT260" s="369" t="str">
        <f ca="1">IF($B260&lt;&gt;"PRC_RESID","",IF(AT$7=2005+OFFSET(COM_N_2012!$B$60,$AW260,SUMIF($B$10:$B$16,"NCAP_TLIFE",$AX$10:$AX$16)),0,""))</f>
        <v/>
      </c>
      <c r="AU260" s="369" t="str">
        <f ca="1">IF($B260&lt;&gt;"PRC_RESID","",IF(AU$7=2005+OFFSET(COM_N_2012!$B$60,$AW260,SUMIF($B$10:$B$16,"NCAP_TLIFE",$AX$10:$AX$16)),0,""))</f>
        <v/>
      </c>
      <c r="AV260" s="304">
        <f>IF(AW259=COM_N_2012!$AK$121,AV259+1,AV259)</f>
        <v>4</v>
      </c>
      <c r="AW260" s="304">
        <f t="shared" si="29"/>
        <v>60</v>
      </c>
    </row>
    <row r="261" spans="1:49">
      <c r="A261" s="304" t="str">
        <f ca="1">IF(LEFT(OFFSET(COM_N_2012!$A$60,AW261,0),2)="\I","*","")</f>
        <v>*</v>
      </c>
      <c r="B261" s="369" t="str">
        <f t="shared" ca="1" si="28"/>
        <v/>
      </c>
      <c r="C261" s="369" t="str">
        <f ca="1">IF($A261="*","",OFFSET(COM_N_2012!$B$60,AW261,0))</f>
        <v/>
      </c>
      <c r="D261" s="369" t="str">
        <f t="shared" ca="1" si="34"/>
        <v/>
      </c>
      <c r="E261" s="369" t="str">
        <f t="shared" ca="1" si="34"/>
        <v/>
      </c>
      <c r="F261" s="369" t="str">
        <f t="shared" ca="1" si="34"/>
        <v/>
      </c>
      <c r="G261" s="369" t="str">
        <f t="shared" ca="1" si="34"/>
        <v/>
      </c>
      <c r="H261" s="369" t="str">
        <f t="shared" ca="1" si="34"/>
        <v/>
      </c>
      <c r="I261" s="370" t="str">
        <f t="shared" ca="1" si="34"/>
        <v/>
      </c>
      <c r="J261" s="391" t="str">
        <f ca="1">IF($A261="*","",OFFSET(COM_N_2012!$B$60,AW261,SUMIF($B$10:$B$16,B261,$AX$10:$AX$16)))</f>
        <v/>
      </c>
      <c r="K261" s="369" t="str">
        <f ca="1">IF($B261&lt;&gt;"PRC_RESID","",IF(K$7=2005+OFFSET(COM_N_2012!$B$60,$AW261,SUMIF($B$10:$B$16,"NCAP_TLIFE",$AX$10:$AX$16)),0,""))</f>
        <v/>
      </c>
      <c r="L261" s="369" t="str">
        <f ca="1">IF($B261&lt;&gt;"PRC_RESID","",IF(L$7=2005+OFFSET(COM_N_2012!$B$60,$AW261,SUMIF($B$10:$B$16,"NCAP_TLIFE",$AX$10:$AX$16)),0,""))</f>
        <v/>
      </c>
      <c r="M261" s="369" t="str">
        <f ca="1">IF($B261&lt;&gt;"PRC_RESID","",IF(M$7=2005+OFFSET(COM_N_2012!$B$60,$AW261,SUMIF($B$10:$B$16,"NCAP_TLIFE",$AX$10:$AX$16)),0,""))</f>
        <v/>
      </c>
      <c r="N261" s="369" t="str">
        <f ca="1">IF($B261&lt;&gt;"PRC_RESID","",IF(N$7=2005+OFFSET(COM_N_2012!$B$60,$AW261,SUMIF($B$10:$B$16,"NCAP_TLIFE",$AX$10:$AX$16)),0,""))</f>
        <v/>
      </c>
      <c r="O261" s="369" t="str">
        <f ca="1">IF($B261&lt;&gt;"PRC_RESID","",IF(O$7=2005+OFFSET(COM_N_2012!$B$60,$AW261,SUMIF($B$10:$B$16,"NCAP_TLIFE",$AX$10:$AX$16)),0,""))</f>
        <v/>
      </c>
      <c r="P261" s="369" t="str">
        <f ca="1">IF($B261&lt;&gt;"PRC_RESID","",IF(P$7=2005+OFFSET(COM_N_2012!$B$60,$AW261,SUMIF($B$10:$B$16,"NCAP_TLIFE",$AX$10:$AX$16)),0,""))</f>
        <v/>
      </c>
      <c r="Q261" s="369" t="str">
        <f ca="1">IF($B261&lt;&gt;"PRC_RESID","",IF(Q$7=2005+OFFSET(COM_N_2012!$B$60,$AW261,SUMIF($B$10:$B$16,"NCAP_TLIFE",$AX$10:$AX$16)),0,""))</f>
        <v/>
      </c>
      <c r="R261" s="369" t="str">
        <f ca="1">IF($B261&lt;&gt;"PRC_RESID","",IF(R$7=2005+OFFSET(COM_N_2012!$B$60,$AW261,SUMIF($B$10:$B$16,"NCAP_TLIFE",$AX$10:$AX$16)),0,""))</f>
        <v/>
      </c>
      <c r="S261" s="369" t="str">
        <f ca="1">IF($B261&lt;&gt;"PRC_RESID","",IF(S$7=2005+OFFSET(COM_N_2012!$B$60,$AW261,SUMIF($B$10:$B$16,"NCAP_TLIFE",$AX$10:$AX$16)),0,""))</f>
        <v/>
      </c>
      <c r="T261" s="369" t="str">
        <f ca="1">IF($B261&lt;&gt;"PRC_RESID","",IF(T$7=2005+OFFSET(COM_N_2012!$B$60,$AW261,SUMIF($B$10:$B$16,"NCAP_TLIFE",$AX$10:$AX$16)),0,""))</f>
        <v/>
      </c>
      <c r="U261" s="369" t="str">
        <f ca="1">IF($B261&lt;&gt;"PRC_RESID","",IF(U$7=2005+OFFSET(COM_N_2012!$B$60,$AW261,SUMIF($B$10:$B$16,"NCAP_TLIFE",$AX$10:$AX$16)),0,""))</f>
        <v/>
      </c>
      <c r="V261" s="369" t="str">
        <f ca="1">IF($B261&lt;&gt;"PRC_RESID","",IF(V$7=2005+OFFSET(COM_N_2012!$B$60,$AW261,SUMIF($B$10:$B$16,"NCAP_TLIFE",$AX$10:$AX$16)),0,""))</f>
        <v/>
      </c>
      <c r="W261" s="369" t="str">
        <f ca="1">IF($B261&lt;&gt;"PRC_RESID","",IF(W$7=2005+OFFSET(COM_N_2012!$B$60,$AW261,SUMIF($B$10:$B$16,"NCAP_TLIFE",$AX$10:$AX$16)),0,""))</f>
        <v/>
      </c>
      <c r="X261" s="369" t="str">
        <f ca="1">IF($B261&lt;&gt;"PRC_RESID","",IF(X$7=2005+OFFSET(COM_N_2012!$B$60,$AW261,SUMIF($B$10:$B$16,"NCAP_TLIFE",$AX$10:$AX$16)),0,""))</f>
        <v/>
      </c>
      <c r="Y261" s="369" t="str">
        <f ca="1">IF($B261&lt;&gt;"PRC_RESID","",IF(Y$7=2005+OFFSET(COM_N_2012!$B$60,$AW261,SUMIF($B$10:$B$16,"NCAP_TLIFE",$AX$10:$AX$16)),0,""))</f>
        <v/>
      </c>
      <c r="Z261" s="369" t="str">
        <f ca="1">IF($B261&lt;&gt;"PRC_RESID","",IF(Z$7=2005+OFFSET(COM_N_2012!$B$60,$AW261,SUMIF($B$10:$B$16,"NCAP_TLIFE",$AX$10:$AX$16)),0,""))</f>
        <v/>
      </c>
      <c r="AA261" s="369" t="str">
        <f ca="1">IF($B261&lt;&gt;"PRC_RESID","",IF(AA$7=2005+OFFSET(COM_N_2012!$B$60,$AW261,SUMIF($B$10:$B$16,"NCAP_TLIFE",$AX$10:$AX$16)),0,""))</f>
        <v/>
      </c>
      <c r="AB261" s="369" t="str">
        <f ca="1">IF($B261&lt;&gt;"PRC_RESID","",IF(AB$7=2005+OFFSET(COM_N_2012!$B$60,$AW261,SUMIF($B$10:$B$16,"NCAP_TLIFE",$AX$10:$AX$16)),0,""))</f>
        <v/>
      </c>
      <c r="AC261" s="369" t="str">
        <f ca="1">IF($B261&lt;&gt;"PRC_RESID","",IF(AC$7=2005+OFFSET(COM_N_2012!$B$60,$AW261,SUMIF($B$10:$B$16,"NCAP_TLIFE",$AX$10:$AX$16)),0,""))</f>
        <v/>
      </c>
      <c r="AD261" s="369" t="str">
        <f ca="1">IF($B261&lt;&gt;"PRC_RESID","",IF(AD$7=2005+OFFSET(COM_N_2012!$B$60,$AW261,SUMIF($B$10:$B$16,"NCAP_TLIFE",$AX$10:$AX$16)),0,""))</f>
        <v/>
      </c>
      <c r="AE261" s="369" t="str">
        <f ca="1">IF($B261&lt;&gt;"PRC_RESID","",IF(AE$7=2005+OFFSET(COM_N_2012!$B$60,$AW261,SUMIF($B$10:$B$16,"NCAP_TLIFE",$AX$10:$AX$16)),0,""))</f>
        <v/>
      </c>
      <c r="AF261" s="369" t="str">
        <f ca="1">IF($B261&lt;&gt;"PRC_RESID","",IF(AF$7=2005+OFFSET(COM_N_2012!$B$60,$AW261,SUMIF($B$10:$B$16,"NCAP_TLIFE",$AX$10:$AX$16)),0,""))</f>
        <v/>
      </c>
      <c r="AG261" s="369" t="str">
        <f ca="1">IF($B261&lt;&gt;"PRC_RESID","",IF(AG$7=2005+OFFSET(COM_N_2012!$B$60,$AW261,SUMIF($B$10:$B$16,"NCAP_TLIFE",$AX$10:$AX$16)),0,""))</f>
        <v/>
      </c>
      <c r="AH261" s="369" t="str">
        <f ca="1">IF($B261&lt;&gt;"PRC_RESID","",IF(AH$7=2005+OFFSET(COM_N_2012!$B$60,$AW261,SUMIF($B$10:$B$16,"NCAP_TLIFE",$AX$10:$AX$16)),0,""))</f>
        <v/>
      </c>
      <c r="AI261" s="369" t="str">
        <f ca="1">IF($B261&lt;&gt;"PRC_RESID","",IF(AI$7=2005+OFFSET(COM_N_2012!$B$60,$AW261,SUMIF($B$10:$B$16,"NCAP_TLIFE",$AX$10:$AX$16)),0,""))</f>
        <v/>
      </c>
      <c r="AJ261" s="369" t="str">
        <f ca="1">IF($B261&lt;&gt;"PRC_RESID","",IF(AJ$7=2005+OFFSET(COM_N_2012!$B$60,$AW261,SUMIF($B$10:$B$16,"NCAP_TLIFE",$AX$10:$AX$16)),0,""))</f>
        <v/>
      </c>
      <c r="AK261" s="369" t="str">
        <f ca="1">IF($B261&lt;&gt;"PRC_RESID","",IF(AK$7=2005+OFFSET(COM_N_2012!$B$60,$AW261,SUMIF($B$10:$B$16,"NCAP_TLIFE",$AX$10:$AX$16)),0,""))</f>
        <v/>
      </c>
      <c r="AL261" s="369" t="str">
        <f ca="1">IF($B261&lt;&gt;"PRC_RESID","",IF(AL$7=2005+OFFSET(COM_N_2012!$B$60,$AW261,SUMIF($B$10:$B$16,"NCAP_TLIFE",$AX$10:$AX$16)),0,""))</f>
        <v/>
      </c>
      <c r="AM261" s="369" t="str">
        <f ca="1">IF($B261&lt;&gt;"PRC_RESID","",IF(AM$7=2005+OFFSET(COM_N_2012!$B$60,$AW261,SUMIF($B$10:$B$16,"NCAP_TLIFE",$AX$10:$AX$16)),0,""))</f>
        <v/>
      </c>
      <c r="AN261" s="369" t="str">
        <f ca="1">IF($B261&lt;&gt;"PRC_RESID","",IF(AN$7=2005+OFFSET(COM_N_2012!$B$60,$AW261,SUMIF($B$10:$B$16,"NCAP_TLIFE",$AX$10:$AX$16)),0,""))</f>
        <v/>
      </c>
      <c r="AO261" s="369" t="str">
        <f ca="1">IF($B261&lt;&gt;"PRC_RESID","",IF(AO$7=2005+OFFSET(COM_N_2012!$B$60,$AW261,SUMIF($B$10:$B$16,"NCAP_TLIFE",$AX$10:$AX$16)),0,""))</f>
        <v/>
      </c>
      <c r="AP261" s="369" t="str">
        <f ca="1">IF($B261&lt;&gt;"PRC_RESID","",IF(AP$7=2005+OFFSET(COM_N_2012!$B$60,$AW261,SUMIF($B$10:$B$16,"NCAP_TLIFE",$AX$10:$AX$16)),0,""))</f>
        <v/>
      </c>
      <c r="AQ261" s="369" t="str">
        <f ca="1">IF($B261&lt;&gt;"PRC_RESID","",IF(AQ$7=2005+OFFSET(COM_N_2012!$B$60,$AW261,SUMIF($B$10:$B$16,"NCAP_TLIFE",$AX$10:$AX$16)),0,""))</f>
        <v/>
      </c>
      <c r="AR261" s="369" t="str">
        <f ca="1">IF($B261&lt;&gt;"PRC_RESID","",IF(AR$7=2005+OFFSET(COM_N_2012!$B$60,$AW261,SUMIF($B$10:$B$16,"NCAP_TLIFE",$AX$10:$AX$16)),0,""))</f>
        <v/>
      </c>
      <c r="AS261" s="369" t="str">
        <f ca="1">IF($B261&lt;&gt;"PRC_RESID","",IF(AS$7=2005+OFFSET(COM_N_2012!$B$60,$AW261,SUMIF($B$10:$B$16,"NCAP_TLIFE",$AX$10:$AX$16)),0,""))</f>
        <v/>
      </c>
      <c r="AT261" s="369" t="str">
        <f ca="1">IF($B261&lt;&gt;"PRC_RESID","",IF(AT$7=2005+OFFSET(COM_N_2012!$B$60,$AW261,SUMIF($B$10:$B$16,"NCAP_TLIFE",$AX$10:$AX$16)),0,""))</f>
        <v/>
      </c>
      <c r="AU261" s="369" t="str">
        <f ca="1">IF($B261&lt;&gt;"PRC_RESID","",IF(AU$7=2005+OFFSET(COM_N_2012!$B$60,$AW261,SUMIF($B$10:$B$16,"NCAP_TLIFE",$AX$10:$AX$16)),0,""))</f>
        <v/>
      </c>
      <c r="AV261" s="304">
        <f>IF(AW260=COM_N_2012!$AK$121,AV260+1,AV260)</f>
        <v>4</v>
      </c>
      <c r="AW261" s="304">
        <f t="shared" si="29"/>
        <v>61</v>
      </c>
    </row>
    <row r="262" spans="1:49">
      <c r="A262" s="304" t="str">
        <f ca="1">IF(LEFT(OFFSET(COM_N_2012!$A$60,AW262,0),2)="\I","*","")</f>
        <v/>
      </c>
      <c r="B262" s="369" t="str">
        <f t="shared" ca="1" si="28"/>
        <v>NCAP_FOM</v>
      </c>
      <c r="C262" s="369" t="str">
        <f ca="1">IF($A262="*","",OFFSET(COM_N_2012!$B$60,AW262,0))</f>
        <v>CNCELCCHIL-E</v>
      </c>
      <c r="D262" s="369" t="str">
        <f t="shared" ca="1" si="34"/>
        <v>-</v>
      </c>
      <c r="E262" s="369" t="str">
        <f t="shared" ca="1" si="34"/>
        <v>-</v>
      </c>
      <c r="F262" s="369" t="str">
        <f t="shared" ca="1" si="34"/>
        <v>-</v>
      </c>
      <c r="G262" s="369" t="str">
        <f t="shared" ca="1" si="34"/>
        <v>-</v>
      </c>
      <c r="H262" s="369" t="str">
        <f t="shared" ca="1" si="34"/>
        <v>-</v>
      </c>
      <c r="I262" s="370">
        <f t="shared" ca="1" si="34"/>
        <v>0</v>
      </c>
      <c r="J262" s="391">
        <f ca="1">IF($A262="*","",OFFSET(COM_N_2012!$B$60,AW262,SUMIF($B$10:$B$16,B262,$AX$10:$AX$16)))</f>
        <v>5.4310780405383028</v>
      </c>
      <c r="K262" s="369" t="str">
        <f ca="1">IF($B262&lt;&gt;"PRC_RESID","",IF(K$7=2005+OFFSET(COM_N_2012!$B$60,$AW262,SUMIF($B$10:$B$16,"NCAP_TLIFE",$AX$10:$AX$16)),0,""))</f>
        <v/>
      </c>
      <c r="L262" s="369" t="str">
        <f ca="1">IF($B262&lt;&gt;"PRC_RESID","",IF(L$7=2005+OFFSET(COM_N_2012!$B$60,$AW262,SUMIF($B$10:$B$16,"NCAP_TLIFE",$AX$10:$AX$16)),0,""))</f>
        <v/>
      </c>
      <c r="M262" s="369" t="str">
        <f ca="1">IF($B262&lt;&gt;"PRC_RESID","",IF(M$7=2005+OFFSET(COM_N_2012!$B$60,$AW262,SUMIF($B$10:$B$16,"NCAP_TLIFE",$AX$10:$AX$16)),0,""))</f>
        <v/>
      </c>
      <c r="N262" s="369" t="str">
        <f ca="1">IF($B262&lt;&gt;"PRC_RESID","",IF(N$7=2005+OFFSET(COM_N_2012!$B$60,$AW262,SUMIF($B$10:$B$16,"NCAP_TLIFE",$AX$10:$AX$16)),0,""))</f>
        <v/>
      </c>
      <c r="O262" s="369" t="str">
        <f ca="1">IF($B262&lt;&gt;"PRC_RESID","",IF(O$7=2005+OFFSET(COM_N_2012!$B$60,$AW262,SUMIF($B$10:$B$16,"NCAP_TLIFE",$AX$10:$AX$16)),0,""))</f>
        <v/>
      </c>
      <c r="P262" s="369" t="str">
        <f ca="1">IF($B262&lt;&gt;"PRC_RESID","",IF(P$7=2005+OFFSET(COM_N_2012!$B$60,$AW262,SUMIF($B$10:$B$16,"NCAP_TLIFE",$AX$10:$AX$16)),0,""))</f>
        <v/>
      </c>
      <c r="Q262" s="369" t="str">
        <f ca="1">IF($B262&lt;&gt;"PRC_RESID","",IF(Q$7=2005+OFFSET(COM_N_2012!$B$60,$AW262,SUMIF($B$10:$B$16,"NCAP_TLIFE",$AX$10:$AX$16)),0,""))</f>
        <v/>
      </c>
      <c r="R262" s="369" t="str">
        <f ca="1">IF($B262&lt;&gt;"PRC_RESID","",IF(R$7=2005+OFFSET(COM_N_2012!$B$60,$AW262,SUMIF($B$10:$B$16,"NCAP_TLIFE",$AX$10:$AX$16)),0,""))</f>
        <v/>
      </c>
      <c r="S262" s="369" t="str">
        <f ca="1">IF($B262&lt;&gt;"PRC_RESID","",IF(S$7=2005+OFFSET(COM_N_2012!$B$60,$AW262,SUMIF($B$10:$B$16,"NCAP_TLIFE",$AX$10:$AX$16)),0,""))</f>
        <v/>
      </c>
      <c r="T262" s="369" t="str">
        <f ca="1">IF($B262&lt;&gt;"PRC_RESID","",IF(T$7=2005+OFFSET(COM_N_2012!$B$60,$AW262,SUMIF($B$10:$B$16,"NCAP_TLIFE",$AX$10:$AX$16)),0,""))</f>
        <v/>
      </c>
      <c r="U262" s="369" t="str">
        <f ca="1">IF($B262&lt;&gt;"PRC_RESID","",IF(U$7=2005+OFFSET(COM_N_2012!$B$60,$AW262,SUMIF($B$10:$B$16,"NCAP_TLIFE",$AX$10:$AX$16)),0,""))</f>
        <v/>
      </c>
      <c r="V262" s="369" t="str">
        <f ca="1">IF($B262&lt;&gt;"PRC_RESID","",IF(V$7=2005+OFFSET(COM_N_2012!$B$60,$AW262,SUMIF($B$10:$B$16,"NCAP_TLIFE",$AX$10:$AX$16)),0,""))</f>
        <v/>
      </c>
      <c r="W262" s="369" t="str">
        <f ca="1">IF($B262&lt;&gt;"PRC_RESID","",IF(W$7=2005+OFFSET(COM_N_2012!$B$60,$AW262,SUMIF($B$10:$B$16,"NCAP_TLIFE",$AX$10:$AX$16)),0,""))</f>
        <v/>
      </c>
      <c r="X262" s="369" t="str">
        <f ca="1">IF($B262&lt;&gt;"PRC_RESID","",IF(X$7=2005+OFFSET(COM_N_2012!$B$60,$AW262,SUMIF($B$10:$B$16,"NCAP_TLIFE",$AX$10:$AX$16)),0,""))</f>
        <v/>
      </c>
      <c r="Y262" s="369" t="str">
        <f ca="1">IF($B262&lt;&gt;"PRC_RESID","",IF(Y$7=2005+OFFSET(COM_N_2012!$B$60,$AW262,SUMIF($B$10:$B$16,"NCAP_TLIFE",$AX$10:$AX$16)),0,""))</f>
        <v/>
      </c>
      <c r="Z262" s="369" t="str">
        <f ca="1">IF($B262&lt;&gt;"PRC_RESID","",IF(Z$7=2005+OFFSET(COM_N_2012!$B$60,$AW262,SUMIF($B$10:$B$16,"NCAP_TLIFE",$AX$10:$AX$16)),0,""))</f>
        <v/>
      </c>
      <c r="AA262" s="369" t="str">
        <f ca="1">IF($B262&lt;&gt;"PRC_RESID","",IF(AA$7=2005+OFFSET(COM_N_2012!$B$60,$AW262,SUMIF($B$10:$B$16,"NCAP_TLIFE",$AX$10:$AX$16)),0,""))</f>
        <v/>
      </c>
      <c r="AB262" s="369" t="str">
        <f ca="1">IF($B262&lt;&gt;"PRC_RESID","",IF(AB$7=2005+OFFSET(COM_N_2012!$B$60,$AW262,SUMIF($B$10:$B$16,"NCAP_TLIFE",$AX$10:$AX$16)),0,""))</f>
        <v/>
      </c>
      <c r="AC262" s="369" t="str">
        <f ca="1">IF($B262&lt;&gt;"PRC_RESID","",IF(AC$7=2005+OFFSET(COM_N_2012!$B$60,$AW262,SUMIF($B$10:$B$16,"NCAP_TLIFE",$AX$10:$AX$16)),0,""))</f>
        <v/>
      </c>
      <c r="AD262" s="369" t="str">
        <f ca="1">IF($B262&lt;&gt;"PRC_RESID","",IF(AD$7=2005+OFFSET(COM_N_2012!$B$60,$AW262,SUMIF($B$10:$B$16,"NCAP_TLIFE",$AX$10:$AX$16)),0,""))</f>
        <v/>
      </c>
      <c r="AE262" s="369" t="str">
        <f ca="1">IF($B262&lt;&gt;"PRC_RESID","",IF(AE$7=2005+OFFSET(COM_N_2012!$B$60,$AW262,SUMIF($B$10:$B$16,"NCAP_TLIFE",$AX$10:$AX$16)),0,""))</f>
        <v/>
      </c>
      <c r="AF262" s="369" t="str">
        <f ca="1">IF($B262&lt;&gt;"PRC_RESID","",IF(AF$7=2005+OFFSET(COM_N_2012!$B$60,$AW262,SUMIF($B$10:$B$16,"NCAP_TLIFE",$AX$10:$AX$16)),0,""))</f>
        <v/>
      </c>
      <c r="AG262" s="369" t="str">
        <f ca="1">IF($B262&lt;&gt;"PRC_RESID","",IF(AG$7=2005+OFFSET(COM_N_2012!$B$60,$AW262,SUMIF($B$10:$B$16,"NCAP_TLIFE",$AX$10:$AX$16)),0,""))</f>
        <v/>
      </c>
      <c r="AH262" s="369" t="str">
        <f ca="1">IF($B262&lt;&gt;"PRC_RESID","",IF(AH$7=2005+OFFSET(COM_N_2012!$B$60,$AW262,SUMIF($B$10:$B$16,"NCAP_TLIFE",$AX$10:$AX$16)),0,""))</f>
        <v/>
      </c>
      <c r="AI262" s="369" t="str">
        <f ca="1">IF($B262&lt;&gt;"PRC_RESID","",IF(AI$7=2005+OFFSET(COM_N_2012!$B$60,$AW262,SUMIF($B$10:$B$16,"NCAP_TLIFE",$AX$10:$AX$16)),0,""))</f>
        <v/>
      </c>
      <c r="AJ262" s="369" t="str">
        <f ca="1">IF($B262&lt;&gt;"PRC_RESID","",IF(AJ$7=2005+OFFSET(COM_N_2012!$B$60,$AW262,SUMIF($B$10:$B$16,"NCAP_TLIFE",$AX$10:$AX$16)),0,""))</f>
        <v/>
      </c>
      <c r="AK262" s="369" t="str">
        <f ca="1">IF($B262&lt;&gt;"PRC_RESID","",IF(AK$7=2005+OFFSET(COM_N_2012!$B$60,$AW262,SUMIF($B$10:$B$16,"NCAP_TLIFE",$AX$10:$AX$16)),0,""))</f>
        <v/>
      </c>
      <c r="AL262" s="369" t="str">
        <f ca="1">IF($B262&lt;&gt;"PRC_RESID","",IF(AL$7=2005+OFFSET(COM_N_2012!$B$60,$AW262,SUMIF($B$10:$B$16,"NCAP_TLIFE",$AX$10:$AX$16)),0,""))</f>
        <v/>
      </c>
      <c r="AM262" s="369" t="str">
        <f ca="1">IF($B262&lt;&gt;"PRC_RESID","",IF(AM$7=2005+OFFSET(COM_N_2012!$B$60,$AW262,SUMIF($B$10:$B$16,"NCAP_TLIFE",$AX$10:$AX$16)),0,""))</f>
        <v/>
      </c>
      <c r="AN262" s="369" t="str">
        <f ca="1">IF($B262&lt;&gt;"PRC_RESID","",IF(AN$7=2005+OFFSET(COM_N_2012!$B$60,$AW262,SUMIF($B$10:$B$16,"NCAP_TLIFE",$AX$10:$AX$16)),0,""))</f>
        <v/>
      </c>
      <c r="AO262" s="369" t="str">
        <f ca="1">IF($B262&lt;&gt;"PRC_RESID","",IF(AO$7=2005+OFFSET(COM_N_2012!$B$60,$AW262,SUMIF($B$10:$B$16,"NCAP_TLIFE",$AX$10:$AX$16)),0,""))</f>
        <v/>
      </c>
      <c r="AP262" s="369" t="str">
        <f ca="1">IF($B262&lt;&gt;"PRC_RESID","",IF(AP$7=2005+OFFSET(COM_N_2012!$B$60,$AW262,SUMIF($B$10:$B$16,"NCAP_TLIFE",$AX$10:$AX$16)),0,""))</f>
        <v/>
      </c>
      <c r="AQ262" s="369" t="str">
        <f ca="1">IF($B262&lt;&gt;"PRC_RESID","",IF(AQ$7=2005+OFFSET(COM_N_2012!$B$60,$AW262,SUMIF($B$10:$B$16,"NCAP_TLIFE",$AX$10:$AX$16)),0,""))</f>
        <v/>
      </c>
      <c r="AR262" s="369" t="str">
        <f ca="1">IF($B262&lt;&gt;"PRC_RESID","",IF(AR$7=2005+OFFSET(COM_N_2012!$B$60,$AW262,SUMIF($B$10:$B$16,"NCAP_TLIFE",$AX$10:$AX$16)),0,""))</f>
        <v/>
      </c>
      <c r="AS262" s="369" t="str">
        <f ca="1">IF($B262&lt;&gt;"PRC_RESID","",IF(AS$7=2005+OFFSET(COM_N_2012!$B$60,$AW262,SUMIF($B$10:$B$16,"NCAP_TLIFE",$AX$10:$AX$16)),0,""))</f>
        <v/>
      </c>
      <c r="AT262" s="369" t="str">
        <f ca="1">IF($B262&lt;&gt;"PRC_RESID","",IF(AT$7=2005+OFFSET(COM_N_2012!$B$60,$AW262,SUMIF($B$10:$B$16,"NCAP_TLIFE",$AX$10:$AX$16)),0,""))</f>
        <v/>
      </c>
      <c r="AU262" s="369" t="str">
        <f ca="1">IF($B262&lt;&gt;"PRC_RESID","",IF(AU$7=2005+OFFSET(COM_N_2012!$B$60,$AW262,SUMIF($B$10:$B$16,"NCAP_TLIFE",$AX$10:$AX$16)),0,""))</f>
        <v/>
      </c>
      <c r="AV262" s="304">
        <f>IF(AW261=COM_N_2012!$AK$121,AV261+1,AV261)</f>
        <v>5</v>
      </c>
      <c r="AW262" s="304">
        <f t="shared" si="29"/>
        <v>1</v>
      </c>
    </row>
    <row r="263" spans="1:49">
      <c r="A263" s="304" t="str">
        <f ca="1">IF(LEFT(OFFSET(COM_N_2012!$A$60,AW263,0),2)="\I","*","")</f>
        <v/>
      </c>
      <c r="B263" s="369" t="str">
        <f t="shared" ca="1" si="28"/>
        <v>NCAP_FOM</v>
      </c>
      <c r="C263" s="369" t="str">
        <f ca="1">IF($A263="*","",OFFSET(COM_N_2012!$B$60,AW263,0))</f>
        <v>CNCELCCEN-E</v>
      </c>
      <c r="D263" s="369" t="str">
        <f t="shared" ca="1" si="34"/>
        <v>-</v>
      </c>
      <c r="E263" s="369" t="str">
        <f t="shared" ca="1" si="34"/>
        <v>-</v>
      </c>
      <c r="F263" s="369" t="str">
        <f t="shared" ca="1" si="34"/>
        <v>-</v>
      </c>
      <c r="G263" s="369" t="str">
        <f t="shared" ca="1" si="34"/>
        <v>-</v>
      </c>
      <c r="H263" s="369" t="str">
        <f t="shared" ca="1" si="34"/>
        <v>-</v>
      </c>
      <c r="I263" s="370">
        <f t="shared" ca="1" si="34"/>
        <v>0</v>
      </c>
      <c r="J263" s="391">
        <f ca="1">IF($A263="*","",OFFSET(COM_N_2012!$B$60,AW263,SUMIF($B$10:$B$16,B263,$AX$10:$AX$16)))</f>
        <v>9.1486415772278153</v>
      </c>
      <c r="K263" s="369" t="str">
        <f ca="1">IF($B263&lt;&gt;"PRC_RESID","",IF(K$7=2005+OFFSET(COM_N_2012!$B$60,$AW263,SUMIF($B$10:$B$16,"NCAP_TLIFE",$AX$10:$AX$16)),0,""))</f>
        <v/>
      </c>
      <c r="L263" s="369" t="str">
        <f ca="1">IF($B263&lt;&gt;"PRC_RESID","",IF(L$7=2005+OFFSET(COM_N_2012!$B$60,$AW263,SUMIF($B$10:$B$16,"NCAP_TLIFE",$AX$10:$AX$16)),0,""))</f>
        <v/>
      </c>
      <c r="M263" s="369" t="str">
        <f ca="1">IF($B263&lt;&gt;"PRC_RESID","",IF(M$7=2005+OFFSET(COM_N_2012!$B$60,$AW263,SUMIF($B$10:$B$16,"NCAP_TLIFE",$AX$10:$AX$16)),0,""))</f>
        <v/>
      </c>
      <c r="N263" s="369" t="str">
        <f ca="1">IF($B263&lt;&gt;"PRC_RESID","",IF(N$7=2005+OFFSET(COM_N_2012!$B$60,$AW263,SUMIF($B$10:$B$16,"NCAP_TLIFE",$AX$10:$AX$16)),0,""))</f>
        <v/>
      </c>
      <c r="O263" s="369" t="str">
        <f ca="1">IF($B263&lt;&gt;"PRC_RESID","",IF(O$7=2005+OFFSET(COM_N_2012!$B$60,$AW263,SUMIF($B$10:$B$16,"NCAP_TLIFE",$AX$10:$AX$16)),0,""))</f>
        <v/>
      </c>
      <c r="P263" s="369" t="str">
        <f ca="1">IF($B263&lt;&gt;"PRC_RESID","",IF(P$7=2005+OFFSET(COM_N_2012!$B$60,$AW263,SUMIF($B$10:$B$16,"NCAP_TLIFE",$AX$10:$AX$16)),0,""))</f>
        <v/>
      </c>
      <c r="Q263" s="369" t="str">
        <f ca="1">IF($B263&lt;&gt;"PRC_RESID","",IF(Q$7=2005+OFFSET(COM_N_2012!$B$60,$AW263,SUMIF($B$10:$B$16,"NCAP_TLIFE",$AX$10:$AX$16)),0,""))</f>
        <v/>
      </c>
      <c r="R263" s="369" t="str">
        <f ca="1">IF($B263&lt;&gt;"PRC_RESID","",IF(R$7=2005+OFFSET(COM_N_2012!$B$60,$AW263,SUMIF($B$10:$B$16,"NCAP_TLIFE",$AX$10:$AX$16)),0,""))</f>
        <v/>
      </c>
      <c r="S263" s="369" t="str">
        <f ca="1">IF($B263&lt;&gt;"PRC_RESID","",IF(S$7=2005+OFFSET(COM_N_2012!$B$60,$AW263,SUMIF($B$10:$B$16,"NCAP_TLIFE",$AX$10:$AX$16)),0,""))</f>
        <v/>
      </c>
      <c r="T263" s="369" t="str">
        <f ca="1">IF($B263&lt;&gt;"PRC_RESID","",IF(T$7=2005+OFFSET(COM_N_2012!$B$60,$AW263,SUMIF($B$10:$B$16,"NCAP_TLIFE",$AX$10:$AX$16)),0,""))</f>
        <v/>
      </c>
      <c r="U263" s="369" t="str">
        <f ca="1">IF($B263&lt;&gt;"PRC_RESID","",IF(U$7=2005+OFFSET(COM_N_2012!$B$60,$AW263,SUMIF($B$10:$B$16,"NCAP_TLIFE",$AX$10:$AX$16)),0,""))</f>
        <v/>
      </c>
      <c r="V263" s="369" t="str">
        <f ca="1">IF($B263&lt;&gt;"PRC_RESID","",IF(V$7=2005+OFFSET(COM_N_2012!$B$60,$AW263,SUMIF($B$10:$B$16,"NCAP_TLIFE",$AX$10:$AX$16)),0,""))</f>
        <v/>
      </c>
      <c r="W263" s="369" t="str">
        <f ca="1">IF($B263&lt;&gt;"PRC_RESID","",IF(W$7=2005+OFFSET(COM_N_2012!$B$60,$AW263,SUMIF($B$10:$B$16,"NCAP_TLIFE",$AX$10:$AX$16)),0,""))</f>
        <v/>
      </c>
      <c r="X263" s="369" t="str">
        <f ca="1">IF($B263&lt;&gt;"PRC_RESID","",IF(X$7=2005+OFFSET(COM_N_2012!$B$60,$AW263,SUMIF($B$10:$B$16,"NCAP_TLIFE",$AX$10:$AX$16)),0,""))</f>
        <v/>
      </c>
      <c r="Y263" s="369" t="str">
        <f ca="1">IF($B263&lt;&gt;"PRC_RESID","",IF(Y$7=2005+OFFSET(COM_N_2012!$B$60,$AW263,SUMIF($B$10:$B$16,"NCAP_TLIFE",$AX$10:$AX$16)),0,""))</f>
        <v/>
      </c>
      <c r="Z263" s="369" t="str">
        <f ca="1">IF($B263&lt;&gt;"PRC_RESID","",IF(Z$7=2005+OFFSET(COM_N_2012!$B$60,$AW263,SUMIF($B$10:$B$16,"NCAP_TLIFE",$AX$10:$AX$16)),0,""))</f>
        <v/>
      </c>
      <c r="AA263" s="369" t="str">
        <f ca="1">IF($B263&lt;&gt;"PRC_RESID","",IF(AA$7=2005+OFFSET(COM_N_2012!$B$60,$AW263,SUMIF($B$10:$B$16,"NCAP_TLIFE",$AX$10:$AX$16)),0,""))</f>
        <v/>
      </c>
      <c r="AB263" s="369" t="str">
        <f ca="1">IF($B263&lt;&gt;"PRC_RESID","",IF(AB$7=2005+OFFSET(COM_N_2012!$B$60,$AW263,SUMIF($B$10:$B$16,"NCAP_TLIFE",$AX$10:$AX$16)),0,""))</f>
        <v/>
      </c>
      <c r="AC263" s="369" t="str">
        <f ca="1">IF($B263&lt;&gt;"PRC_RESID","",IF(AC$7=2005+OFFSET(COM_N_2012!$B$60,$AW263,SUMIF($B$10:$B$16,"NCAP_TLIFE",$AX$10:$AX$16)),0,""))</f>
        <v/>
      </c>
      <c r="AD263" s="369" t="str">
        <f ca="1">IF($B263&lt;&gt;"PRC_RESID","",IF(AD$7=2005+OFFSET(COM_N_2012!$B$60,$AW263,SUMIF($B$10:$B$16,"NCAP_TLIFE",$AX$10:$AX$16)),0,""))</f>
        <v/>
      </c>
      <c r="AE263" s="369" t="str">
        <f ca="1">IF($B263&lt;&gt;"PRC_RESID","",IF(AE$7=2005+OFFSET(COM_N_2012!$B$60,$AW263,SUMIF($B$10:$B$16,"NCAP_TLIFE",$AX$10:$AX$16)),0,""))</f>
        <v/>
      </c>
      <c r="AF263" s="369" t="str">
        <f ca="1">IF($B263&lt;&gt;"PRC_RESID","",IF(AF$7=2005+OFFSET(COM_N_2012!$B$60,$AW263,SUMIF($B$10:$B$16,"NCAP_TLIFE",$AX$10:$AX$16)),0,""))</f>
        <v/>
      </c>
      <c r="AG263" s="369" t="str">
        <f ca="1">IF($B263&lt;&gt;"PRC_RESID","",IF(AG$7=2005+OFFSET(COM_N_2012!$B$60,$AW263,SUMIF($B$10:$B$16,"NCAP_TLIFE",$AX$10:$AX$16)),0,""))</f>
        <v/>
      </c>
      <c r="AH263" s="369" t="str">
        <f ca="1">IF($B263&lt;&gt;"PRC_RESID","",IF(AH$7=2005+OFFSET(COM_N_2012!$B$60,$AW263,SUMIF($B$10:$B$16,"NCAP_TLIFE",$AX$10:$AX$16)),0,""))</f>
        <v/>
      </c>
      <c r="AI263" s="369" t="str">
        <f ca="1">IF($B263&lt;&gt;"PRC_RESID","",IF(AI$7=2005+OFFSET(COM_N_2012!$B$60,$AW263,SUMIF($B$10:$B$16,"NCAP_TLIFE",$AX$10:$AX$16)),0,""))</f>
        <v/>
      </c>
      <c r="AJ263" s="369" t="str">
        <f ca="1">IF($B263&lt;&gt;"PRC_RESID","",IF(AJ$7=2005+OFFSET(COM_N_2012!$B$60,$AW263,SUMIF($B$10:$B$16,"NCAP_TLIFE",$AX$10:$AX$16)),0,""))</f>
        <v/>
      </c>
      <c r="AK263" s="369" t="str">
        <f ca="1">IF($B263&lt;&gt;"PRC_RESID","",IF(AK$7=2005+OFFSET(COM_N_2012!$B$60,$AW263,SUMIF($B$10:$B$16,"NCAP_TLIFE",$AX$10:$AX$16)),0,""))</f>
        <v/>
      </c>
      <c r="AL263" s="369" t="str">
        <f ca="1">IF($B263&lt;&gt;"PRC_RESID","",IF(AL$7=2005+OFFSET(COM_N_2012!$B$60,$AW263,SUMIF($B$10:$B$16,"NCAP_TLIFE",$AX$10:$AX$16)),0,""))</f>
        <v/>
      </c>
      <c r="AM263" s="369" t="str">
        <f ca="1">IF($B263&lt;&gt;"PRC_RESID","",IF(AM$7=2005+OFFSET(COM_N_2012!$B$60,$AW263,SUMIF($B$10:$B$16,"NCAP_TLIFE",$AX$10:$AX$16)),0,""))</f>
        <v/>
      </c>
      <c r="AN263" s="369" t="str">
        <f ca="1">IF($B263&lt;&gt;"PRC_RESID","",IF(AN$7=2005+OFFSET(COM_N_2012!$B$60,$AW263,SUMIF($B$10:$B$16,"NCAP_TLIFE",$AX$10:$AX$16)),0,""))</f>
        <v/>
      </c>
      <c r="AO263" s="369" t="str">
        <f ca="1">IF($B263&lt;&gt;"PRC_RESID","",IF(AO$7=2005+OFFSET(COM_N_2012!$B$60,$AW263,SUMIF($B$10:$B$16,"NCAP_TLIFE",$AX$10:$AX$16)),0,""))</f>
        <v/>
      </c>
      <c r="AP263" s="369" t="str">
        <f ca="1">IF($B263&lt;&gt;"PRC_RESID","",IF(AP$7=2005+OFFSET(COM_N_2012!$B$60,$AW263,SUMIF($B$10:$B$16,"NCAP_TLIFE",$AX$10:$AX$16)),0,""))</f>
        <v/>
      </c>
      <c r="AQ263" s="369" t="str">
        <f ca="1">IF($B263&lt;&gt;"PRC_RESID","",IF(AQ$7=2005+OFFSET(COM_N_2012!$B$60,$AW263,SUMIF($B$10:$B$16,"NCAP_TLIFE",$AX$10:$AX$16)),0,""))</f>
        <v/>
      </c>
      <c r="AR263" s="369" t="str">
        <f ca="1">IF($B263&lt;&gt;"PRC_RESID","",IF(AR$7=2005+OFFSET(COM_N_2012!$B$60,$AW263,SUMIF($B$10:$B$16,"NCAP_TLIFE",$AX$10:$AX$16)),0,""))</f>
        <v/>
      </c>
      <c r="AS263" s="369" t="str">
        <f ca="1">IF($B263&lt;&gt;"PRC_RESID","",IF(AS$7=2005+OFFSET(COM_N_2012!$B$60,$AW263,SUMIF($B$10:$B$16,"NCAP_TLIFE",$AX$10:$AX$16)),0,""))</f>
        <v/>
      </c>
      <c r="AT263" s="369" t="str">
        <f ca="1">IF($B263&lt;&gt;"PRC_RESID","",IF(AT$7=2005+OFFSET(COM_N_2012!$B$60,$AW263,SUMIF($B$10:$B$16,"NCAP_TLIFE",$AX$10:$AX$16)),0,""))</f>
        <v/>
      </c>
      <c r="AU263" s="369" t="str">
        <f ca="1">IF($B263&lt;&gt;"PRC_RESID","",IF(AU$7=2005+OFFSET(COM_N_2012!$B$60,$AW263,SUMIF($B$10:$B$16,"NCAP_TLIFE",$AX$10:$AX$16)),0,""))</f>
        <v/>
      </c>
      <c r="AV263" s="304">
        <f>IF(AW262=COM_N_2012!$AK$121,AV262+1,AV262)</f>
        <v>5</v>
      </c>
      <c r="AW263" s="304">
        <f t="shared" si="29"/>
        <v>2</v>
      </c>
    </row>
    <row r="264" spans="1:49">
      <c r="A264" s="304" t="str">
        <f ca="1">IF(LEFT(OFFSET(COM_N_2012!$A$60,AW264,0),2)="\I","*","")</f>
        <v/>
      </c>
      <c r="B264" s="369" t="str">
        <f t="shared" ca="1" si="28"/>
        <v>NCAP_FOM</v>
      </c>
      <c r="C264" s="369" t="str">
        <f ca="1">IF($A264="*","",OFFSET(COM_N_2012!$B$60,AW264,0))</f>
        <v>CNCELCHP-E</v>
      </c>
      <c r="D264" s="369" t="str">
        <f t="shared" ca="1" si="34"/>
        <v>-</v>
      </c>
      <c r="E264" s="369" t="str">
        <f t="shared" ca="1" si="34"/>
        <v>-</v>
      </c>
      <c r="F264" s="369" t="str">
        <f t="shared" ca="1" si="34"/>
        <v>-</v>
      </c>
      <c r="G264" s="369" t="str">
        <f t="shared" ca="1" si="34"/>
        <v>-</v>
      </c>
      <c r="H264" s="369" t="str">
        <f t="shared" ca="1" si="34"/>
        <v>-</v>
      </c>
      <c r="I264" s="370">
        <f t="shared" ca="1" si="34"/>
        <v>0</v>
      </c>
      <c r="J264" s="391">
        <f ca="1">IF($A264="*","",OFFSET(COM_N_2012!$B$60,AW264,SUMIF($B$10:$B$16,B264,$AX$10:$AX$16)))</f>
        <v>11.89645075632396</v>
      </c>
      <c r="K264" s="369" t="str">
        <f ca="1">IF($B264&lt;&gt;"PRC_RESID","",IF(K$7=2005+OFFSET(COM_N_2012!$B$60,$AW264,SUMIF($B$10:$B$16,"NCAP_TLIFE",$AX$10:$AX$16)),0,""))</f>
        <v/>
      </c>
      <c r="L264" s="369" t="str">
        <f ca="1">IF($B264&lt;&gt;"PRC_RESID","",IF(L$7=2005+OFFSET(COM_N_2012!$B$60,$AW264,SUMIF($B$10:$B$16,"NCAP_TLIFE",$AX$10:$AX$16)),0,""))</f>
        <v/>
      </c>
      <c r="M264" s="369" t="str">
        <f ca="1">IF($B264&lt;&gt;"PRC_RESID","",IF(M$7=2005+OFFSET(COM_N_2012!$B$60,$AW264,SUMIF($B$10:$B$16,"NCAP_TLIFE",$AX$10:$AX$16)),0,""))</f>
        <v/>
      </c>
      <c r="N264" s="369" t="str">
        <f ca="1">IF($B264&lt;&gt;"PRC_RESID","",IF(N$7=2005+OFFSET(COM_N_2012!$B$60,$AW264,SUMIF($B$10:$B$16,"NCAP_TLIFE",$AX$10:$AX$16)),0,""))</f>
        <v/>
      </c>
      <c r="O264" s="369" t="str">
        <f ca="1">IF($B264&lt;&gt;"PRC_RESID","",IF(O$7=2005+OFFSET(COM_N_2012!$B$60,$AW264,SUMIF($B$10:$B$16,"NCAP_TLIFE",$AX$10:$AX$16)),0,""))</f>
        <v/>
      </c>
      <c r="P264" s="369" t="str">
        <f ca="1">IF($B264&lt;&gt;"PRC_RESID","",IF(P$7=2005+OFFSET(COM_N_2012!$B$60,$AW264,SUMIF($B$10:$B$16,"NCAP_TLIFE",$AX$10:$AX$16)),0,""))</f>
        <v/>
      </c>
      <c r="Q264" s="369" t="str">
        <f ca="1">IF($B264&lt;&gt;"PRC_RESID","",IF(Q$7=2005+OFFSET(COM_N_2012!$B$60,$AW264,SUMIF($B$10:$B$16,"NCAP_TLIFE",$AX$10:$AX$16)),0,""))</f>
        <v/>
      </c>
      <c r="R264" s="369" t="str">
        <f ca="1">IF($B264&lt;&gt;"PRC_RESID","",IF(R$7=2005+OFFSET(COM_N_2012!$B$60,$AW264,SUMIF($B$10:$B$16,"NCAP_TLIFE",$AX$10:$AX$16)),0,""))</f>
        <v/>
      </c>
      <c r="S264" s="369" t="str">
        <f ca="1">IF($B264&lt;&gt;"PRC_RESID","",IF(S$7=2005+OFFSET(COM_N_2012!$B$60,$AW264,SUMIF($B$10:$B$16,"NCAP_TLIFE",$AX$10:$AX$16)),0,""))</f>
        <v/>
      </c>
      <c r="T264" s="369" t="str">
        <f ca="1">IF($B264&lt;&gt;"PRC_RESID","",IF(T$7=2005+OFFSET(COM_N_2012!$B$60,$AW264,SUMIF($B$10:$B$16,"NCAP_TLIFE",$AX$10:$AX$16)),0,""))</f>
        <v/>
      </c>
      <c r="U264" s="369" t="str">
        <f ca="1">IF($B264&lt;&gt;"PRC_RESID","",IF(U$7=2005+OFFSET(COM_N_2012!$B$60,$AW264,SUMIF($B$10:$B$16,"NCAP_TLIFE",$AX$10:$AX$16)),0,""))</f>
        <v/>
      </c>
      <c r="V264" s="369" t="str">
        <f ca="1">IF($B264&lt;&gt;"PRC_RESID","",IF(V$7=2005+OFFSET(COM_N_2012!$B$60,$AW264,SUMIF($B$10:$B$16,"NCAP_TLIFE",$AX$10:$AX$16)),0,""))</f>
        <v/>
      </c>
      <c r="W264" s="369" t="str">
        <f ca="1">IF($B264&lt;&gt;"PRC_RESID","",IF(W$7=2005+OFFSET(COM_N_2012!$B$60,$AW264,SUMIF($B$10:$B$16,"NCAP_TLIFE",$AX$10:$AX$16)),0,""))</f>
        <v/>
      </c>
      <c r="X264" s="369" t="str">
        <f ca="1">IF($B264&lt;&gt;"PRC_RESID","",IF(X$7=2005+OFFSET(COM_N_2012!$B$60,$AW264,SUMIF($B$10:$B$16,"NCAP_TLIFE",$AX$10:$AX$16)),0,""))</f>
        <v/>
      </c>
      <c r="Y264" s="369" t="str">
        <f ca="1">IF($B264&lt;&gt;"PRC_RESID","",IF(Y$7=2005+OFFSET(COM_N_2012!$B$60,$AW264,SUMIF($B$10:$B$16,"NCAP_TLIFE",$AX$10:$AX$16)),0,""))</f>
        <v/>
      </c>
      <c r="Z264" s="369" t="str">
        <f ca="1">IF($B264&lt;&gt;"PRC_RESID","",IF(Z$7=2005+OFFSET(COM_N_2012!$B$60,$AW264,SUMIF($B$10:$B$16,"NCAP_TLIFE",$AX$10:$AX$16)),0,""))</f>
        <v/>
      </c>
      <c r="AA264" s="369" t="str">
        <f ca="1">IF($B264&lt;&gt;"PRC_RESID","",IF(AA$7=2005+OFFSET(COM_N_2012!$B$60,$AW264,SUMIF($B$10:$B$16,"NCAP_TLIFE",$AX$10:$AX$16)),0,""))</f>
        <v/>
      </c>
      <c r="AB264" s="369" t="str">
        <f ca="1">IF($B264&lt;&gt;"PRC_RESID","",IF(AB$7=2005+OFFSET(COM_N_2012!$B$60,$AW264,SUMIF($B$10:$B$16,"NCAP_TLIFE",$AX$10:$AX$16)),0,""))</f>
        <v/>
      </c>
      <c r="AC264" s="369" t="str">
        <f ca="1">IF($B264&lt;&gt;"PRC_RESID","",IF(AC$7=2005+OFFSET(COM_N_2012!$B$60,$AW264,SUMIF($B$10:$B$16,"NCAP_TLIFE",$AX$10:$AX$16)),0,""))</f>
        <v/>
      </c>
      <c r="AD264" s="369" t="str">
        <f ca="1">IF($B264&lt;&gt;"PRC_RESID","",IF(AD$7=2005+OFFSET(COM_N_2012!$B$60,$AW264,SUMIF($B$10:$B$16,"NCAP_TLIFE",$AX$10:$AX$16)),0,""))</f>
        <v/>
      </c>
      <c r="AE264" s="369" t="str">
        <f ca="1">IF($B264&lt;&gt;"PRC_RESID","",IF(AE$7=2005+OFFSET(COM_N_2012!$B$60,$AW264,SUMIF($B$10:$B$16,"NCAP_TLIFE",$AX$10:$AX$16)),0,""))</f>
        <v/>
      </c>
      <c r="AF264" s="369" t="str">
        <f ca="1">IF($B264&lt;&gt;"PRC_RESID","",IF(AF$7=2005+OFFSET(COM_N_2012!$B$60,$AW264,SUMIF($B$10:$B$16,"NCAP_TLIFE",$AX$10:$AX$16)),0,""))</f>
        <v/>
      </c>
      <c r="AG264" s="369" t="str">
        <f ca="1">IF($B264&lt;&gt;"PRC_RESID","",IF(AG$7=2005+OFFSET(COM_N_2012!$B$60,$AW264,SUMIF($B$10:$B$16,"NCAP_TLIFE",$AX$10:$AX$16)),0,""))</f>
        <v/>
      </c>
      <c r="AH264" s="369" t="str">
        <f ca="1">IF($B264&lt;&gt;"PRC_RESID","",IF(AH$7=2005+OFFSET(COM_N_2012!$B$60,$AW264,SUMIF($B$10:$B$16,"NCAP_TLIFE",$AX$10:$AX$16)),0,""))</f>
        <v/>
      </c>
      <c r="AI264" s="369" t="str">
        <f ca="1">IF($B264&lt;&gt;"PRC_RESID","",IF(AI$7=2005+OFFSET(COM_N_2012!$B$60,$AW264,SUMIF($B$10:$B$16,"NCAP_TLIFE",$AX$10:$AX$16)),0,""))</f>
        <v/>
      </c>
      <c r="AJ264" s="369" t="str">
        <f ca="1">IF($B264&lt;&gt;"PRC_RESID","",IF(AJ$7=2005+OFFSET(COM_N_2012!$B$60,$AW264,SUMIF($B$10:$B$16,"NCAP_TLIFE",$AX$10:$AX$16)),0,""))</f>
        <v/>
      </c>
      <c r="AK264" s="369" t="str">
        <f ca="1">IF($B264&lt;&gt;"PRC_RESID","",IF(AK$7=2005+OFFSET(COM_N_2012!$B$60,$AW264,SUMIF($B$10:$B$16,"NCAP_TLIFE",$AX$10:$AX$16)),0,""))</f>
        <v/>
      </c>
      <c r="AL264" s="369" t="str">
        <f ca="1">IF($B264&lt;&gt;"PRC_RESID","",IF(AL$7=2005+OFFSET(COM_N_2012!$B$60,$AW264,SUMIF($B$10:$B$16,"NCAP_TLIFE",$AX$10:$AX$16)),0,""))</f>
        <v/>
      </c>
      <c r="AM264" s="369" t="str">
        <f ca="1">IF($B264&lt;&gt;"PRC_RESID","",IF(AM$7=2005+OFFSET(COM_N_2012!$B$60,$AW264,SUMIF($B$10:$B$16,"NCAP_TLIFE",$AX$10:$AX$16)),0,""))</f>
        <v/>
      </c>
      <c r="AN264" s="369" t="str">
        <f ca="1">IF($B264&lt;&gt;"PRC_RESID","",IF(AN$7=2005+OFFSET(COM_N_2012!$B$60,$AW264,SUMIF($B$10:$B$16,"NCAP_TLIFE",$AX$10:$AX$16)),0,""))</f>
        <v/>
      </c>
      <c r="AO264" s="369" t="str">
        <f ca="1">IF($B264&lt;&gt;"PRC_RESID","",IF(AO$7=2005+OFFSET(COM_N_2012!$B$60,$AW264,SUMIF($B$10:$B$16,"NCAP_TLIFE",$AX$10:$AX$16)),0,""))</f>
        <v/>
      </c>
      <c r="AP264" s="369" t="str">
        <f ca="1">IF($B264&lt;&gt;"PRC_RESID","",IF(AP$7=2005+OFFSET(COM_N_2012!$B$60,$AW264,SUMIF($B$10:$B$16,"NCAP_TLIFE",$AX$10:$AX$16)),0,""))</f>
        <v/>
      </c>
      <c r="AQ264" s="369" t="str">
        <f ca="1">IF($B264&lt;&gt;"PRC_RESID","",IF(AQ$7=2005+OFFSET(COM_N_2012!$B$60,$AW264,SUMIF($B$10:$B$16,"NCAP_TLIFE",$AX$10:$AX$16)),0,""))</f>
        <v/>
      </c>
      <c r="AR264" s="369" t="str">
        <f ca="1">IF($B264&lt;&gt;"PRC_RESID","",IF(AR$7=2005+OFFSET(COM_N_2012!$B$60,$AW264,SUMIF($B$10:$B$16,"NCAP_TLIFE",$AX$10:$AX$16)),0,""))</f>
        <v/>
      </c>
      <c r="AS264" s="369" t="str">
        <f ca="1">IF($B264&lt;&gt;"PRC_RESID","",IF(AS$7=2005+OFFSET(COM_N_2012!$B$60,$AW264,SUMIF($B$10:$B$16,"NCAP_TLIFE",$AX$10:$AX$16)),0,""))</f>
        <v/>
      </c>
      <c r="AT264" s="369" t="str">
        <f ca="1">IF($B264&lt;&gt;"PRC_RESID","",IF(AT$7=2005+OFFSET(COM_N_2012!$B$60,$AW264,SUMIF($B$10:$B$16,"NCAP_TLIFE",$AX$10:$AX$16)),0,""))</f>
        <v/>
      </c>
      <c r="AU264" s="369" t="str">
        <f ca="1">IF($B264&lt;&gt;"PRC_RESID","",IF(AU$7=2005+OFFSET(COM_N_2012!$B$60,$AW264,SUMIF($B$10:$B$16,"NCAP_TLIFE",$AX$10:$AX$16)),0,""))</f>
        <v/>
      </c>
      <c r="AV264" s="304">
        <f>IF(AW263=COM_N_2012!$AK$121,AV263+1,AV263)</f>
        <v>5</v>
      </c>
      <c r="AW264" s="304">
        <f t="shared" si="29"/>
        <v>3</v>
      </c>
    </row>
    <row r="265" spans="1:49">
      <c r="A265" s="304" t="str">
        <f ca="1">IF(LEFT(OFFSET(COM_N_2012!$A$60,AW265,0),2)="\I","*","")</f>
        <v/>
      </c>
      <c r="B265" s="369" t="str">
        <f t="shared" ca="1" si="28"/>
        <v>NCAP_FOM</v>
      </c>
      <c r="C265" s="369" t="str">
        <f ca="1">IF($A265="*","",OFFSET(COM_N_2012!$B$60,AW265,0))</f>
        <v>CNCELCROOM-E</v>
      </c>
      <c r="D265" s="369" t="str">
        <f t="shared" ca="1" si="34"/>
        <v>-</v>
      </c>
      <c r="E265" s="369" t="str">
        <f t="shared" ca="1" si="34"/>
        <v>-</v>
      </c>
      <c r="F265" s="369" t="str">
        <f t="shared" ca="1" si="34"/>
        <v>-</v>
      </c>
      <c r="G265" s="369" t="str">
        <f t="shared" ca="1" si="34"/>
        <v>-</v>
      </c>
      <c r="H265" s="369" t="str">
        <f t="shared" ca="1" si="34"/>
        <v>-</v>
      </c>
      <c r="I265" s="370">
        <f t="shared" ca="1" si="34"/>
        <v>0</v>
      </c>
      <c r="J265" s="391">
        <f ca="1">IF($A265="*","",OFFSET(COM_N_2012!$B$60,AW265,SUMIF($B$10:$B$16,B265,$AX$10:$AX$16)))</f>
        <v>4.9654804773986427</v>
      </c>
      <c r="K265" s="369" t="str">
        <f ca="1">IF($B265&lt;&gt;"PRC_RESID","",IF(K$7=2005+OFFSET(COM_N_2012!$B$60,$AW265,SUMIF($B$10:$B$16,"NCAP_TLIFE",$AX$10:$AX$16)),0,""))</f>
        <v/>
      </c>
      <c r="L265" s="369" t="str">
        <f ca="1">IF($B265&lt;&gt;"PRC_RESID","",IF(L$7=2005+OFFSET(COM_N_2012!$B$60,$AW265,SUMIF($B$10:$B$16,"NCAP_TLIFE",$AX$10:$AX$16)),0,""))</f>
        <v/>
      </c>
      <c r="M265" s="369" t="str">
        <f ca="1">IF($B265&lt;&gt;"PRC_RESID","",IF(M$7=2005+OFFSET(COM_N_2012!$B$60,$AW265,SUMIF($B$10:$B$16,"NCAP_TLIFE",$AX$10:$AX$16)),0,""))</f>
        <v/>
      </c>
      <c r="N265" s="369" t="str">
        <f ca="1">IF($B265&lt;&gt;"PRC_RESID","",IF(N$7=2005+OFFSET(COM_N_2012!$B$60,$AW265,SUMIF($B$10:$B$16,"NCAP_TLIFE",$AX$10:$AX$16)),0,""))</f>
        <v/>
      </c>
      <c r="O265" s="369" t="str">
        <f ca="1">IF($B265&lt;&gt;"PRC_RESID","",IF(O$7=2005+OFFSET(COM_N_2012!$B$60,$AW265,SUMIF($B$10:$B$16,"NCAP_TLIFE",$AX$10:$AX$16)),0,""))</f>
        <v/>
      </c>
      <c r="P265" s="369" t="str">
        <f ca="1">IF($B265&lt;&gt;"PRC_RESID","",IF(P$7=2005+OFFSET(COM_N_2012!$B$60,$AW265,SUMIF($B$10:$B$16,"NCAP_TLIFE",$AX$10:$AX$16)),0,""))</f>
        <v/>
      </c>
      <c r="Q265" s="369" t="str">
        <f ca="1">IF($B265&lt;&gt;"PRC_RESID","",IF(Q$7=2005+OFFSET(COM_N_2012!$B$60,$AW265,SUMIF($B$10:$B$16,"NCAP_TLIFE",$AX$10:$AX$16)),0,""))</f>
        <v/>
      </c>
      <c r="R265" s="369" t="str">
        <f ca="1">IF($B265&lt;&gt;"PRC_RESID","",IF(R$7=2005+OFFSET(COM_N_2012!$B$60,$AW265,SUMIF($B$10:$B$16,"NCAP_TLIFE",$AX$10:$AX$16)),0,""))</f>
        <v/>
      </c>
      <c r="S265" s="369" t="str">
        <f ca="1">IF($B265&lt;&gt;"PRC_RESID","",IF(S$7=2005+OFFSET(COM_N_2012!$B$60,$AW265,SUMIF($B$10:$B$16,"NCAP_TLIFE",$AX$10:$AX$16)),0,""))</f>
        <v/>
      </c>
      <c r="T265" s="369" t="str">
        <f ca="1">IF($B265&lt;&gt;"PRC_RESID","",IF(T$7=2005+OFFSET(COM_N_2012!$B$60,$AW265,SUMIF($B$10:$B$16,"NCAP_TLIFE",$AX$10:$AX$16)),0,""))</f>
        <v/>
      </c>
      <c r="U265" s="369" t="str">
        <f ca="1">IF($B265&lt;&gt;"PRC_RESID","",IF(U$7=2005+OFFSET(COM_N_2012!$B$60,$AW265,SUMIF($B$10:$B$16,"NCAP_TLIFE",$AX$10:$AX$16)),0,""))</f>
        <v/>
      </c>
      <c r="V265" s="369" t="str">
        <f ca="1">IF($B265&lt;&gt;"PRC_RESID","",IF(V$7=2005+OFFSET(COM_N_2012!$B$60,$AW265,SUMIF($B$10:$B$16,"NCAP_TLIFE",$AX$10:$AX$16)),0,""))</f>
        <v/>
      </c>
      <c r="W265" s="369" t="str">
        <f ca="1">IF($B265&lt;&gt;"PRC_RESID","",IF(W$7=2005+OFFSET(COM_N_2012!$B$60,$AW265,SUMIF($B$10:$B$16,"NCAP_TLIFE",$AX$10:$AX$16)),0,""))</f>
        <v/>
      </c>
      <c r="X265" s="369" t="str">
        <f ca="1">IF($B265&lt;&gt;"PRC_RESID","",IF(X$7=2005+OFFSET(COM_N_2012!$B$60,$AW265,SUMIF($B$10:$B$16,"NCAP_TLIFE",$AX$10:$AX$16)),0,""))</f>
        <v/>
      </c>
      <c r="Y265" s="369" t="str">
        <f ca="1">IF($B265&lt;&gt;"PRC_RESID","",IF(Y$7=2005+OFFSET(COM_N_2012!$B$60,$AW265,SUMIF($B$10:$B$16,"NCAP_TLIFE",$AX$10:$AX$16)),0,""))</f>
        <v/>
      </c>
      <c r="Z265" s="369" t="str">
        <f ca="1">IF($B265&lt;&gt;"PRC_RESID","",IF(Z$7=2005+OFFSET(COM_N_2012!$B$60,$AW265,SUMIF($B$10:$B$16,"NCAP_TLIFE",$AX$10:$AX$16)),0,""))</f>
        <v/>
      </c>
      <c r="AA265" s="369" t="str">
        <f ca="1">IF($B265&lt;&gt;"PRC_RESID","",IF(AA$7=2005+OFFSET(COM_N_2012!$B$60,$AW265,SUMIF($B$10:$B$16,"NCAP_TLIFE",$AX$10:$AX$16)),0,""))</f>
        <v/>
      </c>
      <c r="AB265" s="369" t="str">
        <f ca="1">IF($B265&lt;&gt;"PRC_RESID","",IF(AB$7=2005+OFFSET(COM_N_2012!$B$60,$AW265,SUMIF($B$10:$B$16,"NCAP_TLIFE",$AX$10:$AX$16)),0,""))</f>
        <v/>
      </c>
      <c r="AC265" s="369" t="str">
        <f ca="1">IF($B265&lt;&gt;"PRC_RESID","",IF(AC$7=2005+OFFSET(COM_N_2012!$B$60,$AW265,SUMIF($B$10:$B$16,"NCAP_TLIFE",$AX$10:$AX$16)),0,""))</f>
        <v/>
      </c>
      <c r="AD265" s="369" t="str">
        <f ca="1">IF($B265&lt;&gt;"PRC_RESID","",IF(AD$7=2005+OFFSET(COM_N_2012!$B$60,$AW265,SUMIF($B$10:$B$16,"NCAP_TLIFE",$AX$10:$AX$16)),0,""))</f>
        <v/>
      </c>
      <c r="AE265" s="369" t="str">
        <f ca="1">IF($B265&lt;&gt;"PRC_RESID","",IF(AE$7=2005+OFFSET(COM_N_2012!$B$60,$AW265,SUMIF($B$10:$B$16,"NCAP_TLIFE",$AX$10:$AX$16)),0,""))</f>
        <v/>
      </c>
      <c r="AF265" s="369" t="str">
        <f ca="1">IF($B265&lt;&gt;"PRC_RESID","",IF(AF$7=2005+OFFSET(COM_N_2012!$B$60,$AW265,SUMIF($B$10:$B$16,"NCAP_TLIFE",$AX$10:$AX$16)),0,""))</f>
        <v/>
      </c>
      <c r="AG265" s="369" t="str">
        <f ca="1">IF($B265&lt;&gt;"PRC_RESID","",IF(AG$7=2005+OFFSET(COM_N_2012!$B$60,$AW265,SUMIF($B$10:$B$16,"NCAP_TLIFE",$AX$10:$AX$16)),0,""))</f>
        <v/>
      </c>
      <c r="AH265" s="369" t="str">
        <f ca="1">IF($B265&lt;&gt;"PRC_RESID","",IF(AH$7=2005+OFFSET(COM_N_2012!$B$60,$AW265,SUMIF($B$10:$B$16,"NCAP_TLIFE",$AX$10:$AX$16)),0,""))</f>
        <v/>
      </c>
      <c r="AI265" s="369" t="str">
        <f ca="1">IF($B265&lt;&gt;"PRC_RESID","",IF(AI$7=2005+OFFSET(COM_N_2012!$B$60,$AW265,SUMIF($B$10:$B$16,"NCAP_TLIFE",$AX$10:$AX$16)),0,""))</f>
        <v/>
      </c>
      <c r="AJ265" s="369" t="str">
        <f ca="1">IF($B265&lt;&gt;"PRC_RESID","",IF(AJ$7=2005+OFFSET(COM_N_2012!$B$60,$AW265,SUMIF($B$10:$B$16,"NCAP_TLIFE",$AX$10:$AX$16)),0,""))</f>
        <v/>
      </c>
      <c r="AK265" s="369" t="str">
        <f ca="1">IF($B265&lt;&gt;"PRC_RESID","",IF(AK$7=2005+OFFSET(COM_N_2012!$B$60,$AW265,SUMIF($B$10:$B$16,"NCAP_TLIFE",$AX$10:$AX$16)),0,""))</f>
        <v/>
      </c>
      <c r="AL265" s="369" t="str">
        <f ca="1">IF($B265&lt;&gt;"PRC_RESID","",IF(AL$7=2005+OFFSET(COM_N_2012!$B$60,$AW265,SUMIF($B$10:$B$16,"NCAP_TLIFE",$AX$10:$AX$16)),0,""))</f>
        <v/>
      </c>
      <c r="AM265" s="369" t="str">
        <f ca="1">IF($B265&lt;&gt;"PRC_RESID","",IF(AM$7=2005+OFFSET(COM_N_2012!$B$60,$AW265,SUMIF($B$10:$B$16,"NCAP_TLIFE",$AX$10:$AX$16)),0,""))</f>
        <v/>
      </c>
      <c r="AN265" s="369" t="str">
        <f ca="1">IF($B265&lt;&gt;"PRC_RESID","",IF(AN$7=2005+OFFSET(COM_N_2012!$B$60,$AW265,SUMIF($B$10:$B$16,"NCAP_TLIFE",$AX$10:$AX$16)),0,""))</f>
        <v/>
      </c>
      <c r="AO265" s="369" t="str">
        <f ca="1">IF($B265&lt;&gt;"PRC_RESID","",IF(AO$7=2005+OFFSET(COM_N_2012!$B$60,$AW265,SUMIF($B$10:$B$16,"NCAP_TLIFE",$AX$10:$AX$16)),0,""))</f>
        <v/>
      </c>
      <c r="AP265" s="369" t="str">
        <f ca="1">IF($B265&lt;&gt;"PRC_RESID","",IF(AP$7=2005+OFFSET(COM_N_2012!$B$60,$AW265,SUMIF($B$10:$B$16,"NCAP_TLIFE",$AX$10:$AX$16)),0,""))</f>
        <v/>
      </c>
      <c r="AQ265" s="369" t="str">
        <f ca="1">IF($B265&lt;&gt;"PRC_RESID","",IF(AQ$7=2005+OFFSET(COM_N_2012!$B$60,$AW265,SUMIF($B$10:$B$16,"NCAP_TLIFE",$AX$10:$AX$16)),0,""))</f>
        <v/>
      </c>
      <c r="AR265" s="369" t="str">
        <f ca="1">IF($B265&lt;&gt;"PRC_RESID","",IF(AR$7=2005+OFFSET(COM_N_2012!$B$60,$AW265,SUMIF($B$10:$B$16,"NCAP_TLIFE",$AX$10:$AX$16)),0,""))</f>
        <v/>
      </c>
      <c r="AS265" s="369" t="str">
        <f ca="1">IF($B265&lt;&gt;"PRC_RESID","",IF(AS$7=2005+OFFSET(COM_N_2012!$B$60,$AW265,SUMIF($B$10:$B$16,"NCAP_TLIFE",$AX$10:$AX$16)),0,""))</f>
        <v/>
      </c>
      <c r="AT265" s="369" t="str">
        <f ca="1">IF($B265&lt;&gt;"PRC_RESID","",IF(AT$7=2005+OFFSET(COM_N_2012!$B$60,$AW265,SUMIF($B$10:$B$16,"NCAP_TLIFE",$AX$10:$AX$16)),0,""))</f>
        <v/>
      </c>
      <c r="AU265" s="369" t="str">
        <f ca="1">IF($B265&lt;&gt;"PRC_RESID","",IF(AU$7=2005+OFFSET(COM_N_2012!$B$60,$AW265,SUMIF($B$10:$B$16,"NCAP_TLIFE",$AX$10:$AX$16)),0,""))</f>
        <v/>
      </c>
      <c r="AV265" s="304">
        <f>IF(AW264=COM_N_2012!$AK$121,AV264+1,AV264)</f>
        <v>5</v>
      </c>
      <c r="AW265" s="304">
        <f t="shared" si="29"/>
        <v>4</v>
      </c>
    </row>
    <row r="266" spans="1:49">
      <c r="A266" s="304" t="str">
        <f ca="1">IF(LEFT(OFFSET(COM_N_2012!$A$60,AW266,0),2)="\I","*","")</f>
        <v/>
      </c>
      <c r="B266" s="369" t="str">
        <f t="shared" ca="1" si="28"/>
        <v>NCAP_FOM</v>
      </c>
      <c r="C266" s="369" t="str">
        <f ca="1">IF($A266="*","",OFFSET(COM_N_2012!$B$60,AW266,0))</f>
        <v>CNCELCCEN-N</v>
      </c>
      <c r="D266" s="369" t="str">
        <f t="shared" ca="1" si="34"/>
        <v>-</v>
      </c>
      <c r="E266" s="369" t="str">
        <f t="shared" ca="1" si="34"/>
        <v>-</v>
      </c>
      <c r="F266" s="369" t="str">
        <f t="shared" ca="1" si="34"/>
        <v>-</v>
      </c>
      <c r="G266" s="369" t="str">
        <f t="shared" ca="1" si="34"/>
        <v>-</v>
      </c>
      <c r="H266" s="369" t="str">
        <f t="shared" ca="1" si="34"/>
        <v>-</v>
      </c>
      <c r="I266" s="370">
        <f t="shared" ca="1" si="34"/>
        <v>0</v>
      </c>
      <c r="J266" s="391">
        <f ca="1">IF($A266="*","",OFFSET(COM_N_2012!$B$60,AW266,SUMIF($B$10:$B$16,B266,$AX$10:$AX$16)))</f>
        <v>9.1486415772278153</v>
      </c>
      <c r="K266" s="369" t="str">
        <f ca="1">IF($B266&lt;&gt;"PRC_RESID","",IF(K$7=2005+OFFSET(COM_N_2012!$B$60,$AW266,SUMIF($B$10:$B$16,"NCAP_TLIFE",$AX$10:$AX$16)),0,""))</f>
        <v/>
      </c>
      <c r="L266" s="369" t="str">
        <f ca="1">IF($B266&lt;&gt;"PRC_RESID","",IF(L$7=2005+OFFSET(COM_N_2012!$B$60,$AW266,SUMIF($B$10:$B$16,"NCAP_TLIFE",$AX$10:$AX$16)),0,""))</f>
        <v/>
      </c>
      <c r="M266" s="369" t="str">
        <f ca="1">IF($B266&lt;&gt;"PRC_RESID","",IF(M$7=2005+OFFSET(COM_N_2012!$B$60,$AW266,SUMIF($B$10:$B$16,"NCAP_TLIFE",$AX$10:$AX$16)),0,""))</f>
        <v/>
      </c>
      <c r="N266" s="369" t="str">
        <f ca="1">IF($B266&lt;&gt;"PRC_RESID","",IF(N$7=2005+OFFSET(COM_N_2012!$B$60,$AW266,SUMIF($B$10:$B$16,"NCAP_TLIFE",$AX$10:$AX$16)),0,""))</f>
        <v/>
      </c>
      <c r="O266" s="369" t="str">
        <f ca="1">IF($B266&lt;&gt;"PRC_RESID","",IF(O$7=2005+OFFSET(COM_N_2012!$B$60,$AW266,SUMIF($B$10:$B$16,"NCAP_TLIFE",$AX$10:$AX$16)),0,""))</f>
        <v/>
      </c>
      <c r="P266" s="369" t="str">
        <f ca="1">IF($B266&lt;&gt;"PRC_RESID","",IF(P$7=2005+OFFSET(COM_N_2012!$B$60,$AW266,SUMIF($B$10:$B$16,"NCAP_TLIFE",$AX$10:$AX$16)),0,""))</f>
        <v/>
      </c>
      <c r="Q266" s="369" t="str">
        <f ca="1">IF($B266&lt;&gt;"PRC_RESID","",IF(Q$7=2005+OFFSET(COM_N_2012!$B$60,$AW266,SUMIF($B$10:$B$16,"NCAP_TLIFE",$AX$10:$AX$16)),0,""))</f>
        <v/>
      </c>
      <c r="R266" s="369" t="str">
        <f ca="1">IF($B266&lt;&gt;"PRC_RESID","",IF(R$7=2005+OFFSET(COM_N_2012!$B$60,$AW266,SUMIF($B$10:$B$16,"NCAP_TLIFE",$AX$10:$AX$16)),0,""))</f>
        <v/>
      </c>
      <c r="S266" s="369" t="str">
        <f ca="1">IF($B266&lt;&gt;"PRC_RESID","",IF(S$7=2005+OFFSET(COM_N_2012!$B$60,$AW266,SUMIF($B$10:$B$16,"NCAP_TLIFE",$AX$10:$AX$16)),0,""))</f>
        <v/>
      </c>
      <c r="T266" s="369" t="str">
        <f ca="1">IF($B266&lt;&gt;"PRC_RESID","",IF(T$7=2005+OFFSET(COM_N_2012!$B$60,$AW266,SUMIF($B$10:$B$16,"NCAP_TLIFE",$AX$10:$AX$16)),0,""))</f>
        <v/>
      </c>
      <c r="U266" s="369" t="str">
        <f ca="1">IF($B266&lt;&gt;"PRC_RESID","",IF(U$7=2005+OFFSET(COM_N_2012!$B$60,$AW266,SUMIF($B$10:$B$16,"NCAP_TLIFE",$AX$10:$AX$16)),0,""))</f>
        <v/>
      </c>
      <c r="V266" s="369" t="str">
        <f ca="1">IF($B266&lt;&gt;"PRC_RESID","",IF(V$7=2005+OFFSET(COM_N_2012!$B$60,$AW266,SUMIF($B$10:$B$16,"NCAP_TLIFE",$AX$10:$AX$16)),0,""))</f>
        <v/>
      </c>
      <c r="W266" s="369" t="str">
        <f ca="1">IF($B266&lt;&gt;"PRC_RESID","",IF(W$7=2005+OFFSET(COM_N_2012!$B$60,$AW266,SUMIF($B$10:$B$16,"NCAP_TLIFE",$AX$10:$AX$16)),0,""))</f>
        <v/>
      </c>
      <c r="X266" s="369" t="str">
        <f ca="1">IF($B266&lt;&gt;"PRC_RESID","",IF(X$7=2005+OFFSET(COM_N_2012!$B$60,$AW266,SUMIF($B$10:$B$16,"NCAP_TLIFE",$AX$10:$AX$16)),0,""))</f>
        <v/>
      </c>
      <c r="Y266" s="369" t="str">
        <f ca="1">IF($B266&lt;&gt;"PRC_RESID","",IF(Y$7=2005+OFFSET(COM_N_2012!$B$60,$AW266,SUMIF($B$10:$B$16,"NCAP_TLIFE",$AX$10:$AX$16)),0,""))</f>
        <v/>
      </c>
      <c r="Z266" s="369" t="str">
        <f ca="1">IF($B266&lt;&gt;"PRC_RESID","",IF(Z$7=2005+OFFSET(COM_N_2012!$B$60,$AW266,SUMIF($B$10:$B$16,"NCAP_TLIFE",$AX$10:$AX$16)),0,""))</f>
        <v/>
      </c>
      <c r="AA266" s="369" t="str">
        <f ca="1">IF($B266&lt;&gt;"PRC_RESID","",IF(AA$7=2005+OFFSET(COM_N_2012!$B$60,$AW266,SUMIF($B$10:$B$16,"NCAP_TLIFE",$AX$10:$AX$16)),0,""))</f>
        <v/>
      </c>
      <c r="AB266" s="369" t="str">
        <f ca="1">IF($B266&lt;&gt;"PRC_RESID","",IF(AB$7=2005+OFFSET(COM_N_2012!$B$60,$AW266,SUMIF($B$10:$B$16,"NCAP_TLIFE",$AX$10:$AX$16)),0,""))</f>
        <v/>
      </c>
      <c r="AC266" s="369" t="str">
        <f ca="1">IF($B266&lt;&gt;"PRC_RESID","",IF(AC$7=2005+OFFSET(COM_N_2012!$B$60,$AW266,SUMIF($B$10:$B$16,"NCAP_TLIFE",$AX$10:$AX$16)),0,""))</f>
        <v/>
      </c>
      <c r="AD266" s="369" t="str">
        <f ca="1">IF($B266&lt;&gt;"PRC_RESID","",IF(AD$7=2005+OFFSET(COM_N_2012!$B$60,$AW266,SUMIF($B$10:$B$16,"NCAP_TLIFE",$AX$10:$AX$16)),0,""))</f>
        <v/>
      </c>
      <c r="AE266" s="369" t="str">
        <f ca="1">IF($B266&lt;&gt;"PRC_RESID","",IF(AE$7=2005+OFFSET(COM_N_2012!$B$60,$AW266,SUMIF($B$10:$B$16,"NCAP_TLIFE",$AX$10:$AX$16)),0,""))</f>
        <v/>
      </c>
      <c r="AF266" s="369" t="str">
        <f ca="1">IF($B266&lt;&gt;"PRC_RESID","",IF(AF$7=2005+OFFSET(COM_N_2012!$B$60,$AW266,SUMIF($B$10:$B$16,"NCAP_TLIFE",$AX$10:$AX$16)),0,""))</f>
        <v/>
      </c>
      <c r="AG266" s="369" t="str">
        <f ca="1">IF($B266&lt;&gt;"PRC_RESID","",IF(AG$7=2005+OFFSET(COM_N_2012!$B$60,$AW266,SUMIF($B$10:$B$16,"NCAP_TLIFE",$AX$10:$AX$16)),0,""))</f>
        <v/>
      </c>
      <c r="AH266" s="369" t="str">
        <f ca="1">IF($B266&lt;&gt;"PRC_RESID","",IF(AH$7=2005+OFFSET(COM_N_2012!$B$60,$AW266,SUMIF($B$10:$B$16,"NCAP_TLIFE",$AX$10:$AX$16)),0,""))</f>
        <v/>
      </c>
      <c r="AI266" s="369" t="str">
        <f ca="1">IF($B266&lt;&gt;"PRC_RESID","",IF(AI$7=2005+OFFSET(COM_N_2012!$B$60,$AW266,SUMIF($B$10:$B$16,"NCAP_TLIFE",$AX$10:$AX$16)),0,""))</f>
        <v/>
      </c>
      <c r="AJ266" s="369" t="str">
        <f ca="1">IF($B266&lt;&gt;"PRC_RESID","",IF(AJ$7=2005+OFFSET(COM_N_2012!$B$60,$AW266,SUMIF($B$10:$B$16,"NCAP_TLIFE",$AX$10:$AX$16)),0,""))</f>
        <v/>
      </c>
      <c r="AK266" s="369" t="str">
        <f ca="1">IF($B266&lt;&gt;"PRC_RESID","",IF(AK$7=2005+OFFSET(COM_N_2012!$B$60,$AW266,SUMIF($B$10:$B$16,"NCAP_TLIFE",$AX$10:$AX$16)),0,""))</f>
        <v/>
      </c>
      <c r="AL266" s="369" t="str">
        <f ca="1">IF($B266&lt;&gt;"PRC_RESID","",IF(AL$7=2005+OFFSET(COM_N_2012!$B$60,$AW266,SUMIF($B$10:$B$16,"NCAP_TLIFE",$AX$10:$AX$16)),0,""))</f>
        <v/>
      </c>
      <c r="AM266" s="369" t="str">
        <f ca="1">IF($B266&lt;&gt;"PRC_RESID","",IF(AM$7=2005+OFFSET(COM_N_2012!$B$60,$AW266,SUMIF($B$10:$B$16,"NCAP_TLIFE",$AX$10:$AX$16)),0,""))</f>
        <v/>
      </c>
      <c r="AN266" s="369" t="str">
        <f ca="1">IF($B266&lt;&gt;"PRC_RESID","",IF(AN$7=2005+OFFSET(COM_N_2012!$B$60,$AW266,SUMIF($B$10:$B$16,"NCAP_TLIFE",$AX$10:$AX$16)),0,""))</f>
        <v/>
      </c>
      <c r="AO266" s="369" t="str">
        <f ca="1">IF($B266&lt;&gt;"PRC_RESID","",IF(AO$7=2005+OFFSET(COM_N_2012!$B$60,$AW266,SUMIF($B$10:$B$16,"NCAP_TLIFE",$AX$10:$AX$16)),0,""))</f>
        <v/>
      </c>
      <c r="AP266" s="369" t="str">
        <f ca="1">IF($B266&lt;&gt;"PRC_RESID","",IF(AP$7=2005+OFFSET(COM_N_2012!$B$60,$AW266,SUMIF($B$10:$B$16,"NCAP_TLIFE",$AX$10:$AX$16)),0,""))</f>
        <v/>
      </c>
      <c r="AQ266" s="369" t="str">
        <f ca="1">IF($B266&lt;&gt;"PRC_RESID","",IF(AQ$7=2005+OFFSET(COM_N_2012!$B$60,$AW266,SUMIF($B$10:$B$16,"NCAP_TLIFE",$AX$10:$AX$16)),0,""))</f>
        <v/>
      </c>
      <c r="AR266" s="369" t="str">
        <f ca="1">IF($B266&lt;&gt;"PRC_RESID","",IF(AR$7=2005+OFFSET(COM_N_2012!$B$60,$AW266,SUMIF($B$10:$B$16,"NCAP_TLIFE",$AX$10:$AX$16)),0,""))</f>
        <v/>
      </c>
      <c r="AS266" s="369" t="str">
        <f ca="1">IF($B266&lt;&gt;"PRC_RESID","",IF(AS$7=2005+OFFSET(COM_N_2012!$B$60,$AW266,SUMIF($B$10:$B$16,"NCAP_TLIFE",$AX$10:$AX$16)),0,""))</f>
        <v/>
      </c>
      <c r="AT266" s="369" t="str">
        <f ca="1">IF($B266&lt;&gt;"PRC_RESID","",IF(AT$7=2005+OFFSET(COM_N_2012!$B$60,$AW266,SUMIF($B$10:$B$16,"NCAP_TLIFE",$AX$10:$AX$16)),0,""))</f>
        <v/>
      </c>
      <c r="AU266" s="369" t="str">
        <f ca="1">IF($B266&lt;&gt;"PRC_RESID","",IF(AU$7=2005+OFFSET(COM_N_2012!$B$60,$AW266,SUMIF($B$10:$B$16,"NCAP_TLIFE",$AX$10:$AX$16)),0,""))</f>
        <v/>
      </c>
      <c r="AV266" s="304">
        <f>IF(AW265=COM_N_2012!$AK$121,AV265+1,AV265)</f>
        <v>5</v>
      </c>
      <c r="AW266" s="304">
        <f t="shared" si="29"/>
        <v>5</v>
      </c>
    </row>
    <row r="267" spans="1:49">
      <c r="A267" s="304" t="str">
        <f ca="1">IF(LEFT(OFFSET(COM_N_2012!$A$60,AW267,0),2)="\I","*","")</f>
        <v/>
      </c>
      <c r="B267" s="369" t="str">
        <f t="shared" ca="1" si="28"/>
        <v>NCAP_FOM</v>
      </c>
      <c r="C267" s="369" t="str">
        <f ca="1">IF($A267="*","",OFFSET(COM_N_2012!$B$60,AW267,0))</f>
        <v>CNCELCHP-N</v>
      </c>
      <c r="D267" s="369" t="str">
        <f t="shared" ca="1" si="34"/>
        <v>-</v>
      </c>
      <c r="E267" s="369" t="str">
        <f t="shared" ca="1" si="34"/>
        <v>-</v>
      </c>
      <c r="F267" s="369" t="str">
        <f t="shared" ca="1" si="34"/>
        <v>-</v>
      </c>
      <c r="G267" s="369" t="str">
        <f t="shared" ca="1" si="34"/>
        <v>-</v>
      </c>
      <c r="H267" s="369" t="str">
        <f t="shared" ca="1" si="34"/>
        <v>-</v>
      </c>
      <c r="I267" s="370">
        <f t="shared" ca="1" si="34"/>
        <v>0</v>
      </c>
      <c r="J267" s="391">
        <f ca="1">IF($A267="*","",OFFSET(COM_N_2012!$B$60,AW267,SUMIF($B$10:$B$16,B267,$AX$10:$AX$16)))</f>
        <v>12.475420332583383</v>
      </c>
      <c r="K267" s="369" t="str">
        <f ca="1">IF($B267&lt;&gt;"PRC_RESID","",IF(K$7=2005+OFFSET(COM_N_2012!$B$60,$AW267,SUMIF($B$10:$B$16,"NCAP_TLIFE",$AX$10:$AX$16)),0,""))</f>
        <v/>
      </c>
      <c r="L267" s="369" t="str">
        <f ca="1">IF($B267&lt;&gt;"PRC_RESID","",IF(L$7=2005+OFFSET(COM_N_2012!$B$60,$AW267,SUMIF($B$10:$B$16,"NCAP_TLIFE",$AX$10:$AX$16)),0,""))</f>
        <v/>
      </c>
      <c r="M267" s="369" t="str">
        <f ca="1">IF($B267&lt;&gt;"PRC_RESID","",IF(M$7=2005+OFFSET(COM_N_2012!$B$60,$AW267,SUMIF($B$10:$B$16,"NCAP_TLIFE",$AX$10:$AX$16)),0,""))</f>
        <v/>
      </c>
      <c r="N267" s="369" t="str">
        <f ca="1">IF($B267&lt;&gt;"PRC_RESID","",IF(N$7=2005+OFFSET(COM_N_2012!$B$60,$AW267,SUMIF($B$10:$B$16,"NCAP_TLIFE",$AX$10:$AX$16)),0,""))</f>
        <v/>
      </c>
      <c r="O267" s="369" t="str">
        <f ca="1">IF($B267&lt;&gt;"PRC_RESID","",IF(O$7=2005+OFFSET(COM_N_2012!$B$60,$AW267,SUMIF($B$10:$B$16,"NCAP_TLIFE",$AX$10:$AX$16)),0,""))</f>
        <v/>
      </c>
      <c r="P267" s="369" t="str">
        <f ca="1">IF($B267&lt;&gt;"PRC_RESID","",IF(P$7=2005+OFFSET(COM_N_2012!$B$60,$AW267,SUMIF($B$10:$B$16,"NCAP_TLIFE",$AX$10:$AX$16)),0,""))</f>
        <v/>
      </c>
      <c r="Q267" s="369" t="str">
        <f ca="1">IF($B267&lt;&gt;"PRC_RESID","",IF(Q$7=2005+OFFSET(COM_N_2012!$B$60,$AW267,SUMIF($B$10:$B$16,"NCAP_TLIFE",$AX$10:$AX$16)),0,""))</f>
        <v/>
      </c>
      <c r="R267" s="369" t="str">
        <f ca="1">IF($B267&lt;&gt;"PRC_RESID","",IF(R$7=2005+OFFSET(COM_N_2012!$B$60,$AW267,SUMIF($B$10:$B$16,"NCAP_TLIFE",$AX$10:$AX$16)),0,""))</f>
        <v/>
      </c>
      <c r="S267" s="369" t="str">
        <f ca="1">IF($B267&lt;&gt;"PRC_RESID","",IF(S$7=2005+OFFSET(COM_N_2012!$B$60,$AW267,SUMIF($B$10:$B$16,"NCAP_TLIFE",$AX$10:$AX$16)),0,""))</f>
        <v/>
      </c>
      <c r="T267" s="369" t="str">
        <f ca="1">IF($B267&lt;&gt;"PRC_RESID","",IF(T$7=2005+OFFSET(COM_N_2012!$B$60,$AW267,SUMIF($B$10:$B$16,"NCAP_TLIFE",$AX$10:$AX$16)),0,""))</f>
        <v/>
      </c>
      <c r="U267" s="369" t="str">
        <f ca="1">IF($B267&lt;&gt;"PRC_RESID","",IF(U$7=2005+OFFSET(COM_N_2012!$B$60,$AW267,SUMIF($B$10:$B$16,"NCAP_TLIFE",$AX$10:$AX$16)),0,""))</f>
        <v/>
      </c>
      <c r="V267" s="369" t="str">
        <f ca="1">IF($B267&lt;&gt;"PRC_RESID","",IF(V$7=2005+OFFSET(COM_N_2012!$B$60,$AW267,SUMIF($B$10:$B$16,"NCAP_TLIFE",$AX$10:$AX$16)),0,""))</f>
        <v/>
      </c>
      <c r="W267" s="369" t="str">
        <f ca="1">IF($B267&lt;&gt;"PRC_RESID","",IF(W$7=2005+OFFSET(COM_N_2012!$B$60,$AW267,SUMIF($B$10:$B$16,"NCAP_TLIFE",$AX$10:$AX$16)),0,""))</f>
        <v/>
      </c>
      <c r="X267" s="369" t="str">
        <f ca="1">IF($B267&lt;&gt;"PRC_RESID","",IF(X$7=2005+OFFSET(COM_N_2012!$B$60,$AW267,SUMIF($B$10:$B$16,"NCAP_TLIFE",$AX$10:$AX$16)),0,""))</f>
        <v/>
      </c>
      <c r="Y267" s="369" t="str">
        <f ca="1">IF($B267&lt;&gt;"PRC_RESID","",IF(Y$7=2005+OFFSET(COM_N_2012!$B$60,$AW267,SUMIF($B$10:$B$16,"NCAP_TLIFE",$AX$10:$AX$16)),0,""))</f>
        <v/>
      </c>
      <c r="Z267" s="369" t="str">
        <f ca="1">IF($B267&lt;&gt;"PRC_RESID","",IF(Z$7=2005+OFFSET(COM_N_2012!$B$60,$AW267,SUMIF($B$10:$B$16,"NCAP_TLIFE",$AX$10:$AX$16)),0,""))</f>
        <v/>
      </c>
      <c r="AA267" s="369" t="str">
        <f ca="1">IF($B267&lt;&gt;"PRC_RESID","",IF(AA$7=2005+OFFSET(COM_N_2012!$B$60,$AW267,SUMIF($B$10:$B$16,"NCAP_TLIFE",$AX$10:$AX$16)),0,""))</f>
        <v/>
      </c>
      <c r="AB267" s="369" t="str">
        <f ca="1">IF($B267&lt;&gt;"PRC_RESID","",IF(AB$7=2005+OFFSET(COM_N_2012!$B$60,$AW267,SUMIF($B$10:$B$16,"NCAP_TLIFE",$AX$10:$AX$16)),0,""))</f>
        <v/>
      </c>
      <c r="AC267" s="369" t="str">
        <f ca="1">IF($B267&lt;&gt;"PRC_RESID","",IF(AC$7=2005+OFFSET(COM_N_2012!$B$60,$AW267,SUMIF($B$10:$B$16,"NCAP_TLIFE",$AX$10:$AX$16)),0,""))</f>
        <v/>
      </c>
      <c r="AD267" s="369" t="str">
        <f ca="1">IF($B267&lt;&gt;"PRC_RESID","",IF(AD$7=2005+OFFSET(COM_N_2012!$B$60,$AW267,SUMIF($B$10:$B$16,"NCAP_TLIFE",$AX$10:$AX$16)),0,""))</f>
        <v/>
      </c>
      <c r="AE267" s="369" t="str">
        <f ca="1">IF($B267&lt;&gt;"PRC_RESID","",IF(AE$7=2005+OFFSET(COM_N_2012!$B$60,$AW267,SUMIF($B$10:$B$16,"NCAP_TLIFE",$AX$10:$AX$16)),0,""))</f>
        <v/>
      </c>
      <c r="AF267" s="369" t="str">
        <f ca="1">IF($B267&lt;&gt;"PRC_RESID","",IF(AF$7=2005+OFFSET(COM_N_2012!$B$60,$AW267,SUMIF($B$10:$B$16,"NCAP_TLIFE",$AX$10:$AX$16)),0,""))</f>
        <v/>
      </c>
      <c r="AG267" s="369" t="str">
        <f ca="1">IF($B267&lt;&gt;"PRC_RESID","",IF(AG$7=2005+OFFSET(COM_N_2012!$B$60,$AW267,SUMIF($B$10:$B$16,"NCAP_TLIFE",$AX$10:$AX$16)),0,""))</f>
        <v/>
      </c>
      <c r="AH267" s="369" t="str">
        <f ca="1">IF($B267&lt;&gt;"PRC_RESID","",IF(AH$7=2005+OFFSET(COM_N_2012!$B$60,$AW267,SUMIF($B$10:$B$16,"NCAP_TLIFE",$AX$10:$AX$16)),0,""))</f>
        <v/>
      </c>
      <c r="AI267" s="369" t="str">
        <f ca="1">IF($B267&lt;&gt;"PRC_RESID","",IF(AI$7=2005+OFFSET(COM_N_2012!$B$60,$AW267,SUMIF($B$10:$B$16,"NCAP_TLIFE",$AX$10:$AX$16)),0,""))</f>
        <v/>
      </c>
      <c r="AJ267" s="369" t="str">
        <f ca="1">IF($B267&lt;&gt;"PRC_RESID","",IF(AJ$7=2005+OFFSET(COM_N_2012!$B$60,$AW267,SUMIF($B$10:$B$16,"NCAP_TLIFE",$AX$10:$AX$16)),0,""))</f>
        <v/>
      </c>
      <c r="AK267" s="369" t="str">
        <f ca="1">IF($B267&lt;&gt;"PRC_RESID","",IF(AK$7=2005+OFFSET(COM_N_2012!$B$60,$AW267,SUMIF($B$10:$B$16,"NCAP_TLIFE",$AX$10:$AX$16)),0,""))</f>
        <v/>
      </c>
      <c r="AL267" s="369" t="str">
        <f ca="1">IF($B267&lt;&gt;"PRC_RESID","",IF(AL$7=2005+OFFSET(COM_N_2012!$B$60,$AW267,SUMIF($B$10:$B$16,"NCAP_TLIFE",$AX$10:$AX$16)),0,""))</f>
        <v/>
      </c>
      <c r="AM267" s="369" t="str">
        <f ca="1">IF($B267&lt;&gt;"PRC_RESID","",IF(AM$7=2005+OFFSET(COM_N_2012!$B$60,$AW267,SUMIF($B$10:$B$16,"NCAP_TLIFE",$AX$10:$AX$16)),0,""))</f>
        <v/>
      </c>
      <c r="AN267" s="369" t="str">
        <f ca="1">IF($B267&lt;&gt;"PRC_RESID","",IF(AN$7=2005+OFFSET(COM_N_2012!$B$60,$AW267,SUMIF($B$10:$B$16,"NCAP_TLIFE",$AX$10:$AX$16)),0,""))</f>
        <v/>
      </c>
      <c r="AO267" s="369" t="str">
        <f ca="1">IF($B267&lt;&gt;"PRC_RESID","",IF(AO$7=2005+OFFSET(COM_N_2012!$B$60,$AW267,SUMIF($B$10:$B$16,"NCAP_TLIFE",$AX$10:$AX$16)),0,""))</f>
        <v/>
      </c>
      <c r="AP267" s="369" t="str">
        <f ca="1">IF($B267&lt;&gt;"PRC_RESID","",IF(AP$7=2005+OFFSET(COM_N_2012!$B$60,$AW267,SUMIF($B$10:$B$16,"NCAP_TLIFE",$AX$10:$AX$16)),0,""))</f>
        <v/>
      </c>
      <c r="AQ267" s="369" t="str">
        <f ca="1">IF($B267&lt;&gt;"PRC_RESID","",IF(AQ$7=2005+OFFSET(COM_N_2012!$B$60,$AW267,SUMIF($B$10:$B$16,"NCAP_TLIFE",$AX$10:$AX$16)),0,""))</f>
        <v/>
      </c>
      <c r="AR267" s="369" t="str">
        <f ca="1">IF($B267&lt;&gt;"PRC_RESID","",IF(AR$7=2005+OFFSET(COM_N_2012!$B$60,$AW267,SUMIF($B$10:$B$16,"NCAP_TLIFE",$AX$10:$AX$16)),0,""))</f>
        <v/>
      </c>
      <c r="AS267" s="369" t="str">
        <f ca="1">IF($B267&lt;&gt;"PRC_RESID","",IF(AS$7=2005+OFFSET(COM_N_2012!$B$60,$AW267,SUMIF($B$10:$B$16,"NCAP_TLIFE",$AX$10:$AX$16)),0,""))</f>
        <v/>
      </c>
      <c r="AT267" s="369" t="str">
        <f ca="1">IF($B267&lt;&gt;"PRC_RESID","",IF(AT$7=2005+OFFSET(COM_N_2012!$B$60,$AW267,SUMIF($B$10:$B$16,"NCAP_TLIFE",$AX$10:$AX$16)),0,""))</f>
        <v/>
      </c>
      <c r="AU267" s="369" t="str">
        <f ca="1">IF($B267&lt;&gt;"PRC_RESID","",IF(AU$7=2005+OFFSET(COM_N_2012!$B$60,$AW267,SUMIF($B$10:$B$16,"NCAP_TLIFE",$AX$10:$AX$16)),0,""))</f>
        <v/>
      </c>
      <c r="AV267" s="304">
        <f>IF(AW266=COM_N_2012!$AK$121,AV266+1,AV266)</f>
        <v>5</v>
      </c>
      <c r="AW267" s="304">
        <f t="shared" si="29"/>
        <v>6</v>
      </c>
    </row>
    <row r="268" spans="1:49">
      <c r="A268" s="304" t="str">
        <f ca="1">IF(LEFT(OFFSET(COM_N_2012!$A$60,AW268,0),2)="\I","*","")</f>
        <v>*</v>
      </c>
      <c r="B268" s="369" t="str">
        <f t="shared" ca="1" si="28"/>
        <v/>
      </c>
      <c r="C268" s="369" t="str">
        <f ca="1">IF($A268="*","",OFFSET(COM_N_2012!$B$60,AW268,0))</f>
        <v/>
      </c>
      <c r="D268" s="369" t="str">
        <f t="shared" ref="D268:I277" ca="1" si="35">IF($A268="*","",VLOOKUP($B268,$B$10:$I$16,D$9,FALSE))</f>
        <v/>
      </c>
      <c r="E268" s="369" t="str">
        <f t="shared" ca="1" si="35"/>
        <v/>
      </c>
      <c r="F268" s="369" t="str">
        <f t="shared" ca="1" si="35"/>
        <v/>
      </c>
      <c r="G268" s="369" t="str">
        <f t="shared" ca="1" si="35"/>
        <v/>
      </c>
      <c r="H268" s="369" t="str">
        <f t="shared" ca="1" si="35"/>
        <v/>
      </c>
      <c r="I268" s="370" t="str">
        <f t="shared" ca="1" si="35"/>
        <v/>
      </c>
      <c r="J268" s="391" t="str">
        <f ca="1">IF($A268="*","",OFFSET(COM_N_2012!$B$60,AW268,SUMIF($B$10:$B$16,B268,$AX$10:$AX$16)))</f>
        <v/>
      </c>
      <c r="K268" s="369" t="str">
        <f ca="1">IF($B268&lt;&gt;"PRC_RESID","",IF(K$7=2005+OFFSET(COM_N_2012!$B$60,$AW268,SUMIF($B$10:$B$16,"NCAP_TLIFE",$AX$10:$AX$16)),0,""))</f>
        <v/>
      </c>
      <c r="L268" s="369" t="str">
        <f ca="1">IF($B268&lt;&gt;"PRC_RESID","",IF(L$7=2005+OFFSET(COM_N_2012!$B$60,$AW268,SUMIF($B$10:$B$16,"NCAP_TLIFE",$AX$10:$AX$16)),0,""))</f>
        <v/>
      </c>
      <c r="M268" s="369" t="str">
        <f ca="1">IF($B268&lt;&gt;"PRC_RESID","",IF(M$7=2005+OFFSET(COM_N_2012!$B$60,$AW268,SUMIF($B$10:$B$16,"NCAP_TLIFE",$AX$10:$AX$16)),0,""))</f>
        <v/>
      </c>
      <c r="N268" s="369" t="str">
        <f ca="1">IF($B268&lt;&gt;"PRC_RESID","",IF(N$7=2005+OFFSET(COM_N_2012!$B$60,$AW268,SUMIF($B$10:$B$16,"NCAP_TLIFE",$AX$10:$AX$16)),0,""))</f>
        <v/>
      </c>
      <c r="O268" s="369" t="str">
        <f ca="1">IF($B268&lt;&gt;"PRC_RESID","",IF(O$7=2005+OFFSET(COM_N_2012!$B$60,$AW268,SUMIF($B$10:$B$16,"NCAP_TLIFE",$AX$10:$AX$16)),0,""))</f>
        <v/>
      </c>
      <c r="P268" s="369" t="str">
        <f ca="1">IF($B268&lt;&gt;"PRC_RESID","",IF(P$7=2005+OFFSET(COM_N_2012!$B$60,$AW268,SUMIF($B$10:$B$16,"NCAP_TLIFE",$AX$10:$AX$16)),0,""))</f>
        <v/>
      </c>
      <c r="Q268" s="369" t="str">
        <f ca="1">IF($B268&lt;&gt;"PRC_RESID","",IF(Q$7=2005+OFFSET(COM_N_2012!$B$60,$AW268,SUMIF($B$10:$B$16,"NCAP_TLIFE",$AX$10:$AX$16)),0,""))</f>
        <v/>
      </c>
      <c r="R268" s="369" t="str">
        <f ca="1">IF($B268&lt;&gt;"PRC_RESID","",IF(R$7=2005+OFFSET(COM_N_2012!$B$60,$AW268,SUMIF($B$10:$B$16,"NCAP_TLIFE",$AX$10:$AX$16)),0,""))</f>
        <v/>
      </c>
      <c r="S268" s="369" t="str">
        <f ca="1">IF($B268&lt;&gt;"PRC_RESID","",IF(S$7=2005+OFFSET(COM_N_2012!$B$60,$AW268,SUMIF($B$10:$B$16,"NCAP_TLIFE",$AX$10:$AX$16)),0,""))</f>
        <v/>
      </c>
      <c r="T268" s="369" t="str">
        <f ca="1">IF($B268&lt;&gt;"PRC_RESID","",IF(T$7=2005+OFFSET(COM_N_2012!$B$60,$AW268,SUMIF($B$10:$B$16,"NCAP_TLIFE",$AX$10:$AX$16)),0,""))</f>
        <v/>
      </c>
      <c r="U268" s="369" t="str">
        <f ca="1">IF($B268&lt;&gt;"PRC_RESID","",IF(U$7=2005+OFFSET(COM_N_2012!$B$60,$AW268,SUMIF($B$10:$B$16,"NCAP_TLIFE",$AX$10:$AX$16)),0,""))</f>
        <v/>
      </c>
      <c r="V268" s="369" t="str">
        <f ca="1">IF($B268&lt;&gt;"PRC_RESID","",IF(V$7=2005+OFFSET(COM_N_2012!$B$60,$AW268,SUMIF($B$10:$B$16,"NCAP_TLIFE",$AX$10:$AX$16)),0,""))</f>
        <v/>
      </c>
      <c r="W268" s="369" t="str">
        <f ca="1">IF($B268&lt;&gt;"PRC_RESID","",IF(W$7=2005+OFFSET(COM_N_2012!$B$60,$AW268,SUMIF($B$10:$B$16,"NCAP_TLIFE",$AX$10:$AX$16)),0,""))</f>
        <v/>
      </c>
      <c r="X268" s="369" t="str">
        <f ca="1">IF($B268&lt;&gt;"PRC_RESID","",IF(X$7=2005+OFFSET(COM_N_2012!$B$60,$AW268,SUMIF($B$10:$B$16,"NCAP_TLIFE",$AX$10:$AX$16)),0,""))</f>
        <v/>
      </c>
      <c r="Y268" s="369" t="str">
        <f ca="1">IF($B268&lt;&gt;"PRC_RESID","",IF(Y$7=2005+OFFSET(COM_N_2012!$B$60,$AW268,SUMIF($B$10:$B$16,"NCAP_TLIFE",$AX$10:$AX$16)),0,""))</f>
        <v/>
      </c>
      <c r="Z268" s="369" t="str">
        <f ca="1">IF($B268&lt;&gt;"PRC_RESID","",IF(Z$7=2005+OFFSET(COM_N_2012!$B$60,$AW268,SUMIF($B$10:$B$16,"NCAP_TLIFE",$AX$10:$AX$16)),0,""))</f>
        <v/>
      </c>
      <c r="AA268" s="369" t="str">
        <f ca="1">IF($B268&lt;&gt;"PRC_RESID","",IF(AA$7=2005+OFFSET(COM_N_2012!$B$60,$AW268,SUMIF($B$10:$B$16,"NCAP_TLIFE",$AX$10:$AX$16)),0,""))</f>
        <v/>
      </c>
      <c r="AB268" s="369" t="str">
        <f ca="1">IF($B268&lt;&gt;"PRC_RESID","",IF(AB$7=2005+OFFSET(COM_N_2012!$B$60,$AW268,SUMIF($B$10:$B$16,"NCAP_TLIFE",$AX$10:$AX$16)),0,""))</f>
        <v/>
      </c>
      <c r="AC268" s="369" t="str">
        <f ca="1">IF($B268&lt;&gt;"PRC_RESID","",IF(AC$7=2005+OFFSET(COM_N_2012!$B$60,$AW268,SUMIF($B$10:$B$16,"NCAP_TLIFE",$AX$10:$AX$16)),0,""))</f>
        <v/>
      </c>
      <c r="AD268" s="369" t="str">
        <f ca="1">IF($B268&lt;&gt;"PRC_RESID","",IF(AD$7=2005+OFFSET(COM_N_2012!$B$60,$AW268,SUMIF($B$10:$B$16,"NCAP_TLIFE",$AX$10:$AX$16)),0,""))</f>
        <v/>
      </c>
      <c r="AE268" s="369" t="str">
        <f ca="1">IF($B268&lt;&gt;"PRC_RESID","",IF(AE$7=2005+OFFSET(COM_N_2012!$B$60,$AW268,SUMIF($B$10:$B$16,"NCAP_TLIFE",$AX$10:$AX$16)),0,""))</f>
        <v/>
      </c>
      <c r="AF268" s="369" t="str">
        <f ca="1">IF($B268&lt;&gt;"PRC_RESID","",IF(AF$7=2005+OFFSET(COM_N_2012!$B$60,$AW268,SUMIF($B$10:$B$16,"NCAP_TLIFE",$AX$10:$AX$16)),0,""))</f>
        <v/>
      </c>
      <c r="AG268" s="369" t="str">
        <f ca="1">IF($B268&lt;&gt;"PRC_RESID","",IF(AG$7=2005+OFFSET(COM_N_2012!$B$60,$AW268,SUMIF($B$10:$B$16,"NCAP_TLIFE",$AX$10:$AX$16)),0,""))</f>
        <v/>
      </c>
      <c r="AH268" s="369" t="str">
        <f ca="1">IF($B268&lt;&gt;"PRC_RESID","",IF(AH$7=2005+OFFSET(COM_N_2012!$B$60,$AW268,SUMIF($B$10:$B$16,"NCAP_TLIFE",$AX$10:$AX$16)),0,""))</f>
        <v/>
      </c>
      <c r="AI268" s="369" t="str">
        <f ca="1">IF($B268&lt;&gt;"PRC_RESID","",IF(AI$7=2005+OFFSET(COM_N_2012!$B$60,$AW268,SUMIF($B$10:$B$16,"NCAP_TLIFE",$AX$10:$AX$16)),0,""))</f>
        <v/>
      </c>
      <c r="AJ268" s="369" t="str">
        <f ca="1">IF($B268&lt;&gt;"PRC_RESID","",IF(AJ$7=2005+OFFSET(COM_N_2012!$B$60,$AW268,SUMIF($B$10:$B$16,"NCAP_TLIFE",$AX$10:$AX$16)),0,""))</f>
        <v/>
      </c>
      <c r="AK268" s="369" t="str">
        <f ca="1">IF($B268&lt;&gt;"PRC_RESID","",IF(AK$7=2005+OFFSET(COM_N_2012!$B$60,$AW268,SUMIF($B$10:$B$16,"NCAP_TLIFE",$AX$10:$AX$16)),0,""))</f>
        <v/>
      </c>
      <c r="AL268" s="369" t="str">
        <f ca="1">IF($B268&lt;&gt;"PRC_RESID","",IF(AL$7=2005+OFFSET(COM_N_2012!$B$60,$AW268,SUMIF($B$10:$B$16,"NCAP_TLIFE",$AX$10:$AX$16)),0,""))</f>
        <v/>
      </c>
      <c r="AM268" s="369" t="str">
        <f ca="1">IF($B268&lt;&gt;"PRC_RESID","",IF(AM$7=2005+OFFSET(COM_N_2012!$B$60,$AW268,SUMIF($B$10:$B$16,"NCAP_TLIFE",$AX$10:$AX$16)),0,""))</f>
        <v/>
      </c>
      <c r="AN268" s="369" t="str">
        <f ca="1">IF($B268&lt;&gt;"PRC_RESID","",IF(AN$7=2005+OFFSET(COM_N_2012!$B$60,$AW268,SUMIF($B$10:$B$16,"NCAP_TLIFE",$AX$10:$AX$16)),0,""))</f>
        <v/>
      </c>
      <c r="AO268" s="369" t="str">
        <f ca="1">IF($B268&lt;&gt;"PRC_RESID","",IF(AO$7=2005+OFFSET(COM_N_2012!$B$60,$AW268,SUMIF($B$10:$B$16,"NCAP_TLIFE",$AX$10:$AX$16)),0,""))</f>
        <v/>
      </c>
      <c r="AP268" s="369" t="str">
        <f ca="1">IF($B268&lt;&gt;"PRC_RESID","",IF(AP$7=2005+OFFSET(COM_N_2012!$B$60,$AW268,SUMIF($B$10:$B$16,"NCAP_TLIFE",$AX$10:$AX$16)),0,""))</f>
        <v/>
      </c>
      <c r="AQ268" s="369" t="str">
        <f ca="1">IF($B268&lt;&gt;"PRC_RESID","",IF(AQ$7=2005+OFFSET(COM_N_2012!$B$60,$AW268,SUMIF($B$10:$B$16,"NCAP_TLIFE",$AX$10:$AX$16)),0,""))</f>
        <v/>
      </c>
      <c r="AR268" s="369" t="str">
        <f ca="1">IF($B268&lt;&gt;"PRC_RESID","",IF(AR$7=2005+OFFSET(COM_N_2012!$B$60,$AW268,SUMIF($B$10:$B$16,"NCAP_TLIFE",$AX$10:$AX$16)),0,""))</f>
        <v/>
      </c>
      <c r="AS268" s="369" t="str">
        <f ca="1">IF($B268&lt;&gt;"PRC_RESID","",IF(AS$7=2005+OFFSET(COM_N_2012!$B$60,$AW268,SUMIF($B$10:$B$16,"NCAP_TLIFE",$AX$10:$AX$16)),0,""))</f>
        <v/>
      </c>
      <c r="AT268" s="369" t="str">
        <f ca="1">IF($B268&lt;&gt;"PRC_RESID","",IF(AT$7=2005+OFFSET(COM_N_2012!$B$60,$AW268,SUMIF($B$10:$B$16,"NCAP_TLIFE",$AX$10:$AX$16)),0,""))</f>
        <v/>
      </c>
      <c r="AU268" s="369" t="str">
        <f ca="1">IF($B268&lt;&gt;"PRC_RESID","",IF(AU$7=2005+OFFSET(COM_N_2012!$B$60,$AW268,SUMIF($B$10:$B$16,"NCAP_TLIFE",$AX$10:$AX$16)),0,""))</f>
        <v/>
      </c>
      <c r="AV268" s="304">
        <f>IF(AW267=COM_N_2012!$AK$121,AV267+1,AV267)</f>
        <v>5</v>
      </c>
      <c r="AW268" s="304">
        <f t="shared" si="29"/>
        <v>7</v>
      </c>
    </row>
    <row r="269" spans="1:49">
      <c r="A269" s="304" t="str">
        <f ca="1">IF(LEFT(OFFSET(COM_N_2012!$A$60,AW269,0),2)="\I","*","")</f>
        <v>*</v>
      </c>
      <c r="B269" s="369" t="str">
        <f t="shared" ca="1" si="28"/>
        <v/>
      </c>
      <c r="C269" s="369" t="str">
        <f ca="1">IF($A269="*","",OFFSET(COM_N_2012!$B$60,AW269,0))</f>
        <v/>
      </c>
      <c r="D269" s="369" t="str">
        <f t="shared" ca="1" si="35"/>
        <v/>
      </c>
      <c r="E269" s="369" t="str">
        <f t="shared" ca="1" si="35"/>
        <v/>
      </c>
      <c r="F269" s="369" t="str">
        <f t="shared" ca="1" si="35"/>
        <v/>
      </c>
      <c r="G269" s="369" t="str">
        <f t="shared" ca="1" si="35"/>
        <v/>
      </c>
      <c r="H269" s="369" t="str">
        <f t="shared" ca="1" si="35"/>
        <v/>
      </c>
      <c r="I269" s="370" t="str">
        <f t="shared" ca="1" si="35"/>
        <v/>
      </c>
      <c r="J269" s="391" t="str">
        <f ca="1">IF($A269="*","",OFFSET(COM_N_2012!$B$60,AW269,SUMIF($B$10:$B$16,B269,$AX$10:$AX$16)))</f>
        <v/>
      </c>
      <c r="K269" s="369" t="str">
        <f ca="1">IF($B269&lt;&gt;"PRC_RESID","",IF(K$7=2005+OFFSET(COM_N_2012!$B$60,$AW269,SUMIF($B$10:$B$16,"NCAP_TLIFE",$AX$10:$AX$16)),0,""))</f>
        <v/>
      </c>
      <c r="L269" s="369" t="str">
        <f ca="1">IF($B269&lt;&gt;"PRC_RESID","",IF(L$7=2005+OFFSET(COM_N_2012!$B$60,$AW269,SUMIF($B$10:$B$16,"NCAP_TLIFE",$AX$10:$AX$16)),0,""))</f>
        <v/>
      </c>
      <c r="M269" s="369" t="str">
        <f ca="1">IF($B269&lt;&gt;"PRC_RESID","",IF(M$7=2005+OFFSET(COM_N_2012!$B$60,$AW269,SUMIF($B$10:$B$16,"NCAP_TLIFE",$AX$10:$AX$16)),0,""))</f>
        <v/>
      </c>
      <c r="N269" s="369" t="str">
        <f ca="1">IF($B269&lt;&gt;"PRC_RESID","",IF(N$7=2005+OFFSET(COM_N_2012!$B$60,$AW269,SUMIF($B$10:$B$16,"NCAP_TLIFE",$AX$10:$AX$16)),0,""))</f>
        <v/>
      </c>
      <c r="O269" s="369" t="str">
        <f ca="1">IF($B269&lt;&gt;"PRC_RESID","",IF(O$7=2005+OFFSET(COM_N_2012!$B$60,$AW269,SUMIF($B$10:$B$16,"NCAP_TLIFE",$AX$10:$AX$16)),0,""))</f>
        <v/>
      </c>
      <c r="P269" s="369" t="str">
        <f ca="1">IF($B269&lt;&gt;"PRC_RESID","",IF(P$7=2005+OFFSET(COM_N_2012!$B$60,$AW269,SUMIF($B$10:$B$16,"NCAP_TLIFE",$AX$10:$AX$16)),0,""))</f>
        <v/>
      </c>
      <c r="Q269" s="369" t="str">
        <f ca="1">IF($B269&lt;&gt;"PRC_RESID","",IF(Q$7=2005+OFFSET(COM_N_2012!$B$60,$AW269,SUMIF($B$10:$B$16,"NCAP_TLIFE",$AX$10:$AX$16)),0,""))</f>
        <v/>
      </c>
      <c r="R269" s="369" t="str">
        <f ca="1">IF($B269&lt;&gt;"PRC_RESID","",IF(R$7=2005+OFFSET(COM_N_2012!$B$60,$AW269,SUMIF($B$10:$B$16,"NCAP_TLIFE",$AX$10:$AX$16)),0,""))</f>
        <v/>
      </c>
      <c r="S269" s="369" t="str">
        <f ca="1">IF($B269&lt;&gt;"PRC_RESID","",IF(S$7=2005+OFFSET(COM_N_2012!$B$60,$AW269,SUMIF($B$10:$B$16,"NCAP_TLIFE",$AX$10:$AX$16)),0,""))</f>
        <v/>
      </c>
      <c r="T269" s="369" t="str">
        <f ca="1">IF($B269&lt;&gt;"PRC_RESID","",IF(T$7=2005+OFFSET(COM_N_2012!$B$60,$AW269,SUMIF($B$10:$B$16,"NCAP_TLIFE",$AX$10:$AX$16)),0,""))</f>
        <v/>
      </c>
      <c r="U269" s="369" t="str">
        <f ca="1">IF($B269&lt;&gt;"PRC_RESID","",IF(U$7=2005+OFFSET(COM_N_2012!$B$60,$AW269,SUMIF($B$10:$B$16,"NCAP_TLIFE",$AX$10:$AX$16)),0,""))</f>
        <v/>
      </c>
      <c r="V269" s="369" t="str">
        <f ca="1">IF($B269&lt;&gt;"PRC_RESID","",IF(V$7=2005+OFFSET(COM_N_2012!$B$60,$AW269,SUMIF($B$10:$B$16,"NCAP_TLIFE",$AX$10:$AX$16)),0,""))</f>
        <v/>
      </c>
      <c r="W269" s="369" t="str">
        <f ca="1">IF($B269&lt;&gt;"PRC_RESID","",IF(W$7=2005+OFFSET(COM_N_2012!$B$60,$AW269,SUMIF($B$10:$B$16,"NCAP_TLIFE",$AX$10:$AX$16)),0,""))</f>
        <v/>
      </c>
      <c r="X269" s="369" t="str">
        <f ca="1">IF($B269&lt;&gt;"PRC_RESID","",IF(X$7=2005+OFFSET(COM_N_2012!$B$60,$AW269,SUMIF($B$10:$B$16,"NCAP_TLIFE",$AX$10:$AX$16)),0,""))</f>
        <v/>
      </c>
      <c r="Y269" s="369" t="str">
        <f ca="1">IF($B269&lt;&gt;"PRC_RESID","",IF(Y$7=2005+OFFSET(COM_N_2012!$B$60,$AW269,SUMIF($B$10:$B$16,"NCAP_TLIFE",$AX$10:$AX$16)),0,""))</f>
        <v/>
      </c>
      <c r="Z269" s="369" t="str">
        <f ca="1">IF($B269&lt;&gt;"PRC_RESID","",IF(Z$7=2005+OFFSET(COM_N_2012!$B$60,$AW269,SUMIF($B$10:$B$16,"NCAP_TLIFE",$AX$10:$AX$16)),0,""))</f>
        <v/>
      </c>
      <c r="AA269" s="369" t="str">
        <f ca="1">IF($B269&lt;&gt;"PRC_RESID","",IF(AA$7=2005+OFFSET(COM_N_2012!$B$60,$AW269,SUMIF($B$10:$B$16,"NCAP_TLIFE",$AX$10:$AX$16)),0,""))</f>
        <v/>
      </c>
      <c r="AB269" s="369" t="str">
        <f ca="1">IF($B269&lt;&gt;"PRC_RESID","",IF(AB$7=2005+OFFSET(COM_N_2012!$B$60,$AW269,SUMIF($B$10:$B$16,"NCAP_TLIFE",$AX$10:$AX$16)),0,""))</f>
        <v/>
      </c>
      <c r="AC269" s="369" t="str">
        <f ca="1">IF($B269&lt;&gt;"PRC_RESID","",IF(AC$7=2005+OFFSET(COM_N_2012!$B$60,$AW269,SUMIF($B$10:$B$16,"NCAP_TLIFE",$AX$10:$AX$16)),0,""))</f>
        <v/>
      </c>
      <c r="AD269" s="369" t="str">
        <f ca="1">IF($B269&lt;&gt;"PRC_RESID","",IF(AD$7=2005+OFFSET(COM_N_2012!$B$60,$AW269,SUMIF($B$10:$B$16,"NCAP_TLIFE",$AX$10:$AX$16)),0,""))</f>
        <v/>
      </c>
      <c r="AE269" s="369" t="str">
        <f ca="1">IF($B269&lt;&gt;"PRC_RESID","",IF(AE$7=2005+OFFSET(COM_N_2012!$B$60,$AW269,SUMIF($B$10:$B$16,"NCAP_TLIFE",$AX$10:$AX$16)),0,""))</f>
        <v/>
      </c>
      <c r="AF269" s="369" t="str">
        <f ca="1">IF($B269&lt;&gt;"PRC_RESID","",IF(AF$7=2005+OFFSET(COM_N_2012!$B$60,$AW269,SUMIF($B$10:$B$16,"NCAP_TLIFE",$AX$10:$AX$16)),0,""))</f>
        <v/>
      </c>
      <c r="AG269" s="369" t="str">
        <f ca="1">IF($B269&lt;&gt;"PRC_RESID","",IF(AG$7=2005+OFFSET(COM_N_2012!$B$60,$AW269,SUMIF($B$10:$B$16,"NCAP_TLIFE",$AX$10:$AX$16)),0,""))</f>
        <v/>
      </c>
      <c r="AH269" s="369" t="str">
        <f ca="1">IF($B269&lt;&gt;"PRC_RESID","",IF(AH$7=2005+OFFSET(COM_N_2012!$B$60,$AW269,SUMIF($B$10:$B$16,"NCAP_TLIFE",$AX$10:$AX$16)),0,""))</f>
        <v/>
      </c>
      <c r="AI269" s="369" t="str">
        <f ca="1">IF($B269&lt;&gt;"PRC_RESID","",IF(AI$7=2005+OFFSET(COM_N_2012!$B$60,$AW269,SUMIF($B$10:$B$16,"NCAP_TLIFE",$AX$10:$AX$16)),0,""))</f>
        <v/>
      </c>
      <c r="AJ269" s="369" t="str">
        <f ca="1">IF($B269&lt;&gt;"PRC_RESID","",IF(AJ$7=2005+OFFSET(COM_N_2012!$B$60,$AW269,SUMIF($B$10:$B$16,"NCAP_TLIFE",$AX$10:$AX$16)),0,""))</f>
        <v/>
      </c>
      <c r="AK269" s="369" t="str">
        <f ca="1">IF($B269&lt;&gt;"PRC_RESID","",IF(AK$7=2005+OFFSET(COM_N_2012!$B$60,$AW269,SUMIF($B$10:$B$16,"NCAP_TLIFE",$AX$10:$AX$16)),0,""))</f>
        <v/>
      </c>
      <c r="AL269" s="369" t="str">
        <f ca="1">IF($B269&lt;&gt;"PRC_RESID","",IF(AL$7=2005+OFFSET(COM_N_2012!$B$60,$AW269,SUMIF($B$10:$B$16,"NCAP_TLIFE",$AX$10:$AX$16)),0,""))</f>
        <v/>
      </c>
      <c r="AM269" s="369" t="str">
        <f ca="1">IF($B269&lt;&gt;"PRC_RESID","",IF(AM$7=2005+OFFSET(COM_N_2012!$B$60,$AW269,SUMIF($B$10:$B$16,"NCAP_TLIFE",$AX$10:$AX$16)),0,""))</f>
        <v/>
      </c>
      <c r="AN269" s="369" t="str">
        <f ca="1">IF($B269&lt;&gt;"PRC_RESID","",IF(AN$7=2005+OFFSET(COM_N_2012!$B$60,$AW269,SUMIF($B$10:$B$16,"NCAP_TLIFE",$AX$10:$AX$16)),0,""))</f>
        <v/>
      </c>
      <c r="AO269" s="369" t="str">
        <f ca="1">IF($B269&lt;&gt;"PRC_RESID","",IF(AO$7=2005+OFFSET(COM_N_2012!$B$60,$AW269,SUMIF($B$10:$B$16,"NCAP_TLIFE",$AX$10:$AX$16)),0,""))</f>
        <v/>
      </c>
      <c r="AP269" s="369" t="str">
        <f ca="1">IF($B269&lt;&gt;"PRC_RESID","",IF(AP$7=2005+OFFSET(COM_N_2012!$B$60,$AW269,SUMIF($B$10:$B$16,"NCAP_TLIFE",$AX$10:$AX$16)),0,""))</f>
        <v/>
      </c>
      <c r="AQ269" s="369" t="str">
        <f ca="1">IF($B269&lt;&gt;"PRC_RESID","",IF(AQ$7=2005+OFFSET(COM_N_2012!$B$60,$AW269,SUMIF($B$10:$B$16,"NCAP_TLIFE",$AX$10:$AX$16)),0,""))</f>
        <v/>
      </c>
      <c r="AR269" s="369" t="str">
        <f ca="1">IF($B269&lt;&gt;"PRC_RESID","",IF(AR$7=2005+OFFSET(COM_N_2012!$B$60,$AW269,SUMIF($B$10:$B$16,"NCAP_TLIFE",$AX$10:$AX$16)),0,""))</f>
        <v/>
      </c>
      <c r="AS269" s="369" t="str">
        <f ca="1">IF($B269&lt;&gt;"PRC_RESID","",IF(AS$7=2005+OFFSET(COM_N_2012!$B$60,$AW269,SUMIF($B$10:$B$16,"NCAP_TLIFE",$AX$10:$AX$16)),0,""))</f>
        <v/>
      </c>
      <c r="AT269" s="369" t="str">
        <f ca="1">IF($B269&lt;&gt;"PRC_RESID","",IF(AT$7=2005+OFFSET(COM_N_2012!$B$60,$AW269,SUMIF($B$10:$B$16,"NCAP_TLIFE",$AX$10:$AX$16)),0,""))</f>
        <v/>
      </c>
      <c r="AU269" s="369" t="str">
        <f ca="1">IF($B269&lt;&gt;"PRC_RESID","",IF(AU$7=2005+OFFSET(COM_N_2012!$B$60,$AW269,SUMIF($B$10:$B$16,"NCAP_TLIFE",$AX$10:$AX$16)),0,""))</f>
        <v/>
      </c>
      <c r="AV269" s="304">
        <f>IF(AW268=COM_N_2012!$AK$121,AV268+1,AV268)</f>
        <v>5</v>
      </c>
      <c r="AW269" s="304">
        <f t="shared" si="29"/>
        <v>8</v>
      </c>
    </row>
    <row r="270" spans="1:49">
      <c r="A270" s="304" t="str">
        <f ca="1">IF(LEFT(OFFSET(COM_N_2012!$A$60,AW270,0),2)="\I","*","")</f>
        <v/>
      </c>
      <c r="B270" s="369" t="str">
        <f t="shared" ca="1" si="28"/>
        <v>NCAP_FOM</v>
      </c>
      <c r="C270" s="369" t="str">
        <f ca="1">IF($A270="*","",OFFSET(COM_N_2012!$B$60,AW270,0))</f>
        <v>CNHCOA-E</v>
      </c>
      <c r="D270" s="369" t="str">
        <f t="shared" ca="1" si="35"/>
        <v>-</v>
      </c>
      <c r="E270" s="369" t="str">
        <f t="shared" ca="1" si="35"/>
        <v>-</v>
      </c>
      <c r="F270" s="369" t="str">
        <f t="shared" ca="1" si="35"/>
        <v>-</v>
      </c>
      <c r="G270" s="369" t="str">
        <f t="shared" ca="1" si="35"/>
        <v>-</v>
      </c>
      <c r="H270" s="369" t="str">
        <f t="shared" ca="1" si="35"/>
        <v>-</v>
      </c>
      <c r="I270" s="370">
        <f t="shared" ca="1" si="35"/>
        <v>0</v>
      </c>
      <c r="J270" s="391">
        <f ca="1">IF($A270="*","",OFFSET(COM_N_2012!$B$60,AW270,SUMIF($B$10:$B$16,B270,$AX$10:$AX$16)))</f>
        <v>17.945037756394218</v>
      </c>
      <c r="K270" s="369" t="str">
        <f ca="1">IF($B270&lt;&gt;"PRC_RESID","",IF(K$7=2005+OFFSET(COM_N_2012!$B$60,$AW270,SUMIF($B$10:$B$16,"NCAP_TLIFE",$AX$10:$AX$16)),0,""))</f>
        <v/>
      </c>
      <c r="L270" s="369" t="str">
        <f ca="1">IF($B270&lt;&gt;"PRC_RESID","",IF(L$7=2005+OFFSET(COM_N_2012!$B$60,$AW270,SUMIF($B$10:$B$16,"NCAP_TLIFE",$AX$10:$AX$16)),0,""))</f>
        <v/>
      </c>
      <c r="M270" s="369" t="str">
        <f ca="1">IF($B270&lt;&gt;"PRC_RESID","",IF(M$7=2005+OFFSET(COM_N_2012!$B$60,$AW270,SUMIF($B$10:$B$16,"NCAP_TLIFE",$AX$10:$AX$16)),0,""))</f>
        <v/>
      </c>
      <c r="N270" s="369" t="str">
        <f ca="1">IF($B270&lt;&gt;"PRC_RESID","",IF(N$7=2005+OFFSET(COM_N_2012!$B$60,$AW270,SUMIF($B$10:$B$16,"NCAP_TLIFE",$AX$10:$AX$16)),0,""))</f>
        <v/>
      </c>
      <c r="O270" s="369" t="str">
        <f ca="1">IF($B270&lt;&gt;"PRC_RESID","",IF(O$7=2005+OFFSET(COM_N_2012!$B$60,$AW270,SUMIF($B$10:$B$16,"NCAP_TLIFE",$AX$10:$AX$16)),0,""))</f>
        <v/>
      </c>
      <c r="P270" s="369" t="str">
        <f ca="1">IF($B270&lt;&gt;"PRC_RESID","",IF(P$7=2005+OFFSET(COM_N_2012!$B$60,$AW270,SUMIF($B$10:$B$16,"NCAP_TLIFE",$AX$10:$AX$16)),0,""))</f>
        <v/>
      </c>
      <c r="Q270" s="369" t="str">
        <f ca="1">IF($B270&lt;&gt;"PRC_RESID","",IF(Q$7=2005+OFFSET(COM_N_2012!$B$60,$AW270,SUMIF($B$10:$B$16,"NCAP_TLIFE",$AX$10:$AX$16)),0,""))</f>
        <v/>
      </c>
      <c r="R270" s="369" t="str">
        <f ca="1">IF($B270&lt;&gt;"PRC_RESID","",IF(R$7=2005+OFFSET(COM_N_2012!$B$60,$AW270,SUMIF($B$10:$B$16,"NCAP_TLIFE",$AX$10:$AX$16)),0,""))</f>
        <v/>
      </c>
      <c r="S270" s="369" t="str">
        <f ca="1">IF($B270&lt;&gt;"PRC_RESID","",IF(S$7=2005+OFFSET(COM_N_2012!$B$60,$AW270,SUMIF($B$10:$B$16,"NCAP_TLIFE",$AX$10:$AX$16)),0,""))</f>
        <v/>
      </c>
      <c r="T270" s="369" t="str">
        <f ca="1">IF($B270&lt;&gt;"PRC_RESID","",IF(T$7=2005+OFFSET(COM_N_2012!$B$60,$AW270,SUMIF($B$10:$B$16,"NCAP_TLIFE",$AX$10:$AX$16)),0,""))</f>
        <v/>
      </c>
      <c r="U270" s="369" t="str">
        <f ca="1">IF($B270&lt;&gt;"PRC_RESID","",IF(U$7=2005+OFFSET(COM_N_2012!$B$60,$AW270,SUMIF($B$10:$B$16,"NCAP_TLIFE",$AX$10:$AX$16)),0,""))</f>
        <v/>
      </c>
      <c r="V270" s="369" t="str">
        <f ca="1">IF($B270&lt;&gt;"PRC_RESID","",IF(V$7=2005+OFFSET(COM_N_2012!$B$60,$AW270,SUMIF($B$10:$B$16,"NCAP_TLIFE",$AX$10:$AX$16)),0,""))</f>
        <v/>
      </c>
      <c r="W270" s="369" t="str">
        <f ca="1">IF($B270&lt;&gt;"PRC_RESID","",IF(W$7=2005+OFFSET(COM_N_2012!$B$60,$AW270,SUMIF($B$10:$B$16,"NCAP_TLIFE",$AX$10:$AX$16)),0,""))</f>
        <v/>
      </c>
      <c r="X270" s="369" t="str">
        <f ca="1">IF($B270&lt;&gt;"PRC_RESID","",IF(X$7=2005+OFFSET(COM_N_2012!$B$60,$AW270,SUMIF($B$10:$B$16,"NCAP_TLIFE",$AX$10:$AX$16)),0,""))</f>
        <v/>
      </c>
      <c r="Y270" s="369" t="str">
        <f ca="1">IF($B270&lt;&gt;"PRC_RESID","",IF(Y$7=2005+OFFSET(COM_N_2012!$B$60,$AW270,SUMIF($B$10:$B$16,"NCAP_TLIFE",$AX$10:$AX$16)),0,""))</f>
        <v/>
      </c>
      <c r="Z270" s="369" t="str">
        <f ca="1">IF($B270&lt;&gt;"PRC_RESID","",IF(Z$7=2005+OFFSET(COM_N_2012!$B$60,$AW270,SUMIF($B$10:$B$16,"NCAP_TLIFE",$AX$10:$AX$16)),0,""))</f>
        <v/>
      </c>
      <c r="AA270" s="369" t="str">
        <f ca="1">IF($B270&lt;&gt;"PRC_RESID","",IF(AA$7=2005+OFFSET(COM_N_2012!$B$60,$AW270,SUMIF($B$10:$B$16,"NCAP_TLIFE",$AX$10:$AX$16)),0,""))</f>
        <v/>
      </c>
      <c r="AB270" s="369" t="str">
        <f ca="1">IF($B270&lt;&gt;"PRC_RESID","",IF(AB$7=2005+OFFSET(COM_N_2012!$B$60,$AW270,SUMIF($B$10:$B$16,"NCAP_TLIFE",$AX$10:$AX$16)),0,""))</f>
        <v/>
      </c>
      <c r="AC270" s="369" t="str">
        <f ca="1">IF($B270&lt;&gt;"PRC_RESID","",IF(AC$7=2005+OFFSET(COM_N_2012!$B$60,$AW270,SUMIF($B$10:$B$16,"NCAP_TLIFE",$AX$10:$AX$16)),0,""))</f>
        <v/>
      </c>
      <c r="AD270" s="369" t="str">
        <f ca="1">IF($B270&lt;&gt;"PRC_RESID","",IF(AD$7=2005+OFFSET(COM_N_2012!$B$60,$AW270,SUMIF($B$10:$B$16,"NCAP_TLIFE",$AX$10:$AX$16)),0,""))</f>
        <v/>
      </c>
      <c r="AE270" s="369" t="str">
        <f ca="1">IF($B270&lt;&gt;"PRC_RESID","",IF(AE$7=2005+OFFSET(COM_N_2012!$B$60,$AW270,SUMIF($B$10:$B$16,"NCAP_TLIFE",$AX$10:$AX$16)),0,""))</f>
        <v/>
      </c>
      <c r="AF270" s="369" t="str">
        <f ca="1">IF($B270&lt;&gt;"PRC_RESID","",IF(AF$7=2005+OFFSET(COM_N_2012!$B$60,$AW270,SUMIF($B$10:$B$16,"NCAP_TLIFE",$AX$10:$AX$16)),0,""))</f>
        <v/>
      </c>
      <c r="AG270" s="369" t="str">
        <f ca="1">IF($B270&lt;&gt;"PRC_RESID","",IF(AG$7=2005+OFFSET(COM_N_2012!$B$60,$AW270,SUMIF($B$10:$B$16,"NCAP_TLIFE",$AX$10:$AX$16)),0,""))</f>
        <v/>
      </c>
      <c r="AH270" s="369" t="str">
        <f ca="1">IF($B270&lt;&gt;"PRC_RESID","",IF(AH$7=2005+OFFSET(COM_N_2012!$B$60,$AW270,SUMIF($B$10:$B$16,"NCAP_TLIFE",$AX$10:$AX$16)),0,""))</f>
        <v/>
      </c>
      <c r="AI270" s="369" t="str">
        <f ca="1">IF($B270&lt;&gt;"PRC_RESID","",IF(AI$7=2005+OFFSET(COM_N_2012!$B$60,$AW270,SUMIF($B$10:$B$16,"NCAP_TLIFE",$AX$10:$AX$16)),0,""))</f>
        <v/>
      </c>
      <c r="AJ270" s="369" t="str">
        <f ca="1">IF($B270&lt;&gt;"PRC_RESID","",IF(AJ$7=2005+OFFSET(COM_N_2012!$B$60,$AW270,SUMIF($B$10:$B$16,"NCAP_TLIFE",$AX$10:$AX$16)),0,""))</f>
        <v/>
      </c>
      <c r="AK270" s="369" t="str">
        <f ca="1">IF($B270&lt;&gt;"PRC_RESID","",IF(AK$7=2005+OFFSET(COM_N_2012!$B$60,$AW270,SUMIF($B$10:$B$16,"NCAP_TLIFE",$AX$10:$AX$16)),0,""))</f>
        <v/>
      </c>
      <c r="AL270" s="369" t="str">
        <f ca="1">IF($B270&lt;&gt;"PRC_RESID","",IF(AL$7=2005+OFFSET(COM_N_2012!$B$60,$AW270,SUMIF($B$10:$B$16,"NCAP_TLIFE",$AX$10:$AX$16)),0,""))</f>
        <v/>
      </c>
      <c r="AM270" s="369" t="str">
        <f ca="1">IF($B270&lt;&gt;"PRC_RESID","",IF(AM$7=2005+OFFSET(COM_N_2012!$B$60,$AW270,SUMIF($B$10:$B$16,"NCAP_TLIFE",$AX$10:$AX$16)),0,""))</f>
        <v/>
      </c>
      <c r="AN270" s="369" t="str">
        <f ca="1">IF($B270&lt;&gt;"PRC_RESID","",IF(AN$7=2005+OFFSET(COM_N_2012!$B$60,$AW270,SUMIF($B$10:$B$16,"NCAP_TLIFE",$AX$10:$AX$16)),0,""))</f>
        <v/>
      </c>
      <c r="AO270" s="369" t="str">
        <f ca="1">IF($B270&lt;&gt;"PRC_RESID","",IF(AO$7=2005+OFFSET(COM_N_2012!$B$60,$AW270,SUMIF($B$10:$B$16,"NCAP_TLIFE",$AX$10:$AX$16)),0,""))</f>
        <v/>
      </c>
      <c r="AP270" s="369" t="str">
        <f ca="1">IF($B270&lt;&gt;"PRC_RESID","",IF(AP$7=2005+OFFSET(COM_N_2012!$B$60,$AW270,SUMIF($B$10:$B$16,"NCAP_TLIFE",$AX$10:$AX$16)),0,""))</f>
        <v/>
      </c>
      <c r="AQ270" s="369" t="str">
        <f ca="1">IF($B270&lt;&gt;"PRC_RESID","",IF(AQ$7=2005+OFFSET(COM_N_2012!$B$60,$AW270,SUMIF($B$10:$B$16,"NCAP_TLIFE",$AX$10:$AX$16)),0,""))</f>
        <v/>
      </c>
      <c r="AR270" s="369" t="str">
        <f ca="1">IF($B270&lt;&gt;"PRC_RESID","",IF(AR$7=2005+OFFSET(COM_N_2012!$B$60,$AW270,SUMIF($B$10:$B$16,"NCAP_TLIFE",$AX$10:$AX$16)),0,""))</f>
        <v/>
      </c>
      <c r="AS270" s="369" t="str">
        <f ca="1">IF($B270&lt;&gt;"PRC_RESID","",IF(AS$7=2005+OFFSET(COM_N_2012!$B$60,$AW270,SUMIF($B$10:$B$16,"NCAP_TLIFE",$AX$10:$AX$16)),0,""))</f>
        <v/>
      </c>
      <c r="AT270" s="369" t="str">
        <f ca="1">IF($B270&lt;&gt;"PRC_RESID","",IF(AT$7=2005+OFFSET(COM_N_2012!$B$60,$AW270,SUMIF($B$10:$B$16,"NCAP_TLIFE",$AX$10:$AX$16)),0,""))</f>
        <v/>
      </c>
      <c r="AU270" s="369" t="str">
        <f ca="1">IF($B270&lt;&gt;"PRC_RESID","",IF(AU$7=2005+OFFSET(COM_N_2012!$B$60,$AW270,SUMIF($B$10:$B$16,"NCAP_TLIFE",$AX$10:$AX$16)),0,""))</f>
        <v/>
      </c>
      <c r="AV270" s="304">
        <f>IF(AW269=COM_N_2012!$AK$121,AV269+1,AV269)</f>
        <v>5</v>
      </c>
      <c r="AW270" s="304">
        <f t="shared" si="29"/>
        <v>9</v>
      </c>
    </row>
    <row r="271" spans="1:49">
      <c r="A271" s="304" t="str">
        <f ca="1">IF(LEFT(OFFSET(COM_N_2012!$A$60,AW271,0),2)="\I","*","")</f>
        <v/>
      </c>
      <c r="B271" s="369" t="str">
        <f t="shared" ca="1" si="28"/>
        <v>NCAP_FOM</v>
      </c>
      <c r="C271" s="369" t="str">
        <f ca="1">IF($A271="*","",OFFSET(COM_N_2012!$B$60,AW271,0))</f>
        <v>CNHELC-E</v>
      </c>
      <c r="D271" s="369" t="str">
        <f t="shared" ca="1" si="35"/>
        <v>-</v>
      </c>
      <c r="E271" s="369" t="str">
        <f t="shared" ca="1" si="35"/>
        <v>-</v>
      </c>
      <c r="F271" s="369" t="str">
        <f t="shared" ca="1" si="35"/>
        <v>-</v>
      </c>
      <c r="G271" s="369" t="str">
        <f t="shared" ca="1" si="35"/>
        <v>-</v>
      </c>
      <c r="H271" s="369" t="str">
        <f t="shared" ca="1" si="35"/>
        <v>-</v>
      </c>
      <c r="I271" s="370">
        <f t="shared" ca="1" si="35"/>
        <v>0</v>
      </c>
      <c r="J271" s="391">
        <f ca="1">IF($A271="*","",OFFSET(COM_N_2012!$B$60,AW271,SUMIF($B$10:$B$16,B271,$AX$10:$AX$16)))</f>
        <v>3.1420618543499241</v>
      </c>
      <c r="K271" s="369" t="str">
        <f ca="1">IF($B271&lt;&gt;"PRC_RESID","",IF(K$7=2005+OFFSET(COM_N_2012!$B$60,$AW271,SUMIF($B$10:$B$16,"NCAP_TLIFE",$AX$10:$AX$16)),0,""))</f>
        <v/>
      </c>
      <c r="L271" s="369" t="str">
        <f ca="1">IF($B271&lt;&gt;"PRC_RESID","",IF(L$7=2005+OFFSET(COM_N_2012!$B$60,$AW271,SUMIF($B$10:$B$16,"NCAP_TLIFE",$AX$10:$AX$16)),0,""))</f>
        <v/>
      </c>
      <c r="M271" s="369" t="str">
        <f ca="1">IF($B271&lt;&gt;"PRC_RESID","",IF(M$7=2005+OFFSET(COM_N_2012!$B$60,$AW271,SUMIF($B$10:$B$16,"NCAP_TLIFE",$AX$10:$AX$16)),0,""))</f>
        <v/>
      </c>
      <c r="N271" s="369" t="str">
        <f ca="1">IF($B271&lt;&gt;"PRC_RESID","",IF(N$7=2005+OFFSET(COM_N_2012!$B$60,$AW271,SUMIF($B$10:$B$16,"NCAP_TLIFE",$AX$10:$AX$16)),0,""))</f>
        <v/>
      </c>
      <c r="O271" s="369" t="str">
        <f ca="1">IF($B271&lt;&gt;"PRC_RESID","",IF(O$7=2005+OFFSET(COM_N_2012!$B$60,$AW271,SUMIF($B$10:$B$16,"NCAP_TLIFE",$AX$10:$AX$16)),0,""))</f>
        <v/>
      </c>
      <c r="P271" s="369" t="str">
        <f ca="1">IF($B271&lt;&gt;"PRC_RESID","",IF(P$7=2005+OFFSET(COM_N_2012!$B$60,$AW271,SUMIF($B$10:$B$16,"NCAP_TLIFE",$AX$10:$AX$16)),0,""))</f>
        <v/>
      </c>
      <c r="Q271" s="369" t="str">
        <f ca="1">IF($B271&lt;&gt;"PRC_RESID","",IF(Q$7=2005+OFFSET(COM_N_2012!$B$60,$AW271,SUMIF($B$10:$B$16,"NCAP_TLIFE",$AX$10:$AX$16)),0,""))</f>
        <v/>
      </c>
      <c r="R271" s="369" t="str">
        <f ca="1">IF($B271&lt;&gt;"PRC_RESID","",IF(R$7=2005+OFFSET(COM_N_2012!$B$60,$AW271,SUMIF($B$10:$B$16,"NCAP_TLIFE",$AX$10:$AX$16)),0,""))</f>
        <v/>
      </c>
      <c r="S271" s="369" t="str">
        <f ca="1">IF($B271&lt;&gt;"PRC_RESID","",IF(S$7=2005+OFFSET(COM_N_2012!$B$60,$AW271,SUMIF($B$10:$B$16,"NCAP_TLIFE",$AX$10:$AX$16)),0,""))</f>
        <v/>
      </c>
      <c r="T271" s="369" t="str">
        <f ca="1">IF($B271&lt;&gt;"PRC_RESID","",IF(T$7=2005+OFFSET(COM_N_2012!$B$60,$AW271,SUMIF($B$10:$B$16,"NCAP_TLIFE",$AX$10:$AX$16)),0,""))</f>
        <v/>
      </c>
      <c r="U271" s="369" t="str">
        <f ca="1">IF($B271&lt;&gt;"PRC_RESID","",IF(U$7=2005+OFFSET(COM_N_2012!$B$60,$AW271,SUMIF($B$10:$B$16,"NCAP_TLIFE",$AX$10:$AX$16)),0,""))</f>
        <v/>
      </c>
      <c r="V271" s="369" t="str">
        <f ca="1">IF($B271&lt;&gt;"PRC_RESID","",IF(V$7=2005+OFFSET(COM_N_2012!$B$60,$AW271,SUMIF($B$10:$B$16,"NCAP_TLIFE",$AX$10:$AX$16)),0,""))</f>
        <v/>
      </c>
      <c r="W271" s="369" t="str">
        <f ca="1">IF($B271&lt;&gt;"PRC_RESID","",IF(W$7=2005+OFFSET(COM_N_2012!$B$60,$AW271,SUMIF($B$10:$B$16,"NCAP_TLIFE",$AX$10:$AX$16)),0,""))</f>
        <v/>
      </c>
      <c r="X271" s="369" t="str">
        <f ca="1">IF($B271&lt;&gt;"PRC_RESID","",IF(X$7=2005+OFFSET(COM_N_2012!$B$60,$AW271,SUMIF($B$10:$B$16,"NCAP_TLIFE",$AX$10:$AX$16)),0,""))</f>
        <v/>
      </c>
      <c r="Y271" s="369" t="str">
        <f ca="1">IF($B271&lt;&gt;"PRC_RESID","",IF(Y$7=2005+OFFSET(COM_N_2012!$B$60,$AW271,SUMIF($B$10:$B$16,"NCAP_TLIFE",$AX$10:$AX$16)),0,""))</f>
        <v/>
      </c>
      <c r="Z271" s="369" t="str">
        <f ca="1">IF($B271&lt;&gt;"PRC_RESID","",IF(Z$7=2005+OFFSET(COM_N_2012!$B$60,$AW271,SUMIF($B$10:$B$16,"NCAP_TLIFE",$AX$10:$AX$16)),0,""))</f>
        <v/>
      </c>
      <c r="AA271" s="369" t="str">
        <f ca="1">IF($B271&lt;&gt;"PRC_RESID","",IF(AA$7=2005+OFFSET(COM_N_2012!$B$60,$AW271,SUMIF($B$10:$B$16,"NCAP_TLIFE",$AX$10:$AX$16)),0,""))</f>
        <v/>
      </c>
      <c r="AB271" s="369" t="str">
        <f ca="1">IF($B271&lt;&gt;"PRC_RESID","",IF(AB$7=2005+OFFSET(COM_N_2012!$B$60,$AW271,SUMIF($B$10:$B$16,"NCAP_TLIFE",$AX$10:$AX$16)),0,""))</f>
        <v/>
      </c>
      <c r="AC271" s="369" t="str">
        <f ca="1">IF($B271&lt;&gt;"PRC_RESID","",IF(AC$7=2005+OFFSET(COM_N_2012!$B$60,$AW271,SUMIF($B$10:$B$16,"NCAP_TLIFE",$AX$10:$AX$16)),0,""))</f>
        <v/>
      </c>
      <c r="AD271" s="369" t="str">
        <f ca="1">IF($B271&lt;&gt;"PRC_RESID","",IF(AD$7=2005+OFFSET(COM_N_2012!$B$60,$AW271,SUMIF($B$10:$B$16,"NCAP_TLIFE",$AX$10:$AX$16)),0,""))</f>
        <v/>
      </c>
      <c r="AE271" s="369" t="str">
        <f ca="1">IF($B271&lt;&gt;"PRC_RESID","",IF(AE$7=2005+OFFSET(COM_N_2012!$B$60,$AW271,SUMIF($B$10:$B$16,"NCAP_TLIFE",$AX$10:$AX$16)),0,""))</f>
        <v/>
      </c>
      <c r="AF271" s="369" t="str">
        <f ca="1">IF($B271&lt;&gt;"PRC_RESID","",IF(AF$7=2005+OFFSET(COM_N_2012!$B$60,$AW271,SUMIF($B$10:$B$16,"NCAP_TLIFE",$AX$10:$AX$16)),0,""))</f>
        <v/>
      </c>
      <c r="AG271" s="369" t="str">
        <f ca="1">IF($B271&lt;&gt;"PRC_RESID","",IF(AG$7=2005+OFFSET(COM_N_2012!$B$60,$AW271,SUMIF($B$10:$B$16,"NCAP_TLIFE",$AX$10:$AX$16)),0,""))</f>
        <v/>
      </c>
      <c r="AH271" s="369" t="str">
        <f ca="1">IF($B271&lt;&gt;"PRC_RESID","",IF(AH$7=2005+OFFSET(COM_N_2012!$B$60,$AW271,SUMIF($B$10:$B$16,"NCAP_TLIFE",$AX$10:$AX$16)),0,""))</f>
        <v/>
      </c>
      <c r="AI271" s="369" t="str">
        <f ca="1">IF($B271&lt;&gt;"PRC_RESID","",IF(AI$7=2005+OFFSET(COM_N_2012!$B$60,$AW271,SUMIF($B$10:$B$16,"NCAP_TLIFE",$AX$10:$AX$16)),0,""))</f>
        <v/>
      </c>
      <c r="AJ271" s="369" t="str">
        <f ca="1">IF($B271&lt;&gt;"PRC_RESID","",IF(AJ$7=2005+OFFSET(COM_N_2012!$B$60,$AW271,SUMIF($B$10:$B$16,"NCAP_TLIFE",$AX$10:$AX$16)),0,""))</f>
        <v/>
      </c>
      <c r="AK271" s="369" t="str">
        <f ca="1">IF($B271&lt;&gt;"PRC_RESID","",IF(AK$7=2005+OFFSET(COM_N_2012!$B$60,$AW271,SUMIF($B$10:$B$16,"NCAP_TLIFE",$AX$10:$AX$16)),0,""))</f>
        <v/>
      </c>
      <c r="AL271" s="369" t="str">
        <f ca="1">IF($B271&lt;&gt;"PRC_RESID","",IF(AL$7=2005+OFFSET(COM_N_2012!$B$60,$AW271,SUMIF($B$10:$B$16,"NCAP_TLIFE",$AX$10:$AX$16)),0,""))</f>
        <v/>
      </c>
      <c r="AM271" s="369" t="str">
        <f ca="1">IF($B271&lt;&gt;"PRC_RESID","",IF(AM$7=2005+OFFSET(COM_N_2012!$B$60,$AW271,SUMIF($B$10:$B$16,"NCAP_TLIFE",$AX$10:$AX$16)),0,""))</f>
        <v/>
      </c>
      <c r="AN271" s="369" t="str">
        <f ca="1">IF($B271&lt;&gt;"PRC_RESID","",IF(AN$7=2005+OFFSET(COM_N_2012!$B$60,$AW271,SUMIF($B$10:$B$16,"NCAP_TLIFE",$AX$10:$AX$16)),0,""))</f>
        <v/>
      </c>
      <c r="AO271" s="369" t="str">
        <f ca="1">IF($B271&lt;&gt;"PRC_RESID","",IF(AO$7=2005+OFFSET(COM_N_2012!$B$60,$AW271,SUMIF($B$10:$B$16,"NCAP_TLIFE",$AX$10:$AX$16)),0,""))</f>
        <v/>
      </c>
      <c r="AP271" s="369" t="str">
        <f ca="1">IF($B271&lt;&gt;"PRC_RESID","",IF(AP$7=2005+OFFSET(COM_N_2012!$B$60,$AW271,SUMIF($B$10:$B$16,"NCAP_TLIFE",$AX$10:$AX$16)),0,""))</f>
        <v/>
      </c>
      <c r="AQ271" s="369" t="str">
        <f ca="1">IF($B271&lt;&gt;"PRC_RESID","",IF(AQ$7=2005+OFFSET(COM_N_2012!$B$60,$AW271,SUMIF($B$10:$B$16,"NCAP_TLIFE",$AX$10:$AX$16)),0,""))</f>
        <v/>
      </c>
      <c r="AR271" s="369" t="str">
        <f ca="1">IF($B271&lt;&gt;"PRC_RESID","",IF(AR$7=2005+OFFSET(COM_N_2012!$B$60,$AW271,SUMIF($B$10:$B$16,"NCAP_TLIFE",$AX$10:$AX$16)),0,""))</f>
        <v/>
      </c>
      <c r="AS271" s="369" t="str">
        <f ca="1">IF($B271&lt;&gt;"PRC_RESID","",IF(AS$7=2005+OFFSET(COM_N_2012!$B$60,$AW271,SUMIF($B$10:$B$16,"NCAP_TLIFE",$AX$10:$AX$16)),0,""))</f>
        <v/>
      </c>
      <c r="AT271" s="369" t="str">
        <f ca="1">IF($B271&lt;&gt;"PRC_RESID","",IF(AT$7=2005+OFFSET(COM_N_2012!$B$60,$AW271,SUMIF($B$10:$B$16,"NCAP_TLIFE",$AX$10:$AX$16)),0,""))</f>
        <v/>
      </c>
      <c r="AU271" s="369" t="str">
        <f ca="1">IF($B271&lt;&gt;"PRC_RESID","",IF(AU$7=2005+OFFSET(COM_N_2012!$B$60,$AW271,SUMIF($B$10:$B$16,"NCAP_TLIFE",$AX$10:$AX$16)),0,""))</f>
        <v/>
      </c>
      <c r="AV271" s="304">
        <f>IF(AW270=COM_N_2012!$AK$121,AV270+1,AV270)</f>
        <v>5</v>
      </c>
      <c r="AW271" s="304">
        <f t="shared" si="29"/>
        <v>10</v>
      </c>
    </row>
    <row r="272" spans="1:49">
      <c r="A272" s="304" t="str">
        <f ca="1">IF(LEFT(OFFSET(COM_N_2012!$A$60,AW272,0),2)="\I","*","")</f>
        <v/>
      </c>
      <c r="B272" s="369" t="str">
        <f t="shared" ca="1" si="28"/>
        <v>NCAP_FOM</v>
      </c>
      <c r="C272" s="369" t="str">
        <f ca="1">IF($A272="*","",OFFSET(COM_N_2012!$B$60,AW272,0))</f>
        <v>CNHGAS-E</v>
      </c>
      <c r="D272" s="369" t="str">
        <f t="shared" ca="1" si="35"/>
        <v>-</v>
      </c>
      <c r="E272" s="369" t="str">
        <f t="shared" ca="1" si="35"/>
        <v>-</v>
      </c>
      <c r="F272" s="369" t="str">
        <f t="shared" ca="1" si="35"/>
        <v>-</v>
      </c>
      <c r="G272" s="369" t="str">
        <f t="shared" ca="1" si="35"/>
        <v>-</v>
      </c>
      <c r="H272" s="369" t="str">
        <f t="shared" ca="1" si="35"/>
        <v>-</v>
      </c>
      <c r="I272" s="370">
        <f t="shared" ca="1" si="35"/>
        <v>0</v>
      </c>
      <c r="J272" s="391">
        <f ca="1">IF($A272="*","",OFFSET(COM_N_2012!$B$60,AW272,SUMIF($B$10:$B$16,B272,$AX$10:$AX$16)))</f>
        <v>3.4864360018767009</v>
      </c>
      <c r="K272" s="369" t="str">
        <f ca="1">IF($B272&lt;&gt;"PRC_RESID","",IF(K$7=2005+OFFSET(COM_N_2012!$B$60,$AW272,SUMIF($B$10:$B$16,"NCAP_TLIFE",$AX$10:$AX$16)),0,""))</f>
        <v/>
      </c>
      <c r="L272" s="369" t="str">
        <f ca="1">IF($B272&lt;&gt;"PRC_RESID","",IF(L$7=2005+OFFSET(COM_N_2012!$B$60,$AW272,SUMIF($B$10:$B$16,"NCAP_TLIFE",$AX$10:$AX$16)),0,""))</f>
        <v/>
      </c>
      <c r="M272" s="369" t="str">
        <f ca="1">IF($B272&lt;&gt;"PRC_RESID","",IF(M$7=2005+OFFSET(COM_N_2012!$B$60,$AW272,SUMIF($B$10:$B$16,"NCAP_TLIFE",$AX$10:$AX$16)),0,""))</f>
        <v/>
      </c>
      <c r="N272" s="369" t="str">
        <f ca="1">IF($B272&lt;&gt;"PRC_RESID","",IF(N$7=2005+OFFSET(COM_N_2012!$B$60,$AW272,SUMIF($B$10:$B$16,"NCAP_TLIFE",$AX$10:$AX$16)),0,""))</f>
        <v/>
      </c>
      <c r="O272" s="369" t="str">
        <f ca="1">IF($B272&lt;&gt;"PRC_RESID","",IF(O$7=2005+OFFSET(COM_N_2012!$B$60,$AW272,SUMIF($B$10:$B$16,"NCAP_TLIFE",$AX$10:$AX$16)),0,""))</f>
        <v/>
      </c>
      <c r="P272" s="369" t="str">
        <f ca="1">IF($B272&lt;&gt;"PRC_RESID","",IF(P$7=2005+OFFSET(COM_N_2012!$B$60,$AW272,SUMIF($B$10:$B$16,"NCAP_TLIFE",$AX$10:$AX$16)),0,""))</f>
        <v/>
      </c>
      <c r="Q272" s="369" t="str">
        <f ca="1">IF($B272&lt;&gt;"PRC_RESID","",IF(Q$7=2005+OFFSET(COM_N_2012!$B$60,$AW272,SUMIF($B$10:$B$16,"NCAP_TLIFE",$AX$10:$AX$16)),0,""))</f>
        <v/>
      </c>
      <c r="R272" s="369" t="str">
        <f ca="1">IF($B272&lt;&gt;"PRC_RESID","",IF(R$7=2005+OFFSET(COM_N_2012!$B$60,$AW272,SUMIF($B$10:$B$16,"NCAP_TLIFE",$AX$10:$AX$16)),0,""))</f>
        <v/>
      </c>
      <c r="S272" s="369" t="str">
        <f ca="1">IF($B272&lt;&gt;"PRC_RESID","",IF(S$7=2005+OFFSET(COM_N_2012!$B$60,$AW272,SUMIF($B$10:$B$16,"NCAP_TLIFE",$AX$10:$AX$16)),0,""))</f>
        <v/>
      </c>
      <c r="T272" s="369" t="str">
        <f ca="1">IF($B272&lt;&gt;"PRC_RESID","",IF(T$7=2005+OFFSET(COM_N_2012!$B$60,$AW272,SUMIF($B$10:$B$16,"NCAP_TLIFE",$AX$10:$AX$16)),0,""))</f>
        <v/>
      </c>
      <c r="U272" s="369" t="str">
        <f ca="1">IF($B272&lt;&gt;"PRC_RESID","",IF(U$7=2005+OFFSET(COM_N_2012!$B$60,$AW272,SUMIF($B$10:$B$16,"NCAP_TLIFE",$AX$10:$AX$16)),0,""))</f>
        <v/>
      </c>
      <c r="V272" s="369" t="str">
        <f ca="1">IF($B272&lt;&gt;"PRC_RESID","",IF(V$7=2005+OFFSET(COM_N_2012!$B$60,$AW272,SUMIF($B$10:$B$16,"NCAP_TLIFE",$AX$10:$AX$16)),0,""))</f>
        <v/>
      </c>
      <c r="W272" s="369" t="str">
        <f ca="1">IF($B272&lt;&gt;"PRC_RESID","",IF(W$7=2005+OFFSET(COM_N_2012!$B$60,$AW272,SUMIF($B$10:$B$16,"NCAP_TLIFE",$AX$10:$AX$16)),0,""))</f>
        <v/>
      </c>
      <c r="X272" s="369" t="str">
        <f ca="1">IF($B272&lt;&gt;"PRC_RESID","",IF(X$7=2005+OFFSET(COM_N_2012!$B$60,$AW272,SUMIF($B$10:$B$16,"NCAP_TLIFE",$AX$10:$AX$16)),0,""))</f>
        <v/>
      </c>
      <c r="Y272" s="369" t="str">
        <f ca="1">IF($B272&lt;&gt;"PRC_RESID","",IF(Y$7=2005+OFFSET(COM_N_2012!$B$60,$AW272,SUMIF($B$10:$B$16,"NCAP_TLIFE",$AX$10:$AX$16)),0,""))</f>
        <v/>
      </c>
      <c r="Z272" s="369" t="str">
        <f ca="1">IF($B272&lt;&gt;"PRC_RESID","",IF(Z$7=2005+OFFSET(COM_N_2012!$B$60,$AW272,SUMIF($B$10:$B$16,"NCAP_TLIFE",$AX$10:$AX$16)),0,""))</f>
        <v/>
      </c>
      <c r="AA272" s="369" t="str">
        <f ca="1">IF($B272&lt;&gt;"PRC_RESID","",IF(AA$7=2005+OFFSET(COM_N_2012!$B$60,$AW272,SUMIF($B$10:$B$16,"NCAP_TLIFE",$AX$10:$AX$16)),0,""))</f>
        <v/>
      </c>
      <c r="AB272" s="369" t="str">
        <f ca="1">IF($B272&lt;&gt;"PRC_RESID","",IF(AB$7=2005+OFFSET(COM_N_2012!$B$60,$AW272,SUMIF($B$10:$B$16,"NCAP_TLIFE",$AX$10:$AX$16)),0,""))</f>
        <v/>
      </c>
      <c r="AC272" s="369" t="str">
        <f ca="1">IF($B272&lt;&gt;"PRC_RESID","",IF(AC$7=2005+OFFSET(COM_N_2012!$B$60,$AW272,SUMIF($B$10:$B$16,"NCAP_TLIFE",$AX$10:$AX$16)),0,""))</f>
        <v/>
      </c>
      <c r="AD272" s="369" t="str">
        <f ca="1">IF($B272&lt;&gt;"PRC_RESID","",IF(AD$7=2005+OFFSET(COM_N_2012!$B$60,$AW272,SUMIF($B$10:$B$16,"NCAP_TLIFE",$AX$10:$AX$16)),0,""))</f>
        <v/>
      </c>
      <c r="AE272" s="369" t="str">
        <f ca="1">IF($B272&lt;&gt;"PRC_RESID","",IF(AE$7=2005+OFFSET(COM_N_2012!$B$60,$AW272,SUMIF($B$10:$B$16,"NCAP_TLIFE",$AX$10:$AX$16)),0,""))</f>
        <v/>
      </c>
      <c r="AF272" s="369" t="str">
        <f ca="1">IF($B272&lt;&gt;"PRC_RESID","",IF(AF$7=2005+OFFSET(COM_N_2012!$B$60,$AW272,SUMIF($B$10:$B$16,"NCAP_TLIFE",$AX$10:$AX$16)),0,""))</f>
        <v/>
      </c>
      <c r="AG272" s="369" t="str">
        <f ca="1">IF($B272&lt;&gt;"PRC_RESID","",IF(AG$7=2005+OFFSET(COM_N_2012!$B$60,$AW272,SUMIF($B$10:$B$16,"NCAP_TLIFE",$AX$10:$AX$16)),0,""))</f>
        <v/>
      </c>
      <c r="AH272" s="369" t="str">
        <f ca="1">IF($B272&lt;&gt;"PRC_RESID","",IF(AH$7=2005+OFFSET(COM_N_2012!$B$60,$AW272,SUMIF($B$10:$B$16,"NCAP_TLIFE",$AX$10:$AX$16)),0,""))</f>
        <v/>
      </c>
      <c r="AI272" s="369" t="str">
        <f ca="1">IF($B272&lt;&gt;"PRC_RESID","",IF(AI$7=2005+OFFSET(COM_N_2012!$B$60,$AW272,SUMIF($B$10:$B$16,"NCAP_TLIFE",$AX$10:$AX$16)),0,""))</f>
        <v/>
      </c>
      <c r="AJ272" s="369" t="str">
        <f ca="1">IF($B272&lt;&gt;"PRC_RESID","",IF(AJ$7=2005+OFFSET(COM_N_2012!$B$60,$AW272,SUMIF($B$10:$B$16,"NCAP_TLIFE",$AX$10:$AX$16)),0,""))</f>
        <v/>
      </c>
      <c r="AK272" s="369" t="str">
        <f ca="1">IF($B272&lt;&gt;"PRC_RESID","",IF(AK$7=2005+OFFSET(COM_N_2012!$B$60,$AW272,SUMIF($B$10:$B$16,"NCAP_TLIFE",$AX$10:$AX$16)),0,""))</f>
        <v/>
      </c>
      <c r="AL272" s="369" t="str">
        <f ca="1">IF($B272&lt;&gt;"PRC_RESID","",IF(AL$7=2005+OFFSET(COM_N_2012!$B$60,$AW272,SUMIF($B$10:$B$16,"NCAP_TLIFE",$AX$10:$AX$16)),0,""))</f>
        <v/>
      </c>
      <c r="AM272" s="369" t="str">
        <f ca="1">IF($B272&lt;&gt;"PRC_RESID","",IF(AM$7=2005+OFFSET(COM_N_2012!$B$60,$AW272,SUMIF($B$10:$B$16,"NCAP_TLIFE",$AX$10:$AX$16)),0,""))</f>
        <v/>
      </c>
      <c r="AN272" s="369" t="str">
        <f ca="1">IF($B272&lt;&gt;"PRC_RESID","",IF(AN$7=2005+OFFSET(COM_N_2012!$B$60,$AW272,SUMIF($B$10:$B$16,"NCAP_TLIFE",$AX$10:$AX$16)),0,""))</f>
        <v/>
      </c>
      <c r="AO272" s="369" t="str">
        <f ca="1">IF($B272&lt;&gt;"PRC_RESID","",IF(AO$7=2005+OFFSET(COM_N_2012!$B$60,$AW272,SUMIF($B$10:$B$16,"NCAP_TLIFE",$AX$10:$AX$16)),0,""))</f>
        <v/>
      </c>
      <c r="AP272" s="369" t="str">
        <f ca="1">IF($B272&lt;&gt;"PRC_RESID","",IF(AP$7=2005+OFFSET(COM_N_2012!$B$60,$AW272,SUMIF($B$10:$B$16,"NCAP_TLIFE",$AX$10:$AX$16)),0,""))</f>
        <v/>
      </c>
      <c r="AQ272" s="369" t="str">
        <f ca="1">IF($B272&lt;&gt;"PRC_RESID","",IF(AQ$7=2005+OFFSET(COM_N_2012!$B$60,$AW272,SUMIF($B$10:$B$16,"NCAP_TLIFE",$AX$10:$AX$16)),0,""))</f>
        <v/>
      </c>
      <c r="AR272" s="369" t="str">
        <f ca="1">IF($B272&lt;&gt;"PRC_RESID","",IF(AR$7=2005+OFFSET(COM_N_2012!$B$60,$AW272,SUMIF($B$10:$B$16,"NCAP_TLIFE",$AX$10:$AX$16)),0,""))</f>
        <v/>
      </c>
      <c r="AS272" s="369" t="str">
        <f ca="1">IF($B272&lt;&gt;"PRC_RESID","",IF(AS$7=2005+OFFSET(COM_N_2012!$B$60,$AW272,SUMIF($B$10:$B$16,"NCAP_TLIFE",$AX$10:$AX$16)),0,""))</f>
        <v/>
      </c>
      <c r="AT272" s="369" t="str">
        <f ca="1">IF($B272&lt;&gt;"PRC_RESID","",IF(AT$7=2005+OFFSET(COM_N_2012!$B$60,$AW272,SUMIF($B$10:$B$16,"NCAP_TLIFE",$AX$10:$AX$16)),0,""))</f>
        <v/>
      </c>
      <c r="AU272" s="369" t="str">
        <f ca="1">IF($B272&lt;&gt;"PRC_RESID","",IF(AU$7=2005+OFFSET(COM_N_2012!$B$60,$AW272,SUMIF($B$10:$B$16,"NCAP_TLIFE",$AX$10:$AX$16)),0,""))</f>
        <v/>
      </c>
      <c r="AV272" s="304">
        <f>IF(AW271=COM_N_2012!$AK$121,AV271+1,AV271)</f>
        <v>5</v>
      </c>
      <c r="AW272" s="304">
        <f t="shared" si="29"/>
        <v>11</v>
      </c>
    </row>
    <row r="273" spans="1:49">
      <c r="A273" s="304" t="str">
        <f ca="1">IF(LEFT(OFFSET(COM_N_2012!$A$60,AW273,0),2)="\I","*","")</f>
        <v/>
      </c>
      <c r="B273" s="369" t="str">
        <f t="shared" ca="1" si="28"/>
        <v>NCAP_FOM</v>
      </c>
      <c r="C273" s="369" t="str">
        <f ca="1">IF($A273="*","",OFFSET(COM_N_2012!$B$60,AW273,0))</f>
        <v>CNHELC-N</v>
      </c>
      <c r="D273" s="369" t="str">
        <f t="shared" ca="1" si="35"/>
        <v>-</v>
      </c>
      <c r="E273" s="369" t="str">
        <f t="shared" ca="1" si="35"/>
        <v>-</v>
      </c>
      <c r="F273" s="369" t="str">
        <f t="shared" ca="1" si="35"/>
        <v>-</v>
      </c>
      <c r="G273" s="369" t="str">
        <f t="shared" ca="1" si="35"/>
        <v>-</v>
      </c>
      <c r="H273" s="369" t="str">
        <f t="shared" ca="1" si="35"/>
        <v>-</v>
      </c>
      <c r="I273" s="370">
        <f t="shared" ca="1" si="35"/>
        <v>0</v>
      </c>
      <c r="J273" s="391">
        <f ca="1">IF($A273="*","",OFFSET(COM_N_2012!$B$60,AW273,SUMIF($B$10:$B$16,B273,$AX$10:$AX$16)))</f>
        <v>17.945037756394218</v>
      </c>
      <c r="K273" s="369" t="str">
        <f ca="1">IF($B273&lt;&gt;"PRC_RESID","",IF(K$7=2005+OFFSET(COM_N_2012!$B$60,$AW273,SUMIF($B$10:$B$16,"NCAP_TLIFE",$AX$10:$AX$16)),0,""))</f>
        <v/>
      </c>
      <c r="L273" s="369" t="str">
        <f ca="1">IF($B273&lt;&gt;"PRC_RESID","",IF(L$7=2005+OFFSET(COM_N_2012!$B$60,$AW273,SUMIF($B$10:$B$16,"NCAP_TLIFE",$AX$10:$AX$16)),0,""))</f>
        <v/>
      </c>
      <c r="M273" s="369" t="str">
        <f ca="1">IF($B273&lt;&gt;"PRC_RESID","",IF(M$7=2005+OFFSET(COM_N_2012!$B$60,$AW273,SUMIF($B$10:$B$16,"NCAP_TLIFE",$AX$10:$AX$16)),0,""))</f>
        <v/>
      </c>
      <c r="N273" s="369" t="str">
        <f ca="1">IF($B273&lt;&gt;"PRC_RESID","",IF(N$7=2005+OFFSET(COM_N_2012!$B$60,$AW273,SUMIF($B$10:$B$16,"NCAP_TLIFE",$AX$10:$AX$16)),0,""))</f>
        <v/>
      </c>
      <c r="O273" s="369" t="str">
        <f ca="1">IF($B273&lt;&gt;"PRC_RESID","",IF(O$7=2005+OFFSET(COM_N_2012!$B$60,$AW273,SUMIF($B$10:$B$16,"NCAP_TLIFE",$AX$10:$AX$16)),0,""))</f>
        <v/>
      </c>
      <c r="P273" s="369" t="str">
        <f ca="1">IF($B273&lt;&gt;"PRC_RESID","",IF(P$7=2005+OFFSET(COM_N_2012!$B$60,$AW273,SUMIF($B$10:$B$16,"NCAP_TLIFE",$AX$10:$AX$16)),0,""))</f>
        <v/>
      </c>
      <c r="Q273" s="369" t="str">
        <f ca="1">IF($B273&lt;&gt;"PRC_RESID","",IF(Q$7=2005+OFFSET(COM_N_2012!$B$60,$AW273,SUMIF($B$10:$B$16,"NCAP_TLIFE",$AX$10:$AX$16)),0,""))</f>
        <v/>
      </c>
      <c r="R273" s="369" t="str">
        <f ca="1">IF($B273&lt;&gt;"PRC_RESID","",IF(R$7=2005+OFFSET(COM_N_2012!$B$60,$AW273,SUMIF($B$10:$B$16,"NCAP_TLIFE",$AX$10:$AX$16)),0,""))</f>
        <v/>
      </c>
      <c r="S273" s="369" t="str">
        <f ca="1">IF($B273&lt;&gt;"PRC_RESID","",IF(S$7=2005+OFFSET(COM_N_2012!$B$60,$AW273,SUMIF($B$10:$B$16,"NCAP_TLIFE",$AX$10:$AX$16)),0,""))</f>
        <v/>
      </c>
      <c r="T273" s="369" t="str">
        <f ca="1">IF($B273&lt;&gt;"PRC_RESID","",IF(T$7=2005+OFFSET(COM_N_2012!$B$60,$AW273,SUMIF($B$10:$B$16,"NCAP_TLIFE",$AX$10:$AX$16)),0,""))</f>
        <v/>
      </c>
      <c r="U273" s="369" t="str">
        <f ca="1">IF($B273&lt;&gt;"PRC_RESID","",IF(U$7=2005+OFFSET(COM_N_2012!$B$60,$AW273,SUMIF($B$10:$B$16,"NCAP_TLIFE",$AX$10:$AX$16)),0,""))</f>
        <v/>
      </c>
      <c r="V273" s="369" t="str">
        <f ca="1">IF($B273&lt;&gt;"PRC_RESID","",IF(V$7=2005+OFFSET(COM_N_2012!$B$60,$AW273,SUMIF($B$10:$B$16,"NCAP_TLIFE",$AX$10:$AX$16)),0,""))</f>
        <v/>
      </c>
      <c r="W273" s="369" t="str">
        <f ca="1">IF($B273&lt;&gt;"PRC_RESID","",IF(W$7=2005+OFFSET(COM_N_2012!$B$60,$AW273,SUMIF($B$10:$B$16,"NCAP_TLIFE",$AX$10:$AX$16)),0,""))</f>
        <v/>
      </c>
      <c r="X273" s="369" t="str">
        <f ca="1">IF($B273&lt;&gt;"PRC_RESID","",IF(X$7=2005+OFFSET(COM_N_2012!$B$60,$AW273,SUMIF($B$10:$B$16,"NCAP_TLIFE",$AX$10:$AX$16)),0,""))</f>
        <v/>
      </c>
      <c r="Y273" s="369" t="str">
        <f ca="1">IF($B273&lt;&gt;"PRC_RESID","",IF(Y$7=2005+OFFSET(COM_N_2012!$B$60,$AW273,SUMIF($B$10:$B$16,"NCAP_TLIFE",$AX$10:$AX$16)),0,""))</f>
        <v/>
      </c>
      <c r="Z273" s="369" t="str">
        <f ca="1">IF($B273&lt;&gt;"PRC_RESID","",IF(Z$7=2005+OFFSET(COM_N_2012!$B$60,$AW273,SUMIF($B$10:$B$16,"NCAP_TLIFE",$AX$10:$AX$16)),0,""))</f>
        <v/>
      </c>
      <c r="AA273" s="369" t="str">
        <f ca="1">IF($B273&lt;&gt;"PRC_RESID","",IF(AA$7=2005+OFFSET(COM_N_2012!$B$60,$AW273,SUMIF($B$10:$B$16,"NCAP_TLIFE",$AX$10:$AX$16)),0,""))</f>
        <v/>
      </c>
      <c r="AB273" s="369" t="str">
        <f ca="1">IF($B273&lt;&gt;"PRC_RESID","",IF(AB$7=2005+OFFSET(COM_N_2012!$B$60,$AW273,SUMIF($B$10:$B$16,"NCAP_TLIFE",$AX$10:$AX$16)),0,""))</f>
        <v/>
      </c>
      <c r="AC273" s="369" t="str">
        <f ca="1">IF($B273&lt;&gt;"PRC_RESID","",IF(AC$7=2005+OFFSET(COM_N_2012!$B$60,$AW273,SUMIF($B$10:$B$16,"NCAP_TLIFE",$AX$10:$AX$16)),0,""))</f>
        <v/>
      </c>
      <c r="AD273" s="369" t="str">
        <f ca="1">IF($B273&lt;&gt;"PRC_RESID","",IF(AD$7=2005+OFFSET(COM_N_2012!$B$60,$AW273,SUMIF($B$10:$B$16,"NCAP_TLIFE",$AX$10:$AX$16)),0,""))</f>
        <v/>
      </c>
      <c r="AE273" s="369" t="str">
        <f ca="1">IF($B273&lt;&gt;"PRC_RESID","",IF(AE$7=2005+OFFSET(COM_N_2012!$B$60,$AW273,SUMIF($B$10:$B$16,"NCAP_TLIFE",$AX$10:$AX$16)),0,""))</f>
        <v/>
      </c>
      <c r="AF273" s="369" t="str">
        <f ca="1">IF($B273&lt;&gt;"PRC_RESID","",IF(AF$7=2005+OFFSET(COM_N_2012!$B$60,$AW273,SUMIF($B$10:$B$16,"NCAP_TLIFE",$AX$10:$AX$16)),0,""))</f>
        <v/>
      </c>
      <c r="AG273" s="369" t="str">
        <f ca="1">IF($B273&lt;&gt;"PRC_RESID","",IF(AG$7=2005+OFFSET(COM_N_2012!$B$60,$AW273,SUMIF($B$10:$B$16,"NCAP_TLIFE",$AX$10:$AX$16)),0,""))</f>
        <v/>
      </c>
      <c r="AH273" s="369" t="str">
        <f ca="1">IF($B273&lt;&gt;"PRC_RESID","",IF(AH$7=2005+OFFSET(COM_N_2012!$B$60,$AW273,SUMIF($B$10:$B$16,"NCAP_TLIFE",$AX$10:$AX$16)),0,""))</f>
        <v/>
      </c>
      <c r="AI273" s="369" t="str">
        <f ca="1">IF($B273&lt;&gt;"PRC_RESID","",IF(AI$7=2005+OFFSET(COM_N_2012!$B$60,$AW273,SUMIF($B$10:$B$16,"NCAP_TLIFE",$AX$10:$AX$16)),0,""))</f>
        <v/>
      </c>
      <c r="AJ273" s="369" t="str">
        <f ca="1">IF($B273&lt;&gt;"PRC_RESID","",IF(AJ$7=2005+OFFSET(COM_N_2012!$B$60,$AW273,SUMIF($B$10:$B$16,"NCAP_TLIFE",$AX$10:$AX$16)),0,""))</f>
        <v/>
      </c>
      <c r="AK273" s="369" t="str">
        <f ca="1">IF($B273&lt;&gt;"PRC_RESID","",IF(AK$7=2005+OFFSET(COM_N_2012!$B$60,$AW273,SUMIF($B$10:$B$16,"NCAP_TLIFE",$AX$10:$AX$16)),0,""))</f>
        <v/>
      </c>
      <c r="AL273" s="369" t="str">
        <f ca="1">IF($B273&lt;&gt;"PRC_RESID","",IF(AL$7=2005+OFFSET(COM_N_2012!$B$60,$AW273,SUMIF($B$10:$B$16,"NCAP_TLIFE",$AX$10:$AX$16)),0,""))</f>
        <v/>
      </c>
      <c r="AM273" s="369" t="str">
        <f ca="1">IF($B273&lt;&gt;"PRC_RESID","",IF(AM$7=2005+OFFSET(COM_N_2012!$B$60,$AW273,SUMIF($B$10:$B$16,"NCAP_TLIFE",$AX$10:$AX$16)),0,""))</f>
        <v/>
      </c>
      <c r="AN273" s="369" t="str">
        <f ca="1">IF($B273&lt;&gt;"PRC_RESID","",IF(AN$7=2005+OFFSET(COM_N_2012!$B$60,$AW273,SUMIF($B$10:$B$16,"NCAP_TLIFE",$AX$10:$AX$16)),0,""))</f>
        <v/>
      </c>
      <c r="AO273" s="369" t="str">
        <f ca="1">IF($B273&lt;&gt;"PRC_RESID","",IF(AO$7=2005+OFFSET(COM_N_2012!$B$60,$AW273,SUMIF($B$10:$B$16,"NCAP_TLIFE",$AX$10:$AX$16)),0,""))</f>
        <v/>
      </c>
      <c r="AP273" s="369" t="str">
        <f ca="1">IF($B273&lt;&gt;"PRC_RESID","",IF(AP$7=2005+OFFSET(COM_N_2012!$B$60,$AW273,SUMIF($B$10:$B$16,"NCAP_TLIFE",$AX$10:$AX$16)),0,""))</f>
        <v/>
      </c>
      <c r="AQ273" s="369" t="str">
        <f ca="1">IF($B273&lt;&gt;"PRC_RESID","",IF(AQ$7=2005+OFFSET(COM_N_2012!$B$60,$AW273,SUMIF($B$10:$B$16,"NCAP_TLIFE",$AX$10:$AX$16)),0,""))</f>
        <v/>
      </c>
      <c r="AR273" s="369" t="str">
        <f ca="1">IF($B273&lt;&gt;"PRC_RESID","",IF(AR$7=2005+OFFSET(COM_N_2012!$B$60,$AW273,SUMIF($B$10:$B$16,"NCAP_TLIFE",$AX$10:$AX$16)),0,""))</f>
        <v/>
      </c>
      <c r="AS273" s="369" t="str">
        <f ca="1">IF($B273&lt;&gt;"PRC_RESID","",IF(AS$7=2005+OFFSET(COM_N_2012!$B$60,$AW273,SUMIF($B$10:$B$16,"NCAP_TLIFE",$AX$10:$AX$16)),0,""))</f>
        <v/>
      </c>
      <c r="AT273" s="369" t="str">
        <f ca="1">IF($B273&lt;&gt;"PRC_RESID","",IF(AT$7=2005+OFFSET(COM_N_2012!$B$60,$AW273,SUMIF($B$10:$B$16,"NCAP_TLIFE",$AX$10:$AX$16)),0,""))</f>
        <v/>
      </c>
      <c r="AU273" s="369" t="str">
        <f ca="1">IF($B273&lt;&gt;"PRC_RESID","",IF(AU$7=2005+OFFSET(COM_N_2012!$B$60,$AW273,SUMIF($B$10:$B$16,"NCAP_TLIFE",$AX$10:$AX$16)),0,""))</f>
        <v/>
      </c>
      <c r="AV273" s="304">
        <f>IF(AW272=COM_N_2012!$AK$121,AV272+1,AV272)</f>
        <v>5</v>
      </c>
      <c r="AW273" s="304">
        <f t="shared" si="29"/>
        <v>12</v>
      </c>
    </row>
    <row r="274" spans="1:49">
      <c r="A274" s="304" t="str">
        <f ca="1">IF(LEFT(OFFSET(COM_N_2012!$A$60,AW274,0),2)="\I","*","")</f>
        <v/>
      </c>
      <c r="B274" s="369" t="str">
        <f t="shared" ref="B274:B337" ca="1" si="36">IF(A274="*","",VLOOKUP("*"&amp;AV274,$A$9:$B$16,2,FALSE))</f>
        <v>NCAP_FOM</v>
      </c>
      <c r="C274" s="369" t="str">
        <f ca="1">IF($A274="*","",OFFSET(COM_N_2012!$B$60,AW274,0))</f>
        <v>CNHGAS-N</v>
      </c>
      <c r="D274" s="369" t="str">
        <f t="shared" ca="1" si="35"/>
        <v>-</v>
      </c>
      <c r="E274" s="369" t="str">
        <f t="shared" ca="1" si="35"/>
        <v>-</v>
      </c>
      <c r="F274" s="369" t="str">
        <f t="shared" ca="1" si="35"/>
        <v>-</v>
      </c>
      <c r="G274" s="369" t="str">
        <f t="shared" ca="1" si="35"/>
        <v>-</v>
      </c>
      <c r="H274" s="369" t="str">
        <f t="shared" ca="1" si="35"/>
        <v>-</v>
      </c>
      <c r="I274" s="370">
        <f t="shared" ca="1" si="35"/>
        <v>0</v>
      </c>
      <c r="J274" s="391">
        <f ca="1">IF($A274="*","",OFFSET(COM_N_2012!$B$60,AW274,SUMIF($B$10:$B$16,B274,$AX$10:$AX$16)))</f>
        <v>3.4864360018767009</v>
      </c>
      <c r="K274" s="369" t="str">
        <f ca="1">IF($B274&lt;&gt;"PRC_RESID","",IF(K$7=2005+OFFSET(COM_N_2012!$B$60,$AW274,SUMIF($B$10:$B$16,"NCAP_TLIFE",$AX$10:$AX$16)),0,""))</f>
        <v/>
      </c>
      <c r="L274" s="369" t="str">
        <f ca="1">IF($B274&lt;&gt;"PRC_RESID","",IF(L$7=2005+OFFSET(COM_N_2012!$B$60,$AW274,SUMIF($B$10:$B$16,"NCAP_TLIFE",$AX$10:$AX$16)),0,""))</f>
        <v/>
      </c>
      <c r="M274" s="369" t="str">
        <f ca="1">IF($B274&lt;&gt;"PRC_RESID","",IF(M$7=2005+OFFSET(COM_N_2012!$B$60,$AW274,SUMIF($B$10:$B$16,"NCAP_TLIFE",$AX$10:$AX$16)),0,""))</f>
        <v/>
      </c>
      <c r="N274" s="369" t="str">
        <f ca="1">IF($B274&lt;&gt;"PRC_RESID","",IF(N$7=2005+OFFSET(COM_N_2012!$B$60,$AW274,SUMIF($B$10:$B$16,"NCAP_TLIFE",$AX$10:$AX$16)),0,""))</f>
        <v/>
      </c>
      <c r="O274" s="369" t="str">
        <f ca="1">IF($B274&lt;&gt;"PRC_RESID","",IF(O$7=2005+OFFSET(COM_N_2012!$B$60,$AW274,SUMIF($B$10:$B$16,"NCAP_TLIFE",$AX$10:$AX$16)),0,""))</f>
        <v/>
      </c>
      <c r="P274" s="369" t="str">
        <f ca="1">IF($B274&lt;&gt;"PRC_RESID","",IF(P$7=2005+OFFSET(COM_N_2012!$B$60,$AW274,SUMIF($B$10:$B$16,"NCAP_TLIFE",$AX$10:$AX$16)),0,""))</f>
        <v/>
      </c>
      <c r="Q274" s="369" t="str">
        <f ca="1">IF($B274&lt;&gt;"PRC_RESID","",IF(Q$7=2005+OFFSET(COM_N_2012!$B$60,$AW274,SUMIF($B$10:$B$16,"NCAP_TLIFE",$AX$10:$AX$16)),0,""))</f>
        <v/>
      </c>
      <c r="R274" s="369" t="str">
        <f ca="1">IF($B274&lt;&gt;"PRC_RESID","",IF(R$7=2005+OFFSET(COM_N_2012!$B$60,$AW274,SUMIF($B$10:$B$16,"NCAP_TLIFE",$AX$10:$AX$16)),0,""))</f>
        <v/>
      </c>
      <c r="S274" s="369" t="str">
        <f ca="1">IF($B274&lt;&gt;"PRC_RESID","",IF(S$7=2005+OFFSET(COM_N_2012!$B$60,$AW274,SUMIF($B$10:$B$16,"NCAP_TLIFE",$AX$10:$AX$16)),0,""))</f>
        <v/>
      </c>
      <c r="T274" s="369" t="str">
        <f ca="1">IF($B274&lt;&gt;"PRC_RESID","",IF(T$7=2005+OFFSET(COM_N_2012!$B$60,$AW274,SUMIF($B$10:$B$16,"NCAP_TLIFE",$AX$10:$AX$16)),0,""))</f>
        <v/>
      </c>
      <c r="U274" s="369" t="str">
        <f ca="1">IF($B274&lt;&gt;"PRC_RESID","",IF(U$7=2005+OFFSET(COM_N_2012!$B$60,$AW274,SUMIF($B$10:$B$16,"NCAP_TLIFE",$AX$10:$AX$16)),0,""))</f>
        <v/>
      </c>
      <c r="V274" s="369" t="str">
        <f ca="1">IF($B274&lt;&gt;"PRC_RESID","",IF(V$7=2005+OFFSET(COM_N_2012!$B$60,$AW274,SUMIF($B$10:$B$16,"NCAP_TLIFE",$AX$10:$AX$16)),0,""))</f>
        <v/>
      </c>
      <c r="W274" s="369" t="str">
        <f ca="1">IF($B274&lt;&gt;"PRC_RESID","",IF(W$7=2005+OFFSET(COM_N_2012!$B$60,$AW274,SUMIF($B$10:$B$16,"NCAP_TLIFE",$AX$10:$AX$16)),0,""))</f>
        <v/>
      </c>
      <c r="X274" s="369" t="str">
        <f ca="1">IF($B274&lt;&gt;"PRC_RESID","",IF(X$7=2005+OFFSET(COM_N_2012!$B$60,$AW274,SUMIF($B$10:$B$16,"NCAP_TLIFE",$AX$10:$AX$16)),0,""))</f>
        <v/>
      </c>
      <c r="Y274" s="369" t="str">
        <f ca="1">IF($B274&lt;&gt;"PRC_RESID","",IF(Y$7=2005+OFFSET(COM_N_2012!$B$60,$AW274,SUMIF($B$10:$B$16,"NCAP_TLIFE",$AX$10:$AX$16)),0,""))</f>
        <v/>
      </c>
      <c r="Z274" s="369" t="str">
        <f ca="1">IF($B274&lt;&gt;"PRC_RESID","",IF(Z$7=2005+OFFSET(COM_N_2012!$B$60,$AW274,SUMIF($B$10:$B$16,"NCAP_TLIFE",$AX$10:$AX$16)),0,""))</f>
        <v/>
      </c>
      <c r="AA274" s="369" t="str">
        <f ca="1">IF($B274&lt;&gt;"PRC_RESID","",IF(AA$7=2005+OFFSET(COM_N_2012!$B$60,$AW274,SUMIF($B$10:$B$16,"NCAP_TLIFE",$AX$10:$AX$16)),0,""))</f>
        <v/>
      </c>
      <c r="AB274" s="369" t="str">
        <f ca="1">IF($B274&lt;&gt;"PRC_RESID","",IF(AB$7=2005+OFFSET(COM_N_2012!$B$60,$AW274,SUMIF($B$10:$B$16,"NCAP_TLIFE",$AX$10:$AX$16)),0,""))</f>
        <v/>
      </c>
      <c r="AC274" s="369" t="str">
        <f ca="1">IF($B274&lt;&gt;"PRC_RESID","",IF(AC$7=2005+OFFSET(COM_N_2012!$B$60,$AW274,SUMIF($B$10:$B$16,"NCAP_TLIFE",$AX$10:$AX$16)),0,""))</f>
        <v/>
      </c>
      <c r="AD274" s="369" t="str">
        <f ca="1">IF($B274&lt;&gt;"PRC_RESID","",IF(AD$7=2005+OFFSET(COM_N_2012!$B$60,$AW274,SUMIF($B$10:$B$16,"NCAP_TLIFE",$AX$10:$AX$16)),0,""))</f>
        <v/>
      </c>
      <c r="AE274" s="369" t="str">
        <f ca="1">IF($B274&lt;&gt;"PRC_RESID","",IF(AE$7=2005+OFFSET(COM_N_2012!$B$60,$AW274,SUMIF($B$10:$B$16,"NCAP_TLIFE",$AX$10:$AX$16)),0,""))</f>
        <v/>
      </c>
      <c r="AF274" s="369" t="str">
        <f ca="1">IF($B274&lt;&gt;"PRC_RESID","",IF(AF$7=2005+OFFSET(COM_N_2012!$B$60,$AW274,SUMIF($B$10:$B$16,"NCAP_TLIFE",$AX$10:$AX$16)),0,""))</f>
        <v/>
      </c>
      <c r="AG274" s="369" t="str">
        <f ca="1">IF($B274&lt;&gt;"PRC_RESID","",IF(AG$7=2005+OFFSET(COM_N_2012!$B$60,$AW274,SUMIF($B$10:$B$16,"NCAP_TLIFE",$AX$10:$AX$16)),0,""))</f>
        <v/>
      </c>
      <c r="AH274" s="369" t="str">
        <f ca="1">IF($B274&lt;&gt;"PRC_RESID","",IF(AH$7=2005+OFFSET(COM_N_2012!$B$60,$AW274,SUMIF($B$10:$B$16,"NCAP_TLIFE",$AX$10:$AX$16)),0,""))</f>
        <v/>
      </c>
      <c r="AI274" s="369" t="str">
        <f ca="1">IF($B274&lt;&gt;"PRC_RESID","",IF(AI$7=2005+OFFSET(COM_N_2012!$B$60,$AW274,SUMIF($B$10:$B$16,"NCAP_TLIFE",$AX$10:$AX$16)),0,""))</f>
        <v/>
      </c>
      <c r="AJ274" s="369" t="str">
        <f ca="1">IF($B274&lt;&gt;"PRC_RESID","",IF(AJ$7=2005+OFFSET(COM_N_2012!$B$60,$AW274,SUMIF($B$10:$B$16,"NCAP_TLIFE",$AX$10:$AX$16)),0,""))</f>
        <v/>
      </c>
      <c r="AK274" s="369" t="str">
        <f ca="1">IF($B274&lt;&gt;"PRC_RESID","",IF(AK$7=2005+OFFSET(COM_N_2012!$B$60,$AW274,SUMIF($B$10:$B$16,"NCAP_TLIFE",$AX$10:$AX$16)),0,""))</f>
        <v/>
      </c>
      <c r="AL274" s="369" t="str">
        <f ca="1">IF($B274&lt;&gt;"PRC_RESID","",IF(AL$7=2005+OFFSET(COM_N_2012!$B$60,$AW274,SUMIF($B$10:$B$16,"NCAP_TLIFE",$AX$10:$AX$16)),0,""))</f>
        <v/>
      </c>
      <c r="AM274" s="369" t="str">
        <f ca="1">IF($B274&lt;&gt;"PRC_RESID","",IF(AM$7=2005+OFFSET(COM_N_2012!$B$60,$AW274,SUMIF($B$10:$B$16,"NCAP_TLIFE",$AX$10:$AX$16)),0,""))</f>
        <v/>
      </c>
      <c r="AN274" s="369" t="str">
        <f ca="1">IF($B274&lt;&gt;"PRC_RESID","",IF(AN$7=2005+OFFSET(COM_N_2012!$B$60,$AW274,SUMIF($B$10:$B$16,"NCAP_TLIFE",$AX$10:$AX$16)),0,""))</f>
        <v/>
      </c>
      <c r="AO274" s="369" t="str">
        <f ca="1">IF($B274&lt;&gt;"PRC_RESID","",IF(AO$7=2005+OFFSET(COM_N_2012!$B$60,$AW274,SUMIF($B$10:$B$16,"NCAP_TLIFE",$AX$10:$AX$16)),0,""))</f>
        <v/>
      </c>
      <c r="AP274" s="369" t="str">
        <f ca="1">IF($B274&lt;&gt;"PRC_RESID","",IF(AP$7=2005+OFFSET(COM_N_2012!$B$60,$AW274,SUMIF($B$10:$B$16,"NCAP_TLIFE",$AX$10:$AX$16)),0,""))</f>
        <v/>
      </c>
      <c r="AQ274" s="369" t="str">
        <f ca="1">IF($B274&lt;&gt;"PRC_RESID","",IF(AQ$7=2005+OFFSET(COM_N_2012!$B$60,$AW274,SUMIF($B$10:$B$16,"NCAP_TLIFE",$AX$10:$AX$16)),0,""))</f>
        <v/>
      </c>
      <c r="AR274" s="369" t="str">
        <f ca="1">IF($B274&lt;&gt;"PRC_RESID","",IF(AR$7=2005+OFFSET(COM_N_2012!$B$60,$AW274,SUMIF($B$10:$B$16,"NCAP_TLIFE",$AX$10:$AX$16)),0,""))</f>
        <v/>
      </c>
      <c r="AS274" s="369" t="str">
        <f ca="1">IF($B274&lt;&gt;"PRC_RESID","",IF(AS$7=2005+OFFSET(COM_N_2012!$B$60,$AW274,SUMIF($B$10:$B$16,"NCAP_TLIFE",$AX$10:$AX$16)),0,""))</f>
        <v/>
      </c>
      <c r="AT274" s="369" t="str">
        <f ca="1">IF($B274&lt;&gt;"PRC_RESID","",IF(AT$7=2005+OFFSET(COM_N_2012!$B$60,$AW274,SUMIF($B$10:$B$16,"NCAP_TLIFE",$AX$10:$AX$16)),0,""))</f>
        <v/>
      </c>
      <c r="AU274" s="369" t="str">
        <f ca="1">IF($B274&lt;&gt;"PRC_RESID","",IF(AU$7=2005+OFFSET(COM_N_2012!$B$60,$AW274,SUMIF($B$10:$B$16,"NCAP_TLIFE",$AX$10:$AX$16)),0,""))</f>
        <v/>
      </c>
      <c r="AV274" s="304">
        <f>IF(AW273=COM_N_2012!$AK$121,AV273+1,AV273)</f>
        <v>5</v>
      </c>
      <c r="AW274" s="304">
        <f t="shared" si="29"/>
        <v>13</v>
      </c>
    </row>
    <row r="275" spans="1:49">
      <c r="A275" s="304" t="str">
        <f ca="1">IF(LEFT(OFFSET(COM_N_2012!$A$60,AW275,0),2)="\I","*","")</f>
        <v>*</v>
      </c>
      <c r="B275" s="369" t="str">
        <f t="shared" ca="1" si="36"/>
        <v/>
      </c>
      <c r="C275" s="369" t="str">
        <f ca="1">IF($A275="*","",OFFSET(COM_N_2012!$B$60,AW275,0))</f>
        <v/>
      </c>
      <c r="D275" s="369" t="str">
        <f t="shared" ca="1" si="35"/>
        <v/>
      </c>
      <c r="E275" s="369" t="str">
        <f t="shared" ca="1" si="35"/>
        <v/>
      </c>
      <c r="F275" s="369" t="str">
        <f t="shared" ca="1" si="35"/>
        <v/>
      </c>
      <c r="G275" s="369" t="str">
        <f t="shared" ca="1" si="35"/>
        <v/>
      </c>
      <c r="H275" s="369" t="str">
        <f t="shared" ca="1" si="35"/>
        <v/>
      </c>
      <c r="I275" s="370" t="str">
        <f t="shared" ca="1" si="35"/>
        <v/>
      </c>
      <c r="J275" s="391" t="str">
        <f ca="1">IF($A275="*","",OFFSET(COM_N_2012!$B$60,AW275,SUMIF($B$10:$B$16,B275,$AX$10:$AX$16)))</f>
        <v/>
      </c>
      <c r="K275" s="369" t="str">
        <f ca="1">IF($B275&lt;&gt;"PRC_RESID","",IF(K$7=2005+OFFSET(COM_N_2012!$B$60,$AW275,SUMIF($B$10:$B$16,"NCAP_TLIFE",$AX$10:$AX$16)),0,""))</f>
        <v/>
      </c>
      <c r="L275" s="369" t="str">
        <f ca="1">IF($B275&lt;&gt;"PRC_RESID","",IF(L$7=2005+OFFSET(COM_N_2012!$B$60,$AW275,SUMIF($B$10:$B$16,"NCAP_TLIFE",$AX$10:$AX$16)),0,""))</f>
        <v/>
      </c>
      <c r="M275" s="369" t="str">
        <f ca="1">IF($B275&lt;&gt;"PRC_RESID","",IF(M$7=2005+OFFSET(COM_N_2012!$B$60,$AW275,SUMIF($B$10:$B$16,"NCAP_TLIFE",$AX$10:$AX$16)),0,""))</f>
        <v/>
      </c>
      <c r="N275" s="369" t="str">
        <f ca="1">IF($B275&lt;&gt;"PRC_RESID","",IF(N$7=2005+OFFSET(COM_N_2012!$B$60,$AW275,SUMIF($B$10:$B$16,"NCAP_TLIFE",$AX$10:$AX$16)),0,""))</f>
        <v/>
      </c>
      <c r="O275" s="369" t="str">
        <f ca="1">IF($B275&lt;&gt;"PRC_RESID","",IF(O$7=2005+OFFSET(COM_N_2012!$B$60,$AW275,SUMIF($B$10:$B$16,"NCAP_TLIFE",$AX$10:$AX$16)),0,""))</f>
        <v/>
      </c>
      <c r="P275" s="369" t="str">
        <f ca="1">IF($B275&lt;&gt;"PRC_RESID","",IF(P$7=2005+OFFSET(COM_N_2012!$B$60,$AW275,SUMIF($B$10:$B$16,"NCAP_TLIFE",$AX$10:$AX$16)),0,""))</f>
        <v/>
      </c>
      <c r="Q275" s="369" t="str">
        <f ca="1">IF($B275&lt;&gt;"PRC_RESID","",IF(Q$7=2005+OFFSET(COM_N_2012!$B$60,$AW275,SUMIF($B$10:$B$16,"NCAP_TLIFE",$AX$10:$AX$16)),0,""))</f>
        <v/>
      </c>
      <c r="R275" s="369" t="str">
        <f ca="1">IF($B275&lt;&gt;"PRC_RESID","",IF(R$7=2005+OFFSET(COM_N_2012!$B$60,$AW275,SUMIF($B$10:$B$16,"NCAP_TLIFE",$AX$10:$AX$16)),0,""))</f>
        <v/>
      </c>
      <c r="S275" s="369" t="str">
        <f ca="1">IF($B275&lt;&gt;"PRC_RESID","",IF(S$7=2005+OFFSET(COM_N_2012!$B$60,$AW275,SUMIF($B$10:$B$16,"NCAP_TLIFE",$AX$10:$AX$16)),0,""))</f>
        <v/>
      </c>
      <c r="T275" s="369" t="str">
        <f ca="1">IF($B275&lt;&gt;"PRC_RESID","",IF(T$7=2005+OFFSET(COM_N_2012!$B$60,$AW275,SUMIF($B$10:$B$16,"NCAP_TLIFE",$AX$10:$AX$16)),0,""))</f>
        <v/>
      </c>
      <c r="U275" s="369" t="str">
        <f ca="1">IF($B275&lt;&gt;"PRC_RESID","",IF(U$7=2005+OFFSET(COM_N_2012!$B$60,$AW275,SUMIF($B$10:$B$16,"NCAP_TLIFE",$AX$10:$AX$16)),0,""))</f>
        <v/>
      </c>
      <c r="V275" s="369" t="str">
        <f ca="1">IF($B275&lt;&gt;"PRC_RESID","",IF(V$7=2005+OFFSET(COM_N_2012!$B$60,$AW275,SUMIF($B$10:$B$16,"NCAP_TLIFE",$AX$10:$AX$16)),0,""))</f>
        <v/>
      </c>
      <c r="W275" s="369" t="str">
        <f ca="1">IF($B275&lt;&gt;"PRC_RESID","",IF(W$7=2005+OFFSET(COM_N_2012!$B$60,$AW275,SUMIF($B$10:$B$16,"NCAP_TLIFE",$AX$10:$AX$16)),0,""))</f>
        <v/>
      </c>
      <c r="X275" s="369" t="str">
        <f ca="1">IF($B275&lt;&gt;"PRC_RESID","",IF(X$7=2005+OFFSET(COM_N_2012!$B$60,$AW275,SUMIF($B$10:$B$16,"NCAP_TLIFE",$AX$10:$AX$16)),0,""))</f>
        <v/>
      </c>
      <c r="Y275" s="369" t="str">
        <f ca="1">IF($B275&lt;&gt;"PRC_RESID","",IF(Y$7=2005+OFFSET(COM_N_2012!$B$60,$AW275,SUMIF($B$10:$B$16,"NCAP_TLIFE",$AX$10:$AX$16)),0,""))</f>
        <v/>
      </c>
      <c r="Z275" s="369" t="str">
        <f ca="1">IF($B275&lt;&gt;"PRC_RESID","",IF(Z$7=2005+OFFSET(COM_N_2012!$B$60,$AW275,SUMIF($B$10:$B$16,"NCAP_TLIFE",$AX$10:$AX$16)),0,""))</f>
        <v/>
      </c>
      <c r="AA275" s="369" t="str">
        <f ca="1">IF($B275&lt;&gt;"PRC_RESID","",IF(AA$7=2005+OFFSET(COM_N_2012!$B$60,$AW275,SUMIF($B$10:$B$16,"NCAP_TLIFE",$AX$10:$AX$16)),0,""))</f>
        <v/>
      </c>
      <c r="AB275" s="369" t="str">
        <f ca="1">IF($B275&lt;&gt;"PRC_RESID","",IF(AB$7=2005+OFFSET(COM_N_2012!$B$60,$AW275,SUMIF($B$10:$B$16,"NCAP_TLIFE",$AX$10:$AX$16)),0,""))</f>
        <v/>
      </c>
      <c r="AC275" s="369" t="str">
        <f ca="1">IF($B275&lt;&gt;"PRC_RESID","",IF(AC$7=2005+OFFSET(COM_N_2012!$B$60,$AW275,SUMIF($B$10:$B$16,"NCAP_TLIFE",$AX$10:$AX$16)),0,""))</f>
        <v/>
      </c>
      <c r="AD275" s="369" t="str">
        <f ca="1">IF($B275&lt;&gt;"PRC_RESID","",IF(AD$7=2005+OFFSET(COM_N_2012!$B$60,$AW275,SUMIF($B$10:$B$16,"NCAP_TLIFE",$AX$10:$AX$16)),0,""))</f>
        <v/>
      </c>
      <c r="AE275" s="369" t="str">
        <f ca="1">IF($B275&lt;&gt;"PRC_RESID","",IF(AE$7=2005+OFFSET(COM_N_2012!$B$60,$AW275,SUMIF($B$10:$B$16,"NCAP_TLIFE",$AX$10:$AX$16)),0,""))</f>
        <v/>
      </c>
      <c r="AF275" s="369" t="str">
        <f ca="1">IF($B275&lt;&gt;"PRC_RESID","",IF(AF$7=2005+OFFSET(COM_N_2012!$B$60,$AW275,SUMIF($B$10:$B$16,"NCAP_TLIFE",$AX$10:$AX$16)),0,""))</f>
        <v/>
      </c>
      <c r="AG275" s="369" t="str">
        <f ca="1">IF($B275&lt;&gt;"PRC_RESID","",IF(AG$7=2005+OFFSET(COM_N_2012!$B$60,$AW275,SUMIF($B$10:$B$16,"NCAP_TLIFE",$AX$10:$AX$16)),0,""))</f>
        <v/>
      </c>
      <c r="AH275" s="369" t="str">
        <f ca="1">IF($B275&lt;&gt;"PRC_RESID","",IF(AH$7=2005+OFFSET(COM_N_2012!$B$60,$AW275,SUMIF($B$10:$B$16,"NCAP_TLIFE",$AX$10:$AX$16)),0,""))</f>
        <v/>
      </c>
      <c r="AI275" s="369" t="str">
        <f ca="1">IF($B275&lt;&gt;"PRC_RESID","",IF(AI$7=2005+OFFSET(COM_N_2012!$B$60,$AW275,SUMIF($B$10:$B$16,"NCAP_TLIFE",$AX$10:$AX$16)),0,""))</f>
        <v/>
      </c>
      <c r="AJ275" s="369" t="str">
        <f ca="1">IF($B275&lt;&gt;"PRC_RESID","",IF(AJ$7=2005+OFFSET(COM_N_2012!$B$60,$AW275,SUMIF($B$10:$B$16,"NCAP_TLIFE",$AX$10:$AX$16)),0,""))</f>
        <v/>
      </c>
      <c r="AK275" s="369" t="str">
        <f ca="1">IF($B275&lt;&gt;"PRC_RESID","",IF(AK$7=2005+OFFSET(COM_N_2012!$B$60,$AW275,SUMIF($B$10:$B$16,"NCAP_TLIFE",$AX$10:$AX$16)),0,""))</f>
        <v/>
      </c>
      <c r="AL275" s="369" t="str">
        <f ca="1">IF($B275&lt;&gt;"PRC_RESID","",IF(AL$7=2005+OFFSET(COM_N_2012!$B$60,$AW275,SUMIF($B$10:$B$16,"NCAP_TLIFE",$AX$10:$AX$16)),0,""))</f>
        <v/>
      </c>
      <c r="AM275" s="369" t="str">
        <f ca="1">IF($B275&lt;&gt;"PRC_RESID","",IF(AM$7=2005+OFFSET(COM_N_2012!$B$60,$AW275,SUMIF($B$10:$B$16,"NCAP_TLIFE",$AX$10:$AX$16)),0,""))</f>
        <v/>
      </c>
      <c r="AN275" s="369" t="str">
        <f ca="1">IF($B275&lt;&gt;"PRC_RESID","",IF(AN$7=2005+OFFSET(COM_N_2012!$B$60,$AW275,SUMIF($B$10:$B$16,"NCAP_TLIFE",$AX$10:$AX$16)),0,""))</f>
        <v/>
      </c>
      <c r="AO275" s="369" t="str">
        <f ca="1">IF($B275&lt;&gt;"PRC_RESID","",IF(AO$7=2005+OFFSET(COM_N_2012!$B$60,$AW275,SUMIF($B$10:$B$16,"NCAP_TLIFE",$AX$10:$AX$16)),0,""))</f>
        <v/>
      </c>
      <c r="AP275" s="369" t="str">
        <f ca="1">IF($B275&lt;&gt;"PRC_RESID","",IF(AP$7=2005+OFFSET(COM_N_2012!$B$60,$AW275,SUMIF($B$10:$B$16,"NCAP_TLIFE",$AX$10:$AX$16)),0,""))</f>
        <v/>
      </c>
      <c r="AQ275" s="369" t="str">
        <f ca="1">IF($B275&lt;&gt;"PRC_RESID","",IF(AQ$7=2005+OFFSET(COM_N_2012!$B$60,$AW275,SUMIF($B$10:$B$16,"NCAP_TLIFE",$AX$10:$AX$16)),0,""))</f>
        <v/>
      </c>
      <c r="AR275" s="369" t="str">
        <f ca="1">IF($B275&lt;&gt;"PRC_RESID","",IF(AR$7=2005+OFFSET(COM_N_2012!$B$60,$AW275,SUMIF($B$10:$B$16,"NCAP_TLIFE",$AX$10:$AX$16)),0,""))</f>
        <v/>
      </c>
      <c r="AS275" s="369" t="str">
        <f ca="1">IF($B275&lt;&gt;"PRC_RESID","",IF(AS$7=2005+OFFSET(COM_N_2012!$B$60,$AW275,SUMIF($B$10:$B$16,"NCAP_TLIFE",$AX$10:$AX$16)),0,""))</f>
        <v/>
      </c>
      <c r="AT275" s="369" t="str">
        <f ca="1">IF($B275&lt;&gt;"PRC_RESID","",IF(AT$7=2005+OFFSET(COM_N_2012!$B$60,$AW275,SUMIF($B$10:$B$16,"NCAP_TLIFE",$AX$10:$AX$16)),0,""))</f>
        <v/>
      </c>
      <c r="AU275" s="369" t="str">
        <f ca="1">IF($B275&lt;&gt;"PRC_RESID","",IF(AU$7=2005+OFFSET(COM_N_2012!$B$60,$AW275,SUMIF($B$10:$B$16,"NCAP_TLIFE",$AX$10:$AX$16)),0,""))</f>
        <v/>
      </c>
      <c r="AV275" s="304">
        <f>IF(AW274=COM_N_2012!$AK$121,AV274+1,AV274)</f>
        <v>5</v>
      </c>
      <c r="AW275" s="304">
        <f t="shared" ref="AW275:AW317" si="37">IF(AV275=AV274,AW274+1,1)</f>
        <v>14</v>
      </c>
    </row>
    <row r="276" spans="1:49">
      <c r="A276" s="304" t="str">
        <f ca="1">IF(LEFT(OFFSET(COM_N_2012!$A$60,AW276,0),2)="\I","*","")</f>
        <v>*</v>
      </c>
      <c r="B276" s="369" t="str">
        <f t="shared" ca="1" si="36"/>
        <v/>
      </c>
      <c r="C276" s="369" t="str">
        <f ca="1">IF($A276="*","",OFFSET(COM_N_2012!$B$60,AW276,0))</f>
        <v/>
      </c>
      <c r="D276" s="369" t="str">
        <f t="shared" ca="1" si="35"/>
        <v/>
      </c>
      <c r="E276" s="369" t="str">
        <f t="shared" ca="1" si="35"/>
        <v/>
      </c>
      <c r="F276" s="369" t="str">
        <f t="shared" ca="1" si="35"/>
        <v/>
      </c>
      <c r="G276" s="369" t="str">
        <f t="shared" ca="1" si="35"/>
        <v/>
      </c>
      <c r="H276" s="369" t="str">
        <f t="shared" ca="1" si="35"/>
        <v/>
      </c>
      <c r="I276" s="370" t="str">
        <f t="shared" ca="1" si="35"/>
        <v/>
      </c>
      <c r="J276" s="391" t="str">
        <f ca="1">IF($A276="*","",OFFSET(COM_N_2012!$B$60,AW276,SUMIF($B$10:$B$16,B276,$AX$10:$AX$16)))</f>
        <v/>
      </c>
      <c r="K276" s="369" t="str">
        <f ca="1">IF($B276&lt;&gt;"PRC_RESID","",IF(K$7=2005+OFFSET(COM_N_2012!$B$60,$AW276,SUMIF($B$10:$B$16,"NCAP_TLIFE",$AX$10:$AX$16)),0,""))</f>
        <v/>
      </c>
      <c r="L276" s="369" t="str">
        <f ca="1">IF($B276&lt;&gt;"PRC_RESID","",IF(L$7=2005+OFFSET(COM_N_2012!$B$60,$AW276,SUMIF($B$10:$B$16,"NCAP_TLIFE",$AX$10:$AX$16)),0,""))</f>
        <v/>
      </c>
      <c r="M276" s="369" t="str">
        <f ca="1">IF($B276&lt;&gt;"PRC_RESID","",IF(M$7=2005+OFFSET(COM_N_2012!$B$60,$AW276,SUMIF($B$10:$B$16,"NCAP_TLIFE",$AX$10:$AX$16)),0,""))</f>
        <v/>
      </c>
      <c r="N276" s="369" t="str">
        <f ca="1">IF($B276&lt;&gt;"PRC_RESID","",IF(N$7=2005+OFFSET(COM_N_2012!$B$60,$AW276,SUMIF($B$10:$B$16,"NCAP_TLIFE",$AX$10:$AX$16)),0,""))</f>
        <v/>
      </c>
      <c r="O276" s="369" t="str">
        <f ca="1">IF($B276&lt;&gt;"PRC_RESID","",IF(O$7=2005+OFFSET(COM_N_2012!$B$60,$AW276,SUMIF($B$10:$B$16,"NCAP_TLIFE",$AX$10:$AX$16)),0,""))</f>
        <v/>
      </c>
      <c r="P276" s="369" t="str">
        <f ca="1">IF($B276&lt;&gt;"PRC_RESID","",IF(P$7=2005+OFFSET(COM_N_2012!$B$60,$AW276,SUMIF($B$10:$B$16,"NCAP_TLIFE",$AX$10:$AX$16)),0,""))</f>
        <v/>
      </c>
      <c r="Q276" s="369" t="str">
        <f ca="1">IF($B276&lt;&gt;"PRC_RESID","",IF(Q$7=2005+OFFSET(COM_N_2012!$B$60,$AW276,SUMIF($B$10:$B$16,"NCAP_TLIFE",$AX$10:$AX$16)),0,""))</f>
        <v/>
      </c>
      <c r="R276" s="369" t="str">
        <f ca="1">IF($B276&lt;&gt;"PRC_RESID","",IF(R$7=2005+OFFSET(COM_N_2012!$B$60,$AW276,SUMIF($B$10:$B$16,"NCAP_TLIFE",$AX$10:$AX$16)),0,""))</f>
        <v/>
      </c>
      <c r="S276" s="369" t="str">
        <f ca="1">IF($B276&lt;&gt;"PRC_RESID","",IF(S$7=2005+OFFSET(COM_N_2012!$B$60,$AW276,SUMIF($B$10:$B$16,"NCAP_TLIFE",$AX$10:$AX$16)),0,""))</f>
        <v/>
      </c>
      <c r="T276" s="369" t="str">
        <f ca="1">IF($B276&lt;&gt;"PRC_RESID","",IF(T$7=2005+OFFSET(COM_N_2012!$B$60,$AW276,SUMIF($B$10:$B$16,"NCAP_TLIFE",$AX$10:$AX$16)),0,""))</f>
        <v/>
      </c>
      <c r="U276" s="369" t="str">
        <f ca="1">IF($B276&lt;&gt;"PRC_RESID","",IF(U$7=2005+OFFSET(COM_N_2012!$B$60,$AW276,SUMIF($B$10:$B$16,"NCAP_TLIFE",$AX$10:$AX$16)),0,""))</f>
        <v/>
      </c>
      <c r="V276" s="369" t="str">
        <f ca="1">IF($B276&lt;&gt;"PRC_RESID","",IF(V$7=2005+OFFSET(COM_N_2012!$B$60,$AW276,SUMIF($B$10:$B$16,"NCAP_TLIFE",$AX$10:$AX$16)),0,""))</f>
        <v/>
      </c>
      <c r="W276" s="369" t="str">
        <f ca="1">IF($B276&lt;&gt;"PRC_RESID","",IF(W$7=2005+OFFSET(COM_N_2012!$B$60,$AW276,SUMIF($B$10:$B$16,"NCAP_TLIFE",$AX$10:$AX$16)),0,""))</f>
        <v/>
      </c>
      <c r="X276" s="369" t="str">
        <f ca="1">IF($B276&lt;&gt;"PRC_RESID","",IF(X$7=2005+OFFSET(COM_N_2012!$B$60,$AW276,SUMIF($B$10:$B$16,"NCAP_TLIFE",$AX$10:$AX$16)),0,""))</f>
        <v/>
      </c>
      <c r="Y276" s="369" t="str">
        <f ca="1">IF($B276&lt;&gt;"PRC_RESID","",IF(Y$7=2005+OFFSET(COM_N_2012!$B$60,$AW276,SUMIF($B$10:$B$16,"NCAP_TLIFE",$AX$10:$AX$16)),0,""))</f>
        <v/>
      </c>
      <c r="Z276" s="369" t="str">
        <f ca="1">IF($B276&lt;&gt;"PRC_RESID","",IF(Z$7=2005+OFFSET(COM_N_2012!$B$60,$AW276,SUMIF($B$10:$B$16,"NCAP_TLIFE",$AX$10:$AX$16)),0,""))</f>
        <v/>
      </c>
      <c r="AA276" s="369" t="str">
        <f ca="1">IF($B276&lt;&gt;"PRC_RESID","",IF(AA$7=2005+OFFSET(COM_N_2012!$B$60,$AW276,SUMIF($B$10:$B$16,"NCAP_TLIFE",$AX$10:$AX$16)),0,""))</f>
        <v/>
      </c>
      <c r="AB276" s="369" t="str">
        <f ca="1">IF($B276&lt;&gt;"PRC_RESID","",IF(AB$7=2005+OFFSET(COM_N_2012!$B$60,$AW276,SUMIF($B$10:$B$16,"NCAP_TLIFE",$AX$10:$AX$16)),0,""))</f>
        <v/>
      </c>
      <c r="AC276" s="369" t="str">
        <f ca="1">IF($B276&lt;&gt;"PRC_RESID","",IF(AC$7=2005+OFFSET(COM_N_2012!$B$60,$AW276,SUMIF($B$10:$B$16,"NCAP_TLIFE",$AX$10:$AX$16)),0,""))</f>
        <v/>
      </c>
      <c r="AD276" s="369" t="str">
        <f ca="1">IF($B276&lt;&gt;"PRC_RESID","",IF(AD$7=2005+OFFSET(COM_N_2012!$B$60,$AW276,SUMIF($B$10:$B$16,"NCAP_TLIFE",$AX$10:$AX$16)),0,""))</f>
        <v/>
      </c>
      <c r="AE276" s="369" t="str">
        <f ca="1">IF($B276&lt;&gt;"PRC_RESID","",IF(AE$7=2005+OFFSET(COM_N_2012!$B$60,$AW276,SUMIF($B$10:$B$16,"NCAP_TLIFE",$AX$10:$AX$16)),0,""))</f>
        <v/>
      </c>
      <c r="AF276" s="369" t="str">
        <f ca="1">IF($B276&lt;&gt;"PRC_RESID","",IF(AF$7=2005+OFFSET(COM_N_2012!$B$60,$AW276,SUMIF($B$10:$B$16,"NCAP_TLIFE",$AX$10:$AX$16)),0,""))</f>
        <v/>
      </c>
      <c r="AG276" s="369" t="str">
        <f ca="1">IF($B276&lt;&gt;"PRC_RESID","",IF(AG$7=2005+OFFSET(COM_N_2012!$B$60,$AW276,SUMIF($B$10:$B$16,"NCAP_TLIFE",$AX$10:$AX$16)),0,""))</f>
        <v/>
      </c>
      <c r="AH276" s="369" t="str">
        <f ca="1">IF($B276&lt;&gt;"PRC_RESID","",IF(AH$7=2005+OFFSET(COM_N_2012!$B$60,$AW276,SUMIF($B$10:$B$16,"NCAP_TLIFE",$AX$10:$AX$16)),0,""))</f>
        <v/>
      </c>
      <c r="AI276" s="369" t="str">
        <f ca="1">IF($B276&lt;&gt;"PRC_RESID","",IF(AI$7=2005+OFFSET(COM_N_2012!$B$60,$AW276,SUMIF($B$10:$B$16,"NCAP_TLIFE",$AX$10:$AX$16)),0,""))</f>
        <v/>
      </c>
      <c r="AJ276" s="369" t="str">
        <f ca="1">IF($B276&lt;&gt;"PRC_RESID","",IF(AJ$7=2005+OFFSET(COM_N_2012!$B$60,$AW276,SUMIF($B$10:$B$16,"NCAP_TLIFE",$AX$10:$AX$16)),0,""))</f>
        <v/>
      </c>
      <c r="AK276" s="369" t="str">
        <f ca="1">IF($B276&lt;&gt;"PRC_RESID","",IF(AK$7=2005+OFFSET(COM_N_2012!$B$60,$AW276,SUMIF($B$10:$B$16,"NCAP_TLIFE",$AX$10:$AX$16)),0,""))</f>
        <v/>
      </c>
      <c r="AL276" s="369" t="str">
        <f ca="1">IF($B276&lt;&gt;"PRC_RESID","",IF(AL$7=2005+OFFSET(COM_N_2012!$B$60,$AW276,SUMIF($B$10:$B$16,"NCAP_TLIFE",$AX$10:$AX$16)),0,""))</f>
        <v/>
      </c>
      <c r="AM276" s="369" t="str">
        <f ca="1">IF($B276&lt;&gt;"PRC_RESID","",IF(AM$7=2005+OFFSET(COM_N_2012!$B$60,$AW276,SUMIF($B$10:$B$16,"NCAP_TLIFE",$AX$10:$AX$16)),0,""))</f>
        <v/>
      </c>
      <c r="AN276" s="369" t="str">
        <f ca="1">IF($B276&lt;&gt;"PRC_RESID","",IF(AN$7=2005+OFFSET(COM_N_2012!$B$60,$AW276,SUMIF($B$10:$B$16,"NCAP_TLIFE",$AX$10:$AX$16)),0,""))</f>
        <v/>
      </c>
      <c r="AO276" s="369" t="str">
        <f ca="1">IF($B276&lt;&gt;"PRC_RESID","",IF(AO$7=2005+OFFSET(COM_N_2012!$B$60,$AW276,SUMIF($B$10:$B$16,"NCAP_TLIFE",$AX$10:$AX$16)),0,""))</f>
        <v/>
      </c>
      <c r="AP276" s="369" t="str">
        <f ca="1">IF($B276&lt;&gt;"PRC_RESID","",IF(AP$7=2005+OFFSET(COM_N_2012!$B$60,$AW276,SUMIF($B$10:$B$16,"NCAP_TLIFE",$AX$10:$AX$16)),0,""))</f>
        <v/>
      </c>
      <c r="AQ276" s="369" t="str">
        <f ca="1">IF($B276&lt;&gt;"PRC_RESID","",IF(AQ$7=2005+OFFSET(COM_N_2012!$B$60,$AW276,SUMIF($B$10:$B$16,"NCAP_TLIFE",$AX$10:$AX$16)),0,""))</f>
        <v/>
      </c>
      <c r="AR276" s="369" t="str">
        <f ca="1">IF($B276&lt;&gt;"PRC_RESID","",IF(AR$7=2005+OFFSET(COM_N_2012!$B$60,$AW276,SUMIF($B$10:$B$16,"NCAP_TLIFE",$AX$10:$AX$16)),0,""))</f>
        <v/>
      </c>
      <c r="AS276" s="369" t="str">
        <f ca="1">IF($B276&lt;&gt;"PRC_RESID","",IF(AS$7=2005+OFFSET(COM_N_2012!$B$60,$AW276,SUMIF($B$10:$B$16,"NCAP_TLIFE",$AX$10:$AX$16)),0,""))</f>
        <v/>
      </c>
      <c r="AT276" s="369" t="str">
        <f ca="1">IF($B276&lt;&gt;"PRC_RESID","",IF(AT$7=2005+OFFSET(COM_N_2012!$B$60,$AW276,SUMIF($B$10:$B$16,"NCAP_TLIFE",$AX$10:$AX$16)),0,""))</f>
        <v/>
      </c>
      <c r="AU276" s="369" t="str">
        <f ca="1">IF($B276&lt;&gt;"PRC_RESID","",IF(AU$7=2005+OFFSET(COM_N_2012!$B$60,$AW276,SUMIF($B$10:$B$16,"NCAP_TLIFE",$AX$10:$AX$16)),0,""))</f>
        <v/>
      </c>
      <c r="AV276" s="304">
        <f>IF(AW275=COM_N_2012!$AK$121,AV275+1,AV275)</f>
        <v>5</v>
      </c>
      <c r="AW276" s="304">
        <f t="shared" si="37"/>
        <v>15</v>
      </c>
    </row>
    <row r="277" spans="1:49">
      <c r="A277" s="304" t="str">
        <f ca="1">IF(LEFT(OFFSET(COM_N_2012!$A$60,AW277,0),2)="\I","*","")</f>
        <v/>
      </c>
      <c r="B277" s="369" t="str">
        <f t="shared" ca="1" si="36"/>
        <v>NCAP_FOM</v>
      </c>
      <c r="C277" s="369" t="str">
        <f ca="1">IF($A277="*","",OFFSET(COM_N_2012!$B$60,AW277,0))</f>
        <v>CNKOLP-E</v>
      </c>
      <c r="D277" s="369" t="str">
        <f t="shared" ca="1" si="35"/>
        <v>-</v>
      </c>
      <c r="E277" s="369" t="str">
        <f t="shared" ca="1" si="35"/>
        <v>-</v>
      </c>
      <c r="F277" s="369" t="str">
        <f t="shared" ca="1" si="35"/>
        <v>-</v>
      </c>
      <c r="G277" s="369" t="str">
        <f t="shared" ca="1" si="35"/>
        <v>-</v>
      </c>
      <c r="H277" s="369" t="str">
        <f t="shared" ca="1" si="35"/>
        <v>-</v>
      </c>
      <c r="I277" s="370">
        <f t="shared" ca="1" si="35"/>
        <v>0</v>
      </c>
      <c r="J277" s="391">
        <f ca="1">IF($A277="*","",OFFSET(COM_N_2012!$B$60,AW277,SUMIF($B$10:$B$16,B277,$AX$10:$AX$16)))</f>
        <v>17.662153776607365</v>
      </c>
      <c r="K277" s="369" t="str">
        <f ca="1">IF($B277&lt;&gt;"PRC_RESID","",IF(K$7=2005+OFFSET(COM_N_2012!$B$60,$AW277,SUMIF($B$10:$B$16,"NCAP_TLIFE",$AX$10:$AX$16)),0,""))</f>
        <v/>
      </c>
      <c r="L277" s="369" t="str">
        <f ca="1">IF($B277&lt;&gt;"PRC_RESID","",IF(L$7=2005+OFFSET(COM_N_2012!$B$60,$AW277,SUMIF($B$10:$B$16,"NCAP_TLIFE",$AX$10:$AX$16)),0,""))</f>
        <v/>
      </c>
      <c r="M277" s="369" t="str">
        <f ca="1">IF($B277&lt;&gt;"PRC_RESID","",IF(M$7=2005+OFFSET(COM_N_2012!$B$60,$AW277,SUMIF($B$10:$B$16,"NCAP_TLIFE",$AX$10:$AX$16)),0,""))</f>
        <v/>
      </c>
      <c r="N277" s="369" t="str">
        <f ca="1">IF($B277&lt;&gt;"PRC_RESID","",IF(N$7=2005+OFFSET(COM_N_2012!$B$60,$AW277,SUMIF($B$10:$B$16,"NCAP_TLIFE",$AX$10:$AX$16)),0,""))</f>
        <v/>
      </c>
      <c r="O277" s="369" t="str">
        <f ca="1">IF($B277&lt;&gt;"PRC_RESID","",IF(O$7=2005+OFFSET(COM_N_2012!$B$60,$AW277,SUMIF($B$10:$B$16,"NCAP_TLIFE",$AX$10:$AX$16)),0,""))</f>
        <v/>
      </c>
      <c r="P277" s="369" t="str">
        <f ca="1">IF($B277&lt;&gt;"PRC_RESID","",IF(P$7=2005+OFFSET(COM_N_2012!$B$60,$AW277,SUMIF($B$10:$B$16,"NCAP_TLIFE",$AX$10:$AX$16)),0,""))</f>
        <v/>
      </c>
      <c r="Q277" s="369" t="str">
        <f ca="1">IF($B277&lt;&gt;"PRC_RESID","",IF(Q$7=2005+OFFSET(COM_N_2012!$B$60,$AW277,SUMIF($B$10:$B$16,"NCAP_TLIFE",$AX$10:$AX$16)),0,""))</f>
        <v/>
      </c>
      <c r="R277" s="369" t="str">
        <f ca="1">IF($B277&lt;&gt;"PRC_RESID","",IF(R$7=2005+OFFSET(COM_N_2012!$B$60,$AW277,SUMIF($B$10:$B$16,"NCAP_TLIFE",$AX$10:$AX$16)),0,""))</f>
        <v/>
      </c>
      <c r="S277" s="369" t="str">
        <f ca="1">IF($B277&lt;&gt;"PRC_RESID","",IF(S$7=2005+OFFSET(COM_N_2012!$B$60,$AW277,SUMIF($B$10:$B$16,"NCAP_TLIFE",$AX$10:$AX$16)),0,""))</f>
        <v/>
      </c>
      <c r="T277" s="369" t="str">
        <f ca="1">IF($B277&lt;&gt;"PRC_RESID","",IF(T$7=2005+OFFSET(COM_N_2012!$B$60,$AW277,SUMIF($B$10:$B$16,"NCAP_TLIFE",$AX$10:$AX$16)),0,""))</f>
        <v/>
      </c>
      <c r="U277" s="369" t="str">
        <f ca="1">IF($B277&lt;&gt;"PRC_RESID","",IF(U$7=2005+OFFSET(COM_N_2012!$B$60,$AW277,SUMIF($B$10:$B$16,"NCAP_TLIFE",$AX$10:$AX$16)),0,""))</f>
        <v/>
      </c>
      <c r="V277" s="369" t="str">
        <f ca="1">IF($B277&lt;&gt;"PRC_RESID","",IF(V$7=2005+OFFSET(COM_N_2012!$B$60,$AW277,SUMIF($B$10:$B$16,"NCAP_TLIFE",$AX$10:$AX$16)),0,""))</f>
        <v/>
      </c>
      <c r="W277" s="369" t="str">
        <f ca="1">IF($B277&lt;&gt;"PRC_RESID","",IF(W$7=2005+OFFSET(COM_N_2012!$B$60,$AW277,SUMIF($B$10:$B$16,"NCAP_TLIFE",$AX$10:$AX$16)),0,""))</f>
        <v/>
      </c>
      <c r="X277" s="369" t="str">
        <f ca="1">IF($B277&lt;&gt;"PRC_RESID","",IF(X$7=2005+OFFSET(COM_N_2012!$B$60,$AW277,SUMIF($B$10:$B$16,"NCAP_TLIFE",$AX$10:$AX$16)),0,""))</f>
        <v/>
      </c>
      <c r="Y277" s="369" t="str">
        <f ca="1">IF($B277&lt;&gt;"PRC_RESID","",IF(Y$7=2005+OFFSET(COM_N_2012!$B$60,$AW277,SUMIF($B$10:$B$16,"NCAP_TLIFE",$AX$10:$AX$16)),0,""))</f>
        <v/>
      </c>
      <c r="Z277" s="369" t="str">
        <f ca="1">IF($B277&lt;&gt;"PRC_RESID","",IF(Z$7=2005+OFFSET(COM_N_2012!$B$60,$AW277,SUMIF($B$10:$B$16,"NCAP_TLIFE",$AX$10:$AX$16)),0,""))</f>
        <v/>
      </c>
      <c r="AA277" s="369" t="str">
        <f ca="1">IF($B277&lt;&gt;"PRC_RESID","",IF(AA$7=2005+OFFSET(COM_N_2012!$B$60,$AW277,SUMIF($B$10:$B$16,"NCAP_TLIFE",$AX$10:$AX$16)),0,""))</f>
        <v/>
      </c>
      <c r="AB277" s="369" t="str">
        <f ca="1">IF($B277&lt;&gt;"PRC_RESID","",IF(AB$7=2005+OFFSET(COM_N_2012!$B$60,$AW277,SUMIF($B$10:$B$16,"NCAP_TLIFE",$AX$10:$AX$16)),0,""))</f>
        <v/>
      </c>
      <c r="AC277" s="369" t="str">
        <f ca="1">IF($B277&lt;&gt;"PRC_RESID","",IF(AC$7=2005+OFFSET(COM_N_2012!$B$60,$AW277,SUMIF($B$10:$B$16,"NCAP_TLIFE",$AX$10:$AX$16)),0,""))</f>
        <v/>
      </c>
      <c r="AD277" s="369" t="str">
        <f ca="1">IF($B277&lt;&gt;"PRC_RESID","",IF(AD$7=2005+OFFSET(COM_N_2012!$B$60,$AW277,SUMIF($B$10:$B$16,"NCAP_TLIFE",$AX$10:$AX$16)),0,""))</f>
        <v/>
      </c>
      <c r="AE277" s="369" t="str">
        <f ca="1">IF($B277&lt;&gt;"PRC_RESID","",IF(AE$7=2005+OFFSET(COM_N_2012!$B$60,$AW277,SUMIF($B$10:$B$16,"NCAP_TLIFE",$AX$10:$AX$16)),0,""))</f>
        <v/>
      </c>
      <c r="AF277" s="369" t="str">
        <f ca="1">IF($B277&lt;&gt;"PRC_RESID","",IF(AF$7=2005+OFFSET(COM_N_2012!$B$60,$AW277,SUMIF($B$10:$B$16,"NCAP_TLIFE",$AX$10:$AX$16)),0,""))</f>
        <v/>
      </c>
      <c r="AG277" s="369" t="str">
        <f ca="1">IF($B277&lt;&gt;"PRC_RESID","",IF(AG$7=2005+OFFSET(COM_N_2012!$B$60,$AW277,SUMIF($B$10:$B$16,"NCAP_TLIFE",$AX$10:$AX$16)),0,""))</f>
        <v/>
      </c>
      <c r="AH277" s="369" t="str">
        <f ca="1">IF($B277&lt;&gt;"PRC_RESID","",IF(AH$7=2005+OFFSET(COM_N_2012!$B$60,$AW277,SUMIF($B$10:$B$16,"NCAP_TLIFE",$AX$10:$AX$16)),0,""))</f>
        <v/>
      </c>
      <c r="AI277" s="369" t="str">
        <f ca="1">IF($B277&lt;&gt;"PRC_RESID","",IF(AI$7=2005+OFFSET(COM_N_2012!$B$60,$AW277,SUMIF($B$10:$B$16,"NCAP_TLIFE",$AX$10:$AX$16)),0,""))</f>
        <v/>
      </c>
      <c r="AJ277" s="369" t="str">
        <f ca="1">IF($B277&lt;&gt;"PRC_RESID","",IF(AJ$7=2005+OFFSET(COM_N_2012!$B$60,$AW277,SUMIF($B$10:$B$16,"NCAP_TLIFE",$AX$10:$AX$16)),0,""))</f>
        <v/>
      </c>
      <c r="AK277" s="369" t="str">
        <f ca="1">IF($B277&lt;&gt;"PRC_RESID","",IF(AK$7=2005+OFFSET(COM_N_2012!$B$60,$AW277,SUMIF($B$10:$B$16,"NCAP_TLIFE",$AX$10:$AX$16)),0,""))</f>
        <v/>
      </c>
      <c r="AL277" s="369" t="str">
        <f ca="1">IF($B277&lt;&gt;"PRC_RESID","",IF(AL$7=2005+OFFSET(COM_N_2012!$B$60,$AW277,SUMIF($B$10:$B$16,"NCAP_TLIFE",$AX$10:$AX$16)),0,""))</f>
        <v/>
      </c>
      <c r="AM277" s="369" t="str">
        <f ca="1">IF($B277&lt;&gt;"PRC_RESID","",IF(AM$7=2005+OFFSET(COM_N_2012!$B$60,$AW277,SUMIF($B$10:$B$16,"NCAP_TLIFE",$AX$10:$AX$16)),0,""))</f>
        <v/>
      </c>
      <c r="AN277" s="369" t="str">
        <f ca="1">IF($B277&lt;&gt;"PRC_RESID","",IF(AN$7=2005+OFFSET(COM_N_2012!$B$60,$AW277,SUMIF($B$10:$B$16,"NCAP_TLIFE",$AX$10:$AX$16)),0,""))</f>
        <v/>
      </c>
      <c r="AO277" s="369" t="str">
        <f ca="1">IF($B277&lt;&gt;"PRC_RESID","",IF(AO$7=2005+OFFSET(COM_N_2012!$B$60,$AW277,SUMIF($B$10:$B$16,"NCAP_TLIFE",$AX$10:$AX$16)),0,""))</f>
        <v/>
      </c>
      <c r="AP277" s="369" t="str">
        <f ca="1">IF($B277&lt;&gt;"PRC_RESID","",IF(AP$7=2005+OFFSET(COM_N_2012!$B$60,$AW277,SUMIF($B$10:$B$16,"NCAP_TLIFE",$AX$10:$AX$16)),0,""))</f>
        <v/>
      </c>
      <c r="AQ277" s="369" t="str">
        <f ca="1">IF($B277&lt;&gt;"PRC_RESID","",IF(AQ$7=2005+OFFSET(COM_N_2012!$B$60,$AW277,SUMIF($B$10:$B$16,"NCAP_TLIFE",$AX$10:$AX$16)),0,""))</f>
        <v/>
      </c>
      <c r="AR277" s="369" t="str">
        <f ca="1">IF($B277&lt;&gt;"PRC_RESID","",IF(AR$7=2005+OFFSET(COM_N_2012!$B$60,$AW277,SUMIF($B$10:$B$16,"NCAP_TLIFE",$AX$10:$AX$16)),0,""))</f>
        <v/>
      </c>
      <c r="AS277" s="369" t="str">
        <f ca="1">IF($B277&lt;&gt;"PRC_RESID","",IF(AS$7=2005+OFFSET(COM_N_2012!$B$60,$AW277,SUMIF($B$10:$B$16,"NCAP_TLIFE",$AX$10:$AX$16)),0,""))</f>
        <v/>
      </c>
      <c r="AT277" s="369" t="str">
        <f ca="1">IF($B277&lt;&gt;"PRC_RESID","",IF(AT$7=2005+OFFSET(COM_N_2012!$B$60,$AW277,SUMIF($B$10:$B$16,"NCAP_TLIFE",$AX$10:$AX$16)),0,""))</f>
        <v/>
      </c>
      <c r="AU277" s="369" t="str">
        <f ca="1">IF($B277&lt;&gt;"PRC_RESID","",IF(AU$7=2005+OFFSET(COM_N_2012!$B$60,$AW277,SUMIF($B$10:$B$16,"NCAP_TLIFE",$AX$10:$AX$16)),0,""))</f>
        <v/>
      </c>
      <c r="AV277" s="304">
        <f>IF(AW276=COM_N_2012!$AK$121,AV276+1,AV276)</f>
        <v>5</v>
      </c>
      <c r="AW277" s="304">
        <f t="shared" si="37"/>
        <v>16</v>
      </c>
    </row>
    <row r="278" spans="1:49">
      <c r="A278" s="304" t="str">
        <f ca="1">IF(LEFT(OFFSET(COM_N_2012!$A$60,AW278,0),2)="\I","*","")</f>
        <v/>
      </c>
      <c r="B278" s="369" t="str">
        <f t="shared" ca="1" si="36"/>
        <v>NCAP_FOM</v>
      </c>
      <c r="C278" s="369" t="str">
        <f ca="1">IF($A278="*","",OFFSET(COM_N_2012!$B$60,AW278,0))</f>
        <v>CNKELC-E</v>
      </c>
      <c r="D278" s="369" t="str">
        <f t="shared" ref="D278:I287" ca="1" si="38">IF($A278="*","",VLOOKUP($B278,$B$10:$I$16,D$9,FALSE))</f>
        <v>-</v>
      </c>
      <c r="E278" s="369" t="str">
        <f t="shared" ca="1" si="38"/>
        <v>-</v>
      </c>
      <c r="F278" s="369" t="str">
        <f t="shared" ca="1" si="38"/>
        <v>-</v>
      </c>
      <c r="G278" s="369" t="str">
        <f t="shared" ca="1" si="38"/>
        <v>-</v>
      </c>
      <c r="H278" s="369" t="str">
        <f t="shared" ca="1" si="38"/>
        <v>-</v>
      </c>
      <c r="I278" s="370">
        <f t="shared" ca="1" si="38"/>
        <v>0</v>
      </c>
      <c r="J278" s="391">
        <f ca="1">IF($A278="*","",OFFSET(COM_N_2012!$B$60,AW278,SUMIF($B$10:$B$16,B278,$AX$10:$AX$16)))</f>
        <v>17.662153776607365</v>
      </c>
      <c r="K278" s="369" t="str">
        <f ca="1">IF($B278&lt;&gt;"PRC_RESID","",IF(K$7=2005+OFFSET(COM_N_2012!$B$60,$AW278,SUMIF($B$10:$B$16,"NCAP_TLIFE",$AX$10:$AX$16)),0,""))</f>
        <v/>
      </c>
      <c r="L278" s="369" t="str">
        <f ca="1">IF($B278&lt;&gt;"PRC_RESID","",IF(L$7=2005+OFFSET(COM_N_2012!$B$60,$AW278,SUMIF($B$10:$B$16,"NCAP_TLIFE",$AX$10:$AX$16)),0,""))</f>
        <v/>
      </c>
      <c r="M278" s="369" t="str">
        <f ca="1">IF($B278&lt;&gt;"PRC_RESID","",IF(M$7=2005+OFFSET(COM_N_2012!$B$60,$AW278,SUMIF($B$10:$B$16,"NCAP_TLIFE",$AX$10:$AX$16)),0,""))</f>
        <v/>
      </c>
      <c r="N278" s="369" t="str">
        <f ca="1">IF($B278&lt;&gt;"PRC_RESID","",IF(N$7=2005+OFFSET(COM_N_2012!$B$60,$AW278,SUMIF($B$10:$B$16,"NCAP_TLIFE",$AX$10:$AX$16)),0,""))</f>
        <v/>
      </c>
      <c r="O278" s="369" t="str">
        <f ca="1">IF($B278&lt;&gt;"PRC_RESID","",IF(O$7=2005+OFFSET(COM_N_2012!$B$60,$AW278,SUMIF($B$10:$B$16,"NCAP_TLIFE",$AX$10:$AX$16)),0,""))</f>
        <v/>
      </c>
      <c r="P278" s="369" t="str">
        <f ca="1">IF($B278&lt;&gt;"PRC_RESID","",IF(P$7=2005+OFFSET(COM_N_2012!$B$60,$AW278,SUMIF($B$10:$B$16,"NCAP_TLIFE",$AX$10:$AX$16)),0,""))</f>
        <v/>
      </c>
      <c r="Q278" s="369" t="str">
        <f ca="1">IF($B278&lt;&gt;"PRC_RESID","",IF(Q$7=2005+OFFSET(COM_N_2012!$B$60,$AW278,SUMIF($B$10:$B$16,"NCAP_TLIFE",$AX$10:$AX$16)),0,""))</f>
        <v/>
      </c>
      <c r="R278" s="369" t="str">
        <f ca="1">IF($B278&lt;&gt;"PRC_RESID","",IF(R$7=2005+OFFSET(COM_N_2012!$B$60,$AW278,SUMIF($B$10:$B$16,"NCAP_TLIFE",$AX$10:$AX$16)),0,""))</f>
        <v/>
      </c>
      <c r="S278" s="369" t="str">
        <f ca="1">IF($B278&lt;&gt;"PRC_RESID","",IF(S$7=2005+OFFSET(COM_N_2012!$B$60,$AW278,SUMIF($B$10:$B$16,"NCAP_TLIFE",$AX$10:$AX$16)),0,""))</f>
        <v/>
      </c>
      <c r="T278" s="369" t="str">
        <f ca="1">IF($B278&lt;&gt;"PRC_RESID","",IF(T$7=2005+OFFSET(COM_N_2012!$B$60,$AW278,SUMIF($B$10:$B$16,"NCAP_TLIFE",$AX$10:$AX$16)),0,""))</f>
        <v/>
      </c>
      <c r="U278" s="369" t="str">
        <f ca="1">IF($B278&lt;&gt;"PRC_RESID","",IF(U$7=2005+OFFSET(COM_N_2012!$B$60,$AW278,SUMIF($B$10:$B$16,"NCAP_TLIFE",$AX$10:$AX$16)),0,""))</f>
        <v/>
      </c>
      <c r="V278" s="369" t="str">
        <f ca="1">IF($B278&lt;&gt;"PRC_RESID","",IF(V$7=2005+OFFSET(COM_N_2012!$B$60,$AW278,SUMIF($B$10:$B$16,"NCAP_TLIFE",$AX$10:$AX$16)),0,""))</f>
        <v/>
      </c>
      <c r="W278" s="369" t="str">
        <f ca="1">IF($B278&lt;&gt;"PRC_RESID","",IF(W$7=2005+OFFSET(COM_N_2012!$B$60,$AW278,SUMIF($B$10:$B$16,"NCAP_TLIFE",$AX$10:$AX$16)),0,""))</f>
        <v/>
      </c>
      <c r="X278" s="369" t="str">
        <f ca="1">IF($B278&lt;&gt;"PRC_RESID","",IF(X$7=2005+OFFSET(COM_N_2012!$B$60,$AW278,SUMIF($B$10:$B$16,"NCAP_TLIFE",$AX$10:$AX$16)),0,""))</f>
        <v/>
      </c>
      <c r="Y278" s="369" t="str">
        <f ca="1">IF($B278&lt;&gt;"PRC_RESID","",IF(Y$7=2005+OFFSET(COM_N_2012!$B$60,$AW278,SUMIF($B$10:$B$16,"NCAP_TLIFE",$AX$10:$AX$16)),0,""))</f>
        <v/>
      </c>
      <c r="Z278" s="369" t="str">
        <f ca="1">IF($B278&lt;&gt;"PRC_RESID","",IF(Z$7=2005+OFFSET(COM_N_2012!$B$60,$AW278,SUMIF($B$10:$B$16,"NCAP_TLIFE",$AX$10:$AX$16)),0,""))</f>
        <v/>
      </c>
      <c r="AA278" s="369" t="str">
        <f ca="1">IF($B278&lt;&gt;"PRC_RESID","",IF(AA$7=2005+OFFSET(COM_N_2012!$B$60,$AW278,SUMIF($B$10:$B$16,"NCAP_TLIFE",$AX$10:$AX$16)),0,""))</f>
        <v/>
      </c>
      <c r="AB278" s="369" t="str">
        <f ca="1">IF($B278&lt;&gt;"PRC_RESID","",IF(AB$7=2005+OFFSET(COM_N_2012!$B$60,$AW278,SUMIF($B$10:$B$16,"NCAP_TLIFE",$AX$10:$AX$16)),0,""))</f>
        <v/>
      </c>
      <c r="AC278" s="369" t="str">
        <f ca="1">IF($B278&lt;&gt;"PRC_RESID","",IF(AC$7=2005+OFFSET(COM_N_2012!$B$60,$AW278,SUMIF($B$10:$B$16,"NCAP_TLIFE",$AX$10:$AX$16)),0,""))</f>
        <v/>
      </c>
      <c r="AD278" s="369" t="str">
        <f ca="1">IF($B278&lt;&gt;"PRC_RESID","",IF(AD$7=2005+OFFSET(COM_N_2012!$B$60,$AW278,SUMIF($B$10:$B$16,"NCAP_TLIFE",$AX$10:$AX$16)),0,""))</f>
        <v/>
      </c>
      <c r="AE278" s="369" t="str">
        <f ca="1">IF($B278&lt;&gt;"PRC_RESID","",IF(AE$7=2005+OFFSET(COM_N_2012!$B$60,$AW278,SUMIF($B$10:$B$16,"NCAP_TLIFE",$AX$10:$AX$16)),0,""))</f>
        <v/>
      </c>
      <c r="AF278" s="369" t="str">
        <f ca="1">IF($B278&lt;&gt;"PRC_RESID","",IF(AF$7=2005+OFFSET(COM_N_2012!$B$60,$AW278,SUMIF($B$10:$B$16,"NCAP_TLIFE",$AX$10:$AX$16)),0,""))</f>
        <v/>
      </c>
      <c r="AG278" s="369" t="str">
        <f ca="1">IF($B278&lt;&gt;"PRC_RESID","",IF(AG$7=2005+OFFSET(COM_N_2012!$B$60,$AW278,SUMIF($B$10:$B$16,"NCAP_TLIFE",$AX$10:$AX$16)),0,""))</f>
        <v/>
      </c>
      <c r="AH278" s="369" t="str">
        <f ca="1">IF($B278&lt;&gt;"PRC_RESID","",IF(AH$7=2005+OFFSET(COM_N_2012!$B$60,$AW278,SUMIF($B$10:$B$16,"NCAP_TLIFE",$AX$10:$AX$16)),0,""))</f>
        <v/>
      </c>
      <c r="AI278" s="369" t="str">
        <f ca="1">IF($B278&lt;&gt;"PRC_RESID","",IF(AI$7=2005+OFFSET(COM_N_2012!$B$60,$AW278,SUMIF($B$10:$B$16,"NCAP_TLIFE",$AX$10:$AX$16)),0,""))</f>
        <v/>
      </c>
      <c r="AJ278" s="369" t="str">
        <f ca="1">IF($B278&lt;&gt;"PRC_RESID","",IF(AJ$7=2005+OFFSET(COM_N_2012!$B$60,$AW278,SUMIF($B$10:$B$16,"NCAP_TLIFE",$AX$10:$AX$16)),0,""))</f>
        <v/>
      </c>
      <c r="AK278" s="369" t="str">
        <f ca="1">IF($B278&lt;&gt;"PRC_RESID","",IF(AK$7=2005+OFFSET(COM_N_2012!$B$60,$AW278,SUMIF($B$10:$B$16,"NCAP_TLIFE",$AX$10:$AX$16)),0,""))</f>
        <v/>
      </c>
      <c r="AL278" s="369" t="str">
        <f ca="1">IF($B278&lt;&gt;"PRC_RESID","",IF(AL$7=2005+OFFSET(COM_N_2012!$B$60,$AW278,SUMIF($B$10:$B$16,"NCAP_TLIFE",$AX$10:$AX$16)),0,""))</f>
        <v/>
      </c>
      <c r="AM278" s="369" t="str">
        <f ca="1">IF($B278&lt;&gt;"PRC_RESID","",IF(AM$7=2005+OFFSET(COM_N_2012!$B$60,$AW278,SUMIF($B$10:$B$16,"NCAP_TLIFE",$AX$10:$AX$16)),0,""))</f>
        <v/>
      </c>
      <c r="AN278" s="369" t="str">
        <f ca="1">IF($B278&lt;&gt;"PRC_RESID","",IF(AN$7=2005+OFFSET(COM_N_2012!$B$60,$AW278,SUMIF($B$10:$B$16,"NCAP_TLIFE",$AX$10:$AX$16)),0,""))</f>
        <v/>
      </c>
      <c r="AO278" s="369" t="str">
        <f ca="1">IF($B278&lt;&gt;"PRC_RESID","",IF(AO$7=2005+OFFSET(COM_N_2012!$B$60,$AW278,SUMIF($B$10:$B$16,"NCAP_TLIFE",$AX$10:$AX$16)),0,""))</f>
        <v/>
      </c>
      <c r="AP278" s="369" t="str">
        <f ca="1">IF($B278&lt;&gt;"PRC_RESID","",IF(AP$7=2005+OFFSET(COM_N_2012!$B$60,$AW278,SUMIF($B$10:$B$16,"NCAP_TLIFE",$AX$10:$AX$16)),0,""))</f>
        <v/>
      </c>
      <c r="AQ278" s="369" t="str">
        <f ca="1">IF($B278&lt;&gt;"PRC_RESID","",IF(AQ$7=2005+OFFSET(COM_N_2012!$B$60,$AW278,SUMIF($B$10:$B$16,"NCAP_TLIFE",$AX$10:$AX$16)),0,""))</f>
        <v/>
      </c>
      <c r="AR278" s="369" t="str">
        <f ca="1">IF($B278&lt;&gt;"PRC_RESID","",IF(AR$7=2005+OFFSET(COM_N_2012!$B$60,$AW278,SUMIF($B$10:$B$16,"NCAP_TLIFE",$AX$10:$AX$16)),0,""))</f>
        <v/>
      </c>
      <c r="AS278" s="369" t="str">
        <f ca="1">IF($B278&lt;&gt;"PRC_RESID","",IF(AS$7=2005+OFFSET(COM_N_2012!$B$60,$AW278,SUMIF($B$10:$B$16,"NCAP_TLIFE",$AX$10:$AX$16)),0,""))</f>
        <v/>
      </c>
      <c r="AT278" s="369" t="str">
        <f ca="1">IF($B278&lt;&gt;"PRC_RESID","",IF(AT$7=2005+OFFSET(COM_N_2012!$B$60,$AW278,SUMIF($B$10:$B$16,"NCAP_TLIFE",$AX$10:$AX$16)),0,""))</f>
        <v/>
      </c>
      <c r="AU278" s="369" t="str">
        <f ca="1">IF($B278&lt;&gt;"PRC_RESID","",IF(AU$7=2005+OFFSET(COM_N_2012!$B$60,$AW278,SUMIF($B$10:$B$16,"NCAP_TLIFE",$AX$10:$AX$16)),0,""))</f>
        <v/>
      </c>
      <c r="AV278" s="304">
        <f>IF(AW277=COM_N_2012!$AK$121,AV277+1,AV277)</f>
        <v>5</v>
      </c>
      <c r="AW278" s="304">
        <f t="shared" si="37"/>
        <v>17</v>
      </c>
    </row>
    <row r="279" spans="1:49">
      <c r="A279" s="304" t="str">
        <f ca="1">IF(LEFT(OFFSET(COM_N_2012!$A$60,AW279,0),2)="\I","*","")</f>
        <v/>
      </c>
      <c r="B279" s="369" t="str">
        <f t="shared" ca="1" si="36"/>
        <v>NCAP_FOM</v>
      </c>
      <c r="C279" s="369" t="str">
        <f ca="1">IF($A279="*","",OFFSET(COM_N_2012!$B$60,AW279,0))</f>
        <v>CNKCOA-E</v>
      </c>
      <c r="D279" s="369" t="str">
        <f t="shared" ca="1" si="38"/>
        <v>-</v>
      </c>
      <c r="E279" s="369" t="str">
        <f t="shared" ca="1" si="38"/>
        <v>-</v>
      </c>
      <c r="F279" s="369" t="str">
        <f t="shared" ca="1" si="38"/>
        <v>-</v>
      </c>
      <c r="G279" s="369" t="str">
        <f t="shared" ca="1" si="38"/>
        <v>-</v>
      </c>
      <c r="H279" s="369" t="str">
        <f t="shared" ca="1" si="38"/>
        <v>-</v>
      </c>
      <c r="I279" s="370">
        <f t="shared" ca="1" si="38"/>
        <v>0</v>
      </c>
      <c r="J279" s="391">
        <f ca="1">IF($A279="*","",OFFSET(COM_N_2012!$B$60,AW279,SUMIF($B$10:$B$16,B279,$AX$10:$AX$16)))</f>
        <v>17.662153776607365</v>
      </c>
      <c r="K279" s="369" t="str">
        <f ca="1">IF($B279&lt;&gt;"PRC_RESID","",IF(K$7=2005+OFFSET(COM_N_2012!$B$60,$AW279,SUMIF($B$10:$B$16,"NCAP_TLIFE",$AX$10:$AX$16)),0,""))</f>
        <v/>
      </c>
      <c r="L279" s="369" t="str">
        <f ca="1">IF($B279&lt;&gt;"PRC_RESID","",IF(L$7=2005+OFFSET(COM_N_2012!$B$60,$AW279,SUMIF($B$10:$B$16,"NCAP_TLIFE",$AX$10:$AX$16)),0,""))</f>
        <v/>
      </c>
      <c r="M279" s="369" t="str">
        <f ca="1">IF($B279&lt;&gt;"PRC_RESID","",IF(M$7=2005+OFFSET(COM_N_2012!$B$60,$AW279,SUMIF($B$10:$B$16,"NCAP_TLIFE",$AX$10:$AX$16)),0,""))</f>
        <v/>
      </c>
      <c r="N279" s="369" t="str">
        <f ca="1">IF($B279&lt;&gt;"PRC_RESID","",IF(N$7=2005+OFFSET(COM_N_2012!$B$60,$AW279,SUMIF($B$10:$B$16,"NCAP_TLIFE",$AX$10:$AX$16)),0,""))</f>
        <v/>
      </c>
      <c r="O279" s="369" t="str">
        <f ca="1">IF($B279&lt;&gt;"PRC_RESID","",IF(O$7=2005+OFFSET(COM_N_2012!$B$60,$AW279,SUMIF($B$10:$B$16,"NCAP_TLIFE",$AX$10:$AX$16)),0,""))</f>
        <v/>
      </c>
      <c r="P279" s="369" t="str">
        <f ca="1">IF($B279&lt;&gt;"PRC_RESID","",IF(P$7=2005+OFFSET(COM_N_2012!$B$60,$AW279,SUMIF($B$10:$B$16,"NCAP_TLIFE",$AX$10:$AX$16)),0,""))</f>
        <v/>
      </c>
      <c r="Q279" s="369" t="str">
        <f ca="1">IF($B279&lt;&gt;"PRC_RESID","",IF(Q$7=2005+OFFSET(COM_N_2012!$B$60,$AW279,SUMIF($B$10:$B$16,"NCAP_TLIFE",$AX$10:$AX$16)),0,""))</f>
        <v/>
      </c>
      <c r="R279" s="369" t="str">
        <f ca="1">IF($B279&lt;&gt;"PRC_RESID","",IF(R$7=2005+OFFSET(COM_N_2012!$B$60,$AW279,SUMIF($B$10:$B$16,"NCAP_TLIFE",$AX$10:$AX$16)),0,""))</f>
        <v/>
      </c>
      <c r="S279" s="369" t="str">
        <f ca="1">IF($B279&lt;&gt;"PRC_RESID","",IF(S$7=2005+OFFSET(COM_N_2012!$B$60,$AW279,SUMIF($B$10:$B$16,"NCAP_TLIFE",$AX$10:$AX$16)),0,""))</f>
        <v/>
      </c>
      <c r="T279" s="369" t="str">
        <f ca="1">IF($B279&lt;&gt;"PRC_RESID","",IF(T$7=2005+OFFSET(COM_N_2012!$B$60,$AW279,SUMIF($B$10:$B$16,"NCAP_TLIFE",$AX$10:$AX$16)),0,""))</f>
        <v/>
      </c>
      <c r="U279" s="369" t="str">
        <f ca="1">IF($B279&lt;&gt;"PRC_RESID","",IF(U$7=2005+OFFSET(COM_N_2012!$B$60,$AW279,SUMIF($B$10:$B$16,"NCAP_TLIFE",$AX$10:$AX$16)),0,""))</f>
        <v/>
      </c>
      <c r="V279" s="369" t="str">
        <f ca="1">IF($B279&lt;&gt;"PRC_RESID","",IF(V$7=2005+OFFSET(COM_N_2012!$B$60,$AW279,SUMIF($B$10:$B$16,"NCAP_TLIFE",$AX$10:$AX$16)),0,""))</f>
        <v/>
      </c>
      <c r="W279" s="369" t="str">
        <f ca="1">IF($B279&lt;&gt;"PRC_RESID","",IF(W$7=2005+OFFSET(COM_N_2012!$B$60,$AW279,SUMIF($B$10:$B$16,"NCAP_TLIFE",$AX$10:$AX$16)),0,""))</f>
        <v/>
      </c>
      <c r="X279" s="369" t="str">
        <f ca="1">IF($B279&lt;&gt;"PRC_RESID","",IF(X$7=2005+OFFSET(COM_N_2012!$B$60,$AW279,SUMIF($B$10:$B$16,"NCAP_TLIFE",$AX$10:$AX$16)),0,""))</f>
        <v/>
      </c>
      <c r="Y279" s="369" t="str">
        <f ca="1">IF($B279&lt;&gt;"PRC_RESID","",IF(Y$7=2005+OFFSET(COM_N_2012!$B$60,$AW279,SUMIF($B$10:$B$16,"NCAP_TLIFE",$AX$10:$AX$16)),0,""))</f>
        <v/>
      </c>
      <c r="Z279" s="369" t="str">
        <f ca="1">IF($B279&lt;&gt;"PRC_RESID","",IF(Z$7=2005+OFFSET(COM_N_2012!$B$60,$AW279,SUMIF($B$10:$B$16,"NCAP_TLIFE",$AX$10:$AX$16)),0,""))</f>
        <v/>
      </c>
      <c r="AA279" s="369" t="str">
        <f ca="1">IF($B279&lt;&gt;"PRC_RESID","",IF(AA$7=2005+OFFSET(COM_N_2012!$B$60,$AW279,SUMIF($B$10:$B$16,"NCAP_TLIFE",$AX$10:$AX$16)),0,""))</f>
        <v/>
      </c>
      <c r="AB279" s="369" t="str">
        <f ca="1">IF($B279&lt;&gt;"PRC_RESID","",IF(AB$7=2005+OFFSET(COM_N_2012!$B$60,$AW279,SUMIF($B$10:$B$16,"NCAP_TLIFE",$AX$10:$AX$16)),0,""))</f>
        <v/>
      </c>
      <c r="AC279" s="369" t="str">
        <f ca="1">IF($B279&lt;&gt;"PRC_RESID","",IF(AC$7=2005+OFFSET(COM_N_2012!$B$60,$AW279,SUMIF($B$10:$B$16,"NCAP_TLIFE",$AX$10:$AX$16)),0,""))</f>
        <v/>
      </c>
      <c r="AD279" s="369" t="str">
        <f ca="1">IF($B279&lt;&gt;"PRC_RESID","",IF(AD$7=2005+OFFSET(COM_N_2012!$B$60,$AW279,SUMIF($B$10:$B$16,"NCAP_TLIFE",$AX$10:$AX$16)),0,""))</f>
        <v/>
      </c>
      <c r="AE279" s="369" t="str">
        <f ca="1">IF($B279&lt;&gt;"PRC_RESID","",IF(AE$7=2005+OFFSET(COM_N_2012!$B$60,$AW279,SUMIF($B$10:$B$16,"NCAP_TLIFE",$AX$10:$AX$16)),0,""))</f>
        <v/>
      </c>
      <c r="AF279" s="369" t="str">
        <f ca="1">IF($B279&lt;&gt;"PRC_RESID","",IF(AF$7=2005+OFFSET(COM_N_2012!$B$60,$AW279,SUMIF($B$10:$B$16,"NCAP_TLIFE",$AX$10:$AX$16)),0,""))</f>
        <v/>
      </c>
      <c r="AG279" s="369" t="str">
        <f ca="1">IF($B279&lt;&gt;"PRC_RESID","",IF(AG$7=2005+OFFSET(COM_N_2012!$B$60,$AW279,SUMIF($B$10:$B$16,"NCAP_TLIFE",$AX$10:$AX$16)),0,""))</f>
        <v/>
      </c>
      <c r="AH279" s="369" t="str">
        <f ca="1">IF($B279&lt;&gt;"PRC_RESID","",IF(AH$7=2005+OFFSET(COM_N_2012!$B$60,$AW279,SUMIF($B$10:$B$16,"NCAP_TLIFE",$AX$10:$AX$16)),0,""))</f>
        <v/>
      </c>
      <c r="AI279" s="369" t="str">
        <f ca="1">IF($B279&lt;&gt;"PRC_RESID","",IF(AI$7=2005+OFFSET(COM_N_2012!$B$60,$AW279,SUMIF($B$10:$B$16,"NCAP_TLIFE",$AX$10:$AX$16)),0,""))</f>
        <v/>
      </c>
      <c r="AJ279" s="369" t="str">
        <f ca="1">IF($B279&lt;&gt;"PRC_RESID","",IF(AJ$7=2005+OFFSET(COM_N_2012!$B$60,$AW279,SUMIF($B$10:$B$16,"NCAP_TLIFE",$AX$10:$AX$16)),0,""))</f>
        <v/>
      </c>
      <c r="AK279" s="369" t="str">
        <f ca="1">IF($B279&lt;&gt;"PRC_RESID","",IF(AK$7=2005+OFFSET(COM_N_2012!$B$60,$AW279,SUMIF($B$10:$B$16,"NCAP_TLIFE",$AX$10:$AX$16)),0,""))</f>
        <v/>
      </c>
      <c r="AL279" s="369" t="str">
        <f ca="1">IF($B279&lt;&gt;"PRC_RESID","",IF(AL$7=2005+OFFSET(COM_N_2012!$B$60,$AW279,SUMIF($B$10:$B$16,"NCAP_TLIFE",$AX$10:$AX$16)),0,""))</f>
        <v/>
      </c>
      <c r="AM279" s="369" t="str">
        <f ca="1">IF($B279&lt;&gt;"PRC_RESID","",IF(AM$7=2005+OFFSET(COM_N_2012!$B$60,$AW279,SUMIF($B$10:$B$16,"NCAP_TLIFE",$AX$10:$AX$16)),0,""))</f>
        <v/>
      </c>
      <c r="AN279" s="369" t="str">
        <f ca="1">IF($B279&lt;&gt;"PRC_RESID","",IF(AN$7=2005+OFFSET(COM_N_2012!$B$60,$AW279,SUMIF($B$10:$B$16,"NCAP_TLIFE",$AX$10:$AX$16)),0,""))</f>
        <v/>
      </c>
      <c r="AO279" s="369" t="str">
        <f ca="1">IF($B279&lt;&gt;"PRC_RESID","",IF(AO$7=2005+OFFSET(COM_N_2012!$B$60,$AW279,SUMIF($B$10:$B$16,"NCAP_TLIFE",$AX$10:$AX$16)),0,""))</f>
        <v/>
      </c>
      <c r="AP279" s="369" t="str">
        <f ca="1">IF($B279&lt;&gt;"PRC_RESID","",IF(AP$7=2005+OFFSET(COM_N_2012!$B$60,$AW279,SUMIF($B$10:$B$16,"NCAP_TLIFE",$AX$10:$AX$16)),0,""))</f>
        <v/>
      </c>
      <c r="AQ279" s="369" t="str">
        <f ca="1">IF($B279&lt;&gt;"PRC_RESID","",IF(AQ$7=2005+OFFSET(COM_N_2012!$B$60,$AW279,SUMIF($B$10:$B$16,"NCAP_TLIFE",$AX$10:$AX$16)),0,""))</f>
        <v/>
      </c>
      <c r="AR279" s="369" t="str">
        <f ca="1">IF($B279&lt;&gt;"PRC_RESID","",IF(AR$7=2005+OFFSET(COM_N_2012!$B$60,$AW279,SUMIF($B$10:$B$16,"NCAP_TLIFE",$AX$10:$AX$16)),0,""))</f>
        <v/>
      </c>
      <c r="AS279" s="369" t="str">
        <f ca="1">IF($B279&lt;&gt;"PRC_RESID","",IF(AS$7=2005+OFFSET(COM_N_2012!$B$60,$AW279,SUMIF($B$10:$B$16,"NCAP_TLIFE",$AX$10:$AX$16)),0,""))</f>
        <v/>
      </c>
      <c r="AT279" s="369" t="str">
        <f ca="1">IF($B279&lt;&gt;"PRC_RESID","",IF(AT$7=2005+OFFSET(COM_N_2012!$B$60,$AW279,SUMIF($B$10:$B$16,"NCAP_TLIFE",$AX$10:$AX$16)),0,""))</f>
        <v/>
      </c>
      <c r="AU279" s="369" t="str">
        <f ca="1">IF($B279&lt;&gt;"PRC_RESID","",IF(AU$7=2005+OFFSET(COM_N_2012!$B$60,$AW279,SUMIF($B$10:$B$16,"NCAP_TLIFE",$AX$10:$AX$16)),0,""))</f>
        <v/>
      </c>
      <c r="AV279" s="304">
        <f>IF(AW278=COM_N_2012!$AK$121,AV278+1,AV278)</f>
        <v>5</v>
      </c>
      <c r="AW279" s="304">
        <f t="shared" si="37"/>
        <v>18</v>
      </c>
    </row>
    <row r="280" spans="1:49">
      <c r="A280" s="304" t="str">
        <f ca="1">IF(LEFT(OFFSET(COM_N_2012!$A$60,AW280,0),2)="\I","*","")</f>
        <v>*</v>
      </c>
      <c r="B280" s="369" t="str">
        <f t="shared" ca="1" si="36"/>
        <v/>
      </c>
      <c r="C280" s="369" t="str">
        <f ca="1">IF($A280="*","",OFFSET(COM_N_2012!$B$60,AW280,0))</f>
        <v/>
      </c>
      <c r="D280" s="369" t="str">
        <f t="shared" ca="1" si="38"/>
        <v/>
      </c>
      <c r="E280" s="369" t="str">
        <f t="shared" ca="1" si="38"/>
        <v/>
      </c>
      <c r="F280" s="369" t="str">
        <f t="shared" ca="1" si="38"/>
        <v/>
      </c>
      <c r="G280" s="369" t="str">
        <f t="shared" ca="1" si="38"/>
        <v/>
      </c>
      <c r="H280" s="369" t="str">
        <f t="shared" ca="1" si="38"/>
        <v/>
      </c>
      <c r="I280" s="370" t="str">
        <f t="shared" ca="1" si="38"/>
        <v/>
      </c>
      <c r="J280" s="391" t="str">
        <f ca="1">IF($A280="*","",OFFSET(COM_N_2012!$B$60,AW280,SUMIF($B$10:$B$16,B280,$AX$10:$AX$16)))</f>
        <v/>
      </c>
      <c r="K280" s="369" t="str">
        <f ca="1">IF($B280&lt;&gt;"PRC_RESID","",IF(K$7=2005+OFFSET(COM_N_2012!$B$60,$AW280,SUMIF($B$10:$B$16,"NCAP_TLIFE",$AX$10:$AX$16)),0,""))</f>
        <v/>
      </c>
      <c r="L280" s="369" t="str">
        <f ca="1">IF($B280&lt;&gt;"PRC_RESID","",IF(L$7=2005+OFFSET(COM_N_2012!$B$60,$AW280,SUMIF($B$10:$B$16,"NCAP_TLIFE",$AX$10:$AX$16)),0,""))</f>
        <v/>
      </c>
      <c r="M280" s="369" t="str">
        <f ca="1">IF($B280&lt;&gt;"PRC_RESID","",IF(M$7=2005+OFFSET(COM_N_2012!$B$60,$AW280,SUMIF($B$10:$B$16,"NCAP_TLIFE",$AX$10:$AX$16)),0,""))</f>
        <v/>
      </c>
      <c r="N280" s="369" t="str">
        <f ca="1">IF($B280&lt;&gt;"PRC_RESID","",IF(N$7=2005+OFFSET(COM_N_2012!$B$60,$AW280,SUMIF($B$10:$B$16,"NCAP_TLIFE",$AX$10:$AX$16)),0,""))</f>
        <v/>
      </c>
      <c r="O280" s="369" t="str">
        <f ca="1">IF($B280&lt;&gt;"PRC_RESID","",IF(O$7=2005+OFFSET(COM_N_2012!$B$60,$AW280,SUMIF($B$10:$B$16,"NCAP_TLIFE",$AX$10:$AX$16)),0,""))</f>
        <v/>
      </c>
      <c r="P280" s="369" t="str">
        <f ca="1">IF($B280&lt;&gt;"PRC_RESID","",IF(P$7=2005+OFFSET(COM_N_2012!$B$60,$AW280,SUMIF($B$10:$B$16,"NCAP_TLIFE",$AX$10:$AX$16)),0,""))</f>
        <v/>
      </c>
      <c r="Q280" s="369" t="str">
        <f ca="1">IF($B280&lt;&gt;"PRC_RESID","",IF(Q$7=2005+OFFSET(COM_N_2012!$B$60,$AW280,SUMIF($B$10:$B$16,"NCAP_TLIFE",$AX$10:$AX$16)),0,""))</f>
        <v/>
      </c>
      <c r="R280" s="369" t="str">
        <f ca="1">IF($B280&lt;&gt;"PRC_RESID","",IF(R$7=2005+OFFSET(COM_N_2012!$B$60,$AW280,SUMIF($B$10:$B$16,"NCAP_TLIFE",$AX$10:$AX$16)),0,""))</f>
        <v/>
      </c>
      <c r="S280" s="369" t="str">
        <f ca="1">IF($B280&lt;&gt;"PRC_RESID","",IF(S$7=2005+OFFSET(COM_N_2012!$B$60,$AW280,SUMIF($B$10:$B$16,"NCAP_TLIFE",$AX$10:$AX$16)),0,""))</f>
        <v/>
      </c>
      <c r="T280" s="369" t="str">
        <f ca="1">IF($B280&lt;&gt;"PRC_RESID","",IF(T$7=2005+OFFSET(COM_N_2012!$B$60,$AW280,SUMIF($B$10:$B$16,"NCAP_TLIFE",$AX$10:$AX$16)),0,""))</f>
        <v/>
      </c>
      <c r="U280" s="369" t="str">
        <f ca="1">IF($B280&lt;&gt;"PRC_RESID","",IF(U$7=2005+OFFSET(COM_N_2012!$B$60,$AW280,SUMIF($B$10:$B$16,"NCAP_TLIFE",$AX$10:$AX$16)),0,""))</f>
        <v/>
      </c>
      <c r="V280" s="369" t="str">
        <f ca="1">IF($B280&lt;&gt;"PRC_RESID","",IF(V$7=2005+OFFSET(COM_N_2012!$B$60,$AW280,SUMIF($B$10:$B$16,"NCAP_TLIFE",$AX$10:$AX$16)),0,""))</f>
        <v/>
      </c>
      <c r="W280" s="369" t="str">
        <f ca="1">IF($B280&lt;&gt;"PRC_RESID","",IF(W$7=2005+OFFSET(COM_N_2012!$B$60,$AW280,SUMIF($B$10:$B$16,"NCAP_TLIFE",$AX$10:$AX$16)),0,""))</f>
        <v/>
      </c>
      <c r="X280" s="369" t="str">
        <f ca="1">IF($B280&lt;&gt;"PRC_RESID","",IF(X$7=2005+OFFSET(COM_N_2012!$B$60,$AW280,SUMIF($B$10:$B$16,"NCAP_TLIFE",$AX$10:$AX$16)),0,""))</f>
        <v/>
      </c>
      <c r="Y280" s="369" t="str">
        <f ca="1">IF($B280&lt;&gt;"PRC_RESID","",IF(Y$7=2005+OFFSET(COM_N_2012!$B$60,$AW280,SUMIF($B$10:$B$16,"NCAP_TLIFE",$AX$10:$AX$16)),0,""))</f>
        <v/>
      </c>
      <c r="Z280" s="369" t="str">
        <f ca="1">IF($B280&lt;&gt;"PRC_RESID","",IF(Z$7=2005+OFFSET(COM_N_2012!$B$60,$AW280,SUMIF($B$10:$B$16,"NCAP_TLIFE",$AX$10:$AX$16)),0,""))</f>
        <v/>
      </c>
      <c r="AA280" s="369" t="str">
        <f ca="1">IF($B280&lt;&gt;"PRC_RESID","",IF(AA$7=2005+OFFSET(COM_N_2012!$B$60,$AW280,SUMIF($B$10:$B$16,"NCAP_TLIFE",$AX$10:$AX$16)),0,""))</f>
        <v/>
      </c>
      <c r="AB280" s="369" t="str">
        <f ca="1">IF($B280&lt;&gt;"PRC_RESID","",IF(AB$7=2005+OFFSET(COM_N_2012!$B$60,$AW280,SUMIF($B$10:$B$16,"NCAP_TLIFE",$AX$10:$AX$16)),0,""))</f>
        <v/>
      </c>
      <c r="AC280" s="369" t="str">
        <f ca="1">IF($B280&lt;&gt;"PRC_RESID","",IF(AC$7=2005+OFFSET(COM_N_2012!$B$60,$AW280,SUMIF($B$10:$B$16,"NCAP_TLIFE",$AX$10:$AX$16)),0,""))</f>
        <v/>
      </c>
      <c r="AD280" s="369" t="str">
        <f ca="1">IF($B280&lt;&gt;"PRC_RESID","",IF(AD$7=2005+OFFSET(COM_N_2012!$B$60,$AW280,SUMIF($B$10:$B$16,"NCAP_TLIFE",$AX$10:$AX$16)),0,""))</f>
        <v/>
      </c>
      <c r="AE280" s="369" t="str">
        <f ca="1">IF($B280&lt;&gt;"PRC_RESID","",IF(AE$7=2005+OFFSET(COM_N_2012!$B$60,$AW280,SUMIF($B$10:$B$16,"NCAP_TLIFE",$AX$10:$AX$16)),0,""))</f>
        <v/>
      </c>
      <c r="AF280" s="369" t="str">
        <f ca="1">IF($B280&lt;&gt;"PRC_RESID","",IF(AF$7=2005+OFFSET(COM_N_2012!$B$60,$AW280,SUMIF($B$10:$B$16,"NCAP_TLIFE",$AX$10:$AX$16)),0,""))</f>
        <v/>
      </c>
      <c r="AG280" s="369" t="str">
        <f ca="1">IF($B280&lt;&gt;"PRC_RESID","",IF(AG$7=2005+OFFSET(COM_N_2012!$B$60,$AW280,SUMIF($B$10:$B$16,"NCAP_TLIFE",$AX$10:$AX$16)),0,""))</f>
        <v/>
      </c>
      <c r="AH280" s="369" t="str">
        <f ca="1">IF($B280&lt;&gt;"PRC_RESID","",IF(AH$7=2005+OFFSET(COM_N_2012!$B$60,$AW280,SUMIF($B$10:$B$16,"NCAP_TLIFE",$AX$10:$AX$16)),0,""))</f>
        <v/>
      </c>
      <c r="AI280" s="369" t="str">
        <f ca="1">IF($B280&lt;&gt;"PRC_RESID","",IF(AI$7=2005+OFFSET(COM_N_2012!$B$60,$AW280,SUMIF($B$10:$B$16,"NCAP_TLIFE",$AX$10:$AX$16)),0,""))</f>
        <v/>
      </c>
      <c r="AJ280" s="369" t="str">
        <f ca="1">IF($B280&lt;&gt;"PRC_RESID","",IF(AJ$7=2005+OFFSET(COM_N_2012!$B$60,$AW280,SUMIF($B$10:$B$16,"NCAP_TLIFE",$AX$10:$AX$16)),0,""))</f>
        <v/>
      </c>
      <c r="AK280" s="369" t="str">
        <f ca="1">IF($B280&lt;&gt;"PRC_RESID","",IF(AK$7=2005+OFFSET(COM_N_2012!$B$60,$AW280,SUMIF($B$10:$B$16,"NCAP_TLIFE",$AX$10:$AX$16)),0,""))</f>
        <v/>
      </c>
      <c r="AL280" s="369" t="str">
        <f ca="1">IF($B280&lt;&gt;"PRC_RESID","",IF(AL$7=2005+OFFSET(COM_N_2012!$B$60,$AW280,SUMIF($B$10:$B$16,"NCAP_TLIFE",$AX$10:$AX$16)),0,""))</f>
        <v/>
      </c>
      <c r="AM280" s="369" t="str">
        <f ca="1">IF($B280&lt;&gt;"PRC_RESID","",IF(AM$7=2005+OFFSET(COM_N_2012!$B$60,$AW280,SUMIF($B$10:$B$16,"NCAP_TLIFE",$AX$10:$AX$16)),0,""))</f>
        <v/>
      </c>
      <c r="AN280" s="369" t="str">
        <f ca="1">IF($B280&lt;&gt;"PRC_RESID","",IF(AN$7=2005+OFFSET(COM_N_2012!$B$60,$AW280,SUMIF($B$10:$B$16,"NCAP_TLIFE",$AX$10:$AX$16)),0,""))</f>
        <v/>
      </c>
      <c r="AO280" s="369" t="str">
        <f ca="1">IF($B280&lt;&gt;"PRC_RESID","",IF(AO$7=2005+OFFSET(COM_N_2012!$B$60,$AW280,SUMIF($B$10:$B$16,"NCAP_TLIFE",$AX$10:$AX$16)),0,""))</f>
        <v/>
      </c>
      <c r="AP280" s="369" t="str">
        <f ca="1">IF($B280&lt;&gt;"PRC_RESID","",IF(AP$7=2005+OFFSET(COM_N_2012!$B$60,$AW280,SUMIF($B$10:$B$16,"NCAP_TLIFE",$AX$10:$AX$16)),0,""))</f>
        <v/>
      </c>
      <c r="AQ280" s="369" t="str">
        <f ca="1">IF($B280&lt;&gt;"PRC_RESID","",IF(AQ$7=2005+OFFSET(COM_N_2012!$B$60,$AW280,SUMIF($B$10:$B$16,"NCAP_TLIFE",$AX$10:$AX$16)),0,""))</f>
        <v/>
      </c>
      <c r="AR280" s="369" t="str">
        <f ca="1">IF($B280&lt;&gt;"PRC_RESID","",IF(AR$7=2005+OFFSET(COM_N_2012!$B$60,$AW280,SUMIF($B$10:$B$16,"NCAP_TLIFE",$AX$10:$AX$16)),0,""))</f>
        <v/>
      </c>
      <c r="AS280" s="369" t="str">
        <f ca="1">IF($B280&lt;&gt;"PRC_RESID","",IF(AS$7=2005+OFFSET(COM_N_2012!$B$60,$AW280,SUMIF($B$10:$B$16,"NCAP_TLIFE",$AX$10:$AX$16)),0,""))</f>
        <v/>
      </c>
      <c r="AT280" s="369" t="str">
        <f ca="1">IF($B280&lt;&gt;"PRC_RESID","",IF(AT$7=2005+OFFSET(COM_N_2012!$B$60,$AW280,SUMIF($B$10:$B$16,"NCAP_TLIFE",$AX$10:$AX$16)),0,""))</f>
        <v/>
      </c>
      <c r="AU280" s="369" t="str">
        <f ca="1">IF($B280&lt;&gt;"PRC_RESID","",IF(AU$7=2005+OFFSET(COM_N_2012!$B$60,$AW280,SUMIF($B$10:$B$16,"NCAP_TLIFE",$AX$10:$AX$16)),0,""))</f>
        <v/>
      </c>
      <c r="AV280" s="304">
        <f>IF(AW279=COM_N_2012!$AK$121,AV279+1,AV279)</f>
        <v>5</v>
      </c>
      <c r="AW280" s="304">
        <f t="shared" si="37"/>
        <v>19</v>
      </c>
    </row>
    <row r="281" spans="1:49">
      <c r="A281" s="304" t="str">
        <f ca="1">IF(LEFT(OFFSET(COM_N_2012!$A$60,AW281,0),2)="\I","*","")</f>
        <v>*</v>
      </c>
      <c r="B281" s="369" t="str">
        <f t="shared" ca="1" si="36"/>
        <v/>
      </c>
      <c r="C281" s="369" t="str">
        <f ca="1">IF($A281="*","",OFFSET(COM_N_2012!$B$60,AW281,0))</f>
        <v/>
      </c>
      <c r="D281" s="369" t="str">
        <f t="shared" ca="1" si="38"/>
        <v/>
      </c>
      <c r="E281" s="369" t="str">
        <f t="shared" ca="1" si="38"/>
        <v/>
      </c>
      <c r="F281" s="369" t="str">
        <f t="shared" ca="1" si="38"/>
        <v/>
      </c>
      <c r="G281" s="369" t="str">
        <f t="shared" ca="1" si="38"/>
        <v/>
      </c>
      <c r="H281" s="369" t="str">
        <f t="shared" ca="1" si="38"/>
        <v/>
      </c>
      <c r="I281" s="370" t="str">
        <f t="shared" ca="1" si="38"/>
        <v/>
      </c>
      <c r="J281" s="391" t="str">
        <f ca="1">IF($A281="*","",OFFSET(COM_N_2012!$B$60,AW281,SUMIF($B$10:$B$16,B281,$AX$10:$AX$16)))</f>
        <v/>
      </c>
      <c r="K281" s="369" t="str">
        <f ca="1">IF($B281&lt;&gt;"PRC_RESID","",IF(K$7=2005+OFFSET(COM_N_2012!$B$60,$AW281,SUMIF($B$10:$B$16,"NCAP_TLIFE",$AX$10:$AX$16)),0,""))</f>
        <v/>
      </c>
      <c r="L281" s="369" t="str">
        <f ca="1">IF($B281&lt;&gt;"PRC_RESID","",IF(L$7=2005+OFFSET(COM_N_2012!$B$60,$AW281,SUMIF($B$10:$B$16,"NCAP_TLIFE",$AX$10:$AX$16)),0,""))</f>
        <v/>
      </c>
      <c r="M281" s="369" t="str">
        <f ca="1">IF($B281&lt;&gt;"PRC_RESID","",IF(M$7=2005+OFFSET(COM_N_2012!$B$60,$AW281,SUMIF($B$10:$B$16,"NCAP_TLIFE",$AX$10:$AX$16)),0,""))</f>
        <v/>
      </c>
      <c r="N281" s="369" t="str">
        <f ca="1">IF($B281&lt;&gt;"PRC_RESID","",IF(N$7=2005+OFFSET(COM_N_2012!$B$60,$AW281,SUMIF($B$10:$B$16,"NCAP_TLIFE",$AX$10:$AX$16)),0,""))</f>
        <v/>
      </c>
      <c r="O281" s="369" t="str">
        <f ca="1">IF($B281&lt;&gt;"PRC_RESID","",IF(O$7=2005+OFFSET(COM_N_2012!$B$60,$AW281,SUMIF($B$10:$B$16,"NCAP_TLIFE",$AX$10:$AX$16)),0,""))</f>
        <v/>
      </c>
      <c r="P281" s="369" t="str">
        <f ca="1">IF($B281&lt;&gt;"PRC_RESID","",IF(P$7=2005+OFFSET(COM_N_2012!$B$60,$AW281,SUMIF($B$10:$B$16,"NCAP_TLIFE",$AX$10:$AX$16)),0,""))</f>
        <v/>
      </c>
      <c r="Q281" s="369" t="str">
        <f ca="1">IF($B281&lt;&gt;"PRC_RESID","",IF(Q$7=2005+OFFSET(COM_N_2012!$B$60,$AW281,SUMIF($B$10:$B$16,"NCAP_TLIFE",$AX$10:$AX$16)),0,""))</f>
        <v/>
      </c>
      <c r="R281" s="369" t="str">
        <f ca="1">IF($B281&lt;&gt;"PRC_RESID","",IF(R$7=2005+OFFSET(COM_N_2012!$B$60,$AW281,SUMIF($B$10:$B$16,"NCAP_TLIFE",$AX$10:$AX$16)),0,""))</f>
        <v/>
      </c>
      <c r="S281" s="369" t="str">
        <f ca="1">IF($B281&lt;&gt;"PRC_RESID","",IF(S$7=2005+OFFSET(COM_N_2012!$B$60,$AW281,SUMIF($B$10:$B$16,"NCAP_TLIFE",$AX$10:$AX$16)),0,""))</f>
        <v/>
      </c>
      <c r="T281" s="369" t="str">
        <f ca="1">IF($B281&lt;&gt;"PRC_RESID","",IF(T$7=2005+OFFSET(COM_N_2012!$B$60,$AW281,SUMIF($B$10:$B$16,"NCAP_TLIFE",$AX$10:$AX$16)),0,""))</f>
        <v/>
      </c>
      <c r="U281" s="369" t="str">
        <f ca="1">IF($B281&lt;&gt;"PRC_RESID","",IF(U$7=2005+OFFSET(COM_N_2012!$B$60,$AW281,SUMIF($B$10:$B$16,"NCAP_TLIFE",$AX$10:$AX$16)),0,""))</f>
        <v/>
      </c>
      <c r="V281" s="369" t="str">
        <f ca="1">IF($B281&lt;&gt;"PRC_RESID","",IF(V$7=2005+OFFSET(COM_N_2012!$B$60,$AW281,SUMIF($B$10:$B$16,"NCAP_TLIFE",$AX$10:$AX$16)),0,""))</f>
        <v/>
      </c>
      <c r="W281" s="369" t="str">
        <f ca="1">IF($B281&lt;&gt;"PRC_RESID","",IF(W$7=2005+OFFSET(COM_N_2012!$B$60,$AW281,SUMIF($B$10:$B$16,"NCAP_TLIFE",$AX$10:$AX$16)),0,""))</f>
        <v/>
      </c>
      <c r="X281" s="369" t="str">
        <f ca="1">IF($B281&lt;&gt;"PRC_RESID","",IF(X$7=2005+OFFSET(COM_N_2012!$B$60,$AW281,SUMIF($B$10:$B$16,"NCAP_TLIFE",$AX$10:$AX$16)),0,""))</f>
        <v/>
      </c>
      <c r="Y281" s="369" t="str">
        <f ca="1">IF($B281&lt;&gt;"PRC_RESID","",IF(Y$7=2005+OFFSET(COM_N_2012!$B$60,$AW281,SUMIF($B$10:$B$16,"NCAP_TLIFE",$AX$10:$AX$16)),0,""))</f>
        <v/>
      </c>
      <c r="Z281" s="369" t="str">
        <f ca="1">IF($B281&lt;&gt;"PRC_RESID","",IF(Z$7=2005+OFFSET(COM_N_2012!$B$60,$AW281,SUMIF($B$10:$B$16,"NCAP_TLIFE",$AX$10:$AX$16)),0,""))</f>
        <v/>
      </c>
      <c r="AA281" s="369" t="str">
        <f ca="1">IF($B281&lt;&gt;"PRC_RESID","",IF(AA$7=2005+OFFSET(COM_N_2012!$B$60,$AW281,SUMIF($B$10:$B$16,"NCAP_TLIFE",$AX$10:$AX$16)),0,""))</f>
        <v/>
      </c>
      <c r="AB281" s="369" t="str">
        <f ca="1">IF($B281&lt;&gt;"PRC_RESID","",IF(AB$7=2005+OFFSET(COM_N_2012!$B$60,$AW281,SUMIF($B$10:$B$16,"NCAP_TLIFE",$AX$10:$AX$16)),0,""))</f>
        <v/>
      </c>
      <c r="AC281" s="369" t="str">
        <f ca="1">IF($B281&lt;&gt;"PRC_RESID","",IF(AC$7=2005+OFFSET(COM_N_2012!$B$60,$AW281,SUMIF($B$10:$B$16,"NCAP_TLIFE",$AX$10:$AX$16)),0,""))</f>
        <v/>
      </c>
      <c r="AD281" s="369" t="str">
        <f ca="1">IF($B281&lt;&gt;"PRC_RESID","",IF(AD$7=2005+OFFSET(COM_N_2012!$B$60,$AW281,SUMIF($B$10:$B$16,"NCAP_TLIFE",$AX$10:$AX$16)),0,""))</f>
        <v/>
      </c>
      <c r="AE281" s="369" t="str">
        <f ca="1">IF($B281&lt;&gt;"PRC_RESID","",IF(AE$7=2005+OFFSET(COM_N_2012!$B$60,$AW281,SUMIF($B$10:$B$16,"NCAP_TLIFE",$AX$10:$AX$16)),0,""))</f>
        <v/>
      </c>
      <c r="AF281" s="369" t="str">
        <f ca="1">IF($B281&lt;&gt;"PRC_RESID","",IF(AF$7=2005+OFFSET(COM_N_2012!$B$60,$AW281,SUMIF($B$10:$B$16,"NCAP_TLIFE",$AX$10:$AX$16)),0,""))</f>
        <v/>
      </c>
      <c r="AG281" s="369" t="str">
        <f ca="1">IF($B281&lt;&gt;"PRC_RESID","",IF(AG$7=2005+OFFSET(COM_N_2012!$B$60,$AW281,SUMIF($B$10:$B$16,"NCAP_TLIFE",$AX$10:$AX$16)),0,""))</f>
        <v/>
      </c>
      <c r="AH281" s="369" t="str">
        <f ca="1">IF($B281&lt;&gt;"PRC_RESID","",IF(AH$7=2005+OFFSET(COM_N_2012!$B$60,$AW281,SUMIF($B$10:$B$16,"NCAP_TLIFE",$AX$10:$AX$16)),0,""))</f>
        <v/>
      </c>
      <c r="AI281" s="369" t="str">
        <f ca="1">IF($B281&lt;&gt;"PRC_RESID","",IF(AI$7=2005+OFFSET(COM_N_2012!$B$60,$AW281,SUMIF($B$10:$B$16,"NCAP_TLIFE",$AX$10:$AX$16)),0,""))</f>
        <v/>
      </c>
      <c r="AJ281" s="369" t="str">
        <f ca="1">IF($B281&lt;&gt;"PRC_RESID","",IF(AJ$7=2005+OFFSET(COM_N_2012!$B$60,$AW281,SUMIF($B$10:$B$16,"NCAP_TLIFE",$AX$10:$AX$16)),0,""))</f>
        <v/>
      </c>
      <c r="AK281" s="369" t="str">
        <f ca="1">IF($B281&lt;&gt;"PRC_RESID","",IF(AK$7=2005+OFFSET(COM_N_2012!$B$60,$AW281,SUMIF($B$10:$B$16,"NCAP_TLIFE",$AX$10:$AX$16)),0,""))</f>
        <v/>
      </c>
      <c r="AL281" s="369" t="str">
        <f ca="1">IF($B281&lt;&gt;"PRC_RESID","",IF(AL$7=2005+OFFSET(COM_N_2012!$B$60,$AW281,SUMIF($B$10:$B$16,"NCAP_TLIFE",$AX$10:$AX$16)),0,""))</f>
        <v/>
      </c>
      <c r="AM281" s="369" t="str">
        <f ca="1">IF($B281&lt;&gt;"PRC_RESID","",IF(AM$7=2005+OFFSET(COM_N_2012!$B$60,$AW281,SUMIF($B$10:$B$16,"NCAP_TLIFE",$AX$10:$AX$16)),0,""))</f>
        <v/>
      </c>
      <c r="AN281" s="369" t="str">
        <f ca="1">IF($B281&lt;&gt;"PRC_RESID","",IF(AN$7=2005+OFFSET(COM_N_2012!$B$60,$AW281,SUMIF($B$10:$B$16,"NCAP_TLIFE",$AX$10:$AX$16)),0,""))</f>
        <v/>
      </c>
      <c r="AO281" s="369" t="str">
        <f ca="1">IF($B281&lt;&gt;"PRC_RESID","",IF(AO$7=2005+OFFSET(COM_N_2012!$B$60,$AW281,SUMIF($B$10:$B$16,"NCAP_TLIFE",$AX$10:$AX$16)),0,""))</f>
        <v/>
      </c>
      <c r="AP281" s="369" t="str">
        <f ca="1">IF($B281&lt;&gt;"PRC_RESID","",IF(AP$7=2005+OFFSET(COM_N_2012!$B$60,$AW281,SUMIF($B$10:$B$16,"NCAP_TLIFE",$AX$10:$AX$16)),0,""))</f>
        <v/>
      </c>
      <c r="AQ281" s="369" t="str">
        <f ca="1">IF($B281&lt;&gt;"PRC_RESID","",IF(AQ$7=2005+OFFSET(COM_N_2012!$B$60,$AW281,SUMIF($B$10:$B$16,"NCAP_TLIFE",$AX$10:$AX$16)),0,""))</f>
        <v/>
      </c>
      <c r="AR281" s="369" t="str">
        <f ca="1">IF($B281&lt;&gt;"PRC_RESID","",IF(AR$7=2005+OFFSET(COM_N_2012!$B$60,$AW281,SUMIF($B$10:$B$16,"NCAP_TLIFE",$AX$10:$AX$16)),0,""))</f>
        <v/>
      </c>
      <c r="AS281" s="369" t="str">
        <f ca="1">IF($B281&lt;&gt;"PRC_RESID","",IF(AS$7=2005+OFFSET(COM_N_2012!$B$60,$AW281,SUMIF($B$10:$B$16,"NCAP_TLIFE",$AX$10:$AX$16)),0,""))</f>
        <v/>
      </c>
      <c r="AT281" s="369" t="str">
        <f ca="1">IF($B281&lt;&gt;"PRC_RESID","",IF(AT$7=2005+OFFSET(COM_N_2012!$B$60,$AW281,SUMIF($B$10:$B$16,"NCAP_TLIFE",$AX$10:$AX$16)),0,""))</f>
        <v/>
      </c>
      <c r="AU281" s="369" t="str">
        <f ca="1">IF($B281&lt;&gt;"PRC_RESID","",IF(AU$7=2005+OFFSET(COM_N_2012!$B$60,$AW281,SUMIF($B$10:$B$16,"NCAP_TLIFE",$AX$10:$AX$16)),0,""))</f>
        <v/>
      </c>
      <c r="AV281" s="304">
        <f>IF(AW280=COM_N_2012!$AK$121,AV280+1,AV280)</f>
        <v>5</v>
      </c>
      <c r="AW281" s="304">
        <f t="shared" si="37"/>
        <v>20</v>
      </c>
    </row>
    <row r="282" spans="1:49">
      <c r="A282" s="304" t="str">
        <f ca="1">IF(LEFT(OFFSET(COM_N_2012!$A$60,AW282,0),2)="\I","*","")</f>
        <v/>
      </c>
      <c r="B282" s="369" t="str">
        <f t="shared" ca="1" si="36"/>
        <v>NCAP_FOM</v>
      </c>
      <c r="C282" s="369" t="str">
        <f ca="1">IF($A282="*","",OFFSET(COM_N_2012!$B$60,AW282,0))</f>
        <v>CNLELCCFL-E</v>
      </c>
      <c r="D282" s="369" t="str">
        <f t="shared" ca="1" si="38"/>
        <v>-</v>
      </c>
      <c r="E282" s="369" t="str">
        <f t="shared" ca="1" si="38"/>
        <v>-</v>
      </c>
      <c r="F282" s="369" t="str">
        <f t="shared" ca="1" si="38"/>
        <v>-</v>
      </c>
      <c r="G282" s="369" t="str">
        <f t="shared" ca="1" si="38"/>
        <v>-</v>
      </c>
      <c r="H282" s="369" t="str">
        <f t="shared" ca="1" si="38"/>
        <v>-</v>
      </c>
      <c r="I282" s="370">
        <f t="shared" ca="1" si="38"/>
        <v>0</v>
      </c>
      <c r="J282" s="391">
        <f ca="1">IF($A282="*","",OFFSET(COM_N_2012!$B$60,AW282,SUMIF($B$10:$B$16,B282,$AX$10:$AX$16)))</f>
        <v>0.25202184369189851</v>
      </c>
      <c r="K282" s="369" t="str">
        <f ca="1">IF($B282&lt;&gt;"PRC_RESID","",IF(K$7=2005+OFFSET(COM_N_2012!$B$60,$AW282,SUMIF($B$10:$B$16,"NCAP_TLIFE",$AX$10:$AX$16)),0,""))</f>
        <v/>
      </c>
      <c r="L282" s="369" t="str">
        <f ca="1">IF($B282&lt;&gt;"PRC_RESID","",IF(L$7=2005+OFFSET(COM_N_2012!$B$60,$AW282,SUMIF($B$10:$B$16,"NCAP_TLIFE",$AX$10:$AX$16)),0,""))</f>
        <v/>
      </c>
      <c r="M282" s="369" t="str">
        <f ca="1">IF($B282&lt;&gt;"PRC_RESID","",IF(M$7=2005+OFFSET(COM_N_2012!$B$60,$AW282,SUMIF($B$10:$B$16,"NCAP_TLIFE",$AX$10:$AX$16)),0,""))</f>
        <v/>
      </c>
      <c r="N282" s="369" t="str">
        <f ca="1">IF($B282&lt;&gt;"PRC_RESID","",IF(N$7=2005+OFFSET(COM_N_2012!$B$60,$AW282,SUMIF($B$10:$B$16,"NCAP_TLIFE",$AX$10:$AX$16)),0,""))</f>
        <v/>
      </c>
      <c r="O282" s="369" t="str">
        <f ca="1">IF($B282&lt;&gt;"PRC_RESID","",IF(O$7=2005+OFFSET(COM_N_2012!$B$60,$AW282,SUMIF($B$10:$B$16,"NCAP_TLIFE",$AX$10:$AX$16)),0,""))</f>
        <v/>
      </c>
      <c r="P282" s="369" t="str">
        <f ca="1">IF($B282&lt;&gt;"PRC_RESID","",IF(P$7=2005+OFFSET(COM_N_2012!$B$60,$AW282,SUMIF($B$10:$B$16,"NCAP_TLIFE",$AX$10:$AX$16)),0,""))</f>
        <v/>
      </c>
      <c r="Q282" s="369" t="str">
        <f ca="1">IF($B282&lt;&gt;"PRC_RESID","",IF(Q$7=2005+OFFSET(COM_N_2012!$B$60,$AW282,SUMIF($B$10:$B$16,"NCAP_TLIFE",$AX$10:$AX$16)),0,""))</f>
        <v/>
      </c>
      <c r="R282" s="369" t="str">
        <f ca="1">IF($B282&lt;&gt;"PRC_RESID","",IF(R$7=2005+OFFSET(COM_N_2012!$B$60,$AW282,SUMIF($B$10:$B$16,"NCAP_TLIFE",$AX$10:$AX$16)),0,""))</f>
        <v/>
      </c>
      <c r="S282" s="369" t="str">
        <f ca="1">IF($B282&lt;&gt;"PRC_RESID","",IF(S$7=2005+OFFSET(COM_N_2012!$B$60,$AW282,SUMIF($B$10:$B$16,"NCAP_TLIFE",$AX$10:$AX$16)),0,""))</f>
        <v/>
      </c>
      <c r="T282" s="369" t="str">
        <f ca="1">IF($B282&lt;&gt;"PRC_RESID","",IF(T$7=2005+OFFSET(COM_N_2012!$B$60,$AW282,SUMIF($B$10:$B$16,"NCAP_TLIFE",$AX$10:$AX$16)),0,""))</f>
        <v/>
      </c>
      <c r="U282" s="369" t="str">
        <f ca="1">IF($B282&lt;&gt;"PRC_RESID","",IF(U$7=2005+OFFSET(COM_N_2012!$B$60,$AW282,SUMIF($B$10:$B$16,"NCAP_TLIFE",$AX$10:$AX$16)),0,""))</f>
        <v/>
      </c>
      <c r="V282" s="369" t="str">
        <f ca="1">IF($B282&lt;&gt;"PRC_RESID","",IF(V$7=2005+OFFSET(COM_N_2012!$B$60,$AW282,SUMIF($B$10:$B$16,"NCAP_TLIFE",$AX$10:$AX$16)),0,""))</f>
        <v/>
      </c>
      <c r="W282" s="369" t="str">
        <f ca="1">IF($B282&lt;&gt;"PRC_RESID","",IF(W$7=2005+OFFSET(COM_N_2012!$B$60,$AW282,SUMIF($B$10:$B$16,"NCAP_TLIFE",$AX$10:$AX$16)),0,""))</f>
        <v/>
      </c>
      <c r="X282" s="369" t="str">
        <f ca="1">IF($B282&lt;&gt;"PRC_RESID","",IF(X$7=2005+OFFSET(COM_N_2012!$B$60,$AW282,SUMIF($B$10:$B$16,"NCAP_TLIFE",$AX$10:$AX$16)),0,""))</f>
        <v/>
      </c>
      <c r="Y282" s="369" t="str">
        <f ca="1">IF($B282&lt;&gt;"PRC_RESID","",IF(Y$7=2005+OFFSET(COM_N_2012!$B$60,$AW282,SUMIF($B$10:$B$16,"NCAP_TLIFE",$AX$10:$AX$16)),0,""))</f>
        <v/>
      </c>
      <c r="Z282" s="369" t="str">
        <f ca="1">IF($B282&lt;&gt;"PRC_RESID","",IF(Z$7=2005+OFFSET(COM_N_2012!$B$60,$AW282,SUMIF($B$10:$B$16,"NCAP_TLIFE",$AX$10:$AX$16)),0,""))</f>
        <v/>
      </c>
      <c r="AA282" s="369" t="str">
        <f ca="1">IF($B282&lt;&gt;"PRC_RESID","",IF(AA$7=2005+OFFSET(COM_N_2012!$B$60,$AW282,SUMIF($B$10:$B$16,"NCAP_TLIFE",$AX$10:$AX$16)),0,""))</f>
        <v/>
      </c>
      <c r="AB282" s="369" t="str">
        <f ca="1">IF($B282&lt;&gt;"PRC_RESID","",IF(AB$7=2005+OFFSET(COM_N_2012!$B$60,$AW282,SUMIF($B$10:$B$16,"NCAP_TLIFE",$AX$10:$AX$16)),0,""))</f>
        <v/>
      </c>
      <c r="AC282" s="369" t="str">
        <f ca="1">IF($B282&lt;&gt;"PRC_RESID","",IF(AC$7=2005+OFFSET(COM_N_2012!$B$60,$AW282,SUMIF($B$10:$B$16,"NCAP_TLIFE",$AX$10:$AX$16)),0,""))</f>
        <v/>
      </c>
      <c r="AD282" s="369" t="str">
        <f ca="1">IF($B282&lt;&gt;"PRC_RESID","",IF(AD$7=2005+OFFSET(COM_N_2012!$B$60,$AW282,SUMIF($B$10:$B$16,"NCAP_TLIFE",$AX$10:$AX$16)),0,""))</f>
        <v/>
      </c>
      <c r="AE282" s="369" t="str">
        <f ca="1">IF($B282&lt;&gt;"PRC_RESID","",IF(AE$7=2005+OFFSET(COM_N_2012!$B$60,$AW282,SUMIF($B$10:$B$16,"NCAP_TLIFE",$AX$10:$AX$16)),0,""))</f>
        <v/>
      </c>
      <c r="AF282" s="369" t="str">
        <f ca="1">IF($B282&lt;&gt;"PRC_RESID","",IF(AF$7=2005+OFFSET(COM_N_2012!$B$60,$AW282,SUMIF($B$10:$B$16,"NCAP_TLIFE",$AX$10:$AX$16)),0,""))</f>
        <v/>
      </c>
      <c r="AG282" s="369" t="str">
        <f ca="1">IF($B282&lt;&gt;"PRC_RESID","",IF(AG$7=2005+OFFSET(COM_N_2012!$B$60,$AW282,SUMIF($B$10:$B$16,"NCAP_TLIFE",$AX$10:$AX$16)),0,""))</f>
        <v/>
      </c>
      <c r="AH282" s="369" t="str">
        <f ca="1">IF($B282&lt;&gt;"PRC_RESID","",IF(AH$7=2005+OFFSET(COM_N_2012!$B$60,$AW282,SUMIF($B$10:$B$16,"NCAP_TLIFE",$AX$10:$AX$16)),0,""))</f>
        <v/>
      </c>
      <c r="AI282" s="369" t="str">
        <f ca="1">IF($B282&lt;&gt;"PRC_RESID","",IF(AI$7=2005+OFFSET(COM_N_2012!$B$60,$AW282,SUMIF($B$10:$B$16,"NCAP_TLIFE",$AX$10:$AX$16)),0,""))</f>
        <v/>
      </c>
      <c r="AJ282" s="369" t="str">
        <f ca="1">IF($B282&lt;&gt;"PRC_RESID","",IF(AJ$7=2005+OFFSET(COM_N_2012!$B$60,$AW282,SUMIF($B$10:$B$16,"NCAP_TLIFE",$AX$10:$AX$16)),0,""))</f>
        <v/>
      </c>
      <c r="AK282" s="369" t="str">
        <f ca="1">IF($B282&lt;&gt;"PRC_RESID","",IF(AK$7=2005+OFFSET(COM_N_2012!$B$60,$AW282,SUMIF($B$10:$B$16,"NCAP_TLIFE",$AX$10:$AX$16)),0,""))</f>
        <v/>
      </c>
      <c r="AL282" s="369" t="str">
        <f ca="1">IF($B282&lt;&gt;"PRC_RESID","",IF(AL$7=2005+OFFSET(COM_N_2012!$B$60,$AW282,SUMIF($B$10:$B$16,"NCAP_TLIFE",$AX$10:$AX$16)),0,""))</f>
        <v/>
      </c>
      <c r="AM282" s="369" t="str">
        <f ca="1">IF($B282&lt;&gt;"PRC_RESID","",IF(AM$7=2005+OFFSET(COM_N_2012!$B$60,$AW282,SUMIF($B$10:$B$16,"NCAP_TLIFE",$AX$10:$AX$16)),0,""))</f>
        <v/>
      </c>
      <c r="AN282" s="369" t="str">
        <f ca="1">IF($B282&lt;&gt;"PRC_RESID","",IF(AN$7=2005+OFFSET(COM_N_2012!$B$60,$AW282,SUMIF($B$10:$B$16,"NCAP_TLIFE",$AX$10:$AX$16)),0,""))</f>
        <v/>
      </c>
      <c r="AO282" s="369" t="str">
        <f ca="1">IF($B282&lt;&gt;"PRC_RESID","",IF(AO$7=2005+OFFSET(COM_N_2012!$B$60,$AW282,SUMIF($B$10:$B$16,"NCAP_TLIFE",$AX$10:$AX$16)),0,""))</f>
        <v/>
      </c>
      <c r="AP282" s="369" t="str">
        <f ca="1">IF($B282&lt;&gt;"PRC_RESID","",IF(AP$7=2005+OFFSET(COM_N_2012!$B$60,$AW282,SUMIF($B$10:$B$16,"NCAP_TLIFE",$AX$10:$AX$16)),0,""))</f>
        <v/>
      </c>
      <c r="AQ282" s="369" t="str">
        <f ca="1">IF($B282&lt;&gt;"PRC_RESID","",IF(AQ$7=2005+OFFSET(COM_N_2012!$B$60,$AW282,SUMIF($B$10:$B$16,"NCAP_TLIFE",$AX$10:$AX$16)),0,""))</f>
        <v/>
      </c>
      <c r="AR282" s="369" t="str">
        <f ca="1">IF($B282&lt;&gt;"PRC_RESID","",IF(AR$7=2005+OFFSET(COM_N_2012!$B$60,$AW282,SUMIF($B$10:$B$16,"NCAP_TLIFE",$AX$10:$AX$16)),0,""))</f>
        <v/>
      </c>
      <c r="AS282" s="369" t="str">
        <f ca="1">IF($B282&lt;&gt;"PRC_RESID","",IF(AS$7=2005+OFFSET(COM_N_2012!$B$60,$AW282,SUMIF($B$10:$B$16,"NCAP_TLIFE",$AX$10:$AX$16)),0,""))</f>
        <v/>
      </c>
      <c r="AT282" s="369" t="str">
        <f ca="1">IF($B282&lt;&gt;"PRC_RESID","",IF(AT$7=2005+OFFSET(COM_N_2012!$B$60,$AW282,SUMIF($B$10:$B$16,"NCAP_TLIFE",$AX$10:$AX$16)),0,""))</f>
        <v/>
      </c>
      <c r="AU282" s="369" t="str">
        <f ca="1">IF($B282&lt;&gt;"PRC_RESID","",IF(AU$7=2005+OFFSET(COM_N_2012!$B$60,$AW282,SUMIF($B$10:$B$16,"NCAP_TLIFE",$AX$10:$AX$16)),0,""))</f>
        <v/>
      </c>
      <c r="AV282" s="304">
        <f>IF(AW281=COM_N_2012!$AK$121,AV281+1,AV281)</f>
        <v>5</v>
      </c>
      <c r="AW282" s="304">
        <f t="shared" si="37"/>
        <v>21</v>
      </c>
    </row>
    <row r="283" spans="1:49">
      <c r="A283" s="304" t="str">
        <f ca="1">IF(LEFT(OFFSET(COM_N_2012!$A$60,AW283,0),2)="\I","*","")</f>
        <v/>
      </c>
      <c r="B283" s="369" t="str">
        <f t="shared" ca="1" si="36"/>
        <v>NCAP_FOM</v>
      </c>
      <c r="C283" s="369" t="str">
        <f ca="1">IF($A283="*","",OFFSET(COM_N_2012!$B$60,AW283,0))</f>
        <v>CNLELCFLU-E</v>
      </c>
      <c r="D283" s="369" t="str">
        <f t="shared" ca="1" si="38"/>
        <v>-</v>
      </c>
      <c r="E283" s="369" t="str">
        <f t="shared" ca="1" si="38"/>
        <v>-</v>
      </c>
      <c r="F283" s="369" t="str">
        <f t="shared" ca="1" si="38"/>
        <v>-</v>
      </c>
      <c r="G283" s="369" t="str">
        <f t="shared" ca="1" si="38"/>
        <v>-</v>
      </c>
      <c r="H283" s="369" t="str">
        <f t="shared" ca="1" si="38"/>
        <v>-</v>
      </c>
      <c r="I283" s="370">
        <f t="shared" ca="1" si="38"/>
        <v>0</v>
      </c>
      <c r="J283" s="391">
        <f ca="1">IF($A283="*","",OFFSET(COM_N_2012!$B$60,AW283,SUMIF($B$10:$B$16,B283,$AX$10:$AX$16)))</f>
        <v>0.210204059893464</v>
      </c>
      <c r="K283" s="369" t="str">
        <f ca="1">IF($B283&lt;&gt;"PRC_RESID","",IF(K$7=2005+OFFSET(COM_N_2012!$B$60,$AW283,SUMIF($B$10:$B$16,"NCAP_TLIFE",$AX$10:$AX$16)),0,""))</f>
        <v/>
      </c>
      <c r="L283" s="369" t="str">
        <f ca="1">IF($B283&lt;&gt;"PRC_RESID","",IF(L$7=2005+OFFSET(COM_N_2012!$B$60,$AW283,SUMIF($B$10:$B$16,"NCAP_TLIFE",$AX$10:$AX$16)),0,""))</f>
        <v/>
      </c>
      <c r="M283" s="369" t="str">
        <f ca="1">IF($B283&lt;&gt;"PRC_RESID","",IF(M$7=2005+OFFSET(COM_N_2012!$B$60,$AW283,SUMIF($B$10:$B$16,"NCAP_TLIFE",$AX$10:$AX$16)),0,""))</f>
        <v/>
      </c>
      <c r="N283" s="369" t="str">
        <f ca="1">IF($B283&lt;&gt;"PRC_RESID","",IF(N$7=2005+OFFSET(COM_N_2012!$B$60,$AW283,SUMIF($B$10:$B$16,"NCAP_TLIFE",$AX$10:$AX$16)),0,""))</f>
        <v/>
      </c>
      <c r="O283" s="369" t="str">
        <f ca="1">IF($B283&lt;&gt;"PRC_RESID","",IF(O$7=2005+OFFSET(COM_N_2012!$B$60,$AW283,SUMIF($B$10:$B$16,"NCAP_TLIFE",$AX$10:$AX$16)),0,""))</f>
        <v/>
      </c>
      <c r="P283" s="369" t="str">
        <f ca="1">IF($B283&lt;&gt;"PRC_RESID","",IF(P$7=2005+OFFSET(COM_N_2012!$B$60,$AW283,SUMIF($B$10:$B$16,"NCAP_TLIFE",$AX$10:$AX$16)),0,""))</f>
        <v/>
      </c>
      <c r="Q283" s="369" t="str">
        <f ca="1">IF($B283&lt;&gt;"PRC_RESID","",IF(Q$7=2005+OFFSET(COM_N_2012!$B$60,$AW283,SUMIF($B$10:$B$16,"NCAP_TLIFE",$AX$10:$AX$16)),0,""))</f>
        <v/>
      </c>
      <c r="R283" s="369" t="str">
        <f ca="1">IF($B283&lt;&gt;"PRC_RESID","",IF(R$7=2005+OFFSET(COM_N_2012!$B$60,$AW283,SUMIF($B$10:$B$16,"NCAP_TLIFE",$AX$10:$AX$16)),0,""))</f>
        <v/>
      </c>
      <c r="S283" s="369" t="str">
        <f ca="1">IF($B283&lt;&gt;"PRC_RESID","",IF(S$7=2005+OFFSET(COM_N_2012!$B$60,$AW283,SUMIF($B$10:$B$16,"NCAP_TLIFE",$AX$10:$AX$16)),0,""))</f>
        <v/>
      </c>
      <c r="T283" s="369" t="str">
        <f ca="1">IF($B283&lt;&gt;"PRC_RESID","",IF(T$7=2005+OFFSET(COM_N_2012!$B$60,$AW283,SUMIF($B$10:$B$16,"NCAP_TLIFE",$AX$10:$AX$16)),0,""))</f>
        <v/>
      </c>
      <c r="U283" s="369" t="str">
        <f ca="1">IF($B283&lt;&gt;"PRC_RESID","",IF(U$7=2005+OFFSET(COM_N_2012!$B$60,$AW283,SUMIF($B$10:$B$16,"NCAP_TLIFE",$AX$10:$AX$16)),0,""))</f>
        <v/>
      </c>
      <c r="V283" s="369" t="str">
        <f ca="1">IF($B283&lt;&gt;"PRC_RESID","",IF(V$7=2005+OFFSET(COM_N_2012!$B$60,$AW283,SUMIF($B$10:$B$16,"NCAP_TLIFE",$AX$10:$AX$16)),0,""))</f>
        <v/>
      </c>
      <c r="W283" s="369" t="str">
        <f ca="1">IF($B283&lt;&gt;"PRC_RESID","",IF(W$7=2005+OFFSET(COM_N_2012!$B$60,$AW283,SUMIF($B$10:$B$16,"NCAP_TLIFE",$AX$10:$AX$16)),0,""))</f>
        <v/>
      </c>
      <c r="X283" s="369" t="str">
        <f ca="1">IF($B283&lt;&gt;"PRC_RESID","",IF(X$7=2005+OFFSET(COM_N_2012!$B$60,$AW283,SUMIF($B$10:$B$16,"NCAP_TLIFE",$AX$10:$AX$16)),0,""))</f>
        <v/>
      </c>
      <c r="Y283" s="369" t="str">
        <f ca="1">IF($B283&lt;&gt;"PRC_RESID","",IF(Y$7=2005+OFFSET(COM_N_2012!$B$60,$AW283,SUMIF($B$10:$B$16,"NCAP_TLIFE",$AX$10:$AX$16)),0,""))</f>
        <v/>
      </c>
      <c r="Z283" s="369" t="str">
        <f ca="1">IF($B283&lt;&gt;"PRC_RESID","",IF(Z$7=2005+OFFSET(COM_N_2012!$B$60,$AW283,SUMIF($B$10:$B$16,"NCAP_TLIFE",$AX$10:$AX$16)),0,""))</f>
        <v/>
      </c>
      <c r="AA283" s="369" t="str">
        <f ca="1">IF($B283&lt;&gt;"PRC_RESID","",IF(AA$7=2005+OFFSET(COM_N_2012!$B$60,$AW283,SUMIF($B$10:$B$16,"NCAP_TLIFE",$AX$10:$AX$16)),0,""))</f>
        <v/>
      </c>
      <c r="AB283" s="369" t="str">
        <f ca="1">IF($B283&lt;&gt;"PRC_RESID","",IF(AB$7=2005+OFFSET(COM_N_2012!$B$60,$AW283,SUMIF($B$10:$B$16,"NCAP_TLIFE",$AX$10:$AX$16)),0,""))</f>
        <v/>
      </c>
      <c r="AC283" s="369" t="str">
        <f ca="1">IF($B283&lt;&gt;"PRC_RESID","",IF(AC$7=2005+OFFSET(COM_N_2012!$B$60,$AW283,SUMIF($B$10:$B$16,"NCAP_TLIFE",$AX$10:$AX$16)),0,""))</f>
        <v/>
      </c>
      <c r="AD283" s="369" t="str">
        <f ca="1">IF($B283&lt;&gt;"PRC_RESID","",IF(AD$7=2005+OFFSET(COM_N_2012!$B$60,$AW283,SUMIF($B$10:$B$16,"NCAP_TLIFE",$AX$10:$AX$16)),0,""))</f>
        <v/>
      </c>
      <c r="AE283" s="369" t="str">
        <f ca="1">IF($B283&lt;&gt;"PRC_RESID","",IF(AE$7=2005+OFFSET(COM_N_2012!$B$60,$AW283,SUMIF($B$10:$B$16,"NCAP_TLIFE",$AX$10:$AX$16)),0,""))</f>
        <v/>
      </c>
      <c r="AF283" s="369" t="str">
        <f ca="1">IF($B283&lt;&gt;"PRC_RESID","",IF(AF$7=2005+OFFSET(COM_N_2012!$B$60,$AW283,SUMIF($B$10:$B$16,"NCAP_TLIFE",$AX$10:$AX$16)),0,""))</f>
        <v/>
      </c>
      <c r="AG283" s="369" t="str">
        <f ca="1">IF($B283&lt;&gt;"PRC_RESID","",IF(AG$7=2005+OFFSET(COM_N_2012!$B$60,$AW283,SUMIF($B$10:$B$16,"NCAP_TLIFE",$AX$10:$AX$16)),0,""))</f>
        <v/>
      </c>
      <c r="AH283" s="369" t="str">
        <f ca="1">IF($B283&lt;&gt;"PRC_RESID","",IF(AH$7=2005+OFFSET(COM_N_2012!$B$60,$AW283,SUMIF($B$10:$B$16,"NCAP_TLIFE",$AX$10:$AX$16)),0,""))</f>
        <v/>
      </c>
      <c r="AI283" s="369" t="str">
        <f ca="1">IF($B283&lt;&gt;"PRC_RESID","",IF(AI$7=2005+OFFSET(COM_N_2012!$B$60,$AW283,SUMIF($B$10:$B$16,"NCAP_TLIFE",$AX$10:$AX$16)),0,""))</f>
        <v/>
      </c>
      <c r="AJ283" s="369" t="str">
        <f ca="1">IF($B283&lt;&gt;"PRC_RESID","",IF(AJ$7=2005+OFFSET(COM_N_2012!$B$60,$AW283,SUMIF($B$10:$B$16,"NCAP_TLIFE",$AX$10:$AX$16)),0,""))</f>
        <v/>
      </c>
      <c r="AK283" s="369" t="str">
        <f ca="1">IF($B283&lt;&gt;"PRC_RESID","",IF(AK$7=2005+OFFSET(COM_N_2012!$B$60,$AW283,SUMIF($B$10:$B$16,"NCAP_TLIFE",$AX$10:$AX$16)),0,""))</f>
        <v/>
      </c>
      <c r="AL283" s="369" t="str">
        <f ca="1">IF($B283&lt;&gt;"PRC_RESID","",IF(AL$7=2005+OFFSET(COM_N_2012!$B$60,$AW283,SUMIF($B$10:$B$16,"NCAP_TLIFE",$AX$10:$AX$16)),0,""))</f>
        <v/>
      </c>
      <c r="AM283" s="369" t="str">
        <f ca="1">IF($B283&lt;&gt;"PRC_RESID","",IF(AM$7=2005+OFFSET(COM_N_2012!$B$60,$AW283,SUMIF($B$10:$B$16,"NCAP_TLIFE",$AX$10:$AX$16)),0,""))</f>
        <v/>
      </c>
      <c r="AN283" s="369" t="str">
        <f ca="1">IF($B283&lt;&gt;"PRC_RESID","",IF(AN$7=2005+OFFSET(COM_N_2012!$B$60,$AW283,SUMIF($B$10:$B$16,"NCAP_TLIFE",$AX$10:$AX$16)),0,""))</f>
        <v/>
      </c>
      <c r="AO283" s="369" t="str">
        <f ca="1">IF($B283&lt;&gt;"PRC_RESID","",IF(AO$7=2005+OFFSET(COM_N_2012!$B$60,$AW283,SUMIF($B$10:$B$16,"NCAP_TLIFE",$AX$10:$AX$16)),0,""))</f>
        <v/>
      </c>
      <c r="AP283" s="369" t="str">
        <f ca="1">IF($B283&lt;&gt;"PRC_RESID","",IF(AP$7=2005+OFFSET(COM_N_2012!$B$60,$AW283,SUMIF($B$10:$B$16,"NCAP_TLIFE",$AX$10:$AX$16)),0,""))</f>
        <v/>
      </c>
      <c r="AQ283" s="369" t="str">
        <f ca="1">IF($B283&lt;&gt;"PRC_RESID","",IF(AQ$7=2005+OFFSET(COM_N_2012!$B$60,$AW283,SUMIF($B$10:$B$16,"NCAP_TLIFE",$AX$10:$AX$16)),0,""))</f>
        <v/>
      </c>
      <c r="AR283" s="369" t="str">
        <f ca="1">IF($B283&lt;&gt;"PRC_RESID","",IF(AR$7=2005+OFFSET(COM_N_2012!$B$60,$AW283,SUMIF($B$10:$B$16,"NCAP_TLIFE",$AX$10:$AX$16)),0,""))</f>
        <v/>
      </c>
      <c r="AS283" s="369" t="str">
        <f ca="1">IF($B283&lt;&gt;"PRC_RESID","",IF(AS$7=2005+OFFSET(COM_N_2012!$B$60,$AW283,SUMIF($B$10:$B$16,"NCAP_TLIFE",$AX$10:$AX$16)),0,""))</f>
        <v/>
      </c>
      <c r="AT283" s="369" t="str">
        <f ca="1">IF($B283&lt;&gt;"PRC_RESID","",IF(AT$7=2005+OFFSET(COM_N_2012!$B$60,$AW283,SUMIF($B$10:$B$16,"NCAP_TLIFE",$AX$10:$AX$16)),0,""))</f>
        <v/>
      </c>
      <c r="AU283" s="369" t="str">
        <f ca="1">IF($B283&lt;&gt;"PRC_RESID","",IF(AU$7=2005+OFFSET(COM_N_2012!$B$60,$AW283,SUMIF($B$10:$B$16,"NCAP_TLIFE",$AX$10:$AX$16)),0,""))</f>
        <v/>
      </c>
      <c r="AV283" s="304">
        <f>IF(AW282=COM_N_2012!$AK$121,AV282+1,AV282)</f>
        <v>5</v>
      </c>
      <c r="AW283" s="304">
        <f t="shared" si="37"/>
        <v>22</v>
      </c>
    </row>
    <row r="284" spans="1:49">
      <c r="A284" s="304" t="str">
        <f ca="1">IF(LEFT(OFFSET(COM_N_2012!$A$60,AW284,0),2)="\I","*","")</f>
        <v/>
      </c>
      <c r="B284" s="369" t="str">
        <f t="shared" ca="1" si="36"/>
        <v>NCAP_FOM</v>
      </c>
      <c r="C284" s="369" t="str">
        <f ca="1">IF($A284="*","",OFFSET(COM_N_2012!$B$60,AW284,0))</f>
        <v>CNLELCHAL-E</v>
      </c>
      <c r="D284" s="369" t="str">
        <f t="shared" ca="1" si="38"/>
        <v>-</v>
      </c>
      <c r="E284" s="369" t="str">
        <f t="shared" ca="1" si="38"/>
        <v>-</v>
      </c>
      <c r="F284" s="369" t="str">
        <f t="shared" ca="1" si="38"/>
        <v>-</v>
      </c>
      <c r="G284" s="369" t="str">
        <f t="shared" ca="1" si="38"/>
        <v>-</v>
      </c>
      <c r="H284" s="369" t="str">
        <f t="shared" ca="1" si="38"/>
        <v>-</v>
      </c>
      <c r="I284" s="370">
        <f t="shared" ca="1" si="38"/>
        <v>0</v>
      </c>
      <c r="J284" s="391">
        <f ca="1">IF($A284="*","",OFFSET(COM_N_2012!$B$60,AW284,SUMIF($B$10:$B$16,B284,$AX$10:$AX$16)))</f>
        <v>7.5829581287827852E-2</v>
      </c>
      <c r="K284" s="369" t="str">
        <f ca="1">IF($B284&lt;&gt;"PRC_RESID","",IF(K$7=2005+OFFSET(COM_N_2012!$B$60,$AW284,SUMIF($B$10:$B$16,"NCAP_TLIFE",$AX$10:$AX$16)),0,""))</f>
        <v/>
      </c>
      <c r="L284" s="369" t="str">
        <f ca="1">IF($B284&lt;&gt;"PRC_RESID","",IF(L$7=2005+OFFSET(COM_N_2012!$B$60,$AW284,SUMIF($B$10:$B$16,"NCAP_TLIFE",$AX$10:$AX$16)),0,""))</f>
        <v/>
      </c>
      <c r="M284" s="369" t="str">
        <f ca="1">IF($B284&lt;&gt;"PRC_RESID","",IF(M$7=2005+OFFSET(COM_N_2012!$B$60,$AW284,SUMIF($B$10:$B$16,"NCAP_TLIFE",$AX$10:$AX$16)),0,""))</f>
        <v/>
      </c>
      <c r="N284" s="369" t="str">
        <f ca="1">IF($B284&lt;&gt;"PRC_RESID","",IF(N$7=2005+OFFSET(COM_N_2012!$B$60,$AW284,SUMIF($B$10:$B$16,"NCAP_TLIFE",$AX$10:$AX$16)),0,""))</f>
        <v/>
      </c>
      <c r="O284" s="369" t="str">
        <f ca="1">IF($B284&lt;&gt;"PRC_RESID","",IF(O$7=2005+OFFSET(COM_N_2012!$B$60,$AW284,SUMIF($B$10:$B$16,"NCAP_TLIFE",$AX$10:$AX$16)),0,""))</f>
        <v/>
      </c>
      <c r="P284" s="369" t="str">
        <f ca="1">IF($B284&lt;&gt;"PRC_RESID","",IF(P$7=2005+OFFSET(COM_N_2012!$B$60,$AW284,SUMIF($B$10:$B$16,"NCAP_TLIFE",$AX$10:$AX$16)),0,""))</f>
        <v/>
      </c>
      <c r="Q284" s="369" t="str">
        <f ca="1">IF($B284&lt;&gt;"PRC_RESID","",IF(Q$7=2005+OFFSET(COM_N_2012!$B$60,$AW284,SUMIF($B$10:$B$16,"NCAP_TLIFE",$AX$10:$AX$16)),0,""))</f>
        <v/>
      </c>
      <c r="R284" s="369" t="str">
        <f ca="1">IF($B284&lt;&gt;"PRC_RESID","",IF(R$7=2005+OFFSET(COM_N_2012!$B$60,$AW284,SUMIF($B$10:$B$16,"NCAP_TLIFE",$AX$10:$AX$16)),0,""))</f>
        <v/>
      </c>
      <c r="S284" s="369" t="str">
        <f ca="1">IF($B284&lt;&gt;"PRC_RESID","",IF(S$7=2005+OFFSET(COM_N_2012!$B$60,$AW284,SUMIF($B$10:$B$16,"NCAP_TLIFE",$AX$10:$AX$16)),0,""))</f>
        <v/>
      </c>
      <c r="T284" s="369" t="str">
        <f ca="1">IF($B284&lt;&gt;"PRC_RESID","",IF(T$7=2005+OFFSET(COM_N_2012!$B$60,$AW284,SUMIF($B$10:$B$16,"NCAP_TLIFE",$AX$10:$AX$16)),0,""))</f>
        <v/>
      </c>
      <c r="U284" s="369" t="str">
        <f ca="1">IF($B284&lt;&gt;"PRC_RESID","",IF(U$7=2005+OFFSET(COM_N_2012!$B$60,$AW284,SUMIF($B$10:$B$16,"NCAP_TLIFE",$AX$10:$AX$16)),0,""))</f>
        <v/>
      </c>
      <c r="V284" s="369" t="str">
        <f ca="1">IF($B284&lt;&gt;"PRC_RESID","",IF(V$7=2005+OFFSET(COM_N_2012!$B$60,$AW284,SUMIF($B$10:$B$16,"NCAP_TLIFE",$AX$10:$AX$16)),0,""))</f>
        <v/>
      </c>
      <c r="W284" s="369" t="str">
        <f ca="1">IF($B284&lt;&gt;"PRC_RESID","",IF(W$7=2005+OFFSET(COM_N_2012!$B$60,$AW284,SUMIF($B$10:$B$16,"NCAP_TLIFE",$AX$10:$AX$16)),0,""))</f>
        <v/>
      </c>
      <c r="X284" s="369" t="str">
        <f ca="1">IF($B284&lt;&gt;"PRC_RESID","",IF(X$7=2005+OFFSET(COM_N_2012!$B$60,$AW284,SUMIF($B$10:$B$16,"NCAP_TLIFE",$AX$10:$AX$16)),0,""))</f>
        <v/>
      </c>
      <c r="Y284" s="369" t="str">
        <f ca="1">IF($B284&lt;&gt;"PRC_RESID","",IF(Y$7=2005+OFFSET(COM_N_2012!$B$60,$AW284,SUMIF($B$10:$B$16,"NCAP_TLIFE",$AX$10:$AX$16)),0,""))</f>
        <v/>
      </c>
      <c r="Z284" s="369" t="str">
        <f ca="1">IF($B284&lt;&gt;"PRC_RESID","",IF(Z$7=2005+OFFSET(COM_N_2012!$B$60,$AW284,SUMIF($B$10:$B$16,"NCAP_TLIFE",$AX$10:$AX$16)),0,""))</f>
        <v/>
      </c>
      <c r="AA284" s="369" t="str">
        <f ca="1">IF($B284&lt;&gt;"PRC_RESID","",IF(AA$7=2005+OFFSET(COM_N_2012!$B$60,$AW284,SUMIF($B$10:$B$16,"NCAP_TLIFE",$AX$10:$AX$16)),0,""))</f>
        <v/>
      </c>
      <c r="AB284" s="369" t="str">
        <f ca="1">IF($B284&lt;&gt;"PRC_RESID","",IF(AB$7=2005+OFFSET(COM_N_2012!$B$60,$AW284,SUMIF($B$10:$B$16,"NCAP_TLIFE",$AX$10:$AX$16)),0,""))</f>
        <v/>
      </c>
      <c r="AC284" s="369" t="str">
        <f ca="1">IF($B284&lt;&gt;"PRC_RESID","",IF(AC$7=2005+OFFSET(COM_N_2012!$B$60,$AW284,SUMIF($B$10:$B$16,"NCAP_TLIFE",$AX$10:$AX$16)),0,""))</f>
        <v/>
      </c>
      <c r="AD284" s="369" t="str">
        <f ca="1">IF($B284&lt;&gt;"PRC_RESID","",IF(AD$7=2005+OFFSET(COM_N_2012!$B$60,$AW284,SUMIF($B$10:$B$16,"NCAP_TLIFE",$AX$10:$AX$16)),0,""))</f>
        <v/>
      </c>
      <c r="AE284" s="369" t="str">
        <f ca="1">IF($B284&lt;&gt;"PRC_RESID","",IF(AE$7=2005+OFFSET(COM_N_2012!$B$60,$AW284,SUMIF($B$10:$B$16,"NCAP_TLIFE",$AX$10:$AX$16)),0,""))</f>
        <v/>
      </c>
      <c r="AF284" s="369" t="str">
        <f ca="1">IF($B284&lt;&gt;"PRC_RESID","",IF(AF$7=2005+OFFSET(COM_N_2012!$B$60,$AW284,SUMIF($B$10:$B$16,"NCAP_TLIFE",$AX$10:$AX$16)),0,""))</f>
        <v/>
      </c>
      <c r="AG284" s="369" t="str">
        <f ca="1">IF($B284&lt;&gt;"PRC_RESID","",IF(AG$7=2005+OFFSET(COM_N_2012!$B$60,$AW284,SUMIF($B$10:$B$16,"NCAP_TLIFE",$AX$10:$AX$16)),0,""))</f>
        <v/>
      </c>
      <c r="AH284" s="369" t="str">
        <f ca="1">IF($B284&lt;&gt;"PRC_RESID","",IF(AH$7=2005+OFFSET(COM_N_2012!$B$60,$AW284,SUMIF($B$10:$B$16,"NCAP_TLIFE",$AX$10:$AX$16)),0,""))</f>
        <v/>
      </c>
      <c r="AI284" s="369" t="str">
        <f ca="1">IF($B284&lt;&gt;"PRC_RESID","",IF(AI$7=2005+OFFSET(COM_N_2012!$B$60,$AW284,SUMIF($B$10:$B$16,"NCAP_TLIFE",$AX$10:$AX$16)),0,""))</f>
        <v/>
      </c>
      <c r="AJ284" s="369" t="str">
        <f ca="1">IF($B284&lt;&gt;"PRC_RESID","",IF(AJ$7=2005+OFFSET(COM_N_2012!$B$60,$AW284,SUMIF($B$10:$B$16,"NCAP_TLIFE",$AX$10:$AX$16)),0,""))</f>
        <v/>
      </c>
      <c r="AK284" s="369" t="str">
        <f ca="1">IF($B284&lt;&gt;"PRC_RESID","",IF(AK$7=2005+OFFSET(COM_N_2012!$B$60,$AW284,SUMIF($B$10:$B$16,"NCAP_TLIFE",$AX$10:$AX$16)),0,""))</f>
        <v/>
      </c>
      <c r="AL284" s="369" t="str">
        <f ca="1">IF($B284&lt;&gt;"PRC_RESID","",IF(AL$7=2005+OFFSET(COM_N_2012!$B$60,$AW284,SUMIF($B$10:$B$16,"NCAP_TLIFE",$AX$10:$AX$16)),0,""))</f>
        <v/>
      </c>
      <c r="AM284" s="369" t="str">
        <f ca="1">IF($B284&lt;&gt;"PRC_RESID","",IF(AM$7=2005+OFFSET(COM_N_2012!$B$60,$AW284,SUMIF($B$10:$B$16,"NCAP_TLIFE",$AX$10:$AX$16)),0,""))</f>
        <v/>
      </c>
      <c r="AN284" s="369" t="str">
        <f ca="1">IF($B284&lt;&gt;"PRC_RESID","",IF(AN$7=2005+OFFSET(COM_N_2012!$B$60,$AW284,SUMIF($B$10:$B$16,"NCAP_TLIFE",$AX$10:$AX$16)),0,""))</f>
        <v/>
      </c>
      <c r="AO284" s="369" t="str">
        <f ca="1">IF($B284&lt;&gt;"PRC_RESID","",IF(AO$7=2005+OFFSET(COM_N_2012!$B$60,$AW284,SUMIF($B$10:$B$16,"NCAP_TLIFE",$AX$10:$AX$16)),0,""))</f>
        <v/>
      </c>
      <c r="AP284" s="369" t="str">
        <f ca="1">IF($B284&lt;&gt;"PRC_RESID","",IF(AP$7=2005+OFFSET(COM_N_2012!$B$60,$AW284,SUMIF($B$10:$B$16,"NCAP_TLIFE",$AX$10:$AX$16)),0,""))</f>
        <v/>
      </c>
      <c r="AQ284" s="369" t="str">
        <f ca="1">IF($B284&lt;&gt;"PRC_RESID","",IF(AQ$7=2005+OFFSET(COM_N_2012!$B$60,$AW284,SUMIF($B$10:$B$16,"NCAP_TLIFE",$AX$10:$AX$16)),0,""))</f>
        <v/>
      </c>
      <c r="AR284" s="369" t="str">
        <f ca="1">IF($B284&lt;&gt;"PRC_RESID","",IF(AR$7=2005+OFFSET(COM_N_2012!$B$60,$AW284,SUMIF($B$10:$B$16,"NCAP_TLIFE",$AX$10:$AX$16)),0,""))</f>
        <v/>
      </c>
      <c r="AS284" s="369" t="str">
        <f ca="1">IF($B284&lt;&gt;"PRC_RESID","",IF(AS$7=2005+OFFSET(COM_N_2012!$B$60,$AW284,SUMIF($B$10:$B$16,"NCAP_TLIFE",$AX$10:$AX$16)),0,""))</f>
        <v/>
      </c>
      <c r="AT284" s="369" t="str">
        <f ca="1">IF($B284&lt;&gt;"PRC_RESID","",IF(AT$7=2005+OFFSET(COM_N_2012!$B$60,$AW284,SUMIF($B$10:$B$16,"NCAP_TLIFE",$AX$10:$AX$16)),0,""))</f>
        <v/>
      </c>
      <c r="AU284" s="369" t="str">
        <f ca="1">IF($B284&lt;&gt;"PRC_RESID","",IF(AU$7=2005+OFFSET(COM_N_2012!$B$60,$AW284,SUMIF($B$10:$B$16,"NCAP_TLIFE",$AX$10:$AX$16)),0,""))</f>
        <v/>
      </c>
      <c r="AV284" s="304">
        <f>IF(AW283=COM_N_2012!$AK$121,AV283+1,AV283)</f>
        <v>5</v>
      </c>
      <c r="AW284" s="304">
        <f t="shared" si="37"/>
        <v>23</v>
      </c>
    </row>
    <row r="285" spans="1:49">
      <c r="A285" s="304" t="str">
        <f ca="1">IF(LEFT(OFFSET(COM_N_2012!$A$60,AW285,0),2)="\I","*","")</f>
        <v/>
      </c>
      <c r="B285" s="369" t="str">
        <f t="shared" ca="1" si="36"/>
        <v>NCAP_FOM</v>
      </c>
      <c r="C285" s="369" t="str">
        <f ca="1">IF($A285="*","",OFFSET(COM_N_2012!$B$60,AW285,0))</f>
        <v>CNLELCHID-E</v>
      </c>
      <c r="D285" s="369" t="str">
        <f t="shared" ca="1" si="38"/>
        <v>-</v>
      </c>
      <c r="E285" s="369" t="str">
        <f t="shared" ca="1" si="38"/>
        <v>-</v>
      </c>
      <c r="F285" s="369" t="str">
        <f t="shared" ca="1" si="38"/>
        <v>-</v>
      </c>
      <c r="G285" s="369" t="str">
        <f t="shared" ca="1" si="38"/>
        <v>-</v>
      </c>
      <c r="H285" s="369" t="str">
        <f t="shared" ca="1" si="38"/>
        <v>-</v>
      </c>
      <c r="I285" s="370">
        <f t="shared" ca="1" si="38"/>
        <v>0</v>
      </c>
      <c r="J285" s="391">
        <f ca="1">IF($A285="*","",OFFSET(COM_N_2012!$B$60,AW285,SUMIF($B$10:$B$16,B285,$AX$10:$AX$16)))</f>
        <v>3.0666374785518619E-2</v>
      </c>
      <c r="K285" s="369" t="str">
        <f ca="1">IF($B285&lt;&gt;"PRC_RESID","",IF(K$7=2005+OFFSET(COM_N_2012!$B$60,$AW285,SUMIF($B$10:$B$16,"NCAP_TLIFE",$AX$10:$AX$16)),0,""))</f>
        <v/>
      </c>
      <c r="L285" s="369" t="str">
        <f ca="1">IF($B285&lt;&gt;"PRC_RESID","",IF(L$7=2005+OFFSET(COM_N_2012!$B$60,$AW285,SUMIF($B$10:$B$16,"NCAP_TLIFE",$AX$10:$AX$16)),0,""))</f>
        <v/>
      </c>
      <c r="M285" s="369" t="str">
        <f ca="1">IF($B285&lt;&gt;"PRC_RESID","",IF(M$7=2005+OFFSET(COM_N_2012!$B$60,$AW285,SUMIF($B$10:$B$16,"NCAP_TLIFE",$AX$10:$AX$16)),0,""))</f>
        <v/>
      </c>
      <c r="N285" s="369" t="str">
        <f ca="1">IF($B285&lt;&gt;"PRC_RESID","",IF(N$7=2005+OFFSET(COM_N_2012!$B$60,$AW285,SUMIF($B$10:$B$16,"NCAP_TLIFE",$AX$10:$AX$16)),0,""))</f>
        <v/>
      </c>
      <c r="O285" s="369" t="str">
        <f ca="1">IF($B285&lt;&gt;"PRC_RESID","",IF(O$7=2005+OFFSET(COM_N_2012!$B$60,$AW285,SUMIF($B$10:$B$16,"NCAP_TLIFE",$AX$10:$AX$16)),0,""))</f>
        <v/>
      </c>
      <c r="P285" s="369" t="str">
        <f ca="1">IF($B285&lt;&gt;"PRC_RESID","",IF(P$7=2005+OFFSET(COM_N_2012!$B$60,$AW285,SUMIF($B$10:$B$16,"NCAP_TLIFE",$AX$10:$AX$16)),0,""))</f>
        <v/>
      </c>
      <c r="Q285" s="369" t="str">
        <f ca="1">IF($B285&lt;&gt;"PRC_RESID","",IF(Q$7=2005+OFFSET(COM_N_2012!$B$60,$AW285,SUMIF($B$10:$B$16,"NCAP_TLIFE",$AX$10:$AX$16)),0,""))</f>
        <v/>
      </c>
      <c r="R285" s="369" t="str">
        <f ca="1">IF($B285&lt;&gt;"PRC_RESID","",IF(R$7=2005+OFFSET(COM_N_2012!$B$60,$AW285,SUMIF($B$10:$B$16,"NCAP_TLIFE",$AX$10:$AX$16)),0,""))</f>
        <v/>
      </c>
      <c r="S285" s="369" t="str">
        <f ca="1">IF($B285&lt;&gt;"PRC_RESID","",IF(S$7=2005+OFFSET(COM_N_2012!$B$60,$AW285,SUMIF($B$10:$B$16,"NCAP_TLIFE",$AX$10:$AX$16)),0,""))</f>
        <v/>
      </c>
      <c r="T285" s="369" t="str">
        <f ca="1">IF($B285&lt;&gt;"PRC_RESID","",IF(T$7=2005+OFFSET(COM_N_2012!$B$60,$AW285,SUMIF($B$10:$B$16,"NCAP_TLIFE",$AX$10:$AX$16)),0,""))</f>
        <v/>
      </c>
      <c r="U285" s="369" t="str">
        <f ca="1">IF($B285&lt;&gt;"PRC_RESID","",IF(U$7=2005+OFFSET(COM_N_2012!$B$60,$AW285,SUMIF($B$10:$B$16,"NCAP_TLIFE",$AX$10:$AX$16)),0,""))</f>
        <v/>
      </c>
      <c r="V285" s="369" t="str">
        <f ca="1">IF($B285&lt;&gt;"PRC_RESID","",IF(V$7=2005+OFFSET(COM_N_2012!$B$60,$AW285,SUMIF($B$10:$B$16,"NCAP_TLIFE",$AX$10:$AX$16)),0,""))</f>
        <v/>
      </c>
      <c r="W285" s="369" t="str">
        <f ca="1">IF($B285&lt;&gt;"PRC_RESID","",IF(W$7=2005+OFFSET(COM_N_2012!$B$60,$AW285,SUMIF($B$10:$B$16,"NCAP_TLIFE",$AX$10:$AX$16)),0,""))</f>
        <v/>
      </c>
      <c r="X285" s="369" t="str">
        <f ca="1">IF($B285&lt;&gt;"PRC_RESID","",IF(X$7=2005+OFFSET(COM_N_2012!$B$60,$AW285,SUMIF($B$10:$B$16,"NCAP_TLIFE",$AX$10:$AX$16)),0,""))</f>
        <v/>
      </c>
      <c r="Y285" s="369" t="str">
        <f ca="1">IF($B285&lt;&gt;"PRC_RESID","",IF(Y$7=2005+OFFSET(COM_N_2012!$B$60,$AW285,SUMIF($B$10:$B$16,"NCAP_TLIFE",$AX$10:$AX$16)),0,""))</f>
        <v/>
      </c>
      <c r="Z285" s="369" t="str">
        <f ca="1">IF($B285&lt;&gt;"PRC_RESID","",IF(Z$7=2005+OFFSET(COM_N_2012!$B$60,$AW285,SUMIF($B$10:$B$16,"NCAP_TLIFE",$AX$10:$AX$16)),0,""))</f>
        <v/>
      </c>
      <c r="AA285" s="369" t="str">
        <f ca="1">IF($B285&lt;&gt;"PRC_RESID","",IF(AA$7=2005+OFFSET(COM_N_2012!$B$60,$AW285,SUMIF($B$10:$B$16,"NCAP_TLIFE",$AX$10:$AX$16)),0,""))</f>
        <v/>
      </c>
      <c r="AB285" s="369" t="str">
        <f ca="1">IF($B285&lt;&gt;"PRC_RESID","",IF(AB$7=2005+OFFSET(COM_N_2012!$B$60,$AW285,SUMIF($B$10:$B$16,"NCAP_TLIFE",$AX$10:$AX$16)),0,""))</f>
        <v/>
      </c>
      <c r="AC285" s="369" t="str">
        <f ca="1">IF($B285&lt;&gt;"PRC_RESID","",IF(AC$7=2005+OFFSET(COM_N_2012!$B$60,$AW285,SUMIF($B$10:$B$16,"NCAP_TLIFE",$AX$10:$AX$16)),0,""))</f>
        <v/>
      </c>
      <c r="AD285" s="369" t="str">
        <f ca="1">IF($B285&lt;&gt;"PRC_RESID","",IF(AD$7=2005+OFFSET(COM_N_2012!$B$60,$AW285,SUMIF($B$10:$B$16,"NCAP_TLIFE",$AX$10:$AX$16)),0,""))</f>
        <v/>
      </c>
      <c r="AE285" s="369" t="str">
        <f ca="1">IF($B285&lt;&gt;"PRC_RESID","",IF(AE$7=2005+OFFSET(COM_N_2012!$B$60,$AW285,SUMIF($B$10:$B$16,"NCAP_TLIFE",$AX$10:$AX$16)),0,""))</f>
        <v/>
      </c>
      <c r="AF285" s="369" t="str">
        <f ca="1">IF($B285&lt;&gt;"PRC_RESID","",IF(AF$7=2005+OFFSET(COM_N_2012!$B$60,$AW285,SUMIF($B$10:$B$16,"NCAP_TLIFE",$AX$10:$AX$16)),0,""))</f>
        <v/>
      </c>
      <c r="AG285" s="369" t="str">
        <f ca="1">IF($B285&lt;&gt;"PRC_RESID","",IF(AG$7=2005+OFFSET(COM_N_2012!$B$60,$AW285,SUMIF($B$10:$B$16,"NCAP_TLIFE",$AX$10:$AX$16)),0,""))</f>
        <v/>
      </c>
      <c r="AH285" s="369" t="str">
        <f ca="1">IF($B285&lt;&gt;"PRC_RESID","",IF(AH$7=2005+OFFSET(COM_N_2012!$B$60,$AW285,SUMIF($B$10:$B$16,"NCAP_TLIFE",$AX$10:$AX$16)),0,""))</f>
        <v/>
      </c>
      <c r="AI285" s="369" t="str">
        <f ca="1">IF($B285&lt;&gt;"PRC_RESID","",IF(AI$7=2005+OFFSET(COM_N_2012!$B$60,$AW285,SUMIF($B$10:$B$16,"NCAP_TLIFE",$AX$10:$AX$16)),0,""))</f>
        <v/>
      </c>
      <c r="AJ285" s="369" t="str">
        <f ca="1">IF($B285&lt;&gt;"PRC_RESID","",IF(AJ$7=2005+OFFSET(COM_N_2012!$B$60,$AW285,SUMIF($B$10:$B$16,"NCAP_TLIFE",$AX$10:$AX$16)),0,""))</f>
        <v/>
      </c>
      <c r="AK285" s="369" t="str">
        <f ca="1">IF($B285&lt;&gt;"PRC_RESID","",IF(AK$7=2005+OFFSET(COM_N_2012!$B$60,$AW285,SUMIF($B$10:$B$16,"NCAP_TLIFE",$AX$10:$AX$16)),0,""))</f>
        <v/>
      </c>
      <c r="AL285" s="369" t="str">
        <f ca="1">IF($B285&lt;&gt;"PRC_RESID","",IF(AL$7=2005+OFFSET(COM_N_2012!$B$60,$AW285,SUMIF($B$10:$B$16,"NCAP_TLIFE",$AX$10:$AX$16)),0,""))</f>
        <v/>
      </c>
      <c r="AM285" s="369" t="str">
        <f ca="1">IF($B285&lt;&gt;"PRC_RESID","",IF(AM$7=2005+OFFSET(COM_N_2012!$B$60,$AW285,SUMIF($B$10:$B$16,"NCAP_TLIFE",$AX$10:$AX$16)),0,""))</f>
        <v/>
      </c>
      <c r="AN285" s="369" t="str">
        <f ca="1">IF($B285&lt;&gt;"PRC_RESID","",IF(AN$7=2005+OFFSET(COM_N_2012!$B$60,$AW285,SUMIF($B$10:$B$16,"NCAP_TLIFE",$AX$10:$AX$16)),0,""))</f>
        <v/>
      </c>
      <c r="AO285" s="369" t="str">
        <f ca="1">IF($B285&lt;&gt;"PRC_RESID","",IF(AO$7=2005+OFFSET(COM_N_2012!$B$60,$AW285,SUMIF($B$10:$B$16,"NCAP_TLIFE",$AX$10:$AX$16)),0,""))</f>
        <v/>
      </c>
      <c r="AP285" s="369" t="str">
        <f ca="1">IF($B285&lt;&gt;"PRC_RESID","",IF(AP$7=2005+OFFSET(COM_N_2012!$B$60,$AW285,SUMIF($B$10:$B$16,"NCAP_TLIFE",$AX$10:$AX$16)),0,""))</f>
        <v/>
      </c>
      <c r="AQ285" s="369" t="str">
        <f ca="1">IF($B285&lt;&gt;"PRC_RESID","",IF(AQ$7=2005+OFFSET(COM_N_2012!$B$60,$AW285,SUMIF($B$10:$B$16,"NCAP_TLIFE",$AX$10:$AX$16)),0,""))</f>
        <v/>
      </c>
      <c r="AR285" s="369" t="str">
        <f ca="1">IF($B285&lt;&gt;"PRC_RESID","",IF(AR$7=2005+OFFSET(COM_N_2012!$B$60,$AW285,SUMIF($B$10:$B$16,"NCAP_TLIFE",$AX$10:$AX$16)),0,""))</f>
        <v/>
      </c>
      <c r="AS285" s="369" t="str">
        <f ca="1">IF($B285&lt;&gt;"PRC_RESID","",IF(AS$7=2005+OFFSET(COM_N_2012!$B$60,$AW285,SUMIF($B$10:$B$16,"NCAP_TLIFE",$AX$10:$AX$16)),0,""))</f>
        <v/>
      </c>
      <c r="AT285" s="369" t="str">
        <f ca="1">IF($B285&lt;&gt;"PRC_RESID","",IF(AT$7=2005+OFFSET(COM_N_2012!$B$60,$AW285,SUMIF($B$10:$B$16,"NCAP_TLIFE",$AX$10:$AX$16)),0,""))</f>
        <v/>
      </c>
      <c r="AU285" s="369" t="str">
        <f ca="1">IF($B285&lt;&gt;"PRC_RESID","",IF(AU$7=2005+OFFSET(COM_N_2012!$B$60,$AW285,SUMIF($B$10:$B$16,"NCAP_TLIFE",$AX$10:$AX$16)),0,""))</f>
        <v/>
      </c>
      <c r="AV285" s="304">
        <f>IF(AW284=COM_N_2012!$AK$121,AV284+1,AV284)</f>
        <v>5</v>
      </c>
      <c r="AW285" s="304">
        <f t="shared" si="37"/>
        <v>24</v>
      </c>
    </row>
    <row r="286" spans="1:49">
      <c r="A286" s="304" t="str">
        <f ca="1">IF(LEFT(OFFSET(COM_N_2012!$A$60,AW286,0),2)="\I","*","")</f>
        <v/>
      </c>
      <c r="B286" s="369" t="str">
        <f t="shared" ca="1" si="36"/>
        <v>NCAP_FOM</v>
      </c>
      <c r="C286" s="369" t="str">
        <f ca="1">IF($A286="*","",OFFSET(COM_N_2012!$B$60,AW286,0))</f>
        <v>CNLELCINC-E</v>
      </c>
      <c r="D286" s="369" t="str">
        <f t="shared" ca="1" si="38"/>
        <v>-</v>
      </c>
      <c r="E286" s="369" t="str">
        <f t="shared" ca="1" si="38"/>
        <v>-</v>
      </c>
      <c r="F286" s="369" t="str">
        <f t="shared" ca="1" si="38"/>
        <v>-</v>
      </c>
      <c r="G286" s="369" t="str">
        <f t="shared" ca="1" si="38"/>
        <v>-</v>
      </c>
      <c r="H286" s="369" t="str">
        <f t="shared" ca="1" si="38"/>
        <v>-</v>
      </c>
      <c r="I286" s="370">
        <f t="shared" ca="1" si="38"/>
        <v>0</v>
      </c>
      <c r="J286" s="391">
        <f ca="1">IF($A286="*","",OFFSET(COM_N_2012!$B$60,AW286,SUMIF($B$10:$B$16,B286,$AX$10:$AX$16)))</f>
        <v>2.6729589482474083E-2</v>
      </c>
      <c r="K286" s="369" t="str">
        <f ca="1">IF($B286&lt;&gt;"PRC_RESID","",IF(K$7=2005+OFFSET(COM_N_2012!$B$60,$AW286,SUMIF($B$10:$B$16,"NCAP_TLIFE",$AX$10:$AX$16)),0,""))</f>
        <v/>
      </c>
      <c r="L286" s="369" t="str">
        <f ca="1">IF($B286&lt;&gt;"PRC_RESID","",IF(L$7=2005+OFFSET(COM_N_2012!$B$60,$AW286,SUMIF($B$10:$B$16,"NCAP_TLIFE",$AX$10:$AX$16)),0,""))</f>
        <v/>
      </c>
      <c r="M286" s="369" t="str">
        <f ca="1">IF($B286&lt;&gt;"PRC_RESID","",IF(M$7=2005+OFFSET(COM_N_2012!$B$60,$AW286,SUMIF($B$10:$B$16,"NCAP_TLIFE",$AX$10:$AX$16)),0,""))</f>
        <v/>
      </c>
      <c r="N286" s="369" t="str">
        <f ca="1">IF($B286&lt;&gt;"PRC_RESID","",IF(N$7=2005+OFFSET(COM_N_2012!$B$60,$AW286,SUMIF($B$10:$B$16,"NCAP_TLIFE",$AX$10:$AX$16)),0,""))</f>
        <v/>
      </c>
      <c r="O286" s="369" t="str">
        <f ca="1">IF($B286&lt;&gt;"PRC_RESID","",IF(O$7=2005+OFFSET(COM_N_2012!$B$60,$AW286,SUMIF($B$10:$B$16,"NCAP_TLIFE",$AX$10:$AX$16)),0,""))</f>
        <v/>
      </c>
      <c r="P286" s="369" t="str">
        <f ca="1">IF($B286&lt;&gt;"PRC_RESID","",IF(P$7=2005+OFFSET(COM_N_2012!$B$60,$AW286,SUMIF($B$10:$B$16,"NCAP_TLIFE",$AX$10:$AX$16)),0,""))</f>
        <v/>
      </c>
      <c r="Q286" s="369" t="str">
        <f ca="1">IF($B286&lt;&gt;"PRC_RESID","",IF(Q$7=2005+OFFSET(COM_N_2012!$B$60,$AW286,SUMIF($B$10:$B$16,"NCAP_TLIFE",$AX$10:$AX$16)),0,""))</f>
        <v/>
      </c>
      <c r="R286" s="369" t="str">
        <f ca="1">IF($B286&lt;&gt;"PRC_RESID","",IF(R$7=2005+OFFSET(COM_N_2012!$B$60,$AW286,SUMIF($B$10:$B$16,"NCAP_TLIFE",$AX$10:$AX$16)),0,""))</f>
        <v/>
      </c>
      <c r="S286" s="369" t="str">
        <f ca="1">IF($B286&lt;&gt;"PRC_RESID","",IF(S$7=2005+OFFSET(COM_N_2012!$B$60,$AW286,SUMIF($B$10:$B$16,"NCAP_TLIFE",$AX$10:$AX$16)),0,""))</f>
        <v/>
      </c>
      <c r="T286" s="369" t="str">
        <f ca="1">IF($B286&lt;&gt;"PRC_RESID","",IF(T$7=2005+OFFSET(COM_N_2012!$B$60,$AW286,SUMIF($B$10:$B$16,"NCAP_TLIFE",$AX$10:$AX$16)),0,""))</f>
        <v/>
      </c>
      <c r="U286" s="369" t="str">
        <f ca="1">IF($B286&lt;&gt;"PRC_RESID","",IF(U$7=2005+OFFSET(COM_N_2012!$B$60,$AW286,SUMIF($B$10:$B$16,"NCAP_TLIFE",$AX$10:$AX$16)),0,""))</f>
        <v/>
      </c>
      <c r="V286" s="369" t="str">
        <f ca="1">IF($B286&lt;&gt;"PRC_RESID","",IF(V$7=2005+OFFSET(COM_N_2012!$B$60,$AW286,SUMIF($B$10:$B$16,"NCAP_TLIFE",$AX$10:$AX$16)),0,""))</f>
        <v/>
      </c>
      <c r="W286" s="369" t="str">
        <f ca="1">IF($B286&lt;&gt;"PRC_RESID","",IF(W$7=2005+OFFSET(COM_N_2012!$B$60,$AW286,SUMIF($B$10:$B$16,"NCAP_TLIFE",$AX$10:$AX$16)),0,""))</f>
        <v/>
      </c>
      <c r="X286" s="369" t="str">
        <f ca="1">IF($B286&lt;&gt;"PRC_RESID","",IF(X$7=2005+OFFSET(COM_N_2012!$B$60,$AW286,SUMIF($B$10:$B$16,"NCAP_TLIFE",$AX$10:$AX$16)),0,""))</f>
        <v/>
      </c>
      <c r="Y286" s="369" t="str">
        <f ca="1">IF($B286&lt;&gt;"PRC_RESID","",IF(Y$7=2005+OFFSET(COM_N_2012!$B$60,$AW286,SUMIF($B$10:$B$16,"NCAP_TLIFE",$AX$10:$AX$16)),0,""))</f>
        <v/>
      </c>
      <c r="Z286" s="369" t="str">
        <f ca="1">IF($B286&lt;&gt;"PRC_RESID","",IF(Z$7=2005+OFFSET(COM_N_2012!$B$60,$AW286,SUMIF($B$10:$B$16,"NCAP_TLIFE",$AX$10:$AX$16)),0,""))</f>
        <v/>
      </c>
      <c r="AA286" s="369" t="str">
        <f ca="1">IF($B286&lt;&gt;"PRC_RESID","",IF(AA$7=2005+OFFSET(COM_N_2012!$B$60,$AW286,SUMIF($B$10:$B$16,"NCAP_TLIFE",$AX$10:$AX$16)),0,""))</f>
        <v/>
      </c>
      <c r="AB286" s="369" t="str">
        <f ca="1">IF($B286&lt;&gt;"PRC_RESID","",IF(AB$7=2005+OFFSET(COM_N_2012!$B$60,$AW286,SUMIF($B$10:$B$16,"NCAP_TLIFE",$AX$10:$AX$16)),0,""))</f>
        <v/>
      </c>
      <c r="AC286" s="369" t="str">
        <f ca="1">IF($B286&lt;&gt;"PRC_RESID","",IF(AC$7=2005+OFFSET(COM_N_2012!$B$60,$AW286,SUMIF($B$10:$B$16,"NCAP_TLIFE",$AX$10:$AX$16)),0,""))</f>
        <v/>
      </c>
      <c r="AD286" s="369" t="str">
        <f ca="1">IF($B286&lt;&gt;"PRC_RESID","",IF(AD$7=2005+OFFSET(COM_N_2012!$B$60,$AW286,SUMIF($B$10:$B$16,"NCAP_TLIFE",$AX$10:$AX$16)),0,""))</f>
        <v/>
      </c>
      <c r="AE286" s="369" t="str">
        <f ca="1">IF($B286&lt;&gt;"PRC_RESID","",IF(AE$7=2005+OFFSET(COM_N_2012!$B$60,$AW286,SUMIF($B$10:$B$16,"NCAP_TLIFE",$AX$10:$AX$16)),0,""))</f>
        <v/>
      </c>
      <c r="AF286" s="369" t="str">
        <f ca="1">IF($B286&lt;&gt;"PRC_RESID","",IF(AF$7=2005+OFFSET(COM_N_2012!$B$60,$AW286,SUMIF($B$10:$B$16,"NCAP_TLIFE",$AX$10:$AX$16)),0,""))</f>
        <v/>
      </c>
      <c r="AG286" s="369" t="str">
        <f ca="1">IF($B286&lt;&gt;"PRC_RESID","",IF(AG$7=2005+OFFSET(COM_N_2012!$B$60,$AW286,SUMIF($B$10:$B$16,"NCAP_TLIFE",$AX$10:$AX$16)),0,""))</f>
        <v/>
      </c>
      <c r="AH286" s="369" t="str">
        <f ca="1">IF($B286&lt;&gt;"PRC_RESID","",IF(AH$7=2005+OFFSET(COM_N_2012!$B$60,$AW286,SUMIF($B$10:$B$16,"NCAP_TLIFE",$AX$10:$AX$16)),0,""))</f>
        <v/>
      </c>
      <c r="AI286" s="369" t="str">
        <f ca="1">IF($B286&lt;&gt;"PRC_RESID","",IF(AI$7=2005+OFFSET(COM_N_2012!$B$60,$AW286,SUMIF($B$10:$B$16,"NCAP_TLIFE",$AX$10:$AX$16)),0,""))</f>
        <v/>
      </c>
      <c r="AJ286" s="369" t="str">
        <f ca="1">IF($B286&lt;&gt;"PRC_RESID","",IF(AJ$7=2005+OFFSET(COM_N_2012!$B$60,$AW286,SUMIF($B$10:$B$16,"NCAP_TLIFE",$AX$10:$AX$16)),0,""))</f>
        <v/>
      </c>
      <c r="AK286" s="369" t="str">
        <f ca="1">IF($B286&lt;&gt;"PRC_RESID","",IF(AK$7=2005+OFFSET(COM_N_2012!$B$60,$AW286,SUMIF($B$10:$B$16,"NCAP_TLIFE",$AX$10:$AX$16)),0,""))</f>
        <v/>
      </c>
      <c r="AL286" s="369" t="str">
        <f ca="1">IF($B286&lt;&gt;"PRC_RESID","",IF(AL$7=2005+OFFSET(COM_N_2012!$B$60,$AW286,SUMIF($B$10:$B$16,"NCAP_TLIFE",$AX$10:$AX$16)),0,""))</f>
        <v/>
      </c>
      <c r="AM286" s="369" t="str">
        <f ca="1">IF($B286&lt;&gt;"PRC_RESID","",IF(AM$7=2005+OFFSET(COM_N_2012!$B$60,$AW286,SUMIF($B$10:$B$16,"NCAP_TLIFE",$AX$10:$AX$16)),0,""))</f>
        <v/>
      </c>
      <c r="AN286" s="369" t="str">
        <f ca="1">IF($B286&lt;&gt;"PRC_RESID","",IF(AN$7=2005+OFFSET(COM_N_2012!$B$60,$AW286,SUMIF($B$10:$B$16,"NCAP_TLIFE",$AX$10:$AX$16)),0,""))</f>
        <v/>
      </c>
      <c r="AO286" s="369" t="str">
        <f ca="1">IF($B286&lt;&gt;"PRC_RESID","",IF(AO$7=2005+OFFSET(COM_N_2012!$B$60,$AW286,SUMIF($B$10:$B$16,"NCAP_TLIFE",$AX$10:$AX$16)),0,""))</f>
        <v/>
      </c>
      <c r="AP286" s="369" t="str">
        <f ca="1">IF($B286&lt;&gt;"PRC_RESID","",IF(AP$7=2005+OFFSET(COM_N_2012!$B$60,$AW286,SUMIF($B$10:$B$16,"NCAP_TLIFE",$AX$10:$AX$16)),0,""))</f>
        <v/>
      </c>
      <c r="AQ286" s="369" t="str">
        <f ca="1">IF($B286&lt;&gt;"PRC_RESID","",IF(AQ$7=2005+OFFSET(COM_N_2012!$B$60,$AW286,SUMIF($B$10:$B$16,"NCAP_TLIFE",$AX$10:$AX$16)),0,""))</f>
        <v/>
      </c>
      <c r="AR286" s="369" t="str">
        <f ca="1">IF($B286&lt;&gt;"PRC_RESID","",IF(AR$7=2005+OFFSET(COM_N_2012!$B$60,$AW286,SUMIF($B$10:$B$16,"NCAP_TLIFE",$AX$10:$AX$16)),0,""))</f>
        <v/>
      </c>
      <c r="AS286" s="369" t="str">
        <f ca="1">IF($B286&lt;&gt;"PRC_RESID","",IF(AS$7=2005+OFFSET(COM_N_2012!$B$60,$AW286,SUMIF($B$10:$B$16,"NCAP_TLIFE",$AX$10:$AX$16)),0,""))</f>
        <v/>
      </c>
      <c r="AT286" s="369" t="str">
        <f ca="1">IF($B286&lt;&gt;"PRC_RESID","",IF(AT$7=2005+OFFSET(COM_N_2012!$B$60,$AW286,SUMIF($B$10:$B$16,"NCAP_TLIFE",$AX$10:$AX$16)),0,""))</f>
        <v/>
      </c>
      <c r="AU286" s="369" t="str">
        <f ca="1">IF($B286&lt;&gt;"PRC_RESID","",IF(AU$7=2005+OFFSET(COM_N_2012!$B$60,$AW286,SUMIF($B$10:$B$16,"NCAP_TLIFE",$AX$10:$AX$16)),0,""))</f>
        <v/>
      </c>
      <c r="AV286" s="304">
        <f>IF(AW285=COM_N_2012!$AK$121,AV285+1,AV285)</f>
        <v>5</v>
      </c>
      <c r="AW286" s="304">
        <f t="shared" si="37"/>
        <v>25</v>
      </c>
    </row>
    <row r="287" spans="1:49">
      <c r="A287" s="304" t="str">
        <f ca="1">IF(LEFT(OFFSET(COM_N_2012!$A$60,AW287,0),2)="\I","*","")</f>
        <v/>
      </c>
      <c r="B287" s="369" t="str">
        <f t="shared" ca="1" si="36"/>
        <v>NCAP_FOM</v>
      </c>
      <c r="C287" s="369" t="str">
        <f ca="1">IF($A287="*","",OFFSET(COM_N_2012!$B$60,AW287,0))</f>
        <v>CNLELCLED-N</v>
      </c>
      <c r="D287" s="369" t="str">
        <f t="shared" ca="1" si="38"/>
        <v>-</v>
      </c>
      <c r="E287" s="369" t="str">
        <f t="shared" ca="1" si="38"/>
        <v>-</v>
      </c>
      <c r="F287" s="369" t="str">
        <f t="shared" ca="1" si="38"/>
        <v>-</v>
      </c>
      <c r="G287" s="369" t="str">
        <f t="shared" ca="1" si="38"/>
        <v>-</v>
      </c>
      <c r="H287" s="369" t="str">
        <f t="shared" ca="1" si="38"/>
        <v>-</v>
      </c>
      <c r="I287" s="370">
        <f t="shared" ca="1" si="38"/>
        <v>0</v>
      </c>
      <c r="J287" s="391">
        <f ca="1">IF($A287="*","",OFFSET(COM_N_2012!$B$60,AW287,SUMIF($B$10:$B$16,B287,$AX$10:$AX$16)))</f>
        <v>0.49258814903416526</v>
      </c>
      <c r="K287" s="369" t="str">
        <f ca="1">IF($B287&lt;&gt;"PRC_RESID","",IF(K$7=2005+OFFSET(COM_N_2012!$B$60,$AW287,SUMIF($B$10:$B$16,"NCAP_TLIFE",$AX$10:$AX$16)),0,""))</f>
        <v/>
      </c>
      <c r="L287" s="369" t="str">
        <f ca="1">IF($B287&lt;&gt;"PRC_RESID","",IF(L$7=2005+OFFSET(COM_N_2012!$B$60,$AW287,SUMIF($B$10:$B$16,"NCAP_TLIFE",$AX$10:$AX$16)),0,""))</f>
        <v/>
      </c>
      <c r="M287" s="369" t="str">
        <f ca="1">IF($B287&lt;&gt;"PRC_RESID","",IF(M$7=2005+OFFSET(COM_N_2012!$B$60,$AW287,SUMIF($B$10:$B$16,"NCAP_TLIFE",$AX$10:$AX$16)),0,""))</f>
        <v/>
      </c>
      <c r="N287" s="369" t="str">
        <f ca="1">IF($B287&lt;&gt;"PRC_RESID","",IF(N$7=2005+OFFSET(COM_N_2012!$B$60,$AW287,SUMIF($B$10:$B$16,"NCAP_TLIFE",$AX$10:$AX$16)),0,""))</f>
        <v/>
      </c>
      <c r="O287" s="369" t="str">
        <f ca="1">IF($B287&lt;&gt;"PRC_RESID","",IF(O$7=2005+OFFSET(COM_N_2012!$B$60,$AW287,SUMIF($B$10:$B$16,"NCAP_TLIFE",$AX$10:$AX$16)),0,""))</f>
        <v/>
      </c>
      <c r="P287" s="369" t="str">
        <f ca="1">IF($B287&lt;&gt;"PRC_RESID","",IF(P$7=2005+OFFSET(COM_N_2012!$B$60,$AW287,SUMIF($B$10:$B$16,"NCAP_TLIFE",$AX$10:$AX$16)),0,""))</f>
        <v/>
      </c>
      <c r="Q287" s="369" t="str">
        <f ca="1">IF($B287&lt;&gt;"PRC_RESID","",IF(Q$7=2005+OFFSET(COM_N_2012!$B$60,$AW287,SUMIF($B$10:$B$16,"NCAP_TLIFE",$AX$10:$AX$16)),0,""))</f>
        <v/>
      </c>
      <c r="R287" s="369" t="str">
        <f ca="1">IF($B287&lt;&gt;"PRC_RESID","",IF(R$7=2005+OFFSET(COM_N_2012!$B$60,$AW287,SUMIF($B$10:$B$16,"NCAP_TLIFE",$AX$10:$AX$16)),0,""))</f>
        <v/>
      </c>
      <c r="S287" s="369" t="str">
        <f ca="1">IF($B287&lt;&gt;"PRC_RESID","",IF(S$7=2005+OFFSET(COM_N_2012!$B$60,$AW287,SUMIF($B$10:$B$16,"NCAP_TLIFE",$AX$10:$AX$16)),0,""))</f>
        <v/>
      </c>
      <c r="T287" s="369" t="str">
        <f ca="1">IF($B287&lt;&gt;"PRC_RESID","",IF(T$7=2005+OFFSET(COM_N_2012!$B$60,$AW287,SUMIF($B$10:$B$16,"NCAP_TLIFE",$AX$10:$AX$16)),0,""))</f>
        <v/>
      </c>
      <c r="U287" s="369" t="str">
        <f ca="1">IF($B287&lt;&gt;"PRC_RESID","",IF(U$7=2005+OFFSET(COM_N_2012!$B$60,$AW287,SUMIF($B$10:$B$16,"NCAP_TLIFE",$AX$10:$AX$16)),0,""))</f>
        <v/>
      </c>
      <c r="V287" s="369" t="str">
        <f ca="1">IF($B287&lt;&gt;"PRC_RESID","",IF(V$7=2005+OFFSET(COM_N_2012!$B$60,$AW287,SUMIF($B$10:$B$16,"NCAP_TLIFE",$AX$10:$AX$16)),0,""))</f>
        <v/>
      </c>
      <c r="W287" s="369" t="str">
        <f ca="1">IF($B287&lt;&gt;"PRC_RESID","",IF(W$7=2005+OFFSET(COM_N_2012!$B$60,$AW287,SUMIF($B$10:$B$16,"NCAP_TLIFE",$AX$10:$AX$16)),0,""))</f>
        <v/>
      </c>
      <c r="X287" s="369" t="str">
        <f ca="1">IF($B287&lt;&gt;"PRC_RESID","",IF(X$7=2005+OFFSET(COM_N_2012!$B$60,$AW287,SUMIF($B$10:$B$16,"NCAP_TLIFE",$AX$10:$AX$16)),0,""))</f>
        <v/>
      </c>
      <c r="Y287" s="369" t="str">
        <f ca="1">IF($B287&lt;&gt;"PRC_RESID","",IF(Y$7=2005+OFFSET(COM_N_2012!$B$60,$AW287,SUMIF($B$10:$B$16,"NCAP_TLIFE",$AX$10:$AX$16)),0,""))</f>
        <v/>
      </c>
      <c r="Z287" s="369" t="str">
        <f ca="1">IF($B287&lt;&gt;"PRC_RESID","",IF(Z$7=2005+OFFSET(COM_N_2012!$B$60,$AW287,SUMIF($B$10:$B$16,"NCAP_TLIFE",$AX$10:$AX$16)),0,""))</f>
        <v/>
      </c>
      <c r="AA287" s="369" t="str">
        <f ca="1">IF($B287&lt;&gt;"PRC_RESID","",IF(AA$7=2005+OFFSET(COM_N_2012!$B$60,$AW287,SUMIF($B$10:$B$16,"NCAP_TLIFE",$AX$10:$AX$16)),0,""))</f>
        <v/>
      </c>
      <c r="AB287" s="369" t="str">
        <f ca="1">IF($B287&lt;&gt;"PRC_RESID","",IF(AB$7=2005+OFFSET(COM_N_2012!$B$60,$AW287,SUMIF($B$10:$B$16,"NCAP_TLIFE",$AX$10:$AX$16)),0,""))</f>
        <v/>
      </c>
      <c r="AC287" s="369" t="str">
        <f ca="1">IF($B287&lt;&gt;"PRC_RESID","",IF(AC$7=2005+OFFSET(COM_N_2012!$B$60,$AW287,SUMIF($B$10:$B$16,"NCAP_TLIFE",$AX$10:$AX$16)),0,""))</f>
        <v/>
      </c>
      <c r="AD287" s="369" t="str">
        <f ca="1">IF($B287&lt;&gt;"PRC_RESID","",IF(AD$7=2005+OFFSET(COM_N_2012!$B$60,$AW287,SUMIF($B$10:$B$16,"NCAP_TLIFE",$AX$10:$AX$16)),0,""))</f>
        <v/>
      </c>
      <c r="AE287" s="369" t="str">
        <f ca="1">IF($B287&lt;&gt;"PRC_RESID","",IF(AE$7=2005+OFFSET(COM_N_2012!$B$60,$AW287,SUMIF($B$10:$B$16,"NCAP_TLIFE",$AX$10:$AX$16)),0,""))</f>
        <v/>
      </c>
      <c r="AF287" s="369" t="str">
        <f ca="1">IF($B287&lt;&gt;"PRC_RESID","",IF(AF$7=2005+OFFSET(COM_N_2012!$B$60,$AW287,SUMIF($B$10:$B$16,"NCAP_TLIFE",$AX$10:$AX$16)),0,""))</f>
        <v/>
      </c>
      <c r="AG287" s="369" t="str">
        <f ca="1">IF($B287&lt;&gt;"PRC_RESID","",IF(AG$7=2005+OFFSET(COM_N_2012!$B$60,$AW287,SUMIF($B$10:$B$16,"NCAP_TLIFE",$AX$10:$AX$16)),0,""))</f>
        <v/>
      </c>
      <c r="AH287" s="369" t="str">
        <f ca="1">IF($B287&lt;&gt;"PRC_RESID","",IF(AH$7=2005+OFFSET(COM_N_2012!$B$60,$AW287,SUMIF($B$10:$B$16,"NCAP_TLIFE",$AX$10:$AX$16)),0,""))</f>
        <v/>
      </c>
      <c r="AI287" s="369" t="str">
        <f ca="1">IF($B287&lt;&gt;"PRC_RESID","",IF(AI$7=2005+OFFSET(COM_N_2012!$B$60,$AW287,SUMIF($B$10:$B$16,"NCAP_TLIFE",$AX$10:$AX$16)),0,""))</f>
        <v/>
      </c>
      <c r="AJ287" s="369" t="str">
        <f ca="1">IF($B287&lt;&gt;"PRC_RESID","",IF(AJ$7=2005+OFFSET(COM_N_2012!$B$60,$AW287,SUMIF($B$10:$B$16,"NCAP_TLIFE",$AX$10:$AX$16)),0,""))</f>
        <v/>
      </c>
      <c r="AK287" s="369" t="str">
        <f ca="1">IF($B287&lt;&gt;"PRC_RESID","",IF(AK$7=2005+OFFSET(COM_N_2012!$B$60,$AW287,SUMIF($B$10:$B$16,"NCAP_TLIFE",$AX$10:$AX$16)),0,""))</f>
        <v/>
      </c>
      <c r="AL287" s="369" t="str">
        <f ca="1">IF($B287&lt;&gt;"PRC_RESID","",IF(AL$7=2005+OFFSET(COM_N_2012!$B$60,$AW287,SUMIF($B$10:$B$16,"NCAP_TLIFE",$AX$10:$AX$16)),0,""))</f>
        <v/>
      </c>
      <c r="AM287" s="369" t="str">
        <f ca="1">IF($B287&lt;&gt;"PRC_RESID","",IF(AM$7=2005+OFFSET(COM_N_2012!$B$60,$AW287,SUMIF($B$10:$B$16,"NCAP_TLIFE",$AX$10:$AX$16)),0,""))</f>
        <v/>
      </c>
      <c r="AN287" s="369" t="str">
        <f ca="1">IF($B287&lt;&gt;"PRC_RESID","",IF(AN$7=2005+OFFSET(COM_N_2012!$B$60,$AW287,SUMIF($B$10:$B$16,"NCAP_TLIFE",$AX$10:$AX$16)),0,""))</f>
        <v/>
      </c>
      <c r="AO287" s="369" t="str">
        <f ca="1">IF($B287&lt;&gt;"PRC_RESID","",IF(AO$7=2005+OFFSET(COM_N_2012!$B$60,$AW287,SUMIF($B$10:$B$16,"NCAP_TLIFE",$AX$10:$AX$16)),0,""))</f>
        <v/>
      </c>
      <c r="AP287" s="369" t="str">
        <f ca="1">IF($B287&lt;&gt;"PRC_RESID","",IF(AP$7=2005+OFFSET(COM_N_2012!$B$60,$AW287,SUMIF($B$10:$B$16,"NCAP_TLIFE",$AX$10:$AX$16)),0,""))</f>
        <v/>
      </c>
      <c r="AQ287" s="369" t="str">
        <f ca="1">IF($B287&lt;&gt;"PRC_RESID","",IF(AQ$7=2005+OFFSET(COM_N_2012!$B$60,$AW287,SUMIF($B$10:$B$16,"NCAP_TLIFE",$AX$10:$AX$16)),0,""))</f>
        <v/>
      </c>
      <c r="AR287" s="369" t="str">
        <f ca="1">IF($B287&lt;&gt;"PRC_RESID","",IF(AR$7=2005+OFFSET(COM_N_2012!$B$60,$AW287,SUMIF($B$10:$B$16,"NCAP_TLIFE",$AX$10:$AX$16)),0,""))</f>
        <v/>
      </c>
      <c r="AS287" s="369" t="str">
        <f ca="1">IF($B287&lt;&gt;"PRC_RESID","",IF(AS$7=2005+OFFSET(COM_N_2012!$B$60,$AW287,SUMIF($B$10:$B$16,"NCAP_TLIFE",$AX$10:$AX$16)),0,""))</f>
        <v/>
      </c>
      <c r="AT287" s="369" t="str">
        <f ca="1">IF($B287&lt;&gt;"PRC_RESID","",IF(AT$7=2005+OFFSET(COM_N_2012!$B$60,$AW287,SUMIF($B$10:$B$16,"NCAP_TLIFE",$AX$10:$AX$16)),0,""))</f>
        <v/>
      </c>
      <c r="AU287" s="369" t="str">
        <f ca="1">IF($B287&lt;&gt;"PRC_RESID","",IF(AU$7=2005+OFFSET(COM_N_2012!$B$60,$AW287,SUMIF($B$10:$B$16,"NCAP_TLIFE",$AX$10:$AX$16)),0,""))</f>
        <v/>
      </c>
      <c r="AV287" s="304">
        <f>IF(AW286=COM_N_2012!$AK$121,AV286+1,AV286)</f>
        <v>5</v>
      </c>
      <c r="AW287" s="304">
        <f t="shared" si="37"/>
        <v>26</v>
      </c>
    </row>
    <row r="288" spans="1:49">
      <c r="A288" s="304" t="str">
        <f ca="1">IF(LEFT(OFFSET(COM_N_2012!$A$60,AW288,0),2)="\I","*","")</f>
        <v>*</v>
      </c>
      <c r="B288" s="369" t="str">
        <f t="shared" ca="1" si="36"/>
        <v/>
      </c>
      <c r="C288" s="369" t="str">
        <f ca="1">IF($A288="*","",OFFSET(COM_N_2012!$B$60,AW288,0))</f>
        <v/>
      </c>
      <c r="D288" s="369" t="str">
        <f t="shared" ref="D288:I297" ca="1" si="39">IF($A288="*","",VLOOKUP($B288,$B$10:$I$16,D$9,FALSE))</f>
        <v/>
      </c>
      <c r="E288" s="369" t="str">
        <f t="shared" ca="1" si="39"/>
        <v/>
      </c>
      <c r="F288" s="369" t="str">
        <f t="shared" ca="1" si="39"/>
        <v/>
      </c>
      <c r="G288" s="369" t="str">
        <f t="shared" ca="1" si="39"/>
        <v/>
      </c>
      <c r="H288" s="369" t="str">
        <f t="shared" ca="1" si="39"/>
        <v/>
      </c>
      <c r="I288" s="370" t="str">
        <f t="shared" ca="1" si="39"/>
        <v/>
      </c>
      <c r="J288" s="391" t="str">
        <f ca="1">IF($A288="*","",OFFSET(COM_N_2012!$B$60,AW288,SUMIF($B$10:$B$16,B288,$AX$10:$AX$16)))</f>
        <v/>
      </c>
      <c r="K288" s="369" t="str">
        <f ca="1">IF($B288&lt;&gt;"PRC_RESID","",IF(K$7=2005+OFFSET(COM_N_2012!$B$60,$AW288,SUMIF($B$10:$B$16,"NCAP_TLIFE",$AX$10:$AX$16)),0,""))</f>
        <v/>
      </c>
      <c r="L288" s="369" t="str">
        <f ca="1">IF($B288&lt;&gt;"PRC_RESID","",IF(L$7=2005+OFFSET(COM_N_2012!$B$60,$AW288,SUMIF($B$10:$B$16,"NCAP_TLIFE",$AX$10:$AX$16)),0,""))</f>
        <v/>
      </c>
      <c r="M288" s="369" t="str">
        <f ca="1">IF($B288&lt;&gt;"PRC_RESID","",IF(M$7=2005+OFFSET(COM_N_2012!$B$60,$AW288,SUMIF($B$10:$B$16,"NCAP_TLIFE",$AX$10:$AX$16)),0,""))</f>
        <v/>
      </c>
      <c r="N288" s="369" t="str">
        <f ca="1">IF($B288&lt;&gt;"PRC_RESID","",IF(N$7=2005+OFFSET(COM_N_2012!$B$60,$AW288,SUMIF($B$10:$B$16,"NCAP_TLIFE",$AX$10:$AX$16)),0,""))</f>
        <v/>
      </c>
      <c r="O288" s="369" t="str">
        <f ca="1">IF($B288&lt;&gt;"PRC_RESID","",IF(O$7=2005+OFFSET(COM_N_2012!$B$60,$AW288,SUMIF($B$10:$B$16,"NCAP_TLIFE",$AX$10:$AX$16)),0,""))</f>
        <v/>
      </c>
      <c r="P288" s="369" t="str">
        <f ca="1">IF($B288&lt;&gt;"PRC_RESID","",IF(P$7=2005+OFFSET(COM_N_2012!$B$60,$AW288,SUMIF($B$10:$B$16,"NCAP_TLIFE",$AX$10:$AX$16)),0,""))</f>
        <v/>
      </c>
      <c r="Q288" s="369" t="str">
        <f ca="1">IF($B288&lt;&gt;"PRC_RESID","",IF(Q$7=2005+OFFSET(COM_N_2012!$B$60,$AW288,SUMIF($B$10:$B$16,"NCAP_TLIFE",$AX$10:$AX$16)),0,""))</f>
        <v/>
      </c>
      <c r="R288" s="369" t="str">
        <f ca="1">IF($B288&lt;&gt;"PRC_RESID","",IF(R$7=2005+OFFSET(COM_N_2012!$B$60,$AW288,SUMIF($B$10:$B$16,"NCAP_TLIFE",$AX$10:$AX$16)),0,""))</f>
        <v/>
      </c>
      <c r="S288" s="369" t="str">
        <f ca="1">IF($B288&lt;&gt;"PRC_RESID","",IF(S$7=2005+OFFSET(COM_N_2012!$B$60,$AW288,SUMIF($B$10:$B$16,"NCAP_TLIFE",$AX$10:$AX$16)),0,""))</f>
        <v/>
      </c>
      <c r="T288" s="369" t="str">
        <f ca="1">IF($B288&lt;&gt;"PRC_RESID","",IF(T$7=2005+OFFSET(COM_N_2012!$B$60,$AW288,SUMIF($B$10:$B$16,"NCAP_TLIFE",$AX$10:$AX$16)),0,""))</f>
        <v/>
      </c>
      <c r="U288" s="369" t="str">
        <f ca="1">IF($B288&lt;&gt;"PRC_RESID","",IF(U$7=2005+OFFSET(COM_N_2012!$B$60,$AW288,SUMIF($B$10:$B$16,"NCAP_TLIFE",$AX$10:$AX$16)),0,""))</f>
        <v/>
      </c>
      <c r="V288" s="369" t="str">
        <f ca="1">IF($B288&lt;&gt;"PRC_RESID","",IF(V$7=2005+OFFSET(COM_N_2012!$B$60,$AW288,SUMIF($B$10:$B$16,"NCAP_TLIFE",$AX$10:$AX$16)),0,""))</f>
        <v/>
      </c>
      <c r="W288" s="369" t="str">
        <f ca="1">IF($B288&lt;&gt;"PRC_RESID","",IF(W$7=2005+OFFSET(COM_N_2012!$B$60,$AW288,SUMIF($B$10:$B$16,"NCAP_TLIFE",$AX$10:$AX$16)),0,""))</f>
        <v/>
      </c>
      <c r="X288" s="369" t="str">
        <f ca="1">IF($B288&lt;&gt;"PRC_RESID","",IF(X$7=2005+OFFSET(COM_N_2012!$B$60,$AW288,SUMIF($B$10:$B$16,"NCAP_TLIFE",$AX$10:$AX$16)),0,""))</f>
        <v/>
      </c>
      <c r="Y288" s="369" t="str">
        <f ca="1">IF($B288&lt;&gt;"PRC_RESID","",IF(Y$7=2005+OFFSET(COM_N_2012!$B$60,$AW288,SUMIF($B$10:$B$16,"NCAP_TLIFE",$AX$10:$AX$16)),0,""))</f>
        <v/>
      </c>
      <c r="Z288" s="369" t="str">
        <f ca="1">IF($B288&lt;&gt;"PRC_RESID","",IF(Z$7=2005+OFFSET(COM_N_2012!$B$60,$AW288,SUMIF($B$10:$B$16,"NCAP_TLIFE",$AX$10:$AX$16)),0,""))</f>
        <v/>
      </c>
      <c r="AA288" s="369" t="str">
        <f ca="1">IF($B288&lt;&gt;"PRC_RESID","",IF(AA$7=2005+OFFSET(COM_N_2012!$B$60,$AW288,SUMIF($B$10:$B$16,"NCAP_TLIFE",$AX$10:$AX$16)),0,""))</f>
        <v/>
      </c>
      <c r="AB288" s="369" t="str">
        <f ca="1">IF($B288&lt;&gt;"PRC_RESID","",IF(AB$7=2005+OFFSET(COM_N_2012!$B$60,$AW288,SUMIF($B$10:$B$16,"NCAP_TLIFE",$AX$10:$AX$16)),0,""))</f>
        <v/>
      </c>
      <c r="AC288" s="369" t="str">
        <f ca="1">IF($B288&lt;&gt;"PRC_RESID","",IF(AC$7=2005+OFFSET(COM_N_2012!$B$60,$AW288,SUMIF($B$10:$B$16,"NCAP_TLIFE",$AX$10:$AX$16)),0,""))</f>
        <v/>
      </c>
      <c r="AD288" s="369" t="str">
        <f ca="1">IF($B288&lt;&gt;"PRC_RESID","",IF(AD$7=2005+OFFSET(COM_N_2012!$B$60,$AW288,SUMIF($B$10:$B$16,"NCAP_TLIFE",$AX$10:$AX$16)),0,""))</f>
        <v/>
      </c>
      <c r="AE288" s="369" t="str">
        <f ca="1">IF($B288&lt;&gt;"PRC_RESID","",IF(AE$7=2005+OFFSET(COM_N_2012!$B$60,$AW288,SUMIF($B$10:$B$16,"NCAP_TLIFE",$AX$10:$AX$16)),0,""))</f>
        <v/>
      </c>
      <c r="AF288" s="369" t="str">
        <f ca="1">IF($B288&lt;&gt;"PRC_RESID","",IF(AF$7=2005+OFFSET(COM_N_2012!$B$60,$AW288,SUMIF($B$10:$B$16,"NCAP_TLIFE",$AX$10:$AX$16)),0,""))</f>
        <v/>
      </c>
      <c r="AG288" s="369" t="str">
        <f ca="1">IF($B288&lt;&gt;"PRC_RESID","",IF(AG$7=2005+OFFSET(COM_N_2012!$B$60,$AW288,SUMIF($B$10:$B$16,"NCAP_TLIFE",$AX$10:$AX$16)),0,""))</f>
        <v/>
      </c>
      <c r="AH288" s="369" t="str">
        <f ca="1">IF($B288&lt;&gt;"PRC_RESID","",IF(AH$7=2005+OFFSET(COM_N_2012!$B$60,$AW288,SUMIF($B$10:$B$16,"NCAP_TLIFE",$AX$10:$AX$16)),0,""))</f>
        <v/>
      </c>
      <c r="AI288" s="369" t="str">
        <f ca="1">IF($B288&lt;&gt;"PRC_RESID","",IF(AI$7=2005+OFFSET(COM_N_2012!$B$60,$AW288,SUMIF($B$10:$B$16,"NCAP_TLIFE",$AX$10:$AX$16)),0,""))</f>
        <v/>
      </c>
      <c r="AJ288" s="369" t="str">
        <f ca="1">IF($B288&lt;&gt;"PRC_RESID","",IF(AJ$7=2005+OFFSET(COM_N_2012!$B$60,$AW288,SUMIF($B$10:$B$16,"NCAP_TLIFE",$AX$10:$AX$16)),0,""))</f>
        <v/>
      </c>
      <c r="AK288" s="369" t="str">
        <f ca="1">IF($B288&lt;&gt;"PRC_RESID","",IF(AK$7=2005+OFFSET(COM_N_2012!$B$60,$AW288,SUMIF($B$10:$B$16,"NCAP_TLIFE",$AX$10:$AX$16)),0,""))</f>
        <v/>
      </c>
      <c r="AL288" s="369" t="str">
        <f ca="1">IF($B288&lt;&gt;"PRC_RESID","",IF(AL$7=2005+OFFSET(COM_N_2012!$B$60,$AW288,SUMIF($B$10:$B$16,"NCAP_TLIFE",$AX$10:$AX$16)),0,""))</f>
        <v/>
      </c>
      <c r="AM288" s="369" t="str">
        <f ca="1">IF($B288&lt;&gt;"PRC_RESID","",IF(AM$7=2005+OFFSET(COM_N_2012!$B$60,$AW288,SUMIF($B$10:$B$16,"NCAP_TLIFE",$AX$10:$AX$16)),0,""))</f>
        <v/>
      </c>
      <c r="AN288" s="369" t="str">
        <f ca="1">IF($B288&lt;&gt;"PRC_RESID","",IF(AN$7=2005+OFFSET(COM_N_2012!$B$60,$AW288,SUMIF($B$10:$B$16,"NCAP_TLIFE",$AX$10:$AX$16)),0,""))</f>
        <v/>
      </c>
      <c r="AO288" s="369" t="str">
        <f ca="1">IF($B288&lt;&gt;"PRC_RESID","",IF(AO$7=2005+OFFSET(COM_N_2012!$B$60,$AW288,SUMIF($B$10:$B$16,"NCAP_TLIFE",$AX$10:$AX$16)),0,""))</f>
        <v/>
      </c>
      <c r="AP288" s="369" t="str">
        <f ca="1">IF($B288&lt;&gt;"PRC_RESID","",IF(AP$7=2005+OFFSET(COM_N_2012!$B$60,$AW288,SUMIF($B$10:$B$16,"NCAP_TLIFE",$AX$10:$AX$16)),0,""))</f>
        <v/>
      </c>
      <c r="AQ288" s="369" t="str">
        <f ca="1">IF($B288&lt;&gt;"PRC_RESID","",IF(AQ$7=2005+OFFSET(COM_N_2012!$B$60,$AW288,SUMIF($B$10:$B$16,"NCAP_TLIFE",$AX$10:$AX$16)),0,""))</f>
        <v/>
      </c>
      <c r="AR288" s="369" t="str">
        <f ca="1">IF($B288&lt;&gt;"PRC_RESID","",IF(AR$7=2005+OFFSET(COM_N_2012!$B$60,$AW288,SUMIF($B$10:$B$16,"NCAP_TLIFE",$AX$10:$AX$16)),0,""))</f>
        <v/>
      </c>
      <c r="AS288" s="369" t="str">
        <f ca="1">IF($B288&lt;&gt;"PRC_RESID","",IF(AS$7=2005+OFFSET(COM_N_2012!$B$60,$AW288,SUMIF($B$10:$B$16,"NCAP_TLIFE",$AX$10:$AX$16)),0,""))</f>
        <v/>
      </c>
      <c r="AT288" s="369" t="str">
        <f ca="1">IF($B288&lt;&gt;"PRC_RESID","",IF(AT$7=2005+OFFSET(COM_N_2012!$B$60,$AW288,SUMIF($B$10:$B$16,"NCAP_TLIFE",$AX$10:$AX$16)),0,""))</f>
        <v/>
      </c>
      <c r="AU288" s="369" t="str">
        <f ca="1">IF($B288&lt;&gt;"PRC_RESID","",IF(AU$7=2005+OFFSET(COM_N_2012!$B$60,$AW288,SUMIF($B$10:$B$16,"NCAP_TLIFE",$AX$10:$AX$16)),0,""))</f>
        <v/>
      </c>
      <c r="AV288" s="304">
        <f>IF(AW287=COM_N_2012!$AK$121,AV287+1,AV287)</f>
        <v>5</v>
      </c>
      <c r="AW288" s="304">
        <f t="shared" si="37"/>
        <v>27</v>
      </c>
    </row>
    <row r="289" spans="1:49">
      <c r="A289" s="304" t="str">
        <f ca="1">IF(LEFT(OFFSET(COM_N_2012!$A$60,AW289,0),2)="\I","*","")</f>
        <v>*</v>
      </c>
      <c r="B289" s="369" t="str">
        <f t="shared" ca="1" si="36"/>
        <v/>
      </c>
      <c r="C289" s="369" t="str">
        <f ca="1">IF($A289="*","",OFFSET(COM_N_2012!$B$60,AW289,0))</f>
        <v/>
      </c>
      <c r="D289" s="369" t="str">
        <f t="shared" ca="1" si="39"/>
        <v/>
      </c>
      <c r="E289" s="369" t="str">
        <f t="shared" ca="1" si="39"/>
        <v/>
      </c>
      <c r="F289" s="369" t="str">
        <f t="shared" ca="1" si="39"/>
        <v/>
      </c>
      <c r="G289" s="369" t="str">
        <f t="shared" ca="1" si="39"/>
        <v/>
      </c>
      <c r="H289" s="369" t="str">
        <f t="shared" ca="1" si="39"/>
        <v/>
      </c>
      <c r="I289" s="370" t="str">
        <f t="shared" ca="1" si="39"/>
        <v/>
      </c>
      <c r="J289" s="391" t="str">
        <f ca="1">IF($A289="*","",OFFSET(COM_N_2012!$B$60,AW289,SUMIF($B$10:$B$16,B289,$AX$10:$AX$16)))</f>
        <v/>
      </c>
      <c r="K289" s="369" t="str">
        <f ca="1">IF($B289&lt;&gt;"PRC_RESID","",IF(K$7=2005+OFFSET(COM_N_2012!$B$60,$AW289,SUMIF($B$10:$B$16,"NCAP_TLIFE",$AX$10:$AX$16)),0,""))</f>
        <v/>
      </c>
      <c r="L289" s="369" t="str">
        <f ca="1">IF($B289&lt;&gt;"PRC_RESID","",IF(L$7=2005+OFFSET(COM_N_2012!$B$60,$AW289,SUMIF($B$10:$B$16,"NCAP_TLIFE",$AX$10:$AX$16)),0,""))</f>
        <v/>
      </c>
      <c r="M289" s="369" t="str">
        <f ca="1">IF($B289&lt;&gt;"PRC_RESID","",IF(M$7=2005+OFFSET(COM_N_2012!$B$60,$AW289,SUMIF($B$10:$B$16,"NCAP_TLIFE",$AX$10:$AX$16)),0,""))</f>
        <v/>
      </c>
      <c r="N289" s="369" t="str">
        <f ca="1">IF($B289&lt;&gt;"PRC_RESID","",IF(N$7=2005+OFFSET(COM_N_2012!$B$60,$AW289,SUMIF($B$10:$B$16,"NCAP_TLIFE",$AX$10:$AX$16)),0,""))</f>
        <v/>
      </c>
      <c r="O289" s="369" t="str">
        <f ca="1">IF($B289&lt;&gt;"PRC_RESID","",IF(O$7=2005+OFFSET(COM_N_2012!$B$60,$AW289,SUMIF($B$10:$B$16,"NCAP_TLIFE",$AX$10:$AX$16)),0,""))</f>
        <v/>
      </c>
      <c r="P289" s="369" t="str">
        <f ca="1">IF($B289&lt;&gt;"PRC_RESID","",IF(P$7=2005+OFFSET(COM_N_2012!$B$60,$AW289,SUMIF($B$10:$B$16,"NCAP_TLIFE",$AX$10:$AX$16)),0,""))</f>
        <v/>
      </c>
      <c r="Q289" s="369" t="str">
        <f ca="1">IF($B289&lt;&gt;"PRC_RESID","",IF(Q$7=2005+OFFSET(COM_N_2012!$B$60,$AW289,SUMIF($B$10:$B$16,"NCAP_TLIFE",$AX$10:$AX$16)),0,""))</f>
        <v/>
      </c>
      <c r="R289" s="369" t="str">
        <f ca="1">IF($B289&lt;&gt;"PRC_RESID","",IF(R$7=2005+OFFSET(COM_N_2012!$B$60,$AW289,SUMIF($B$10:$B$16,"NCAP_TLIFE",$AX$10:$AX$16)),0,""))</f>
        <v/>
      </c>
      <c r="S289" s="369" t="str">
        <f ca="1">IF($B289&lt;&gt;"PRC_RESID","",IF(S$7=2005+OFFSET(COM_N_2012!$B$60,$AW289,SUMIF($B$10:$B$16,"NCAP_TLIFE",$AX$10:$AX$16)),0,""))</f>
        <v/>
      </c>
      <c r="T289" s="369" t="str">
        <f ca="1">IF($B289&lt;&gt;"PRC_RESID","",IF(T$7=2005+OFFSET(COM_N_2012!$B$60,$AW289,SUMIF($B$10:$B$16,"NCAP_TLIFE",$AX$10:$AX$16)),0,""))</f>
        <v/>
      </c>
      <c r="U289" s="369" t="str">
        <f ca="1">IF($B289&lt;&gt;"PRC_RESID","",IF(U$7=2005+OFFSET(COM_N_2012!$B$60,$AW289,SUMIF($B$10:$B$16,"NCAP_TLIFE",$AX$10:$AX$16)),0,""))</f>
        <v/>
      </c>
      <c r="V289" s="369" t="str">
        <f ca="1">IF($B289&lt;&gt;"PRC_RESID","",IF(V$7=2005+OFFSET(COM_N_2012!$B$60,$AW289,SUMIF($B$10:$B$16,"NCAP_TLIFE",$AX$10:$AX$16)),0,""))</f>
        <v/>
      </c>
      <c r="W289" s="369" t="str">
        <f ca="1">IF($B289&lt;&gt;"PRC_RESID","",IF(W$7=2005+OFFSET(COM_N_2012!$B$60,$AW289,SUMIF($B$10:$B$16,"NCAP_TLIFE",$AX$10:$AX$16)),0,""))</f>
        <v/>
      </c>
      <c r="X289" s="369" t="str">
        <f ca="1">IF($B289&lt;&gt;"PRC_RESID","",IF(X$7=2005+OFFSET(COM_N_2012!$B$60,$AW289,SUMIF($B$10:$B$16,"NCAP_TLIFE",$AX$10:$AX$16)),0,""))</f>
        <v/>
      </c>
      <c r="Y289" s="369" t="str">
        <f ca="1">IF($B289&lt;&gt;"PRC_RESID","",IF(Y$7=2005+OFFSET(COM_N_2012!$B$60,$AW289,SUMIF($B$10:$B$16,"NCAP_TLIFE",$AX$10:$AX$16)),0,""))</f>
        <v/>
      </c>
      <c r="Z289" s="369" t="str">
        <f ca="1">IF($B289&lt;&gt;"PRC_RESID","",IF(Z$7=2005+OFFSET(COM_N_2012!$B$60,$AW289,SUMIF($B$10:$B$16,"NCAP_TLIFE",$AX$10:$AX$16)),0,""))</f>
        <v/>
      </c>
      <c r="AA289" s="369" t="str">
        <f ca="1">IF($B289&lt;&gt;"PRC_RESID","",IF(AA$7=2005+OFFSET(COM_N_2012!$B$60,$AW289,SUMIF($B$10:$B$16,"NCAP_TLIFE",$AX$10:$AX$16)),0,""))</f>
        <v/>
      </c>
      <c r="AB289" s="369" t="str">
        <f ca="1">IF($B289&lt;&gt;"PRC_RESID","",IF(AB$7=2005+OFFSET(COM_N_2012!$B$60,$AW289,SUMIF($B$10:$B$16,"NCAP_TLIFE",$AX$10:$AX$16)),0,""))</f>
        <v/>
      </c>
      <c r="AC289" s="369" t="str">
        <f ca="1">IF($B289&lt;&gt;"PRC_RESID","",IF(AC$7=2005+OFFSET(COM_N_2012!$B$60,$AW289,SUMIF($B$10:$B$16,"NCAP_TLIFE",$AX$10:$AX$16)),0,""))</f>
        <v/>
      </c>
      <c r="AD289" s="369" t="str">
        <f ca="1">IF($B289&lt;&gt;"PRC_RESID","",IF(AD$7=2005+OFFSET(COM_N_2012!$B$60,$AW289,SUMIF($B$10:$B$16,"NCAP_TLIFE",$AX$10:$AX$16)),0,""))</f>
        <v/>
      </c>
      <c r="AE289" s="369" t="str">
        <f ca="1">IF($B289&lt;&gt;"PRC_RESID","",IF(AE$7=2005+OFFSET(COM_N_2012!$B$60,$AW289,SUMIF($B$10:$B$16,"NCAP_TLIFE",$AX$10:$AX$16)),0,""))</f>
        <v/>
      </c>
      <c r="AF289" s="369" t="str">
        <f ca="1">IF($B289&lt;&gt;"PRC_RESID","",IF(AF$7=2005+OFFSET(COM_N_2012!$B$60,$AW289,SUMIF($B$10:$B$16,"NCAP_TLIFE",$AX$10:$AX$16)),0,""))</f>
        <v/>
      </c>
      <c r="AG289" s="369" t="str">
        <f ca="1">IF($B289&lt;&gt;"PRC_RESID","",IF(AG$7=2005+OFFSET(COM_N_2012!$B$60,$AW289,SUMIF($B$10:$B$16,"NCAP_TLIFE",$AX$10:$AX$16)),0,""))</f>
        <v/>
      </c>
      <c r="AH289" s="369" t="str">
        <f ca="1">IF($B289&lt;&gt;"PRC_RESID","",IF(AH$7=2005+OFFSET(COM_N_2012!$B$60,$AW289,SUMIF($B$10:$B$16,"NCAP_TLIFE",$AX$10:$AX$16)),0,""))</f>
        <v/>
      </c>
      <c r="AI289" s="369" t="str">
        <f ca="1">IF($B289&lt;&gt;"PRC_RESID","",IF(AI$7=2005+OFFSET(COM_N_2012!$B$60,$AW289,SUMIF($B$10:$B$16,"NCAP_TLIFE",$AX$10:$AX$16)),0,""))</f>
        <v/>
      </c>
      <c r="AJ289" s="369" t="str">
        <f ca="1">IF($B289&lt;&gt;"PRC_RESID","",IF(AJ$7=2005+OFFSET(COM_N_2012!$B$60,$AW289,SUMIF($B$10:$B$16,"NCAP_TLIFE",$AX$10:$AX$16)),0,""))</f>
        <v/>
      </c>
      <c r="AK289" s="369" t="str">
        <f ca="1">IF($B289&lt;&gt;"PRC_RESID","",IF(AK$7=2005+OFFSET(COM_N_2012!$B$60,$AW289,SUMIF($B$10:$B$16,"NCAP_TLIFE",$AX$10:$AX$16)),0,""))</f>
        <v/>
      </c>
      <c r="AL289" s="369" t="str">
        <f ca="1">IF($B289&lt;&gt;"PRC_RESID","",IF(AL$7=2005+OFFSET(COM_N_2012!$B$60,$AW289,SUMIF($B$10:$B$16,"NCAP_TLIFE",$AX$10:$AX$16)),0,""))</f>
        <v/>
      </c>
      <c r="AM289" s="369" t="str">
        <f ca="1">IF($B289&lt;&gt;"PRC_RESID","",IF(AM$7=2005+OFFSET(COM_N_2012!$B$60,$AW289,SUMIF($B$10:$B$16,"NCAP_TLIFE",$AX$10:$AX$16)),0,""))</f>
        <v/>
      </c>
      <c r="AN289" s="369" t="str">
        <f ca="1">IF($B289&lt;&gt;"PRC_RESID","",IF(AN$7=2005+OFFSET(COM_N_2012!$B$60,$AW289,SUMIF($B$10:$B$16,"NCAP_TLIFE",$AX$10:$AX$16)),0,""))</f>
        <v/>
      </c>
      <c r="AO289" s="369" t="str">
        <f ca="1">IF($B289&lt;&gt;"PRC_RESID","",IF(AO$7=2005+OFFSET(COM_N_2012!$B$60,$AW289,SUMIF($B$10:$B$16,"NCAP_TLIFE",$AX$10:$AX$16)),0,""))</f>
        <v/>
      </c>
      <c r="AP289" s="369" t="str">
        <f ca="1">IF($B289&lt;&gt;"PRC_RESID","",IF(AP$7=2005+OFFSET(COM_N_2012!$B$60,$AW289,SUMIF($B$10:$B$16,"NCAP_TLIFE",$AX$10:$AX$16)),0,""))</f>
        <v/>
      </c>
      <c r="AQ289" s="369" t="str">
        <f ca="1">IF($B289&lt;&gt;"PRC_RESID","",IF(AQ$7=2005+OFFSET(COM_N_2012!$B$60,$AW289,SUMIF($B$10:$B$16,"NCAP_TLIFE",$AX$10:$AX$16)),0,""))</f>
        <v/>
      </c>
      <c r="AR289" s="369" t="str">
        <f ca="1">IF($B289&lt;&gt;"PRC_RESID","",IF(AR$7=2005+OFFSET(COM_N_2012!$B$60,$AW289,SUMIF($B$10:$B$16,"NCAP_TLIFE",$AX$10:$AX$16)),0,""))</f>
        <v/>
      </c>
      <c r="AS289" s="369" t="str">
        <f ca="1">IF($B289&lt;&gt;"PRC_RESID","",IF(AS$7=2005+OFFSET(COM_N_2012!$B$60,$AW289,SUMIF($B$10:$B$16,"NCAP_TLIFE",$AX$10:$AX$16)),0,""))</f>
        <v/>
      </c>
      <c r="AT289" s="369" t="str">
        <f ca="1">IF($B289&lt;&gt;"PRC_RESID","",IF(AT$7=2005+OFFSET(COM_N_2012!$B$60,$AW289,SUMIF($B$10:$B$16,"NCAP_TLIFE",$AX$10:$AX$16)),0,""))</f>
        <v/>
      </c>
      <c r="AU289" s="369" t="str">
        <f ca="1">IF($B289&lt;&gt;"PRC_RESID","",IF(AU$7=2005+OFFSET(COM_N_2012!$B$60,$AW289,SUMIF($B$10:$B$16,"NCAP_TLIFE",$AX$10:$AX$16)),0,""))</f>
        <v/>
      </c>
      <c r="AV289" s="304">
        <f>IF(AW288=COM_N_2012!$AK$121,AV288+1,AV288)</f>
        <v>5</v>
      </c>
      <c r="AW289" s="304">
        <f t="shared" si="37"/>
        <v>28</v>
      </c>
    </row>
    <row r="290" spans="1:49">
      <c r="A290" s="304" t="str">
        <f ca="1">IF(LEFT(OFFSET(COM_N_2012!$A$60,AW290,0),2)="\I","*","")</f>
        <v/>
      </c>
      <c r="B290" s="369" t="str">
        <f t="shared" ca="1" si="36"/>
        <v>NCAP_FOM</v>
      </c>
      <c r="C290" s="369" t="str">
        <f ca="1">IF($A290="*","",OFFSET(COM_N_2012!$B$60,AW290,0))</f>
        <v>CNRELC-E</v>
      </c>
      <c r="D290" s="369" t="str">
        <f t="shared" ca="1" si="39"/>
        <v>-</v>
      </c>
      <c r="E290" s="369" t="str">
        <f t="shared" ca="1" si="39"/>
        <v>-</v>
      </c>
      <c r="F290" s="369" t="str">
        <f t="shared" ca="1" si="39"/>
        <v>-</v>
      </c>
      <c r="G290" s="369" t="str">
        <f t="shared" ca="1" si="39"/>
        <v>-</v>
      </c>
      <c r="H290" s="369" t="str">
        <f t="shared" ca="1" si="39"/>
        <v>-</v>
      </c>
      <c r="I290" s="370">
        <f t="shared" ca="1" si="39"/>
        <v>0</v>
      </c>
      <c r="J290" s="391">
        <f ca="1">IF($A290="*","",OFFSET(COM_N_2012!$B$60,AW290,SUMIF($B$10:$B$16,B290,$AX$10:$AX$16)))</f>
        <v>173.42705050470357</v>
      </c>
      <c r="K290" s="369" t="str">
        <f ca="1">IF($B290&lt;&gt;"PRC_RESID","",IF(K$7=2005+OFFSET(COM_N_2012!$B$60,$AW290,SUMIF($B$10:$B$16,"NCAP_TLIFE",$AX$10:$AX$16)),0,""))</f>
        <v/>
      </c>
      <c r="L290" s="369" t="str">
        <f ca="1">IF($B290&lt;&gt;"PRC_RESID","",IF(L$7=2005+OFFSET(COM_N_2012!$B$60,$AW290,SUMIF($B$10:$B$16,"NCAP_TLIFE",$AX$10:$AX$16)),0,""))</f>
        <v/>
      </c>
      <c r="M290" s="369" t="str">
        <f ca="1">IF($B290&lt;&gt;"PRC_RESID","",IF(M$7=2005+OFFSET(COM_N_2012!$B$60,$AW290,SUMIF($B$10:$B$16,"NCAP_TLIFE",$AX$10:$AX$16)),0,""))</f>
        <v/>
      </c>
      <c r="N290" s="369" t="str">
        <f ca="1">IF($B290&lt;&gt;"PRC_RESID","",IF(N$7=2005+OFFSET(COM_N_2012!$B$60,$AW290,SUMIF($B$10:$B$16,"NCAP_TLIFE",$AX$10:$AX$16)),0,""))</f>
        <v/>
      </c>
      <c r="O290" s="369" t="str">
        <f ca="1">IF($B290&lt;&gt;"PRC_RESID","",IF(O$7=2005+OFFSET(COM_N_2012!$B$60,$AW290,SUMIF($B$10:$B$16,"NCAP_TLIFE",$AX$10:$AX$16)),0,""))</f>
        <v/>
      </c>
      <c r="P290" s="369" t="str">
        <f ca="1">IF($B290&lt;&gt;"PRC_RESID","",IF(P$7=2005+OFFSET(COM_N_2012!$B$60,$AW290,SUMIF($B$10:$B$16,"NCAP_TLIFE",$AX$10:$AX$16)),0,""))</f>
        <v/>
      </c>
      <c r="Q290" s="369" t="str">
        <f ca="1">IF($B290&lt;&gt;"PRC_RESID","",IF(Q$7=2005+OFFSET(COM_N_2012!$B$60,$AW290,SUMIF($B$10:$B$16,"NCAP_TLIFE",$AX$10:$AX$16)),0,""))</f>
        <v/>
      </c>
      <c r="R290" s="369" t="str">
        <f ca="1">IF($B290&lt;&gt;"PRC_RESID","",IF(R$7=2005+OFFSET(COM_N_2012!$B$60,$AW290,SUMIF($B$10:$B$16,"NCAP_TLIFE",$AX$10:$AX$16)),0,""))</f>
        <v/>
      </c>
      <c r="S290" s="369" t="str">
        <f ca="1">IF($B290&lt;&gt;"PRC_RESID","",IF(S$7=2005+OFFSET(COM_N_2012!$B$60,$AW290,SUMIF($B$10:$B$16,"NCAP_TLIFE",$AX$10:$AX$16)),0,""))</f>
        <v/>
      </c>
      <c r="T290" s="369" t="str">
        <f ca="1">IF($B290&lt;&gt;"PRC_RESID","",IF(T$7=2005+OFFSET(COM_N_2012!$B$60,$AW290,SUMIF($B$10:$B$16,"NCAP_TLIFE",$AX$10:$AX$16)),0,""))</f>
        <v/>
      </c>
      <c r="U290" s="369" t="str">
        <f ca="1">IF($B290&lt;&gt;"PRC_RESID","",IF(U$7=2005+OFFSET(COM_N_2012!$B$60,$AW290,SUMIF($B$10:$B$16,"NCAP_TLIFE",$AX$10:$AX$16)),0,""))</f>
        <v/>
      </c>
      <c r="V290" s="369" t="str">
        <f ca="1">IF($B290&lt;&gt;"PRC_RESID","",IF(V$7=2005+OFFSET(COM_N_2012!$B$60,$AW290,SUMIF($B$10:$B$16,"NCAP_TLIFE",$AX$10:$AX$16)),0,""))</f>
        <v/>
      </c>
      <c r="W290" s="369" t="str">
        <f ca="1">IF($B290&lt;&gt;"PRC_RESID","",IF(W$7=2005+OFFSET(COM_N_2012!$B$60,$AW290,SUMIF($B$10:$B$16,"NCAP_TLIFE",$AX$10:$AX$16)),0,""))</f>
        <v/>
      </c>
      <c r="X290" s="369" t="str">
        <f ca="1">IF($B290&lt;&gt;"PRC_RESID","",IF(X$7=2005+OFFSET(COM_N_2012!$B$60,$AW290,SUMIF($B$10:$B$16,"NCAP_TLIFE",$AX$10:$AX$16)),0,""))</f>
        <v/>
      </c>
      <c r="Y290" s="369" t="str">
        <f ca="1">IF($B290&lt;&gt;"PRC_RESID","",IF(Y$7=2005+OFFSET(COM_N_2012!$B$60,$AW290,SUMIF($B$10:$B$16,"NCAP_TLIFE",$AX$10:$AX$16)),0,""))</f>
        <v/>
      </c>
      <c r="Z290" s="369" t="str">
        <f ca="1">IF($B290&lt;&gt;"PRC_RESID","",IF(Z$7=2005+OFFSET(COM_N_2012!$B$60,$AW290,SUMIF($B$10:$B$16,"NCAP_TLIFE",$AX$10:$AX$16)),0,""))</f>
        <v/>
      </c>
      <c r="AA290" s="369" t="str">
        <f ca="1">IF($B290&lt;&gt;"PRC_RESID","",IF(AA$7=2005+OFFSET(COM_N_2012!$B$60,$AW290,SUMIF($B$10:$B$16,"NCAP_TLIFE",$AX$10:$AX$16)),0,""))</f>
        <v/>
      </c>
      <c r="AB290" s="369" t="str">
        <f ca="1">IF($B290&lt;&gt;"PRC_RESID","",IF(AB$7=2005+OFFSET(COM_N_2012!$B$60,$AW290,SUMIF($B$10:$B$16,"NCAP_TLIFE",$AX$10:$AX$16)),0,""))</f>
        <v/>
      </c>
      <c r="AC290" s="369" t="str">
        <f ca="1">IF($B290&lt;&gt;"PRC_RESID","",IF(AC$7=2005+OFFSET(COM_N_2012!$B$60,$AW290,SUMIF($B$10:$B$16,"NCAP_TLIFE",$AX$10:$AX$16)),0,""))</f>
        <v/>
      </c>
      <c r="AD290" s="369" t="str">
        <f ca="1">IF($B290&lt;&gt;"PRC_RESID","",IF(AD$7=2005+OFFSET(COM_N_2012!$B$60,$AW290,SUMIF($B$10:$B$16,"NCAP_TLIFE",$AX$10:$AX$16)),0,""))</f>
        <v/>
      </c>
      <c r="AE290" s="369" t="str">
        <f ca="1">IF($B290&lt;&gt;"PRC_RESID","",IF(AE$7=2005+OFFSET(COM_N_2012!$B$60,$AW290,SUMIF($B$10:$B$16,"NCAP_TLIFE",$AX$10:$AX$16)),0,""))</f>
        <v/>
      </c>
      <c r="AF290" s="369" t="str">
        <f ca="1">IF($B290&lt;&gt;"PRC_RESID","",IF(AF$7=2005+OFFSET(COM_N_2012!$B$60,$AW290,SUMIF($B$10:$B$16,"NCAP_TLIFE",$AX$10:$AX$16)),0,""))</f>
        <v/>
      </c>
      <c r="AG290" s="369" t="str">
        <f ca="1">IF($B290&lt;&gt;"PRC_RESID","",IF(AG$7=2005+OFFSET(COM_N_2012!$B$60,$AW290,SUMIF($B$10:$B$16,"NCAP_TLIFE",$AX$10:$AX$16)),0,""))</f>
        <v/>
      </c>
      <c r="AH290" s="369" t="str">
        <f ca="1">IF($B290&lt;&gt;"PRC_RESID","",IF(AH$7=2005+OFFSET(COM_N_2012!$B$60,$AW290,SUMIF($B$10:$B$16,"NCAP_TLIFE",$AX$10:$AX$16)),0,""))</f>
        <v/>
      </c>
      <c r="AI290" s="369" t="str">
        <f ca="1">IF($B290&lt;&gt;"PRC_RESID","",IF(AI$7=2005+OFFSET(COM_N_2012!$B$60,$AW290,SUMIF($B$10:$B$16,"NCAP_TLIFE",$AX$10:$AX$16)),0,""))</f>
        <v/>
      </c>
      <c r="AJ290" s="369" t="str">
        <f ca="1">IF($B290&lt;&gt;"PRC_RESID","",IF(AJ$7=2005+OFFSET(COM_N_2012!$B$60,$AW290,SUMIF($B$10:$B$16,"NCAP_TLIFE",$AX$10:$AX$16)),0,""))</f>
        <v/>
      </c>
      <c r="AK290" s="369" t="str">
        <f ca="1">IF($B290&lt;&gt;"PRC_RESID","",IF(AK$7=2005+OFFSET(COM_N_2012!$B$60,$AW290,SUMIF($B$10:$B$16,"NCAP_TLIFE",$AX$10:$AX$16)),0,""))</f>
        <v/>
      </c>
      <c r="AL290" s="369" t="str">
        <f ca="1">IF($B290&lt;&gt;"PRC_RESID","",IF(AL$7=2005+OFFSET(COM_N_2012!$B$60,$AW290,SUMIF($B$10:$B$16,"NCAP_TLIFE",$AX$10:$AX$16)),0,""))</f>
        <v/>
      </c>
      <c r="AM290" s="369" t="str">
        <f ca="1">IF($B290&lt;&gt;"PRC_RESID","",IF(AM$7=2005+OFFSET(COM_N_2012!$B$60,$AW290,SUMIF($B$10:$B$16,"NCAP_TLIFE",$AX$10:$AX$16)),0,""))</f>
        <v/>
      </c>
      <c r="AN290" s="369" t="str">
        <f ca="1">IF($B290&lt;&gt;"PRC_RESID","",IF(AN$7=2005+OFFSET(COM_N_2012!$B$60,$AW290,SUMIF($B$10:$B$16,"NCAP_TLIFE",$AX$10:$AX$16)),0,""))</f>
        <v/>
      </c>
      <c r="AO290" s="369" t="str">
        <f ca="1">IF($B290&lt;&gt;"PRC_RESID","",IF(AO$7=2005+OFFSET(COM_N_2012!$B$60,$AW290,SUMIF($B$10:$B$16,"NCAP_TLIFE",$AX$10:$AX$16)),0,""))</f>
        <v/>
      </c>
      <c r="AP290" s="369" t="str">
        <f ca="1">IF($B290&lt;&gt;"PRC_RESID","",IF(AP$7=2005+OFFSET(COM_N_2012!$B$60,$AW290,SUMIF($B$10:$B$16,"NCAP_TLIFE",$AX$10:$AX$16)),0,""))</f>
        <v/>
      </c>
      <c r="AQ290" s="369" t="str">
        <f ca="1">IF($B290&lt;&gt;"PRC_RESID","",IF(AQ$7=2005+OFFSET(COM_N_2012!$B$60,$AW290,SUMIF($B$10:$B$16,"NCAP_TLIFE",$AX$10:$AX$16)),0,""))</f>
        <v/>
      </c>
      <c r="AR290" s="369" t="str">
        <f ca="1">IF($B290&lt;&gt;"PRC_RESID","",IF(AR$7=2005+OFFSET(COM_N_2012!$B$60,$AW290,SUMIF($B$10:$B$16,"NCAP_TLIFE",$AX$10:$AX$16)),0,""))</f>
        <v/>
      </c>
      <c r="AS290" s="369" t="str">
        <f ca="1">IF($B290&lt;&gt;"PRC_RESID","",IF(AS$7=2005+OFFSET(COM_N_2012!$B$60,$AW290,SUMIF($B$10:$B$16,"NCAP_TLIFE",$AX$10:$AX$16)),0,""))</f>
        <v/>
      </c>
      <c r="AT290" s="369" t="str">
        <f ca="1">IF($B290&lt;&gt;"PRC_RESID","",IF(AT$7=2005+OFFSET(COM_N_2012!$B$60,$AW290,SUMIF($B$10:$B$16,"NCAP_TLIFE",$AX$10:$AX$16)),0,""))</f>
        <v/>
      </c>
      <c r="AU290" s="369" t="str">
        <f ca="1">IF($B290&lt;&gt;"PRC_RESID","",IF(AU$7=2005+OFFSET(COM_N_2012!$B$60,$AW290,SUMIF($B$10:$B$16,"NCAP_TLIFE",$AX$10:$AX$16)),0,""))</f>
        <v/>
      </c>
      <c r="AV290" s="304">
        <f>IF(AW289=COM_N_2012!$AK$121,AV289+1,AV289)</f>
        <v>5</v>
      </c>
      <c r="AW290" s="304">
        <f t="shared" si="37"/>
        <v>29</v>
      </c>
    </row>
    <row r="291" spans="1:49">
      <c r="A291" s="304" t="str">
        <f ca="1">IF(LEFT(OFFSET(COM_N_2012!$A$60,AW291,0),2)="\I","*","")</f>
        <v/>
      </c>
      <c r="B291" s="369" t="str">
        <f t="shared" ca="1" si="36"/>
        <v>NCAP_FOM</v>
      </c>
      <c r="C291" s="369" t="str">
        <f ca="1">IF($A291="*","",OFFSET(COM_N_2012!$B$60,AW291,0))</f>
        <v>CNRELC-N</v>
      </c>
      <c r="D291" s="369" t="str">
        <f t="shared" ca="1" si="39"/>
        <v>-</v>
      </c>
      <c r="E291" s="369" t="str">
        <f t="shared" ca="1" si="39"/>
        <v>-</v>
      </c>
      <c r="F291" s="369" t="str">
        <f t="shared" ca="1" si="39"/>
        <v>-</v>
      </c>
      <c r="G291" s="369" t="str">
        <f t="shared" ca="1" si="39"/>
        <v>-</v>
      </c>
      <c r="H291" s="369" t="str">
        <f t="shared" ca="1" si="39"/>
        <v>-</v>
      </c>
      <c r="I291" s="370">
        <f t="shared" ca="1" si="39"/>
        <v>0</v>
      </c>
      <c r="J291" s="391">
        <f ca="1">IF($A291="*","",OFFSET(COM_N_2012!$B$60,AW291,SUMIF($B$10:$B$16,B291,$AX$10:$AX$16)))</f>
        <v>179.96770713155252</v>
      </c>
      <c r="K291" s="369" t="str">
        <f ca="1">IF($B291&lt;&gt;"PRC_RESID","",IF(K$7=2005+OFFSET(COM_N_2012!$B$60,$AW291,SUMIF($B$10:$B$16,"NCAP_TLIFE",$AX$10:$AX$16)),0,""))</f>
        <v/>
      </c>
      <c r="L291" s="369" t="str">
        <f ca="1">IF($B291&lt;&gt;"PRC_RESID","",IF(L$7=2005+OFFSET(COM_N_2012!$B$60,$AW291,SUMIF($B$10:$B$16,"NCAP_TLIFE",$AX$10:$AX$16)),0,""))</f>
        <v/>
      </c>
      <c r="M291" s="369" t="str">
        <f ca="1">IF($B291&lt;&gt;"PRC_RESID","",IF(M$7=2005+OFFSET(COM_N_2012!$B$60,$AW291,SUMIF($B$10:$B$16,"NCAP_TLIFE",$AX$10:$AX$16)),0,""))</f>
        <v/>
      </c>
      <c r="N291" s="369" t="str">
        <f ca="1">IF($B291&lt;&gt;"PRC_RESID","",IF(N$7=2005+OFFSET(COM_N_2012!$B$60,$AW291,SUMIF($B$10:$B$16,"NCAP_TLIFE",$AX$10:$AX$16)),0,""))</f>
        <v/>
      </c>
      <c r="O291" s="369" t="str">
        <f ca="1">IF($B291&lt;&gt;"PRC_RESID","",IF(O$7=2005+OFFSET(COM_N_2012!$B$60,$AW291,SUMIF($B$10:$B$16,"NCAP_TLIFE",$AX$10:$AX$16)),0,""))</f>
        <v/>
      </c>
      <c r="P291" s="369" t="str">
        <f ca="1">IF($B291&lt;&gt;"PRC_RESID","",IF(P$7=2005+OFFSET(COM_N_2012!$B$60,$AW291,SUMIF($B$10:$B$16,"NCAP_TLIFE",$AX$10:$AX$16)),0,""))</f>
        <v/>
      </c>
      <c r="Q291" s="369" t="str">
        <f ca="1">IF($B291&lt;&gt;"PRC_RESID","",IF(Q$7=2005+OFFSET(COM_N_2012!$B$60,$AW291,SUMIF($B$10:$B$16,"NCAP_TLIFE",$AX$10:$AX$16)),0,""))</f>
        <v/>
      </c>
      <c r="R291" s="369" t="str">
        <f ca="1">IF($B291&lt;&gt;"PRC_RESID","",IF(R$7=2005+OFFSET(COM_N_2012!$B$60,$AW291,SUMIF($B$10:$B$16,"NCAP_TLIFE",$AX$10:$AX$16)),0,""))</f>
        <v/>
      </c>
      <c r="S291" s="369" t="str">
        <f ca="1">IF($B291&lt;&gt;"PRC_RESID","",IF(S$7=2005+OFFSET(COM_N_2012!$B$60,$AW291,SUMIF($B$10:$B$16,"NCAP_TLIFE",$AX$10:$AX$16)),0,""))</f>
        <v/>
      </c>
      <c r="T291" s="369" t="str">
        <f ca="1">IF($B291&lt;&gt;"PRC_RESID","",IF(T$7=2005+OFFSET(COM_N_2012!$B$60,$AW291,SUMIF($B$10:$B$16,"NCAP_TLIFE",$AX$10:$AX$16)),0,""))</f>
        <v/>
      </c>
      <c r="U291" s="369" t="str">
        <f ca="1">IF($B291&lt;&gt;"PRC_RESID","",IF(U$7=2005+OFFSET(COM_N_2012!$B$60,$AW291,SUMIF($B$10:$B$16,"NCAP_TLIFE",$AX$10:$AX$16)),0,""))</f>
        <v/>
      </c>
      <c r="V291" s="369" t="str">
        <f ca="1">IF($B291&lt;&gt;"PRC_RESID","",IF(V$7=2005+OFFSET(COM_N_2012!$B$60,$AW291,SUMIF($B$10:$B$16,"NCAP_TLIFE",$AX$10:$AX$16)),0,""))</f>
        <v/>
      </c>
      <c r="W291" s="369" t="str">
        <f ca="1">IF($B291&lt;&gt;"PRC_RESID","",IF(W$7=2005+OFFSET(COM_N_2012!$B$60,$AW291,SUMIF($B$10:$B$16,"NCAP_TLIFE",$AX$10:$AX$16)),0,""))</f>
        <v/>
      </c>
      <c r="X291" s="369" t="str">
        <f ca="1">IF($B291&lt;&gt;"PRC_RESID","",IF(X$7=2005+OFFSET(COM_N_2012!$B$60,$AW291,SUMIF($B$10:$B$16,"NCAP_TLIFE",$AX$10:$AX$16)),0,""))</f>
        <v/>
      </c>
      <c r="Y291" s="369" t="str">
        <f ca="1">IF($B291&lt;&gt;"PRC_RESID","",IF(Y$7=2005+OFFSET(COM_N_2012!$B$60,$AW291,SUMIF($B$10:$B$16,"NCAP_TLIFE",$AX$10:$AX$16)),0,""))</f>
        <v/>
      </c>
      <c r="Z291" s="369" t="str">
        <f ca="1">IF($B291&lt;&gt;"PRC_RESID","",IF(Z$7=2005+OFFSET(COM_N_2012!$B$60,$AW291,SUMIF($B$10:$B$16,"NCAP_TLIFE",$AX$10:$AX$16)),0,""))</f>
        <v/>
      </c>
      <c r="AA291" s="369" t="str">
        <f ca="1">IF($B291&lt;&gt;"PRC_RESID","",IF(AA$7=2005+OFFSET(COM_N_2012!$B$60,$AW291,SUMIF($B$10:$B$16,"NCAP_TLIFE",$AX$10:$AX$16)),0,""))</f>
        <v/>
      </c>
      <c r="AB291" s="369" t="str">
        <f ca="1">IF($B291&lt;&gt;"PRC_RESID","",IF(AB$7=2005+OFFSET(COM_N_2012!$B$60,$AW291,SUMIF($B$10:$B$16,"NCAP_TLIFE",$AX$10:$AX$16)),0,""))</f>
        <v/>
      </c>
      <c r="AC291" s="369" t="str">
        <f ca="1">IF($B291&lt;&gt;"PRC_RESID","",IF(AC$7=2005+OFFSET(COM_N_2012!$B$60,$AW291,SUMIF($B$10:$B$16,"NCAP_TLIFE",$AX$10:$AX$16)),0,""))</f>
        <v/>
      </c>
      <c r="AD291" s="369" t="str">
        <f ca="1">IF($B291&lt;&gt;"PRC_RESID","",IF(AD$7=2005+OFFSET(COM_N_2012!$B$60,$AW291,SUMIF($B$10:$B$16,"NCAP_TLIFE",$AX$10:$AX$16)),0,""))</f>
        <v/>
      </c>
      <c r="AE291" s="369" t="str">
        <f ca="1">IF($B291&lt;&gt;"PRC_RESID","",IF(AE$7=2005+OFFSET(COM_N_2012!$B$60,$AW291,SUMIF($B$10:$B$16,"NCAP_TLIFE",$AX$10:$AX$16)),0,""))</f>
        <v/>
      </c>
      <c r="AF291" s="369" t="str">
        <f ca="1">IF($B291&lt;&gt;"PRC_RESID","",IF(AF$7=2005+OFFSET(COM_N_2012!$B$60,$AW291,SUMIF($B$10:$B$16,"NCAP_TLIFE",$AX$10:$AX$16)),0,""))</f>
        <v/>
      </c>
      <c r="AG291" s="369" t="str">
        <f ca="1">IF($B291&lt;&gt;"PRC_RESID","",IF(AG$7=2005+OFFSET(COM_N_2012!$B$60,$AW291,SUMIF($B$10:$B$16,"NCAP_TLIFE",$AX$10:$AX$16)),0,""))</f>
        <v/>
      </c>
      <c r="AH291" s="369" t="str">
        <f ca="1">IF($B291&lt;&gt;"PRC_RESID","",IF(AH$7=2005+OFFSET(COM_N_2012!$B$60,$AW291,SUMIF($B$10:$B$16,"NCAP_TLIFE",$AX$10:$AX$16)),0,""))</f>
        <v/>
      </c>
      <c r="AI291" s="369" t="str">
        <f ca="1">IF($B291&lt;&gt;"PRC_RESID","",IF(AI$7=2005+OFFSET(COM_N_2012!$B$60,$AW291,SUMIF($B$10:$B$16,"NCAP_TLIFE",$AX$10:$AX$16)),0,""))</f>
        <v/>
      </c>
      <c r="AJ291" s="369" t="str">
        <f ca="1">IF($B291&lt;&gt;"PRC_RESID","",IF(AJ$7=2005+OFFSET(COM_N_2012!$B$60,$AW291,SUMIF($B$10:$B$16,"NCAP_TLIFE",$AX$10:$AX$16)),0,""))</f>
        <v/>
      </c>
      <c r="AK291" s="369" t="str">
        <f ca="1">IF($B291&lt;&gt;"PRC_RESID","",IF(AK$7=2005+OFFSET(COM_N_2012!$B$60,$AW291,SUMIF($B$10:$B$16,"NCAP_TLIFE",$AX$10:$AX$16)),0,""))</f>
        <v/>
      </c>
      <c r="AL291" s="369" t="str">
        <f ca="1">IF($B291&lt;&gt;"PRC_RESID","",IF(AL$7=2005+OFFSET(COM_N_2012!$B$60,$AW291,SUMIF($B$10:$B$16,"NCAP_TLIFE",$AX$10:$AX$16)),0,""))</f>
        <v/>
      </c>
      <c r="AM291" s="369" t="str">
        <f ca="1">IF($B291&lt;&gt;"PRC_RESID","",IF(AM$7=2005+OFFSET(COM_N_2012!$B$60,$AW291,SUMIF($B$10:$B$16,"NCAP_TLIFE",$AX$10:$AX$16)),0,""))</f>
        <v/>
      </c>
      <c r="AN291" s="369" t="str">
        <f ca="1">IF($B291&lt;&gt;"PRC_RESID","",IF(AN$7=2005+OFFSET(COM_N_2012!$B$60,$AW291,SUMIF($B$10:$B$16,"NCAP_TLIFE",$AX$10:$AX$16)),0,""))</f>
        <v/>
      </c>
      <c r="AO291" s="369" t="str">
        <f ca="1">IF($B291&lt;&gt;"PRC_RESID","",IF(AO$7=2005+OFFSET(COM_N_2012!$B$60,$AW291,SUMIF($B$10:$B$16,"NCAP_TLIFE",$AX$10:$AX$16)),0,""))</f>
        <v/>
      </c>
      <c r="AP291" s="369" t="str">
        <f ca="1">IF($B291&lt;&gt;"PRC_RESID","",IF(AP$7=2005+OFFSET(COM_N_2012!$B$60,$AW291,SUMIF($B$10:$B$16,"NCAP_TLIFE",$AX$10:$AX$16)),0,""))</f>
        <v/>
      </c>
      <c r="AQ291" s="369" t="str">
        <f ca="1">IF($B291&lt;&gt;"PRC_RESID","",IF(AQ$7=2005+OFFSET(COM_N_2012!$B$60,$AW291,SUMIF($B$10:$B$16,"NCAP_TLIFE",$AX$10:$AX$16)),0,""))</f>
        <v/>
      </c>
      <c r="AR291" s="369" t="str">
        <f ca="1">IF($B291&lt;&gt;"PRC_RESID","",IF(AR$7=2005+OFFSET(COM_N_2012!$B$60,$AW291,SUMIF($B$10:$B$16,"NCAP_TLIFE",$AX$10:$AX$16)),0,""))</f>
        <v/>
      </c>
      <c r="AS291" s="369" t="str">
        <f ca="1">IF($B291&lt;&gt;"PRC_RESID","",IF(AS$7=2005+OFFSET(COM_N_2012!$B$60,$AW291,SUMIF($B$10:$B$16,"NCAP_TLIFE",$AX$10:$AX$16)),0,""))</f>
        <v/>
      </c>
      <c r="AT291" s="369" t="str">
        <f ca="1">IF($B291&lt;&gt;"PRC_RESID","",IF(AT$7=2005+OFFSET(COM_N_2012!$B$60,$AW291,SUMIF($B$10:$B$16,"NCAP_TLIFE",$AX$10:$AX$16)),0,""))</f>
        <v/>
      </c>
      <c r="AU291" s="369" t="str">
        <f ca="1">IF($B291&lt;&gt;"PRC_RESID","",IF(AU$7=2005+OFFSET(COM_N_2012!$B$60,$AW291,SUMIF($B$10:$B$16,"NCAP_TLIFE",$AX$10:$AX$16)),0,""))</f>
        <v/>
      </c>
      <c r="AV291" s="304">
        <f>IF(AW290=COM_N_2012!$AK$121,AV290+1,AV290)</f>
        <v>5</v>
      </c>
      <c r="AW291" s="304">
        <f t="shared" si="37"/>
        <v>30</v>
      </c>
    </row>
    <row r="292" spans="1:49">
      <c r="A292" s="304" t="str">
        <f ca="1">IF(LEFT(OFFSET(COM_N_2012!$A$60,AW292,0),2)="\I","*","")</f>
        <v>*</v>
      </c>
      <c r="B292" s="369" t="str">
        <f t="shared" ca="1" si="36"/>
        <v/>
      </c>
      <c r="C292" s="369" t="str">
        <f ca="1">IF($A292="*","",OFFSET(COM_N_2012!$B$60,AW292,0))</f>
        <v/>
      </c>
      <c r="D292" s="369" t="str">
        <f t="shared" ca="1" si="39"/>
        <v/>
      </c>
      <c r="E292" s="369" t="str">
        <f t="shared" ca="1" si="39"/>
        <v/>
      </c>
      <c r="F292" s="369" t="str">
        <f t="shared" ca="1" si="39"/>
        <v/>
      </c>
      <c r="G292" s="369" t="str">
        <f t="shared" ca="1" si="39"/>
        <v/>
      </c>
      <c r="H292" s="369" t="str">
        <f t="shared" ca="1" si="39"/>
        <v/>
      </c>
      <c r="I292" s="370" t="str">
        <f t="shared" ca="1" si="39"/>
        <v/>
      </c>
      <c r="J292" s="391" t="str">
        <f ca="1">IF($A292="*","",OFFSET(COM_N_2012!$B$60,AW292,SUMIF($B$10:$B$16,B292,$AX$10:$AX$16)))</f>
        <v/>
      </c>
      <c r="K292" s="369" t="str">
        <f ca="1">IF($B292&lt;&gt;"PRC_RESID","",IF(K$7=2005+OFFSET(COM_N_2012!$B$60,$AW292,SUMIF($B$10:$B$16,"NCAP_TLIFE",$AX$10:$AX$16)),0,""))</f>
        <v/>
      </c>
      <c r="L292" s="369" t="str">
        <f ca="1">IF($B292&lt;&gt;"PRC_RESID","",IF(L$7=2005+OFFSET(COM_N_2012!$B$60,$AW292,SUMIF($B$10:$B$16,"NCAP_TLIFE",$AX$10:$AX$16)),0,""))</f>
        <v/>
      </c>
      <c r="M292" s="369" t="str">
        <f ca="1">IF($B292&lt;&gt;"PRC_RESID","",IF(M$7=2005+OFFSET(COM_N_2012!$B$60,$AW292,SUMIF($B$10:$B$16,"NCAP_TLIFE",$AX$10:$AX$16)),0,""))</f>
        <v/>
      </c>
      <c r="N292" s="369" t="str">
        <f ca="1">IF($B292&lt;&gt;"PRC_RESID","",IF(N$7=2005+OFFSET(COM_N_2012!$B$60,$AW292,SUMIF($B$10:$B$16,"NCAP_TLIFE",$AX$10:$AX$16)),0,""))</f>
        <v/>
      </c>
      <c r="O292" s="369" t="str">
        <f ca="1">IF($B292&lt;&gt;"PRC_RESID","",IF(O$7=2005+OFFSET(COM_N_2012!$B$60,$AW292,SUMIF($B$10:$B$16,"NCAP_TLIFE",$AX$10:$AX$16)),0,""))</f>
        <v/>
      </c>
      <c r="P292" s="369" t="str">
        <f ca="1">IF($B292&lt;&gt;"PRC_RESID","",IF(P$7=2005+OFFSET(COM_N_2012!$B$60,$AW292,SUMIF($B$10:$B$16,"NCAP_TLIFE",$AX$10:$AX$16)),0,""))</f>
        <v/>
      </c>
      <c r="Q292" s="369" t="str">
        <f ca="1">IF($B292&lt;&gt;"PRC_RESID","",IF(Q$7=2005+OFFSET(COM_N_2012!$B$60,$AW292,SUMIF($B$10:$B$16,"NCAP_TLIFE",$AX$10:$AX$16)),0,""))</f>
        <v/>
      </c>
      <c r="R292" s="369" t="str">
        <f ca="1">IF($B292&lt;&gt;"PRC_RESID","",IF(R$7=2005+OFFSET(COM_N_2012!$B$60,$AW292,SUMIF($B$10:$B$16,"NCAP_TLIFE",$AX$10:$AX$16)),0,""))</f>
        <v/>
      </c>
      <c r="S292" s="369" t="str">
        <f ca="1">IF($B292&lt;&gt;"PRC_RESID","",IF(S$7=2005+OFFSET(COM_N_2012!$B$60,$AW292,SUMIF($B$10:$B$16,"NCAP_TLIFE",$AX$10:$AX$16)),0,""))</f>
        <v/>
      </c>
      <c r="T292" s="369" t="str">
        <f ca="1">IF($B292&lt;&gt;"PRC_RESID","",IF(T$7=2005+OFFSET(COM_N_2012!$B$60,$AW292,SUMIF($B$10:$B$16,"NCAP_TLIFE",$AX$10:$AX$16)),0,""))</f>
        <v/>
      </c>
      <c r="U292" s="369" t="str">
        <f ca="1">IF($B292&lt;&gt;"PRC_RESID","",IF(U$7=2005+OFFSET(COM_N_2012!$B$60,$AW292,SUMIF($B$10:$B$16,"NCAP_TLIFE",$AX$10:$AX$16)),0,""))</f>
        <v/>
      </c>
      <c r="V292" s="369" t="str">
        <f ca="1">IF($B292&lt;&gt;"PRC_RESID","",IF(V$7=2005+OFFSET(COM_N_2012!$B$60,$AW292,SUMIF($B$10:$B$16,"NCAP_TLIFE",$AX$10:$AX$16)),0,""))</f>
        <v/>
      </c>
      <c r="W292" s="369" t="str">
        <f ca="1">IF($B292&lt;&gt;"PRC_RESID","",IF(W$7=2005+OFFSET(COM_N_2012!$B$60,$AW292,SUMIF($B$10:$B$16,"NCAP_TLIFE",$AX$10:$AX$16)),0,""))</f>
        <v/>
      </c>
      <c r="X292" s="369" t="str">
        <f ca="1">IF($B292&lt;&gt;"PRC_RESID","",IF(X$7=2005+OFFSET(COM_N_2012!$B$60,$AW292,SUMIF($B$10:$B$16,"NCAP_TLIFE",$AX$10:$AX$16)),0,""))</f>
        <v/>
      </c>
      <c r="Y292" s="369" t="str">
        <f ca="1">IF($B292&lt;&gt;"PRC_RESID","",IF(Y$7=2005+OFFSET(COM_N_2012!$B$60,$AW292,SUMIF($B$10:$B$16,"NCAP_TLIFE",$AX$10:$AX$16)),0,""))</f>
        <v/>
      </c>
      <c r="Z292" s="369" t="str">
        <f ca="1">IF($B292&lt;&gt;"PRC_RESID","",IF(Z$7=2005+OFFSET(COM_N_2012!$B$60,$AW292,SUMIF($B$10:$B$16,"NCAP_TLIFE",$AX$10:$AX$16)),0,""))</f>
        <v/>
      </c>
      <c r="AA292" s="369" t="str">
        <f ca="1">IF($B292&lt;&gt;"PRC_RESID","",IF(AA$7=2005+OFFSET(COM_N_2012!$B$60,$AW292,SUMIF($B$10:$B$16,"NCAP_TLIFE",$AX$10:$AX$16)),0,""))</f>
        <v/>
      </c>
      <c r="AB292" s="369" t="str">
        <f ca="1">IF($B292&lt;&gt;"PRC_RESID","",IF(AB$7=2005+OFFSET(COM_N_2012!$B$60,$AW292,SUMIF($B$10:$B$16,"NCAP_TLIFE",$AX$10:$AX$16)),0,""))</f>
        <v/>
      </c>
      <c r="AC292" s="369" t="str">
        <f ca="1">IF($B292&lt;&gt;"PRC_RESID","",IF(AC$7=2005+OFFSET(COM_N_2012!$B$60,$AW292,SUMIF($B$10:$B$16,"NCAP_TLIFE",$AX$10:$AX$16)),0,""))</f>
        <v/>
      </c>
      <c r="AD292" s="369" t="str">
        <f ca="1">IF($B292&lt;&gt;"PRC_RESID","",IF(AD$7=2005+OFFSET(COM_N_2012!$B$60,$AW292,SUMIF($B$10:$B$16,"NCAP_TLIFE",$AX$10:$AX$16)),0,""))</f>
        <v/>
      </c>
      <c r="AE292" s="369" t="str">
        <f ca="1">IF($B292&lt;&gt;"PRC_RESID","",IF(AE$7=2005+OFFSET(COM_N_2012!$B$60,$AW292,SUMIF($B$10:$B$16,"NCAP_TLIFE",$AX$10:$AX$16)),0,""))</f>
        <v/>
      </c>
      <c r="AF292" s="369" t="str">
        <f ca="1">IF($B292&lt;&gt;"PRC_RESID","",IF(AF$7=2005+OFFSET(COM_N_2012!$B$60,$AW292,SUMIF($B$10:$B$16,"NCAP_TLIFE",$AX$10:$AX$16)),0,""))</f>
        <v/>
      </c>
      <c r="AG292" s="369" t="str">
        <f ca="1">IF($B292&lt;&gt;"PRC_RESID","",IF(AG$7=2005+OFFSET(COM_N_2012!$B$60,$AW292,SUMIF($B$10:$B$16,"NCAP_TLIFE",$AX$10:$AX$16)),0,""))</f>
        <v/>
      </c>
      <c r="AH292" s="369" t="str">
        <f ca="1">IF($B292&lt;&gt;"PRC_RESID","",IF(AH$7=2005+OFFSET(COM_N_2012!$B$60,$AW292,SUMIF($B$10:$B$16,"NCAP_TLIFE",$AX$10:$AX$16)),0,""))</f>
        <v/>
      </c>
      <c r="AI292" s="369" t="str">
        <f ca="1">IF($B292&lt;&gt;"PRC_RESID","",IF(AI$7=2005+OFFSET(COM_N_2012!$B$60,$AW292,SUMIF($B$10:$B$16,"NCAP_TLIFE",$AX$10:$AX$16)),0,""))</f>
        <v/>
      </c>
      <c r="AJ292" s="369" t="str">
        <f ca="1">IF($B292&lt;&gt;"PRC_RESID","",IF(AJ$7=2005+OFFSET(COM_N_2012!$B$60,$AW292,SUMIF($B$10:$B$16,"NCAP_TLIFE",$AX$10:$AX$16)),0,""))</f>
        <v/>
      </c>
      <c r="AK292" s="369" t="str">
        <f ca="1">IF($B292&lt;&gt;"PRC_RESID","",IF(AK$7=2005+OFFSET(COM_N_2012!$B$60,$AW292,SUMIF($B$10:$B$16,"NCAP_TLIFE",$AX$10:$AX$16)),0,""))</f>
        <v/>
      </c>
      <c r="AL292" s="369" t="str">
        <f ca="1">IF($B292&lt;&gt;"PRC_RESID","",IF(AL$7=2005+OFFSET(COM_N_2012!$B$60,$AW292,SUMIF($B$10:$B$16,"NCAP_TLIFE",$AX$10:$AX$16)),0,""))</f>
        <v/>
      </c>
      <c r="AM292" s="369" t="str">
        <f ca="1">IF($B292&lt;&gt;"PRC_RESID","",IF(AM$7=2005+OFFSET(COM_N_2012!$B$60,$AW292,SUMIF($B$10:$B$16,"NCAP_TLIFE",$AX$10:$AX$16)),0,""))</f>
        <v/>
      </c>
      <c r="AN292" s="369" t="str">
        <f ca="1">IF($B292&lt;&gt;"PRC_RESID","",IF(AN$7=2005+OFFSET(COM_N_2012!$B$60,$AW292,SUMIF($B$10:$B$16,"NCAP_TLIFE",$AX$10:$AX$16)),0,""))</f>
        <v/>
      </c>
      <c r="AO292" s="369" t="str">
        <f ca="1">IF($B292&lt;&gt;"PRC_RESID","",IF(AO$7=2005+OFFSET(COM_N_2012!$B$60,$AW292,SUMIF($B$10:$B$16,"NCAP_TLIFE",$AX$10:$AX$16)),0,""))</f>
        <v/>
      </c>
      <c r="AP292" s="369" t="str">
        <f ca="1">IF($B292&lt;&gt;"PRC_RESID","",IF(AP$7=2005+OFFSET(COM_N_2012!$B$60,$AW292,SUMIF($B$10:$B$16,"NCAP_TLIFE",$AX$10:$AX$16)),0,""))</f>
        <v/>
      </c>
      <c r="AQ292" s="369" t="str">
        <f ca="1">IF($B292&lt;&gt;"PRC_RESID","",IF(AQ$7=2005+OFFSET(COM_N_2012!$B$60,$AW292,SUMIF($B$10:$B$16,"NCAP_TLIFE",$AX$10:$AX$16)),0,""))</f>
        <v/>
      </c>
      <c r="AR292" s="369" t="str">
        <f ca="1">IF($B292&lt;&gt;"PRC_RESID","",IF(AR$7=2005+OFFSET(COM_N_2012!$B$60,$AW292,SUMIF($B$10:$B$16,"NCAP_TLIFE",$AX$10:$AX$16)),0,""))</f>
        <v/>
      </c>
      <c r="AS292" s="369" t="str">
        <f ca="1">IF($B292&lt;&gt;"PRC_RESID","",IF(AS$7=2005+OFFSET(COM_N_2012!$B$60,$AW292,SUMIF($B$10:$B$16,"NCAP_TLIFE",$AX$10:$AX$16)),0,""))</f>
        <v/>
      </c>
      <c r="AT292" s="369" t="str">
        <f ca="1">IF($B292&lt;&gt;"PRC_RESID","",IF(AT$7=2005+OFFSET(COM_N_2012!$B$60,$AW292,SUMIF($B$10:$B$16,"NCAP_TLIFE",$AX$10:$AX$16)),0,""))</f>
        <v/>
      </c>
      <c r="AU292" s="369" t="str">
        <f ca="1">IF($B292&lt;&gt;"PRC_RESID","",IF(AU$7=2005+OFFSET(COM_N_2012!$B$60,$AW292,SUMIF($B$10:$B$16,"NCAP_TLIFE",$AX$10:$AX$16)),0,""))</f>
        <v/>
      </c>
      <c r="AV292" s="304">
        <f>IF(AW291=COM_N_2012!$AK$121,AV291+1,AV291)</f>
        <v>5</v>
      </c>
      <c r="AW292" s="304">
        <f t="shared" si="37"/>
        <v>31</v>
      </c>
    </row>
    <row r="293" spans="1:49">
      <c r="A293" s="304" t="str">
        <f ca="1">IF(LEFT(OFFSET(COM_N_2012!$A$60,AW293,0),2)="\I","*","")</f>
        <v>*</v>
      </c>
      <c r="B293" s="369" t="str">
        <f t="shared" ca="1" si="36"/>
        <v/>
      </c>
      <c r="C293" s="369" t="str">
        <f ca="1">IF($A293="*","",OFFSET(COM_N_2012!$B$60,AW293,0))</f>
        <v/>
      </c>
      <c r="D293" s="369" t="str">
        <f t="shared" ca="1" si="39"/>
        <v/>
      </c>
      <c r="E293" s="369" t="str">
        <f t="shared" ca="1" si="39"/>
        <v/>
      </c>
      <c r="F293" s="369" t="str">
        <f t="shared" ca="1" si="39"/>
        <v/>
      </c>
      <c r="G293" s="369" t="str">
        <f t="shared" ca="1" si="39"/>
        <v/>
      </c>
      <c r="H293" s="369" t="str">
        <f t="shared" ca="1" si="39"/>
        <v/>
      </c>
      <c r="I293" s="370" t="str">
        <f t="shared" ca="1" si="39"/>
        <v/>
      </c>
      <c r="J293" s="391" t="str">
        <f ca="1">IF($A293="*","",OFFSET(COM_N_2012!$B$60,AW293,SUMIF($B$10:$B$16,B293,$AX$10:$AX$16)))</f>
        <v/>
      </c>
      <c r="K293" s="369" t="str">
        <f ca="1">IF($B293&lt;&gt;"PRC_RESID","",IF(K$7=2005+OFFSET(COM_N_2012!$B$60,$AW293,SUMIF($B$10:$B$16,"NCAP_TLIFE",$AX$10:$AX$16)),0,""))</f>
        <v/>
      </c>
      <c r="L293" s="369" t="str">
        <f ca="1">IF($B293&lt;&gt;"PRC_RESID","",IF(L$7=2005+OFFSET(COM_N_2012!$B$60,$AW293,SUMIF($B$10:$B$16,"NCAP_TLIFE",$AX$10:$AX$16)),0,""))</f>
        <v/>
      </c>
      <c r="M293" s="369" t="str">
        <f ca="1">IF($B293&lt;&gt;"PRC_RESID","",IF(M$7=2005+OFFSET(COM_N_2012!$B$60,$AW293,SUMIF($B$10:$B$16,"NCAP_TLIFE",$AX$10:$AX$16)),0,""))</f>
        <v/>
      </c>
      <c r="N293" s="369" t="str">
        <f ca="1">IF($B293&lt;&gt;"PRC_RESID","",IF(N$7=2005+OFFSET(COM_N_2012!$B$60,$AW293,SUMIF($B$10:$B$16,"NCAP_TLIFE",$AX$10:$AX$16)),0,""))</f>
        <v/>
      </c>
      <c r="O293" s="369" t="str">
        <f ca="1">IF($B293&lt;&gt;"PRC_RESID","",IF(O$7=2005+OFFSET(COM_N_2012!$B$60,$AW293,SUMIF($B$10:$B$16,"NCAP_TLIFE",$AX$10:$AX$16)),0,""))</f>
        <v/>
      </c>
      <c r="P293" s="369" t="str">
        <f ca="1">IF($B293&lt;&gt;"PRC_RESID","",IF(P$7=2005+OFFSET(COM_N_2012!$B$60,$AW293,SUMIF($B$10:$B$16,"NCAP_TLIFE",$AX$10:$AX$16)),0,""))</f>
        <v/>
      </c>
      <c r="Q293" s="369" t="str">
        <f ca="1">IF($B293&lt;&gt;"PRC_RESID","",IF(Q$7=2005+OFFSET(COM_N_2012!$B$60,$AW293,SUMIF($B$10:$B$16,"NCAP_TLIFE",$AX$10:$AX$16)),0,""))</f>
        <v/>
      </c>
      <c r="R293" s="369" t="str">
        <f ca="1">IF($B293&lt;&gt;"PRC_RESID","",IF(R$7=2005+OFFSET(COM_N_2012!$B$60,$AW293,SUMIF($B$10:$B$16,"NCAP_TLIFE",$AX$10:$AX$16)),0,""))</f>
        <v/>
      </c>
      <c r="S293" s="369" t="str">
        <f ca="1">IF($B293&lt;&gt;"PRC_RESID","",IF(S$7=2005+OFFSET(COM_N_2012!$B$60,$AW293,SUMIF($B$10:$B$16,"NCAP_TLIFE",$AX$10:$AX$16)),0,""))</f>
        <v/>
      </c>
      <c r="T293" s="369" t="str">
        <f ca="1">IF($B293&lt;&gt;"PRC_RESID","",IF(T$7=2005+OFFSET(COM_N_2012!$B$60,$AW293,SUMIF($B$10:$B$16,"NCAP_TLIFE",$AX$10:$AX$16)),0,""))</f>
        <v/>
      </c>
      <c r="U293" s="369" t="str">
        <f ca="1">IF($B293&lt;&gt;"PRC_RESID","",IF(U$7=2005+OFFSET(COM_N_2012!$B$60,$AW293,SUMIF($B$10:$B$16,"NCAP_TLIFE",$AX$10:$AX$16)),0,""))</f>
        <v/>
      </c>
      <c r="V293" s="369" t="str">
        <f ca="1">IF($B293&lt;&gt;"PRC_RESID","",IF(V$7=2005+OFFSET(COM_N_2012!$B$60,$AW293,SUMIF($B$10:$B$16,"NCAP_TLIFE",$AX$10:$AX$16)),0,""))</f>
        <v/>
      </c>
      <c r="W293" s="369" t="str">
        <f ca="1">IF($B293&lt;&gt;"PRC_RESID","",IF(W$7=2005+OFFSET(COM_N_2012!$B$60,$AW293,SUMIF($B$10:$B$16,"NCAP_TLIFE",$AX$10:$AX$16)),0,""))</f>
        <v/>
      </c>
      <c r="X293" s="369" t="str">
        <f ca="1">IF($B293&lt;&gt;"PRC_RESID","",IF(X$7=2005+OFFSET(COM_N_2012!$B$60,$AW293,SUMIF($B$10:$B$16,"NCAP_TLIFE",$AX$10:$AX$16)),0,""))</f>
        <v/>
      </c>
      <c r="Y293" s="369" t="str">
        <f ca="1">IF($B293&lt;&gt;"PRC_RESID","",IF(Y$7=2005+OFFSET(COM_N_2012!$B$60,$AW293,SUMIF($B$10:$B$16,"NCAP_TLIFE",$AX$10:$AX$16)),0,""))</f>
        <v/>
      </c>
      <c r="Z293" s="369" t="str">
        <f ca="1">IF($B293&lt;&gt;"PRC_RESID","",IF(Z$7=2005+OFFSET(COM_N_2012!$B$60,$AW293,SUMIF($B$10:$B$16,"NCAP_TLIFE",$AX$10:$AX$16)),0,""))</f>
        <v/>
      </c>
      <c r="AA293" s="369" t="str">
        <f ca="1">IF($B293&lt;&gt;"PRC_RESID","",IF(AA$7=2005+OFFSET(COM_N_2012!$B$60,$AW293,SUMIF($B$10:$B$16,"NCAP_TLIFE",$AX$10:$AX$16)),0,""))</f>
        <v/>
      </c>
      <c r="AB293" s="369" t="str">
        <f ca="1">IF($B293&lt;&gt;"PRC_RESID","",IF(AB$7=2005+OFFSET(COM_N_2012!$B$60,$AW293,SUMIF($B$10:$B$16,"NCAP_TLIFE",$AX$10:$AX$16)),0,""))</f>
        <v/>
      </c>
      <c r="AC293" s="369" t="str">
        <f ca="1">IF($B293&lt;&gt;"PRC_RESID","",IF(AC$7=2005+OFFSET(COM_N_2012!$B$60,$AW293,SUMIF($B$10:$B$16,"NCAP_TLIFE",$AX$10:$AX$16)),0,""))</f>
        <v/>
      </c>
      <c r="AD293" s="369" t="str">
        <f ca="1">IF($B293&lt;&gt;"PRC_RESID","",IF(AD$7=2005+OFFSET(COM_N_2012!$B$60,$AW293,SUMIF($B$10:$B$16,"NCAP_TLIFE",$AX$10:$AX$16)),0,""))</f>
        <v/>
      </c>
      <c r="AE293" s="369" t="str">
        <f ca="1">IF($B293&lt;&gt;"PRC_RESID","",IF(AE$7=2005+OFFSET(COM_N_2012!$B$60,$AW293,SUMIF($B$10:$B$16,"NCAP_TLIFE",$AX$10:$AX$16)),0,""))</f>
        <v/>
      </c>
      <c r="AF293" s="369" t="str">
        <f ca="1">IF($B293&lt;&gt;"PRC_RESID","",IF(AF$7=2005+OFFSET(COM_N_2012!$B$60,$AW293,SUMIF($B$10:$B$16,"NCAP_TLIFE",$AX$10:$AX$16)),0,""))</f>
        <v/>
      </c>
      <c r="AG293" s="369" t="str">
        <f ca="1">IF($B293&lt;&gt;"PRC_RESID","",IF(AG$7=2005+OFFSET(COM_N_2012!$B$60,$AW293,SUMIF($B$10:$B$16,"NCAP_TLIFE",$AX$10:$AX$16)),0,""))</f>
        <v/>
      </c>
      <c r="AH293" s="369" t="str">
        <f ca="1">IF($B293&lt;&gt;"PRC_RESID","",IF(AH$7=2005+OFFSET(COM_N_2012!$B$60,$AW293,SUMIF($B$10:$B$16,"NCAP_TLIFE",$AX$10:$AX$16)),0,""))</f>
        <v/>
      </c>
      <c r="AI293" s="369" t="str">
        <f ca="1">IF($B293&lt;&gt;"PRC_RESID","",IF(AI$7=2005+OFFSET(COM_N_2012!$B$60,$AW293,SUMIF($B$10:$B$16,"NCAP_TLIFE",$AX$10:$AX$16)),0,""))</f>
        <v/>
      </c>
      <c r="AJ293" s="369" t="str">
        <f ca="1">IF($B293&lt;&gt;"PRC_RESID","",IF(AJ$7=2005+OFFSET(COM_N_2012!$B$60,$AW293,SUMIF($B$10:$B$16,"NCAP_TLIFE",$AX$10:$AX$16)),0,""))</f>
        <v/>
      </c>
      <c r="AK293" s="369" t="str">
        <f ca="1">IF($B293&lt;&gt;"PRC_RESID","",IF(AK$7=2005+OFFSET(COM_N_2012!$B$60,$AW293,SUMIF($B$10:$B$16,"NCAP_TLIFE",$AX$10:$AX$16)),0,""))</f>
        <v/>
      </c>
      <c r="AL293" s="369" t="str">
        <f ca="1">IF($B293&lt;&gt;"PRC_RESID","",IF(AL$7=2005+OFFSET(COM_N_2012!$B$60,$AW293,SUMIF($B$10:$B$16,"NCAP_TLIFE",$AX$10:$AX$16)),0,""))</f>
        <v/>
      </c>
      <c r="AM293" s="369" t="str">
        <f ca="1">IF($B293&lt;&gt;"PRC_RESID","",IF(AM$7=2005+OFFSET(COM_N_2012!$B$60,$AW293,SUMIF($B$10:$B$16,"NCAP_TLIFE",$AX$10:$AX$16)),0,""))</f>
        <v/>
      </c>
      <c r="AN293" s="369" t="str">
        <f ca="1">IF($B293&lt;&gt;"PRC_RESID","",IF(AN$7=2005+OFFSET(COM_N_2012!$B$60,$AW293,SUMIF($B$10:$B$16,"NCAP_TLIFE",$AX$10:$AX$16)),0,""))</f>
        <v/>
      </c>
      <c r="AO293" s="369" t="str">
        <f ca="1">IF($B293&lt;&gt;"PRC_RESID","",IF(AO$7=2005+OFFSET(COM_N_2012!$B$60,$AW293,SUMIF($B$10:$B$16,"NCAP_TLIFE",$AX$10:$AX$16)),0,""))</f>
        <v/>
      </c>
      <c r="AP293" s="369" t="str">
        <f ca="1">IF($B293&lt;&gt;"PRC_RESID","",IF(AP$7=2005+OFFSET(COM_N_2012!$B$60,$AW293,SUMIF($B$10:$B$16,"NCAP_TLIFE",$AX$10:$AX$16)),0,""))</f>
        <v/>
      </c>
      <c r="AQ293" s="369" t="str">
        <f ca="1">IF($B293&lt;&gt;"PRC_RESID","",IF(AQ$7=2005+OFFSET(COM_N_2012!$B$60,$AW293,SUMIF($B$10:$B$16,"NCAP_TLIFE",$AX$10:$AX$16)),0,""))</f>
        <v/>
      </c>
      <c r="AR293" s="369" t="str">
        <f ca="1">IF($B293&lt;&gt;"PRC_RESID","",IF(AR$7=2005+OFFSET(COM_N_2012!$B$60,$AW293,SUMIF($B$10:$B$16,"NCAP_TLIFE",$AX$10:$AX$16)),0,""))</f>
        <v/>
      </c>
      <c r="AS293" s="369" t="str">
        <f ca="1">IF($B293&lt;&gt;"PRC_RESID","",IF(AS$7=2005+OFFSET(COM_N_2012!$B$60,$AW293,SUMIF($B$10:$B$16,"NCAP_TLIFE",$AX$10:$AX$16)),0,""))</f>
        <v/>
      </c>
      <c r="AT293" s="369" t="str">
        <f ca="1">IF($B293&lt;&gt;"PRC_RESID","",IF(AT$7=2005+OFFSET(COM_N_2012!$B$60,$AW293,SUMIF($B$10:$B$16,"NCAP_TLIFE",$AX$10:$AX$16)),0,""))</f>
        <v/>
      </c>
      <c r="AU293" s="369" t="str">
        <f ca="1">IF($B293&lt;&gt;"PRC_RESID","",IF(AU$7=2005+OFFSET(COM_N_2012!$B$60,$AW293,SUMIF($B$10:$B$16,"NCAP_TLIFE",$AX$10:$AX$16)),0,""))</f>
        <v/>
      </c>
      <c r="AV293" s="304">
        <f>IF(AW292=COM_N_2012!$AK$121,AV292+1,AV292)</f>
        <v>5</v>
      </c>
      <c r="AW293" s="304">
        <f t="shared" si="37"/>
        <v>32</v>
      </c>
    </row>
    <row r="294" spans="1:49">
      <c r="A294" s="304" t="str">
        <f ca="1">IF(LEFT(OFFSET(COM_N_2012!$A$60,AW294,0),2)="\I","*","")</f>
        <v/>
      </c>
      <c r="B294" s="369" t="str">
        <f t="shared" ca="1" si="36"/>
        <v>NCAP_FOM</v>
      </c>
      <c r="C294" s="369" t="str">
        <f ca="1">IF($A294="*","",OFFSET(COM_N_2012!$B$60,AW294,0))</f>
        <v>CNWELC-E</v>
      </c>
      <c r="D294" s="369" t="str">
        <f t="shared" ca="1" si="39"/>
        <v>-</v>
      </c>
      <c r="E294" s="369" t="str">
        <f t="shared" ca="1" si="39"/>
        <v>-</v>
      </c>
      <c r="F294" s="369" t="str">
        <f t="shared" ca="1" si="39"/>
        <v>-</v>
      </c>
      <c r="G294" s="369" t="str">
        <f t="shared" ca="1" si="39"/>
        <v>-</v>
      </c>
      <c r="H294" s="369" t="str">
        <f t="shared" ca="1" si="39"/>
        <v>-</v>
      </c>
      <c r="I294" s="370">
        <f t="shared" ca="1" si="39"/>
        <v>0</v>
      </c>
      <c r="J294" s="391">
        <f ca="1">IF($A294="*","",OFFSET(COM_N_2012!$B$60,AW294,SUMIF($B$10:$B$16,B294,$AX$10:$AX$16)))</f>
        <v>3.1581453839889382</v>
      </c>
      <c r="K294" s="369" t="str">
        <f ca="1">IF($B294&lt;&gt;"PRC_RESID","",IF(K$7=2005+OFFSET(COM_N_2012!$B$60,$AW294,SUMIF($B$10:$B$16,"NCAP_TLIFE",$AX$10:$AX$16)),0,""))</f>
        <v/>
      </c>
      <c r="L294" s="369" t="str">
        <f ca="1">IF($B294&lt;&gt;"PRC_RESID","",IF(L$7=2005+OFFSET(COM_N_2012!$B$60,$AW294,SUMIF($B$10:$B$16,"NCAP_TLIFE",$AX$10:$AX$16)),0,""))</f>
        <v/>
      </c>
      <c r="M294" s="369" t="str">
        <f ca="1">IF($B294&lt;&gt;"PRC_RESID","",IF(M$7=2005+OFFSET(COM_N_2012!$B$60,$AW294,SUMIF($B$10:$B$16,"NCAP_TLIFE",$AX$10:$AX$16)),0,""))</f>
        <v/>
      </c>
      <c r="N294" s="369" t="str">
        <f ca="1">IF($B294&lt;&gt;"PRC_RESID","",IF(N$7=2005+OFFSET(COM_N_2012!$B$60,$AW294,SUMIF($B$10:$B$16,"NCAP_TLIFE",$AX$10:$AX$16)),0,""))</f>
        <v/>
      </c>
      <c r="O294" s="369" t="str">
        <f ca="1">IF($B294&lt;&gt;"PRC_RESID","",IF(O$7=2005+OFFSET(COM_N_2012!$B$60,$AW294,SUMIF($B$10:$B$16,"NCAP_TLIFE",$AX$10:$AX$16)),0,""))</f>
        <v/>
      </c>
      <c r="P294" s="369" t="str">
        <f ca="1">IF($B294&lt;&gt;"PRC_RESID","",IF(P$7=2005+OFFSET(COM_N_2012!$B$60,$AW294,SUMIF($B$10:$B$16,"NCAP_TLIFE",$AX$10:$AX$16)),0,""))</f>
        <v/>
      </c>
      <c r="Q294" s="369" t="str">
        <f ca="1">IF($B294&lt;&gt;"PRC_RESID","",IF(Q$7=2005+OFFSET(COM_N_2012!$B$60,$AW294,SUMIF($B$10:$B$16,"NCAP_TLIFE",$AX$10:$AX$16)),0,""))</f>
        <v/>
      </c>
      <c r="R294" s="369" t="str">
        <f ca="1">IF($B294&lt;&gt;"PRC_RESID","",IF(R$7=2005+OFFSET(COM_N_2012!$B$60,$AW294,SUMIF($B$10:$B$16,"NCAP_TLIFE",$AX$10:$AX$16)),0,""))</f>
        <v/>
      </c>
      <c r="S294" s="369" t="str">
        <f ca="1">IF($B294&lt;&gt;"PRC_RESID","",IF(S$7=2005+OFFSET(COM_N_2012!$B$60,$AW294,SUMIF($B$10:$B$16,"NCAP_TLIFE",$AX$10:$AX$16)),0,""))</f>
        <v/>
      </c>
      <c r="T294" s="369" t="str">
        <f ca="1">IF($B294&lt;&gt;"PRC_RESID","",IF(T$7=2005+OFFSET(COM_N_2012!$B$60,$AW294,SUMIF($B$10:$B$16,"NCAP_TLIFE",$AX$10:$AX$16)),0,""))</f>
        <v/>
      </c>
      <c r="U294" s="369" t="str">
        <f ca="1">IF($B294&lt;&gt;"PRC_RESID","",IF(U$7=2005+OFFSET(COM_N_2012!$B$60,$AW294,SUMIF($B$10:$B$16,"NCAP_TLIFE",$AX$10:$AX$16)),0,""))</f>
        <v/>
      </c>
      <c r="V294" s="369" t="str">
        <f ca="1">IF($B294&lt;&gt;"PRC_RESID","",IF(V$7=2005+OFFSET(COM_N_2012!$B$60,$AW294,SUMIF($B$10:$B$16,"NCAP_TLIFE",$AX$10:$AX$16)),0,""))</f>
        <v/>
      </c>
      <c r="W294" s="369" t="str">
        <f ca="1">IF($B294&lt;&gt;"PRC_RESID","",IF(W$7=2005+OFFSET(COM_N_2012!$B$60,$AW294,SUMIF($B$10:$B$16,"NCAP_TLIFE",$AX$10:$AX$16)),0,""))</f>
        <v/>
      </c>
      <c r="X294" s="369" t="str">
        <f ca="1">IF($B294&lt;&gt;"PRC_RESID","",IF(X$7=2005+OFFSET(COM_N_2012!$B$60,$AW294,SUMIF($B$10:$B$16,"NCAP_TLIFE",$AX$10:$AX$16)),0,""))</f>
        <v/>
      </c>
      <c r="Y294" s="369" t="str">
        <f ca="1">IF($B294&lt;&gt;"PRC_RESID","",IF(Y$7=2005+OFFSET(COM_N_2012!$B$60,$AW294,SUMIF($B$10:$B$16,"NCAP_TLIFE",$AX$10:$AX$16)),0,""))</f>
        <v/>
      </c>
      <c r="Z294" s="369" t="str">
        <f ca="1">IF($B294&lt;&gt;"PRC_RESID","",IF(Z$7=2005+OFFSET(COM_N_2012!$B$60,$AW294,SUMIF($B$10:$B$16,"NCAP_TLIFE",$AX$10:$AX$16)),0,""))</f>
        <v/>
      </c>
      <c r="AA294" s="369" t="str">
        <f ca="1">IF($B294&lt;&gt;"PRC_RESID","",IF(AA$7=2005+OFFSET(COM_N_2012!$B$60,$AW294,SUMIF($B$10:$B$16,"NCAP_TLIFE",$AX$10:$AX$16)),0,""))</f>
        <v/>
      </c>
      <c r="AB294" s="369" t="str">
        <f ca="1">IF($B294&lt;&gt;"PRC_RESID","",IF(AB$7=2005+OFFSET(COM_N_2012!$B$60,$AW294,SUMIF($B$10:$B$16,"NCAP_TLIFE",$AX$10:$AX$16)),0,""))</f>
        <v/>
      </c>
      <c r="AC294" s="369" t="str">
        <f ca="1">IF($B294&lt;&gt;"PRC_RESID","",IF(AC$7=2005+OFFSET(COM_N_2012!$B$60,$AW294,SUMIF($B$10:$B$16,"NCAP_TLIFE",$AX$10:$AX$16)),0,""))</f>
        <v/>
      </c>
      <c r="AD294" s="369" t="str">
        <f ca="1">IF($B294&lt;&gt;"PRC_RESID","",IF(AD$7=2005+OFFSET(COM_N_2012!$B$60,$AW294,SUMIF($B$10:$B$16,"NCAP_TLIFE",$AX$10:$AX$16)),0,""))</f>
        <v/>
      </c>
      <c r="AE294" s="369" t="str">
        <f ca="1">IF($B294&lt;&gt;"PRC_RESID","",IF(AE$7=2005+OFFSET(COM_N_2012!$B$60,$AW294,SUMIF($B$10:$B$16,"NCAP_TLIFE",$AX$10:$AX$16)),0,""))</f>
        <v/>
      </c>
      <c r="AF294" s="369" t="str">
        <f ca="1">IF($B294&lt;&gt;"PRC_RESID","",IF(AF$7=2005+OFFSET(COM_N_2012!$B$60,$AW294,SUMIF($B$10:$B$16,"NCAP_TLIFE",$AX$10:$AX$16)),0,""))</f>
        <v/>
      </c>
      <c r="AG294" s="369" t="str">
        <f ca="1">IF($B294&lt;&gt;"PRC_RESID","",IF(AG$7=2005+OFFSET(COM_N_2012!$B$60,$AW294,SUMIF($B$10:$B$16,"NCAP_TLIFE",$AX$10:$AX$16)),0,""))</f>
        <v/>
      </c>
      <c r="AH294" s="369" t="str">
        <f ca="1">IF($B294&lt;&gt;"PRC_RESID","",IF(AH$7=2005+OFFSET(COM_N_2012!$B$60,$AW294,SUMIF($B$10:$B$16,"NCAP_TLIFE",$AX$10:$AX$16)),0,""))</f>
        <v/>
      </c>
      <c r="AI294" s="369" t="str">
        <f ca="1">IF($B294&lt;&gt;"PRC_RESID","",IF(AI$7=2005+OFFSET(COM_N_2012!$B$60,$AW294,SUMIF($B$10:$B$16,"NCAP_TLIFE",$AX$10:$AX$16)),0,""))</f>
        <v/>
      </c>
      <c r="AJ294" s="369" t="str">
        <f ca="1">IF($B294&lt;&gt;"PRC_RESID","",IF(AJ$7=2005+OFFSET(COM_N_2012!$B$60,$AW294,SUMIF($B$10:$B$16,"NCAP_TLIFE",$AX$10:$AX$16)),0,""))</f>
        <v/>
      </c>
      <c r="AK294" s="369" t="str">
        <f ca="1">IF($B294&lt;&gt;"PRC_RESID","",IF(AK$7=2005+OFFSET(COM_N_2012!$B$60,$AW294,SUMIF($B$10:$B$16,"NCAP_TLIFE",$AX$10:$AX$16)),0,""))</f>
        <v/>
      </c>
      <c r="AL294" s="369" t="str">
        <f ca="1">IF($B294&lt;&gt;"PRC_RESID","",IF(AL$7=2005+OFFSET(COM_N_2012!$B$60,$AW294,SUMIF($B$10:$B$16,"NCAP_TLIFE",$AX$10:$AX$16)),0,""))</f>
        <v/>
      </c>
      <c r="AM294" s="369" t="str">
        <f ca="1">IF($B294&lt;&gt;"PRC_RESID","",IF(AM$7=2005+OFFSET(COM_N_2012!$B$60,$AW294,SUMIF($B$10:$B$16,"NCAP_TLIFE",$AX$10:$AX$16)),0,""))</f>
        <v/>
      </c>
      <c r="AN294" s="369" t="str">
        <f ca="1">IF($B294&lt;&gt;"PRC_RESID","",IF(AN$7=2005+OFFSET(COM_N_2012!$B$60,$AW294,SUMIF($B$10:$B$16,"NCAP_TLIFE",$AX$10:$AX$16)),0,""))</f>
        <v/>
      </c>
      <c r="AO294" s="369" t="str">
        <f ca="1">IF($B294&lt;&gt;"PRC_RESID","",IF(AO$7=2005+OFFSET(COM_N_2012!$B$60,$AW294,SUMIF($B$10:$B$16,"NCAP_TLIFE",$AX$10:$AX$16)),0,""))</f>
        <v/>
      </c>
      <c r="AP294" s="369" t="str">
        <f ca="1">IF($B294&lt;&gt;"PRC_RESID","",IF(AP$7=2005+OFFSET(COM_N_2012!$B$60,$AW294,SUMIF($B$10:$B$16,"NCAP_TLIFE",$AX$10:$AX$16)),0,""))</f>
        <v/>
      </c>
      <c r="AQ294" s="369" t="str">
        <f ca="1">IF($B294&lt;&gt;"PRC_RESID","",IF(AQ$7=2005+OFFSET(COM_N_2012!$B$60,$AW294,SUMIF($B$10:$B$16,"NCAP_TLIFE",$AX$10:$AX$16)),0,""))</f>
        <v/>
      </c>
      <c r="AR294" s="369" t="str">
        <f ca="1">IF($B294&lt;&gt;"PRC_RESID","",IF(AR$7=2005+OFFSET(COM_N_2012!$B$60,$AW294,SUMIF($B$10:$B$16,"NCAP_TLIFE",$AX$10:$AX$16)),0,""))</f>
        <v/>
      </c>
      <c r="AS294" s="369" t="str">
        <f ca="1">IF($B294&lt;&gt;"PRC_RESID","",IF(AS$7=2005+OFFSET(COM_N_2012!$B$60,$AW294,SUMIF($B$10:$B$16,"NCAP_TLIFE",$AX$10:$AX$16)),0,""))</f>
        <v/>
      </c>
      <c r="AT294" s="369" t="str">
        <f ca="1">IF($B294&lt;&gt;"PRC_RESID","",IF(AT$7=2005+OFFSET(COM_N_2012!$B$60,$AW294,SUMIF($B$10:$B$16,"NCAP_TLIFE",$AX$10:$AX$16)),0,""))</f>
        <v/>
      </c>
      <c r="AU294" s="369" t="str">
        <f ca="1">IF($B294&lt;&gt;"PRC_RESID","",IF(AU$7=2005+OFFSET(COM_N_2012!$B$60,$AW294,SUMIF($B$10:$B$16,"NCAP_TLIFE",$AX$10:$AX$16)),0,""))</f>
        <v/>
      </c>
      <c r="AV294" s="304">
        <f>IF(AW293=COM_N_2012!$AK$121,AV293+1,AV293)</f>
        <v>5</v>
      </c>
      <c r="AW294" s="304">
        <f t="shared" si="37"/>
        <v>33</v>
      </c>
    </row>
    <row r="295" spans="1:49">
      <c r="A295" s="304" t="str">
        <f ca="1">IF(LEFT(OFFSET(COM_N_2012!$A$60,AW295,0),2)="\I","*","")</f>
        <v/>
      </c>
      <c r="B295" s="369" t="str">
        <f t="shared" ca="1" si="36"/>
        <v>NCAP_FOM</v>
      </c>
      <c r="C295" s="369" t="str">
        <f ca="1">IF($A295="*","",OFFSET(COM_N_2012!$B$60,AW295,0))</f>
        <v>CNWCOA-E</v>
      </c>
      <c r="D295" s="369" t="str">
        <f t="shared" ca="1" si="39"/>
        <v>-</v>
      </c>
      <c r="E295" s="369" t="str">
        <f t="shared" ca="1" si="39"/>
        <v>-</v>
      </c>
      <c r="F295" s="369" t="str">
        <f t="shared" ca="1" si="39"/>
        <v>-</v>
      </c>
      <c r="G295" s="369" t="str">
        <f t="shared" ca="1" si="39"/>
        <v>-</v>
      </c>
      <c r="H295" s="369" t="str">
        <f t="shared" ca="1" si="39"/>
        <v>-</v>
      </c>
      <c r="I295" s="370">
        <f t="shared" ca="1" si="39"/>
        <v>0</v>
      </c>
      <c r="J295" s="391">
        <f ca="1">IF($A295="*","",OFFSET(COM_N_2012!$B$60,AW295,SUMIF($B$10:$B$16,B295,$AX$10:$AX$16)))</f>
        <v>21.194584531928836</v>
      </c>
      <c r="K295" s="369" t="str">
        <f ca="1">IF($B295&lt;&gt;"PRC_RESID","",IF(K$7=2005+OFFSET(COM_N_2012!$B$60,$AW295,SUMIF($B$10:$B$16,"NCAP_TLIFE",$AX$10:$AX$16)),0,""))</f>
        <v/>
      </c>
      <c r="L295" s="369" t="str">
        <f ca="1">IF($B295&lt;&gt;"PRC_RESID","",IF(L$7=2005+OFFSET(COM_N_2012!$B$60,$AW295,SUMIF($B$10:$B$16,"NCAP_TLIFE",$AX$10:$AX$16)),0,""))</f>
        <v/>
      </c>
      <c r="M295" s="369" t="str">
        <f ca="1">IF($B295&lt;&gt;"PRC_RESID","",IF(M$7=2005+OFFSET(COM_N_2012!$B$60,$AW295,SUMIF($B$10:$B$16,"NCAP_TLIFE",$AX$10:$AX$16)),0,""))</f>
        <v/>
      </c>
      <c r="N295" s="369" t="str">
        <f ca="1">IF($B295&lt;&gt;"PRC_RESID","",IF(N$7=2005+OFFSET(COM_N_2012!$B$60,$AW295,SUMIF($B$10:$B$16,"NCAP_TLIFE",$AX$10:$AX$16)),0,""))</f>
        <v/>
      </c>
      <c r="O295" s="369" t="str">
        <f ca="1">IF($B295&lt;&gt;"PRC_RESID","",IF(O$7=2005+OFFSET(COM_N_2012!$B$60,$AW295,SUMIF($B$10:$B$16,"NCAP_TLIFE",$AX$10:$AX$16)),0,""))</f>
        <v/>
      </c>
      <c r="P295" s="369" t="str">
        <f ca="1">IF($B295&lt;&gt;"PRC_RESID","",IF(P$7=2005+OFFSET(COM_N_2012!$B$60,$AW295,SUMIF($B$10:$B$16,"NCAP_TLIFE",$AX$10:$AX$16)),0,""))</f>
        <v/>
      </c>
      <c r="Q295" s="369" t="str">
        <f ca="1">IF($B295&lt;&gt;"PRC_RESID","",IF(Q$7=2005+OFFSET(COM_N_2012!$B$60,$AW295,SUMIF($B$10:$B$16,"NCAP_TLIFE",$AX$10:$AX$16)),0,""))</f>
        <v/>
      </c>
      <c r="R295" s="369" t="str">
        <f ca="1">IF($B295&lt;&gt;"PRC_RESID","",IF(R$7=2005+OFFSET(COM_N_2012!$B$60,$AW295,SUMIF($B$10:$B$16,"NCAP_TLIFE",$AX$10:$AX$16)),0,""))</f>
        <v/>
      </c>
      <c r="S295" s="369" t="str">
        <f ca="1">IF($B295&lt;&gt;"PRC_RESID","",IF(S$7=2005+OFFSET(COM_N_2012!$B$60,$AW295,SUMIF($B$10:$B$16,"NCAP_TLIFE",$AX$10:$AX$16)),0,""))</f>
        <v/>
      </c>
      <c r="T295" s="369" t="str">
        <f ca="1">IF($B295&lt;&gt;"PRC_RESID","",IF(T$7=2005+OFFSET(COM_N_2012!$B$60,$AW295,SUMIF($B$10:$B$16,"NCAP_TLIFE",$AX$10:$AX$16)),0,""))</f>
        <v/>
      </c>
      <c r="U295" s="369" t="str">
        <f ca="1">IF($B295&lt;&gt;"PRC_RESID","",IF(U$7=2005+OFFSET(COM_N_2012!$B$60,$AW295,SUMIF($B$10:$B$16,"NCAP_TLIFE",$AX$10:$AX$16)),0,""))</f>
        <v/>
      </c>
      <c r="V295" s="369" t="str">
        <f ca="1">IF($B295&lt;&gt;"PRC_RESID","",IF(V$7=2005+OFFSET(COM_N_2012!$B$60,$AW295,SUMIF($B$10:$B$16,"NCAP_TLIFE",$AX$10:$AX$16)),0,""))</f>
        <v/>
      </c>
      <c r="W295" s="369" t="str">
        <f ca="1">IF($B295&lt;&gt;"PRC_RESID","",IF(W$7=2005+OFFSET(COM_N_2012!$B$60,$AW295,SUMIF($B$10:$B$16,"NCAP_TLIFE",$AX$10:$AX$16)),0,""))</f>
        <v/>
      </c>
      <c r="X295" s="369" t="str">
        <f ca="1">IF($B295&lt;&gt;"PRC_RESID","",IF(X$7=2005+OFFSET(COM_N_2012!$B$60,$AW295,SUMIF($B$10:$B$16,"NCAP_TLIFE",$AX$10:$AX$16)),0,""))</f>
        <v/>
      </c>
      <c r="Y295" s="369" t="str">
        <f ca="1">IF($B295&lt;&gt;"PRC_RESID","",IF(Y$7=2005+OFFSET(COM_N_2012!$B$60,$AW295,SUMIF($B$10:$B$16,"NCAP_TLIFE",$AX$10:$AX$16)),0,""))</f>
        <v/>
      </c>
      <c r="Z295" s="369" t="str">
        <f ca="1">IF($B295&lt;&gt;"PRC_RESID","",IF(Z$7=2005+OFFSET(COM_N_2012!$B$60,$AW295,SUMIF($B$10:$B$16,"NCAP_TLIFE",$AX$10:$AX$16)),0,""))</f>
        <v/>
      </c>
      <c r="AA295" s="369" t="str">
        <f ca="1">IF($B295&lt;&gt;"PRC_RESID","",IF(AA$7=2005+OFFSET(COM_N_2012!$B$60,$AW295,SUMIF($B$10:$B$16,"NCAP_TLIFE",$AX$10:$AX$16)),0,""))</f>
        <v/>
      </c>
      <c r="AB295" s="369" t="str">
        <f ca="1">IF($B295&lt;&gt;"PRC_RESID","",IF(AB$7=2005+OFFSET(COM_N_2012!$B$60,$AW295,SUMIF($B$10:$B$16,"NCAP_TLIFE",$AX$10:$AX$16)),0,""))</f>
        <v/>
      </c>
      <c r="AC295" s="369" t="str">
        <f ca="1">IF($B295&lt;&gt;"PRC_RESID","",IF(AC$7=2005+OFFSET(COM_N_2012!$B$60,$AW295,SUMIF($B$10:$B$16,"NCAP_TLIFE",$AX$10:$AX$16)),0,""))</f>
        <v/>
      </c>
      <c r="AD295" s="369" t="str">
        <f ca="1">IF($B295&lt;&gt;"PRC_RESID","",IF(AD$7=2005+OFFSET(COM_N_2012!$B$60,$AW295,SUMIF($B$10:$B$16,"NCAP_TLIFE",$AX$10:$AX$16)),0,""))</f>
        <v/>
      </c>
      <c r="AE295" s="369" t="str">
        <f ca="1">IF($B295&lt;&gt;"PRC_RESID","",IF(AE$7=2005+OFFSET(COM_N_2012!$B$60,$AW295,SUMIF($B$10:$B$16,"NCAP_TLIFE",$AX$10:$AX$16)),0,""))</f>
        <v/>
      </c>
      <c r="AF295" s="369" t="str">
        <f ca="1">IF($B295&lt;&gt;"PRC_RESID","",IF(AF$7=2005+OFFSET(COM_N_2012!$B$60,$AW295,SUMIF($B$10:$B$16,"NCAP_TLIFE",$AX$10:$AX$16)),0,""))</f>
        <v/>
      </c>
      <c r="AG295" s="369" t="str">
        <f ca="1">IF($B295&lt;&gt;"PRC_RESID","",IF(AG$7=2005+OFFSET(COM_N_2012!$B$60,$AW295,SUMIF($B$10:$B$16,"NCAP_TLIFE",$AX$10:$AX$16)),0,""))</f>
        <v/>
      </c>
      <c r="AH295" s="369" t="str">
        <f ca="1">IF($B295&lt;&gt;"PRC_RESID","",IF(AH$7=2005+OFFSET(COM_N_2012!$B$60,$AW295,SUMIF($B$10:$B$16,"NCAP_TLIFE",$AX$10:$AX$16)),0,""))</f>
        <v/>
      </c>
      <c r="AI295" s="369" t="str">
        <f ca="1">IF($B295&lt;&gt;"PRC_RESID","",IF(AI$7=2005+OFFSET(COM_N_2012!$B$60,$AW295,SUMIF($B$10:$B$16,"NCAP_TLIFE",$AX$10:$AX$16)),0,""))</f>
        <v/>
      </c>
      <c r="AJ295" s="369" t="str">
        <f ca="1">IF($B295&lt;&gt;"PRC_RESID","",IF(AJ$7=2005+OFFSET(COM_N_2012!$B$60,$AW295,SUMIF($B$10:$B$16,"NCAP_TLIFE",$AX$10:$AX$16)),0,""))</f>
        <v/>
      </c>
      <c r="AK295" s="369" t="str">
        <f ca="1">IF($B295&lt;&gt;"PRC_RESID","",IF(AK$7=2005+OFFSET(COM_N_2012!$B$60,$AW295,SUMIF($B$10:$B$16,"NCAP_TLIFE",$AX$10:$AX$16)),0,""))</f>
        <v/>
      </c>
      <c r="AL295" s="369" t="str">
        <f ca="1">IF($B295&lt;&gt;"PRC_RESID","",IF(AL$7=2005+OFFSET(COM_N_2012!$B$60,$AW295,SUMIF($B$10:$B$16,"NCAP_TLIFE",$AX$10:$AX$16)),0,""))</f>
        <v/>
      </c>
      <c r="AM295" s="369" t="str">
        <f ca="1">IF($B295&lt;&gt;"PRC_RESID","",IF(AM$7=2005+OFFSET(COM_N_2012!$B$60,$AW295,SUMIF($B$10:$B$16,"NCAP_TLIFE",$AX$10:$AX$16)),0,""))</f>
        <v/>
      </c>
      <c r="AN295" s="369" t="str">
        <f ca="1">IF($B295&lt;&gt;"PRC_RESID","",IF(AN$7=2005+OFFSET(COM_N_2012!$B$60,$AW295,SUMIF($B$10:$B$16,"NCAP_TLIFE",$AX$10:$AX$16)),0,""))</f>
        <v/>
      </c>
      <c r="AO295" s="369" t="str">
        <f ca="1">IF($B295&lt;&gt;"PRC_RESID","",IF(AO$7=2005+OFFSET(COM_N_2012!$B$60,$AW295,SUMIF($B$10:$B$16,"NCAP_TLIFE",$AX$10:$AX$16)),0,""))</f>
        <v/>
      </c>
      <c r="AP295" s="369" t="str">
        <f ca="1">IF($B295&lt;&gt;"PRC_RESID","",IF(AP$7=2005+OFFSET(COM_N_2012!$B$60,$AW295,SUMIF($B$10:$B$16,"NCAP_TLIFE",$AX$10:$AX$16)),0,""))</f>
        <v/>
      </c>
      <c r="AQ295" s="369" t="str">
        <f ca="1">IF($B295&lt;&gt;"PRC_RESID","",IF(AQ$7=2005+OFFSET(COM_N_2012!$B$60,$AW295,SUMIF($B$10:$B$16,"NCAP_TLIFE",$AX$10:$AX$16)),0,""))</f>
        <v/>
      </c>
      <c r="AR295" s="369" t="str">
        <f ca="1">IF($B295&lt;&gt;"PRC_RESID","",IF(AR$7=2005+OFFSET(COM_N_2012!$B$60,$AW295,SUMIF($B$10:$B$16,"NCAP_TLIFE",$AX$10:$AX$16)),0,""))</f>
        <v/>
      </c>
      <c r="AS295" s="369" t="str">
        <f ca="1">IF($B295&lt;&gt;"PRC_RESID","",IF(AS$7=2005+OFFSET(COM_N_2012!$B$60,$AW295,SUMIF($B$10:$B$16,"NCAP_TLIFE",$AX$10:$AX$16)),0,""))</f>
        <v/>
      </c>
      <c r="AT295" s="369" t="str">
        <f ca="1">IF($B295&lt;&gt;"PRC_RESID","",IF(AT$7=2005+OFFSET(COM_N_2012!$B$60,$AW295,SUMIF($B$10:$B$16,"NCAP_TLIFE",$AX$10:$AX$16)),0,""))</f>
        <v/>
      </c>
      <c r="AU295" s="369" t="str">
        <f ca="1">IF($B295&lt;&gt;"PRC_RESID","",IF(AU$7=2005+OFFSET(COM_N_2012!$B$60,$AW295,SUMIF($B$10:$B$16,"NCAP_TLIFE",$AX$10:$AX$16)),0,""))</f>
        <v/>
      </c>
      <c r="AV295" s="304">
        <f>IF(AW294=COM_N_2012!$AK$121,AV294+1,AV294)</f>
        <v>5</v>
      </c>
      <c r="AW295" s="304">
        <f t="shared" si="37"/>
        <v>34</v>
      </c>
    </row>
    <row r="296" spans="1:49">
      <c r="A296" s="304" t="str">
        <f ca="1">IF(LEFT(OFFSET(COM_N_2012!$A$60,AW296,0),2)="\I","*","")</f>
        <v/>
      </c>
      <c r="B296" s="369" t="str">
        <f t="shared" ca="1" si="36"/>
        <v>NCAP_FOM</v>
      </c>
      <c r="C296" s="369" t="str">
        <f ca="1">IF($A296="*","",OFFSET(COM_N_2012!$B$60,AW296,0))</f>
        <v>CNWOLP-E</v>
      </c>
      <c r="D296" s="369" t="str">
        <f t="shared" ca="1" si="39"/>
        <v>-</v>
      </c>
      <c r="E296" s="369" t="str">
        <f t="shared" ca="1" si="39"/>
        <v>-</v>
      </c>
      <c r="F296" s="369" t="str">
        <f t="shared" ca="1" si="39"/>
        <v>-</v>
      </c>
      <c r="G296" s="369" t="str">
        <f t="shared" ca="1" si="39"/>
        <v>-</v>
      </c>
      <c r="H296" s="369" t="str">
        <f t="shared" ca="1" si="39"/>
        <v>-</v>
      </c>
      <c r="I296" s="370">
        <f t="shared" ca="1" si="39"/>
        <v>0</v>
      </c>
      <c r="J296" s="391">
        <f ca="1">IF($A296="*","",OFFSET(COM_N_2012!$B$60,AW296,SUMIF($B$10:$B$16,B296,$AX$10:$AX$16)))</f>
        <v>2.4826371391503539</v>
      </c>
      <c r="K296" s="369" t="str">
        <f ca="1">IF($B296&lt;&gt;"PRC_RESID","",IF(K$7=2005+OFFSET(COM_N_2012!$B$60,$AW296,SUMIF($B$10:$B$16,"NCAP_TLIFE",$AX$10:$AX$16)),0,""))</f>
        <v/>
      </c>
      <c r="L296" s="369" t="str">
        <f ca="1">IF($B296&lt;&gt;"PRC_RESID","",IF(L$7=2005+OFFSET(COM_N_2012!$B$60,$AW296,SUMIF($B$10:$B$16,"NCAP_TLIFE",$AX$10:$AX$16)),0,""))</f>
        <v/>
      </c>
      <c r="M296" s="369" t="str">
        <f ca="1">IF($B296&lt;&gt;"PRC_RESID","",IF(M$7=2005+OFFSET(COM_N_2012!$B$60,$AW296,SUMIF($B$10:$B$16,"NCAP_TLIFE",$AX$10:$AX$16)),0,""))</f>
        <v/>
      </c>
      <c r="N296" s="369" t="str">
        <f ca="1">IF($B296&lt;&gt;"PRC_RESID","",IF(N$7=2005+OFFSET(COM_N_2012!$B$60,$AW296,SUMIF($B$10:$B$16,"NCAP_TLIFE",$AX$10:$AX$16)),0,""))</f>
        <v/>
      </c>
      <c r="O296" s="369" t="str">
        <f ca="1">IF($B296&lt;&gt;"PRC_RESID","",IF(O$7=2005+OFFSET(COM_N_2012!$B$60,$AW296,SUMIF($B$10:$B$16,"NCAP_TLIFE",$AX$10:$AX$16)),0,""))</f>
        <v/>
      </c>
      <c r="P296" s="369" t="str">
        <f ca="1">IF($B296&lt;&gt;"PRC_RESID","",IF(P$7=2005+OFFSET(COM_N_2012!$B$60,$AW296,SUMIF($B$10:$B$16,"NCAP_TLIFE",$AX$10:$AX$16)),0,""))</f>
        <v/>
      </c>
      <c r="Q296" s="369" t="str">
        <f ca="1">IF($B296&lt;&gt;"PRC_RESID","",IF(Q$7=2005+OFFSET(COM_N_2012!$B$60,$AW296,SUMIF($B$10:$B$16,"NCAP_TLIFE",$AX$10:$AX$16)),0,""))</f>
        <v/>
      </c>
      <c r="R296" s="369" t="str">
        <f ca="1">IF($B296&lt;&gt;"PRC_RESID","",IF(R$7=2005+OFFSET(COM_N_2012!$B$60,$AW296,SUMIF($B$10:$B$16,"NCAP_TLIFE",$AX$10:$AX$16)),0,""))</f>
        <v/>
      </c>
      <c r="S296" s="369" t="str">
        <f ca="1">IF($B296&lt;&gt;"PRC_RESID","",IF(S$7=2005+OFFSET(COM_N_2012!$B$60,$AW296,SUMIF($B$10:$B$16,"NCAP_TLIFE",$AX$10:$AX$16)),0,""))</f>
        <v/>
      </c>
      <c r="T296" s="369" t="str">
        <f ca="1">IF($B296&lt;&gt;"PRC_RESID","",IF(T$7=2005+OFFSET(COM_N_2012!$B$60,$AW296,SUMIF($B$10:$B$16,"NCAP_TLIFE",$AX$10:$AX$16)),0,""))</f>
        <v/>
      </c>
      <c r="U296" s="369" t="str">
        <f ca="1">IF($B296&lt;&gt;"PRC_RESID","",IF(U$7=2005+OFFSET(COM_N_2012!$B$60,$AW296,SUMIF($B$10:$B$16,"NCAP_TLIFE",$AX$10:$AX$16)),0,""))</f>
        <v/>
      </c>
      <c r="V296" s="369" t="str">
        <f ca="1">IF($B296&lt;&gt;"PRC_RESID","",IF(V$7=2005+OFFSET(COM_N_2012!$B$60,$AW296,SUMIF($B$10:$B$16,"NCAP_TLIFE",$AX$10:$AX$16)),0,""))</f>
        <v/>
      </c>
      <c r="W296" s="369" t="str">
        <f ca="1">IF($B296&lt;&gt;"PRC_RESID","",IF(W$7=2005+OFFSET(COM_N_2012!$B$60,$AW296,SUMIF($B$10:$B$16,"NCAP_TLIFE",$AX$10:$AX$16)),0,""))</f>
        <v/>
      </c>
      <c r="X296" s="369" t="str">
        <f ca="1">IF($B296&lt;&gt;"PRC_RESID","",IF(X$7=2005+OFFSET(COM_N_2012!$B$60,$AW296,SUMIF($B$10:$B$16,"NCAP_TLIFE",$AX$10:$AX$16)),0,""))</f>
        <v/>
      </c>
      <c r="Y296" s="369" t="str">
        <f ca="1">IF($B296&lt;&gt;"PRC_RESID","",IF(Y$7=2005+OFFSET(COM_N_2012!$B$60,$AW296,SUMIF($B$10:$B$16,"NCAP_TLIFE",$AX$10:$AX$16)),0,""))</f>
        <v/>
      </c>
      <c r="Z296" s="369" t="str">
        <f ca="1">IF($B296&lt;&gt;"PRC_RESID","",IF(Z$7=2005+OFFSET(COM_N_2012!$B$60,$AW296,SUMIF($B$10:$B$16,"NCAP_TLIFE",$AX$10:$AX$16)),0,""))</f>
        <v/>
      </c>
      <c r="AA296" s="369" t="str">
        <f ca="1">IF($B296&lt;&gt;"PRC_RESID","",IF(AA$7=2005+OFFSET(COM_N_2012!$B$60,$AW296,SUMIF($B$10:$B$16,"NCAP_TLIFE",$AX$10:$AX$16)),0,""))</f>
        <v/>
      </c>
      <c r="AB296" s="369" t="str">
        <f ca="1">IF($B296&lt;&gt;"PRC_RESID","",IF(AB$7=2005+OFFSET(COM_N_2012!$B$60,$AW296,SUMIF($B$10:$B$16,"NCAP_TLIFE",$AX$10:$AX$16)),0,""))</f>
        <v/>
      </c>
      <c r="AC296" s="369" t="str">
        <f ca="1">IF($B296&lt;&gt;"PRC_RESID","",IF(AC$7=2005+OFFSET(COM_N_2012!$B$60,$AW296,SUMIF($B$10:$B$16,"NCAP_TLIFE",$AX$10:$AX$16)),0,""))</f>
        <v/>
      </c>
      <c r="AD296" s="369" t="str">
        <f ca="1">IF($B296&lt;&gt;"PRC_RESID","",IF(AD$7=2005+OFFSET(COM_N_2012!$B$60,$AW296,SUMIF($B$10:$B$16,"NCAP_TLIFE",$AX$10:$AX$16)),0,""))</f>
        <v/>
      </c>
      <c r="AE296" s="369" t="str">
        <f ca="1">IF($B296&lt;&gt;"PRC_RESID","",IF(AE$7=2005+OFFSET(COM_N_2012!$B$60,$AW296,SUMIF($B$10:$B$16,"NCAP_TLIFE",$AX$10:$AX$16)),0,""))</f>
        <v/>
      </c>
      <c r="AF296" s="369" t="str">
        <f ca="1">IF($B296&lt;&gt;"PRC_RESID","",IF(AF$7=2005+OFFSET(COM_N_2012!$B$60,$AW296,SUMIF($B$10:$B$16,"NCAP_TLIFE",$AX$10:$AX$16)),0,""))</f>
        <v/>
      </c>
      <c r="AG296" s="369" t="str">
        <f ca="1">IF($B296&lt;&gt;"PRC_RESID","",IF(AG$7=2005+OFFSET(COM_N_2012!$B$60,$AW296,SUMIF($B$10:$B$16,"NCAP_TLIFE",$AX$10:$AX$16)),0,""))</f>
        <v/>
      </c>
      <c r="AH296" s="369" t="str">
        <f ca="1">IF($B296&lt;&gt;"PRC_RESID","",IF(AH$7=2005+OFFSET(COM_N_2012!$B$60,$AW296,SUMIF($B$10:$B$16,"NCAP_TLIFE",$AX$10:$AX$16)),0,""))</f>
        <v/>
      </c>
      <c r="AI296" s="369" t="str">
        <f ca="1">IF($B296&lt;&gt;"PRC_RESID","",IF(AI$7=2005+OFFSET(COM_N_2012!$B$60,$AW296,SUMIF($B$10:$B$16,"NCAP_TLIFE",$AX$10:$AX$16)),0,""))</f>
        <v/>
      </c>
      <c r="AJ296" s="369" t="str">
        <f ca="1">IF($B296&lt;&gt;"PRC_RESID","",IF(AJ$7=2005+OFFSET(COM_N_2012!$B$60,$AW296,SUMIF($B$10:$B$16,"NCAP_TLIFE",$AX$10:$AX$16)),0,""))</f>
        <v/>
      </c>
      <c r="AK296" s="369" t="str">
        <f ca="1">IF($B296&lt;&gt;"PRC_RESID","",IF(AK$7=2005+OFFSET(COM_N_2012!$B$60,$AW296,SUMIF($B$10:$B$16,"NCAP_TLIFE",$AX$10:$AX$16)),0,""))</f>
        <v/>
      </c>
      <c r="AL296" s="369" t="str">
        <f ca="1">IF($B296&lt;&gt;"PRC_RESID","",IF(AL$7=2005+OFFSET(COM_N_2012!$B$60,$AW296,SUMIF($B$10:$B$16,"NCAP_TLIFE",$AX$10:$AX$16)),0,""))</f>
        <v/>
      </c>
      <c r="AM296" s="369" t="str">
        <f ca="1">IF($B296&lt;&gt;"PRC_RESID","",IF(AM$7=2005+OFFSET(COM_N_2012!$B$60,$AW296,SUMIF($B$10:$B$16,"NCAP_TLIFE",$AX$10:$AX$16)),0,""))</f>
        <v/>
      </c>
      <c r="AN296" s="369" t="str">
        <f ca="1">IF($B296&lt;&gt;"PRC_RESID","",IF(AN$7=2005+OFFSET(COM_N_2012!$B$60,$AW296,SUMIF($B$10:$B$16,"NCAP_TLIFE",$AX$10:$AX$16)),0,""))</f>
        <v/>
      </c>
      <c r="AO296" s="369" t="str">
        <f ca="1">IF($B296&lt;&gt;"PRC_RESID","",IF(AO$7=2005+OFFSET(COM_N_2012!$B$60,$AW296,SUMIF($B$10:$B$16,"NCAP_TLIFE",$AX$10:$AX$16)),0,""))</f>
        <v/>
      </c>
      <c r="AP296" s="369" t="str">
        <f ca="1">IF($B296&lt;&gt;"PRC_RESID","",IF(AP$7=2005+OFFSET(COM_N_2012!$B$60,$AW296,SUMIF($B$10:$B$16,"NCAP_TLIFE",$AX$10:$AX$16)),0,""))</f>
        <v/>
      </c>
      <c r="AQ296" s="369" t="str">
        <f ca="1">IF($B296&lt;&gt;"PRC_RESID","",IF(AQ$7=2005+OFFSET(COM_N_2012!$B$60,$AW296,SUMIF($B$10:$B$16,"NCAP_TLIFE",$AX$10:$AX$16)),0,""))</f>
        <v/>
      </c>
      <c r="AR296" s="369" t="str">
        <f ca="1">IF($B296&lt;&gt;"PRC_RESID","",IF(AR$7=2005+OFFSET(COM_N_2012!$B$60,$AW296,SUMIF($B$10:$B$16,"NCAP_TLIFE",$AX$10:$AX$16)),0,""))</f>
        <v/>
      </c>
      <c r="AS296" s="369" t="str">
        <f ca="1">IF($B296&lt;&gt;"PRC_RESID","",IF(AS$7=2005+OFFSET(COM_N_2012!$B$60,$AW296,SUMIF($B$10:$B$16,"NCAP_TLIFE",$AX$10:$AX$16)),0,""))</f>
        <v/>
      </c>
      <c r="AT296" s="369" t="str">
        <f ca="1">IF($B296&lt;&gt;"PRC_RESID","",IF(AT$7=2005+OFFSET(COM_N_2012!$B$60,$AW296,SUMIF($B$10:$B$16,"NCAP_TLIFE",$AX$10:$AX$16)),0,""))</f>
        <v/>
      </c>
      <c r="AU296" s="369" t="str">
        <f ca="1">IF($B296&lt;&gt;"PRC_RESID","",IF(AU$7=2005+OFFSET(COM_N_2012!$B$60,$AW296,SUMIF($B$10:$B$16,"NCAP_TLIFE",$AX$10:$AX$16)),0,""))</f>
        <v/>
      </c>
      <c r="AV296" s="304">
        <f>IF(AW295=COM_N_2012!$AK$121,AV295+1,AV295)</f>
        <v>5</v>
      </c>
      <c r="AW296" s="304">
        <f t="shared" si="37"/>
        <v>35</v>
      </c>
    </row>
    <row r="297" spans="1:49">
      <c r="A297" s="304" t="str">
        <f ca="1">IF(LEFT(OFFSET(COM_N_2012!$A$60,AW297,0),2)="\I","*","")</f>
        <v/>
      </c>
      <c r="B297" s="369" t="str">
        <f t="shared" ca="1" si="36"/>
        <v>NCAP_FOM</v>
      </c>
      <c r="C297" s="369" t="str">
        <f ca="1">IF($A297="*","",OFFSET(COM_N_2012!$B$60,AW297,0))</f>
        <v>CNWGAS-E</v>
      </c>
      <c r="D297" s="369" t="str">
        <f t="shared" ca="1" si="39"/>
        <v>-</v>
      </c>
      <c r="E297" s="369" t="str">
        <f t="shared" ca="1" si="39"/>
        <v>-</v>
      </c>
      <c r="F297" s="369" t="str">
        <f t="shared" ca="1" si="39"/>
        <v>-</v>
      </c>
      <c r="G297" s="369" t="str">
        <f t="shared" ca="1" si="39"/>
        <v>-</v>
      </c>
      <c r="H297" s="369" t="str">
        <f t="shared" ca="1" si="39"/>
        <v>-</v>
      </c>
      <c r="I297" s="370">
        <f t="shared" ca="1" si="39"/>
        <v>0</v>
      </c>
      <c r="J297" s="391">
        <f ca="1">IF($A297="*","",OFFSET(COM_N_2012!$B$60,AW297,SUMIF($B$10:$B$16,B297,$AX$10:$AX$16)))</f>
        <v>2.4826371391503539</v>
      </c>
      <c r="K297" s="369" t="str">
        <f ca="1">IF($B297&lt;&gt;"PRC_RESID","",IF(K$7=2005+OFFSET(COM_N_2012!$B$60,$AW297,SUMIF($B$10:$B$16,"NCAP_TLIFE",$AX$10:$AX$16)),0,""))</f>
        <v/>
      </c>
      <c r="L297" s="369" t="str">
        <f ca="1">IF($B297&lt;&gt;"PRC_RESID","",IF(L$7=2005+OFFSET(COM_N_2012!$B$60,$AW297,SUMIF($B$10:$B$16,"NCAP_TLIFE",$AX$10:$AX$16)),0,""))</f>
        <v/>
      </c>
      <c r="M297" s="369" t="str">
        <f ca="1">IF($B297&lt;&gt;"PRC_RESID","",IF(M$7=2005+OFFSET(COM_N_2012!$B$60,$AW297,SUMIF($B$10:$B$16,"NCAP_TLIFE",$AX$10:$AX$16)),0,""))</f>
        <v/>
      </c>
      <c r="N297" s="369" t="str">
        <f ca="1">IF($B297&lt;&gt;"PRC_RESID","",IF(N$7=2005+OFFSET(COM_N_2012!$B$60,$AW297,SUMIF($B$10:$B$16,"NCAP_TLIFE",$AX$10:$AX$16)),0,""))</f>
        <v/>
      </c>
      <c r="O297" s="369" t="str">
        <f ca="1">IF($B297&lt;&gt;"PRC_RESID","",IF(O$7=2005+OFFSET(COM_N_2012!$B$60,$AW297,SUMIF($B$10:$B$16,"NCAP_TLIFE",$AX$10:$AX$16)),0,""))</f>
        <v/>
      </c>
      <c r="P297" s="369" t="str">
        <f ca="1">IF($B297&lt;&gt;"PRC_RESID","",IF(P$7=2005+OFFSET(COM_N_2012!$B$60,$AW297,SUMIF($B$10:$B$16,"NCAP_TLIFE",$AX$10:$AX$16)),0,""))</f>
        <v/>
      </c>
      <c r="Q297" s="369" t="str">
        <f ca="1">IF($B297&lt;&gt;"PRC_RESID","",IF(Q$7=2005+OFFSET(COM_N_2012!$B$60,$AW297,SUMIF($B$10:$B$16,"NCAP_TLIFE",$AX$10:$AX$16)),0,""))</f>
        <v/>
      </c>
      <c r="R297" s="369" t="str">
        <f ca="1">IF($B297&lt;&gt;"PRC_RESID","",IF(R$7=2005+OFFSET(COM_N_2012!$B$60,$AW297,SUMIF($B$10:$B$16,"NCAP_TLIFE",$AX$10:$AX$16)),0,""))</f>
        <v/>
      </c>
      <c r="S297" s="369" t="str">
        <f ca="1">IF($B297&lt;&gt;"PRC_RESID","",IF(S$7=2005+OFFSET(COM_N_2012!$B$60,$AW297,SUMIF($B$10:$B$16,"NCAP_TLIFE",$AX$10:$AX$16)),0,""))</f>
        <v/>
      </c>
      <c r="T297" s="369" t="str">
        <f ca="1">IF($B297&lt;&gt;"PRC_RESID","",IF(T$7=2005+OFFSET(COM_N_2012!$B$60,$AW297,SUMIF($B$10:$B$16,"NCAP_TLIFE",$AX$10:$AX$16)),0,""))</f>
        <v/>
      </c>
      <c r="U297" s="369" t="str">
        <f ca="1">IF($B297&lt;&gt;"PRC_RESID","",IF(U$7=2005+OFFSET(COM_N_2012!$B$60,$AW297,SUMIF($B$10:$B$16,"NCAP_TLIFE",$AX$10:$AX$16)),0,""))</f>
        <v/>
      </c>
      <c r="V297" s="369" t="str">
        <f ca="1">IF($B297&lt;&gt;"PRC_RESID","",IF(V$7=2005+OFFSET(COM_N_2012!$B$60,$AW297,SUMIF($B$10:$B$16,"NCAP_TLIFE",$AX$10:$AX$16)),0,""))</f>
        <v/>
      </c>
      <c r="W297" s="369" t="str">
        <f ca="1">IF($B297&lt;&gt;"PRC_RESID","",IF(W$7=2005+OFFSET(COM_N_2012!$B$60,$AW297,SUMIF($B$10:$B$16,"NCAP_TLIFE",$AX$10:$AX$16)),0,""))</f>
        <v/>
      </c>
      <c r="X297" s="369" t="str">
        <f ca="1">IF($B297&lt;&gt;"PRC_RESID","",IF(X$7=2005+OFFSET(COM_N_2012!$B$60,$AW297,SUMIF($B$10:$B$16,"NCAP_TLIFE",$AX$10:$AX$16)),0,""))</f>
        <v/>
      </c>
      <c r="Y297" s="369" t="str">
        <f ca="1">IF($B297&lt;&gt;"PRC_RESID","",IF(Y$7=2005+OFFSET(COM_N_2012!$B$60,$AW297,SUMIF($B$10:$B$16,"NCAP_TLIFE",$AX$10:$AX$16)),0,""))</f>
        <v/>
      </c>
      <c r="Z297" s="369" t="str">
        <f ca="1">IF($B297&lt;&gt;"PRC_RESID","",IF(Z$7=2005+OFFSET(COM_N_2012!$B$60,$AW297,SUMIF($B$10:$B$16,"NCAP_TLIFE",$AX$10:$AX$16)),0,""))</f>
        <v/>
      </c>
      <c r="AA297" s="369" t="str">
        <f ca="1">IF($B297&lt;&gt;"PRC_RESID","",IF(AA$7=2005+OFFSET(COM_N_2012!$B$60,$AW297,SUMIF($B$10:$B$16,"NCAP_TLIFE",$AX$10:$AX$16)),0,""))</f>
        <v/>
      </c>
      <c r="AB297" s="369" t="str">
        <f ca="1">IF($B297&lt;&gt;"PRC_RESID","",IF(AB$7=2005+OFFSET(COM_N_2012!$B$60,$AW297,SUMIF($B$10:$B$16,"NCAP_TLIFE",$AX$10:$AX$16)),0,""))</f>
        <v/>
      </c>
      <c r="AC297" s="369" t="str">
        <f ca="1">IF($B297&lt;&gt;"PRC_RESID","",IF(AC$7=2005+OFFSET(COM_N_2012!$B$60,$AW297,SUMIF($B$10:$B$16,"NCAP_TLIFE",$AX$10:$AX$16)),0,""))</f>
        <v/>
      </c>
      <c r="AD297" s="369" t="str">
        <f ca="1">IF($B297&lt;&gt;"PRC_RESID","",IF(AD$7=2005+OFFSET(COM_N_2012!$B$60,$AW297,SUMIF($B$10:$B$16,"NCAP_TLIFE",$AX$10:$AX$16)),0,""))</f>
        <v/>
      </c>
      <c r="AE297" s="369" t="str">
        <f ca="1">IF($B297&lt;&gt;"PRC_RESID","",IF(AE$7=2005+OFFSET(COM_N_2012!$B$60,$AW297,SUMIF($B$10:$B$16,"NCAP_TLIFE",$AX$10:$AX$16)),0,""))</f>
        <v/>
      </c>
      <c r="AF297" s="369" t="str">
        <f ca="1">IF($B297&lt;&gt;"PRC_RESID","",IF(AF$7=2005+OFFSET(COM_N_2012!$B$60,$AW297,SUMIF($B$10:$B$16,"NCAP_TLIFE",$AX$10:$AX$16)),0,""))</f>
        <v/>
      </c>
      <c r="AG297" s="369" t="str">
        <f ca="1">IF($B297&lt;&gt;"PRC_RESID","",IF(AG$7=2005+OFFSET(COM_N_2012!$B$60,$AW297,SUMIF($B$10:$B$16,"NCAP_TLIFE",$AX$10:$AX$16)),0,""))</f>
        <v/>
      </c>
      <c r="AH297" s="369" t="str">
        <f ca="1">IF($B297&lt;&gt;"PRC_RESID","",IF(AH$7=2005+OFFSET(COM_N_2012!$B$60,$AW297,SUMIF($B$10:$B$16,"NCAP_TLIFE",$AX$10:$AX$16)),0,""))</f>
        <v/>
      </c>
      <c r="AI297" s="369" t="str">
        <f ca="1">IF($B297&lt;&gt;"PRC_RESID","",IF(AI$7=2005+OFFSET(COM_N_2012!$B$60,$AW297,SUMIF($B$10:$B$16,"NCAP_TLIFE",$AX$10:$AX$16)),0,""))</f>
        <v/>
      </c>
      <c r="AJ297" s="369" t="str">
        <f ca="1">IF($B297&lt;&gt;"PRC_RESID","",IF(AJ$7=2005+OFFSET(COM_N_2012!$B$60,$AW297,SUMIF($B$10:$B$16,"NCAP_TLIFE",$AX$10:$AX$16)),0,""))</f>
        <v/>
      </c>
      <c r="AK297" s="369" t="str">
        <f ca="1">IF($B297&lt;&gt;"PRC_RESID","",IF(AK$7=2005+OFFSET(COM_N_2012!$B$60,$AW297,SUMIF($B$10:$B$16,"NCAP_TLIFE",$AX$10:$AX$16)),0,""))</f>
        <v/>
      </c>
      <c r="AL297" s="369" t="str">
        <f ca="1">IF($B297&lt;&gt;"PRC_RESID","",IF(AL$7=2005+OFFSET(COM_N_2012!$B$60,$AW297,SUMIF($B$10:$B$16,"NCAP_TLIFE",$AX$10:$AX$16)),0,""))</f>
        <v/>
      </c>
      <c r="AM297" s="369" t="str">
        <f ca="1">IF($B297&lt;&gt;"PRC_RESID","",IF(AM$7=2005+OFFSET(COM_N_2012!$B$60,$AW297,SUMIF($B$10:$B$16,"NCAP_TLIFE",$AX$10:$AX$16)),0,""))</f>
        <v/>
      </c>
      <c r="AN297" s="369" t="str">
        <f ca="1">IF($B297&lt;&gt;"PRC_RESID","",IF(AN$7=2005+OFFSET(COM_N_2012!$B$60,$AW297,SUMIF($B$10:$B$16,"NCAP_TLIFE",$AX$10:$AX$16)),0,""))</f>
        <v/>
      </c>
      <c r="AO297" s="369" t="str">
        <f ca="1">IF($B297&lt;&gt;"PRC_RESID","",IF(AO$7=2005+OFFSET(COM_N_2012!$B$60,$AW297,SUMIF($B$10:$B$16,"NCAP_TLIFE",$AX$10:$AX$16)),0,""))</f>
        <v/>
      </c>
      <c r="AP297" s="369" t="str">
        <f ca="1">IF($B297&lt;&gt;"PRC_RESID","",IF(AP$7=2005+OFFSET(COM_N_2012!$B$60,$AW297,SUMIF($B$10:$B$16,"NCAP_TLIFE",$AX$10:$AX$16)),0,""))</f>
        <v/>
      </c>
      <c r="AQ297" s="369" t="str">
        <f ca="1">IF($B297&lt;&gt;"PRC_RESID","",IF(AQ$7=2005+OFFSET(COM_N_2012!$B$60,$AW297,SUMIF($B$10:$B$16,"NCAP_TLIFE",$AX$10:$AX$16)),0,""))</f>
        <v/>
      </c>
      <c r="AR297" s="369" t="str">
        <f ca="1">IF($B297&lt;&gt;"PRC_RESID","",IF(AR$7=2005+OFFSET(COM_N_2012!$B$60,$AW297,SUMIF($B$10:$B$16,"NCAP_TLIFE",$AX$10:$AX$16)),0,""))</f>
        <v/>
      </c>
      <c r="AS297" s="369" t="str">
        <f ca="1">IF($B297&lt;&gt;"PRC_RESID","",IF(AS$7=2005+OFFSET(COM_N_2012!$B$60,$AW297,SUMIF($B$10:$B$16,"NCAP_TLIFE",$AX$10:$AX$16)),0,""))</f>
        <v/>
      </c>
      <c r="AT297" s="369" t="str">
        <f ca="1">IF($B297&lt;&gt;"PRC_RESID","",IF(AT$7=2005+OFFSET(COM_N_2012!$B$60,$AW297,SUMIF($B$10:$B$16,"NCAP_TLIFE",$AX$10:$AX$16)),0,""))</f>
        <v/>
      </c>
      <c r="AU297" s="369" t="str">
        <f ca="1">IF($B297&lt;&gt;"PRC_RESID","",IF(AU$7=2005+OFFSET(COM_N_2012!$B$60,$AW297,SUMIF($B$10:$B$16,"NCAP_TLIFE",$AX$10:$AX$16)),0,""))</f>
        <v/>
      </c>
      <c r="AV297" s="304">
        <f>IF(AW296=COM_N_2012!$AK$121,AV296+1,AV296)</f>
        <v>5</v>
      </c>
      <c r="AW297" s="304">
        <f t="shared" si="37"/>
        <v>36</v>
      </c>
    </row>
    <row r="298" spans="1:49">
      <c r="A298" s="304" t="str">
        <f ca="1">IF(LEFT(OFFSET(COM_N_2012!$A$60,AW298,0),2)="\I","*","")</f>
        <v/>
      </c>
      <c r="B298" s="369" t="str">
        <f t="shared" ca="1" si="36"/>
        <v>NCAP_FOM</v>
      </c>
      <c r="C298" s="369" t="str">
        <f ca="1">IF($A298="*","",OFFSET(COM_N_2012!$B$60,AW298,0))</f>
        <v>CNWOKE-E</v>
      </c>
      <c r="D298" s="369" t="str">
        <f t="shared" ref="D298:I307" ca="1" si="40">IF($A298="*","",VLOOKUP($B298,$B$10:$I$16,D$9,FALSE))</f>
        <v>-</v>
      </c>
      <c r="E298" s="369" t="str">
        <f t="shared" ca="1" si="40"/>
        <v>-</v>
      </c>
      <c r="F298" s="369" t="str">
        <f t="shared" ca="1" si="40"/>
        <v>-</v>
      </c>
      <c r="G298" s="369" t="str">
        <f t="shared" ca="1" si="40"/>
        <v>-</v>
      </c>
      <c r="H298" s="369" t="str">
        <f t="shared" ca="1" si="40"/>
        <v>-</v>
      </c>
      <c r="I298" s="370">
        <f t="shared" ca="1" si="40"/>
        <v>0</v>
      </c>
      <c r="J298" s="391">
        <f ca="1">IF($A298="*","",OFFSET(COM_N_2012!$B$60,AW298,SUMIF($B$10:$B$16,B298,$AX$10:$AX$16)))</f>
        <v>2.4826371391503539</v>
      </c>
      <c r="K298" s="369" t="str">
        <f ca="1">IF($B298&lt;&gt;"PRC_RESID","",IF(K$7=2005+OFFSET(COM_N_2012!$B$60,$AW298,SUMIF($B$10:$B$16,"NCAP_TLIFE",$AX$10:$AX$16)),0,""))</f>
        <v/>
      </c>
      <c r="L298" s="369" t="str">
        <f ca="1">IF($B298&lt;&gt;"PRC_RESID","",IF(L$7=2005+OFFSET(COM_N_2012!$B$60,$AW298,SUMIF($B$10:$B$16,"NCAP_TLIFE",$AX$10:$AX$16)),0,""))</f>
        <v/>
      </c>
      <c r="M298" s="369" t="str">
        <f ca="1">IF($B298&lt;&gt;"PRC_RESID","",IF(M$7=2005+OFFSET(COM_N_2012!$B$60,$AW298,SUMIF($B$10:$B$16,"NCAP_TLIFE",$AX$10:$AX$16)),0,""))</f>
        <v/>
      </c>
      <c r="N298" s="369" t="str">
        <f ca="1">IF($B298&lt;&gt;"PRC_RESID","",IF(N$7=2005+OFFSET(COM_N_2012!$B$60,$AW298,SUMIF($B$10:$B$16,"NCAP_TLIFE",$AX$10:$AX$16)),0,""))</f>
        <v/>
      </c>
      <c r="O298" s="369" t="str">
        <f ca="1">IF($B298&lt;&gt;"PRC_RESID","",IF(O$7=2005+OFFSET(COM_N_2012!$B$60,$AW298,SUMIF($B$10:$B$16,"NCAP_TLIFE",$AX$10:$AX$16)),0,""))</f>
        <v/>
      </c>
      <c r="P298" s="369" t="str">
        <f ca="1">IF($B298&lt;&gt;"PRC_RESID","",IF(P$7=2005+OFFSET(COM_N_2012!$B$60,$AW298,SUMIF($B$10:$B$16,"NCAP_TLIFE",$AX$10:$AX$16)),0,""))</f>
        <v/>
      </c>
      <c r="Q298" s="369" t="str">
        <f ca="1">IF($B298&lt;&gt;"PRC_RESID","",IF(Q$7=2005+OFFSET(COM_N_2012!$B$60,$AW298,SUMIF($B$10:$B$16,"NCAP_TLIFE",$AX$10:$AX$16)),0,""))</f>
        <v/>
      </c>
      <c r="R298" s="369" t="str">
        <f ca="1">IF($B298&lt;&gt;"PRC_RESID","",IF(R$7=2005+OFFSET(COM_N_2012!$B$60,$AW298,SUMIF($B$10:$B$16,"NCAP_TLIFE",$AX$10:$AX$16)),0,""))</f>
        <v/>
      </c>
      <c r="S298" s="369" t="str">
        <f ca="1">IF($B298&lt;&gt;"PRC_RESID","",IF(S$7=2005+OFFSET(COM_N_2012!$B$60,$AW298,SUMIF($B$10:$B$16,"NCAP_TLIFE",$AX$10:$AX$16)),0,""))</f>
        <v/>
      </c>
      <c r="T298" s="369" t="str">
        <f ca="1">IF($B298&lt;&gt;"PRC_RESID","",IF(T$7=2005+OFFSET(COM_N_2012!$B$60,$AW298,SUMIF($B$10:$B$16,"NCAP_TLIFE",$AX$10:$AX$16)),0,""))</f>
        <v/>
      </c>
      <c r="U298" s="369" t="str">
        <f ca="1">IF($B298&lt;&gt;"PRC_RESID","",IF(U$7=2005+OFFSET(COM_N_2012!$B$60,$AW298,SUMIF($B$10:$B$16,"NCAP_TLIFE",$AX$10:$AX$16)),0,""))</f>
        <v/>
      </c>
      <c r="V298" s="369" t="str">
        <f ca="1">IF($B298&lt;&gt;"PRC_RESID","",IF(V$7=2005+OFFSET(COM_N_2012!$B$60,$AW298,SUMIF($B$10:$B$16,"NCAP_TLIFE",$AX$10:$AX$16)),0,""))</f>
        <v/>
      </c>
      <c r="W298" s="369" t="str">
        <f ca="1">IF($B298&lt;&gt;"PRC_RESID","",IF(W$7=2005+OFFSET(COM_N_2012!$B$60,$AW298,SUMIF($B$10:$B$16,"NCAP_TLIFE",$AX$10:$AX$16)),0,""))</f>
        <v/>
      </c>
      <c r="X298" s="369" t="str">
        <f ca="1">IF($B298&lt;&gt;"PRC_RESID","",IF(X$7=2005+OFFSET(COM_N_2012!$B$60,$AW298,SUMIF($B$10:$B$16,"NCAP_TLIFE",$AX$10:$AX$16)),0,""))</f>
        <v/>
      </c>
      <c r="Y298" s="369" t="str">
        <f ca="1">IF($B298&lt;&gt;"PRC_RESID","",IF(Y$7=2005+OFFSET(COM_N_2012!$B$60,$AW298,SUMIF($B$10:$B$16,"NCAP_TLIFE",$AX$10:$AX$16)),0,""))</f>
        <v/>
      </c>
      <c r="Z298" s="369" t="str">
        <f ca="1">IF($B298&lt;&gt;"PRC_RESID","",IF(Z$7=2005+OFFSET(COM_N_2012!$B$60,$AW298,SUMIF($B$10:$B$16,"NCAP_TLIFE",$AX$10:$AX$16)),0,""))</f>
        <v/>
      </c>
      <c r="AA298" s="369" t="str">
        <f ca="1">IF($B298&lt;&gt;"PRC_RESID","",IF(AA$7=2005+OFFSET(COM_N_2012!$B$60,$AW298,SUMIF($B$10:$B$16,"NCAP_TLIFE",$AX$10:$AX$16)),0,""))</f>
        <v/>
      </c>
      <c r="AB298" s="369" t="str">
        <f ca="1">IF($B298&lt;&gt;"PRC_RESID","",IF(AB$7=2005+OFFSET(COM_N_2012!$B$60,$AW298,SUMIF($B$10:$B$16,"NCAP_TLIFE",$AX$10:$AX$16)),0,""))</f>
        <v/>
      </c>
      <c r="AC298" s="369" t="str">
        <f ca="1">IF($B298&lt;&gt;"PRC_RESID","",IF(AC$7=2005+OFFSET(COM_N_2012!$B$60,$AW298,SUMIF($B$10:$B$16,"NCAP_TLIFE",$AX$10:$AX$16)),0,""))</f>
        <v/>
      </c>
      <c r="AD298" s="369" t="str">
        <f ca="1">IF($B298&lt;&gt;"PRC_RESID","",IF(AD$7=2005+OFFSET(COM_N_2012!$B$60,$AW298,SUMIF($B$10:$B$16,"NCAP_TLIFE",$AX$10:$AX$16)),0,""))</f>
        <v/>
      </c>
      <c r="AE298" s="369" t="str">
        <f ca="1">IF($B298&lt;&gt;"PRC_RESID","",IF(AE$7=2005+OFFSET(COM_N_2012!$B$60,$AW298,SUMIF($B$10:$B$16,"NCAP_TLIFE",$AX$10:$AX$16)),0,""))</f>
        <v/>
      </c>
      <c r="AF298" s="369" t="str">
        <f ca="1">IF($B298&lt;&gt;"PRC_RESID","",IF(AF$7=2005+OFFSET(COM_N_2012!$B$60,$AW298,SUMIF($B$10:$B$16,"NCAP_TLIFE",$AX$10:$AX$16)),0,""))</f>
        <v/>
      </c>
      <c r="AG298" s="369" t="str">
        <f ca="1">IF($B298&lt;&gt;"PRC_RESID","",IF(AG$7=2005+OFFSET(COM_N_2012!$B$60,$AW298,SUMIF($B$10:$B$16,"NCAP_TLIFE",$AX$10:$AX$16)),0,""))</f>
        <v/>
      </c>
      <c r="AH298" s="369" t="str">
        <f ca="1">IF($B298&lt;&gt;"PRC_RESID","",IF(AH$7=2005+OFFSET(COM_N_2012!$B$60,$AW298,SUMIF($B$10:$B$16,"NCAP_TLIFE",$AX$10:$AX$16)),0,""))</f>
        <v/>
      </c>
      <c r="AI298" s="369" t="str">
        <f ca="1">IF($B298&lt;&gt;"PRC_RESID","",IF(AI$7=2005+OFFSET(COM_N_2012!$B$60,$AW298,SUMIF($B$10:$B$16,"NCAP_TLIFE",$AX$10:$AX$16)),0,""))</f>
        <v/>
      </c>
      <c r="AJ298" s="369" t="str">
        <f ca="1">IF($B298&lt;&gt;"PRC_RESID","",IF(AJ$7=2005+OFFSET(COM_N_2012!$B$60,$AW298,SUMIF($B$10:$B$16,"NCAP_TLIFE",$AX$10:$AX$16)),0,""))</f>
        <v/>
      </c>
      <c r="AK298" s="369" t="str">
        <f ca="1">IF($B298&lt;&gt;"PRC_RESID","",IF(AK$7=2005+OFFSET(COM_N_2012!$B$60,$AW298,SUMIF($B$10:$B$16,"NCAP_TLIFE",$AX$10:$AX$16)),0,""))</f>
        <v/>
      </c>
      <c r="AL298" s="369" t="str">
        <f ca="1">IF($B298&lt;&gt;"PRC_RESID","",IF(AL$7=2005+OFFSET(COM_N_2012!$B$60,$AW298,SUMIF($B$10:$B$16,"NCAP_TLIFE",$AX$10:$AX$16)),0,""))</f>
        <v/>
      </c>
      <c r="AM298" s="369" t="str">
        <f ca="1">IF($B298&lt;&gt;"PRC_RESID","",IF(AM$7=2005+OFFSET(COM_N_2012!$B$60,$AW298,SUMIF($B$10:$B$16,"NCAP_TLIFE",$AX$10:$AX$16)),0,""))</f>
        <v/>
      </c>
      <c r="AN298" s="369" t="str">
        <f ca="1">IF($B298&lt;&gt;"PRC_RESID","",IF(AN$7=2005+OFFSET(COM_N_2012!$B$60,$AW298,SUMIF($B$10:$B$16,"NCAP_TLIFE",$AX$10:$AX$16)),0,""))</f>
        <v/>
      </c>
      <c r="AO298" s="369" t="str">
        <f ca="1">IF($B298&lt;&gt;"PRC_RESID","",IF(AO$7=2005+OFFSET(COM_N_2012!$B$60,$AW298,SUMIF($B$10:$B$16,"NCAP_TLIFE",$AX$10:$AX$16)),0,""))</f>
        <v/>
      </c>
      <c r="AP298" s="369" t="str">
        <f ca="1">IF($B298&lt;&gt;"PRC_RESID","",IF(AP$7=2005+OFFSET(COM_N_2012!$B$60,$AW298,SUMIF($B$10:$B$16,"NCAP_TLIFE",$AX$10:$AX$16)),0,""))</f>
        <v/>
      </c>
      <c r="AQ298" s="369" t="str">
        <f ca="1">IF($B298&lt;&gt;"PRC_RESID","",IF(AQ$7=2005+OFFSET(COM_N_2012!$B$60,$AW298,SUMIF($B$10:$B$16,"NCAP_TLIFE",$AX$10:$AX$16)),0,""))</f>
        <v/>
      </c>
      <c r="AR298" s="369" t="str">
        <f ca="1">IF($B298&lt;&gt;"PRC_RESID","",IF(AR$7=2005+OFFSET(COM_N_2012!$B$60,$AW298,SUMIF($B$10:$B$16,"NCAP_TLIFE",$AX$10:$AX$16)),0,""))</f>
        <v/>
      </c>
      <c r="AS298" s="369" t="str">
        <f ca="1">IF($B298&lt;&gt;"PRC_RESID","",IF(AS$7=2005+OFFSET(COM_N_2012!$B$60,$AW298,SUMIF($B$10:$B$16,"NCAP_TLIFE",$AX$10:$AX$16)),0,""))</f>
        <v/>
      </c>
      <c r="AT298" s="369" t="str">
        <f ca="1">IF($B298&lt;&gt;"PRC_RESID","",IF(AT$7=2005+OFFSET(COM_N_2012!$B$60,$AW298,SUMIF($B$10:$B$16,"NCAP_TLIFE",$AX$10:$AX$16)),0,""))</f>
        <v/>
      </c>
      <c r="AU298" s="369" t="str">
        <f ca="1">IF($B298&lt;&gt;"PRC_RESID","",IF(AU$7=2005+OFFSET(COM_N_2012!$B$60,$AW298,SUMIF($B$10:$B$16,"NCAP_TLIFE",$AX$10:$AX$16)),0,""))</f>
        <v/>
      </c>
      <c r="AV298" s="304">
        <f>IF(AW297=COM_N_2012!$AK$121,AV297+1,AV297)</f>
        <v>5</v>
      </c>
      <c r="AW298" s="304">
        <f t="shared" si="37"/>
        <v>37</v>
      </c>
    </row>
    <row r="299" spans="1:49">
      <c r="A299" s="304" t="str">
        <f ca="1">IF(LEFT(OFFSET(COM_N_2012!$A$60,AW299,0),2)="\I","*","")</f>
        <v/>
      </c>
      <c r="B299" s="369" t="str">
        <f t="shared" ca="1" si="36"/>
        <v>NCAP_FOM</v>
      </c>
      <c r="C299" s="369" t="str">
        <f ca="1">IF($A299="*","",OFFSET(COM_N_2012!$B$60,AW299,0))</f>
        <v>CNWELC-N</v>
      </c>
      <c r="D299" s="369" t="str">
        <f t="shared" ca="1" si="40"/>
        <v>-</v>
      </c>
      <c r="E299" s="369" t="str">
        <f t="shared" ca="1" si="40"/>
        <v>-</v>
      </c>
      <c r="F299" s="369" t="str">
        <f t="shared" ca="1" si="40"/>
        <v>-</v>
      </c>
      <c r="G299" s="369" t="str">
        <f t="shared" ca="1" si="40"/>
        <v>-</v>
      </c>
      <c r="H299" s="369" t="str">
        <f t="shared" ca="1" si="40"/>
        <v>-</v>
      </c>
      <c r="I299" s="370">
        <f t="shared" ca="1" si="40"/>
        <v>0</v>
      </c>
      <c r="J299" s="391">
        <f ca="1">IF($A299="*","",OFFSET(COM_N_2012!$B$60,AW299,SUMIF($B$10:$B$16,B299,$AX$10:$AX$16)))</f>
        <v>3.1581453839889382</v>
      </c>
      <c r="K299" s="369" t="str">
        <f ca="1">IF($B299&lt;&gt;"PRC_RESID","",IF(K$7=2005+OFFSET(COM_N_2012!$B$60,$AW299,SUMIF($B$10:$B$16,"NCAP_TLIFE",$AX$10:$AX$16)),0,""))</f>
        <v/>
      </c>
      <c r="L299" s="369" t="str">
        <f ca="1">IF($B299&lt;&gt;"PRC_RESID","",IF(L$7=2005+OFFSET(COM_N_2012!$B$60,$AW299,SUMIF($B$10:$B$16,"NCAP_TLIFE",$AX$10:$AX$16)),0,""))</f>
        <v/>
      </c>
      <c r="M299" s="369" t="str">
        <f ca="1">IF($B299&lt;&gt;"PRC_RESID","",IF(M$7=2005+OFFSET(COM_N_2012!$B$60,$AW299,SUMIF($B$10:$B$16,"NCAP_TLIFE",$AX$10:$AX$16)),0,""))</f>
        <v/>
      </c>
      <c r="N299" s="369" t="str">
        <f ca="1">IF($B299&lt;&gt;"PRC_RESID","",IF(N$7=2005+OFFSET(COM_N_2012!$B$60,$AW299,SUMIF($B$10:$B$16,"NCAP_TLIFE",$AX$10:$AX$16)),0,""))</f>
        <v/>
      </c>
      <c r="O299" s="369" t="str">
        <f ca="1">IF($B299&lt;&gt;"PRC_RESID","",IF(O$7=2005+OFFSET(COM_N_2012!$B$60,$AW299,SUMIF($B$10:$B$16,"NCAP_TLIFE",$AX$10:$AX$16)),0,""))</f>
        <v/>
      </c>
      <c r="P299" s="369" t="str">
        <f ca="1">IF($B299&lt;&gt;"PRC_RESID","",IF(P$7=2005+OFFSET(COM_N_2012!$B$60,$AW299,SUMIF($B$10:$B$16,"NCAP_TLIFE",$AX$10:$AX$16)),0,""))</f>
        <v/>
      </c>
      <c r="Q299" s="369" t="str">
        <f ca="1">IF($B299&lt;&gt;"PRC_RESID","",IF(Q$7=2005+OFFSET(COM_N_2012!$B$60,$AW299,SUMIF($B$10:$B$16,"NCAP_TLIFE",$AX$10:$AX$16)),0,""))</f>
        <v/>
      </c>
      <c r="R299" s="369" t="str">
        <f ca="1">IF($B299&lt;&gt;"PRC_RESID","",IF(R$7=2005+OFFSET(COM_N_2012!$B$60,$AW299,SUMIF($B$10:$B$16,"NCAP_TLIFE",$AX$10:$AX$16)),0,""))</f>
        <v/>
      </c>
      <c r="S299" s="369" t="str">
        <f ca="1">IF($B299&lt;&gt;"PRC_RESID","",IF(S$7=2005+OFFSET(COM_N_2012!$B$60,$AW299,SUMIF($B$10:$B$16,"NCAP_TLIFE",$AX$10:$AX$16)),0,""))</f>
        <v/>
      </c>
      <c r="T299" s="369" t="str">
        <f ca="1">IF($B299&lt;&gt;"PRC_RESID","",IF(T$7=2005+OFFSET(COM_N_2012!$B$60,$AW299,SUMIF($B$10:$B$16,"NCAP_TLIFE",$AX$10:$AX$16)),0,""))</f>
        <v/>
      </c>
      <c r="U299" s="369" t="str">
        <f ca="1">IF($B299&lt;&gt;"PRC_RESID","",IF(U$7=2005+OFFSET(COM_N_2012!$B$60,$AW299,SUMIF($B$10:$B$16,"NCAP_TLIFE",$AX$10:$AX$16)),0,""))</f>
        <v/>
      </c>
      <c r="V299" s="369" t="str">
        <f ca="1">IF($B299&lt;&gt;"PRC_RESID","",IF(V$7=2005+OFFSET(COM_N_2012!$B$60,$AW299,SUMIF($B$10:$B$16,"NCAP_TLIFE",$AX$10:$AX$16)),0,""))</f>
        <v/>
      </c>
      <c r="W299" s="369" t="str">
        <f ca="1">IF($B299&lt;&gt;"PRC_RESID","",IF(W$7=2005+OFFSET(COM_N_2012!$B$60,$AW299,SUMIF($B$10:$B$16,"NCAP_TLIFE",$AX$10:$AX$16)),0,""))</f>
        <v/>
      </c>
      <c r="X299" s="369" t="str">
        <f ca="1">IF($B299&lt;&gt;"PRC_RESID","",IF(X$7=2005+OFFSET(COM_N_2012!$B$60,$AW299,SUMIF($B$10:$B$16,"NCAP_TLIFE",$AX$10:$AX$16)),0,""))</f>
        <v/>
      </c>
      <c r="Y299" s="369" t="str">
        <f ca="1">IF($B299&lt;&gt;"PRC_RESID","",IF(Y$7=2005+OFFSET(COM_N_2012!$B$60,$AW299,SUMIF($B$10:$B$16,"NCAP_TLIFE",$AX$10:$AX$16)),0,""))</f>
        <v/>
      </c>
      <c r="Z299" s="369" t="str">
        <f ca="1">IF($B299&lt;&gt;"PRC_RESID","",IF(Z$7=2005+OFFSET(COM_N_2012!$B$60,$AW299,SUMIF($B$10:$B$16,"NCAP_TLIFE",$AX$10:$AX$16)),0,""))</f>
        <v/>
      </c>
      <c r="AA299" s="369" t="str">
        <f ca="1">IF($B299&lt;&gt;"PRC_RESID","",IF(AA$7=2005+OFFSET(COM_N_2012!$B$60,$AW299,SUMIF($B$10:$B$16,"NCAP_TLIFE",$AX$10:$AX$16)),0,""))</f>
        <v/>
      </c>
      <c r="AB299" s="369" t="str">
        <f ca="1">IF($B299&lt;&gt;"PRC_RESID","",IF(AB$7=2005+OFFSET(COM_N_2012!$B$60,$AW299,SUMIF($B$10:$B$16,"NCAP_TLIFE",$AX$10:$AX$16)),0,""))</f>
        <v/>
      </c>
      <c r="AC299" s="369" t="str">
        <f ca="1">IF($B299&lt;&gt;"PRC_RESID","",IF(AC$7=2005+OFFSET(COM_N_2012!$B$60,$AW299,SUMIF($B$10:$B$16,"NCAP_TLIFE",$AX$10:$AX$16)),0,""))</f>
        <v/>
      </c>
      <c r="AD299" s="369" t="str">
        <f ca="1">IF($B299&lt;&gt;"PRC_RESID","",IF(AD$7=2005+OFFSET(COM_N_2012!$B$60,$AW299,SUMIF($B$10:$B$16,"NCAP_TLIFE",$AX$10:$AX$16)),0,""))</f>
        <v/>
      </c>
      <c r="AE299" s="369" t="str">
        <f ca="1">IF($B299&lt;&gt;"PRC_RESID","",IF(AE$7=2005+OFFSET(COM_N_2012!$B$60,$AW299,SUMIF($B$10:$B$16,"NCAP_TLIFE",$AX$10:$AX$16)),0,""))</f>
        <v/>
      </c>
      <c r="AF299" s="369" t="str">
        <f ca="1">IF($B299&lt;&gt;"PRC_RESID","",IF(AF$7=2005+OFFSET(COM_N_2012!$B$60,$AW299,SUMIF($B$10:$B$16,"NCAP_TLIFE",$AX$10:$AX$16)),0,""))</f>
        <v/>
      </c>
      <c r="AG299" s="369" t="str">
        <f ca="1">IF($B299&lt;&gt;"PRC_RESID","",IF(AG$7=2005+OFFSET(COM_N_2012!$B$60,$AW299,SUMIF($B$10:$B$16,"NCAP_TLIFE",$AX$10:$AX$16)),0,""))</f>
        <v/>
      </c>
      <c r="AH299" s="369" t="str">
        <f ca="1">IF($B299&lt;&gt;"PRC_RESID","",IF(AH$7=2005+OFFSET(COM_N_2012!$B$60,$AW299,SUMIF($B$10:$B$16,"NCAP_TLIFE",$AX$10:$AX$16)),0,""))</f>
        <v/>
      </c>
      <c r="AI299" s="369" t="str">
        <f ca="1">IF($B299&lt;&gt;"PRC_RESID","",IF(AI$7=2005+OFFSET(COM_N_2012!$B$60,$AW299,SUMIF($B$10:$B$16,"NCAP_TLIFE",$AX$10:$AX$16)),0,""))</f>
        <v/>
      </c>
      <c r="AJ299" s="369" t="str">
        <f ca="1">IF($B299&lt;&gt;"PRC_RESID","",IF(AJ$7=2005+OFFSET(COM_N_2012!$B$60,$AW299,SUMIF($B$10:$B$16,"NCAP_TLIFE",$AX$10:$AX$16)),0,""))</f>
        <v/>
      </c>
      <c r="AK299" s="369" t="str">
        <f ca="1">IF($B299&lt;&gt;"PRC_RESID","",IF(AK$7=2005+OFFSET(COM_N_2012!$B$60,$AW299,SUMIF($B$10:$B$16,"NCAP_TLIFE",$AX$10:$AX$16)),0,""))</f>
        <v/>
      </c>
      <c r="AL299" s="369" t="str">
        <f ca="1">IF($B299&lt;&gt;"PRC_RESID","",IF(AL$7=2005+OFFSET(COM_N_2012!$B$60,$AW299,SUMIF($B$10:$B$16,"NCAP_TLIFE",$AX$10:$AX$16)),0,""))</f>
        <v/>
      </c>
      <c r="AM299" s="369" t="str">
        <f ca="1">IF($B299&lt;&gt;"PRC_RESID","",IF(AM$7=2005+OFFSET(COM_N_2012!$B$60,$AW299,SUMIF($B$10:$B$16,"NCAP_TLIFE",$AX$10:$AX$16)),0,""))</f>
        <v/>
      </c>
      <c r="AN299" s="369" t="str">
        <f ca="1">IF($B299&lt;&gt;"PRC_RESID","",IF(AN$7=2005+OFFSET(COM_N_2012!$B$60,$AW299,SUMIF($B$10:$B$16,"NCAP_TLIFE",$AX$10:$AX$16)),0,""))</f>
        <v/>
      </c>
      <c r="AO299" s="369" t="str">
        <f ca="1">IF($B299&lt;&gt;"PRC_RESID","",IF(AO$7=2005+OFFSET(COM_N_2012!$B$60,$AW299,SUMIF($B$10:$B$16,"NCAP_TLIFE",$AX$10:$AX$16)),0,""))</f>
        <v/>
      </c>
      <c r="AP299" s="369" t="str">
        <f ca="1">IF($B299&lt;&gt;"PRC_RESID","",IF(AP$7=2005+OFFSET(COM_N_2012!$B$60,$AW299,SUMIF($B$10:$B$16,"NCAP_TLIFE",$AX$10:$AX$16)),0,""))</f>
        <v/>
      </c>
      <c r="AQ299" s="369" t="str">
        <f ca="1">IF($B299&lt;&gt;"PRC_RESID","",IF(AQ$7=2005+OFFSET(COM_N_2012!$B$60,$AW299,SUMIF($B$10:$B$16,"NCAP_TLIFE",$AX$10:$AX$16)),0,""))</f>
        <v/>
      </c>
      <c r="AR299" s="369" t="str">
        <f ca="1">IF($B299&lt;&gt;"PRC_RESID","",IF(AR$7=2005+OFFSET(COM_N_2012!$B$60,$AW299,SUMIF($B$10:$B$16,"NCAP_TLIFE",$AX$10:$AX$16)),0,""))</f>
        <v/>
      </c>
      <c r="AS299" s="369" t="str">
        <f ca="1">IF($B299&lt;&gt;"PRC_RESID","",IF(AS$7=2005+OFFSET(COM_N_2012!$B$60,$AW299,SUMIF($B$10:$B$16,"NCAP_TLIFE",$AX$10:$AX$16)),0,""))</f>
        <v/>
      </c>
      <c r="AT299" s="369" t="str">
        <f ca="1">IF($B299&lt;&gt;"PRC_RESID","",IF(AT$7=2005+OFFSET(COM_N_2012!$B$60,$AW299,SUMIF($B$10:$B$16,"NCAP_TLIFE",$AX$10:$AX$16)),0,""))</f>
        <v/>
      </c>
      <c r="AU299" s="369" t="str">
        <f ca="1">IF($B299&lt;&gt;"PRC_RESID","",IF(AU$7=2005+OFFSET(COM_N_2012!$B$60,$AW299,SUMIF($B$10:$B$16,"NCAP_TLIFE",$AX$10:$AX$16)),0,""))</f>
        <v/>
      </c>
      <c r="AV299" s="304">
        <f>IF(AW298=COM_N_2012!$AK$121,AV298+1,AV298)</f>
        <v>5</v>
      </c>
      <c r="AW299" s="304">
        <f t="shared" si="37"/>
        <v>38</v>
      </c>
    </row>
    <row r="300" spans="1:49">
      <c r="A300" s="304" t="str">
        <f ca="1">IF(LEFT(OFFSET(COM_N_2012!$A$60,AW300,0),2)="\I","*","")</f>
        <v/>
      </c>
      <c r="B300" s="369" t="str">
        <f t="shared" ca="1" si="36"/>
        <v>NCAP_FOM</v>
      </c>
      <c r="C300" s="369" t="str">
        <f ca="1">IF($A300="*","",OFFSET(COM_N_2012!$B$60,AW300,0))</f>
        <v>CNWELCHP-N</v>
      </c>
      <c r="D300" s="369" t="str">
        <f t="shared" ca="1" si="40"/>
        <v>-</v>
      </c>
      <c r="E300" s="369" t="str">
        <f t="shared" ca="1" si="40"/>
        <v>-</v>
      </c>
      <c r="F300" s="369" t="str">
        <f t="shared" ca="1" si="40"/>
        <v>-</v>
      </c>
      <c r="G300" s="369" t="str">
        <f t="shared" ca="1" si="40"/>
        <v>-</v>
      </c>
      <c r="H300" s="369" t="str">
        <f t="shared" ca="1" si="40"/>
        <v>-</v>
      </c>
      <c r="I300" s="370">
        <f t="shared" ca="1" si="40"/>
        <v>0</v>
      </c>
      <c r="J300" s="391">
        <f ca="1">IF($A300="*","",OFFSET(COM_N_2012!$B$60,AW300,SUMIF($B$10:$B$16,B300,$AX$10:$AX$16)))</f>
        <v>9.474436151966815</v>
      </c>
      <c r="K300" s="369" t="str">
        <f ca="1">IF($B300&lt;&gt;"PRC_RESID","",IF(K$7=2005+OFFSET(COM_N_2012!$B$60,$AW300,SUMIF($B$10:$B$16,"NCAP_TLIFE",$AX$10:$AX$16)),0,""))</f>
        <v/>
      </c>
      <c r="L300" s="369" t="str">
        <f ca="1">IF($B300&lt;&gt;"PRC_RESID","",IF(L$7=2005+OFFSET(COM_N_2012!$B$60,$AW300,SUMIF($B$10:$B$16,"NCAP_TLIFE",$AX$10:$AX$16)),0,""))</f>
        <v/>
      </c>
      <c r="M300" s="369" t="str">
        <f ca="1">IF($B300&lt;&gt;"PRC_RESID","",IF(M$7=2005+OFFSET(COM_N_2012!$B$60,$AW300,SUMIF($B$10:$B$16,"NCAP_TLIFE",$AX$10:$AX$16)),0,""))</f>
        <v/>
      </c>
      <c r="N300" s="369" t="str">
        <f ca="1">IF($B300&lt;&gt;"PRC_RESID","",IF(N$7=2005+OFFSET(COM_N_2012!$B$60,$AW300,SUMIF($B$10:$B$16,"NCAP_TLIFE",$AX$10:$AX$16)),0,""))</f>
        <v/>
      </c>
      <c r="O300" s="369" t="str">
        <f ca="1">IF($B300&lt;&gt;"PRC_RESID","",IF(O$7=2005+OFFSET(COM_N_2012!$B$60,$AW300,SUMIF($B$10:$B$16,"NCAP_TLIFE",$AX$10:$AX$16)),0,""))</f>
        <v/>
      </c>
      <c r="P300" s="369" t="str">
        <f ca="1">IF($B300&lt;&gt;"PRC_RESID","",IF(P$7=2005+OFFSET(COM_N_2012!$B$60,$AW300,SUMIF($B$10:$B$16,"NCAP_TLIFE",$AX$10:$AX$16)),0,""))</f>
        <v/>
      </c>
      <c r="Q300" s="369" t="str">
        <f ca="1">IF($B300&lt;&gt;"PRC_RESID","",IF(Q$7=2005+OFFSET(COM_N_2012!$B$60,$AW300,SUMIF($B$10:$B$16,"NCAP_TLIFE",$AX$10:$AX$16)),0,""))</f>
        <v/>
      </c>
      <c r="R300" s="369" t="str">
        <f ca="1">IF($B300&lt;&gt;"PRC_RESID","",IF(R$7=2005+OFFSET(COM_N_2012!$B$60,$AW300,SUMIF($B$10:$B$16,"NCAP_TLIFE",$AX$10:$AX$16)),0,""))</f>
        <v/>
      </c>
      <c r="S300" s="369" t="str">
        <f ca="1">IF($B300&lt;&gt;"PRC_RESID","",IF(S$7=2005+OFFSET(COM_N_2012!$B$60,$AW300,SUMIF($B$10:$B$16,"NCAP_TLIFE",$AX$10:$AX$16)),0,""))</f>
        <v/>
      </c>
      <c r="T300" s="369" t="str">
        <f ca="1">IF($B300&lt;&gt;"PRC_RESID","",IF(T$7=2005+OFFSET(COM_N_2012!$B$60,$AW300,SUMIF($B$10:$B$16,"NCAP_TLIFE",$AX$10:$AX$16)),0,""))</f>
        <v/>
      </c>
      <c r="U300" s="369" t="str">
        <f ca="1">IF($B300&lt;&gt;"PRC_RESID","",IF(U$7=2005+OFFSET(COM_N_2012!$B$60,$AW300,SUMIF($B$10:$B$16,"NCAP_TLIFE",$AX$10:$AX$16)),0,""))</f>
        <v/>
      </c>
      <c r="V300" s="369" t="str">
        <f ca="1">IF($B300&lt;&gt;"PRC_RESID","",IF(V$7=2005+OFFSET(COM_N_2012!$B$60,$AW300,SUMIF($B$10:$B$16,"NCAP_TLIFE",$AX$10:$AX$16)),0,""))</f>
        <v/>
      </c>
      <c r="W300" s="369" t="str">
        <f ca="1">IF($B300&lt;&gt;"PRC_RESID","",IF(W$7=2005+OFFSET(COM_N_2012!$B$60,$AW300,SUMIF($B$10:$B$16,"NCAP_TLIFE",$AX$10:$AX$16)),0,""))</f>
        <v/>
      </c>
      <c r="X300" s="369" t="str">
        <f ca="1">IF($B300&lt;&gt;"PRC_RESID","",IF(X$7=2005+OFFSET(COM_N_2012!$B$60,$AW300,SUMIF($B$10:$B$16,"NCAP_TLIFE",$AX$10:$AX$16)),0,""))</f>
        <v/>
      </c>
      <c r="Y300" s="369" t="str">
        <f ca="1">IF($B300&lt;&gt;"PRC_RESID","",IF(Y$7=2005+OFFSET(COM_N_2012!$B$60,$AW300,SUMIF($B$10:$B$16,"NCAP_TLIFE",$AX$10:$AX$16)),0,""))</f>
        <v/>
      </c>
      <c r="Z300" s="369" t="str">
        <f ca="1">IF($B300&lt;&gt;"PRC_RESID","",IF(Z$7=2005+OFFSET(COM_N_2012!$B$60,$AW300,SUMIF($B$10:$B$16,"NCAP_TLIFE",$AX$10:$AX$16)),0,""))</f>
        <v/>
      </c>
      <c r="AA300" s="369" t="str">
        <f ca="1">IF($B300&lt;&gt;"PRC_RESID","",IF(AA$7=2005+OFFSET(COM_N_2012!$B$60,$AW300,SUMIF($B$10:$B$16,"NCAP_TLIFE",$AX$10:$AX$16)),0,""))</f>
        <v/>
      </c>
      <c r="AB300" s="369" t="str">
        <f ca="1">IF($B300&lt;&gt;"PRC_RESID","",IF(AB$7=2005+OFFSET(COM_N_2012!$B$60,$AW300,SUMIF($B$10:$B$16,"NCAP_TLIFE",$AX$10:$AX$16)),0,""))</f>
        <v/>
      </c>
      <c r="AC300" s="369" t="str">
        <f ca="1">IF($B300&lt;&gt;"PRC_RESID","",IF(AC$7=2005+OFFSET(COM_N_2012!$B$60,$AW300,SUMIF($B$10:$B$16,"NCAP_TLIFE",$AX$10:$AX$16)),0,""))</f>
        <v/>
      </c>
      <c r="AD300" s="369" t="str">
        <f ca="1">IF($B300&lt;&gt;"PRC_RESID","",IF(AD$7=2005+OFFSET(COM_N_2012!$B$60,$AW300,SUMIF($B$10:$B$16,"NCAP_TLIFE",$AX$10:$AX$16)),0,""))</f>
        <v/>
      </c>
      <c r="AE300" s="369" t="str">
        <f ca="1">IF($B300&lt;&gt;"PRC_RESID","",IF(AE$7=2005+OFFSET(COM_N_2012!$B$60,$AW300,SUMIF($B$10:$B$16,"NCAP_TLIFE",$AX$10:$AX$16)),0,""))</f>
        <v/>
      </c>
      <c r="AF300" s="369" t="str">
        <f ca="1">IF($B300&lt;&gt;"PRC_RESID","",IF(AF$7=2005+OFFSET(COM_N_2012!$B$60,$AW300,SUMIF($B$10:$B$16,"NCAP_TLIFE",$AX$10:$AX$16)),0,""))</f>
        <v/>
      </c>
      <c r="AG300" s="369" t="str">
        <f ca="1">IF($B300&lt;&gt;"PRC_RESID","",IF(AG$7=2005+OFFSET(COM_N_2012!$B$60,$AW300,SUMIF($B$10:$B$16,"NCAP_TLIFE",$AX$10:$AX$16)),0,""))</f>
        <v/>
      </c>
      <c r="AH300" s="369" t="str">
        <f ca="1">IF($B300&lt;&gt;"PRC_RESID","",IF(AH$7=2005+OFFSET(COM_N_2012!$B$60,$AW300,SUMIF($B$10:$B$16,"NCAP_TLIFE",$AX$10:$AX$16)),0,""))</f>
        <v/>
      </c>
      <c r="AI300" s="369" t="str">
        <f ca="1">IF($B300&lt;&gt;"PRC_RESID","",IF(AI$7=2005+OFFSET(COM_N_2012!$B$60,$AW300,SUMIF($B$10:$B$16,"NCAP_TLIFE",$AX$10:$AX$16)),0,""))</f>
        <v/>
      </c>
      <c r="AJ300" s="369" t="str">
        <f ca="1">IF($B300&lt;&gt;"PRC_RESID","",IF(AJ$7=2005+OFFSET(COM_N_2012!$B$60,$AW300,SUMIF($B$10:$B$16,"NCAP_TLIFE",$AX$10:$AX$16)),0,""))</f>
        <v/>
      </c>
      <c r="AK300" s="369" t="str">
        <f ca="1">IF($B300&lt;&gt;"PRC_RESID","",IF(AK$7=2005+OFFSET(COM_N_2012!$B$60,$AW300,SUMIF($B$10:$B$16,"NCAP_TLIFE",$AX$10:$AX$16)),0,""))</f>
        <v/>
      </c>
      <c r="AL300" s="369" t="str">
        <f ca="1">IF($B300&lt;&gt;"PRC_RESID","",IF(AL$7=2005+OFFSET(COM_N_2012!$B$60,$AW300,SUMIF($B$10:$B$16,"NCAP_TLIFE",$AX$10:$AX$16)),0,""))</f>
        <v/>
      </c>
      <c r="AM300" s="369" t="str">
        <f ca="1">IF($B300&lt;&gt;"PRC_RESID","",IF(AM$7=2005+OFFSET(COM_N_2012!$B$60,$AW300,SUMIF($B$10:$B$16,"NCAP_TLIFE",$AX$10:$AX$16)),0,""))</f>
        <v/>
      </c>
      <c r="AN300" s="369" t="str">
        <f ca="1">IF($B300&lt;&gt;"PRC_RESID","",IF(AN$7=2005+OFFSET(COM_N_2012!$B$60,$AW300,SUMIF($B$10:$B$16,"NCAP_TLIFE",$AX$10:$AX$16)),0,""))</f>
        <v/>
      </c>
      <c r="AO300" s="369" t="str">
        <f ca="1">IF($B300&lt;&gt;"PRC_RESID","",IF(AO$7=2005+OFFSET(COM_N_2012!$B$60,$AW300,SUMIF($B$10:$B$16,"NCAP_TLIFE",$AX$10:$AX$16)),0,""))</f>
        <v/>
      </c>
      <c r="AP300" s="369" t="str">
        <f ca="1">IF($B300&lt;&gt;"PRC_RESID","",IF(AP$7=2005+OFFSET(COM_N_2012!$B$60,$AW300,SUMIF($B$10:$B$16,"NCAP_TLIFE",$AX$10:$AX$16)),0,""))</f>
        <v/>
      </c>
      <c r="AQ300" s="369" t="str">
        <f ca="1">IF($B300&lt;&gt;"PRC_RESID","",IF(AQ$7=2005+OFFSET(COM_N_2012!$B$60,$AW300,SUMIF($B$10:$B$16,"NCAP_TLIFE",$AX$10:$AX$16)),0,""))</f>
        <v/>
      </c>
      <c r="AR300" s="369" t="str">
        <f ca="1">IF($B300&lt;&gt;"PRC_RESID","",IF(AR$7=2005+OFFSET(COM_N_2012!$B$60,$AW300,SUMIF($B$10:$B$16,"NCAP_TLIFE",$AX$10:$AX$16)),0,""))</f>
        <v/>
      </c>
      <c r="AS300" s="369" t="str">
        <f ca="1">IF($B300&lt;&gt;"PRC_RESID","",IF(AS$7=2005+OFFSET(COM_N_2012!$B$60,$AW300,SUMIF($B$10:$B$16,"NCAP_TLIFE",$AX$10:$AX$16)),0,""))</f>
        <v/>
      </c>
      <c r="AT300" s="369" t="str">
        <f ca="1">IF($B300&lt;&gt;"PRC_RESID","",IF(AT$7=2005+OFFSET(COM_N_2012!$B$60,$AW300,SUMIF($B$10:$B$16,"NCAP_TLIFE",$AX$10:$AX$16)),0,""))</f>
        <v/>
      </c>
      <c r="AU300" s="369" t="str">
        <f ca="1">IF($B300&lt;&gt;"PRC_RESID","",IF(AU$7=2005+OFFSET(COM_N_2012!$B$60,$AW300,SUMIF($B$10:$B$16,"NCAP_TLIFE",$AX$10:$AX$16)),0,""))</f>
        <v/>
      </c>
      <c r="AV300" s="304">
        <f>IF(AW299=COM_N_2012!$AK$121,AV299+1,AV299)</f>
        <v>5</v>
      </c>
      <c r="AW300" s="304">
        <f t="shared" si="37"/>
        <v>39</v>
      </c>
    </row>
    <row r="301" spans="1:49">
      <c r="A301" s="304" t="str">
        <f ca="1">IF(LEFT(OFFSET(COM_N_2012!$A$60,AW301,0),2)="\I","*","")</f>
        <v>*</v>
      </c>
      <c r="B301" s="369" t="str">
        <f t="shared" ca="1" si="36"/>
        <v/>
      </c>
      <c r="C301" s="369" t="str">
        <f ca="1">IF($A301="*","",OFFSET(COM_N_2012!$B$60,AW301,0))</f>
        <v/>
      </c>
      <c r="D301" s="369" t="str">
        <f t="shared" ca="1" si="40"/>
        <v/>
      </c>
      <c r="E301" s="369" t="str">
        <f t="shared" ca="1" si="40"/>
        <v/>
      </c>
      <c r="F301" s="369" t="str">
        <f t="shared" ca="1" si="40"/>
        <v/>
      </c>
      <c r="G301" s="369" t="str">
        <f t="shared" ca="1" si="40"/>
        <v/>
      </c>
      <c r="H301" s="369" t="str">
        <f t="shared" ca="1" si="40"/>
        <v/>
      </c>
      <c r="I301" s="370" t="str">
        <f t="shared" ca="1" si="40"/>
        <v/>
      </c>
      <c r="J301" s="391" t="str">
        <f ca="1">IF($A301="*","",OFFSET(COM_N_2012!$B$60,AW301,SUMIF($B$10:$B$16,B301,$AX$10:$AX$16)))</f>
        <v/>
      </c>
      <c r="K301" s="369" t="str">
        <f ca="1">IF($B301&lt;&gt;"PRC_RESID","",IF(K$7=2005+OFFSET(COM_N_2012!$B$60,$AW301,SUMIF($B$10:$B$16,"NCAP_TLIFE",$AX$10:$AX$16)),0,""))</f>
        <v/>
      </c>
      <c r="L301" s="369" t="str">
        <f ca="1">IF($B301&lt;&gt;"PRC_RESID","",IF(L$7=2005+OFFSET(COM_N_2012!$B$60,$AW301,SUMIF($B$10:$B$16,"NCAP_TLIFE",$AX$10:$AX$16)),0,""))</f>
        <v/>
      </c>
      <c r="M301" s="369" t="str">
        <f ca="1">IF($B301&lt;&gt;"PRC_RESID","",IF(M$7=2005+OFFSET(COM_N_2012!$B$60,$AW301,SUMIF($B$10:$B$16,"NCAP_TLIFE",$AX$10:$AX$16)),0,""))</f>
        <v/>
      </c>
      <c r="N301" s="369" t="str">
        <f ca="1">IF($B301&lt;&gt;"PRC_RESID","",IF(N$7=2005+OFFSET(COM_N_2012!$B$60,$AW301,SUMIF($B$10:$B$16,"NCAP_TLIFE",$AX$10:$AX$16)),0,""))</f>
        <v/>
      </c>
      <c r="O301" s="369" t="str">
        <f ca="1">IF($B301&lt;&gt;"PRC_RESID","",IF(O$7=2005+OFFSET(COM_N_2012!$B$60,$AW301,SUMIF($B$10:$B$16,"NCAP_TLIFE",$AX$10:$AX$16)),0,""))</f>
        <v/>
      </c>
      <c r="P301" s="369" t="str">
        <f ca="1">IF($B301&lt;&gt;"PRC_RESID","",IF(P$7=2005+OFFSET(COM_N_2012!$B$60,$AW301,SUMIF($B$10:$B$16,"NCAP_TLIFE",$AX$10:$AX$16)),0,""))</f>
        <v/>
      </c>
      <c r="Q301" s="369" t="str">
        <f ca="1">IF($B301&lt;&gt;"PRC_RESID","",IF(Q$7=2005+OFFSET(COM_N_2012!$B$60,$AW301,SUMIF($B$10:$B$16,"NCAP_TLIFE",$AX$10:$AX$16)),0,""))</f>
        <v/>
      </c>
      <c r="R301" s="369" t="str">
        <f ca="1">IF($B301&lt;&gt;"PRC_RESID","",IF(R$7=2005+OFFSET(COM_N_2012!$B$60,$AW301,SUMIF($B$10:$B$16,"NCAP_TLIFE",$AX$10:$AX$16)),0,""))</f>
        <v/>
      </c>
      <c r="S301" s="369" t="str">
        <f ca="1">IF($B301&lt;&gt;"PRC_RESID","",IF(S$7=2005+OFFSET(COM_N_2012!$B$60,$AW301,SUMIF($B$10:$B$16,"NCAP_TLIFE",$AX$10:$AX$16)),0,""))</f>
        <v/>
      </c>
      <c r="T301" s="369" t="str">
        <f ca="1">IF($B301&lt;&gt;"PRC_RESID","",IF(T$7=2005+OFFSET(COM_N_2012!$B$60,$AW301,SUMIF($B$10:$B$16,"NCAP_TLIFE",$AX$10:$AX$16)),0,""))</f>
        <v/>
      </c>
      <c r="U301" s="369" t="str">
        <f ca="1">IF($B301&lt;&gt;"PRC_RESID","",IF(U$7=2005+OFFSET(COM_N_2012!$B$60,$AW301,SUMIF($B$10:$B$16,"NCAP_TLIFE",$AX$10:$AX$16)),0,""))</f>
        <v/>
      </c>
      <c r="V301" s="369" t="str">
        <f ca="1">IF($B301&lt;&gt;"PRC_RESID","",IF(V$7=2005+OFFSET(COM_N_2012!$B$60,$AW301,SUMIF($B$10:$B$16,"NCAP_TLIFE",$AX$10:$AX$16)),0,""))</f>
        <v/>
      </c>
      <c r="W301" s="369" t="str">
        <f ca="1">IF($B301&lt;&gt;"PRC_RESID","",IF(W$7=2005+OFFSET(COM_N_2012!$B$60,$AW301,SUMIF($B$10:$B$16,"NCAP_TLIFE",$AX$10:$AX$16)),0,""))</f>
        <v/>
      </c>
      <c r="X301" s="369" t="str">
        <f ca="1">IF($B301&lt;&gt;"PRC_RESID","",IF(X$7=2005+OFFSET(COM_N_2012!$B$60,$AW301,SUMIF($B$10:$B$16,"NCAP_TLIFE",$AX$10:$AX$16)),0,""))</f>
        <v/>
      </c>
      <c r="Y301" s="369" t="str">
        <f ca="1">IF($B301&lt;&gt;"PRC_RESID","",IF(Y$7=2005+OFFSET(COM_N_2012!$B$60,$AW301,SUMIF($B$10:$B$16,"NCAP_TLIFE",$AX$10:$AX$16)),0,""))</f>
        <v/>
      </c>
      <c r="Z301" s="369" t="str">
        <f ca="1">IF($B301&lt;&gt;"PRC_RESID","",IF(Z$7=2005+OFFSET(COM_N_2012!$B$60,$AW301,SUMIF($B$10:$B$16,"NCAP_TLIFE",$AX$10:$AX$16)),0,""))</f>
        <v/>
      </c>
      <c r="AA301" s="369" t="str">
        <f ca="1">IF($B301&lt;&gt;"PRC_RESID","",IF(AA$7=2005+OFFSET(COM_N_2012!$B$60,$AW301,SUMIF($B$10:$B$16,"NCAP_TLIFE",$AX$10:$AX$16)),0,""))</f>
        <v/>
      </c>
      <c r="AB301" s="369" t="str">
        <f ca="1">IF($B301&lt;&gt;"PRC_RESID","",IF(AB$7=2005+OFFSET(COM_N_2012!$B$60,$AW301,SUMIF($B$10:$B$16,"NCAP_TLIFE",$AX$10:$AX$16)),0,""))</f>
        <v/>
      </c>
      <c r="AC301" s="369" t="str">
        <f ca="1">IF($B301&lt;&gt;"PRC_RESID","",IF(AC$7=2005+OFFSET(COM_N_2012!$B$60,$AW301,SUMIF($B$10:$B$16,"NCAP_TLIFE",$AX$10:$AX$16)),0,""))</f>
        <v/>
      </c>
      <c r="AD301" s="369" t="str">
        <f ca="1">IF($B301&lt;&gt;"PRC_RESID","",IF(AD$7=2005+OFFSET(COM_N_2012!$B$60,$AW301,SUMIF($B$10:$B$16,"NCAP_TLIFE",$AX$10:$AX$16)),0,""))</f>
        <v/>
      </c>
      <c r="AE301" s="369" t="str">
        <f ca="1">IF($B301&lt;&gt;"PRC_RESID","",IF(AE$7=2005+OFFSET(COM_N_2012!$B$60,$AW301,SUMIF($B$10:$B$16,"NCAP_TLIFE",$AX$10:$AX$16)),0,""))</f>
        <v/>
      </c>
      <c r="AF301" s="369" t="str">
        <f ca="1">IF($B301&lt;&gt;"PRC_RESID","",IF(AF$7=2005+OFFSET(COM_N_2012!$B$60,$AW301,SUMIF($B$10:$B$16,"NCAP_TLIFE",$AX$10:$AX$16)),0,""))</f>
        <v/>
      </c>
      <c r="AG301" s="369" t="str">
        <f ca="1">IF($B301&lt;&gt;"PRC_RESID","",IF(AG$7=2005+OFFSET(COM_N_2012!$B$60,$AW301,SUMIF($B$10:$B$16,"NCAP_TLIFE",$AX$10:$AX$16)),0,""))</f>
        <v/>
      </c>
      <c r="AH301" s="369" t="str">
        <f ca="1">IF($B301&lt;&gt;"PRC_RESID","",IF(AH$7=2005+OFFSET(COM_N_2012!$B$60,$AW301,SUMIF($B$10:$B$16,"NCAP_TLIFE",$AX$10:$AX$16)),0,""))</f>
        <v/>
      </c>
      <c r="AI301" s="369" t="str">
        <f ca="1">IF($B301&lt;&gt;"PRC_RESID","",IF(AI$7=2005+OFFSET(COM_N_2012!$B$60,$AW301,SUMIF($B$10:$B$16,"NCAP_TLIFE",$AX$10:$AX$16)),0,""))</f>
        <v/>
      </c>
      <c r="AJ301" s="369" t="str">
        <f ca="1">IF($B301&lt;&gt;"PRC_RESID","",IF(AJ$7=2005+OFFSET(COM_N_2012!$B$60,$AW301,SUMIF($B$10:$B$16,"NCAP_TLIFE",$AX$10:$AX$16)),0,""))</f>
        <v/>
      </c>
      <c r="AK301" s="369" t="str">
        <f ca="1">IF($B301&lt;&gt;"PRC_RESID","",IF(AK$7=2005+OFFSET(COM_N_2012!$B$60,$AW301,SUMIF($B$10:$B$16,"NCAP_TLIFE",$AX$10:$AX$16)),0,""))</f>
        <v/>
      </c>
      <c r="AL301" s="369" t="str">
        <f ca="1">IF($B301&lt;&gt;"PRC_RESID","",IF(AL$7=2005+OFFSET(COM_N_2012!$B$60,$AW301,SUMIF($B$10:$B$16,"NCAP_TLIFE",$AX$10:$AX$16)),0,""))</f>
        <v/>
      </c>
      <c r="AM301" s="369" t="str">
        <f ca="1">IF($B301&lt;&gt;"PRC_RESID","",IF(AM$7=2005+OFFSET(COM_N_2012!$B$60,$AW301,SUMIF($B$10:$B$16,"NCAP_TLIFE",$AX$10:$AX$16)),0,""))</f>
        <v/>
      </c>
      <c r="AN301" s="369" t="str">
        <f ca="1">IF($B301&lt;&gt;"PRC_RESID","",IF(AN$7=2005+OFFSET(COM_N_2012!$B$60,$AW301,SUMIF($B$10:$B$16,"NCAP_TLIFE",$AX$10:$AX$16)),0,""))</f>
        <v/>
      </c>
      <c r="AO301" s="369" t="str">
        <f ca="1">IF($B301&lt;&gt;"PRC_RESID","",IF(AO$7=2005+OFFSET(COM_N_2012!$B$60,$AW301,SUMIF($B$10:$B$16,"NCAP_TLIFE",$AX$10:$AX$16)),0,""))</f>
        <v/>
      </c>
      <c r="AP301" s="369" t="str">
        <f ca="1">IF($B301&lt;&gt;"PRC_RESID","",IF(AP$7=2005+OFFSET(COM_N_2012!$B$60,$AW301,SUMIF($B$10:$B$16,"NCAP_TLIFE",$AX$10:$AX$16)),0,""))</f>
        <v/>
      </c>
      <c r="AQ301" s="369" t="str">
        <f ca="1">IF($B301&lt;&gt;"PRC_RESID","",IF(AQ$7=2005+OFFSET(COM_N_2012!$B$60,$AW301,SUMIF($B$10:$B$16,"NCAP_TLIFE",$AX$10:$AX$16)),0,""))</f>
        <v/>
      </c>
      <c r="AR301" s="369" t="str">
        <f ca="1">IF($B301&lt;&gt;"PRC_RESID","",IF(AR$7=2005+OFFSET(COM_N_2012!$B$60,$AW301,SUMIF($B$10:$B$16,"NCAP_TLIFE",$AX$10:$AX$16)),0,""))</f>
        <v/>
      </c>
      <c r="AS301" s="369" t="str">
        <f ca="1">IF($B301&lt;&gt;"PRC_RESID","",IF(AS$7=2005+OFFSET(COM_N_2012!$B$60,$AW301,SUMIF($B$10:$B$16,"NCAP_TLIFE",$AX$10:$AX$16)),0,""))</f>
        <v/>
      </c>
      <c r="AT301" s="369" t="str">
        <f ca="1">IF($B301&lt;&gt;"PRC_RESID","",IF(AT$7=2005+OFFSET(COM_N_2012!$B$60,$AW301,SUMIF($B$10:$B$16,"NCAP_TLIFE",$AX$10:$AX$16)),0,""))</f>
        <v/>
      </c>
      <c r="AU301" s="369" t="str">
        <f ca="1">IF($B301&lt;&gt;"PRC_RESID","",IF(AU$7=2005+OFFSET(COM_N_2012!$B$60,$AW301,SUMIF($B$10:$B$16,"NCAP_TLIFE",$AX$10:$AX$16)),0,""))</f>
        <v/>
      </c>
      <c r="AV301" s="304">
        <f>IF(AW300=COM_N_2012!$AK$121,AV300+1,AV300)</f>
        <v>5</v>
      </c>
      <c r="AW301" s="304">
        <f t="shared" si="37"/>
        <v>40</v>
      </c>
    </row>
    <row r="302" spans="1:49">
      <c r="A302" s="304" t="str">
        <f ca="1">IF(LEFT(OFFSET(COM_N_2012!$A$60,AW302,0),2)="\I","*","")</f>
        <v>*</v>
      </c>
      <c r="B302" s="369" t="str">
        <f t="shared" ca="1" si="36"/>
        <v/>
      </c>
      <c r="C302" s="369" t="str">
        <f ca="1">IF($A302="*","",OFFSET(COM_N_2012!$B$60,AW302,0))</f>
        <v/>
      </c>
      <c r="D302" s="369" t="str">
        <f t="shared" ca="1" si="40"/>
        <v/>
      </c>
      <c r="E302" s="369" t="str">
        <f t="shared" ca="1" si="40"/>
        <v/>
      </c>
      <c r="F302" s="369" t="str">
        <f t="shared" ca="1" si="40"/>
        <v/>
      </c>
      <c r="G302" s="369" t="str">
        <f t="shared" ca="1" si="40"/>
        <v/>
      </c>
      <c r="H302" s="369" t="str">
        <f t="shared" ca="1" si="40"/>
        <v/>
      </c>
      <c r="I302" s="370" t="str">
        <f t="shared" ca="1" si="40"/>
        <v/>
      </c>
      <c r="J302" s="391" t="str">
        <f ca="1">IF($A302="*","",OFFSET(COM_N_2012!$B$60,AW302,SUMIF($B$10:$B$16,B302,$AX$10:$AX$16)))</f>
        <v/>
      </c>
      <c r="K302" s="369" t="str">
        <f ca="1">IF($B302&lt;&gt;"PRC_RESID","",IF(K$7=2005+OFFSET(COM_N_2012!$B$60,$AW302,SUMIF($B$10:$B$16,"NCAP_TLIFE",$AX$10:$AX$16)),0,""))</f>
        <v/>
      </c>
      <c r="L302" s="369" t="str">
        <f ca="1">IF($B302&lt;&gt;"PRC_RESID","",IF(L$7=2005+OFFSET(COM_N_2012!$B$60,$AW302,SUMIF($B$10:$B$16,"NCAP_TLIFE",$AX$10:$AX$16)),0,""))</f>
        <v/>
      </c>
      <c r="M302" s="369" t="str">
        <f ca="1">IF($B302&lt;&gt;"PRC_RESID","",IF(M$7=2005+OFFSET(COM_N_2012!$B$60,$AW302,SUMIF($B$10:$B$16,"NCAP_TLIFE",$AX$10:$AX$16)),0,""))</f>
        <v/>
      </c>
      <c r="N302" s="369" t="str">
        <f ca="1">IF($B302&lt;&gt;"PRC_RESID","",IF(N$7=2005+OFFSET(COM_N_2012!$B$60,$AW302,SUMIF($B$10:$B$16,"NCAP_TLIFE",$AX$10:$AX$16)),0,""))</f>
        <v/>
      </c>
      <c r="O302" s="369" t="str">
        <f ca="1">IF($B302&lt;&gt;"PRC_RESID","",IF(O$7=2005+OFFSET(COM_N_2012!$B$60,$AW302,SUMIF($B$10:$B$16,"NCAP_TLIFE",$AX$10:$AX$16)),0,""))</f>
        <v/>
      </c>
      <c r="P302" s="369" t="str">
        <f ca="1">IF($B302&lt;&gt;"PRC_RESID","",IF(P$7=2005+OFFSET(COM_N_2012!$B$60,$AW302,SUMIF($B$10:$B$16,"NCAP_TLIFE",$AX$10:$AX$16)),0,""))</f>
        <v/>
      </c>
      <c r="Q302" s="369" t="str">
        <f ca="1">IF($B302&lt;&gt;"PRC_RESID","",IF(Q$7=2005+OFFSET(COM_N_2012!$B$60,$AW302,SUMIF($B$10:$B$16,"NCAP_TLIFE",$AX$10:$AX$16)),0,""))</f>
        <v/>
      </c>
      <c r="R302" s="369" t="str">
        <f ca="1">IF($B302&lt;&gt;"PRC_RESID","",IF(R$7=2005+OFFSET(COM_N_2012!$B$60,$AW302,SUMIF($B$10:$B$16,"NCAP_TLIFE",$AX$10:$AX$16)),0,""))</f>
        <v/>
      </c>
      <c r="S302" s="369" t="str">
        <f ca="1">IF($B302&lt;&gt;"PRC_RESID","",IF(S$7=2005+OFFSET(COM_N_2012!$B$60,$AW302,SUMIF($B$10:$B$16,"NCAP_TLIFE",$AX$10:$AX$16)),0,""))</f>
        <v/>
      </c>
      <c r="T302" s="369" t="str">
        <f ca="1">IF($B302&lt;&gt;"PRC_RESID","",IF(T$7=2005+OFFSET(COM_N_2012!$B$60,$AW302,SUMIF($B$10:$B$16,"NCAP_TLIFE",$AX$10:$AX$16)),0,""))</f>
        <v/>
      </c>
      <c r="U302" s="369" t="str">
        <f ca="1">IF($B302&lt;&gt;"PRC_RESID","",IF(U$7=2005+OFFSET(COM_N_2012!$B$60,$AW302,SUMIF($B$10:$B$16,"NCAP_TLIFE",$AX$10:$AX$16)),0,""))</f>
        <v/>
      </c>
      <c r="V302" s="369" t="str">
        <f ca="1">IF($B302&lt;&gt;"PRC_RESID","",IF(V$7=2005+OFFSET(COM_N_2012!$B$60,$AW302,SUMIF($B$10:$B$16,"NCAP_TLIFE",$AX$10:$AX$16)),0,""))</f>
        <v/>
      </c>
      <c r="W302" s="369" t="str">
        <f ca="1">IF($B302&lt;&gt;"PRC_RESID","",IF(W$7=2005+OFFSET(COM_N_2012!$B$60,$AW302,SUMIF($B$10:$B$16,"NCAP_TLIFE",$AX$10:$AX$16)),0,""))</f>
        <v/>
      </c>
      <c r="X302" s="369" t="str">
        <f ca="1">IF($B302&lt;&gt;"PRC_RESID","",IF(X$7=2005+OFFSET(COM_N_2012!$B$60,$AW302,SUMIF($B$10:$B$16,"NCAP_TLIFE",$AX$10:$AX$16)),0,""))</f>
        <v/>
      </c>
      <c r="Y302" s="369" t="str">
        <f ca="1">IF($B302&lt;&gt;"PRC_RESID","",IF(Y$7=2005+OFFSET(COM_N_2012!$B$60,$AW302,SUMIF($B$10:$B$16,"NCAP_TLIFE",$AX$10:$AX$16)),0,""))</f>
        <v/>
      </c>
      <c r="Z302" s="369" t="str">
        <f ca="1">IF($B302&lt;&gt;"PRC_RESID","",IF(Z$7=2005+OFFSET(COM_N_2012!$B$60,$AW302,SUMIF($B$10:$B$16,"NCAP_TLIFE",$AX$10:$AX$16)),0,""))</f>
        <v/>
      </c>
      <c r="AA302" s="369" t="str">
        <f ca="1">IF($B302&lt;&gt;"PRC_RESID","",IF(AA$7=2005+OFFSET(COM_N_2012!$B$60,$AW302,SUMIF($B$10:$B$16,"NCAP_TLIFE",$AX$10:$AX$16)),0,""))</f>
        <v/>
      </c>
      <c r="AB302" s="369" t="str">
        <f ca="1">IF($B302&lt;&gt;"PRC_RESID","",IF(AB$7=2005+OFFSET(COM_N_2012!$B$60,$AW302,SUMIF($B$10:$B$16,"NCAP_TLIFE",$AX$10:$AX$16)),0,""))</f>
        <v/>
      </c>
      <c r="AC302" s="369" t="str">
        <f ca="1">IF($B302&lt;&gt;"PRC_RESID","",IF(AC$7=2005+OFFSET(COM_N_2012!$B$60,$AW302,SUMIF($B$10:$B$16,"NCAP_TLIFE",$AX$10:$AX$16)),0,""))</f>
        <v/>
      </c>
      <c r="AD302" s="369" t="str">
        <f ca="1">IF($B302&lt;&gt;"PRC_RESID","",IF(AD$7=2005+OFFSET(COM_N_2012!$B$60,$AW302,SUMIF($B$10:$B$16,"NCAP_TLIFE",$AX$10:$AX$16)),0,""))</f>
        <v/>
      </c>
      <c r="AE302" s="369" t="str">
        <f ca="1">IF($B302&lt;&gt;"PRC_RESID","",IF(AE$7=2005+OFFSET(COM_N_2012!$B$60,$AW302,SUMIF($B$10:$B$16,"NCAP_TLIFE",$AX$10:$AX$16)),0,""))</f>
        <v/>
      </c>
      <c r="AF302" s="369" t="str">
        <f ca="1">IF($B302&lt;&gt;"PRC_RESID","",IF(AF$7=2005+OFFSET(COM_N_2012!$B$60,$AW302,SUMIF($B$10:$B$16,"NCAP_TLIFE",$AX$10:$AX$16)),0,""))</f>
        <v/>
      </c>
      <c r="AG302" s="369" t="str">
        <f ca="1">IF($B302&lt;&gt;"PRC_RESID","",IF(AG$7=2005+OFFSET(COM_N_2012!$B$60,$AW302,SUMIF($B$10:$B$16,"NCAP_TLIFE",$AX$10:$AX$16)),0,""))</f>
        <v/>
      </c>
      <c r="AH302" s="369" t="str">
        <f ca="1">IF($B302&lt;&gt;"PRC_RESID","",IF(AH$7=2005+OFFSET(COM_N_2012!$B$60,$AW302,SUMIF($B$10:$B$16,"NCAP_TLIFE",$AX$10:$AX$16)),0,""))</f>
        <v/>
      </c>
      <c r="AI302" s="369" t="str">
        <f ca="1">IF($B302&lt;&gt;"PRC_RESID","",IF(AI$7=2005+OFFSET(COM_N_2012!$B$60,$AW302,SUMIF($B$10:$B$16,"NCAP_TLIFE",$AX$10:$AX$16)),0,""))</f>
        <v/>
      </c>
      <c r="AJ302" s="369" t="str">
        <f ca="1">IF($B302&lt;&gt;"PRC_RESID","",IF(AJ$7=2005+OFFSET(COM_N_2012!$B$60,$AW302,SUMIF($B$10:$B$16,"NCAP_TLIFE",$AX$10:$AX$16)),0,""))</f>
        <v/>
      </c>
      <c r="AK302" s="369" t="str">
        <f ca="1">IF($B302&lt;&gt;"PRC_RESID","",IF(AK$7=2005+OFFSET(COM_N_2012!$B$60,$AW302,SUMIF($B$10:$B$16,"NCAP_TLIFE",$AX$10:$AX$16)),0,""))</f>
        <v/>
      </c>
      <c r="AL302" s="369" t="str">
        <f ca="1">IF($B302&lt;&gt;"PRC_RESID","",IF(AL$7=2005+OFFSET(COM_N_2012!$B$60,$AW302,SUMIF($B$10:$B$16,"NCAP_TLIFE",$AX$10:$AX$16)),0,""))</f>
        <v/>
      </c>
      <c r="AM302" s="369" t="str">
        <f ca="1">IF($B302&lt;&gt;"PRC_RESID","",IF(AM$7=2005+OFFSET(COM_N_2012!$B$60,$AW302,SUMIF($B$10:$B$16,"NCAP_TLIFE",$AX$10:$AX$16)),0,""))</f>
        <v/>
      </c>
      <c r="AN302" s="369" t="str">
        <f ca="1">IF($B302&lt;&gt;"PRC_RESID","",IF(AN$7=2005+OFFSET(COM_N_2012!$B$60,$AW302,SUMIF($B$10:$B$16,"NCAP_TLIFE",$AX$10:$AX$16)),0,""))</f>
        <v/>
      </c>
      <c r="AO302" s="369" t="str">
        <f ca="1">IF($B302&lt;&gt;"PRC_RESID","",IF(AO$7=2005+OFFSET(COM_N_2012!$B$60,$AW302,SUMIF($B$10:$B$16,"NCAP_TLIFE",$AX$10:$AX$16)),0,""))</f>
        <v/>
      </c>
      <c r="AP302" s="369" t="str">
        <f ca="1">IF($B302&lt;&gt;"PRC_RESID","",IF(AP$7=2005+OFFSET(COM_N_2012!$B$60,$AW302,SUMIF($B$10:$B$16,"NCAP_TLIFE",$AX$10:$AX$16)),0,""))</f>
        <v/>
      </c>
      <c r="AQ302" s="369" t="str">
        <f ca="1">IF($B302&lt;&gt;"PRC_RESID","",IF(AQ$7=2005+OFFSET(COM_N_2012!$B$60,$AW302,SUMIF($B$10:$B$16,"NCAP_TLIFE",$AX$10:$AX$16)),0,""))</f>
        <v/>
      </c>
      <c r="AR302" s="369" t="str">
        <f ca="1">IF($B302&lt;&gt;"PRC_RESID","",IF(AR$7=2005+OFFSET(COM_N_2012!$B$60,$AW302,SUMIF($B$10:$B$16,"NCAP_TLIFE",$AX$10:$AX$16)),0,""))</f>
        <v/>
      </c>
      <c r="AS302" s="369" t="str">
        <f ca="1">IF($B302&lt;&gt;"PRC_RESID","",IF(AS$7=2005+OFFSET(COM_N_2012!$B$60,$AW302,SUMIF($B$10:$B$16,"NCAP_TLIFE",$AX$10:$AX$16)),0,""))</f>
        <v/>
      </c>
      <c r="AT302" s="369" t="str">
        <f ca="1">IF($B302&lt;&gt;"PRC_RESID","",IF(AT$7=2005+OFFSET(COM_N_2012!$B$60,$AW302,SUMIF($B$10:$B$16,"NCAP_TLIFE",$AX$10:$AX$16)),0,""))</f>
        <v/>
      </c>
      <c r="AU302" s="369" t="str">
        <f ca="1">IF($B302&lt;&gt;"PRC_RESID","",IF(AU$7=2005+OFFSET(COM_N_2012!$B$60,$AW302,SUMIF($B$10:$B$16,"NCAP_TLIFE",$AX$10:$AX$16)),0,""))</f>
        <v/>
      </c>
      <c r="AV302" s="304">
        <f>IF(AW301=COM_N_2012!$AK$121,AV301+1,AV301)</f>
        <v>5</v>
      </c>
      <c r="AW302" s="304">
        <f t="shared" si="37"/>
        <v>41</v>
      </c>
    </row>
    <row r="303" spans="1:49">
      <c r="A303" s="304" t="str">
        <f ca="1">IF(LEFT(OFFSET(COM_N_2012!$A$60,AW303,0),2)="\I","*","")</f>
        <v/>
      </c>
      <c r="B303" s="369" t="str">
        <f t="shared" ca="1" si="36"/>
        <v>NCAP_FOM</v>
      </c>
      <c r="C303" s="369" t="str">
        <f ca="1">IF($A303="*","",OFFSET(COM_N_2012!$B$60,AW303,0))</f>
        <v>CNGELCINC-E</v>
      </c>
      <c r="D303" s="369" t="str">
        <f t="shared" ca="1" si="40"/>
        <v>-</v>
      </c>
      <c r="E303" s="369" t="str">
        <f t="shared" ca="1" si="40"/>
        <v>-</v>
      </c>
      <c r="F303" s="369" t="str">
        <f t="shared" ca="1" si="40"/>
        <v>-</v>
      </c>
      <c r="G303" s="369" t="str">
        <f t="shared" ca="1" si="40"/>
        <v>-</v>
      </c>
      <c r="H303" s="369" t="str">
        <f t="shared" ca="1" si="40"/>
        <v>-</v>
      </c>
      <c r="I303" s="370">
        <f t="shared" ca="1" si="40"/>
        <v>0</v>
      </c>
      <c r="J303" s="391">
        <f ca="1">IF($A303="*","",OFFSET(COM_N_2012!$B$60,AW303,SUMIF($B$10:$B$16,B303,$AX$10:$AX$16)))</f>
        <v>2.6729589482474083E-2</v>
      </c>
      <c r="K303" s="369" t="str">
        <f ca="1">IF($B303&lt;&gt;"PRC_RESID","",IF(K$7=2005+OFFSET(COM_N_2012!$B$60,$AW303,SUMIF($B$10:$B$16,"NCAP_TLIFE",$AX$10:$AX$16)),0,""))</f>
        <v/>
      </c>
      <c r="L303" s="369" t="str">
        <f ca="1">IF($B303&lt;&gt;"PRC_RESID","",IF(L$7=2005+OFFSET(COM_N_2012!$B$60,$AW303,SUMIF($B$10:$B$16,"NCAP_TLIFE",$AX$10:$AX$16)),0,""))</f>
        <v/>
      </c>
      <c r="M303" s="369" t="str">
        <f ca="1">IF($B303&lt;&gt;"PRC_RESID","",IF(M$7=2005+OFFSET(COM_N_2012!$B$60,$AW303,SUMIF($B$10:$B$16,"NCAP_TLIFE",$AX$10:$AX$16)),0,""))</f>
        <v/>
      </c>
      <c r="N303" s="369" t="str">
        <f ca="1">IF($B303&lt;&gt;"PRC_RESID","",IF(N$7=2005+OFFSET(COM_N_2012!$B$60,$AW303,SUMIF($B$10:$B$16,"NCAP_TLIFE",$AX$10:$AX$16)),0,""))</f>
        <v/>
      </c>
      <c r="O303" s="369" t="str">
        <f ca="1">IF($B303&lt;&gt;"PRC_RESID","",IF(O$7=2005+OFFSET(COM_N_2012!$B$60,$AW303,SUMIF($B$10:$B$16,"NCAP_TLIFE",$AX$10:$AX$16)),0,""))</f>
        <v/>
      </c>
      <c r="P303" s="369" t="str">
        <f ca="1">IF($B303&lt;&gt;"PRC_RESID","",IF(P$7=2005+OFFSET(COM_N_2012!$B$60,$AW303,SUMIF($B$10:$B$16,"NCAP_TLIFE",$AX$10:$AX$16)),0,""))</f>
        <v/>
      </c>
      <c r="Q303" s="369" t="str">
        <f ca="1">IF($B303&lt;&gt;"PRC_RESID","",IF(Q$7=2005+OFFSET(COM_N_2012!$B$60,$AW303,SUMIF($B$10:$B$16,"NCAP_TLIFE",$AX$10:$AX$16)),0,""))</f>
        <v/>
      </c>
      <c r="R303" s="369" t="str">
        <f ca="1">IF($B303&lt;&gt;"PRC_RESID","",IF(R$7=2005+OFFSET(COM_N_2012!$B$60,$AW303,SUMIF($B$10:$B$16,"NCAP_TLIFE",$AX$10:$AX$16)),0,""))</f>
        <v/>
      </c>
      <c r="S303" s="369" t="str">
        <f ca="1">IF($B303&lt;&gt;"PRC_RESID","",IF(S$7=2005+OFFSET(COM_N_2012!$B$60,$AW303,SUMIF($B$10:$B$16,"NCAP_TLIFE",$AX$10:$AX$16)),0,""))</f>
        <v/>
      </c>
      <c r="T303" s="369" t="str">
        <f ca="1">IF($B303&lt;&gt;"PRC_RESID","",IF(T$7=2005+OFFSET(COM_N_2012!$B$60,$AW303,SUMIF($B$10:$B$16,"NCAP_TLIFE",$AX$10:$AX$16)),0,""))</f>
        <v/>
      </c>
      <c r="U303" s="369" t="str">
        <f ca="1">IF($B303&lt;&gt;"PRC_RESID","",IF(U$7=2005+OFFSET(COM_N_2012!$B$60,$AW303,SUMIF($B$10:$B$16,"NCAP_TLIFE",$AX$10:$AX$16)),0,""))</f>
        <v/>
      </c>
      <c r="V303" s="369" t="str">
        <f ca="1">IF($B303&lt;&gt;"PRC_RESID","",IF(V$7=2005+OFFSET(COM_N_2012!$B$60,$AW303,SUMIF($B$10:$B$16,"NCAP_TLIFE",$AX$10:$AX$16)),0,""))</f>
        <v/>
      </c>
      <c r="W303" s="369" t="str">
        <f ca="1">IF($B303&lt;&gt;"PRC_RESID","",IF(W$7=2005+OFFSET(COM_N_2012!$B$60,$AW303,SUMIF($B$10:$B$16,"NCAP_TLIFE",$AX$10:$AX$16)),0,""))</f>
        <v/>
      </c>
      <c r="X303" s="369" t="str">
        <f ca="1">IF($B303&lt;&gt;"PRC_RESID","",IF(X$7=2005+OFFSET(COM_N_2012!$B$60,$AW303,SUMIF($B$10:$B$16,"NCAP_TLIFE",$AX$10:$AX$16)),0,""))</f>
        <v/>
      </c>
      <c r="Y303" s="369" t="str">
        <f ca="1">IF($B303&lt;&gt;"PRC_RESID","",IF(Y$7=2005+OFFSET(COM_N_2012!$B$60,$AW303,SUMIF($B$10:$B$16,"NCAP_TLIFE",$AX$10:$AX$16)),0,""))</f>
        <v/>
      </c>
      <c r="Z303" s="369" t="str">
        <f ca="1">IF($B303&lt;&gt;"PRC_RESID","",IF(Z$7=2005+OFFSET(COM_N_2012!$B$60,$AW303,SUMIF($B$10:$B$16,"NCAP_TLIFE",$AX$10:$AX$16)),0,""))</f>
        <v/>
      </c>
      <c r="AA303" s="369" t="str">
        <f ca="1">IF($B303&lt;&gt;"PRC_RESID","",IF(AA$7=2005+OFFSET(COM_N_2012!$B$60,$AW303,SUMIF($B$10:$B$16,"NCAP_TLIFE",$AX$10:$AX$16)),0,""))</f>
        <v/>
      </c>
      <c r="AB303" s="369" t="str">
        <f ca="1">IF($B303&lt;&gt;"PRC_RESID","",IF(AB$7=2005+OFFSET(COM_N_2012!$B$60,$AW303,SUMIF($B$10:$B$16,"NCAP_TLIFE",$AX$10:$AX$16)),0,""))</f>
        <v/>
      </c>
      <c r="AC303" s="369" t="str">
        <f ca="1">IF($B303&lt;&gt;"PRC_RESID","",IF(AC$7=2005+OFFSET(COM_N_2012!$B$60,$AW303,SUMIF($B$10:$B$16,"NCAP_TLIFE",$AX$10:$AX$16)),0,""))</f>
        <v/>
      </c>
      <c r="AD303" s="369" t="str">
        <f ca="1">IF($B303&lt;&gt;"PRC_RESID","",IF(AD$7=2005+OFFSET(COM_N_2012!$B$60,$AW303,SUMIF($B$10:$B$16,"NCAP_TLIFE",$AX$10:$AX$16)),0,""))</f>
        <v/>
      </c>
      <c r="AE303" s="369" t="str">
        <f ca="1">IF($B303&lt;&gt;"PRC_RESID","",IF(AE$7=2005+OFFSET(COM_N_2012!$B$60,$AW303,SUMIF($B$10:$B$16,"NCAP_TLIFE",$AX$10:$AX$16)),0,""))</f>
        <v/>
      </c>
      <c r="AF303" s="369" t="str">
        <f ca="1">IF($B303&lt;&gt;"PRC_RESID","",IF(AF$7=2005+OFFSET(COM_N_2012!$B$60,$AW303,SUMIF($B$10:$B$16,"NCAP_TLIFE",$AX$10:$AX$16)),0,""))</f>
        <v/>
      </c>
      <c r="AG303" s="369" t="str">
        <f ca="1">IF($B303&lt;&gt;"PRC_RESID","",IF(AG$7=2005+OFFSET(COM_N_2012!$B$60,$AW303,SUMIF($B$10:$B$16,"NCAP_TLIFE",$AX$10:$AX$16)),0,""))</f>
        <v/>
      </c>
      <c r="AH303" s="369" t="str">
        <f ca="1">IF($B303&lt;&gt;"PRC_RESID","",IF(AH$7=2005+OFFSET(COM_N_2012!$B$60,$AW303,SUMIF($B$10:$B$16,"NCAP_TLIFE",$AX$10:$AX$16)),0,""))</f>
        <v/>
      </c>
      <c r="AI303" s="369" t="str">
        <f ca="1">IF($B303&lt;&gt;"PRC_RESID","",IF(AI$7=2005+OFFSET(COM_N_2012!$B$60,$AW303,SUMIF($B$10:$B$16,"NCAP_TLIFE",$AX$10:$AX$16)),0,""))</f>
        <v/>
      </c>
      <c r="AJ303" s="369" t="str">
        <f ca="1">IF($B303&lt;&gt;"PRC_RESID","",IF(AJ$7=2005+OFFSET(COM_N_2012!$B$60,$AW303,SUMIF($B$10:$B$16,"NCAP_TLIFE",$AX$10:$AX$16)),0,""))</f>
        <v/>
      </c>
      <c r="AK303" s="369" t="str">
        <f ca="1">IF($B303&lt;&gt;"PRC_RESID","",IF(AK$7=2005+OFFSET(COM_N_2012!$B$60,$AW303,SUMIF($B$10:$B$16,"NCAP_TLIFE",$AX$10:$AX$16)),0,""))</f>
        <v/>
      </c>
      <c r="AL303" s="369" t="str">
        <f ca="1">IF($B303&lt;&gt;"PRC_RESID","",IF(AL$7=2005+OFFSET(COM_N_2012!$B$60,$AW303,SUMIF($B$10:$B$16,"NCAP_TLIFE",$AX$10:$AX$16)),0,""))</f>
        <v/>
      </c>
      <c r="AM303" s="369" t="str">
        <f ca="1">IF($B303&lt;&gt;"PRC_RESID","",IF(AM$7=2005+OFFSET(COM_N_2012!$B$60,$AW303,SUMIF($B$10:$B$16,"NCAP_TLIFE",$AX$10:$AX$16)),0,""))</f>
        <v/>
      </c>
      <c r="AN303" s="369" t="str">
        <f ca="1">IF($B303&lt;&gt;"PRC_RESID","",IF(AN$7=2005+OFFSET(COM_N_2012!$B$60,$AW303,SUMIF($B$10:$B$16,"NCAP_TLIFE",$AX$10:$AX$16)),0,""))</f>
        <v/>
      </c>
      <c r="AO303" s="369" t="str">
        <f ca="1">IF($B303&lt;&gt;"PRC_RESID","",IF(AO$7=2005+OFFSET(COM_N_2012!$B$60,$AW303,SUMIF($B$10:$B$16,"NCAP_TLIFE",$AX$10:$AX$16)),0,""))</f>
        <v/>
      </c>
      <c r="AP303" s="369" t="str">
        <f ca="1">IF($B303&lt;&gt;"PRC_RESID","",IF(AP$7=2005+OFFSET(COM_N_2012!$B$60,$AW303,SUMIF($B$10:$B$16,"NCAP_TLIFE",$AX$10:$AX$16)),0,""))</f>
        <v/>
      </c>
      <c r="AQ303" s="369" t="str">
        <f ca="1">IF($B303&lt;&gt;"PRC_RESID","",IF(AQ$7=2005+OFFSET(COM_N_2012!$B$60,$AW303,SUMIF($B$10:$B$16,"NCAP_TLIFE",$AX$10:$AX$16)),0,""))</f>
        <v/>
      </c>
      <c r="AR303" s="369" t="str">
        <f ca="1">IF($B303&lt;&gt;"PRC_RESID","",IF(AR$7=2005+OFFSET(COM_N_2012!$B$60,$AW303,SUMIF($B$10:$B$16,"NCAP_TLIFE",$AX$10:$AX$16)),0,""))</f>
        <v/>
      </c>
      <c r="AS303" s="369" t="str">
        <f ca="1">IF($B303&lt;&gt;"PRC_RESID","",IF(AS$7=2005+OFFSET(COM_N_2012!$B$60,$AW303,SUMIF($B$10:$B$16,"NCAP_TLIFE",$AX$10:$AX$16)),0,""))</f>
        <v/>
      </c>
      <c r="AT303" s="369" t="str">
        <f ca="1">IF($B303&lt;&gt;"PRC_RESID","",IF(AT$7=2005+OFFSET(COM_N_2012!$B$60,$AW303,SUMIF($B$10:$B$16,"NCAP_TLIFE",$AX$10:$AX$16)),0,""))</f>
        <v/>
      </c>
      <c r="AU303" s="369" t="str">
        <f ca="1">IF($B303&lt;&gt;"PRC_RESID","",IF(AU$7=2005+OFFSET(COM_N_2012!$B$60,$AW303,SUMIF($B$10:$B$16,"NCAP_TLIFE",$AX$10:$AX$16)),0,""))</f>
        <v/>
      </c>
      <c r="AV303" s="304">
        <f>IF(AW302=COM_N_2012!$AK$121,AV302+1,AV302)</f>
        <v>5</v>
      </c>
      <c r="AW303" s="304">
        <f t="shared" si="37"/>
        <v>42</v>
      </c>
    </row>
    <row r="304" spans="1:49">
      <c r="A304" s="304" t="str">
        <f ca="1">IF(LEFT(OFFSET(COM_N_2012!$A$60,AW304,0),2)="\I","*","")</f>
        <v/>
      </c>
      <c r="B304" s="369" t="str">
        <f t="shared" ca="1" si="36"/>
        <v>NCAP_FOM</v>
      </c>
      <c r="C304" s="369" t="str">
        <f ca="1">IF($A304="*","",OFFSET(COM_N_2012!$B$60,AW304,0))</f>
        <v>CNGELCHAL-E</v>
      </c>
      <c r="D304" s="369" t="str">
        <f t="shared" ca="1" si="40"/>
        <v>-</v>
      </c>
      <c r="E304" s="369" t="str">
        <f t="shared" ca="1" si="40"/>
        <v>-</v>
      </c>
      <c r="F304" s="369" t="str">
        <f t="shared" ca="1" si="40"/>
        <v>-</v>
      </c>
      <c r="G304" s="369" t="str">
        <f t="shared" ca="1" si="40"/>
        <v>-</v>
      </c>
      <c r="H304" s="369" t="str">
        <f t="shared" ca="1" si="40"/>
        <v>-</v>
      </c>
      <c r="I304" s="370">
        <f t="shared" ca="1" si="40"/>
        <v>0</v>
      </c>
      <c r="J304" s="391">
        <f ca="1">IF($A304="*","",OFFSET(COM_N_2012!$B$60,AW304,SUMIF($B$10:$B$16,B304,$AX$10:$AX$16)))</f>
        <v>7.5829581287827852E-2</v>
      </c>
      <c r="K304" s="369" t="str">
        <f ca="1">IF($B304&lt;&gt;"PRC_RESID","",IF(K$7=2005+OFFSET(COM_N_2012!$B$60,$AW304,SUMIF($B$10:$B$16,"NCAP_TLIFE",$AX$10:$AX$16)),0,""))</f>
        <v/>
      </c>
      <c r="L304" s="369" t="str">
        <f ca="1">IF($B304&lt;&gt;"PRC_RESID","",IF(L$7=2005+OFFSET(COM_N_2012!$B$60,$AW304,SUMIF($B$10:$B$16,"NCAP_TLIFE",$AX$10:$AX$16)),0,""))</f>
        <v/>
      </c>
      <c r="M304" s="369" t="str">
        <f ca="1">IF($B304&lt;&gt;"PRC_RESID","",IF(M$7=2005+OFFSET(COM_N_2012!$B$60,$AW304,SUMIF($B$10:$B$16,"NCAP_TLIFE",$AX$10:$AX$16)),0,""))</f>
        <v/>
      </c>
      <c r="N304" s="369" t="str">
        <f ca="1">IF($B304&lt;&gt;"PRC_RESID","",IF(N$7=2005+OFFSET(COM_N_2012!$B$60,$AW304,SUMIF($B$10:$B$16,"NCAP_TLIFE",$AX$10:$AX$16)),0,""))</f>
        <v/>
      </c>
      <c r="O304" s="369" t="str">
        <f ca="1">IF($B304&lt;&gt;"PRC_RESID","",IF(O$7=2005+OFFSET(COM_N_2012!$B$60,$AW304,SUMIF($B$10:$B$16,"NCAP_TLIFE",$AX$10:$AX$16)),0,""))</f>
        <v/>
      </c>
      <c r="P304" s="369" t="str">
        <f ca="1">IF($B304&lt;&gt;"PRC_RESID","",IF(P$7=2005+OFFSET(COM_N_2012!$B$60,$AW304,SUMIF($B$10:$B$16,"NCAP_TLIFE",$AX$10:$AX$16)),0,""))</f>
        <v/>
      </c>
      <c r="Q304" s="369" t="str">
        <f ca="1">IF($B304&lt;&gt;"PRC_RESID","",IF(Q$7=2005+OFFSET(COM_N_2012!$B$60,$AW304,SUMIF($B$10:$B$16,"NCAP_TLIFE",$AX$10:$AX$16)),0,""))</f>
        <v/>
      </c>
      <c r="R304" s="369" t="str">
        <f ca="1">IF($B304&lt;&gt;"PRC_RESID","",IF(R$7=2005+OFFSET(COM_N_2012!$B$60,$AW304,SUMIF($B$10:$B$16,"NCAP_TLIFE",$AX$10:$AX$16)),0,""))</f>
        <v/>
      </c>
      <c r="S304" s="369" t="str">
        <f ca="1">IF($B304&lt;&gt;"PRC_RESID","",IF(S$7=2005+OFFSET(COM_N_2012!$B$60,$AW304,SUMIF($B$10:$B$16,"NCAP_TLIFE",$AX$10:$AX$16)),0,""))</f>
        <v/>
      </c>
      <c r="T304" s="369" t="str">
        <f ca="1">IF($B304&lt;&gt;"PRC_RESID","",IF(T$7=2005+OFFSET(COM_N_2012!$B$60,$AW304,SUMIF($B$10:$B$16,"NCAP_TLIFE",$AX$10:$AX$16)),0,""))</f>
        <v/>
      </c>
      <c r="U304" s="369" t="str">
        <f ca="1">IF($B304&lt;&gt;"PRC_RESID","",IF(U$7=2005+OFFSET(COM_N_2012!$B$60,$AW304,SUMIF($B$10:$B$16,"NCAP_TLIFE",$AX$10:$AX$16)),0,""))</f>
        <v/>
      </c>
      <c r="V304" s="369" t="str">
        <f ca="1">IF($B304&lt;&gt;"PRC_RESID","",IF(V$7=2005+OFFSET(COM_N_2012!$B$60,$AW304,SUMIF($B$10:$B$16,"NCAP_TLIFE",$AX$10:$AX$16)),0,""))</f>
        <v/>
      </c>
      <c r="W304" s="369" t="str">
        <f ca="1">IF($B304&lt;&gt;"PRC_RESID","",IF(W$7=2005+OFFSET(COM_N_2012!$B$60,$AW304,SUMIF($B$10:$B$16,"NCAP_TLIFE",$AX$10:$AX$16)),0,""))</f>
        <v/>
      </c>
      <c r="X304" s="369" t="str">
        <f ca="1">IF($B304&lt;&gt;"PRC_RESID","",IF(X$7=2005+OFFSET(COM_N_2012!$B$60,$AW304,SUMIF($B$10:$B$16,"NCAP_TLIFE",$AX$10:$AX$16)),0,""))</f>
        <v/>
      </c>
      <c r="Y304" s="369" t="str">
        <f ca="1">IF($B304&lt;&gt;"PRC_RESID","",IF(Y$7=2005+OFFSET(COM_N_2012!$B$60,$AW304,SUMIF($B$10:$B$16,"NCAP_TLIFE",$AX$10:$AX$16)),0,""))</f>
        <v/>
      </c>
      <c r="Z304" s="369" t="str">
        <f ca="1">IF($B304&lt;&gt;"PRC_RESID","",IF(Z$7=2005+OFFSET(COM_N_2012!$B$60,$AW304,SUMIF($B$10:$B$16,"NCAP_TLIFE",$AX$10:$AX$16)),0,""))</f>
        <v/>
      </c>
      <c r="AA304" s="369" t="str">
        <f ca="1">IF($B304&lt;&gt;"PRC_RESID","",IF(AA$7=2005+OFFSET(COM_N_2012!$B$60,$AW304,SUMIF($B$10:$B$16,"NCAP_TLIFE",$AX$10:$AX$16)),0,""))</f>
        <v/>
      </c>
      <c r="AB304" s="369" t="str">
        <f ca="1">IF($B304&lt;&gt;"PRC_RESID","",IF(AB$7=2005+OFFSET(COM_N_2012!$B$60,$AW304,SUMIF($B$10:$B$16,"NCAP_TLIFE",$AX$10:$AX$16)),0,""))</f>
        <v/>
      </c>
      <c r="AC304" s="369" t="str">
        <f ca="1">IF($B304&lt;&gt;"PRC_RESID","",IF(AC$7=2005+OFFSET(COM_N_2012!$B$60,$AW304,SUMIF($B$10:$B$16,"NCAP_TLIFE",$AX$10:$AX$16)),0,""))</f>
        <v/>
      </c>
      <c r="AD304" s="369" t="str">
        <f ca="1">IF($B304&lt;&gt;"PRC_RESID","",IF(AD$7=2005+OFFSET(COM_N_2012!$B$60,$AW304,SUMIF($B$10:$B$16,"NCAP_TLIFE",$AX$10:$AX$16)),0,""))</f>
        <v/>
      </c>
      <c r="AE304" s="369" t="str">
        <f ca="1">IF($B304&lt;&gt;"PRC_RESID","",IF(AE$7=2005+OFFSET(COM_N_2012!$B$60,$AW304,SUMIF($B$10:$B$16,"NCAP_TLIFE",$AX$10:$AX$16)),0,""))</f>
        <v/>
      </c>
      <c r="AF304" s="369" t="str">
        <f ca="1">IF($B304&lt;&gt;"PRC_RESID","",IF(AF$7=2005+OFFSET(COM_N_2012!$B$60,$AW304,SUMIF($B$10:$B$16,"NCAP_TLIFE",$AX$10:$AX$16)),0,""))</f>
        <v/>
      </c>
      <c r="AG304" s="369" t="str">
        <f ca="1">IF($B304&lt;&gt;"PRC_RESID","",IF(AG$7=2005+OFFSET(COM_N_2012!$B$60,$AW304,SUMIF($B$10:$B$16,"NCAP_TLIFE",$AX$10:$AX$16)),0,""))</f>
        <v/>
      </c>
      <c r="AH304" s="369" t="str">
        <f ca="1">IF($B304&lt;&gt;"PRC_RESID","",IF(AH$7=2005+OFFSET(COM_N_2012!$B$60,$AW304,SUMIF($B$10:$B$16,"NCAP_TLIFE",$AX$10:$AX$16)),0,""))</f>
        <v/>
      </c>
      <c r="AI304" s="369" t="str">
        <f ca="1">IF($B304&lt;&gt;"PRC_RESID","",IF(AI$7=2005+OFFSET(COM_N_2012!$B$60,$AW304,SUMIF($B$10:$B$16,"NCAP_TLIFE",$AX$10:$AX$16)),0,""))</f>
        <v/>
      </c>
      <c r="AJ304" s="369" t="str">
        <f ca="1">IF($B304&lt;&gt;"PRC_RESID","",IF(AJ$7=2005+OFFSET(COM_N_2012!$B$60,$AW304,SUMIF($B$10:$B$16,"NCAP_TLIFE",$AX$10:$AX$16)),0,""))</f>
        <v/>
      </c>
      <c r="AK304" s="369" t="str">
        <f ca="1">IF($B304&lt;&gt;"PRC_RESID","",IF(AK$7=2005+OFFSET(COM_N_2012!$B$60,$AW304,SUMIF($B$10:$B$16,"NCAP_TLIFE",$AX$10:$AX$16)),0,""))</f>
        <v/>
      </c>
      <c r="AL304" s="369" t="str">
        <f ca="1">IF($B304&lt;&gt;"PRC_RESID","",IF(AL$7=2005+OFFSET(COM_N_2012!$B$60,$AW304,SUMIF($B$10:$B$16,"NCAP_TLIFE",$AX$10:$AX$16)),0,""))</f>
        <v/>
      </c>
      <c r="AM304" s="369" t="str">
        <f ca="1">IF($B304&lt;&gt;"PRC_RESID","",IF(AM$7=2005+OFFSET(COM_N_2012!$B$60,$AW304,SUMIF($B$10:$B$16,"NCAP_TLIFE",$AX$10:$AX$16)),0,""))</f>
        <v/>
      </c>
      <c r="AN304" s="369" t="str">
        <f ca="1">IF($B304&lt;&gt;"PRC_RESID","",IF(AN$7=2005+OFFSET(COM_N_2012!$B$60,$AW304,SUMIF($B$10:$B$16,"NCAP_TLIFE",$AX$10:$AX$16)),0,""))</f>
        <v/>
      </c>
      <c r="AO304" s="369" t="str">
        <f ca="1">IF($B304&lt;&gt;"PRC_RESID","",IF(AO$7=2005+OFFSET(COM_N_2012!$B$60,$AW304,SUMIF($B$10:$B$16,"NCAP_TLIFE",$AX$10:$AX$16)),0,""))</f>
        <v/>
      </c>
      <c r="AP304" s="369" t="str">
        <f ca="1">IF($B304&lt;&gt;"PRC_RESID","",IF(AP$7=2005+OFFSET(COM_N_2012!$B$60,$AW304,SUMIF($B$10:$B$16,"NCAP_TLIFE",$AX$10:$AX$16)),0,""))</f>
        <v/>
      </c>
      <c r="AQ304" s="369" t="str">
        <f ca="1">IF($B304&lt;&gt;"PRC_RESID","",IF(AQ$7=2005+OFFSET(COM_N_2012!$B$60,$AW304,SUMIF($B$10:$B$16,"NCAP_TLIFE",$AX$10:$AX$16)),0,""))</f>
        <v/>
      </c>
      <c r="AR304" s="369" t="str">
        <f ca="1">IF($B304&lt;&gt;"PRC_RESID","",IF(AR$7=2005+OFFSET(COM_N_2012!$B$60,$AW304,SUMIF($B$10:$B$16,"NCAP_TLIFE",$AX$10:$AX$16)),0,""))</f>
        <v/>
      </c>
      <c r="AS304" s="369" t="str">
        <f ca="1">IF($B304&lt;&gt;"PRC_RESID","",IF(AS$7=2005+OFFSET(COM_N_2012!$B$60,$AW304,SUMIF($B$10:$B$16,"NCAP_TLIFE",$AX$10:$AX$16)),0,""))</f>
        <v/>
      </c>
      <c r="AT304" s="369" t="str">
        <f ca="1">IF($B304&lt;&gt;"PRC_RESID","",IF(AT$7=2005+OFFSET(COM_N_2012!$B$60,$AW304,SUMIF($B$10:$B$16,"NCAP_TLIFE",$AX$10:$AX$16)),0,""))</f>
        <v/>
      </c>
      <c r="AU304" s="369" t="str">
        <f ca="1">IF($B304&lt;&gt;"PRC_RESID","",IF(AU$7=2005+OFFSET(COM_N_2012!$B$60,$AW304,SUMIF($B$10:$B$16,"NCAP_TLIFE",$AX$10:$AX$16)),0,""))</f>
        <v/>
      </c>
      <c r="AV304" s="304">
        <f>IF(AW303=COM_N_2012!$AK$121,AV303+1,AV303)</f>
        <v>5</v>
      </c>
      <c r="AW304" s="304">
        <f t="shared" si="37"/>
        <v>43</v>
      </c>
    </row>
    <row r="305" spans="1:49">
      <c r="A305" s="304" t="str">
        <f ca="1">IF(LEFT(OFFSET(COM_N_2012!$A$60,AW305,0),2)="\I","*","")</f>
        <v/>
      </c>
      <c r="B305" s="369" t="str">
        <f t="shared" ca="1" si="36"/>
        <v>NCAP_FOM</v>
      </c>
      <c r="C305" s="369" t="str">
        <f ca="1">IF($A305="*","",OFFSET(COM_N_2012!$B$60,AW305,0))</f>
        <v>CNGELCHPM-E</v>
      </c>
      <c r="D305" s="369" t="str">
        <f t="shared" ca="1" si="40"/>
        <v>-</v>
      </c>
      <c r="E305" s="369" t="str">
        <f t="shared" ca="1" si="40"/>
        <v>-</v>
      </c>
      <c r="F305" s="369" t="str">
        <f t="shared" ca="1" si="40"/>
        <v>-</v>
      </c>
      <c r="G305" s="369" t="str">
        <f t="shared" ca="1" si="40"/>
        <v>-</v>
      </c>
      <c r="H305" s="369" t="str">
        <f t="shared" ca="1" si="40"/>
        <v>-</v>
      </c>
      <c r="I305" s="370">
        <f t="shared" ca="1" si="40"/>
        <v>0</v>
      </c>
      <c r="J305" s="391">
        <f ca="1">IF($A305="*","",OFFSET(COM_N_2012!$B$60,AW305,SUMIF($B$10:$B$16,B305,$AX$10:$AX$16)))</f>
        <v>7.5829581287827852E-2</v>
      </c>
      <c r="K305" s="369" t="str">
        <f ca="1">IF($B305&lt;&gt;"PRC_RESID","",IF(K$7=2005+OFFSET(COM_N_2012!$B$60,$AW305,SUMIF($B$10:$B$16,"NCAP_TLIFE",$AX$10:$AX$16)),0,""))</f>
        <v/>
      </c>
      <c r="L305" s="369" t="str">
        <f ca="1">IF($B305&lt;&gt;"PRC_RESID","",IF(L$7=2005+OFFSET(COM_N_2012!$B$60,$AW305,SUMIF($B$10:$B$16,"NCAP_TLIFE",$AX$10:$AX$16)),0,""))</f>
        <v/>
      </c>
      <c r="M305" s="369" t="str">
        <f ca="1">IF($B305&lt;&gt;"PRC_RESID","",IF(M$7=2005+OFFSET(COM_N_2012!$B$60,$AW305,SUMIF($B$10:$B$16,"NCAP_TLIFE",$AX$10:$AX$16)),0,""))</f>
        <v/>
      </c>
      <c r="N305" s="369" t="str">
        <f ca="1">IF($B305&lt;&gt;"PRC_RESID","",IF(N$7=2005+OFFSET(COM_N_2012!$B$60,$AW305,SUMIF($B$10:$B$16,"NCAP_TLIFE",$AX$10:$AX$16)),0,""))</f>
        <v/>
      </c>
      <c r="O305" s="369" t="str">
        <f ca="1">IF($B305&lt;&gt;"PRC_RESID","",IF(O$7=2005+OFFSET(COM_N_2012!$B$60,$AW305,SUMIF($B$10:$B$16,"NCAP_TLIFE",$AX$10:$AX$16)),0,""))</f>
        <v/>
      </c>
      <c r="P305" s="369" t="str">
        <f ca="1">IF($B305&lt;&gt;"PRC_RESID","",IF(P$7=2005+OFFSET(COM_N_2012!$B$60,$AW305,SUMIF($B$10:$B$16,"NCAP_TLIFE",$AX$10:$AX$16)),0,""))</f>
        <v/>
      </c>
      <c r="Q305" s="369" t="str">
        <f ca="1">IF($B305&lt;&gt;"PRC_RESID","",IF(Q$7=2005+OFFSET(COM_N_2012!$B$60,$AW305,SUMIF($B$10:$B$16,"NCAP_TLIFE",$AX$10:$AX$16)),0,""))</f>
        <v/>
      </c>
      <c r="R305" s="369" t="str">
        <f ca="1">IF($B305&lt;&gt;"PRC_RESID","",IF(R$7=2005+OFFSET(COM_N_2012!$B$60,$AW305,SUMIF($B$10:$B$16,"NCAP_TLIFE",$AX$10:$AX$16)),0,""))</f>
        <v/>
      </c>
      <c r="S305" s="369" t="str">
        <f ca="1">IF($B305&lt;&gt;"PRC_RESID","",IF(S$7=2005+OFFSET(COM_N_2012!$B$60,$AW305,SUMIF($B$10:$B$16,"NCAP_TLIFE",$AX$10:$AX$16)),0,""))</f>
        <v/>
      </c>
      <c r="T305" s="369" t="str">
        <f ca="1">IF($B305&lt;&gt;"PRC_RESID","",IF(T$7=2005+OFFSET(COM_N_2012!$B$60,$AW305,SUMIF($B$10:$B$16,"NCAP_TLIFE",$AX$10:$AX$16)),0,""))</f>
        <v/>
      </c>
      <c r="U305" s="369" t="str">
        <f ca="1">IF($B305&lt;&gt;"PRC_RESID","",IF(U$7=2005+OFFSET(COM_N_2012!$B$60,$AW305,SUMIF($B$10:$B$16,"NCAP_TLIFE",$AX$10:$AX$16)),0,""))</f>
        <v/>
      </c>
      <c r="V305" s="369" t="str">
        <f ca="1">IF($B305&lt;&gt;"PRC_RESID","",IF(V$7=2005+OFFSET(COM_N_2012!$B$60,$AW305,SUMIF($B$10:$B$16,"NCAP_TLIFE",$AX$10:$AX$16)),0,""))</f>
        <v/>
      </c>
      <c r="W305" s="369" t="str">
        <f ca="1">IF($B305&lt;&gt;"PRC_RESID","",IF(W$7=2005+OFFSET(COM_N_2012!$B$60,$AW305,SUMIF($B$10:$B$16,"NCAP_TLIFE",$AX$10:$AX$16)),0,""))</f>
        <v/>
      </c>
      <c r="X305" s="369" t="str">
        <f ca="1">IF($B305&lt;&gt;"PRC_RESID","",IF(X$7=2005+OFFSET(COM_N_2012!$B$60,$AW305,SUMIF($B$10:$B$16,"NCAP_TLIFE",$AX$10:$AX$16)),0,""))</f>
        <v/>
      </c>
      <c r="Y305" s="369" t="str">
        <f ca="1">IF($B305&lt;&gt;"PRC_RESID","",IF(Y$7=2005+OFFSET(COM_N_2012!$B$60,$AW305,SUMIF($B$10:$B$16,"NCAP_TLIFE",$AX$10:$AX$16)),0,""))</f>
        <v/>
      </c>
      <c r="Z305" s="369" t="str">
        <f ca="1">IF($B305&lt;&gt;"PRC_RESID","",IF(Z$7=2005+OFFSET(COM_N_2012!$B$60,$AW305,SUMIF($B$10:$B$16,"NCAP_TLIFE",$AX$10:$AX$16)),0,""))</f>
        <v/>
      </c>
      <c r="AA305" s="369" t="str">
        <f ca="1">IF($B305&lt;&gt;"PRC_RESID","",IF(AA$7=2005+OFFSET(COM_N_2012!$B$60,$AW305,SUMIF($B$10:$B$16,"NCAP_TLIFE",$AX$10:$AX$16)),0,""))</f>
        <v/>
      </c>
      <c r="AB305" s="369" t="str">
        <f ca="1">IF($B305&lt;&gt;"PRC_RESID","",IF(AB$7=2005+OFFSET(COM_N_2012!$B$60,$AW305,SUMIF($B$10:$B$16,"NCAP_TLIFE",$AX$10:$AX$16)),0,""))</f>
        <v/>
      </c>
      <c r="AC305" s="369" t="str">
        <f ca="1">IF($B305&lt;&gt;"PRC_RESID","",IF(AC$7=2005+OFFSET(COM_N_2012!$B$60,$AW305,SUMIF($B$10:$B$16,"NCAP_TLIFE",$AX$10:$AX$16)),0,""))</f>
        <v/>
      </c>
      <c r="AD305" s="369" t="str">
        <f ca="1">IF($B305&lt;&gt;"PRC_RESID","",IF(AD$7=2005+OFFSET(COM_N_2012!$B$60,$AW305,SUMIF($B$10:$B$16,"NCAP_TLIFE",$AX$10:$AX$16)),0,""))</f>
        <v/>
      </c>
      <c r="AE305" s="369" t="str">
        <f ca="1">IF($B305&lt;&gt;"PRC_RESID","",IF(AE$7=2005+OFFSET(COM_N_2012!$B$60,$AW305,SUMIF($B$10:$B$16,"NCAP_TLIFE",$AX$10:$AX$16)),0,""))</f>
        <v/>
      </c>
      <c r="AF305" s="369" t="str">
        <f ca="1">IF($B305&lt;&gt;"PRC_RESID","",IF(AF$7=2005+OFFSET(COM_N_2012!$B$60,$AW305,SUMIF($B$10:$B$16,"NCAP_TLIFE",$AX$10:$AX$16)),0,""))</f>
        <v/>
      </c>
      <c r="AG305" s="369" t="str">
        <f ca="1">IF($B305&lt;&gt;"PRC_RESID","",IF(AG$7=2005+OFFSET(COM_N_2012!$B$60,$AW305,SUMIF($B$10:$B$16,"NCAP_TLIFE",$AX$10:$AX$16)),0,""))</f>
        <v/>
      </c>
      <c r="AH305" s="369" t="str">
        <f ca="1">IF($B305&lt;&gt;"PRC_RESID","",IF(AH$7=2005+OFFSET(COM_N_2012!$B$60,$AW305,SUMIF($B$10:$B$16,"NCAP_TLIFE",$AX$10:$AX$16)),0,""))</f>
        <v/>
      </c>
      <c r="AI305" s="369" t="str">
        <f ca="1">IF($B305&lt;&gt;"PRC_RESID","",IF(AI$7=2005+OFFSET(COM_N_2012!$B$60,$AW305,SUMIF($B$10:$B$16,"NCAP_TLIFE",$AX$10:$AX$16)),0,""))</f>
        <v/>
      </c>
      <c r="AJ305" s="369" t="str">
        <f ca="1">IF($B305&lt;&gt;"PRC_RESID","",IF(AJ$7=2005+OFFSET(COM_N_2012!$B$60,$AW305,SUMIF($B$10:$B$16,"NCAP_TLIFE",$AX$10:$AX$16)),0,""))</f>
        <v/>
      </c>
      <c r="AK305" s="369" t="str">
        <f ca="1">IF($B305&lt;&gt;"PRC_RESID","",IF(AK$7=2005+OFFSET(COM_N_2012!$B$60,$AW305,SUMIF($B$10:$B$16,"NCAP_TLIFE",$AX$10:$AX$16)),0,""))</f>
        <v/>
      </c>
      <c r="AL305" s="369" t="str">
        <f ca="1">IF($B305&lt;&gt;"PRC_RESID","",IF(AL$7=2005+OFFSET(COM_N_2012!$B$60,$AW305,SUMIF($B$10:$B$16,"NCAP_TLIFE",$AX$10:$AX$16)),0,""))</f>
        <v/>
      </c>
      <c r="AM305" s="369" t="str">
        <f ca="1">IF($B305&lt;&gt;"PRC_RESID","",IF(AM$7=2005+OFFSET(COM_N_2012!$B$60,$AW305,SUMIF($B$10:$B$16,"NCAP_TLIFE",$AX$10:$AX$16)),0,""))</f>
        <v/>
      </c>
      <c r="AN305" s="369" t="str">
        <f ca="1">IF($B305&lt;&gt;"PRC_RESID","",IF(AN$7=2005+OFFSET(COM_N_2012!$B$60,$AW305,SUMIF($B$10:$B$16,"NCAP_TLIFE",$AX$10:$AX$16)),0,""))</f>
        <v/>
      </c>
      <c r="AO305" s="369" t="str">
        <f ca="1">IF($B305&lt;&gt;"PRC_RESID","",IF(AO$7=2005+OFFSET(COM_N_2012!$B$60,$AW305,SUMIF($B$10:$B$16,"NCAP_TLIFE",$AX$10:$AX$16)),0,""))</f>
        <v/>
      </c>
      <c r="AP305" s="369" t="str">
        <f ca="1">IF($B305&lt;&gt;"PRC_RESID","",IF(AP$7=2005+OFFSET(COM_N_2012!$B$60,$AW305,SUMIF($B$10:$B$16,"NCAP_TLIFE",$AX$10:$AX$16)),0,""))</f>
        <v/>
      </c>
      <c r="AQ305" s="369" t="str">
        <f ca="1">IF($B305&lt;&gt;"PRC_RESID","",IF(AQ$7=2005+OFFSET(COM_N_2012!$B$60,$AW305,SUMIF($B$10:$B$16,"NCAP_TLIFE",$AX$10:$AX$16)),0,""))</f>
        <v/>
      </c>
      <c r="AR305" s="369" t="str">
        <f ca="1">IF($B305&lt;&gt;"PRC_RESID","",IF(AR$7=2005+OFFSET(COM_N_2012!$B$60,$AW305,SUMIF($B$10:$B$16,"NCAP_TLIFE",$AX$10:$AX$16)),0,""))</f>
        <v/>
      </c>
      <c r="AS305" s="369" t="str">
        <f ca="1">IF($B305&lt;&gt;"PRC_RESID","",IF(AS$7=2005+OFFSET(COM_N_2012!$B$60,$AW305,SUMIF($B$10:$B$16,"NCAP_TLIFE",$AX$10:$AX$16)),0,""))</f>
        <v/>
      </c>
      <c r="AT305" s="369" t="str">
        <f ca="1">IF($B305&lt;&gt;"PRC_RESID","",IF(AT$7=2005+OFFSET(COM_N_2012!$B$60,$AW305,SUMIF($B$10:$B$16,"NCAP_TLIFE",$AX$10:$AX$16)),0,""))</f>
        <v/>
      </c>
      <c r="AU305" s="369" t="str">
        <f ca="1">IF($B305&lt;&gt;"PRC_RESID","",IF(AU$7=2005+OFFSET(COM_N_2012!$B$60,$AW305,SUMIF($B$10:$B$16,"NCAP_TLIFE",$AX$10:$AX$16)),0,""))</f>
        <v/>
      </c>
      <c r="AV305" s="304">
        <f>IF(AW304=COM_N_2012!$AK$121,AV304+1,AV304)</f>
        <v>5</v>
      </c>
      <c r="AW305" s="304">
        <f t="shared" si="37"/>
        <v>44</v>
      </c>
    </row>
    <row r="306" spans="1:49">
      <c r="A306" s="304" t="str">
        <f ca="1">IF(LEFT(OFFSET(COM_N_2012!$A$60,AW306,0),2)="\I","*","")</f>
        <v/>
      </c>
      <c r="B306" s="369" t="str">
        <f t="shared" ca="1" si="36"/>
        <v>NCAP_FOM</v>
      </c>
      <c r="C306" s="369" t="str">
        <f ca="1">IF($A306="*","",OFFSET(COM_N_2012!$B$60,AW306,0))</f>
        <v>CNGELCHPS-E</v>
      </c>
      <c r="D306" s="369" t="str">
        <f t="shared" ca="1" si="40"/>
        <v>-</v>
      </c>
      <c r="E306" s="369" t="str">
        <f t="shared" ca="1" si="40"/>
        <v>-</v>
      </c>
      <c r="F306" s="369" t="str">
        <f t="shared" ca="1" si="40"/>
        <v>-</v>
      </c>
      <c r="G306" s="369" t="str">
        <f t="shared" ca="1" si="40"/>
        <v>-</v>
      </c>
      <c r="H306" s="369" t="str">
        <f t="shared" ca="1" si="40"/>
        <v>-</v>
      </c>
      <c r="I306" s="370">
        <f t="shared" ca="1" si="40"/>
        <v>0</v>
      </c>
      <c r="J306" s="391">
        <f ca="1">IF($A306="*","",OFFSET(COM_N_2012!$B$60,AW306,SUMIF($B$10:$B$16,B306,$AX$10:$AX$16)))</f>
        <v>7.5829581287827852E-2</v>
      </c>
      <c r="K306" s="369" t="str">
        <f ca="1">IF($B306&lt;&gt;"PRC_RESID","",IF(K$7=2005+OFFSET(COM_N_2012!$B$60,$AW306,SUMIF($B$10:$B$16,"NCAP_TLIFE",$AX$10:$AX$16)),0,""))</f>
        <v/>
      </c>
      <c r="L306" s="369" t="str">
        <f ca="1">IF($B306&lt;&gt;"PRC_RESID","",IF(L$7=2005+OFFSET(COM_N_2012!$B$60,$AW306,SUMIF($B$10:$B$16,"NCAP_TLIFE",$AX$10:$AX$16)),0,""))</f>
        <v/>
      </c>
      <c r="M306" s="369" t="str">
        <f ca="1">IF($B306&lt;&gt;"PRC_RESID","",IF(M$7=2005+OFFSET(COM_N_2012!$B$60,$AW306,SUMIF($B$10:$B$16,"NCAP_TLIFE",$AX$10:$AX$16)),0,""))</f>
        <v/>
      </c>
      <c r="N306" s="369" t="str">
        <f ca="1">IF($B306&lt;&gt;"PRC_RESID","",IF(N$7=2005+OFFSET(COM_N_2012!$B$60,$AW306,SUMIF($B$10:$B$16,"NCAP_TLIFE",$AX$10:$AX$16)),0,""))</f>
        <v/>
      </c>
      <c r="O306" s="369" t="str">
        <f ca="1">IF($B306&lt;&gt;"PRC_RESID","",IF(O$7=2005+OFFSET(COM_N_2012!$B$60,$AW306,SUMIF($B$10:$B$16,"NCAP_TLIFE",$AX$10:$AX$16)),0,""))</f>
        <v/>
      </c>
      <c r="P306" s="369" t="str">
        <f ca="1">IF($B306&lt;&gt;"PRC_RESID","",IF(P$7=2005+OFFSET(COM_N_2012!$B$60,$AW306,SUMIF($B$10:$B$16,"NCAP_TLIFE",$AX$10:$AX$16)),0,""))</f>
        <v/>
      </c>
      <c r="Q306" s="369" t="str">
        <f ca="1">IF($B306&lt;&gt;"PRC_RESID","",IF(Q$7=2005+OFFSET(COM_N_2012!$B$60,$AW306,SUMIF($B$10:$B$16,"NCAP_TLIFE",$AX$10:$AX$16)),0,""))</f>
        <v/>
      </c>
      <c r="R306" s="369" t="str">
        <f ca="1">IF($B306&lt;&gt;"PRC_RESID","",IF(R$7=2005+OFFSET(COM_N_2012!$B$60,$AW306,SUMIF($B$10:$B$16,"NCAP_TLIFE",$AX$10:$AX$16)),0,""))</f>
        <v/>
      </c>
      <c r="S306" s="369" t="str">
        <f ca="1">IF($B306&lt;&gt;"PRC_RESID","",IF(S$7=2005+OFFSET(COM_N_2012!$B$60,$AW306,SUMIF($B$10:$B$16,"NCAP_TLIFE",$AX$10:$AX$16)),0,""))</f>
        <v/>
      </c>
      <c r="T306" s="369" t="str">
        <f ca="1">IF($B306&lt;&gt;"PRC_RESID","",IF(T$7=2005+OFFSET(COM_N_2012!$B$60,$AW306,SUMIF($B$10:$B$16,"NCAP_TLIFE",$AX$10:$AX$16)),0,""))</f>
        <v/>
      </c>
      <c r="U306" s="369" t="str">
        <f ca="1">IF($B306&lt;&gt;"PRC_RESID","",IF(U$7=2005+OFFSET(COM_N_2012!$B$60,$AW306,SUMIF($B$10:$B$16,"NCAP_TLIFE",$AX$10:$AX$16)),0,""))</f>
        <v/>
      </c>
      <c r="V306" s="369" t="str">
        <f ca="1">IF($B306&lt;&gt;"PRC_RESID","",IF(V$7=2005+OFFSET(COM_N_2012!$B$60,$AW306,SUMIF($B$10:$B$16,"NCAP_TLIFE",$AX$10:$AX$16)),0,""))</f>
        <v/>
      </c>
      <c r="W306" s="369" t="str">
        <f ca="1">IF($B306&lt;&gt;"PRC_RESID","",IF(W$7=2005+OFFSET(COM_N_2012!$B$60,$AW306,SUMIF($B$10:$B$16,"NCAP_TLIFE",$AX$10:$AX$16)),0,""))</f>
        <v/>
      </c>
      <c r="X306" s="369" t="str">
        <f ca="1">IF($B306&lt;&gt;"PRC_RESID","",IF(X$7=2005+OFFSET(COM_N_2012!$B$60,$AW306,SUMIF($B$10:$B$16,"NCAP_TLIFE",$AX$10:$AX$16)),0,""))</f>
        <v/>
      </c>
      <c r="Y306" s="369" t="str">
        <f ca="1">IF($B306&lt;&gt;"PRC_RESID","",IF(Y$7=2005+OFFSET(COM_N_2012!$B$60,$AW306,SUMIF($B$10:$B$16,"NCAP_TLIFE",$AX$10:$AX$16)),0,""))</f>
        <v/>
      </c>
      <c r="Z306" s="369" t="str">
        <f ca="1">IF($B306&lt;&gt;"PRC_RESID","",IF(Z$7=2005+OFFSET(COM_N_2012!$B$60,$AW306,SUMIF($B$10:$B$16,"NCAP_TLIFE",$AX$10:$AX$16)),0,""))</f>
        <v/>
      </c>
      <c r="AA306" s="369" t="str">
        <f ca="1">IF($B306&lt;&gt;"PRC_RESID","",IF(AA$7=2005+OFFSET(COM_N_2012!$B$60,$AW306,SUMIF($B$10:$B$16,"NCAP_TLIFE",$AX$10:$AX$16)),0,""))</f>
        <v/>
      </c>
      <c r="AB306" s="369" t="str">
        <f ca="1">IF($B306&lt;&gt;"PRC_RESID","",IF(AB$7=2005+OFFSET(COM_N_2012!$B$60,$AW306,SUMIF($B$10:$B$16,"NCAP_TLIFE",$AX$10:$AX$16)),0,""))</f>
        <v/>
      </c>
      <c r="AC306" s="369" t="str">
        <f ca="1">IF($B306&lt;&gt;"PRC_RESID","",IF(AC$7=2005+OFFSET(COM_N_2012!$B$60,$AW306,SUMIF($B$10:$B$16,"NCAP_TLIFE",$AX$10:$AX$16)),0,""))</f>
        <v/>
      </c>
      <c r="AD306" s="369" t="str">
        <f ca="1">IF($B306&lt;&gt;"PRC_RESID","",IF(AD$7=2005+OFFSET(COM_N_2012!$B$60,$AW306,SUMIF($B$10:$B$16,"NCAP_TLIFE",$AX$10:$AX$16)),0,""))</f>
        <v/>
      </c>
      <c r="AE306" s="369" t="str">
        <f ca="1">IF($B306&lt;&gt;"PRC_RESID","",IF(AE$7=2005+OFFSET(COM_N_2012!$B$60,$AW306,SUMIF($B$10:$B$16,"NCAP_TLIFE",$AX$10:$AX$16)),0,""))</f>
        <v/>
      </c>
      <c r="AF306" s="369" t="str">
        <f ca="1">IF($B306&lt;&gt;"PRC_RESID","",IF(AF$7=2005+OFFSET(COM_N_2012!$B$60,$AW306,SUMIF($B$10:$B$16,"NCAP_TLIFE",$AX$10:$AX$16)),0,""))</f>
        <v/>
      </c>
      <c r="AG306" s="369" t="str">
        <f ca="1">IF($B306&lt;&gt;"PRC_RESID","",IF(AG$7=2005+OFFSET(COM_N_2012!$B$60,$AW306,SUMIF($B$10:$B$16,"NCAP_TLIFE",$AX$10:$AX$16)),0,""))</f>
        <v/>
      </c>
      <c r="AH306" s="369" t="str">
        <f ca="1">IF($B306&lt;&gt;"PRC_RESID","",IF(AH$7=2005+OFFSET(COM_N_2012!$B$60,$AW306,SUMIF($B$10:$B$16,"NCAP_TLIFE",$AX$10:$AX$16)),0,""))</f>
        <v/>
      </c>
      <c r="AI306" s="369" t="str">
        <f ca="1">IF($B306&lt;&gt;"PRC_RESID","",IF(AI$7=2005+OFFSET(COM_N_2012!$B$60,$AW306,SUMIF($B$10:$B$16,"NCAP_TLIFE",$AX$10:$AX$16)),0,""))</f>
        <v/>
      </c>
      <c r="AJ306" s="369" t="str">
        <f ca="1">IF($B306&lt;&gt;"PRC_RESID","",IF(AJ$7=2005+OFFSET(COM_N_2012!$B$60,$AW306,SUMIF($B$10:$B$16,"NCAP_TLIFE",$AX$10:$AX$16)),0,""))</f>
        <v/>
      </c>
      <c r="AK306" s="369" t="str">
        <f ca="1">IF($B306&lt;&gt;"PRC_RESID","",IF(AK$7=2005+OFFSET(COM_N_2012!$B$60,$AW306,SUMIF($B$10:$B$16,"NCAP_TLIFE",$AX$10:$AX$16)),0,""))</f>
        <v/>
      </c>
      <c r="AL306" s="369" t="str">
        <f ca="1">IF($B306&lt;&gt;"PRC_RESID","",IF(AL$7=2005+OFFSET(COM_N_2012!$B$60,$AW306,SUMIF($B$10:$B$16,"NCAP_TLIFE",$AX$10:$AX$16)),0,""))</f>
        <v/>
      </c>
      <c r="AM306" s="369" t="str">
        <f ca="1">IF($B306&lt;&gt;"PRC_RESID","",IF(AM$7=2005+OFFSET(COM_N_2012!$B$60,$AW306,SUMIF($B$10:$B$16,"NCAP_TLIFE",$AX$10:$AX$16)),0,""))</f>
        <v/>
      </c>
      <c r="AN306" s="369" t="str">
        <f ca="1">IF($B306&lt;&gt;"PRC_RESID","",IF(AN$7=2005+OFFSET(COM_N_2012!$B$60,$AW306,SUMIF($B$10:$B$16,"NCAP_TLIFE",$AX$10:$AX$16)),0,""))</f>
        <v/>
      </c>
      <c r="AO306" s="369" t="str">
        <f ca="1">IF($B306&lt;&gt;"PRC_RESID","",IF(AO$7=2005+OFFSET(COM_N_2012!$B$60,$AW306,SUMIF($B$10:$B$16,"NCAP_TLIFE",$AX$10:$AX$16)),0,""))</f>
        <v/>
      </c>
      <c r="AP306" s="369" t="str">
        <f ca="1">IF($B306&lt;&gt;"PRC_RESID","",IF(AP$7=2005+OFFSET(COM_N_2012!$B$60,$AW306,SUMIF($B$10:$B$16,"NCAP_TLIFE",$AX$10:$AX$16)),0,""))</f>
        <v/>
      </c>
      <c r="AQ306" s="369" t="str">
        <f ca="1">IF($B306&lt;&gt;"PRC_RESID","",IF(AQ$7=2005+OFFSET(COM_N_2012!$B$60,$AW306,SUMIF($B$10:$B$16,"NCAP_TLIFE",$AX$10:$AX$16)),0,""))</f>
        <v/>
      </c>
      <c r="AR306" s="369" t="str">
        <f ca="1">IF($B306&lt;&gt;"PRC_RESID","",IF(AR$7=2005+OFFSET(COM_N_2012!$B$60,$AW306,SUMIF($B$10:$B$16,"NCAP_TLIFE",$AX$10:$AX$16)),0,""))</f>
        <v/>
      </c>
      <c r="AS306" s="369" t="str">
        <f ca="1">IF($B306&lt;&gt;"PRC_RESID","",IF(AS$7=2005+OFFSET(COM_N_2012!$B$60,$AW306,SUMIF($B$10:$B$16,"NCAP_TLIFE",$AX$10:$AX$16)),0,""))</f>
        <v/>
      </c>
      <c r="AT306" s="369" t="str">
        <f ca="1">IF($B306&lt;&gt;"PRC_RESID","",IF(AT$7=2005+OFFSET(COM_N_2012!$B$60,$AW306,SUMIF($B$10:$B$16,"NCAP_TLIFE",$AX$10:$AX$16)),0,""))</f>
        <v/>
      </c>
      <c r="AU306" s="369" t="str">
        <f ca="1">IF($B306&lt;&gt;"PRC_RESID","",IF(AU$7=2005+OFFSET(COM_N_2012!$B$60,$AW306,SUMIF($B$10:$B$16,"NCAP_TLIFE",$AX$10:$AX$16)),0,""))</f>
        <v/>
      </c>
      <c r="AV306" s="304">
        <f>IF(AW305=COM_N_2012!$AK$121,AV305+1,AV305)</f>
        <v>5</v>
      </c>
      <c r="AW306" s="304">
        <f t="shared" si="37"/>
        <v>45</v>
      </c>
    </row>
    <row r="307" spans="1:49">
      <c r="A307" s="304" t="str">
        <f ca="1">IF(LEFT(OFFSET(COM_N_2012!$A$60,AW307,0),2)="\I","*","")</f>
        <v/>
      </c>
      <c r="B307" s="369" t="str">
        <f t="shared" ca="1" si="36"/>
        <v>NCAP_FOM</v>
      </c>
      <c r="C307" s="369" t="str">
        <f ca="1">IF($A307="*","",OFFSET(COM_N_2012!$B$60,AW307,0))</f>
        <v>CNGELCMHL-E</v>
      </c>
      <c r="D307" s="369" t="str">
        <f t="shared" ca="1" si="40"/>
        <v>-</v>
      </c>
      <c r="E307" s="369" t="str">
        <f t="shared" ca="1" si="40"/>
        <v>-</v>
      </c>
      <c r="F307" s="369" t="str">
        <f t="shared" ca="1" si="40"/>
        <v>-</v>
      </c>
      <c r="G307" s="369" t="str">
        <f t="shared" ca="1" si="40"/>
        <v>-</v>
      </c>
      <c r="H307" s="369" t="str">
        <f t="shared" ca="1" si="40"/>
        <v>-</v>
      </c>
      <c r="I307" s="370">
        <f t="shared" ca="1" si="40"/>
        <v>0</v>
      </c>
      <c r="J307" s="391">
        <f ca="1">IF($A307="*","",OFFSET(COM_N_2012!$B$60,AW307,SUMIF($B$10:$B$16,B307,$AX$10:$AX$16)))</f>
        <v>3.0666374785518619E-2</v>
      </c>
      <c r="K307" s="369" t="str">
        <f ca="1">IF($B307&lt;&gt;"PRC_RESID","",IF(K$7=2005+OFFSET(COM_N_2012!$B$60,$AW307,SUMIF($B$10:$B$16,"NCAP_TLIFE",$AX$10:$AX$16)),0,""))</f>
        <v/>
      </c>
      <c r="L307" s="369" t="str">
        <f ca="1">IF($B307&lt;&gt;"PRC_RESID","",IF(L$7=2005+OFFSET(COM_N_2012!$B$60,$AW307,SUMIF($B$10:$B$16,"NCAP_TLIFE",$AX$10:$AX$16)),0,""))</f>
        <v/>
      </c>
      <c r="M307" s="369" t="str">
        <f ca="1">IF($B307&lt;&gt;"PRC_RESID","",IF(M$7=2005+OFFSET(COM_N_2012!$B$60,$AW307,SUMIF($B$10:$B$16,"NCAP_TLIFE",$AX$10:$AX$16)),0,""))</f>
        <v/>
      </c>
      <c r="N307" s="369" t="str">
        <f ca="1">IF($B307&lt;&gt;"PRC_RESID","",IF(N$7=2005+OFFSET(COM_N_2012!$B$60,$AW307,SUMIF($B$10:$B$16,"NCAP_TLIFE",$AX$10:$AX$16)),0,""))</f>
        <v/>
      </c>
      <c r="O307" s="369" t="str">
        <f ca="1">IF($B307&lt;&gt;"PRC_RESID","",IF(O$7=2005+OFFSET(COM_N_2012!$B$60,$AW307,SUMIF($B$10:$B$16,"NCAP_TLIFE",$AX$10:$AX$16)),0,""))</f>
        <v/>
      </c>
      <c r="P307" s="369" t="str">
        <f ca="1">IF($B307&lt;&gt;"PRC_RESID","",IF(P$7=2005+OFFSET(COM_N_2012!$B$60,$AW307,SUMIF($B$10:$B$16,"NCAP_TLIFE",$AX$10:$AX$16)),0,""))</f>
        <v/>
      </c>
      <c r="Q307" s="369" t="str">
        <f ca="1">IF($B307&lt;&gt;"PRC_RESID","",IF(Q$7=2005+OFFSET(COM_N_2012!$B$60,$AW307,SUMIF($B$10:$B$16,"NCAP_TLIFE",$AX$10:$AX$16)),0,""))</f>
        <v/>
      </c>
      <c r="R307" s="369" t="str">
        <f ca="1">IF($B307&lt;&gt;"PRC_RESID","",IF(R$7=2005+OFFSET(COM_N_2012!$B$60,$AW307,SUMIF($B$10:$B$16,"NCAP_TLIFE",$AX$10:$AX$16)),0,""))</f>
        <v/>
      </c>
      <c r="S307" s="369" t="str">
        <f ca="1">IF($B307&lt;&gt;"PRC_RESID","",IF(S$7=2005+OFFSET(COM_N_2012!$B$60,$AW307,SUMIF($B$10:$B$16,"NCAP_TLIFE",$AX$10:$AX$16)),0,""))</f>
        <v/>
      </c>
      <c r="T307" s="369" t="str">
        <f ca="1">IF($B307&lt;&gt;"PRC_RESID","",IF(T$7=2005+OFFSET(COM_N_2012!$B$60,$AW307,SUMIF($B$10:$B$16,"NCAP_TLIFE",$AX$10:$AX$16)),0,""))</f>
        <v/>
      </c>
      <c r="U307" s="369" t="str">
        <f ca="1">IF($B307&lt;&gt;"PRC_RESID","",IF(U$7=2005+OFFSET(COM_N_2012!$B$60,$AW307,SUMIF($B$10:$B$16,"NCAP_TLIFE",$AX$10:$AX$16)),0,""))</f>
        <v/>
      </c>
      <c r="V307" s="369" t="str">
        <f ca="1">IF($B307&lt;&gt;"PRC_RESID","",IF(V$7=2005+OFFSET(COM_N_2012!$B$60,$AW307,SUMIF($B$10:$B$16,"NCAP_TLIFE",$AX$10:$AX$16)),0,""))</f>
        <v/>
      </c>
      <c r="W307" s="369" t="str">
        <f ca="1">IF($B307&lt;&gt;"PRC_RESID","",IF(W$7=2005+OFFSET(COM_N_2012!$B$60,$AW307,SUMIF($B$10:$B$16,"NCAP_TLIFE",$AX$10:$AX$16)),0,""))</f>
        <v/>
      </c>
      <c r="X307" s="369" t="str">
        <f ca="1">IF($B307&lt;&gt;"PRC_RESID","",IF(X$7=2005+OFFSET(COM_N_2012!$B$60,$AW307,SUMIF($B$10:$B$16,"NCAP_TLIFE",$AX$10:$AX$16)),0,""))</f>
        <v/>
      </c>
      <c r="Y307" s="369" t="str">
        <f ca="1">IF($B307&lt;&gt;"PRC_RESID","",IF(Y$7=2005+OFFSET(COM_N_2012!$B$60,$AW307,SUMIF($B$10:$B$16,"NCAP_TLIFE",$AX$10:$AX$16)),0,""))</f>
        <v/>
      </c>
      <c r="Z307" s="369" t="str">
        <f ca="1">IF($B307&lt;&gt;"PRC_RESID","",IF(Z$7=2005+OFFSET(COM_N_2012!$B$60,$AW307,SUMIF($B$10:$B$16,"NCAP_TLIFE",$AX$10:$AX$16)),0,""))</f>
        <v/>
      </c>
      <c r="AA307" s="369" t="str">
        <f ca="1">IF($B307&lt;&gt;"PRC_RESID","",IF(AA$7=2005+OFFSET(COM_N_2012!$B$60,$AW307,SUMIF($B$10:$B$16,"NCAP_TLIFE",$AX$10:$AX$16)),0,""))</f>
        <v/>
      </c>
      <c r="AB307" s="369" t="str">
        <f ca="1">IF($B307&lt;&gt;"PRC_RESID","",IF(AB$7=2005+OFFSET(COM_N_2012!$B$60,$AW307,SUMIF($B$10:$B$16,"NCAP_TLIFE",$AX$10:$AX$16)),0,""))</f>
        <v/>
      </c>
      <c r="AC307" s="369" t="str">
        <f ca="1">IF($B307&lt;&gt;"PRC_RESID","",IF(AC$7=2005+OFFSET(COM_N_2012!$B$60,$AW307,SUMIF($B$10:$B$16,"NCAP_TLIFE",$AX$10:$AX$16)),0,""))</f>
        <v/>
      </c>
      <c r="AD307" s="369" t="str">
        <f ca="1">IF($B307&lt;&gt;"PRC_RESID","",IF(AD$7=2005+OFFSET(COM_N_2012!$B$60,$AW307,SUMIF($B$10:$B$16,"NCAP_TLIFE",$AX$10:$AX$16)),0,""))</f>
        <v/>
      </c>
      <c r="AE307" s="369" t="str">
        <f ca="1">IF($B307&lt;&gt;"PRC_RESID","",IF(AE$7=2005+OFFSET(COM_N_2012!$B$60,$AW307,SUMIF($B$10:$B$16,"NCAP_TLIFE",$AX$10:$AX$16)),0,""))</f>
        <v/>
      </c>
      <c r="AF307" s="369" t="str">
        <f ca="1">IF($B307&lt;&gt;"PRC_RESID","",IF(AF$7=2005+OFFSET(COM_N_2012!$B$60,$AW307,SUMIF($B$10:$B$16,"NCAP_TLIFE",$AX$10:$AX$16)),0,""))</f>
        <v/>
      </c>
      <c r="AG307" s="369" t="str">
        <f ca="1">IF($B307&lt;&gt;"PRC_RESID","",IF(AG$7=2005+OFFSET(COM_N_2012!$B$60,$AW307,SUMIF($B$10:$B$16,"NCAP_TLIFE",$AX$10:$AX$16)),0,""))</f>
        <v/>
      </c>
      <c r="AH307" s="369" t="str">
        <f ca="1">IF($B307&lt;&gt;"PRC_RESID","",IF(AH$7=2005+OFFSET(COM_N_2012!$B$60,$AW307,SUMIF($B$10:$B$16,"NCAP_TLIFE",$AX$10:$AX$16)),0,""))</f>
        <v/>
      </c>
      <c r="AI307" s="369" t="str">
        <f ca="1">IF($B307&lt;&gt;"PRC_RESID","",IF(AI$7=2005+OFFSET(COM_N_2012!$B$60,$AW307,SUMIF($B$10:$B$16,"NCAP_TLIFE",$AX$10:$AX$16)),0,""))</f>
        <v/>
      </c>
      <c r="AJ307" s="369" t="str">
        <f ca="1">IF($B307&lt;&gt;"PRC_RESID","",IF(AJ$7=2005+OFFSET(COM_N_2012!$B$60,$AW307,SUMIF($B$10:$B$16,"NCAP_TLIFE",$AX$10:$AX$16)),0,""))</f>
        <v/>
      </c>
      <c r="AK307" s="369" t="str">
        <f ca="1">IF($B307&lt;&gt;"PRC_RESID","",IF(AK$7=2005+OFFSET(COM_N_2012!$B$60,$AW307,SUMIF($B$10:$B$16,"NCAP_TLIFE",$AX$10:$AX$16)),0,""))</f>
        <v/>
      </c>
      <c r="AL307" s="369" t="str">
        <f ca="1">IF($B307&lt;&gt;"PRC_RESID","",IF(AL$7=2005+OFFSET(COM_N_2012!$B$60,$AW307,SUMIF($B$10:$B$16,"NCAP_TLIFE",$AX$10:$AX$16)),0,""))</f>
        <v/>
      </c>
      <c r="AM307" s="369" t="str">
        <f ca="1">IF($B307&lt;&gt;"PRC_RESID","",IF(AM$7=2005+OFFSET(COM_N_2012!$B$60,$AW307,SUMIF($B$10:$B$16,"NCAP_TLIFE",$AX$10:$AX$16)),0,""))</f>
        <v/>
      </c>
      <c r="AN307" s="369" t="str">
        <f ca="1">IF($B307&lt;&gt;"PRC_RESID","",IF(AN$7=2005+OFFSET(COM_N_2012!$B$60,$AW307,SUMIF($B$10:$B$16,"NCAP_TLIFE",$AX$10:$AX$16)),0,""))</f>
        <v/>
      </c>
      <c r="AO307" s="369" t="str">
        <f ca="1">IF($B307&lt;&gt;"PRC_RESID","",IF(AO$7=2005+OFFSET(COM_N_2012!$B$60,$AW307,SUMIF($B$10:$B$16,"NCAP_TLIFE",$AX$10:$AX$16)),0,""))</f>
        <v/>
      </c>
      <c r="AP307" s="369" t="str">
        <f ca="1">IF($B307&lt;&gt;"PRC_RESID","",IF(AP$7=2005+OFFSET(COM_N_2012!$B$60,$AW307,SUMIF($B$10:$B$16,"NCAP_TLIFE",$AX$10:$AX$16)),0,""))</f>
        <v/>
      </c>
      <c r="AQ307" s="369" t="str">
        <f ca="1">IF($B307&lt;&gt;"PRC_RESID","",IF(AQ$7=2005+OFFSET(COM_N_2012!$B$60,$AW307,SUMIF($B$10:$B$16,"NCAP_TLIFE",$AX$10:$AX$16)),0,""))</f>
        <v/>
      </c>
      <c r="AR307" s="369" t="str">
        <f ca="1">IF($B307&lt;&gt;"PRC_RESID","",IF(AR$7=2005+OFFSET(COM_N_2012!$B$60,$AW307,SUMIF($B$10:$B$16,"NCAP_TLIFE",$AX$10:$AX$16)),0,""))</f>
        <v/>
      </c>
      <c r="AS307" s="369" t="str">
        <f ca="1">IF($B307&lt;&gt;"PRC_RESID","",IF(AS$7=2005+OFFSET(COM_N_2012!$B$60,$AW307,SUMIF($B$10:$B$16,"NCAP_TLIFE",$AX$10:$AX$16)),0,""))</f>
        <v/>
      </c>
      <c r="AT307" s="369" t="str">
        <f ca="1">IF($B307&lt;&gt;"PRC_RESID","",IF(AT$7=2005+OFFSET(COM_N_2012!$B$60,$AW307,SUMIF($B$10:$B$16,"NCAP_TLIFE",$AX$10:$AX$16)),0,""))</f>
        <v/>
      </c>
      <c r="AU307" s="369" t="str">
        <f ca="1">IF($B307&lt;&gt;"PRC_RESID","",IF(AU$7=2005+OFFSET(COM_N_2012!$B$60,$AW307,SUMIF($B$10:$B$16,"NCAP_TLIFE",$AX$10:$AX$16)),0,""))</f>
        <v/>
      </c>
      <c r="AV307" s="304">
        <f>IF(AW306=COM_N_2012!$AK$121,AV306+1,AV306)</f>
        <v>5</v>
      </c>
      <c r="AW307" s="304">
        <f t="shared" si="37"/>
        <v>46</v>
      </c>
    </row>
    <row r="308" spans="1:49">
      <c r="A308" s="304" t="str">
        <f ca="1">IF(LEFT(OFFSET(COM_N_2012!$A$60,AW308,0),2)="\I","*","")</f>
        <v/>
      </c>
      <c r="B308" s="369" t="str">
        <f t="shared" ca="1" si="36"/>
        <v>NCAP_FOM</v>
      </c>
      <c r="C308" s="369" t="str">
        <f ca="1">IF($A308="*","",OFFSET(COM_N_2012!$B$60,AW308,0))</f>
        <v>CNGELCLED-N</v>
      </c>
      <c r="D308" s="369" t="str">
        <f t="shared" ref="D308:I317" ca="1" si="41">IF($A308="*","",VLOOKUP($B308,$B$10:$I$16,D$9,FALSE))</f>
        <v>-</v>
      </c>
      <c r="E308" s="369" t="str">
        <f t="shared" ca="1" si="41"/>
        <v>-</v>
      </c>
      <c r="F308" s="369" t="str">
        <f t="shared" ca="1" si="41"/>
        <v>-</v>
      </c>
      <c r="G308" s="369" t="str">
        <f t="shared" ca="1" si="41"/>
        <v>-</v>
      </c>
      <c r="H308" s="369" t="str">
        <f t="shared" ca="1" si="41"/>
        <v>-</v>
      </c>
      <c r="I308" s="370">
        <f t="shared" ca="1" si="41"/>
        <v>0</v>
      </c>
      <c r="J308" s="391">
        <f ca="1">IF($A308="*","",OFFSET(COM_N_2012!$B$60,AW308,SUMIF($B$10:$B$16,B308,$AX$10:$AX$16)))</f>
        <v>0.49258814903416526</v>
      </c>
      <c r="K308" s="369" t="str">
        <f ca="1">IF($B308&lt;&gt;"PRC_RESID","",IF(K$7=2005+OFFSET(COM_N_2012!$B$60,$AW308,SUMIF($B$10:$B$16,"NCAP_TLIFE",$AX$10:$AX$16)),0,""))</f>
        <v/>
      </c>
      <c r="L308" s="369" t="str">
        <f ca="1">IF($B308&lt;&gt;"PRC_RESID","",IF(L$7=2005+OFFSET(COM_N_2012!$B$60,$AW308,SUMIF($B$10:$B$16,"NCAP_TLIFE",$AX$10:$AX$16)),0,""))</f>
        <v/>
      </c>
      <c r="M308" s="369" t="str">
        <f ca="1">IF($B308&lt;&gt;"PRC_RESID","",IF(M$7=2005+OFFSET(COM_N_2012!$B$60,$AW308,SUMIF($B$10:$B$16,"NCAP_TLIFE",$AX$10:$AX$16)),0,""))</f>
        <v/>
      </c>
      <c r="N308" s="369" t="str">
        <f ca="1">IF($B308&lt;&gt;"PRC_RESID","",IF(N$7=2005+OFFSET(COM_N_2012!$B$60,$AW308,SUMIF($B$10:$B$16,"NCAP_TLIFE",$AX$10:$AX$16)),0,""))</f>
        <v/>
      </c>
      <c r="O308" s="369" t="str">
        <f ca="1">IF($B308&lt;&gt;"PRC_RESID","",IF(O$7=2005+OFFSET(COM_N_2012!$B$60,$AW308,SUMIF($B$10:$B$16,"NCAP_TLIFE",$AX$10:$AX$16)),0,""))</f>
        <v/>
      </c>
      <c r="P308" s="369" t="str">
        <f ca="1">IF($B308&lt;&gt;"PRC_RESID","",IF(P$7=2005+OFFSET(COM_N_2012!$B$60,$AW308,SUMIF($B$10:$B$16,"NCAP_TLIFE",$AX$10:$AX$16)),0,""))</f>
        <v/>
      </c>
      <c r="Q308" s="369" t="str">
        <f ca="1">IF($B308&lt;&gt;"PRC_RESID","",IF(Q$7=2005+OFFSET(COM_N_2012!$B$60,$AW308,SUMIF($B$10:$B$16,"NCAP_TLIFE",$AX$10:$AX$16)),0,""))</f>
        <v/>
      </c>
      <c r="R308" s="369" t="str">
        <f ca="1">IF($B308&lt;&gt;"PRC_RESID","",IF(R$7=2005+OFFSET(COM_N_2012!$B$60,$AW308,SUMIF($B$10:$B$16,"NCAP_TLIFE",$AX$10:$AX$16)),0,""))</f>
        <v/>
      </c>
      <c r="S308" s="369" t="str">
        <f ca="1">IF($B308&lt;&gt;"PRC_RESID","",IF(S$7=2005+OFFSET(COM_N_2012!$B$60,$AW308,SUMIF($B$10:$B$16,"NCAP_TLIFE",$AX$10:$AX$16)),0,""))</f>
        <v/>
      </c>
      <c r="T308" s="369" t="str">
        <f ca="1">IF($B308&lt;&gt;"PRC_RESID","",IF(T$7=2005+OFFSET(COM_N_2012!$B$60,$AW308,SUMIF($B$10:$B$16,"NCAP_TLIFE",$AX$10:$AX$16)),0,""))</f>
        <v/>
      </c>
      <c r="U308" s="369" t="str">
        <f ca="1">IF($B308&lt;&gt;"PRC_RESID","",IF(U$7=2005+OFFSET(COM_N_2012!$B$60,$AW308,SUMIF($B$10:$B$16,"NCAP_TLIFE",$AX$10:$AX$16)),0,""))</f>
        <v/>
      </c>
      <c r="V308" s="369" t="str">
        <f ca="1">IF($B308&lt;&gt;"PRC_RESID","",IF(V$7=2005+OFFSET(COM_N_2012!$B$60,$AW308,SUMIF($B$10:$B$16,"NCAP_TLIFE",$AX$10:$AX$16)),0,""))</f>
        <v/>
      </c>
      <c r="W308" s="369" t="str">
        <f ca="1">IF($B308&lt;&gt;"PRC_RESID","",IF(W$7=2005+OFFSET(COM_N_2012!$B$60,$AW308,SUMIF($B$10:$B$16,"NCAP_TLIFE",$AX$10:$AX$16)),0,""))</f>
        <v/>
      </c>
      <c r="X308" s="369" t="str">
        <f ca="1">IF($B308&lt;&gt;"PRC_RESID","",IF(X$7=2005+OFFSET(COM_N_2012!$B$60,$AW308,SUMIF($B$10:$B$16,"NCAP_TLIFE",$AX$10:$AX$16)),0,""))</f>
        <v/>
      </c>
      <c r="Y308" s="369" t="str">
        <f ca="1">IF($B308&lt;&gt;"PRC_RESID","",IF(Y$7=2005+OFFSET(COM_N_2012!$B$60,$AW308,SUMIF($B$10:$B$16,"NCAP_TLIFE",$AX$10:$AX$16)),0,""))</f>
        <v/>
      </c>
      <c r="Z308" s="369" t="str">
        <f ca="1">IF($B308&lt;&gt;"PRC_RESID","",IF(Z$7=2005+OFFSET(COM_N_2012!$B$60,$AW308,SUMIF($B$10:$B$16,"NCAP_TLIFE",$AX$10:$AX$16)),0,""))</f>
        <v/>
      </c>
      <c r="AA308" s="369" t="str">
        <f ca="1">IF($B308&lt;&gt;"PRC_RESID","",IF(AA$7=2005+OFFSET(COM_N_2012!$B$60,$AW308,SUMIF($B$10:$B$16,"NCAP_TLIFE",$AX$10:$AX$16)),0,""))</f>
        <v/>
      </c>
      <c r="AB308" s="369" t="str">
        <f ca="1">IF($B308&lt;&gt;"PRC_RESID","",IF(AB$7=2005+OFFSET(COM_N_2012!$B$60,$AW308,SUMIF($B$10:$B$16,"NCAP_TLIFE",$AX$10:$AX$16)),0,""))</f>
        <v/>
      </c>
      <c r="AC308" s="369" t="str">
        <f ca="1">IF($B308&lt;&gt;"PRC_RESID","",IF(AC$7=2005+OFFSET(COM_N_2012!$B$60,$AW308,SUMIF($B$10:$B$16,"NCAP_TLIFE",$AX$10:$AX$16)),0,""))</f>
        <v/>
      </c>
      <c r="AD308" s="369" t="str">
        <f ca="1">IF($B308&lt;&gt;"PRC_RESID","",IF(AD$7=2005+OFFSET(COM_N_2012!$B$60,$AW308,SUMIF($B$10:$B$16,"NCAP_TLIFE",$AX$10:$AX$16)),0,""))</f>
        <v/>
      </c>
      <c r="AE308" s="369" t="str">
        <f ca="1">IF($B308&lt;&gt;"PRC_RESID","",IF(AE$7=2005+OFFSET(COM_N_2012!$B$60,$AW308,SUMIF($B$10:$B$16,"NCAP_TLIFE",$AX$10:$AX$16)),0,""))</f>
        <v/>
      </c>
      <c r="AF308" s="369" t="str">
        <f ca="1">IF($B308&lt;&gt;"PRC_RESID","",IF(AF$7=2005+OFFSET(COM_N_2012!$B$60,$AW308,SUMIF($B$10:$B$16,"NCAP_TLIFE",$AX$10:$AX$16)),0,""))</f>
        <v/>
      </c>
      <c r="AG308" s="369" t="str">
        <f ca="1">IF($B308&lt;&gt;"PRC_RESID","",IF(AG$7=2005+OFFSET(COM_N_2012!$B$60,$AW308,SUMIF($B$10:$B$16,"NCAP_TLIFE",$AX$10:$AX$16)),0,""))</f>
        <v/>
      </c>
      <c r="AH308" s="369" t="str">
        <f ca="1">IF($B308&lt;&gt;"PRC_RESID","",IF(AH$7=2005+OFFSET(COM_N_2012!$B$60,$AW308,SUMIF($B$10:$B$16,"NCAP_TLIFE",$AX$10:$AX$16)),0,""))</f>
        <v/>
      </c>
      <c r="AI308" s="369" t="str">
        <f ca="1">IF($B308&lt;&gt;"PRC_RESID","",IF(AI$7=2005+OFFSET(COM_N_2012!$B$60,$AW308,SUMIF($B$10:$B$16,"NCAP_TLIFE",$AX$10:$AX$16)),0,""))</f>
        <v/>
      </c>
      <c r="AJ308" s="369" t="str">
        <f ca="1">IF($B308&lt;&gt;"PRC_RESID","",IF(AJ$7=2005+OFFSET(COM_N_2012!$B$60,$AW308,SUMIF($B$10:$B$16,"NCAP_TLIFE",$AX$10:$AX$16)),0,""))</f>
        <v/>
      </c>
      <c r="AK308" s="369" t="str">
        <f ca="1">IF($B308&lt;&gt;"PRC_RESID","",IF(AK$7=2005+OFFSET(COM_N_2012!$B$60,$AW308,SUMIF($B$10:$B$16,"NCAP_TLIFE",$AX$10:$AX$16)),0,""))</f>
        <v/>
      </c>
      <c r="AL308" s="369" t="str">
        <f ca="1">IF($B308&lt;&gt;"PRC_RESID","",IF(AL$7=2005+OFFSET(COM_N_2012!$B$60,$AW308,SUMIF($B$10:$B$16,"NCAP_TLIFE",$AX$10:$AX$16)),0,""))</f>
        <v/>
      </c>
      <c r="AM308" s="369" t="str">
        <f ca="1">IF($B308&lt;&gt;"PRC_RESID","",IF(AM$7=2005+OFFSET(COM_N_2012!$B$60,$AW308,SUMIF($B$10:$B$16,"NCAP_TLIFE",$AX$10:$AX$16)),0,""))</f>
        <v/>
      </c>
      <c r="AN308" s="369" t="str">
        <f ca="1">IF($B308&lt;&gt;"PRC_RESID","",IF(AN$7=2005+OFFSET(COM_N_2012!$B$60,$AW308,SUMIF($B$10:$B$16,"NCAP_TLIFE",$AX$10:$AX$16)),0,""))</f>
        <v/>
      </c>
      <c r="AO308" s="369" t="str">
        <f ca="1">IF($B308&lt;&gt;"PRC_RESID","",IF(AO$7=2005+OFFSET(COM_N_2012!$B$60,$AW308,SUMIF($B$10:$B$16,"NCAP_TLIFE",$AX$10:$AX$16)),0,""))</f>
        <v/>
      </c>
      <c r="AP308" s="369" t="str">
        <f ca="1">IF($B308&lt;&gt;"PRC_RESID","",IF(AP$7=2005+OFFSET(COM_N_2012!$B$60,$AW308,SUMIF($B$10:$B$16,"NCAP_TLIFE",$AX$10:$AX$16)),0,""))</f>
        <v/>
      </c>
      <c r="AQ308" s="369" t="str">
        <f ca="1">IF($B308&lt;&gt;"PRC_RESID","",IF(AQ$7=2005+OFFSET(COM_N_2012!$B$60,$AW308,SUMIF($B$10:$B$16,"NCAP_TLIFE",$AX$10:$AX$16)),0,""))</f>
        <v/>
      </c>
      <c r="AR308" s="369" t="str">
        <f ca="1">IF($B308&lt;&gt;"PRC_RESID","",IF(AR$7=2005+OFFSET(COM_N_2012!$B$60,$AW308,SUMIF($B$10:$B$16,"NCAP_TLIFE",$AX$10:$AX$16)),0,""))</f>
        <v/>
      </c>
      <c r="AS308" s="369" t="str">
        <f ca="1">IF($B308&lt;&gt;"PRC_RESID","",IF(AS$7=2005+OFFSET(COM_N_2012!$B$60,$AW308,SUMIF($B$10:$B$16,"NCAP_TLIFE",$AX$10:$AX$16)),0,""))</f>
        <v/>
      </c>
      <c r="AT308" s="369" t="str">
        <f ca="1">IF($B308&lt;&gt;"PRC_RESID","",IF(AT$7=2005+OFFSET(COM_N_2012!$B$60,$AW308,SUMIF($B$10:$B$16,"NCAP_TLIFE",$AX$10:$AX$16)),0,""))</f>
        <v/>
      </c>
      <c r="AU308" s="369" t="str">
        <f ca="1">IF($B308&lt;&gt;"PRC_RESID","",IF(AU$7=2005+OFFSET(COM_N_2012!$B$60,$AW308,SUMIF($B$10:$B$16,"NCAP_TLIFE",$AX$10:$AX$16)),0,""))</f>
        <v/>
      </c>
      <c r="AV308" s="304">
        <f>IF(AW307=COM_N_2012!$AK$121,AV307+1,AV307)</f>
        <v>5</v>
      </c>
      <c r="AW308" s="304">
        <f t="shared" si="37"/>
        <v>47</v>
      </c>
    </row>
    <row r="309" spans="1:49">
      <c r="A309" s="304" t="str">
        <f ca="1">IF(LEFT(OFFSET(COM_N_2012!$A$60,AW309,0),2)="\I","*","")</f>
        <v>*</v>
      </c>
      <c r="B309" s="369" t="str">
        <f t="shared" ca="1" si="36"/>
        <v/>
      </c>
      <c r="C309" s="369" t="str">
        <f ca="1">IF($A309="*","",OFFSET(COM_N_2012!$B$60,AW309,0))</f>
        <v/>
      </c>
      <c r="D309" s="369" t="str">
        <f t="shared" ca="1" si="41"/>
        <v/>
      </c>
      <c r="E309" s="369" t="str">
        <f t="shared" ca="1" si="41"/>
        <v/>
      </c>
      <c r="F309" s="369" t="str">
        <f t="shared" ca="1" si="41"/>
        <v/>
      </c>
      <c r="G309" s="369" t="str">
        <f t="shared" ca="1" si="41"/>
        <v/>
      </c>
      <c r="H309" s="369" t="str">
        <f t="shared" ca="1" si="41"/>
        <v/>
      </c>
      <c r="I309" s="370" t="str">
        <f t="shared" ca="1" si="41"/>
        <v/>
      </c>
      <c r="J309" s="391" t="str">
        <f ca="1">IF($A309="*","",OFFSET(COM_N_2012!$B$60,AW309,SUMIF($B$10:$B$16,B309,$AX$10:$AX$16)))</f>
        <v/>
      </c>
      <c r="K309" s="369" t="str">
        <f ca="1">IF($B309&lt;&gt;"PRC_RESID","",IF(K$7=2005+OFFSET(COM_N_2012!$B$60,$AW309,SUMIF($B$10:$B$16,"NCAP_TLIFE",$AX$10:$AX$16)),0,""))</f>
        <v/>
      </c>
      <c r="L309" s="369" t="str">
        <f ca="1">IF($B309&lt;&gt;"PRC_RESID","",IF(L$7=2005+OFFSET(COM_N_2012!$B$60,$AW309,SUMIF($B$10:$B$16,"NCAP_TLIFE",$AX$10:$AX$16)),0,""))</f>
        <v/>
      </c>
      <c r="M309" s="369" t="str">
        <f ca="1">IF($B309&lt;&gt;"PRC_RESID","",IF(M$7=2005+OFFSET(COM_N_2012!$B$60,$AW309,SUMIF($B$10:$B$16,"NCAP_TLIFE",$AX$10:$AX$16)),0,""))</f>
        <v/>
      </c>
      <c r="N309" s="369" t="str">
        <f ca="1">IF($B309&lt;&gt;"PRC_RESID","",IF(N$7=2005+OFFSET(COM_N_2012!$B$60,$AW309,SUMIF($B$10:$B$16,"NCAP_TLIFE",$AX$10:$AX$16)),0,""))</f>
        <v/>
      </c>
      <c r="O309" s="369" t="str">
        <f ca="1">IF($B309&lt;&gt;"PRC_RESID","",IF(O$7=2005+OFFSET(COM_N_2012!$B$60,$AW309,SUMIF($B$10:$B$16,"NCAP_TLIFE",$AX$10:$AX$16)),0,""))</f>
        <v/>
      </c>
      <c r="P309" s="369" t="str">
        <f ca="1">IF($B309&lt;&gt;"PRC_RESID","",IF(P$7=2005+OFFSET(COM_N_2012!$B$60,$AW309,SUMIF($B$10:$B$16,"NCAP_TLIFE",$AX$10:$AX$16)),0,""))</f>
        <v/>
      </c>
      <c r="Q309" s="369" t="str">
        <f ca="1">IF($B309&lt;&gt;"PRC_RESID","",IF(Q$7=2005+OFFSET(COM_N_2012!$B$60,$AW309,SUMIF($B$10:$B$16,"NCAP_TLIFE",$AX$10:$AX$16)),0,""))</f>
        <v/>
      </c>
      <c r="R309" s="369" t="str">
        <f ca="1">IF($B309&lt;&gt;"PRC_RESID","",IF(R$7=2005+OFFSET(COM_N_2012!$B$60,$AW309,SUMIF($B$10:$B$16,"NCAP_TLIFE",$AX$10:$AX$16)),0,""))</f>
        <v/>
      </c>
      <c r="S309" s="369" t="str">
        <f ca="1">IF($B309&lt;&gt;"PRC_RESID","",IF(S$7=2005+OFFSET(COM_N_2012!$B$60,$AW309,SUMIF($B$10:$B$16,"NCAP_TLIFE",$AX$10:$AX$16)),0,""))</f>
        <v/>
      </c>
      <c r="T309" s="369" t="str">
        <f ca="1">IF($B309&lt;&gt;"PRC_RESID","",IF(T$7=2005+OFFSET(COM_N_2012!$B$60,$AW309,SUMIF($B$10:$B$16,"NCAP_TLIFE",$AX$10:$AX$16)),0,""))</f>
        <v/>
      </c>
      <c r="U309" s="369" t="str">
        <f ca="1">IF($B309&lt;&gt;"PRC_RESID","",IF(U$7=2005+OFFSET(COM_N_2012!$B$60,$AW309,SUMIF($B$10:$B$16,"NCAP_TLIFE",$AX$10:$AX$16)),0,""))</f>
        <v/>
      </c>
      <c r="V309" s="369" t="str">
        <f ca="1">IF($B309&lt;&gt;"PRC_RESID","",IF(V$7=2005+OFFSET(COM_N_2012!$B$60,$AW309,SUMIF($B$10:$B$16,"NCAP_TLIFE",$AX$10:$AX$16)),0,""))</f>
        <v/>
      </c>
      <c r="W309" s="369" t="str">
        <f ca="1">IF($B309&lt;&gt;"PRC_RESID","",IF(W$7=2005+OFFSET(COM_N_2012!$B$60,$AW309,SUMIF($B$10:$B$16,"NCAP_TLIFE",$AX$10:$AX$16)),0,""))</f>
        <v/>
      </c>
      <c r="X309" s="369" t="str">
        <f ca="1">IF($B309&lt;&gt;"PRC_RESID","",IF(X$7=2005+OFFSET(COM_N_2012!$B$60,$AW309,SUMIF($B$10:$B$16,"NCAP_TLIFE",$AX$10:$AX$16)),0,""))</f>
        <v/>
      </c>
      <c r="Y309" s="369" t="str">
        <f ca="1">IF($B309&lt;&gt;"PRC_RESID","",IF(Y$7=2005+OFFSET(COM_N_2012!$B$60,$AW309,SUMIF($B$10:$B$16,"NCAP_TLIFE",$AX$10:$AX$16)),0,""))</f>
        <v/>
      </c>
      <c r="Z309" s="369" t="str">
        <f ca="1">IF($B309&lt;&gt;"PRC_RESID","",IF(Z$7=2005+OFFSET(COM_N_2012!$B$60,$AW309,SUMIF($B$10:$B$16,"NCAP_TLIFE",$AX$10:$AX$16)),0,""))</f>
        <v/>
      </c>
      <c r="AA309" s="369" t="str">
        <f ca="1">IF($B309&lt;&gt;"PRC_RESID","",IF(AA$7=2005+OFFSET(COM_N_2012!$B$60,$AW309,SUMIF($B$10:$B$16,"NCAP_TLIFE",$AX$10:$AX$16)),0,""))</f>
        <v/>
      </c>
      <c r="AB309" s="369" t="str">
        <f ca="1">IF($B309&lt;&gt;"PRC_RESID","",IF(AB$7=2005+OFFSET(COM_N_2012!$B$60,$AW309,SUMIF($B$10:$B$16,"NCAP_TLIFE",$AX$10:$AX$16)),0,""))</f>
        <v/>
      </c>
      <c r="AC309" s="369" t="str">
        <f ca="1">IF($B309&lt;&gt;"PRC_RESID","",IF(AC$7=2005+OFFSET(COM_N_2012!$B$60,$AW309,SUMIF($B$10:$B$16,"NCAP_TLIFE",$AX$10:$AX$16)),0,""))</f>
        <v/>
      </c>
      <c r="AD309" s="369" t="str">
        <f ca="1">IF($B309&lt;&gt;"PRC_RESID","",IF(AD$7=2005+OFFSET(COM_N_2012!$B$60,$AW309,SUMIF($B$10:$B$16,"NCAP_TLIFE",$AX$10:$AX$16)),0,""))</f>
        <v/>
      </c>
      <c r="AE309" s="369" t="str">
        <f ca="1">IF($B309&lt;&gt;"PRC_RESID","",IF(AE$7=2005+OFFSET(COM_N_2012!$B$60,$AW309,SUMIF($B$10:$B$16,"NCAP_TLIFE",$AX$10:$AX$16)),0,""))</f>
        <v/>
      </c>
      <c r="AF309" s="369" t="str">
        <f ca="1">IF($B309&lt;&gt;"PRC_RESID","",IF(AF$7=2005+OFFSET(COM_N_2012!$B$60,$AW309,SUMIF($B$10:$B$16,"NCAP_TLIFE",$AX$10:$AX$16)),0,""))</f>
        <v/>
      </c>
      <c r="AG309" s="369" t="str">
        <f ca="1">IF($B309&lt;&gt;"PRC_RESID","",IF(AG$7=2005+OFFSET(COM_N_2012!$B$60,$AW309,SUMIF($B$10:$B$16,"NCAP_TLIFE",$AX$10:$AX$16)),0,""))</f>
        <v/>
      </c>
      <c r="AH309" s="369" t="str">
        <f ca="1">IF($B309&lt;&gt;"PRC_RESID","",IF(AH$7=2005+OFFSET(COM_N_2012!$B$60,$AW309,SUMIF($B$10:$B$16,"NCAP_TLIFE",$AX$10:$AX$16)),0,""))</f>
        <v/>
      </c>
      <c r="AI309" s="369" t="str">
        <f ca="1">IF($B309&lt;&gt;"PRC_RESID","",IF(AI$7=2005+OFFSET(COM_N_2012!$B$60,$AW309,SUMIF($B$10:$B$16,"NCAP_TLIFE",$AX$10:$AX$16)),0,""))</f>
        <v/>
      </c>
      <c r="AJ309" s="369" t="str">
        <f ca="1">IF($B309&lt;&gt;"PRC_RESID","",IF(AJ$7=2005+OFFSET(COM_N_2012!$B$60,$AW309,SUMIF($B$10:$B$16,"NCAP_TLIFE",$AX$10:$AX$16)),0,""))</f>
        <v/>
      </c>
      <c r="AK309" s="369" t="str">
        <f ca="1">IF($B309&lt;&gt;"PRC_RESID","",IF(AK$7=2005+OFFSET(COM_N_2012!$B$60,$AW309,SUMIF($B$10:$B$16,"NCAP_TLIFE",$AX$10:$AX$16)),0,""))</f>
        <v/>
      </c>
      <c r="AL309" s="369" t="str">
        <f ca="1">IF($B309&lt;&gt;"PRC_RESID","",IF(AL$7=2005+OFFSET(COM_N_2012!$B$60,$AW309,SUMIF($B$10:$B$16,"NCAP_TLIFE",$AX$10:$AX$16)),0,""))</f>
        <v/>
      </c>
      <c r="AM309" s="369" t="str">
        <f ca="1">IF($B309&lt;&gt;"PRC_RESID","",IF(AM$7=2005+OFFSET(COM_N_2012!$B$60,$AW309,SUMIF($B$10:$B$16,"NCAP_TLIFE",$AX$10:$AX$16)),0,""))</f>
        <v/>
      </c>
      <c r="AN309" s="369" t="str">
        <f ca="1">IF($B309&lt;&gt;"PRC_RESID","",IF(AN$7=2005+OFFSET(COM_N_2012!$B$60,$AW309,SUMIF($B$10:$B$16,"NCAP_TLIFE",$AX$10:$AX$16)),0,""))</f>
        <v/>
      </c>
      <c r="AO309" s="369" t="str">
        <f ca="1">IF($B309&lt;&gt;"PRC_RESID","",IF(AO$7=2005+OFFSET(COM_N_2012!$B$60,$AW309,SUMIF($B$10:$B$16,"NCAP_TLIFE",$AX$10:$AX$16)),0,""))</f>
        <v/>
      </c>
      <c r="AP309" s="369" t="str">
        <f ca="1">IF($B309&lt;&gt;"PRC_RESID","",IF(AP$7=2005+OFFSET(COM_N_2012!$B$60,$AW309,SUMIF($B$10:$B$16,"NCAP_TLIFE",$AX$10:$AX$16)),0,""))</f>
        <v/>
      </c>
      <c r="AQ309" s="369" t="str">
        <f ca="1">IF($B309&lt;&gt;"PRC_RESID","",IF(AQ$7=2005+OFFSET(COM_N_2012!$B$60,$AW309,SUMIF($B$10:$B$16,"NCAP_TLIFE",$AX$10:$AX$16)),0,""))</f>
        <v/>
      </c>
      <c r="AR309" s="369" t="str">
        <f ca="1">IF($B309&lt;&gt;"PRC_RESID","",IF(AR$7=2005+OFFSET(COM_N_2012!$B$60,$AW309,SUMIF($B$10:$B$16,"NCAP_TLIFE",$AX$10:$AX$16)),0,""))</f>
        <v/>
      </c>
      <c r="AS309" s="369" t="str">
        <f ca="1">IF($B309&lt;&gt;"PRC_RESID","",IF(AS$7=2005+OFFSET(COM_N_2012!$B$60,$AW309,SUMIF($B$10:$B$16,"NCAP_TLIFE",$AX$10:$AX$16)),0,""))</f>
        <v/>
      </c>
      <c r="AT309" s="369" t="str">
        <f ca="1">IF($B309&lt;&gt;"PRC_RESID","",IF(AT$7=2005+OFFSET(COM_N_2012!$B$60,$AW309,SUMIF($B$10:$B$16,"NCAP_TLIFE",$AX$10:$AX$16)),0,""))</f>
        <v/>
      </c>
      <c r="AU309" s="369" t="str">
        <f ca="1">IF($B309&lt;&gt;"PRC_RESID","",IF(AU$7=2005+OFFSET(COM_N_2012!$B$60,$AW309,SUMIF($B$10:$B$16,"NCAP_TLIFE",$AX$10:$AX$16)),0,""))</f>
        <v/>
      </c>
      <c r="AV309" s="304">
        <f>IF(AW308=COM_N_2012!$AK$121,AV308+1,AV308)</f>
        <v>5</v>
      </c>
      <c r="AW309" s="304">
        <f t="shared" si="37"/>
        <v>48</v>
      </c>
    </row>
    <row r="310" spans="1:49">
      <c r="A310" s="304" t="str">
        <f ca="1">IF(LEFT(OFFSET(COM_N_2012!$A$60,AW310,0),2)="\I","*","")</f>
        <v>*</v>
      </c>
      <c r="B310" s="369" t="str">
        <f t="shared" ca="1" si="36"/>
        <v/>
      </c>
      <c r="C310" s="369" t="str">
        <f ca="1">IF($A310="*","",OFFSET(COM_N_2012!$B$60,AW310,0))</f>
        <v/>
      </c>
      <c r="D310" s="369" t="str">
        <f t="shared" ca="1" si="41"/>
        <v/>
      </c>
      <c r="E310" s="369" t="str">
        <f t="shared" ca="1" si="41"/>
        <v/>
      </c>
      <c r="F310" s="369" t="str">
        <f t="shared" ca="1" si="41"/>
        <v/>
      </c>
      <c r="G310" s="369" t="str">
        <f t="shared" ca="1" si="41"/>
        <v/>
      </c>
      <c r="H310" s="369" t="str">
        <f t="shared" ca="1" si="41"/>
        <v/>
      </c>
      <c r="I310" s="370" t="str">
        <f t="shared" ca="1" si="41"/>
        <v/>
      </c>
      <c r="J310" s="391" t="str">
        <f ca="1">IF($A310="*","",OFFSET(COM_N_2012!$B$60,AW310,SUMIF($B$10:$B$16,B310,$AX$10:$AX$16)))</f>
        <v/>
      </c>
      <c r="K310" s="369" t="str">
        <f ca="1">IF($B310&lt;&gt;"PRC_RESID","",IF(K$7=2005+OFFSET(COM_N_2012!$B$60,$AW310,SUMIF($B$10:$B$16,"NCAP_TLIFE",$AX$10:$AX$16)),0,""))</f>
        <v/>
      </c>
      <c r="L310" s="369" t="str">
        <f ca="1">IF($B310&lt;&gt;"PRC_RESID","",IF(L$7=2005+OFFSET(COM_N_2012!$B$60,$AW310,SUMIF($B$10:$B$16,"NCAP_TLIFE",$AX$10:$AX$16)),0,""))</f>
        <v/>
      </c>
      <c r="M310" s="369" t="str">
        <f ca="1">IF($B310&lt;&gt;"PRC_RESID","",IF(M$7=2005+OFFSET(COM_N_2012!$B$60,$AW310,SUMIF($B$10:$B$16,"NCAP_TLIFE",$AX$10:$AX$16)),0,""))</f>
        <v/>
      </c>
      <c r="N310" s="369" t="str">
        <f ca="1">IF($B310&lt;&gt;"PRC_RESID","",IF(N$7=2005+OFFSET(COM_N_2012!$B$60,$AW310,SUMIF($B$10:$B$16,"NCAP_TLIFE",$AX$10:$AX$16)),0,""))</f>
        <v/>
      </c>
      <c r="O310" s="369" t="str">
        <f ca="1">IF($B310&lt;&gt;"PRC_RESID","",IF(O$7=2005+OFFSET(COM_N_2012!$B$60,$AW310,SUMIF($B$10:$B$16,"NCAP_TLIFE",$AX$10:$AX$16)),0,""))</f>
        <v/>
      </c>
      <c r="P310" s="369" t="str">
        <f ca="1">IF($B310&lt;&gt;"PRC_RESID","",IF(P$7=2005+OFFSET(COM_N_2012!$B$60,$AW310,SUMIF($B$10:$B$16,"NCAP_TLIFE",$AX$10:$AX$16)),0,""))</f>
        <v/>
      </c>
      <c r="Q310" s="369" t="str">
        <f ca="1">IF($B310&lt;&gt;"PRC_RESID","",IF(Q$7=2005+OFFSET(COM_N_2012!$B$60,$AW310,SUMIF($B$10:$B$16,"NCAP_TLIFE",$AX$10:$AX$16)),0,""))</f>
        <v/>
      </c>
      <c r="R310" s="369" t="str">
        <f ca="1">IF($B310&lt;&gt;"PRC_RESID","",IF(R$7=2005+OFFSET(COM_N_2012!$B$60,$AW310,SUMIF($B$10:$B$16,"NCAP_TLIFE",$AX$10:$AX$16)),0,""))</f>
        <v/>
      </c>
      <c r="S310" s="369" t="str">
        <f ca="1">IF($B310&lt;&gt;"PRC_RESID","",IF(S$7=2005+OFFSET(COM_N_2012!$B$60,$AW310,SUMIF($B$10:$B$16,"NCAP_TLIFE",$AX$10:$AX$16)),0,""))</f>
        <v/>
      </c>
      <c r="T310" s="369" t="str">
        <f ca="1">IF($B310&lt;&gt;"PRC_RESID","",IF(T$7=2005+OFFSET(COM_N_2012!$B$60,$AW310,SUMIF($B$10:$B$16,"NCAP_TLIFE",$AX$10:$AX$16)),0,""))</f>
        <v/>
      </c>
      <c r="U310" s="369" t="str">
        <f ca="1">IF($B310&lt;&gt;"PRC_RESID","",IF(U$7=2005+OFFSET(COM_N_2012!$B$60,$AW310,SUMIF($B$10:$B$16,"NCAP_TLIFE",$AX$10:$AX$16)),0,""))</f>
        <v/>
      </c>
      <c r="V310" s="369" t="str">
        <f ca="1">IF($B310&lt;&gt;"PRC_RESID","",IF(V$7=2005+OFFSET(COM_N_2012!$B$60,$AW310,SUMIF($B$10:$B$16,"NCAP_TLIFE",$AX$10:$AX$16)),0,""))</f>
        <v/>
      </c>
      <c r="W310" s="369" t="str">
        <f ca="1">IF($B310&lt;&gt;"PRC_RESID","",IF(W$7=2005+OFFSET(COM_N_2012!$B$60,$AW310,SUMIF($B$10:$B$16,"NCAP_TLIFE",$AX$10:$AX$16)),0,""))</f>
        <v/>
      </c>
      <c r="X310" s="369" t="str">
        <f ca="1">IF($B310&lt;&gt;"PRC_RESID","",IF(X$7=2005+OFFSET(COM_N_2012!$B$60,$AW310,SUMIF($B$10:$B$16,"NCAP_TLIFE",$AX$10:$AX$16)),0,""))</f>
        <v/>
      </c>
      <c r="Y310" s="369" t="str">
        <f ca="1">IF($B310&lt;&gt;"PRC_RESID","",IF(Y$7=2005+OFFSET(COM_N_2012!$B$60,$AW310,SUMIF($B$10:$B$16,"NCAP_TLIFE",$AX$10:$AX$16)),0,""))</f>
        <v/>
      </c>
      <c r="Z310" s="369" t="str">
        <f ca="1">IF($B310&lt;&gt;"PRC_RESID","",IF(Z$7=2005+OFFSET(COM_N_2012!$B$60,$AW310,SUMIF($B$10:$B$16,"NCAP_TLIFE",$AX$10:$AX$16)),0,""))</f>
        <v/>
      </c>
      <c r="AA310" s="369" t="str">
        <f ca="1">IF($B310&lt;&gt;"PRC_RESID","",IF(AA$7=2005+OFFSET(COM_N_2012!$B$60,$AW310,SUMIF($B$10:$B$16,"NCAP_TLIFE",$AX$10:$AX$16)),0,""))</f>
        <v/>
      </c>
      <c r="AB310" s="369" t="str">
        <f ca="1">IF($B310&lt;&gt;"PRC_RESID","",IF(AB$7=2005+OFFSET(COM_N_2012!$B$60,$AW310,SUMIF($B$10:$B$16,"NCAP_TLIFE",$AX$10:$AX$16)),0,""))</f>
        <v/>
      </c>
      <c r="AC310" s="369" t="str">
        <f ca="1">IF($B310&lt;&gt;"PRC_RESID","",IF(AC$7=2005+OFFSET(COM_N_2012!$B$60,$AW310,SUMIF($B$10:$B$16,"NCAP_TLIFE",$AX$10:$AX$16)),0,""))</f>
        <v/>
      </c>
      <c r="AD310" s="369" t="str">
        <f ca="1">IF($B310&lt;&gt;"PRC_RESID","",IF(AD$7=2005+OFFSET(COM_N_2012!$B$60,$AW310,SUMIF($B$10:$B$16,"NCAP_TLIFE",$AX$10:$AX$16)),0,""))</f>
        <v/>
      </c>
      <c r="AE310" s="369" t="str">
        <f ca="1">IF($B310&lt;&gt;"PRC_RESID","",IF(AE$7=2005+OFFSET(COM_N_2012!$B$60,$AW310,SUMIF($B$10:$B$16,"NCAP_TLIFE",$AX$10:$AX$16)),0,""))</f>
        <v/>
      </c>
      <c r="AF310" s="369" t="str">
        <f ca="1">IF($B310&lt;&gt;"PRC_RESID","",IF(AF$7=2005+OFFSET(COM_N_2012!$B$60,$AW310,SUMIF($B$10:$B$16,"NCAP_TLIFE",$AX$10:$AX$16)),0,""))</f>
        <v/>
      </c>
      <c r="AG310" s="369" t="str">
        <f ca="1">IF($B310&lt;&gt;"PRC_RESID","",IF(AG$7=2005+OFFSET(COM_N_2012!$B$60,$AW310,SUMIF($B$10:$B$16,"NCAP_TLIFE",$AX$10:$AX$16)),0,""))</f>
        <v/>
      </c>
      <c r="AH310" s="369" t="str">
        <f ca="1">IF($B310&lt;&gt;"PRC_RESID","",IF(AH$7=2005+OFFSET(COM_N_2012!$B$60,$AW310,SUMIF($B$10:$B$16,"NCAP_TLIFE",$AX$10:$AX$16)),0,""))</f>
        <v/>
      </c>
      <c r="AI310" s="369" t="str">
        <f ca="1">IF($B310&lt;&gt;"PRC_RESID","",IF(AI$7=2005+OFFSET(COM_N_2012!$B$60,$AW310,SUMIF($B$10:$B$16,"NCAP_TLIFE",$AX$10:$AX$16)),0,""))</f>
        <v/>
      </c>
      <c r="AJ310" s="369" t="str">
        <f ca="1">IF($B310&lt;&gt;"PRC_RESID","",IF(AJ$7=2005+OFFSET(COM_N_2012!$B$60,$AW310,SUMIF($B$10:$B$16,"NCAP_TLIFE",$AX$10:$AX$16)),0,""))</f>
        <v/>
      </c>
      <c r="AK310" s="369" t="str">
        <f ca="1">IF($B310&lt;&gt;"PRC_RESID","",IF(AK$7=2005+OFFSET(COM_N_2012!$B$60,$AW310,SUMIF($B$10:$B$16,"NCAP_TLIFE",$AX$10:$AX$16)),0,""))</f>
        <v/>
      </c>
      <c r="AL310" s="369" t="str">
        <f ca="1">IF($B310&lt;&gt;"PRC_RESID","",IF(AL$7=2005+OFFSET(COM_N_2012!$B$60,$AW310,SUMIF($B$10:$B$16,"NCAP_TLIFE",$AX$10:$AX$16)),0,""))</f>
        <v/>
      </c>
      <c r="AM310" s="369" t="str">
        <f ca="1">IF($B310&lt;&gt;"PRC_RESID","",IF(AM$7=2005+OFFSET(COM_N_2012!$B$60,$AW310,SUMIF($B$10:$B$16,"NCAP_TLIFE",$AX$10:$AX$16)),0,""))</f>
        <v/>
      </c>
      <c r="AN310" s="369" t="str">
        <f ca="1">IF($B310&lt;&gt;"PRC_RESID","",IF(AN$7=2005+OFFSET(COM_N_2012!$B$60,$AW310,SUMIF($B$10:$B$16,"NCAP_TLIFE",$AX$10:$AX$16)),0,""))</f>
        <v/>
      </c>
      <c r="AO310" s="369" t="str">
        <f ca="1">IF($B310&lt;&gt;"PRC_RESID","",IF(AO$7=2005+OFFSET(COM_N_2012!$B$60,$AW310,SUMIF($B$10:$B$16,"NCAP_TLIFE",$AX$10:$AX$16)),0,""))</f>
        <v/>
      </c>
      <c r="AP310" s="369" t="str">
        <f ca="1">IF($B310&lt;&gt;"PRC_RESID","",IF(AP$7=2005+OFFSET(COM_N_2012!$B$60,$AW310,SUMIF($B$10:$B$16,"NCAP_TLIFE",$AX$10:$AX$16)),0,""))</f>
        <v/>
      </c>
      <c r="AQ310" s="369" t="str">
        <f ca="1">IF($B310&lt;&gt;"PRC_RESID","",IF(AQ$7=2005+OFFSET(COM_N_2012!$B$60,$AW310,SUMIF($B$10:$B$16,"NCAP_TLIFE",$AX$10:$AX$16)),0,""))</f>
        <v/>
      </c>
      <c r="AR310" s="369" t="str">
        <f ca="1">IF($B310&lt;&gt;"PRC_RESID","",IF(AR$7=2005+OFFSET(COM_N_2012!$B$60,$AW310,SUMIF($B$10:$B$16,"NCAP_TLIFE",$AX$10:$AX$16)),0,""))</f>
        <v/>
      </c>
      <c r="AS310" s="369" t="str">
        <f ca="1">IF($B310&lt;&gt;"PRC_RESID","",IF(AS$7=2005+OFFSET(COM_N_2012!$B$60,$AW310,SUMIF($B$10:$B$16,"NCAP_TLIFE",$AX$10:$AX$16)),0,""))</f>
        <v/>
      </c>
      <c r="AT310" s="369" t="str">
        <f ca="1">IF($B310&lt;&gt;"PRC_RESID","",IF(AT$7=2005+OFFSET(COM_N_2012!$B$60,$AW310,SUMIF($B$10:$B$16,"NCAP_TLIFE",$AX$10:$AX$16)),0,""))</f>
        <v/>
      </c>
      <c r="AU310" s="369" t="str">
        <f ca="1">IF($B310&lt;&gt;"PRC_RESID","",IF(AU$7=2005+OFFSET(COM_N_2012!$B$60,$AW310,SUMIF($B$10:$B$16,"NCAP_TLIFE",$AX$10:$AX$16)),0,""))</f>
        <v/>
      </c>
      <c r="AV310" s="304">
        <f>IF(AW309=COM_N_2012!$AK$121,AV309+1,AV309)</f>
        <v>5</v>
      </c>
      <c r="AW310" s="304">
        <f t="shared" si="37"/>
        <v>49</v>
      </c>
    </row>
    <row r="311" spans="1:49">
      <c r="A311" s="304" t="str">
        <f ca="1">IF(LEFT(OFFSET(COM_N_2012!$A$60,AW311,0),2)="\I","*","")</f>
        <v/>
      </c>
      <c r="B311" s="369" t="str">
        <f t="shared" ca="1" si="36"/>
        <v>NCAP_FOM</v>
      </c>
      <c r="C311" s="369" t="str">
        <f ca="1">IF($A311="*","",OFFSET(COM_N_2012!$B$60,AW311,0))</f>
        <v>CNTELC-E</v>
      </c>
      <c r="D311" s="369" t="str">
        <f t="shared" ca="1" si="41"/>
        <v>-</v>
      </c>
      <c r="E311" s="369" t="str">
        <f t="shared" ca="1" si="41"/>
        <v>-</v>
      </c>
      <c r="F311" s="369" t="str">
        <f t="shared" ca="1" si="41"/>
        <v>-</v>
      </c>
      <c r="G311" s="369" t="str">
        <f t="shared" ca="1" si="41"/>
        <v>-</v>
      </c>
      <c r="H311" s="369" t="str">
        <f t="shared" ca="1" si="41"/>
        <v>-</v>
      </c>
      <c r="I311" s="370">
        <f t="shared" ca="1" si="41"/>
        <v>0</v>
      </c>
      <c r="J311" s="391">
        <f ca="1">IF($A311="*","",OFFSET(COM_N_2012!$B$60,AW311,SUMIF($B$10:$B$16,B311,$AX$10:$AX$16)))</f>
        <v>10</v>
      </c>
      <c r="K311" s="369" t="str">
        <f ca="1">IF($B311&lt;&gt;"PRC_RESID","",IF(K$7=2005+OFFSET(COM_N_2012!$B$60,$AW311,SUMIF($B$10:$B$16,"NCAP_TLIFE",$AX$10:$AX$16)),0,""))</f>
        <v/>
      </c>
      <c r="L311" s="369" t="str">
        <f ca="1">IF($B311&lt;&gt;"PRC_RESID","",IF(L$7=2005+OFFSET(COM_N_2012!$B$60,$AW311,SUMIF($B$10:$B$16,"NCAP_TLIFE",$AX$10:$AX$16)),0,""))</f>
        <v/>
      </c>
      <c r="M311" s="369" t="str">
        <f ca="1">IF($B311&lt;&gt;"PRC_RESID","",IF(M$7=2005+OFFSET(COM_N_2012!$B$60,$AW311,SUMIF($B$10:$B$16,"NCAP_TLIFE",$AX$10:$AX$16)),0,""))</f>
        <v/>
      </c>
      <c r="N311" s="369" t="str">
        <f ca="1">IF($B311&lt;&gt;"PRC_RESID","",IF(N$7=2005+OFFSET(COM_N_2012!$B$60,$AW311,SUMIF($B$10:$B$16,"NCAP_TLIFE",$AX$10:$AX$16)),0,""))</f>
        <v/>
      </c>
      <c r="O311" s="369" t="str">
        <f ca="1">IF($B311&lt;&gt;"PRC_RESID","",IF(O$7=2005+OFFSET(COM_N_2012!$B$60,$AW311,SUMIF($B$10:$B$16,"NCAP_TLIFE",$AX$10:$AX$16)),0,""))</f>
        <v/>
      </c>
      <c r="P311" s="369" t="str">
        <f ca="1">IF($B311&lt;&gt;"PRC_RESID","",IF(P$7=2005+OFFSET(COM_N_2012!$B$60,$AW311,SUMIF($B$10:$B$16,"NCAP_TLIFE",$AX$10:$AX$16)),0,""))</f>
        <v/>
      </c>
      <c r="Q311" s="369" t="str">
        <f ca="1">IF($B311&lt;&gt;"PRC_RESID","",IF(Q$7=2005+OFFSET(COM_N_2012!$B$60,$AW311,SUMIF($B$10:$B$16,"NCAP_TLIFE",$AX$10:$AX$16)),0,""))</f>
        <v/>
      </c>
      <c r="R311" s="369" t="str">
        <f ca="1">IF($B311&lt;&gt;"PRC_RESID","",IF(R$7=2005+OFFSET(COM_N_2012!$B$60,$AW311,SUMIF($B$10:$B$16,"NCAP_TLIFE",$AX$10:$AX$16)),0,""))</f>
        <v/>
      </c>
      <c r="S311" s="369" t="str">
        <f ca="1">IF($B311&lt;&gt;"PRC_RESID","",IF(S$7=2005+OFFSET(COM_N_2012!$B$60,$AW311,SUMIF($B$10:$B$16,"NCAP_TLIFE",$AX$10:$AX$16)),0,""))</f>
        <v/>
      </c>
      <c r="T311" s="369" t="str">
        <f ca="1">IF($B311&lt;&gt;"PRC_RESID","",IF(T$7=2005+OFFSET(COM_N_2012!$B$60,$AW311,SUMIF($B$10:$B$16,"NCAP_TLIFE",$AX$10:$AX$16)),0,""))</f>
        <v/>
      </c>
      <c r="U311" s="369" t="str">
        <f ca="1">IF($B311&lt;&gt;"PRC_RESID","",IF(U$7=2005+OFFSET(COM_N_2012!$B$60,$AW311,SUMIF($B$10:$B$16,"NCAP_TLIFE",$AX$10:$AX$16)),0,""))</f>
        <v/>
      </c>
      <c r="V311" s="369" t="str">
        <f ca="1">IF($B311&lt;&gt;"PRC_RESID","",IF(V$7=2005+OFFSET(COM_N_2012!$B$60,$AW311,SUMIF($B$10:$B$16,"NCAP_TLIFE",$AX$10:$AX$16)),0,""))</f>
        <v/>
      </c>
      <c r="W311" s="369" t="str">
        <f ca="1">IF($B311&lt;&gt;"PRC_RESID","",IF(W$7=2005+OFFSET(COM_N_2012!$B$60,$AW311,SUMIF($B$10:$B$16,"NCAP_TLIFE",$AX$10:$AX$16)),0,""))</f>
        <v/>
      </c>
      <c r="X311" s="369" t="str">
        <f ca="1">IF($B311&lt;&gt;"PRC_RESID","",IF(X$7=2005+OFFSET(COM_N_2012!$B$60,$AW311,SUMIF($B$10:$B$16,"NCAP_TLIFE",$AX$10:$AX$16)),0,""))</f>
        <v/>
      </c>
      <c r="Y311" s="369" t="str">
        <f ca="1">IF($B311&lt;&gt;"PRC_RESID","",IF(Y$7=2005+OFFSET(COM_N_2012!$B$60,$AW311,SUMIF($B$10:$B$16,"NCAP_TLIFE",$AX$10:$AX$16)),0,""))</f>
        <v/>
      </c>
      <c r="Z311" s="369" t="str">
        <f ca="1">IF($B311&lt;&gt;"PRC_RESID","",IF(Z$7=2005+OFFSET(COM_N_2012!$B$60,$AW311,SUMIF($B$10:$B$16,"NCAP_TLIFE",$AX$10:$AX$16)),0,""))</f>
        <v/>
      </c>
      <c r="AA311" s="369" t="str">
        <f ca="1">IF($B311&lt;&gt;"PRC_RESID","",IF(AA$7=2005+OFFSET(COM_N_2012!$B$60,$AW311,SUMIF($B$10:$B$16,"NCAP_TLIFE",$AX$10:$AX$16)),0,""))</f>
        <v/>
      </c>
      <c r="AB311" s="369" t="str">
        <f ca="1">IF($B311&lt;&gt;"PRC_RESID","",IF(AB$7=2005+OFFSET(COM_N_2012!$B$60,$AW311,SUMIF($B$10:$B$16,"NCAP_TLIFE",$AX$10:$AX$16)),0,""))</f>
        <v/>
      </c>
      <c r="AC311" s="369" t="str">
        <f ca="1">IF($B311&lt;&gt;"PRC_RESID","",IF(AC$7=2005+OFFSET(COM_N_2012!$B$60,$AW311,SUMIF($B$10:$B$16,"NCAP_TLIFE",$AX$10:$AX$16)),0,""))</f>
        <v/>
      </c>
      <c r="AD311" s="369" t="str">
        <f ca="1">IF($B311&lt;&gt;"PRC_RESID","",IF(AD$7=2005+OFFSET(COM_N_2012!$B$60,$AW311,SUMIF($B$10:$B$16,"NCAP_TLIFE",$AX$10:$AX$16)),0,""))</f>
        <v/>
      </c>
      <c r="AE311" s="369" t="str">
        <f ca="1">IF($B311&lt;&gt;"PRC_RESID","",IF(AE$7=2005+OFFSET(COM_N_2012!$B$60,$AW311,SUMIF($B$10:$B$16,"NCAP_TLIFE",$AX$10:$AX$16)),0,""))</f>
        <v/>
      </c>
      <c r="AF311" s="369" t="str">
        <f ca="1">IF($B311&lt;&gt;"PRC_RESID","",IF(AF$7=2005+OFFSET(COM_N_2012!$B$60,$AW311,SUMIF($B$10:$B$16,"NCAP_TLIFE",$AX$10:$AX$16)),0,""))</f>
        <v/>
      </c>
      <c r="AG311" s="369" t="str">
        <f ca="1">IF($B311&lt;&gt;"PRC_RESID","",IF(AG$7=2005+OFFSET(COM_N_2012!$B$60,$AW311,SUMIF($B$10:$B$16,"NCAP_TLIFE",$AX$10:$AX$16)),0,""))</f>
        <v/>
      </c>
      <c r="AH311" s="369" t="str">
        <f ca="1">IF($B311&lt;&gt;"PRC_RESID","",IF(AH$7=2005+OFFSET(COM_N_2012!$B$60,$AW311,SUMIF($B$10:$B$16,"NCAP_TLIFE",$AX$10:$AX$16)),0,""))</f>
        <v/>
      </c>
      <c r="AI311" s="369" t="str">
        <f ca="1">IF($B311&lt;&gt;"PRC_RESID","",IF(AI$7=2005+OFFSET(COM_N_2012!$B$60,$AW311,SUMIF($B$10:$B$16,"NCAP_TLIFE",$AX$10:$AX$16)),0,""))</f>
        <v/>
      </c>
      <c r="AJ311" s="369" t="str">
        <f ca="1">IF($B311&lt;&gt;"PRC_RESID","",IF(AJ$7=2005+OFFSET(COM_N_2012!$B$60,$AW311,SUMIF($B$10:$B$16,"NCAP_TLIFE",$AX$10:$AX$16)),0,""))</f>
        <v/>
      </c>
      <c r="AK311" s="369" t="str">
        <f ca="1">IF($B311&lt;&gt;"PRC_RESID","",IF(AK$7=2005+OFFSET(COM_N_2012!$B$60,$AW311,SUMIF($B$10:$B$16,"NCAP_TLIFE",$AX$10:$AX$16)),0,""))</f>
        <v/>
      </c>
      <c r="AL311" s="369" t="str">
        <f ca="1">IF($B311&lt;&gt;"PRC_RESID","",IF(AL$7=2005+OFFSET(COM_N_2012!$B$60,$AW311,SUMIF($B$10:$B$16,"NCAP_TLIFE",$AX$10:$AX$16)),0,""))</f>
        <v/>
      </c>
      <c r="AM311" s="369" t="str">
        <f ca="1">IF($B311&lt;&gt;"PRC_RESID","",IF(AM$7=2005+OFFSET(COM_N_2012!$B$60,$AW311,SUMIF($B$10:$B$16,"NCAP_TLIFE",$AX$10:$AX$16)),0,""))</f>
        <v/>
      </c>
      <c r="AN311" s="369" t="str">
        <f ca="1">IF($B311&lt;&gt;"PRC_RESID","",IF(AN$7=2005+OFFSET(COM_N_2012!$B$60,$AW311,SUMIF($B$10:$B$16,"NCAP_TLIFE",$AX$10:$AX$16)),0,""))</f>
        <v/>
      </c>
      <c r="AO311" s="369" t="str">
        <f ca="1">IF($B311&lt;&gt;"PRC_RESID","",IF(AO$7=2005+OFFSET(COM_N_2012!$B$60,$AW311,SUMIF($B$10:$B$16,"NCAP_TLIFE",$AX$10:$AX$16)),0,""))</f>
        <v/>
      </c>
      <c r="AP311" s="369" t="str">
        <f ca="1">IF($B311&lt;&gt;"PRC_RESID","",IF(AP$7=2005+OFFSET(COM_N_2012!$B$60,$AW311,SUMIF($B$10:$B$16,"NCAP_TLIFE",$AX$10:$AX$16)),0,""))</f>
        <v/>
      </c>
      <c r="AQ311" s="369" t="str">
        <f ca="1">IF($B311&lt;&gt;"PRC_RESID","",IF(AQ$7=2005+OFFSET(COM_N_2012!$B$60,$AW311,SUMIF($B$10:$B$16,"NCAP_TLIFE",$AX$10:$AX$16)),0,""))</f>
        <v/>
      </c>
      <c r="AR311" s="369" t="str">
        <f ca="1">IF($B311&lt;&gt;"PRC_RESID","",IF(AR$7=2005+OFFSET(COM_N_2012!$B$60,$AW311,SUMIF($B$10:$B$16,"NCAP_TLIFE",$AX$10:$AX$16)),0,""))</f>
        <v/>
      </c>
      <c r="AS311" s="369" t="str">
        <f ca="1">IF($B311&lt;&gt;"PRC_RESID","",IF(AS$7=2005+OFFSET(COM_N_2012!$B$60,$AW311,SUMIF($B$10:$B$16,"NCAP_TLIFE",$AX$10:$AX$16)),0,""))</f>
        <v/>
      </c>
      <c r="AT311" s="369" t="str">
        <f ca="1">IF($B311&lt;&gt;"PRC_RESID","",IF(AT$7=2005+OFFSET(COM_N_2012!$B$60,$AW311,SUMIF($B$10:$B$16,"NCAP_TLIFE",$AX$10:$AX$16)),0,""))</f>
        <v/>
      </c>
      <c r="AU311" s="369" t="str">
        <f ca="1">IF($B311&lt;&gt;"PRC_RESID","",IF(AU$7=2005+OFFSET(COM_N_2012!$B$60,$AW311,SUMIF($B$10:$B$16,"NCAP_TLIFE",$AX$10:$AX$16)),0,""))</f>
        <v/>
      </c>
      <c r="AV311" s="304">
        <f>IF(AW310=COM_N_2012!$AK$121,AV310+1,AV310)</f>
        <v>5</v>
      </c>
      <c r="AW311" s="304">
        <f t="shared" si="37"/>
        <v>50</v>
      </c>
    </row>
    <row r="312" spans="1:49">
      <c r="A312" s="304" t="str">
        <f ca="1">IF(LEFT(OFFSET(COM_N_2012!$A$60,AW312,0),2)="\I","*","")</f>
        <v>*</v>
      </c>
      <c r="B312" s="369" t="str">
        <f t="shared" ca="1" si="36"/>
        <v/>
      </c>
      <c r="C312" s="369" t="str">
        <f ca="1">IF($A312="*","",OFFSET(COM_N_2012!$B$60,AW312,0))</f>
        <v/>
      </c>
      <c r="D312" s="369" t="str">
        <f t="shared" ca="1" si="41"/>
        <v/>
      </c>
      <c r="E312" s="369" t="str">
        <f t="shared" ca="1" si="41"/>
        <v/>
      </c>
      <c r="F312" s="369" t="str">
        <f t="shared" ca="1" si="41"/>
        <v/>
      </c>
      <c r="G312" s="369" t="str">
        <f t="shared" ca="1" si="41"/>
        <v/>
      </c>
      <c r="H312" s="369" t="str">
        <f t="shared" ca="1" si="41"/>
        <v/>
      </c>
      <c r="I312" s="370" t="str">
        <f t="shared" ca="1" si="41"/>
        <v/>
      </c>
      <c r="J312" s="391" t="str">
        <f ca="1">IF($A312="*","",OFFSET(COM_N_2012!$B$60,AW312,SUMIF($B$10:$B$16,B312,$AX$10:$AX$16)))</f>
        <v/>
      </c>
      <c r="K312" s="369" t="str">
        <f ca="1">IF($B312&lt;&gt;"PRC_RESID","",IF(K$7=2005+OFFSET(COM_N_2012!$B$60,$AW312,SUMIF($B$10:$B$16,"NCAP_TLIFE",$AX$10:$AX$16)),0,""))</f>
        <v/>
      </c>
      <c r="L312" s="369" t="str">
        <f ca="1">IF($B312&lt;&gt;"PRC_RESID","",IF(L$7=2005+OFFSET(COM_N_2012!$B$60,$AW312,SUMIF($B$10:$B$16,"NCAP_TLIFE",$AX$10:$AX$16)),0,""))</f>
        <v/>
      </c>
      <c r="M312" s="369" t="str">
        <f ca="1">IF($B312&lt;&gt;"PRC_RESID","",IF(M$7=2005+OFFSET(COM_N_2012!$B$60,$AW312,SUMIF($B$10:$B$16,"NCAP_TLIFE",$AX$10:$AX$16)),0,""))</f>
        <v/>
      </c>
      <c r="N312" s="369" t="str">
        <f ca="1">IF($B312&lt;&gt;"PRC_RESID","",IF(N$7=2005+OFFSET(COM_N_2012!$B$60,$AW312,SUMIF($B$10:$B$16,"NCAP_TLIFE",$AX$10:$AX$16)),0,""))</f>
        <v/>
      </c>
      <c r="O312" s="369" t="str">
        <f ca="1">IF($B312&lt;&gt;"PRC_RESID","",IF(O$7=2005+OFFSET(COM_N_2012!$B$60,$AW312,SUMIF($B$10:$B$16,"NCAP_TLIFE",$AX$10:$AX$16)),0,""))</f>
        <v/>
      </c>
      <c r="P312" s="369" t="str">
        <f ca="1">IF($B312&lt;&gt;"PRC_RESID","",IF(P$7=2005+OFFSET(COM_N_2012!$B$60,$AW312,SUMIF($B$10:$B$16,"NCAP_TLIFE",$AX$10:$AX$16)),0,""))</f>
        <v/>
      </c>
      <c r="Q312" s="369" t="str">
        <f ca="1">IF($B312&lt;&gt;"PRC_RESID","",IF(Q$7=2005+OFFSET(COM_N_2012!$B$60,$AW312,SUMIF($B$10:$B$16,"NCAP_TLIFE",$AX$10:$AX$16)),0,""))</f>
        <v/>
      </c>
      <c r="R312" s="369" t="str">
        <f ca="1">IF($B312&lt;&gt;"PRC_RESID","",IF(R$7=2005+OFFSET(COM_N_2012!$B$60,$AW312,SUMIF($B$10:$B$16,"NCAP_TLIFE",$AX$10:$AX$16)),0,""))</f>
        <v/>
      </c>
      <c r="S312" s="369" t="str">
        <f ca="1">IF($B312&lt;&gt;"PRC_RESID","",IF(S$7=2005+OFFSET(COM_N_2012!$B$60,$AW312,SUMIF($B$10:$B$16,"NCAP_TLIFE",$AX$10:$AX$16)),0,""))</f>
        <v/>
      </c>
      <c r="T312" s="369" t="str">
        <f ca="1">IF($B312&lt;&gt;"PRC_RESID","",IF(T$7=2005+OFFSET(COM_N_2012!$B$60,$AW312,SUMIF($B$10:$B$16,"NCAP_TLIFE",$AX$10:$AX$16)),0,""))</f>
        <v/>
      </c>
      <c r="U312" s="369" t="str">
        <f ca="1">IF($B312&lt;&gt;"PRC_RESID","",IF(U$7=2005+OFFSET(COM_N_2012!$B$60,$AW312,SUMIF($B$10:$B$16,"NCAP_TLIFE",$AX$10:$AX$16)),0,""))</f>
        <v/>
      </c>
      <c r="V312" s="369" t="str">
        <f ca="1">IF($B312&lt;&gt;"PRC_RESID","",IF(V$7=2005+OFFSET(COM_N_2012!$B$60,$AW312,SUMIF($B$10:$B$16,"NCAP_TLIFE",$AX$10:$AX$16)),0,""))</f>
        <v/>
      </c>
      <c r="W312" s="369" t="str">
        <f ca="1">IF($B312&lt;&gt;"PRC_RESID","",IF(W$7=2005+OFFSET(COM_N_2012!$B$60,$AW312,SUMIF($B$10:$B$16,"NCAP_TLIFE",$AX$10:$AX$16)),0,""))</f>
        <v/>
      </c>
      <c r="X312" s="369" t="str">
        <f ca="1">IF($B312&lt;&gt;"PRC_RESID","",IF(X$7=2005+OFFSET(COM_N_2012!$B$60,$AW312,SUMIF($B$10:$B$16,"NCAP_TLIFE",$AX$10:$AX$16)),0,""))</f>
        <v/>
      </c>
      <c r="Y312" s="369" t="str">
        <f ca="1">IF($B312&lt;&gt;"PRC_RESID","",IF(Y$7=2005+OFFSET(COM_N_2012!$B$60,$AW312,SUMIF($B$10:$B$16,"NCAP_TLIFE",$AX$10:$AX$16)),0,""))</f>
        <v/>
      </c>
      <c r="Z312" s="369" t="str">
        <f ca="1">IF($B312&lt;&gt;"PRC_RESID","",IF(Z$7=2005+OFFSET(COM_N_2012!$B$60,$AW312,SUMIF($B$10:$B$16,"NCAP_TLIFE",$AX$10:$AX$16)),0,""))</f>
        <v/>
      </c>
      <c r="AA312" s="369" t="str">
        <f ca="1">IF($B312&lt;&gt;"PRC_RESID","",IF(AA$7=2005+OFFSET(COM_N_2012!$B$60,$AW312,SUMIF($B$10:$B$16,"NCAP_TLIFE",$AX$10:$AX$16)),0,""))</f>
        <v/>
      </c>
      <c r="AB312" s="369" t="str">
        <f ca="1">IF($B312&lt;&gt;"PRC_RESID","",IF(AB$7=2005+OFFSET(COM_N_2012!$B$60,$AW312,SUMIF($B$10:$B$16,"NCAP_TLIFE",$AX$10:$AX$16)),0,""))</f>
        <v/>
      </c>
      <c r="AC312" s="369" t="str">
        <f ca="1">IF($B312&lt;&gt;"PRC_RESID","",IF(AC$7=2005+OFFSET(COM_N_2012!$B$60,$AW312,SUMIF($B$10:$B$16,"NCAP_TLIFE",$AX$10:$AX$16)),0,""))</f>
        <v/>
      </c>
      <c r="AD312" s="369" t="str">
        <f ca="1">IF($B312&lt;&gt;"PRC_RESID","",IF(AD$7=2005+OFFSET(COM_N_2012!$B$60,$AW312,SUMIF($B$10:$B$16,"NCAP_TLIFE",$AX$10:$AX$16)),0,""))</f>
        <v/>
      </c>
      <c r="AE312" s="369" t="str">
        <f ca="1">IF($B312&lt;&gt;"PRC_RESID","",IF(AE$7=2005+OFFSET(COM_N_2012!$B$60,$AW312,SUMIF($B$10:$B$16,"NCAP_TLIFE",$AX$10:$AX$16)),0,""))</f>
        <v/>
      </c>
      <c r="AF312" s="369" t="str">
        <f ca="1">IF($B312&lt;&gt;"PRC_RESID","",IF(AF$7=2005+OFFSET(COM_N_2012!$B$60,$AW312,SUMIF($B$10:$B$16,"NCAP_TLIFE",$AX$10:$AX$16)),0,""))</f>
        <v/>
      </c>
      <c r="AG312" s="369" t="str">
        <f ca="1">IF($B312&lt;&gt;"PRC_RESID","",IF(AG$7=2005+OFFSET(COM_N_2012!$B$60,$AW312,SUMIF($B$10:$B$16,"NCAP_TLIFE",$AX$10:$AX$16)),0,""))</f>
        <v/>
      </c>
      <c r="AH312" s="369" t="str">
        <f ca="1">IF($B312&lt;&gt;"PRC_RESID","",IF(AH$7=2005+OFFSET(COM_N_2012!$B$60,$AW312,SUMIF($B$10:$B$16,"NCAP_TLIFE",$AX$10:$AX$16)),0,""))</f>
        <v/>
      </c>
      <c r="AI312" s="369" t="str">
        <f ca="1">IF($B312&lt;&gt;"PRC_RESID","",IF(AI$7=2005+OFFSET(COM_N_2012!$B$60,$AW312,SUMIF($B$10:$B$16,"NCAP_TLIFE",$AX$10:$AX$16)),0,""))</f>
        <v/>
      </c>
      <c r="AJ312" s="369" t="str">
        <f ca="1">IF($B312&lt;&gt;"PRC_RESID","",IF(AJ$7=2005+OFFSET(COM_N_2012!$B$60,$AW312,SUMIF($B$10:$B$16,"NCAP_TLIFE",$AX$10:$AX$16)),0,""))</f>
        <v/>
      </c>
      <c r="AK312" s="369" t="str">
        <f ca="1">IF($B312&lt;&gt;"PRC_RESID","",IF(AK$7=2005+OFFSET(COM_N_2012!$B$60,$AW312,SUMIF($B$10:$B$16,"NCAP_TLIFE",$AX$10:$AX$16)),0,""))</f>
        <v/>
      </c>
      <c r="AL312" s="369" t="str">
        <f ca="1">IF($B312&lt;&gt;"PRC_RESID","",IF(AL$7=2005+OFFSET(COM_N_2012!$B$60,$AW312,SUMIF($B$10:$B$16,"NCAP_TLIFE",$AX$10:$AX$16)),0,""))</f>
        <v/>
      </c>
      <c r="AM312" s="369" t="str">
        <f ca="1">IF($B312&lt;&gt;"PRC_RESID","",IF(AM$7=2005+OFFSET(COM_N_2012!$B$60,$AW312,SUMIF($B$10:$B$16,"NCAP_TLIFE",$AX$10:$AX$16)),0,""))</f>
        <v/>
      </c>
      <c r="AN312" s="369" t="str">
        <f ca="1">IF($B312&lt;&gt;"PRC_RESID","",IF(AN$7=2005+OFFSET(COM_N_2012!$B$60,$AW312,SUMIF($B$10:$B$16,"NCAP_TLIFE",$AX$10:$AX$16)),0,""))</f>
        <v/>
      </c>
      <c r="AO312" s="369" t="str">
        <f ca="1">IF($B312&lt;&gt;"PRC_RESID","",IF(AO$7=2005+OFFSET(COM_N_2012!$B$60,$AW312,SUMIF($B$10:$B$16,"NCAP_TLIFE",$AX$10:$AX$16)),0,""))</f>
        <v/>
      </c>
      <c r="AP312" s="369" t="str">
        <f ca="1">IF($B312&lt;&gt;"PRC_RESID","",IF(AP$7=2005+OFFSET(COM_N_2012!$B$60,$AW312,SUMIF($B$10:$B$16,"NCAP_TLIFE",$AX$10:$AX$16)),0,""))</f>
        <v/>
      </c>
      <c r="AQ312" s="369" t="str">
        <f ca="1">IF($B312&lt;&gt;"PRC_RESID","",IF(AQ$7=2005+OFFSET(COM_N_2012!$B$60,$AW312,SUMIF($B$10:$B$16,"NCAP_TLIFE",$AX$10:$AX$16)),0,""))</f>
        <v/>
      </c>
      <c r="AR312" s="369" t="str">
        <f ca="1">IF($B312&lt;&gt;"PRC_RESID","",IF(AR$7=2005+OFFSET(COM_N_2012!$B$60,$AW312,SUMIF($B$10:$B$16,"NCAP_TLIFE",$AX$10:$AX$16)),0,""))</f>
        <v/>
      </c>
      <c r="AS312" s="369" t="str">
        <f ca="1">IF($B312&lt;&gt;"PRC_RESID","",IF(AS$7=2005+OFFSET(COM_N_2012!$B$60,$AW312,SUMIF($B$10:$B$16,"NCAP_TLIFE",$AX$10:$AX$16)),0,""))</f>
        <v/>
      </c>
      <c r="AT312" s="369" t="str">
        <f ca="1">IF($B312&lt;&gt;"PRC_RESID","",IF(AT$7=2005+OFFSET(COM_N_2012!$B$60,$AW312,SUMIF($B$10:$B$16,"NCAP_TLIFE",$AX$10:$AX$16)),0,""))</f>
        <v/>
      </c>
      <c r="AU312" s="369" t="str">
        <f ca="1">IF($B312&lt;&gt;"PRC_RESID","",IF(AU$7=2005+OFFSET(COM_N_2012!$B$60,$AW312,SUMIF($B$10:$B$16,"NCAP_TLIFE",$AX$10:$AX$16)),0,""))</f>
        <v/>
      </c>
      <c r="AV312" s="304">
        <f>IF(AW311=COM_N_2012!$AK$121,AV311+1,AV311)</f>
        <v>5</v>
      </c>
      <c r="AW312" s="304">
        <f t="shared" si="37"/>
        <v>51</v>
      </c>
    </row>
    <row r="313" spans="1:49">
      <c r="A313" s="304" t="str">
        <f ca="1">IF(LEFT(OFFSET(COM_N_2012!$A$60,AW313,0),2)="\I","*","")</f>
        <v>*</v>
      </c>
      <c r="B313" s="369" t="str">
        <f t="shared" ca="1" si="36"/>
        <v/>
      </c>
      <c r="C313" s="369" t="str">
        <f ca="1">IF($A313="*","",OFFSET(COM_N_2012!$B$60,AW313,0))</f>
        <v/>
      </c>
      <c r="D313" s="369" t="str">
        <f t="shared" ca="1" si="41"/>
        <v/>
      </c>
      <c r="E313" s="369" t="str">
        <f t="shared" ca="1" si="41"/>
        <v/>
      </c>
      <c r="F313" s="369" t="str">
        <f t="shared" ca="1" si="41"/>
        <v/>
      </c>
      <c r="G313" s="369" t="str">
        <f t="shared" ca="1" si="41"/>
        <v/>
      </c>
      <c r="H313" s="369" t="str">
        <f t="shared" ca="1" si="41"/>
        <v/>
      </c>
      <c r="I313" s="370" t="str">
        <f t="shared" ca="1" si="41"/>
        <v/>
      </c>
      <c r="J313" s="391" t="str">
        <f ca="1">IF($A313="*","",OFFSET(COM_N_2012!$B$60,AW313,SUMIF($B$10:$B$16,B313,$AX$10:$AX$16)))</f>
        <v/>
      </c>
      <c r="K313" s="369" t="str">
        <f ca="1">IF($B313&lt;&gt;"PRC_RESID","",IF(K$7=2005+OFFSET(COM_N_2012!$B$60,$AW313,SUMIF($B$10:$B$16,"NCAP_TLIFE",$AX$10:$AX$16)),0,""))</f>
        <v/>
      </c>
      <c r="L313" s="369" t="str">
        <f ca="1">IF($B313&lt;&gt;"PRC_RESID","",IF(L$7=2005+OFFSET(COM_N_2012!$B$60,$AW313,SUMIF($B$10:$B$16,"NCAP_TLIFE",$AX$10:$AX$16)),0,""))</f>
        <v/>
      </c>
      <c r="M313" s="369" t="str">
        <f ca="1">IF($B313&lt;&gt;"PRC_RESID","",IF(M$7=2005+OFFSET(COM_N_2012!$B$60,$AW313,SUMIF($B$10:$B$16,"NCAP_TLIFE",$AX$10:$AX$16)),0,""))</f>
        <v/>
      </c>
      <c r="N313" s="369" t="str">
        <f ca="1">IF($B313&lt;&gt;"PRC_RESID","",IF(N$7=2005+OFFSET(COM_N_2012!$B$60,$AW313,SUMIF($B$10:$B$16,"NCAP_TLIFE",$AX$10:$AX$16)),0,""))</f>
        <v/>
      </c>
      <c r="O313" s="369" t="str">
        <f ca="1">IF($B313&lt;&gt;"PRC_RESID","",IF(O$7=2005+OFFSET(COM_N_2012!$B$60,$AW313,SUMIF($B$10:$B$16,"NCAP_TLIFE",$AX$10:$AX$16)),0,""))</f>
        <v/>
      </c>
      <c r="P313" s="369" t="str">
        <f ca="1">IF($B313&lt;&gt;"PRC_RESID","",IF(P$7=2005+OFFSET(COM_N_2012!$B$60,$AW313,SUMIF($B$10:$B$16,"NCAP_TLIFE",$AX$10:$AX$16)),0,""))</f>
        <v/>
      </c>
      <c r="Q313" s="369" t="str">
        <f ca="1">IF($B313&lt;&gt;"PRC_RESID","",IF(Q$7=2005+OFFSET(COM_N_2012!$B$60,$AW313,SUMIF($B$10:$B$16,"NCAP_TLIFE",$AX$10:$AX$16)),0,""))</f>
        <v/>
      </c>
      <c r="R313" s="369" t="str">
        <f ca="1">IF($B313&lt;&gt;"PRC_RESID","",IF(R$7=2005+OFFSET(COM_N_2012!$B$60,$AW313,SUMIF($B$10:$B$16,"NCAP_TLIFE",$AX$10:$AX$16)),0,""))</f>
        <v/>
      </c>
      <c r="S313" s="369" t="str">
        <f ca="1">IF($B313&lt;&gt;"PRC_RESID","",IF(S$7=2005+OFFSET(COM_N_2012!$B$60,$AW313,SUMIF($B$10:$B$16,"NCAP_TLIFE",$AX$10:$AX$16)),0,""))</f>
        <v/>
      </c>
      <c r="T313" s="369" t="str">
        <f ca="1">IF($B313&lt;&gt;"PRC_RESID","",IF(T$7=2005+OFFSET(COM_N_2012!$B$60,$AW313,SUMIF($B$10:$B$16,"NCAP_TLIFE",$AX$10:$AX$16)),0,""))</f>
        <v/>
      </c>
      <c r="U313" s="369" t="str">
        <f ca="1">IF($B313&lt;&gt;"PRC_RESID","",IF(U$7=2005+OFFSET(COM_N_2012!$B$60,$AW313,SUMIF($B$10:$B$16,"NCAP_TLIFE",$AX$10:$AX$16)),0,""))</f>
        <v/>
      </c>
      <c r="V313" s="369" t="str">
        <f ca="1">IF($B313&lt;&gt;"PRC_RESID","",IF(V$7=2005+OFFSET(COM_N_2012!$B$60,$AW313,SUMIF($B$10:$B$16,"NCAP_TLIFE",$AX$10:$AX$16)),0,""))</f>
        <v/>
      </c>
      <c r="W313" s="369" t="str">
        <f ca="1">IF($B313&lt;&gt;"PRC_RESID","",IF(W$7=2005+OFFSET(COM_N_2012!$B$60,$AW313,SUMIF($B$10:$B$16,"NCAP_TLIFE",$AX$10:$AX$16)),0,""))</f>
        <v/>
      </c>
      <c r="X313" s="369" t="str">
        <f ca="1">IF($B313&lt;&gt;"PRC_RESID","",IF(X$7=2005+OFFSET(COM_N_2012!$B$60,$AW313,SUMIF($B$10:$B$16,"NCAP_TLIFE",$AX$10:$AX$16)),0,""))</f>
        <v/>
      </c>
      <c r="Y313" s="369" t="str">
        <f ca="1">IF($B313&lt;&gt;"PRC_RESID","",IF(Y$7=2005+OFFSET(COM_N_2012!$B$60,$AW313,SUMIF($B$10:$B$16,"NCAP_TLIFE",$AX$10:$AX$16)),0,""))</f>
        <v/>
      </c>
      <c r="Z313" s="369" t="str">
        <f ca="1">IF($B313&lt;&gt;"PRC_RESID","",IF(Z$7=2005+OFFSET(COM_N_2012!$B$60,$AW313,SUMIF($B$10:$B$16,"NCAP_TLIFE",$AX$10:$AX$16)),0,""))</f>
        <v/>
      </c>
      <c r="AA313" s="369" t="str">
        <f ca="1">IF($B313&lt;&gt;"PRC_RESID","",IF(AA$7=2005+OFFSET(COM_N_2012!$B$60,$AW313,SUMIF($B$10:$B$16,"NCAP_TLIFE",$AX$10:$AX$16)),0,""))</f>
        <v/>
      </c>
      <c r="AB313" s="369" t="str">
        <f ca="1">IF($B313&lt;&gt;"PRC_RESID","",IF(AB$7=2005+OFFSET(COM_N_2012!$B$60,$AW313,SUMIF($B$10:$B$16,"NCAP_TLIFE",$AX$10:$AX$16)),0,""))</f>
        <v/>
      </c>
      <c r="AC313" s="369" t="str">
        <f ca="1">IF($B313&lt;&gt;"PRC_RESID","",IF(AC$7=2005+OFFSET(COM_N_2012!$B$60,$AW313,SUMIF($B$10:$B$16,"NCAP_TLIFE",$AX$10:$AX$16)),0,""))</f>
        <v/>
      </c>
      <c r="AD313" s="369" t="str">
        <f ca="1">IF($B313&lt;&gt;"PRC_RESID","",IF(AD$7=2005+OFFSET(COM_N_2012!$B$60,$AW313,SUMIF($B$10:$B$16,"NCAP_TLIFE",$AX$10:$AX$16)),0,""))</f>
        <v/>
      </c>
      <c r="AE313" s="369" t="str">
        <f ca="1">IF($B313&lt;&gt;"PRC_RESID","",IF(AE$7=2005+OFFSET(COM_N_2012!$B$60,$AW313,SUMIF($B$10:$B$16,"NCAP_TLIFE",$AX$10:$AX$16)),0,""))</f>
        <v/>
      </c>
      <c r="AF313" s="369" t="str">
        <f ca="1">IF($B313&lt;&gt;"PRC_RESID","",IF(AF$7=2005+OFFSET(COM_N_2012!$B$60,$AW313,SUMIF($B$10:$B$16,"NCAP_TLIFE",$AX$10:$AX$16)),0,""))</f>
        <v/>
      </c>
      <c r="AG313" s="369" t="str">
        <f ca="1">IF($B313&lt;&gt;"PRC_RESID","",IF(AG$7=2005+OFFSET(COM_N_2012!$B$60,$AW313,SUMIF($B$10:$B$16,"NCAP_TLIFE",$AX$10:$AX$16)),0,""))</f>
        <v/>
      </c>
      <c r="AH313" s="369" t="str">
        <f ca="1">IF($B313&lt;&gt;"PRC_RESID","",IF(AH$7=2005+OFFSET(COM_N_2012!$B$60,$AW313,SUMIF($B$10:$B$16,"NCAP_TLIFE",$AX$10:$AX$16)),0,""))</f>
        <v/>
      </c>
      <c r="AI313" s="369" t="str">
        <f ca="1">IF($B313&lt;&gt;"PRC_RESID","",IF(AI$7=2005+OFFSET(COM_N_2012!$B$60,$AW313,SUMIF($B$10:$B$16,"NCAP_TLIFE",$AX$10:$AX$16)),0,""))</f>
        <v/>
      </c>
      <c r="AJ313" s="369" t="str">
        <f ca="1">IF($B313&lt;&gt;"PRC_RESID","",IF(AJ$7=2005+OFFSET(COM_N_2012!$B$60,$AW313,SUMIF($B$10:$B$16,"NCAP_TLIFE",$AX$10:$AX$16)),0,""))</f>
        <v/>
      </c>
      <c r="AK313" s="369" t="str">
        <f ca="1">IF($B313&lt;&gt;"PRC_RESID","",IF(AK$7=2005+OFFSET(COM_N_2012!$B$60,$AW313,SUMIF($B$10:$B$16,"NCAP_TLIFE",$AX$10:$AX$16)),0,""))</f>
        <v/>
      </c>
      <c r="AL313" s="369" t="str">
        <f ca="1">IF($B313&lt;&gt;"PRC_RESID","",IF(AL$7=2005+OFFSET(COM_N_2012!$B$60,$AW313,SUMIF($B$10:$B$16,"NCAP_TLIFE",$AX$10:$AX$16)),0,""))</f>
        <v/>
      </c>
      <c r="AM313" s="369" t="str">
        <f ca="1">IF($B313&lt;&gt;"PRC_RESID","",IF(AM$7=2005+OFFSET(COM_N_2012!$B$60,$AW313,SUMIF($B$10:$B$16,"NCAP_TLIFE",$AX$10:$AX$16)),0,""))</f>
        <v/>
      </c>
      <c r="AN313" s="369" t="str">
        <f ca="1">IF($B313&lt;&gt;"PRC_RESID","",IF(AN$7=2005+OFFSET(COM_N_2012!$B$60,$AW313,SUMIF($B$10:$B$16,"NCAP_TLIFE",$AX$10:$AX$16)),0,""))</f>
        <v/>
      </c>
      <c r="AO313" s="369" t="str">
        <f ca="1">IF($B313&lt;&gt;"PRC_RESID","",IF(AO$7=2005+OFFSET(COM_N_2012!$B$60,$AW313,SUMIF($B$10:$B$16,"NCAP_TLIFE",$AX$10:$AX$16)),0,""))</f>
        <v/>
      </c>
      <c r="AP313" s="369" t="str">
        <f ca="1">IF($B313&lt;&gt;"PRC_RESID","",IF(AP$7=2005+OFFSET(COM_N_2012!$B$60,$AW313,SUMIF($B$10:$B$16,"NCAP_TLIFE",$AX$10:$AX$16)),0,""))</f>
        <v/>
      </c>
      <c r="AQ313" s="369" t="str">
        <f ca="1">IF($B313&lt;&gt;"PRC_RESID","",IF(AQ$7=2005+OFFSET(COM_N_2012!$B$60,$AW313,SUMIF($B$10:$B$16,"NCAP_TLIFE",$AX$10:$AX$16)),0,""))</f>
        <v/>
      </c>
      <c r="AR313" s="369" t="str">
        <f ca="1">IF($B313&lt;&gt;"PRC_RESID","",IF(AR$7=2005+OFFSET(COM_N_2012!$B$60,$AW313,SUMIF($B$10:$B$16,"NCAP_TLIFE",$AX$10:$AX$16)),0,""))</f>
        <v/>
      </c>
      <c r="AS313" s="369" t="str">
        <f ca="1">IF($B313&lt;&gt;"PRC_RESID","",IF(AS$7=2005+OFFSET(COM_N_2012!$B$60,$AW313,SUMIF($B$10:$B$16,"NCAP_TLIFE",$AX$10:$AX$16)),0,""))</f>
        <v/>
      </c>
      <c r="AT313" s="369" t="str">
        <f ca="1">IF($B313&lt;&gt;"PRC_RESID","",IF(AT$7=2005+OFFSET(COM_N_2012!$B$60,$AW313,SUMIF($B$10:$B$16,"NCAP_TLIFE",$AX$10:$AX$16)),0,""))</f>
        <v/>
      </c>
      <c r="AU313" s="369" t="str">
        <f ca="1">IF($B313&lt;&gt;"PRC_RESID","",IF(AU$7=2005+OFFSET(COM_N_2012!$B$60,$AW313,SUMIF($B$10:$B$16,"NCAP_TLIFE",$AX$10:$AX$16)),0,""))</f>
        <v/>
      </c>
      <c r="AV313" s="304">
        <f>IF(AW312=COM_N_2012!$AK$121,AV312+1,AV312)</f>
        <v>5</v>
      </c>
      <c r="AW313" s="304">
        <f t="shared" si="37"/>
        <v>52</v>
      </c>
    </row>
    <row r="314" spans="1:49">
      <c r="A314" s="304" t="str">
        <f ca="1">IF(LEFT(OFFSET(COM_N_2012!$A$60,AW314,0),2)="\I","*","")</f>
        <v/>
      </c>
      <c r="B314" s="369" t="str">
        <f t="shared" ca="1" si="36"/>
        <v>NCAP_FOM</v>
      </c>
      <c r="C314" s="369" t="str">
        <f ca="1">IF($A314="*","",OFFSET(COM_N_2012!$B$60,AW314,0))</f>
        <v>CNOCOA-E</v>
      </c>
      <c r="D314" s="369" t="str">
        <f t="shared" ca="1" si="41"/>
        <v>-</v>
      </c>
      <c r="E314" s="369" t="str">
        <f t="shared" ca="1" si="41"/>
        <v>-</v>
      </c>
      <c r="F314" s="369" t="str">
        <f t="shared" ca="1" si="41"/>
        <v>-</v>
      </c>
      <c r="G314" s="369" t="str">
        <f t="shared" ca="1" si="41"/>
        <v>-</v>
      </c>
      <c r="H314" s="369" t="str">
        <f t="shared" ca="1" si="41"/>
        <v>-</v>
      </c>
      <c r="I314" s="370">
        <f t="shared" ca="1" si="41"/>
        <v>0</v>
      </c>
      <c r="J314" s="391">
        <f ca="1">IF($A314="*","",OFFSET(COM_N_2012!$B$60,AW314,SUMIF($B$10:$B$16,B314,$AX$10:$AX$16)))</f>
        <v>41.088682603593845</v>
      </c>
      <c r="K314" s="369" t="str">
        <f ca="1">IF($B314&lt;&gt;"PRC_RESID","",IF(K$7=2005+OFFSET(COM_N_2012!$B$60,$AW314,SUMIF($B$10:$B$16,"NCAP_TLIFE",$AX$10:$AX$16)),0,""))</f>
        <v/>
      </c>
      <c r="L314" s="369" t="str">
        <f ca="1">IF($B314&lt;&gt;"PRC_RESID","",IF(L$7=2005+OFFSET(COM_N_2012!$B$60,$AW314,SUMIF($B$10:$B$16,"NCAP_TLIFE",$AX$10:$AX$16)),0,""))</f>
        <v/>
      </c>
      <c r="M314" s="369" t="str">
        <f ca="1">IF($B314&lt;&gt;"PRC_RESID","",IF(M$7=2005+OFFSET(COM_N_2012!$B$60,$AW314,SUMIF($B$10:$B$16,"NCAP_TLIFE",$AX$10:$AX$16)),0,""))</f>
        <v/>
      </c>
      <c r="N314" s="369" t="str">
        <f ca="1">IF($B314&lt;&gt;"PRC_RESID","",IF(N$7=2005+OFFSET(COM_N_2012!$B$60,$AW314,SUMIF($B$10:$B$16,"NCAP_TLIFE",$AX$10:$AX$16)),0,""))</f>
        <v/>
      </c>
      <c r="O314" s="369" t="str">
        <f ca="1">IF($B314&lt;&gt;"PRC_RESID","",IF(O$7=2005+OFFSET(COM_N_2012!$B$60,$AW314,SUMIF($B$10:$B$16,"NCAP_TLIFE",$AX$10:$AX$16)),0,""))</f>
        <v/>
      </c>
      <c r="P314" s="369" t="str">
        <f ca="1">IF($B314&lt;&gt;"PRC_RESID","",IF(P$7=2005+OFFSET(COM_N_2012!$B$60,$AW314,SUMIF($B$10:$B$16,"NCAP_TLIFE",$AX$10:$AX$16)),0,""))</f>
        <v/>
      </c>
      <c r="Q314" s="369" t="str">
        <f ca="1">IF($B314&lt;&gt;"PRC_RESID","",IF(Q$7=2005+OFFSET(COM_N_2012!$B$60,$AW314,SUMIF($B$10:$B$16,"NCAP_TLIFE",$AX$10:$AX$16)),0,""))</f>
        <v/>
      </c>
      <c r="R314" s="369" t="str">
        <f ca="1">IF($B314&lt;&gt;"PRC_RESID","",IF(R$7=2005+OFFSET(COM_N_2012!$B$60,$AW314,SUMIF($B$10:$B$16,"NCAP_TLIFE",$AX$10:$AX$16)),0,""))</f>
        <v/>
      </c>
      <c r="S314" s="369" t="str">
        <f ca="1">IF($B314&lt;&gt;"PRC_RESID","",IF(S$7=2005+OFFSET(COM_N_2012!$B$60,$AW314,SUMIF($B$10:$B$16,"NCAP_TLIFE",$AX$10:$AX$16)),0,""))</f>
        <v/>
      </c>
      <c r="T314" s="369" t="str">
        <f ca="1">IF($B314&lt;&gt;"PRC_RESID","",IF(T$7=2005+OFFSET(COM_N_2012!$B$60,$AW314,SUMIF($B$10:$B$16,"NCAP_TLIFE",$AX$10:$AX$16)),0,""))</f>
        <v/>
      </c>
      <c r="U314" s="369" t="str">
        <f ca="1">IF($B314&lt;&gt;"PRC_RESID","",IF(U$7=2005+OFFSET(COM_N_2012!$B$60,$AW314,SUMIF($B$10:$B$16,"NCAP_TLIFE",$AX$10:$AX$16)),0,""))</f>
        <v/>
      </c>
      <c r="V314" s="369" t="str">
        <f ca="1">IF($B314&lt;&gt;"PRC_RESID","",IF(V$7=2005+OFFSET(COM_N_2012!$B$60,$AW314,SUMIF($B$10:$B$16,"NCAP_TLIFE",$AX$10:$AX$16)),0,""))</f>
        <v/>
      </c>
      <c r="W314" s="369" t="str">
        <f ca="1">IF($B314&lt;&gt;"PRC_RESID","",IF(W$7=2005+OFFSET(COM_N_2012!$B$60,$AW314,SUMIF($B$10:$B$16,"NCAP_TLIFE",$AX$10:$AX$16)),0,""))</f>
        <v/>
      </c>
      <c r="X314" s="369" t="str">
        <f ca="1">IF($B314&lt;&gt;"PRC_RESID","",IF(X$7=2005+OFFSET(COM_N_2012!$B$60,$AW314,SUMIF($B$10:$B$16,"NCAP_TLIFE",$AX$10:$AX$16)),0,""))</f>
        <v/>
      </c>
      <c r="Y314" s="369" t="str">
        <f ca="1">IF($B314&lt;&gt;"PRC_RESID","",IF(Y$7=2005+OFFSET(COM_N_2012!$B$60,$AW314,SUMIF($B$10:$B$16,"NCAP_TLIFE",$AX$10:$AX$16)),0,""))</f>
        <v/>
      </c>
      <c r="Z314" s="369" t="str">
        <f ca="1">IF($B314&lt;&gt;"PRC_RESID","",IF(Z$7=2005+OFFSET(COM_N_2012!$B$60,$AW314,SUMIF($B$10:$B$16,"NCAP_TLIFE",$AX$10:$AX$16)),0,""))</f>
        <v/>
      </c>
      <c r="AA314" s="369" t="str">
        <f ca="1">IF($B314&lt;&gt;"PRC_RESID","",IF(AA$7=2005+OFFSET(COM_N_2012!$B$60,$AW314,SUMIF($B$10:$B$16,"NCAP_TLIFE",$AX$10:$AX$16)),0,""))</f>
        <v/>
      </c>
      <c r="AB314" s="369" t="str">
        <f ca="1">IF($B314&lt;&gt;"PRC_RESID","",IF(AB$7=2005+OFFSET(COM_N_2012!$B$60,$AW314,SUMIF($B$10:$B$16,"NCAP_TLIFE",$AX$10:$AX$16)),0,""))</f>
        <v/>
      </c>
      <c r="AC314" s="369" t="str">
        <f ca="1">IF($B314&lt;&gt;"PRC_RESID","",IF(AC$7=2005+OFFSET(COM_N_2012!$B$60,$AW314,SUMIF($B$10:$B$16,"NCAP_TLIFE",$AX$10:$AX$16)),0,""))</f>
        <v/>
      </c>
      <c r="AD314" s="369" t="str">
        <f ca="1">IF($B314&lt;&gt;"PRC_RESID","",IF(AD$7=2005+OFFSET(COM_N_2012!$B$60,$AW314,SUMIF($B$10:$B$16,"NCAP_TLIFE",$AX$10:$AX$16)),0,""))</f>
        <v/>
      </c>
      <c r="AE314" s="369" t="str">
        <f ca="1">IF($B314&lt;&gt;"PRC_RESID","",IF(AE$7=2005+OFFSET(COM_N_2012!$B$60,$AW314,SUMIF($B$10:$B$16,"NCAP_TLIFE",$AX$10:$AX$16)),0,""))</f>
        <v/>
      </c>
      <c r="AF314" s="369" t="str">
        <f ca="1">IF($B314&lt;&gt;"PRC_RESID","",IF(AF$7=2005+OFFSET(COM_N_2012!$B$60,$AW314,SUMIF($B$10:$B$16,"NCAP_TLIFE",$AX$10:$AX$16)),0,""))</f>
        <v/>
      </c>
      <c r="AG314" s="369" t="str">
        <f ca="1">IF($B314&lt;&gt;"PRC_RESID","",IF(AG$7=2005+OFFSET(COM_N_2012!$B$60,$AW314,SUMIF($B$10:$B$16,"NCAP_TLIFE",$AX$10:$AX$16)),0,""))</f>
        <v/>
      </c>
      <c r="AH314" s="369" t="str">
        <f ca="1">IF($B314&lt;&gt;"PRC_RESID","",IF(AH$7=2005+OFFSET(COM_N_2012!$B$60,$AW314,SUMIF($B$10:$B$16,"NCAP_TLIFE",$AX$10:$AX$16)),0,""))</f>
        <v/>
      </c>
      <c r="AI314" s="369" t="str">
        <f ca="1">IF($B314&lt;&gt;"PRC_RESID","",IF(AI$7=2005+OFFSET(COM_N_2012!$B$60,$AW314,SUMIF($B$10:$B$16,"NCAP_TLIFE",$AX$10:$AX$16)),0,""))</f>
        <v/>
      </c>
      <c r="AJ314" s="369" t="str">
        <f ca="1">IF($B314&lt;&gt;"PRC_RESID","",IF(AJ$7=2005+OFFSET(COM_N_2012!$B$60,$AW314,SUMIF($B$10:$B$16,"NCAP_TLIFE",$AX$10:$AX$16)),0,""))</f>
        <v/>
      </c>
      <c r="AK314" s="369" t="str">
        <f ca="1">IF($B314&lt;&gt;"PRC_RESID","",IF(AK$7=2005+OFFSET(COM_N_2012!$B$60,$AW314,SUMIF($B$10:$B$16,"NCAP_TLIFE",$AX$10:$AX$16)),0,""))</f>
        <v/>
      </c>
      <c r="AL314" s="369" t="str">
        <f ca="1">IF($B314&lt;&gt;"PRC_RESID","",IF(AL$7=2005+OFFSET(COM_N_2012!$B$60,$AW314,SUMIF($B$10:$B$16,"NCAP_TLIFE",$AX$10:$AX$16)),0,""))</f>
        <v/>
      </c>
      <c r="AM314" s="369" t="str">
        <f ca="1">IF($B314&lt;&gt;"PRC_RESID","",IF(AM$7=2005+OFFSET(COM_N_2012!$B$60,$AW314,SUMIF($B$10:$B$16,"NCAP_TLIFE",$AX$10:$AX$16)),0,""))</f>
        <v/>
      </c>
      <c r="AN314" s="369" t="str">
        <f ca="1">IF($B314&lt;&gt;"PRC_RESID","",IF(AN$7=2005+OFFSET(COM_N_2012!$B$60,$AW314,SUMIF($B$10:$B$16,"NCAP_TLIFE",$AX$10:$AX$16)),0,""))</f>
        <v/>
      </c>
      <c r="AO314" s="369" t="str">
        <f ca="1">IF($B314&lt;&gt;"PRC_RESID","",IF(AO$7=2005+OFFSET(COM_N_2012!$B$60,$AW314,SUMIF($B$10:$B$16,"NCAP_TLIFE",$AX$10:$AX$16)),0,""))</f>
        <v/>
      </c>
      <c r="AP314" s="369" t="str">
        <f ca="1">IF($B314&lt;&gt;"PRC_RESID","",IF(AP$7=2005+OFFSET(COM_N_2012!$B$60,$AW314,SUMIF($B$10:$B$16,"NCAP_TLIFE",$AX$10:$AX$16)),0,""))</f>
        <v/>
      </c>
      <c r="AQ314" s="369" t="str">
        <f ca="1">IF($B314&lt;&gt;"PRC_RESID","",IF(AQ$7=2005+OFFSET(COM_N_2012!$B$60,$AW314,SUMIF($B$10:$B$16,"NCAP_TLIFE",$AX$10:$AX$16)),0,""))</f>
        <v/>
      </c>
      <c r="AR314" s="369" t="str">
        <f ca="1">IF($B314&lt;&gt;"PRC_RESID","",IF(AR$7=2005+OFFSET(COM_N_2012!$B$60,$AW314,SUMIF($B$10:$B$16,"NCAP_TLIFE",$AX$10:$AX$16)),0,""))</f>
        <v/>
      </c>
      <c r="AS314" s="369" t="str">
        <f ca="1">IF($B314&lt;&gt;"PRC_RESID","",IF(AS$7=2005+OFFSET(COM_N_2012!$B$60,$AW314,SUMIF($B$10:$B$16,"NCAP_TLIFE",$AX$10:$AX$16)),0,""))</f>
        <v/>
      </c>
      <c r="AT314" s="369" t="str">
        <f ca="1">IF($B314&lt;&gt;"PRC_RESID","",IF(AT$7=2005+OFFSET(COM_N_2012!$B$60,$AW314,SUMIF($B$10:$B$16,"NCAP_TLIFE",$AX$10:$AX$16)),0,""))</f>
        <v/>
      </c>
      <c r="AU314" s="369" t="str">
        <f ca="1">IF($B314&lt;&gt;"PRC_RESID","",IF(AU$7=2005+OFFSET(COM_N_2012!$B$60,$AW314,SUMIF($B$10:$B$16,"NCAP_TLIFE",$AX$10:$AX$16)),0,""))</f>
        <v/>
      </c>
      <c r="AV314" s="304">
        <f>IF(AW313=COM_N_2012!$AK$121,AV313+1,AV313)</f>
        <v>5</v>
      </c>
      <c r="AW314" s="304">
        <f t="shared" si="37"/>
        <v>53</v>
      </c>
    </row>
    <row r="315" spans="1:49">
      <c r="A315" s="304" t="str">
        <f ca="1">IF(LEFT(OFFSET(COM_N_2012!$A$60,AW315,0),2)="\I","*","")</f>
        <v/>
      </c>
      <c r="B315" s="369" t="str">
        <f t="shared" ca="1" si="36"/>
        <v>NCAP_FOM</v>
      </c>
      <c r="C315" s="369" t="str">
        <f ca="1">IF($A315="*","",OFFSET(COM_N_2012!$B$60,AW315,0))</f>
        <v>CNOODS-E</v>
      </c>
      <c r="D315" s="369" t="str">
        <f t="shared" ca="1" si="41"/>
        <v>-</v>
      </c>
      <c r="E315" s="369" t="str">
        <f t="shared" ca="1" si="41"/>
        <v>-</v>
      </c>
      <c r="F315" s="369" t="str">
        <f t="shared" ca="1" si="41"/>
        <v>-</v>
      </c>
      <c r="G315" s="369" t="str">
        <f t="shared" ca="1" si="41"/>
        <v>-</v>
      </c>
      <c r="H315" s="369" t="str">
        <f t="shared" ca="1" si="41"/>
        <v>-</v>
      </c>
      <c r="I315" s="370">
        <f t="shared" ca="1" si="41"/>
        <v>0</v>
      </c>
      <c r="J315" s="391">
        <f ca="1">IF($A315="*","",OFFSET(COM_N_2012!$B$60,AW315,SUMIF($B$10:$B$16,B315,$AX$10:$AX$16)))</f>
        <v>41.088682603593845</v>
      </c>
      <c r="K315" s="369" t="str">
        <f ca="1">IF($B315&lt;&gt;"PRC_RESID","",IF(K$7=2005+OFFSET(COM_N_2012!$B$60,$AW315,SUMIF($B$10:$B$16,"NCAP_TLIFE",$AX$10:$AX$16)),0,""))</f>
        <v/>
      </c>
      <c r="L315" s="369" t="str">
        <f ca="1">IF($B315&lt;&gt;"PRC_RESID","",IF(L$7=2005+OFFSET(COM_N_2012!$B$60,$AW315,SUMIF($B$10:$B$16,"NCAP_TLIFE",$AX$10:$AX$16)),0,""))</f>
        <v/>
      </c>
      <c r="M315" s="369" t="str">
        <f ca="1">IF($B315&lt;&gt;"PRC_RESID","",IF(M$7=2005+OFFSET(COM_N_2012!$B$60,$AW315,SUMIF($B$10:$B$16,"NCAP_TLIFE",$AX$10:$AX$16)),0,""))</f>
        <v/>
      </c>
      <c r="N315" s="369" t="str">
        <f ca="1">IF($B315&lt;&gt;"PRC_RESID","",IF(N$7=2005+OFFSET(COM_N_2012!$B$60,$AW315,SUMIF($B$10:$B$16,"NCAP_TLIFE",$AX$10:$AX$16)),0,""))</f>
        <v/>
      </c>
      <c r="O315" s="369" t="str">
        <f ca="1">IF($B315&lt;&gt;"PRC_RESID","",IF(O$7=2005+OFFSET(COM_N_2012!$B$60,$AW315,SUMIF($B$10:$B$16,"NCAP_TLIFE",$AX$10:$AX$16)),0,""))</f>
        <v/>
      </c>
      <c r="P315" s="369" t="str">
        <f ca="1">IF($B315&lt;&gt;"PRC_RESID","",IF(P$7=2005+OFFSET(COM_N_2012!$B$60,$AW315,SUMIF($B$10:$B$16,"NCAP_TLIFE",$AX$10:$AX$16)),0,""))</f>
        <v/>
      </c>
      <c r="Q315" s="369" t="str">
        <f ca="1">IF($B315&lt;&gt;"PRC_RESID","",IF(Q$7=2005+OFFSET(COM_N_2012!$B$60,$AW315,SUMIF($B$10:$B$16,"NCAP_TLIFE",$AX$10:$AX$16)),0,""))</f>
        <v/>
      </c>
      <c r="R315" s="369" t="str">
        <f ca="1">IF($B315&lt;&gt;"PRC_RESID","",IF(R$7=2005+OFFSET(COM_N_2012!$B$60,$AW315,SUMIF($B$10:$B$16,"NCAP_TLIFE",$AX$10:$AX$16)),0,""))</f>
        <v/>
      </c>
      <c r="S315" s="369" t="str">
        <f ca="1">IF($B315&lt;&gt;"PRC_RESID","",IF(S$7=2005+OFFSET(COM_N_2012!$B$60,$AW315,SUMIF($B$10:$B$16,"NCAP_TLIFE",$AX$10:$AX$16)),0,""))</f>
        <v/>
      </c>
      <c r="T315" s="369" t="str">
        <f ca="1">IF($B315&lt;&gt;"PRC_RESID","",IF(T$7=2005+OFFSET(COM_N_2012!$B$60,$AW315,SUMIF($B$10:$B$16,"NCAP_TLIFE",$AX$10:$AX$16)),0,""))</f>
        <v/>
      </c>
      <c r="U315" s="369" t="str">
        <f ca="1">IF($B315&lt;&gt;"PRC_RESID","",IF(U$7=2005+OFFSET(COM_N_2012!$B$60,$AW315,SUMIF($B$10:$B$16,"NCAP_TLIFE",$AX$10:$AX$16)),0,""))</f>
        <v/>
      </c>
      <c r="V315" s="369" t="str">
        <f ca="1">IF($B315&lt;&gt;"PRC_RESID","",IF(V$7=2005+OFFSET(COM_N_2012!$B$60,$AW315,SUMIF($B$10:$B$16,"NCAP_TLIFE",$AX$10:$AX$16)),0,""))</f>
        <v/>
      </c>
      <c r="W315" s="369" t="str">
        <f ca="1">IF($B315&lt;&gt;"PRC_RESID","",IF(W$7=2005+OFFSET(COM_N_2012!$B$60,$AW315,SUMIF($B$10:$B$16,"NCAP_TLIFE",$AX$10:$AX$16)),0,""))</f>
        <v/>
      </c>
      <c r="X315" s="369" t="str">
        <f ca="1">IF($B315&lt;&gt;"PRC_RESID","",IF(X$7=2005+OFFSET(COM_N_2012!$B$60,$AW315,SUMIF($B$10:$B$16,"NCAP_TLIFE",$AX$10:$AX$16)),0,""))</f>
        <v/>
      </c>
      <c r="Y315" s="369" t="str">
        <f ca="1">IF($B315&lt;&gt;"PRC_RESID","",IF(Y$7=2005+OFFSET(COM_N_2012!$B$60,$AW315,SUMIF($B$10:$B$16,"NCAP_TLIFE",$AX$10:$AX$16)),0,""))</f>
        <v/>
      </c>
      <c r="Z315" s="369" t="str">
        <f ca="1">IF($B315&lt;&gt;"PRC_RESID","",IF(Z$7=2005+OFFSET(COM_N_2012!$B$60,$AW315,SUMIF($B$10:$B$16,"NCAP_TLIFE",$AX$10:$AX$16)),0,""))</f>
        <v/>
      </c>
      <c r="AA315" s="369" t="str">
        <f ca="1">IF($B315&lt;&gt;"PRC_RESID","",IF(AA$7=2005+OFFSET(COM_N_2012!$B$60,$AW315,SUMIF($B$10:$B$16,"NCAP_TLIFE",$AX$10:$AX$16)),0,""))</f>
        <v/>
      </c>
      <c r="AB315" s="369" t="str">
        <f ca="1">IF($B315&lt;&gt;"PRC_RESID","",IF(AB$7=2005+OFFSET(COM_N_2012!$B$60,$AW315,SUMIF($B$10:$B$16,"NCAP_TLIFE",$AX$10:$AX$16)),0,""))</f>
        <v/>
      </c>
      <c r="AC315" s="369" t="str">
        <f ca="1">IF($B315&lt;&gt;"PRC_RESID","",IF(AC$7=2005+OFFSET(COM_N_2012!$B$60,$AW315,SUMIF($B$10:$B$16,"NCAP_TLIFE",$AX$10:$AX$16)),0,""))</f>
        <v/>
      </c>
      <c r="AD315" s="369" t="str">
        <f ca="1">IF($B315&lt;&gt;"PRC_RESID","",IF(AD$7=2005+OFFSET(COM_N_2012!$B$60,$AW315,SUMIF($B$10:$B$16,"NCAP_TLIFE",$AX$10:$AX$16)),0,""))</f>
        <v/>
      </c>
      <c r="AE315" s="369" t="str">
        <f ca="1">IF($B315&lt;&gt;"PRC_RESID","",IF(AE$7=2005+OFFSET(COM_N_2012!$B$60,$AW315,SUMIF($B$10:$B$16,"NCAP_TLIFE",$AX$10:$AX$16)),0,""))</f>
        <v/>
      </c>
      <c r="AF315" s="369" t="str">
        <f ca="1">IF($B315&lt;&gt;"PRC_RESID","",IF(AF$7=2005+OFFSET(COM_N_2012!$B$60,$AW315,SUMIF($B$10:$B$16,"NCAP_TLIFE",$AX$10:$AX$16)),0,""))</f>
        <v/>
      </c>
      <c r="AG315" s="369" t="str">
        <f ca="1">IF($B315&lt;&gt;"PRC_RESID","",IF(AG$7=2005+OFFSET(COM_N_2012!$B$60,$AW315,SUMIF($B$10:$B$16,"NCAP_TLIFE",$AX$10:$AX$16)),0,""))</f>
        <v/>
      </c>
      <c r="AH315" s="369" t="str">
        <f ca="1">IF($B315&lt;&gt;"PRC_RESID","",IF(AH$7=2005+OFFSET(COM_N_2012!$B$60,$AW315,SUMIF($B$10:$B$16,"NCAP_TLIFE",$AX$10:$AX$16)),0,""))</f>
        <v/>
      </c>
      <c r="AI315" s="369" t="str">
        <f ca="1">IF($B315&lt;&gt;"PRC_RESID","",IF(AI$7=2005+OFFSET(COM_N_2012!$B$60,$AW315,SUMIF($B$10:$B$16,"NCAP_TLIFE",$AX$10:$AX$16)),0,""))</f>
        <v/>
      </c>
      <c r="AJ315" s="369" t="str">
        <f ca="1">IF($B315&lt;&gt;"PRC_RESID","",IF(AJ$7=2005+OFFSET(COM_N_2012!$B$60,$AW315,SUMIF($B$10:$B$16,"NCAP_TLIFE",$AX$10:$AX$16)),0,""))</f>
        <v/>
      </c>
      <c r="AK315" s="369" t="str">
        <f ca="1">IF($B315&lt;&gt;"PRC_RESID","",IF(AK$7=2005+OFFSET(COM_N_2012!$B$60,$AW315,SUMIF($B$10:$B$16,"NCAP_TLIFE",$AX$10:$AX$16)),0,""))</f>
        <v/>
      </c>
      <c r="AL315" s="369" t="str">
        <f ca="1">IF($B315&lt;&gt;"PRC_RESID","",IF(AL$7=2005+OFFSET(COM_N_2012!$B$60,$AW315,SUMIF($B$10:$B$16,"NCAP_TLIFE",$AX$10:$AX$16)),0,""))</f>
        <v/>
      </c>
      <c r="AM315" s="369" t="str">
        <f ca="1">IF($B315&lt;&gt;"PRC_RESID","",IF(AM$7=2005+OFFSET(COM_N_2012!$B$60,$AW315,SUMIF($B$10:$B$16,"NCAP_TLIFE",$AX$10:$AX$16)),0,""))</f>
        <v/>
      </c>
      <c r="AN315" s="369" t="str">
        <f ca="1">IF($B315&lt;&gt;"PRC_RESID","",IF(AN$7=2005+OFFSET(COM_N_2012!$B$60,$AW315,SUMIF($B$10:$B$16,"NCAP_TLIFE",$AX$10:$AX$16)),0,""))</f>
        <v/>
      </c>
      <c r="AO315" s="369" t="str">
        <f ca="1">IF($B315&lt;&gt;"PRC_RESID","",IF(AO$7=2005+OFFSET(COM_N_2012!$B$60,$AW315,SUMIF($B$10:$B$16,"NCAP_TLIFE",$AX$10:$AX$16)),0,""))</f>
        <v/>
      </c>
      <c r="AP315" s="369" t="str">
        <f ca="1">IF($B315&lt;&gt;"PRC_RESID","",IF(AP$7=2005+OFFSET(COM_N_2012!$B$60,$AW315,SUMIF($B$10:$B$16,"NCAP_TLIFE",$AX$10:$AX$16)),0,""))</f>
        <v/>
      </c>
      <c r="AQ315" s="369" t="str">
        <f ca="1">IF($B315&lt;&gt;"PRC_RESID","",IF(AQ$7=2005+OFFSET(COM_N_2012!$B$60,$AW315,SUMIF($B$10:$B$16,"NCAP_TLIFE",$AX$10:$AX$16)),0,""))</f>
        <v/>
      </c>
      <c r="AR315" s="369" t="str">
        <f ca="1">IF($B315&lt;&gt;"PRC_RESID","",IF(AR$7=2005+OFFSET(COM_N_2012!$B$60,$AW315,SUMIF($B$10:$B$16,"NCAP_TLIFE",$AX$10:$AX$16)),0,""))</f>
        <v/>
      </c>
      <c r="AS315" s="369" t="str">
        <f ca="1">IF($B315&lt;&gt;"PRC_RESID","",IF(AS$7=2005+OFFSET(COM_N_2012!$B$60,$AW315,SUMIF($B$10:$B$16,"NCAP_TLIFE",$AX$10:$AX$16)),0,""))</f>
        <v/>
      </c>
      <c r="AT315" s="369" t="str">
        <f ca="1">IF($B315&lt;&gt;"PRC_RESID","",IF(AT$7=2005+OFFSET(COM_N_2012!$B$60,$AW315,SUMIF($B$10:$B$16,"NCAP_TLIFE",$AX$10:$AX$16)),0,""))</f>
        <v/>
      </c>
      <c r="AU315" s="369" t="str">
        <f ca="1">IF($B315&lt;&gt;"PRC_RESID","",IF(AU$7=2005+OFFSET(COM_N_2012!$B$60,$AW315,SUMIF($B$10:$B$16,"NCAP_TLIFE",$AX$10:$AX$16)),0,""))</f>
        <v/>
      </c>
      <c r="AV315" s="304">
        <f>IF(AW314=COM_N_2012!$AK$121,AV314+1,AV314)</f>
        <v>5</v>
      </c>
      <c r="AW315" s="304">
        <f t="shared" si="37"/>
        <v>54</v>
      </c>
    </row>
    <row r="316" spans="1:49">
      <c r="A316" s="304" t="str">
        <f ca="1">IF(LEFT(OFFSET(COM_N_2012!$A$60,AW316,0),2)="\I","*","")</f>
        <v/>
      </c>
      <c r="B316" s="369" t="str">
        <f t="shared" ca="1" si="36"/>
        <v>NCAP_FOM</v>
      </c>
      <c r="C316" s="369" t="str">
        <f ca="1">IF($A316="*","",OFFSET(COM_N_2012!$B$60,AW316,0))</f>
        <v>CNOELC-E</v>
      </c>
      <c r="D316" s="369" t="str">
        <f t="shared" ca="1" si="41"/>
        <v>-</v>
      </c>
      <c r="E316" s="369" t="str">
        <f t="shared" ca="1" si="41"/>
        <v>-</v>
      </c>
      <c r="F316" s="369" t="str">
        <f t="shared" ca="1" si="41"/>
        <v>-</v>
      </c>
      <c r="G316" s="369" t="str">
        <f t="shared" ca="1" si="41"/>
        <v>-</v>
      </c>
      <c r="H316" s="369" t="str">
        <f t="shared" ca="1" si="41"/>
        <v>-</v>
      </c>
      <c r="I316" s="370">
        <f t="shared" ca="1" si="41"/>
        <v>0</v>
      </c>
      <c r="J316" s="391">
        <f ca="1">IF($A316="*","",OFFSET(COM_N_2012!$B$60,AW316,SUMIF($B$10:$B$16,B316,$AX$10:$AX$16)))</f>
        <v>41.088682603593845</v>
      </c>
      <c r="K316" s="369" t="str">
        <f ca="1">IF($B316&lt;&gt;"PRC_RESID","",IF(K$7=2005+OFFSET(COM_N_2012!$B$60,$AW316,SUMIF($B$10:$B$16,"NCAP_TLIFE",$AX$10:$AX$16)),0,""))</f>
        <v/>
      </c>
      <c r="L316" s="369" t="str">
        <f ca="1">IF($B316&lt;&gt;"PRC_RESID","",IF(L$7=2005+OFFSET(COM_N_2012!$B$60,$AW316,SUMIF($B$10:$B$16,"NCAP_TLIFE",$AX$10:$AX$16)),0,""))</f>
        <v/>
      </c>
      <c r="M316" s="369" t="str">
        <f ca="1">IF($B316&lt;&gt;"PRC_RESID","",IF(M$7=2005+OFFSET(COM_N_2012!$B$60,$AW316,SUMIF($B$10:$B$16,"NCAP_TLIFE",$AX$10:$AX$16)),0,""))</f>
        <v/>
      </c>
      <c r="N316" s="369" t="str">
        <f ca="1">IF($B316&lt;&gt;"PRC_RESID","",IF(N$7=2005+OFFSET(COM_N_2012!$B$60,$AW316,SUMIF($B$10:$B$16,"NCAP_TLIFE",$AX$10:$AX$16)),0,""))</f>
        <v/>
      </c>
      <c r="O316" s="369" t="str">
        <f ca="1">IF($B316&lt;&gt;"PRC_RESID","",IF(O$7=2005+OFFSET(COM_N_2012!$B$60,$AW316,SUMIF($B$10:$B$16,"NCAP_TLIFE",$AX$10:$AX$16)),0,""))</f>
        <v/>
      </c>
      <c r="P316" s="369" t="str">
        <f ca="1">IF($B316&lt;&gt;"PRC_RESID","",IF(P$7=2005+OFFSET(COM_N_2012!$B$60,$AW316,SUMIF($B$10:$B$16,"NCAP_TLIFE",$AX$10:$AX$16)),0,""))</f>
        <v/>
      </c>
      <c r="Q316" s="369" t="str">
        <f ca="1">IF($B316&lt;&gt;"PRC_RESID","",IF(Q$7=2005+OFFSET(COM_N_2012!$B$60,$AW316,SUMIF($B$10:$B$16,"NCAP_TLIFE",$AX$10:$AX$16)),0,""))</f>
        <v/>
      </c>
      <c r="R316" s="369" t="str">
        <f ca="1">IF($B316&lt;&gt;"PRC_RESID","",IF(R$7=2005+OFFSET(COM_N_2012!$B$60,$AW316,SUMIF($B$10:$B$16,"NCAP_TLIFE",$AX$10:$AX$16)),0,""))</f>
        <v/>
      </c>
      <c r="S316" s="369" t="str">
        <f ca="1">IF($B316&lt;&gt;"PRC_RESID","",IF(S$7=2005+OFFSET(COM_N_2012!$B$60,$AW316,SUMIF($B$10:$B$16,"NCAP_TLIFE",$AX$10:$AX$16)),0,""))</f>
        <v/>
      </c>
      <c r="T316" s="369" t="str">
        <f ca="1">IF($B316&lt;&gt;"PRC_RESID","",IF(T$7=2005+OFFSET(COM_N_2012!$B$60,$AW316,SUMIF($B$10:$B$16,"NCAP_TLIFE",$AX$10:$AX$16)),0,""))</f>
        <v/>
      </c>
      <c r="U316" s="369" t="str">
        <f ca="1">IF($B316&lt;&gt;"PRC_RESID","",IF(U$7=2005+OFFSET(COM_N_2012!$B$60,$AW316,SUMIF($B$10:$B$16,"NCAP_TLIFE",$AX$10:$AX$16)),0,""))</f>
        <v/>
      </c>
      <c r="V316" s="369" t="str">
        <f ca="1">IF($B316&lt;&gt;"PRC_RESID","",IF(V$7=2005+OFFSET(COM_N_2012!$B$60,$AW316,SUMIF($B$10:$B$16,"NCAP_TLIFE",$AX$10:$AX$16)),0,""))</f>
        <v/>
      </c>
      <c r="W316" s="369" t="str">
        <f ca="1">IF($B316&lt;&gt;"PRC_RESID","",IF(W$7=2005+OFFSET(COM_N_2012!$B$60,$AW316,SUMIF($B$10:$B$16,"NCAP_TLIFE",$AX$10:$AX$16)),0,""))</f>
        <v/>
      </c>
      <c r="X316" s="369" t="str">
        <f ca="1">IF($B316&lt;&gt;"PRC_RESID","",IF(X$7=2005+OFFSET(COM_N_2012!$B$60,$AW316,SUMIF($B$10:$B$16,"NCAP_TLIFE",$AX$10:$AX$16)),0,""))</f>
        <v/>
      </c>
      <c r="Y316" s="369" t="str">
        <f ca="1">IF($B316&lt;&gt;"PRC_RESID","",IF(Y$7=2005+OFFSET(COM_N_2012!$B$60,$AW316,SUMIF($B$10:$B$16,"NCAP_TLIFE",$AX$10:$AX$16)),0,""))</f>
        <v/>
      </c>
      <c r="Z316" s="369" t="str">
        <f ca="1">IF($B316&lt;&gt;"PRC_RESID","",IF(Z$7=2005+OFFSET(COM_N_2012!$B$60,$AW316,SUMIF($B$10:$B$16,"NCAP_TLIFE",$AX$10:$AX$16)),0,""))</f>
        <v/>
      </c>
      <c r="AA316" s="369" t="str">
        <f ca="1">IF($B316&lt;&gt;"PRC_RESID","",IF(AA$7=2005+OFFSET(COM_N_2012!$B$60,$AW316,SUMIF($B$10:$B$16,"NCAP_TLIFE",$AX$10:$AX$16)),0,""))</f>
        <v/>
      </c>
      <c r="AB316" s="369" t="str">
        <f ca="1">IF($B316&lt;&gt;"PRC_RESID","",IF(AB$7=2005+OFFSET(COM_N_2012!$B$60,$AW316,SUMIF($B$10:$B$16,"NCAP_TLIFE",$AX$10:$AX$16)),0,""))</f>
        <v/>
      </c>
      <c r="AC316" s="369" t="str">
        <f ca="1">IF($B316&lt;&gt;"PRC_RESID","",IF(AC$7=2005+OFFSET(COM_N_2012!$B$60,$AW316,SUMIF($B$10:$B$16,"NCAP_TLIFE",$AX$10:$AX$16)),0,""))</f>
        <v/>
      </c>
      <c r="AD316" s="369" t="str">
        <f ca="1">IF($B316&lt;&gt;"PRC_RESID","",IF(AD$7=2005+OFFSET(COM_N_2012!$B$60,$AW316,SUMIF($B$10:$B$16,"NCAP_TLIFE",$AX$10:$AX$16)),0,""))</f>
        <v/>
      </c>
      <c r="AE316" s="369" t="str">
        <f ca="1">IF($B316&lt;&gt;"PRC_RESID","",IF(AE$7=2005+OFFSET(COM_N_2012!$B$60,$AW316,SUMIF($B$10:$B$16,"NCAP_TLIFE",$AX$10:$AX$16)),0,""))</f>
        <v/>
      </c>
      <c r="AF316" s="369" t="str">
        <f ca="1">IF($B316&lt;&gt;"PRC_RESID","",IF(AF$7=2005+OFFSET(COM_N_2012!$B$60,$AW316,SUMIF($B$10:$B$16,"NCAP_TLIFE",$AX$10:$AX$16)),0,""))</f>
        <v/>
      </c>
      <c r="AG316" s="369" t="str">
        <f ca="1">IF($B316&lt;&gt;"PRC_RESID","",IF(AG$7=2005+OFFSET(COM_N_2012!$B$60,$AW316,SUMIF($B$10:$B$16,"NCAP_TLIFE",$AX$10:$AX$16)),0,""))</f>
        <v/>
      </c>
      <c r="AH316" s="369" t="str">
        <f ca="1">IF($B316&lt;&gt;"PRC_RESID","",IF(AH$7=2005+OFFSET(COM_N_2012!$B$60,$AW316,SUMIF($B$10:$B$16,"NCAP_TLIFE",$AX$10:$AX$16)),0,""))</f>
        <v/>
      </c>
      <c r="AI316" s="369" t="str">
        <f ca="1">IF($B316&lt;&gt;"PRC_RESID","",IF(AI$7=2005+OFFSET(COM_N_2012!$B$60,$AW316,SUMIF($B$10:$B$16,"NCAP_TLIFE",$AX$10:$AX$16)),0,""))</f>
        <v/>
      </c>
      <c r="AJ316" s="369" t="str">
        <f ca="1">IF($B316&lt;&gt;"PRC_RESID","",IF(AJ$7=2005+OFFSET(COM_N_2012!$B$60,$AW316,SUMIF($B$10:$B$16,"NCAP_TLIFE",$AX$10:$AX$16)),0,""))</f>
        <v/>
      </c>
      <c r="AK316" s="369" t="str">
        <f ca="1">IF($B316&lt;&gt;"PRC_RESID","",IF(AK$7=2005+OFFSET(COM_N_2012!$B$60,$AW316,SUMIF($B$10:$B$16,"NCAP_TLIFE",$AX$10:$AX$16)),0,""))</f>
        <v/>
      </c>
      <c r="AL316" s="369" t="str">
        <f ca="1">IF($B316&lt;&gt;"PRC_RESID","",IF(AL$7=2005+OFFSET(COM_N_2012!$B$60,$AW316,SUMIF($B$10:$B$16,"NCAP_TLIFE",$AX$10:$AX$16)),0,""))</f>
        <v/>
      </c>
      <c r="AM316" s="369" t="str">
        <f ca="1">IF($B316&lt;&gt;"PRC_RESID","",IF(AM$7=2005+OFFSET(COM_N_2012!$B$60,$AW316,SUMIF($B$10:$B$16,"NCAP_TLIFE",$AX$10:$AX$16)),0,""))</f>
        <v/>
      </c>
      <c r="AN316" s="369" t="str">
        <f ca="1">IF($B316&lt;&gt;"PRC_RESID","",IF(AN$7=2005+OFFSET(COM_N_2012!$B$60,$AW316,SUMIF($B$10:$B$16,"NCAP_TLIFE",$AX$10:$AX$16)),0,""))</f>
        <v/>
      </c>
      <c r="AO316" s="369" t="str">
        <f ca="1">IF($B316&lt;&gt;"PRC_RESID","",IF(AO$7=2005+OFFSET(COM_N_2012!$B$60,$AW316,SUMIF($B$10:$B$16,"NCAP_TLIFE",$AX$10:$AX$16)),0,""))</f>
        <v/>
      </c>
      <c r="AP316" s="369" t="str">
        <f ca="1">IF($B316&lt;&gt;"PRC_RESID","",IF(AP$7=2005+OFFSET(COM_N_2012!$B$60,$AW316,SUMIF($B$10:$B$16,"NCAP_TLIFE",$AX$10:$AX$16)),0,""))</f>
        <v/>
      </c>
      <c r="AQ316" s="369" t="str">
        <f ca="1">IF($B316&lt;&gt;"PRC_RESID","",IF(AQ$7=2005+OFFSET(COM_N_2012!$B$60,$AW316,SUMIF($B$10:$B$16,"NCAP_TLIFE",$AX$10:$AX$16)),0,""))</f>
        <v/>
      </c>
      <c r="AR316" s="369" t="str">
        <f ca="1">IF($B316&lt;&gt;"PRC_RESID","",IF(AR$7=2005+OFFSET(COM_N_2012!$B$60,$AW316,SUMIF($B$10:$B$16,"NCAP_TLIFE",$AX$10:$AX$16)),0,""))</f>
        <v/>
      </c>
      <c r="AS316" s="369" t="str">
        <f ca="1">IF($B316&lt;&gt;"PRC_RESID","",IF(AS$7=2005+OFFSET(COM_N_2012!$B$60,$AW316,SUMIF($B$10:$B$16,"NCAP_TLIFE",$AX$10:$AX$16)),0,""))</f>
        <v/>
      </c>
      <c r="AT316" s="369" t="str">
        <f ca="1">IF($B316&lt;&gt;"PRC_RESID","",IF(AT$7=2005+OFFSET(COM_N_2012!$B$60,$AW316,SUMIF($B$10:$B$16,"NCAP_TLIFE",$AX$10:$AX$16)),0,""))</f>
        <v/>
      </c>
      <c r="AU316" s="369" t="str">
        <f ca="1">IF($B316&lt;&gt;"PRC_RESID","",IF(AU$7=2005+OFFSET(COM_N_2012!$B$60,$AW316,SUMIF($B$10:$B$16,"NCAP_TLIFE",$AX$10:$AX$16)),0,""))</f>
        <v/>
      </c>
      <c r="AV316" s="304">
        <f>IF(AW315=COM_N_2012!$AK$121,AV315+1,AV315)</f>
        <v>5</v>
      </c>
      <c r="AW316" s="304">
        <f t="shared" si="37"/>
        <v>55</v>
      </c>
    </row>
    <row r="317" spans="1:49">
      <c r="A317" s="304" t="str">
        <f ca="1">IF(LEFT(OFFSET(COM_N_2012!$A$60,AW317,0),2)="\I","*","")</f>
        <v/>
      </c>
      <c r="B317" s="369" t="str">
        <f t="shared" ca="1" si="36"/>
        <v>NCAP_FOM</v>
      </c>
      <c r="C317" s="369" t="str">
        <f ca="1">IF($A317="*","",OFFSET(COM_N_2012!$B$60,AW317,0))</f>
        <v>CNOGAS-E</v>
      </c>
      <c r="D317" s="369" t="str">
        <f t="shared" ca="1" si="41"/>
        <v>-</v>
      </c>
      <c r="E317" s="369" t="str">
        <f t="shared" ca="1" si="41"/>
        <v>-</v>
      </c>
      <c r="F317" s="369" t="str">
        <f t="shared" ca="1" si="41"/>
        <v>-</v>
      </c>
      <c r="G317" s="369" t="str">
        <f t="shared" ca="1" si="41"/>
        <v>-</v>
      </c>
      <c r="H317" s="369" t="str">
        <f t="shared" ca="1" si="41"/>
        <v>-</v>
      </c>
      <c r="I317" s="370">
        <f t="shared" ca="1" si="41"/>
        <v>0</v>
      </c>
      <c r="J317" s="391">
        <f ca="1">IF($A317="*","",OFFSET(COM_N_2012!$B$60,AW317,SUMIF($B$10:$B$16,B317,$AX$10:$AX$16)))</f>
        <v>41.088682603593845</v>
      </c>
      <c r="K317" s="369" t="str">
        <f ca="1">IF($B317&lt;&gt;"PRC_RESID","",IF(K$7=2005+OFFSET(COM_N_2012!$B$60,$AW317,SUMIF($B$10:$B$16,"NCAP_TLIFE",$AX$10:$AX$16)),0,""))</f>
        <v/>
      </c>
      <c r="L317" s="369" t="str">
        <f ca="1">IF($B317&lt;&gt;"PRC_RESID","",IF(L$7=2005+OFFSET(COM_N_2012!$B$60,$AW317,SUMIF($B$10:$B$16,"NCAP_TLIFE",$AX$10:$AX$16)),0,""))</f>
        <v/>
      </c>
      <c r="M317" s="369" t="str">
        <f ca="1">IF($B317&lt;&gt;"PRC_RESID","",IF(M$7=2005+OFFSET(COM_N_2012!$B$60,$AW317,SUMIF($B$10:$B$16,"NCAP_TLIFE",$AX$10:$AX$16)),0,""))</f>
        <v/>
      </c>
      <c r="N317" s="369" t="str">
        <f ca="1">IF($B317&lt;&gt;"PRC_RESID","",IF(N$7=2005+OFFSET(COM_N_2012!$B$60,$AW317,SUMIF($B$10:$B$16,"NCAP_TLIFE",$AX$10:$AX$16)),0,""))</f>
        <v/>
      </c>
      <c r="O317" s="369" t="str">
        <f ca="1">IF($B317&lt;&gt;"PRC_RESID","",IF(O$7=2005+OFFSET(COM_N_2012!$B$60,$AW317,SUMIF($B$10:$B$16,"NCAP_TLIFE",$AX$10:$AX$16)),0,""))</f>
        <v/>
      </c>
      <c r="P317" s="369" t="str">
        <f ca="1">IF($B317&lt;&gt;"PRC_RESID","",IF(P$7=2005+OFFSET(COM_N_2012!$B$60,$AW317,SUMIF($B$10:$B$16,"NCAP_TLIFE",$AX$10:$AX$16)),0,""))</f>
        <v/>
      </c>
      <c r="Q317" s="369" t="str">
        <f ca="1">IF($B317&lt;&gt;"PRC_RESID","",IF(Q$7=2005+OFFSET(COM_N_2012!$B$60,$AW317,SUMIF($B$10:$B$16,"NCAP_TLIFE",$AX$10:$AX$16)),0,""))</f>
        <v/>
      </c>
      <c r="R317" s="369" t="str">
        <f ca="1">IF($B317&lt;&gt;"PRC_RESID","",IF(R$7=2005+OFFSET(COM_N_2012!$B$60,$AW317,SUMIF($B$10:$B$16,"NCAP_TLIFE",$AX$10:$AX$16)),0,""))</f>
        <v/>
      </c>
      <c r="S317" s="369" t="str">
        <f ca="1">IF($B317&lt;&gt;"PRC_RESID","",IF(S$7=2005+OFFSET(COM_N_2012!$B$60,$AW317,SUMIF($B$10:$B$16,"NCAP_TLIFE",$AX$10:$AX$16)),0,""))</f>
        <v/>
      </c>
      <c r="T317" s="369" t="str">
        <f ca="1">IF($B317&lt;&gt;"PRC_RESID","",IF(T$7=2005+OFFSET(COM_N_2012!$B$60,$AW317,SUMIF($B$10:$B$16,"NCAP_TLIFE",$AX$10:$AX$16)),0,""))</f>
        <v/>
      </c>
      <c r="U317" s="369" t="str">
        <f ca="1">IF($B317&lt;&gt;"PRC_RESID","",IF(U$7=2005+OFFSET(COM_N_2012!$B$60,$AW317,SUMIF($B$10:$B$16,"NCAP_TLIFE",$AX$10:$AX$16)),0,""))</f>
        <v/>
      </c>
      <c r="V317" s="369" t="str">
        <f ca="1">IF($B317&lt;&gt;"PRC_RESID","",IF(V$7=2005+OFFSET(COM_N_2012!$B$60,$AW317,SUMIF($B$10:$B$16,"NCAP_TLIFE",$AX$10:$AX$16)),0,""))</f>
        <v/>
      </c>
      <c r="W317" s="369" t="str">
        <f ca="1">IF($B317&lt;&gt;"PRC_RESID","",IF(W$7=2005+OFFSET(COM_N_2012!$B$60,$AW317,SUMIF($B$10:$B$16,"NCAP_TLIFE",$AX$10:$AX$16)),0,""))</f>
        <v/>
      </c>
      <c r="X317" s="369" t="str">
        <f ca="1">IF($B317&lt;&gt;"PRC_RESID","",IF(X$7=2005+OFFSET(COM_N_2012!$B$60,$AW317,SUMIF($B$10:$B$16,"NCAP_TLIFE",$AX$10:$AX$16)),0,""))</f>
        <v/>
      </c>
      <c r="Y317" s="369" t="str">
        <f ca="1">IF($B317&lt;&gt;"PRC_RESID","",IF(Y$7=2005+OFFSET(COM_N_2012!$B$60,$AW317,SUMIF($B$10:$B$16,"NCAP_TLIFE",$AX$10:$AX$16)),0,""))</f>
        <v/>
      </c>
      <c r="Z317" s="369" t="str">
        <f ca="1">IF($B317&lt;&gt;"PRC_RESID","",IF(Z$7=2005+OFFSET(COM_N_2012!$B$60,$AW317,SUMIF($B$10:$B$16,"NCAP_TLIFE",$AX$10:$AX$16)),0,""))</f>
        <v/>
      </c>
      <c r="AA317" s="369" t="str">
        <f ca="1">IF($B317&lt;&gt;"PRC_RESID","",IF(AA$7=2005+OFFSET(COM_N_2012!$B$60,$AW317,SUMIF($B$10:$B$16,"NCAP_TLIFE",$AX$10:$AX$16)),0,""))</f>
        <v/>
      </c>
      <c r="AB317" s="369" t="str">
        <f ca="1">IF($B317&lt;&gt;"PRC_RESID","",IF(AB$7=2005+OFFSET(COM_N_2012!$B$60,$AW317,SUMIF($B$10:$B$16,"NCAP_TLIFE",$AX$10:$AX$16)),0,""))</f>
        <v/>
      </c>
      <c r="AC317" s="369" t="str">
        <f ca="1">IF($B317&lt;&gt;"PRC_RESID","",IF(AC$7=2005+OFFSET(COM_N_2012!$B$60,$AW317,SUMIF($B$10:$B$16,"NCAP_TLIFE",$AX$10:$AX$16)),0,""))</f>
        <v/>
      </c>
      <c r="AD317" s="369" t="str">
        <f ca="1">IF($B317&lt;&gt;"PRC_RESID","",IF(AD$7=2005+OFFSET(COM_N_2012!$B$60,$AW317,SUMIF($B$10:$B$16,"NCAP_TLIFE",$AX$10:$AX$16)),0,""))</f>
        <v/>
      </c>
      <c r="AE317" s="369" t="str">
        <f ca="1">IF($B317&lt;&gt;"PRC_RESID","",IF(AE$7=2005+OFFSET(COM_N_2012!$B$60,$AW317,SUMIF($B$10:$B$16,"NCAP_TLIFE",$AX$10:$AX$16)),0,""))</f>
        <v/>
      </c>
      <c r="AF317" s="369" t="str">
        <f ca="1">IF($B317&lt;&gt;"PRC_RESID","",IF(AF$7=2005+OFFSET(COM_N_2012!$B$60,$AW317,SUMIF($B$10:$B$16,"NCAP_TLIFE",$AX$10:$AX$16)),0,""))</f>
        <v/>
      </c>
      <c r="AG317" s="369" t="str">
        <f ca="1">IF($B317&lt;&gt;"PRC_RESID","",IF(AG$7=2005+OFFSET(COM_N_2012!$B$60,$AW317,SUMIF($B$10:$B$16,"NCAP_TLIFE",$AX$10:$AX$16)),0,""))</f>
        <v/>
      </c>
      <c r="AH317" s="369" t="str">
        <f ca="1">IF($B317&lt;&gt;"PRC_RESID","",IF(AH$7=2005+OFFSET(COM_N_2012!$B$60,$AW317,SUMIF($B$10:$B$16,"NCAP_TLIFE",$AX$10:$AX$16)),0,""))</f>
        <v/>
      </c>
      <c r="AI317" s="369" t="str">
        <f ca="1">IF($B317&lt;&gt;"PRC_RESID","",IF(AI$7=2005+OFFSET(COM_N_2012!$B$60,$AW317,SUMIF($B$10:$B$16,"NCAP_TLIFE",$AX$10:$AX$16)),0,""))</f>
        <v/>
      </c>
      <c r="AJ317" s="369" t="str">
        <f ca="1">IF($B317&lt;&gt;"PRC_RESID","",IF(AJ$7=2005+OFFSET(COM_N_2012!$B$60,$AW317,SUMIF($B$10:$B$16,"NCAP_TLIFE",$AX$10:$AX$16)),0,""))</f>
        <v/>
      </c>
      <c r="AK317" s="369" t="str">
        <f ca="1">IF($B317&lt;&gt;"PRC_RESID","",IF(AK$7=2005+OFFSET(COM_N_2012!$B$60,$AW317,SUMIF($B$10:$B$16,"NCAP_TLIFE",$AX$10:$AX$16)),0,""))</f>
        <v/>
      </c>
      <c r="AL317" s="369" t="str">
        <f ca="1">IF($B317&lt;&gt;"PRC_RESID","",IF(AL$7=2005+OFFSET(COM_N_2012!$B$60,$AW317,SUMIF($B$10:$B$16,"NCAP_TLIFE",$AX$10:$AX$16)),0,""))</f>
        <v/>
      </c>
      <c r="AM317" s="369" t="str">
        <f ca="1">IF($B317&lt;&gt;"PRC_RESID","",IF(AM$7=2005+OFFSET(COM_N_2012!$B$60,$AW317,SUMIF($B$10:$B$16,"NCAP_TLIFE",$AX$10:$AX$16)),0,""))</f>
        <v/>
      </c>
      <c r="AN317" s="369" t="str">
        <f ca="1">IF($B317&lt;&gt;"PRC_RESID","",IF(AN$7=2005+OFFSET(COM_N_2012!$B$60,$AW317,SUMIF($B$10:$B$16,"NCAP_TLIFE",$AX$10:$AX$16)),0,""))</f>
        <v/>
      </c>
      <c r="AO317" s="369" t="str">
        <f ca="1">IF($B317&lt;&gt;"PRC_RESID","",IF(AO$7=2005+OFFSET(COM_N_2012!$B$60,$AW317,SUMIF($B$10:$B$16,"NCAP_TLIFE",$AX$10:$AX$16)),0,""))</f>
        <v/>
      </c>
      <c r="AP317" s="369" t="str">
        <f ca="1">IF($B317&lt;&gt;"PRC_RESID","",IF(AP$7=2005+OFFSET(COM_N_2012!$B$60,$AW317,SUMIF($B$10:$B$16,"NCAP_TLIFE",$AX$10:$AX$16)),0,""))</f>
        <v/>
      </c>
      <c r="AQ317" s="369" t="str">
        <f ca="1">IF($B317&lt;&gt;"PRC_RESID","",IF(AQ$7=2005+OFFSET(COM_N_2012!$B$60,$AW317,SUMIF($B$10:$B$16,"NCAP_TLIFE",$AX$10:$AX$16)),0,""))</f>
        <v/>
      </c>
      <c r="AR317" s="369" t="str">
        <f ca="1">IF($B317&lt;&gt;"PRC_RESID","",IF(AR$7=2005+OFFSET(COM_N_2012!$B$60,$AW317,SUMIF($B$10:$B$16,"NCAP_TLIFE",$AX$10:$AX$16)),0,""))</f>
        <v/>
      </c>
      <c r="AS317" s="369" t="str">
        <f ca="1">IF($B317&lt;&gt;"PRC_RESID","",IF(AS$7=2005+OFFSET(COM_N_2012!$B$60,$AW317,SUMIF($B$10:$B$16,"NCAP_TLIFE",$AX$10:$AX$16)),0,""))</f>
        <v/>
      </c>
      <c r="AT317" s="369" t="str">
        <f ca="1">IF($B317&lt;&gt;"PRC_RESID","",IF(AT$7=2005+OFFSET(COM_N_2012!$B$60,$AW317,SUMIF($B$10:$B$16,"NCAP_TLIFE",$AX$10:$AX$16)),0,""))</f>
        <v/>
      </c>
      <c r="AU317" s="369" t="str">
        <f ca="1">IF($B317&lt;&gt;"PRC_RESID","",IF(AU$7=2005+OFFSET(COM_N_2012!$B$60,$AW317,SUMIF($B$10:$B$16,"NCAP_TLIFE",$AX$10:$AX$16)),0,""))</f>
        <v/>
      </c>
      <c r="AV317" s="304">
        <f>IF(AW316=COM_N_2012!$AK$121,AV316+1,AV316)</f>
        <v>5</v>
      </c>
      <c r="AW317" s="304">
        <f t="shared" si="37"/>
        <v>56</v>
      </c>
    </row>
    <row r="318" spans="1:49">
      <c r="A318" s="304" t="str">
        <f ca="1">IF(LEFT(OFFSET(COM_N_2012!$A$60,AW318,0),2)="\I","*","")</f>
        <v/>
      </c>
      <c r="B318" s="369" t="str">
        <f t="shared" ca="1" si="36"/>
        <v>NCAP_FOM</v>
      </c>
      <c r="C318" s="369" t="str">
        <f ca="1">IF($A318="*","",OFFSET(COM_N_2012!$B$60,AW318,0))</f>
        <v>CNOOGS-E</v>
      </c>
      <c r="D318" s="369" t="str">
        <f t="shared" ref="D318:I327" ca="1" si="42">IF($A318="*","",VLOOKUP($B318,$B$10:$I$16,D$9,FALSE))</f>
        <v>-</v>
      </c>
      <c r="E318" s="369" t="str">
        <f t="shared" ca="1" si="42"/>
        <v>-</v>
      </c>
      <c r="F318" s="369" t="str">
        <f t="shared" ca="1" si="42"/>
        <v>-</v>
      </c>
      <c r="G318" s="369" t="str">
        <f t="shared" ca="1" si="42"/>
        <v>-</v>
      </c>
      <c r="H318" s="369" t="str">
        <f t="shared" ca="1" si="42"/>
        <v>-</v>
      </c>
      <c r="I318" s="370">
        <f t="shared" ca="1" si="42"/>
        <v>0</v>
      </c>
      <c r="J318" s="391">
        <f ca="1">IF($A318="*","",OFFSET(COM_N_2012!$B$60,AW318,SUMIF($B$10:$B$16,B318,$AX$10:$AX$16)))</f>
        <v>41.088682603593845</v>
      </c>
      <c r="K318" s="369" t="str">
        <f ca="1">IF($B318&lt;&gt;"PRC_RESID","",IF(K$7=2005+OFFSET(COM_N_2012!$B$60,$AW318,SUMIF($B$10:$B$16,"NCAP_TLIFE",$AX$10:$AX$16)),0,""))</f>
        <v/>
      </c>
      <c r="L318" s="369" t="str">
        <f ca="1">IF($B318&lt;&gt;"PRC_RESID","",IF(L$7=2005+OFFSET(COM_N_2012!$B$60,$AW318,SUMIF($B$10:$B$16,"NCAP_TLIFE",$AX$10:$AX$16)),0,""))</f>
        <v/>
      </c>
      <c r="M318" s="369" t="str">
        <f ca="1">IF($B318&lt;&gt;"PRC_RESID","",IF(M$7=2005+OFFSET(COM_N_2012!$B$60,$AW318,SUMIF($B$10:$B$16,"NCAP_TLIFE",$AX$10:$AX$16)),0,""))</f>
        <v/>
      </c>
      <c r="N318" s="369" t="str">
        <f ca="1">IF($B318&lt;&gt;"PRC_RESID","",IF(N$7=2005+OFFSET(COM_N_2012!$B$60,$AW318,SUMIF($B$10:$B$16,"NCAP_TLIFE",$AX$10:$AX$16)),0,""))</f>
        <v/>
      </c>
      <c r="O318" s="369" t="str">
        <f ca="1">IF($B318&lt;&gt;"PRC_RESID","",IF(O$7=2005+OFFSET(COM_N_2012!$B$60,$AW318,SUMIF($B$10:$B$16,"NCAP_TLIFE",$AX$10:$AX$16)),0,""))</f>
        <v/>
      </c>
      <c r="P318" s="369" t="str">
        <f ca="1">IF($B318&lt;&gt;"PRC_RESID","",IF(P$7=2005+OFFSET(COM_N_2012!$B$60,$AW318,SUMIF($B$10:$B$16,"NCAP_TLIFE",$AX$10:$AX$16)),0,""))</f>
        <v/>
      </c>
      <c r="Q318" s="369" t="str">
        <f ca="1">IF($B318&lt;&gt;"PRC_RESID","",IF(Q$7=2005+OFFSET(COM_N_2012!$B$60,$AW318,SUMIF($B$10:$B$16,"NCAP_TLIFE",$AX$10:$AX$16)),0,""))</f>
        <v/>
      </c>
      <c r="R318" s="369" t="str">
        <f ca="1">IF($B318&lt;&gt;"PRC_RESID","",IF(R$7=2005+OFFSET(COM_N_2012!$B$60,$AW318,SUMIF($B$10:$B$16,"NCAP_TLIFE",$AX$10:$AX$16)),0,""))</f>
        <v/>
      </c>
      <c r="S318" s="369" t="str">
        <f ca="1">IF($B318&lt;&gt;"PRC_RESID","",IF(S$7=2005+OFFSET(COM_N_2012!$B$60,$AW318,SUMIF($B$10:$B$16,"NCAP_TLIFE",$AX$10:$AX$16)),0,""))</f>
        <v/>
      </c>
      <c r="T318" s="369" t="str">
        <f ca="1">IF($B318&lt;&gt;"PRC_RESID","",IF(T$7=2005+OFFSET(COM_N_2012!$B$60,$AW318,SUMIF($B$10:$B$16,"NCAP_TLIFE",$AX$10:$AX$16)),0,""))</f>
        <v/>
      </c>
      <c r="U318" s="369" t="str">
        <f ca="1">IF($B318&lt;&gt;"PRC_RESID","",IF(U$7=2005+OFFSET(COM_N_2012!$B$60,$AW318,SUMIF($B$10:$B$16,"NCAP_TLIFE",$AX$10:$AX$16)),0,""))</f>
        <v/>
      </c>
      <c r="V318" s="369" t="str">
        <f ca="1">IF($B318&lt;&gt;"PRC_RESID","",IF(V$7=2005+OFFSET(COM_N_2012!$B$60,$AW318,SUMIF($B$10:$B$16,"NCAP_TLIFE",$AX$10:$AX$16)),0,""))</f>
        <v/>
      </c>
      <c r="W318" s="369" t="str">
        <f ca="1">IF($B318&lt;&gt;"PRC_RESID","",IF(W$7=2005+OFFSET(COM_N_2012!$B$60,$AW318,SUMIF($B$10:$B$16,"NCAP_TLIFE",$AX$10:$AX$16)),0,""))</f>
        <v/>
      </c>
      <c r="X318" s="369" t="str">
        <f ca="1">IF($B318&lt;&gt;"PRC_RESID","",IF(X$7=2005+OFFSET(COM_N_2012!$B$60,$AW318,SUMIF($B$10:$B$16,"NCAP_TLIFE",$AX$10:$AX$16)),0,""))</f>
        <v/>
      </c>
      <c r="Y318" s="369" t="str">
        <f ca="1">IF($B318&lt;&gt;"PRC_RESID","",IF(Y$7=2005+OFFSET(COM_N_2012!$B$60,$AW318,SUMIF($B$10:$B$16,"NCAP_TLIFE",$AX$10:$AX$16)),0,""))</f>
        <v/>
      </c>
      <c r="Z318" s="369" t="str">
        <f ca="1">IF($B318&lt;&gt;"PRC_RESID","",IF(Z$7=2005+OFFSET(COM_N_2012!$B$60,$AW318,SUMIF($B$10:$B$16,"NCAP_TLIFE",$AX$10:$AX$16)),0,""))</f>
        <v/>
      </c>
      <c r="AA318" s="369" t="str">
        <f ca="1">IF($B318&lt;&gt;"PRC_RESID","",IF(AA$7=2005+OFFSET(COM_N_2012!$B$60,$AW318,SUMIF($B$10:$B$16,"NCAP_TLIFE",$AX$10:$AX$16)),0,""))</f>
        <v/>
      </c>
      <c r="AB318" s="369" t="str">
        <f ca="1">IF($B318&lt;&gt;"PRC_RESID","",IF(AB$7=2005+OFFSET(COM_N_2012!$B$60,$AW318,SUMIF($B$10:$B$16,"NCAP_TLIFE",$AX$10:$AX$16)),0,""))</f>
        <v/>
      </c>
      <c r="AC318" s="369" t="str">
        <f ca="1">IF($B318&lt;&gt;"PRC_RESID","",IF(AC$7=2005+OFFSET(COM_N_2012!$B$60,$AW318,SUMIF($B$10:$B$16,"NCAP_TLIFE",$AX$10:$AX$16)),0,""))</f>
        <v/>
      </c>
      <c r="AD318" s="369" t="str">
        <f ca="1">IF($B318&lt;&gt;"PRC_RESID","",IF(AD$7=2005+OFFSET(COM_N_2012!$B$60,$AW318,SUMIF($B$10:$B$16,"NCAP_TLIFE",$AX$10:$AX$16)),0,""))</f>
        <v/>
      </c>
      <c r="AE318" s="369" t="str">
        <f ca="1">IF($B318&lt;&gt;"PRC_RESID","",IF(AE$7=2005+OFFSET(COM_N_2012!$B$60,$AW318,SUMIF($B$10:$B$16,"NCAP_TLIFE",$AX$10:$AX$16)),0,""))</f>
        <v/>
      </c>
      <c r="AF318" s="369" t="str">
        <f ca="1">IF($B318&lt;&gt;"PRC_RESID","",IF(AF$7=2005+OFFSET(COM_N_2012!$B$60,$AW318,SUMIF($B$10:$B$16,"NCAP_TLIFE",$AX$10:$AX$16)),0,""))</f>
        <v/>
      </c>
      <c r="AG318" s="369" t="str">
        <f ca="1">IF($B318&lt;&gt;"PRC_RESID","",IF(AG$7=2005+OFFSET(COM_N_2012!$B$60,$AW318,SUMIF($B$10:$B$16,"NCAP_TLIFE",$AX$10:$AX$16)),0,""))</f>
        <v/>
      </c>
      <c r="AH318" s="369" t="str">
        <f ca="1">IF($B318&lt;&gt;"PRC_RESID","",IF(AH$7=2005+OFFSET(COM_N_2012!$B$60,$AW318,SUMIF($B$10:$B$16,"NCAP_TLIFE",$AX$10:$AX$16)),0,""))</f>
        <v/>
      </c>
      <c r="AI318" s="369" t="str">
        <f ca="1">IF($B318&lt;&gt;"PRC_RESID","",IF(AI$7=2005+OFFSET(COM_N_2012!$B$60,$AW318,SUMIF($B$10:$B$16,"NCAP_TLIFE",$AX$10:$AX$16)),0,""))</f>
        <v/>
      </c>
      <c r="AJ318" s="369" t="str">
        <f ca="1">IF($B318&lt;&gt;"PRC_RESID","",IF(AJ$7=2005+OFFSET(COM_N_2012!$B$60,$AW318,SUMIF($B$10:$B$16,"NCAP_TLIFE",$AX$10:$AX$16)),0,""))</f>
        <v/>
      </c>
      <c r="AK318" s="369" t="str">
        <f ca="1">IF($B318&lt;&gt;"PRC_RESID","",IF(AK$7=2005+OFFSET(COM_N_2012!$B$60,$AW318,SUMIF($B$10:$B$16,"NCAP_TLIFE",$AX$10:$AX$16)),0,""))</f>
        <v/>
      </c>
      <c r="AL318" s="369" t="str">
        <f ca="1">IF($B318&lt;&gt;"PRC_RESID","",IF(AL$7=2005+OFFSET(COM_N_2012!$B$60,$AW318,SUMIF($B$10:$B$16,"NCAP_TLIFE",$AX$10:$AX$16)),0,""))</f>
        <v/>
      </c>
      <c r="AM318" s="369" t="str">
        <f ca="1">IF($B318&lt;&gt;"PRC_RESID","",IF(AM$7=2005+OFFSET(COM_N_2012!$B$60,$AW318,SUMIF($B$10:$B$16,"NCAP_TLIFE",$AX$10:$AX$16)),0,""))</f>
        <v/>
      </c>
      <c r="AN318" s="369" t="str">
        <f ca="1">IF($B318&lt;&gt;"PRC_RESID","",IF(AN$7=2005+OFFSET(COM_N_2012!$B$60,$AW318,SUMIF($B$10:$B$16,"NCAP_TLIFE",$AX$10:$AX$16)),0,""))</f>
        <v/>
      </c>
      <c r="AO318" s="369" t="str">
        <f ca="1">IF($B318&lt;&gt;"PRC_RESID","",IF(AO$7=2005+OFFSET(COM_N_2012!$B$60,$AW318,SUMIF($B$10:$B$16,"NCAP_TLIFE",$AX$10:$AX$16)),0,""))</f>
        <v/>
      </c>
      <c r="AP318" s="369" t="str">
        <f ca="1">IF($B318&lt;&gt;"PRC_RESID","",IF(AP$7=2005+OFFSET(COM_N_2012!$B$60,$AW318,SUMIF($B$10:$B$16,"NCAP_TLIFE",$AX$10:$AX$16)),0,""))</f>
        <v/>
      </c>
      <c r="AQ318" s="369" t="str">
        <f ca="1">IF($B318&lt;&gt;"PRC_RESID","",IF(AQ$7=2005+OFFSET(COM_N_2012!$B$60,$AW318,SUMIF($B$10:$B$16,"NCAP_TLIFE",$AX$10:$AX$16)),0,""))</f>
        <v/>
      </c>
      <c r="AR318" s="369" t="str">
        <f ca="1">IF($B318&lt;&gt;"PRC_RESID","",IF(AR$7=2005+OFFSET(COM_N_2012!$B$60,$AW318,SUMIF($B$10:$B$16,"NCAP_TLIFE",$AX$10:$AX$16)),0,""))</f>
        <v/>
      </c>
      <c r="AS318" s="369" t="str">
        <f ca="1">IF($B318&lt;&gt;"PRC_RESID","",IF(AS$7=2005+OFFSET(COM_N_2012!$B$60,$AW318,SUMIF($B$10:$B$16,"NCAP_TLIFE",$AX$10:$AX$16)),0,""))</f>
        <v/>
      </c>
      <c r="AT318" s="369" t="str">
        <f ca="1">IF($B318&lt;&gt;"PRC_RESID","",IF(AT$7=2005+OFFSET(COM_N_2012!$B$60,$AW318,SUMIF($B$10:$B$16,"NCAP_TLIFE",$AX$10:$AX$16)),0,""))</f>
        <v/>
      </c>
      <c r="AU318" s="369" t="str">
        <f ca="1">IF($B318&lt;&gt;"PRC_RESID","",IF(AU$7=2005+OFFSET(COM_N_2012!$B$60,$AW318,SUMIF($B$10:$B$16,"NCAP_TLIFE",$AX$10:$AX$16)),0,""))</f>
        <v/>
      </c>
      <c r="AV318" s="304">
        <f>IF(AW317=COM_N_2012!$AK$121,AV317+1,AV317)</f>
        <v>5</v>
      </c>
      <c r="AW318" s="304">
        <f t="shared" ref="AW318:AW332" si="43">IF(AV318=AV317,AW317+1,1)</f>
        <v>57</v>
      </c>
    </row>
    <row r="319" spans="1:49">
      <c r="A319" s="304" t="str">
        <f ca="1">IF(LEFT(OFFSET(COM_N_2012!$A$60,AW319,0),2)="\I","*","")</f>
        <v/>
      </c>
      <c r="B319" s="369" t="str">
        <f t="shared" ca="1" si="36"/>
        <v>NCAP_FOM</v>
      </c>
      <c r="C319" s="369" t="str">
        <f ca="1">IF($A319="*","",OFFSET(COM_N_2012!$B$60,AW319,0))</f>
        <v>CNOOHF-E</v>
      </c>
      <c r="D319" s="369" t="str">
        <f t="shared" ca="1" si="42"/>
        <v>-</v>
      </c>
      <c r="E319" s="369" t="str">
        <f t="shared" ca="1" si="42"/>
        <v>-</v>
      </c>
      <c r="F319" s="369" t="str">
        <f t="shared" ca="1" si="42"/>
        <v>-</v>
      </c>
      <c r="G319" s="369" t="str">
        <f t="shared" ca="1" si="42"/>
        <v>-</v>
      </c>
      <c r="H319" s="369" t="str">
        <f t="shared" ca="1" si="42"/>
        <v>-</v>
      </c>
      <c r="I319" s="370">
        <f t="shared" ca="1" si="42"/>
        <v>0</v>
      </c>
      <c r="J319" s="391">
        <f ca="1">IF($A319="*","",OFFSET(COM_N_2012!$B$60,AW319,SUMIF($B$10:$B$16,B319,$AX$10:$AX$16)))</f>
        <v>41.088682603593845</v>
      </c>
      <c r="K319" s="369" t="str">
        <f ca="1">IF($B319&lt;&gt;"PRC_RESID","",IF(K$7=2005+OFFSET(COM_N_2012!$B$60,$AW319,SUMIF($B$10:$B$16,"NCAP_TLIFE",$AX$10:$AX$16)),0,""))</f>
        <v/>
      </c>
      <c r="L319" s="369" t="str">
        <f ca="1">IF($B319&lt;&gt;"PRC_RESID","",IF(L$7=2005+OFFSET(COM_N_2012!$B$60,$AW319,SUMIF($B$10:$B$16,"NCAP_TLIFE",$AX$10:$AX$16)),0,""))</f>
        <v/>
      </c>
      <c r="M319" s="369" t="str">
        <f ca="1">IF($B319&lt;&gt;"PRC_RESID","",IF(M$7=2005+OFFSET(COM_N_2012!$B$60,$AW319,SUMIF($B$10:$B$16,"NCAP_TLIFE",$AX$10:$AX$16)),0,""))</f>
        <v/>
      </c>
      <c r="N319" s="369" t="str">
        <f ca="1">IF($B319&lt;&gt;"PRC_RESID","",IF(N$7=2005+OFFSET(COM_N_2012!$B$60,$AW319,SUMIF($B$10:$B$16,"NCAP_TLIFE",$AX$10:$AX$16)),0,""))</f>
        <v/>
      </c>
      <c r="O319" s="369" t="str">
        <f ca="1">IF($B319&lt;&gt;"PRC_RESID","",IF(O$7=2005+OFFSET(COM_N_2012!$B$60,$AW319,SUMIF($B$10:$B$16,"NCAP_TLIFE",$AX$10:$AX$16)),0,""))</f>
        <v/>
      </c>
      <c r="P319" s="369" t="str">
        <f ca="1">IF($B319&lt;&gt;"PRC_RESID","",IF(P$7=2005+OFFSET(COM_N_2012!$B$60,$AW319,SUMIF($B$10:$B$16,"NCAP_TLIFE",$AX$10:$AX$16)),0,""))</f>
        <v/>
      </c>
      <c r="Q319" s="369" t="str">
        <f ca="1">IF($B319&lt;&gt;"PRC_RESID","",IF(Q$7=2005+OFFSET(COM_N_2012!$B$60,$AW319,SUMIF($B$10:$B$16,"NCAP_TLIFE",$AX$10:$AX$16)),0,""))</f>
        <v/>
      </c>
      <c r="R319" s="369" t="str">
        <f ca="1">IF($B319&lt;&gt;"PRC_RESID","",IF(R$7=2005+OFFSET(COM_N_2012!$B$60,$AW319,SUMIF($B$10:$B$16,"NCAP_TLIFE",$AX$10:$AX$16)),0,""))</f>
        <v/>
      </c>
      <c r="S319" s="369" t="str">
        <f ca="1">IF($B319&lt;&gt;"PRC_RESID","",IF(S$7=2005+OFFSET(COM_N_2012!$B$60,$AW319,SUMIF($B$10:$B$16,"NCAP_TLIFE",$AX$10:$AX$16)),0,""))</f>
        <v/>
      </c>
      <c r="T319" s="369" t="str">
        <f ca="1">IF($B319&lt;&gt;"PRC_RESID","",IF(T$7=2005+OFFSET(COM_N_2012!$B$60,$AW319,SUMIF($B$10:$B$16,"NCAP_TLIFE",$AX$10:$AX$16)),0,""))</f>
        <v/>
      </c>
      <c r="U319" s="369" t="str">
        <f ca="1">IF($B319&lt;&gt;"PRC_RESID","",IF(U$7=2005+OFFSET(COM_N_2012!$B$60,$AW319,SUMIF($B$10:$B$16,"NCAP_TLIFE",$AX$10:$AX$16)),0,""))</f>
        <v/>
      </c>
      <c r="V319" s="369" t="str">
        <f ca="1">IF($B319&lt;&gt;"PRC_RESID","",IF(V$7=2005+OFFSET(COM_N_2012!$B$60,$AW319,SUMIF($B$10:$B$16,"NCAP_TLIFE",$AX$10:$AX$16)),0,""))</f>
        <v/>
      </c>
      <c r="W319" s="369" t="str">
        <f ca="1">IF($B319&lt;&gt;"PRC_RESID","",IF(W$7=2005+OFFSET(COM_N_2012!$B$60,$AW319,SUMIF($B$10:$B$16,"NCAP_TLIFE",$AX$10:$AX$16)),0,""))</f>
        <v/>
      </c>
      <c r="X319" s="369" t="str">
        <f ca="1">IF($B319&lt;&gt;"PRC_RESID","",IF(X$7=2005+OFFSET(COM_N_2012!$B$60,$AW319,SUMIF($B$10:$B$16,"NCAP_TLIFE",$AX$10:$AX$16)),0,""))</f>
        <v/>
      </c>
      <c r="Y319" s="369" t="str">
        <f ca="1">IF($B319&lt;&gt;"PRC_RESID","",IF(Y$7=2005+OFFSET(COM_N_2012!$B$60,$AW319,SUMIF($B$10:$B$16,"NCAP_TLIFE",$AX$10:$AX$16)),0,""))</f>
        <v/>
      </c>
      <c r="Z319" s="369" t="str">
        <f ca="1">IF($B319&lt;&gt;"PRC_RESID","",IF(Z$7=2005+OFFSET(COM_N_2012!$B$60,$AW319,SUMIF($B$10:$B$16,"NCAP_TLIFE",$AX$10:$AX$16)),0,""))</f>
        <v/>
      </c>
      <c r="AA319" s="369" t="str">
        <f ca="1">IF($B319&lt;&gt;"PRC_RESID","",IF(AA$7=2005+OFFSET(COM_N_2012!$B$60,$AW319,SUMIF($B$10:$B$16,"NCAP_TLIFE",$AX$10:$AX$16)),0,""))</f>
        <v/>
      </c>
      <c r="AB319" s="369" t="str">
        <f ca="1">IF($B319&lt;&gt;"PRC_RESID","",IF(AB$7=2005+OFFSET(COM_N_2012!$B$60,$AW319,SUMIF($B$10:$B$16,"NCAP_TLIFE",$AX$10:$AX$16)),0,""))</f>
        <v/>
      </c>
      <c r="AC319" s="369" t="str">
        <f ca="1">IF($B319&lt;&gt;"PRC_RESID","",IF(AC$7=2005+OFFSET(COM_N_2012!$B$60,$AW319,SUMIF($B$10:$B$16,"NCAP_TLIFE",$AX$10:$AX$16)),0,""))</f>
        <v/>
      </c>
      <c r="AD319" s="369" t="str">
        <f ca="1">IF($B319&lt;&gt;"PRC_RESID","",IF(AD$7=2005+OFFSET(COM_N_2012!$B$60,$AW319,SUMIF($B$10:$B$16,"NCAP_TLIFE",$AX$10:$AX$16)),0,""))</f>
        <v/>
      </c>
      <c r="AE319" s="369" t="str">
        <f ca="1">IF($B319&lt;&gt;"PRC_RESID","",IF(AE$7=2005+OFFSET(COM_N_2012!$B$60,$AW319,SUMIF($B$10:$B$16,"NCAP_TLIFE",$AX$10:$AX$16)),0,""))</f>
        <v/>
      </c>
      <c r="AF319" s="369" t="str">
        <f ca="1">IF($B319&lt;&gt;"PRC_RESID","",IF(AF$7=2005+OFFSET(COM_N_2012!$B$60,$AW319,SUMIF($B$10:$B$16,"NCAP_TLIFE",$AX$10:$AX$16)),0,""))</f>
        <v/>
      </c>
      <c r="AG319" s="369" t="str">
        <f ca="1">IF($B319&lt;&gt;"PRC_RESID","",IF(AG$7=2005+OFFSET(COM_N_2012!$B$60,$AW319,SUMIF($B$10:$B$16,"NCAP_TLIFE",$AX$10:$AX$16)),0,""))</f>
        <v/>
      </c>
      <c r="AH319" s="369" t="str">
        <f ca="1">IF($B319&lt;&gt;"PRC_RESID","",IF(AH$7=2005+OFFSET(COM_N_2012!$B$60,$AW319,SUMIF($B$10:$B$16,"NCAP_TLIFE",$AX$10:$AX$16)),0,""))</f>
        <v/>
      </c>
      <c r="AI319" s="369" t="str">
        <f ca="1">IF($B319&lt;&gt;"PRC_RESID","",IF(AI$7=2005+OFFSET(COM_N_2012!$B$60,$AW319,SUMIF($B$10:$B$16,"NCAP_TLIFE",$AX$10:$AX$16)),0,""))</f>
        <v/>
      </c>
      <c r="AJ319" s="369" t="str">
        <f ca="1">IF($B319&lt;&gt;"PRC_RESID","",IF(AJ$7=2005+OFFSET(COM_N_2012!$B$60,$AW319,SUMIF($B$10:$B$16,"NCAP_TLIFE",$AX$10:$AX$16)),0,""))</f>
        <v/>
      </c>
      <c r="AK319" s="369" t="str">
        <f ca="1">IF($B319&lt;&gt;"PRC_RESID","",IF(AK$7=2005+OFFSET(COM_N_2012!$B$60,$AW319,SUMIF($B$10:$B$16,"NCAP_TLIFE",$AX$10:$AX$16)),0,""))</f>
        <v/>
      </c>
      <c r="AL319" s="369" t="str">
        <f ca="1">IF($B319&lt;&gt;"PRC_RESID","",IF(AL$7=2005+OFFSET(COM_N_2012!$B$60,$AW319,SUMIF($B$10:$B$16,"NCAP_TLIFE",$AX$10:$AX$16)),0,""))</f>
        <v/>
      </c>
      <c r="AM319" s="369" t="str">
        <f ca="1">IF($B319&lt;&gt;"PRC_RESID","",IF(AM$7=2005+OFFSET(COM_N_2012!$B$60,$AW319,SUMIF($B$10:$B$16,"NCAP_TLIFE",$AX$10:$AX$16)),0,""))</f>
        <v/>
      </c>
      <c r="AN319" s="369" t="str">
        <f ca="1">IF($B319&lt;&gt;"PRC_RESID","",IF(AN$7=2005+OFFSET(COM_N_2012!$B$60,$AW319,SUMIF($B$10:$B$16,"NCAP_TLIFE",$AX$10:$AX$16)),0,""))</f>
        <v/>
      </c>
      <c r="AO319" s="369" t="str">
        <f ca="1">IF($B319&lt;&gt;"PRC_RESID","",IF(AO$7=2005+OFFSET(COM_N_2012!$B$60,$AW319,SUMIF($B$10:$B$16,"NCAP_TLIFE",$AX$10:$AX$16)),0,""))</f>
        <v/>
      </c>
      <c r="AP319" s="369" t="str">
        <f ca="1">IF($B319&lt;&gt;"PRC_RESID","",IF(AP$7=2005+OFFSET(COM_N_2012!$B$60,$AW319,SUMIF($B$10:$B$16,"NCAP_TLIFE",$AX$10:$AX$16)),0,""))</f>
        <v/>
      </c>
      <c r="AQ319" s="369" t="str">
        <f ca="1">IF($B319&lt;&gt;"PRC_RESID","",IF(AQ$7=2005+OFFSET(COM_N_2012!$B$60,$AW319,SUMIF($B$10:$B$16,"NCAP_TLIFE",$AX$10:$AX$16)),0,""))</f>
        <v/>
      </c>
      <c r="AR319" s="369" t="str">
        <f ca="1">IF($B319&lt;&gt;"PRC_RESID","",IF(AR$7=2005+OFFSET(COM_N_2012!$B$60,$AW319,SUMIF($B$10:$B$16,"NCAP_TLIFE",$AX$10:$AX$16)),0,""))</f>
        <v/>
      </c>
      <c r="AS319" s="369" t="str">
        <f ca="1">IF($B319&lt;&gt;"PRC_RESID","",IF(AS$7=2005+OFFSET(COM_N_2012!$B$60,$AW319,SUMIF($B$10:$B$16,"NCAP_TLIFE",$AX$10:$AX$16)),0,""))</f>
        <v/>
      </c>
      <c r="AT319" s="369" t="str">
        <f ca="1">IF($B319&lt;&gt;"PRC_RESID","",IF(AT$7=2005+OFFSET(COM_N_2012!$B$60,$AW319,SUMIF($B$10:$B$16,"NCAP_TLIFE",$AX$10:$AX$16)),0,""))</f>
        <v/>
      </c>
      <c r="AU319" s="369" t="str">
        <f ca="1">IF($B319&lt;&gt;"PRC_RESID","",IF(AU$7=2005+OFFSET(COM_N_2012!$B$60,$AW319,SUMIF($B$10:$B$16,"NCAP_TLIFE",$AX$10:$AX$16)),0,""))</f>
        <v/>
      </c>
      <c r="AV319" s="304">
        <f>IF(AW318=COM_N_2012!$AK$121,AV318+1,AV318)</f>
        <v>5</v>
      </c>
      <c r="AW319" s="304">
        <f t="shared" si="43"/>
        <v>58</v>
      </c>
    </row>
    <row r="320" spans="1:49">
      <c r="A320" s="304" t="str">
        <f ca="1">IF(LEFT(OFFSET(COM_N_2012!$A$60,AW320,0),2)="\I","*","")</f>
        <v/>
      </c>
      <c r="B320" s="369" t="str">
        <f t="shared" ca="1" si="36"/>
        <v>NCAP_FOM</v>
      </c>
      <c r="C320" s="369" t="str">
        <f ca="1">IF($A320="*","",OFFSET(COM_N_2012!$B$60,AW320,0))</f>
        <v>CNOOKE-E</v>
      </c>
      <c r="D320" s="369" t="str">
        <f t="shared" ca="1" si="42"/>
        <v>-</v>
      </c>
      <c r="E320" s="369" t="str">
        <f t="shared" ca="1" si="42"/>
        <v>-</v>
      </c>
      <c r="F320" s="369" t="str">
        <f t="shared" ca="1" si="42"/>
        <v>-</v>
      </c>
      <c r="G320" s="369" t="str">
        <f t="shared" ca="1" si="42"/>
        <v>-</v>
      </c>
      <c r="H320" s="369" t="str">
        <f t="shared" ca="1" si="42"/>
        <v>-</v>
      </c>
      <c r="I320" s="370">
        <f t="shared" ca="1" si="42"/>
        <v>0</v>
      </c>
      <c r="J320" s="391">
        <f ca="1">IF($A320="*","",OFFSET(COM_N_2012!$B$60,AW320,SUMIF($B$10:$B$16,B320,$AX$10:$AX$16)))</f>
        <v>41.088682603593845</v>
      </c>
      <c r="K320" s="369" t="str">
        <f ca="1">IF($B320&lt;&gt;"PRC_RESID","",IF(K$7=2005+OFFSET(COM_N_2012!$B$60,$AW320,SUMIF($B$10:$B$16,"NCAP_TLIFE",$AX$10:$AX$16)),0,""))</f>
        <v/>
      </c>
      <c r="L320" s="369" t="str">
        <f ca="1">IF($B320&lt;&gt;"PRC_RESID","",IF(L$7=2005+OFFSET(COM_N_2012!$B$60,$AW320,SUMIF($B$10:$B$16,"NCAP_TLIFE",$AX$10:$AX$16)),0,""))</f>
        <v/>
      </c>
      <c r="M320" s="369" t="str">
        <f ca="1">IF($B320&lt;&gt;"PRC_RESID","",IF(M$7=2005+OFFSET(COM_N_2012!$B$60,$AW320,SUMIF($B$10:$B$16,"NCAP_TLIFE",$AX$10:$AX$16)),0,""))</f>
        <v/>
      </c>
      <c r="N320" s="369" t="str">
        <f ca="1">IF($B320&lt;&gt;"PRC_RESID","",IF(N$7=2005+OFFSET(COM_N_2012!$B$60,$AW320,SUMIF($B$10:$B$16,"NCAP_TLIFE",$AX$10:$AX$16)),0,""))</f>
        <v/>
      </c>
      <c r="O320" s="369" t="str">
        <f ca="1">IF($B320&lt;&gt;"PRC_RESID","",IF(O$7=2005+OFFSET(COM_N_2012!$B$60,$AW320,SUMIF($B$10:$B$16,"NCAP_TLIFE",$AX$10:$AX$16)),0,""))</f>
        <v/>
      </c>
      <c r="P320" s="369" t="str">
        <f ca="1">IF($B320&lt;&gt;"PRC_RESID","",IF(P$7=2005+OFFSET(COM_N_2012!$B$60,$AW320,SUMIF($B$10:$B$16,"NCAP_TLIFE",$AX$10:$AX$16)),0,""))</f>
        <v/>
      </c>
      <c r="Q320" s="369" t="str">
        <f ca="1">IF($B320&lt;&gt;"PRC_RESID","",IF(Q$7=2005+OFFSET(COM_N_2012!$B$60,$AW320,SUMIF($B$10:$B$16,"NCAP_TLIFE",$AX$10:$AX$16)),0,""))</f>
        <v/>
      </c>
      <c r="R320" s="369" t="str">
        <f ca="1">IF($B320&lt;&gt;"PRC_RESID","",IF(R$7=2005+OFFSET(COM_N_2012!$B$60,$AW320,SUMIF($B$10:$B$16,"NCAP_TLIFE",$AX$10:$AX$16)),0,""))</f>
        <v/>
      </c>
      <c r="S320" s="369" t="str">
        <f ca="1">IF($B320&lt;&gt;"PRC_RESID","",IF(S$7=2005+OFFSET(COM_N_2012!$B$60,$AW320,SUMIF($B$10:$B$16,"NCAP_TLIFE",$AX$10:$AX$16)),0,""))</f>
        <v/>
      </c>
      <c r="T320" s="369" t="str">
        <f ca="1">IF($B320&lt;&gt;"PRC_RESID","",IF(T$7=2005+OFFSET(COM_N_2012!$B$60,$AW320,SUMIF($B$10:$B$16,"NCAP_TLIFE",$AX$10:$AX$16)),0,""))</f>
        <v/>
      </c>
      <c r="U320" s="369" t="str">
        <f ca="1">IF($B320&lt;&gt;"PRC_RESID","",IF(U$7=2005+OFFSET(COM_N_2012!$B$60,$AW320,SUMIF($B$10:$B$16,"NCAP_TLIFE",$AX$10:$AX$16)),0,""))</f>
        <v/>
      </c>
      <c r="V320" s="369" t="str">
        <f ca="1">IF($B320&lt;&gt;"PRC_RESID","",IF(V$7=2005+OFFSET(COM_N_2012!$B$60,$AW320,SUMIF($B$10:$B$16,"NCAP_TLIFE",$AX$10:$AX$16)),0,""))</f>
        <v/>
      </c>
      <c r="W320" s="369" t="str">
        <f ca="1">IF($B320&lt;&gt;"PRC_RESID","",IF(W$7=2005+OFFSET(COM_N_2012!$B$60,$AW320,SUMIF($B$10:$B$16,"NCAP_TLIFE",$AX$10:$AX$16)),0,""))</f>
        <v/>
      </c>
      <c r="X320" s="369" t="str">
        <f ca="1">IF($B320&lt;&gt;"PRC_RESID","",IF(X$7=2005+OFFSET(COM_N_2012!$B$60,$AW320,SUMIF($B$10:$B$16,"NCAP_TLIFE",$AX$10:$AX$16)),0,""))</f>
        <v/>
      </c>
      <c r="Y320" s="369" t="str">
        <f ca="1">IF($B320&lt;&gt;"PRC_RESID","",IF(Y$7=2005+OFFSET(COM_N_2012!$B$60,$AW320,SUMIF($B$10:$B$16,"NCAP_TLIFE",$AX$10:$AX$16)),0,""))</f>
        <v/>
      </c>
      <c r="Z320" s="369" t="str">
        <f ca="1">IF($B320&lt;&gt;"PRC_RESID","",IF(Z$7=2005+OFFSET(COM_N_2012!$B$60,$AW320,SUMIF($B$10:$B$16,"NCAP_TLIFE",$AX$10:$AX$16)),0,""))</f>
        <v/>
      </c>
      <c r="AA320" s="369" t="str">
        <f ca="1">IF($B320&lt;&gt;"PRC_RESID","",IF(AA$7=2005+OFFSET(COM_N_2012!$B$60,$AW320,SUMIF($B$10:$B$16,"NCAP_TLIFE",$AX$10:$AX$16)),0,""))</f>
        <v/>
      </c>
      <c r="AB320" s="369" t="str">
        <f ca="1">IF($B320&lt;&gt;"PRC_RESID","",IF(AB$7=2005+OFFSET(COM_N_2012!$B$60,$AW320,SUMIF($B$10:$B$16,"NCAP_TLIFE",$AX$10:$AX$16)),0,""))</f>
        <v/>
      </c>
      <c r="AC320" s="369" t="str">
        <f ca="1">IF($B320&lt;&gt;"PRC_RESID","",IF(AC$7=2005+OFFSET(COM_N_2012!$B$60,$AW320,SUMIF($B$10:$B$16,"NCAP_TLIFE",$AX$10:$AX$16)),0,""))</f>
        <v/>
      </c>
      <c r="AD320" s="369" t="str">
        <f ca="1">IF($B320&lt;&gt;"PRC_RESID","",IF(AD$7=2005+OFFSET(COM_N_2012!$B$60,$AW320,SUMIF($B$10:$B$16,"NCAP_TLIFE",$AX$10:$AX$16)),0,""))</f>
        <v/>
      </c>
      <c r="AE320" s="369" t="str">
        <f ca="1">IF($B320&lt;&gt;"PRC_RESID","",IF(AE$7=2005+OFFSET(COM_N_2012!$B$60,$AW320,SUMIF($B$10:$B$16,"NCAP_TLIFE",$AX$10:$AX$16)),0,""))</f>
        <v/>
      </c>
      <c r="AF320" s="369" t="str">
        <f ca="1">IF($B320&lt;&gt;"PRC_RESID","",IF(AF$7=2005+OFFSET(COM_N_2012!$B$60,$AW320,SUMIF($B$10:$B$16,"NCAP_TLIFE",$AX$10:$AX$16)),0,""))</f>
        <v/>
      </c>
      <c r="AG320" s="369" t="str">
        <f ca="1">IF($B320&lt;&gt;"PRC_RESID","",IF(AG$7=2005+OFFSET(COM_N_2012!$B$60,$AW320,SUMIF($B$10:$B$16,"NCAP_TLIFE",$AX$10:$AX$16)),0,""))</f>
        <v/>
      </c>
      <c r="AH320" s="369" t="str">
        <f ca="1">IF($B320&lt;&gt;"PRC_RESID","",IF(AH$7=2005+OFFSET(COM_N_2012!$B$60,$AW320,SUMIF($B$10:$B$16,"NCAP_TLIFE",$AX$10:$AX$16)),0,""))</f>
        <v/>
      </c>
      <c r="AI320" s="369" t="str">
        <f ca="1">IF($B320&lt;&gt;"PRC_RESID","",IF(AI$7=2005+OFFSET(COM_N_2012!$B$60,$AW320,SUMIF($B$10:$B$16,"NCAP_TLIFE",$AX$10:$AX$16)),0,""))</f>
        <v/>
      </c>
      <c r="AJ320" s="369" t="str">
        <f ca="1">IF($B320&lt;&gt;"PRC_RESID","",IF(AJ$7=2005+OFFSET(COM_N_2012!$B$60,$AW320,SUMIF($B$10:$B$16,"NCAP_TLIFE",$AX$10:$AX$16)),0,""))</f>
        <v/>
      </c>
      <c r="AK320" s="369" t="str">
        <f ca="1">IF($B320&lt;&gt;"PRC_RESID","",IF(AK$7=2005+OFFSET(COM_N_2012!$B$60,$AW320,SUMIF($B$10:$B$16,"NCAP_TLIFE",$AX$10:$AX$16)),0,""))</f>
        <v/>
      </c>
      <c r="AL320" s="369" t="str">
        <f ca="1">IF($B320&lt;&gt;"PRC_RESID","",IF(AL$7=2005+OFFSET(COM_N_2012!$B$60,$AW320,SUMIF($B$10:$B$16,"NCAP_TLIFE",$AX$10:$AX$16)),0,""))</f>
        <v/>
      </c>
      <c r="AM320" s="369" t="str">
        <f ca="1">IF($B320&lt;&gt;"PRC_RESID","",IF(AM$7=2005+OFFSET(COM_N_2012!$B$60,$AW320,SUMIF($B$10:$B$16,"NCAP_TLIFE",$AX$10:$AX$16)),0,""))</f>
        <v/>
      </c>
      <c r="AN320" s="369" t="str">
        <f ca="1">IF($B320&lt;&gt;"PRC_RESID","",IF(AN$7=2005+OFFSET(COM_N_2012!$B$60,$AW320,SUMIF($B$10:$B$16,"NCAP_TLIFE",$AX$10:$AX$16)),0,""))</f>
        <v/>
      </c>
      <c r="AO320" s="369" t="str">
        <f ca="1">IF($B320&lt;&gt;"PRC_RESID","",IF(AO$7=2005+OFFSET(COM_N_2012!$B$60,$AW320,SUMIF($B$10:$B$16,"NCAP_TLIFE",$AX$10:$AX$16)),0,""))</f>
        <v/>
      </c>
      <c r="AP320" s="369" t="str">
        <f ca="1">IF($B320&lt;&gt;"PRC_RESID","",IF(AP$7=2005+OFFSET(COM_N_2012!$B$60,$AW320,SUMIF($B$10:$B$16,"NCAP_TLIFE",$AX$10:$AX$16)),0,""))</f>
        <v/>
      </c>
      <c r="AQ320" s="369" t="str">
        <f ca="1">IF($B320&lt;&gt;"PRC_RESID","",IF(AQ$7=2005+OFFSET(COM_N_2012!$B$60,$AW320,SUMIF($B$10:$B$16,"NCAP_TLIFE",$AX$10:$AX$16)),0,""))</f>
        <v/>
      </c>
      <c r="AR320" s="369" t="str">
        <f ca="1">IF($B320&lt;&gt;"PRC_RESID","",IF(AR$7=2005+OFFSET(COM_N_2012!$B$60,$AW320,SUMIF($B$10:$B$16,"NCAP_TLIFE",$AX$10:$AX$16)),0,""))</f>
        <v/>
      </c>
      <c r="AS320" s="369" t="str">
        <f ca="1">IF($B320&lt;&gt;"PRC_RESID","",IF(AS$7=2005+OFFSET(COM_N_2012!$B$60,$AW320,SUMIF($B$10:$B$16,"NCAP_TLIFE",$AX$10:$AX$16)),0,""))</f>
        <v/>
      </c>
      <c r="AT320" s="369" t="str">
        <f ca="1">IF($B320&lt;&gt;"PRC_RESID","",IF(AT$7=2005+OFFSET(COM_N_2012!$B$60,$AW320,SUMIF($B$10:$B$16,"NCAP_TLIFE",$AX$10:$AX$16)),0,""))</f>
        <v/>
      </c>
      <c r="AU320" s="369" t="str">
        <f ca="1">IF($B320&lt;&gt;"PRC_RESID","",IF(AU$7=2005+OFFSET(COM_N_2012!$B$60,$AW320,SUMIF($B$10:$B$16,"NCAP_TLIFE",$AX$10:$AX$16)),0,""))</f>
        <v/>
      </c>
      <c r="AV320" s="304">
        <f>IF(AW319=COM_N_2012!$AK$121,AV319+1,AV319)</f>
        <v>5</v>
      </c>
      <c r="AW320" s="304">
        <f t="shared" si="43"/>
        <v>59</v>
      </c>
    </row>
    <row r="321" spans="1:49">
      <c r="A321" s="304" t="str">
        <f ca="1">IF(LEFT(OFFSET(COM_N_2012!$A$60,AW321,0),2)="\I","*","")</f>
        <v>*</v>
      </c>
      <c r="B321" s="369" t="str">
        <f t="shared" ca="1" si="36"/>
        <v/>
      </c>
      <c r="C321" s="369" t="str">
        <f ca="1">IF($A321="*","",OFFSET(COM_N_2012!$B$60,AW321,0))</f>
        <v/>
      </c>
      <c r="D321" s="369" t="str">
        <f t="shared" ca="1" si="42"/>
        <v/>
      </c>
      <c r="E321" s="369" t="str">
        <f t="shared" ca="1" si="42"/>
        <v/>
      </c>
      <c r="F321" s="369" t="str">
        <f t="shared" ca="1" si="42"/>
        <v/>
      </c>
      <c r="G321" s="369" t="str">
        <f t="shared" ca="1" si="42"/>
        <v/>
      </c>
      <c r="H321" s="369" t="str">
        <f t="shared" ca="1" si="42"/>
        <v/>
      </c>
      <c r="I321" s="370" t="str">
        <f t="shared" ca="1" si="42"/>
        <v/>
      </c>
      <c r="J321" s="391" t="str">
        <f ca="1">IF($A321="*","",OFFSET(COM_N_2012!$B$60,AW321,SUMIF($B$10:$B$16,B321,$AX$10:$AX$16)))</f>
        <v/>
      </c>
      <c r="K321" s="369" t="str">
        <f ca="1">IF($B321&lt;&gt;"PRC_RESID","",IF(K$7=2005+OFFSET(COM_N_2012!$B$60,$AW321,SUMIF($B$10:$B$16,"NCAP_TLIFE",$AX$10:$AX$16)),0,""))</f>
        <v/>
      </c>
      <c r="L321" s="369" t="str">
        <f ca="1">IF($B321&lt;&gt;"PRC_RESID","",IF(L$7=2005+OFFSET(COM_N_2012!$B$60,$AW321,SUMIF($B$10:$B$16,"NCAP_TLIFE",$AX$10:$AX$16)),0,""))</f>
        <v/>
      </c>
      <c r="M321" s="369" t="str">
        <f ca="1">IF($B321&lt;&gt;"PRC_RESID","",IF(M$7=2005+OFFSET(COM_N_2012!$B$60,$AW321,SUMIF($B$10:$B$16,"NCAP_TLIFE",$AX$10:$AX$16)),0,""))</f>
        <v/>
      </c>
      <c r="N321" s="369" t="str">
        <f ca="1">IF($B321&lt;&gt;"PRC_RESID","",IF(N$7=2005+OFFSET(COM_N_2012!$B$60,$AW321,SUMIF($B$10:$B$16,"NCAP_TLIFE",$AX$10:$AX$16)),0,""))</f>
        <v/>
      </c>
      <c r="O321" s="369" t="str">
        <f ca="1">IF($B321&lt;&gt;"PRC_RESID","",IF(O$7=2005+OFFSET(COM_N_2012!$B$60,$AW321,SUMIF($B$10:$B$16,"NCAP_TLIFE",$AX$10:$AX$16)),0,""))</f>
        <v/>
      </c>
      <c r="P321" s="369" t="str">
        <f ca="1">IF($B321&lt;&gt;"PRC_RESID","",IF(P$7=2005+OFFSET(COM_N_2012!$B$60,$AW321,SUMIF($B$10:$B$16,"NCAP_TLIFE",$AX$10:$AX$16)),0,""))</f>
        <v/>
      </c>
      <c r="Q321" s="369" t="str">
        <f ca="1">IF($B321&lt;&gt;"PRC_RESID","",IF(Q$7=2005+OFFSET(COM_N_2012!$B$60,$AW321,SUMIF($B$10:$B$16,"NCAP_TLIFE",$AX$10:$AX$16)),0,""))</f>
        <v/>
      </c>
      <c r="R321" s="369" t="str">
        <f ca="1">IF($B321&lt;&gt;"PRC_RESID","",IF(R$7=2005+OFFSET(COM_N_2012!$B$60,$AW321,SUMIF($B$10:$B$16,"NCAP_TLIFE",$AX$10:$AX$16)),0,""))</f>
        <v/>
      </c>
      <c r="S321" s="369" t="str">
        <f ca="1">IF($B321&lt;&gt;"PRC_RESID","",IF(S$7=2005+OFFSET(COM_N_2012!$B$60,$AW321,SUMIF($B$10:$B$16,"NCAP_TLIFE",$AX$10:$AX$16)),0,""))</f>
        <v/>
      </c>
      <c r="T321" s="369" t="str">
        <f ca="1">IF($B321&lt;&gt;"PRC_RESID","",IF(T$7=2005+OFFSET(COM_N_2012!$B$60,$AW321,SUMIF($B$10:$B$16,"NCAP_TLIFE",$AX$10:$AX$16)),0,""))</f>
        <v/>
      </c>
      <c r="U321" s="369" t="str">
        <f ca="1">IF($B321&lt;&gt;"PRC_RESID","",IF(U$7=2005+OFFSET(COM_N_2012!$B$60,$AW321,SUMIF($B$10:$B$16,"NCAP_TLIFE",$AX$10:$AX$16)),0,""))</f>
        <v/>
      </c>
      <c r="V321" s="369" t="str">
        <f ca="1">IF($B321&lt;&gt;"PRC_RESID","",IF(V$7=2005+OFFSET(COM_N_2012!$B$60,$AW321,SUMIF($B$10:$B$16,"NCAP_TLIFE",$AX$10:$AX$16)),0,""))</f>
        <v/>
      </c>
      <c r="W321" s="369" t="str">
        <f ca="1">IF($B321&lt;&gt;"PRC_RESID","",IF(W$7=2005+OFFSET(COM_N_2012!$B$60,$AW321,SUMIF($B$10:$B$16,"NCAP_TLIFE",$AX$10:$AX$16)),0,""))</f>
        <v/>
      </c>
      <c r="X321" s="369" t="str">
        <f ca="1">IF($B321&lt;&gt;"PRC_RESID","",IF(X$7=2005+OFFSET(COM_N_2012!$B$60,$AW321,SUMIF($B$10:$B$16,"NCAP_TLIFE",$AX$10:$AX$16)),0,""))</f>
        <v/>
      </c>
      <c r="Y321" s="369" t="str">
        <f ca="1">IF($B321&lt;&gt;"PRC_RESID","",IF(Y$7=2005+OFFSET(COM_N_2012!$B$60,$AW321,SUMIF($B$10:$B$16,"NCAP_TLIFE",$AX$10:$AX$16)),0,""))</f>
        <v/>
      </c>
      <c r="Z321" s="369" t="str">
        <f ca="1">IF($B321&lt;&gt;"PRC_RESID","",IF(Z$7=2005+OFFSET(COM_N_2012!$B$60,$AW321,SUMIF($B$10:$B$16,"NCAP_TLIFE",$AX$10:$AX$16)),0,""))</f>
        <v/>
      </c>
      <c r="AA321" s="369" t="str">
        <f ca="1">IF($B321&lt;&gt;"PRC_RESID","",IF(AA$7=2005+OFFSET(COM_N_2012!$B$60,$AW321,SUMIF($B$10:$B$16,"NCAP_TLIFE",$AX$10:$AX$16)),0,""))</f>
        <v/>
      </c>
      <c r="AB321" s="369" t="str">
        <f ca="1">IF($B321&lt;&gt;"PRC_RESID","",IF(AB$7=2005+OFFSET(COM_N_2012!$B$60,$AW321,SUMIF($B$10:$B$16,"NCAP_TLIFE",$AX$10:$AX$16)),0,""))</f>
        <v/>
      </c>
      <c r="AC321" s="369" t="str">
        <f ca="1">IF($B321&lt;&gt;"PRC_RESID","",IF(AC$7=2005+OFFSET(COM_N_2012!$B$60,$AW321,SUMIF($B$10:$B$16,"NCAP_TLIFE",$AX$10:$AX$16)),0,""))</f>
        <v/>
      </c>
      <c r="AD321" s="369" t="str">
        <f ca="1">IF($B321&lt;&gt;"PRC_RESID","",IF(AD$7=2005+OFFSET(COM_N_2012!$B$60,$AW321,SUMIF($B$10:$B$16,"NCAP_TLIFE",$AX$10:$AX$16)),0,""))</f>
        <v/>
      </c>
      <c r="AE321" s="369" t="str">
        <f ca="1">IF($B321&lt;&gt;"PRC_RESID","",IF(AE$7=2005+OFFSET(COM_N_2012!$B$60,$AW321,SUMIF($B$10:$B$16,"NCAP_TLIFE",$AX$10:$AX$16)),0,""))</f>
        <v/>
      </c>
      <c r="AF321" s="369" t="str">
        <f ca="1">IF($B321&lt;&gt;"PRC_RESID","",IF(AF$7=2005+OFFSET(COM_N_2012!$B$60,$AW321,SUMIF($B$10:$B$16,"NCAP_TLIFE",$AX$10:$AX$16)),0,""))</f>
        <v/>
      </c>
      <c r="AG321" s="369" t="str">
        <f ca="1">IF($B321&lt;&gt;"PRC_RESID","",IF(AG$7=2005+OFFSET(COM_N_2012!$B$60,$AW321,SUMIF($B$10:$B$16,"NCAP_TLIFE",$AX$10:$AX$16)),0,""))</f>
        <v/>
      </c>
      <c r="AH321" s="369" t="str">
        <f ca="1">IF($B321&lt;&gt;"PRC_RESID","",IF(AH$7=2005+OFFSET(COM_N_2012!$B$60,$AW321,SUMIF($B$10:$B$16,"NCAP_TLIFE",$AX$10:$AX$16)),0,""))</f>
        <v/>
      </c>
      <c r="AI321" s="369" t="str">
        <f ca="1">IF($B321&lt;&gt;"PRC_RESID","",IF(AI$7=2005+OFFSET(COM_N_2012!$B$60,$AW321,SUMIF($B$10:$B$16,"NCAP_TLIFE",$AX$10:$AX$16)),0,""))</f>
        <v/>
      </c>
      <c r="AJ321" s="369" t="str">
        <f ca="1">IF($B321&lt;&gt;"PRC_RESID","",IF(AJ$7=2005+OFFSET(COM_N_2012!$B$60,$AW321,SUMIF($B$10:$B$16,"NCAP_TLIFE",$AX$10:$AX$16)),0,""))</f>
        <v/>
      </c>
      <c r="AK321" s="369" t="str">
        <f ca="1">IF($B321&lt;&gt;"PRC_RESID","",IF(AK$7=2005+OFFSET(COM_N_2012!$B$60,$AW321,SUMIF($B$10:$B$16,"NCAP_TLIFE",$AX$10:$AX$16)),0,""))</f>
        <v/>
      </c>
      <c r="AL321" s="369" t="str">
        <f ca="1">IF($B321&lt;&gt;"PRC_RESID","",IF(AL$7=2005+OFFSET(COM_N_2012!$B$60,$AW321,SUMIF($B$10:$B$16,"NCAP_TLIFE",$AX$10:$AX$16)),0,""))</f>
        <v/>
      </c>
      <c r="AM321" s="369" t="str">
        <f ca="1">IF($B321&lt;&gt;"PRC_RESID","",IF(AM$7=2005+OFFSET(COM_N_2012!$B$60,$AW321,SUMIF($B$10:$B$16,"NCAP_TLIFE",$AX$10:$AX$16)),0,""))</f>
        <v/>
      </c>
      <c r="AN321" s="369" t="str">
        <f ca="1">IF($B321&lt;&gt;"PRC_RESID","",IF(AN$7=2005+OFFSET(COM_N_2012!$B$60,$AW321,SUMIF($B$10:$B$16,"NCAP_TLIFE",$AX$10:$AX$16)),0,""))</f>
        <v/>
      </c>
      <c r="AO321" s="369" t="str">
        <f ca="1">IF($B321&lt;&gt;"PRC_RESID","",IF(AO$7=2005+OFFSET(COM_N_2012!$B$60,$AW321,SUMIF($B$10:$B$16,"NCAP_TLIFE",$AX$10:$AX$16)),0,""))</f>
        <v/>
      </c>
      <c r="AP321" s="369" t="str">
        <f ca="1">IF($B321&lt;&gt;"PRC_RESID","",IF(AP$7=2005+OFFSET(COM_N_2012!$B$60,$AW321,SUMIF($B$10:$B$16,"NCAP_TLIFE",$AX$10:$AX$16)),0,""))</f>
        <v/>
      </c>
      <c r="AQ321" s="369" t="str">
        <f ca="1">IF($B321&lt;&gt;"PRC_RESID","",IF(AQ$7=2005+OFFSET(COM_N_2012!$B$60,$AW321,SUMIF($B$10:$B$16,"NCAP_TLIFE",$AX$10:$AX$16)),0,""))</f>
        <v/>
      </c>
      <c r="AR321" s="369" t="str">
        <f ca="1">IF($B321&lt;&gt;"PRC_RESID","",IF(AR$7=2005+OFFSET(COM_N_2012!$B$60,$AW321,SUMIF($B$10:$B$16,"NCAP_TLIFE",$AX$10:$AX$16)),0,""))</f>
        <v/>
      </c>
      <c r="AS321" s="369" t="str">
        <f ca="1">IF($B321&lt;&gt;"PRC_RESID","",IF(AS$7=2005+OFFSET(COM_N_2012!$B$60,$AW321,SUMIF($B$10:$B$16,"NCAP_TLIFE",$AX$10:$AX$16)),0,""))</f>
        <v/>
      </c>
      <c r="AT321" s="369" t="str">
        <f ca="1">IF($B321&lt;&gt;"PRC_RESID","",IF(AT$7=2005+OFFSET(COM_N_2012!$B$60,$AW321,SUMIF($B$10:$B$16,"NCAP_TLIFE",$AX$10:$AX$16)),0,""))</f>
        <v/>
      </c>
      <c r="AU321" s="369" t="str">
        <f ca="1">IF($B321&lt;&gt;"PRC_RESID","",IF(AU$7=2005+OFFSET(COM_N_2012!$B$60,$AW321,SUMIF($B$10:$B$16,"NCAP_TLIFE",$AX$10:$AX$16)),0,""))</f>
        <v/>
      </c>
      <c r="AV321" s="304">
        <f>IF(AW320=COM_N_2012!$AK$121,AV320+1,AV320)</f>
        <v>5</v>
      </c>
      <c r="AW321" s="304">
        <f t="shared" si="43"/>
        <v>60</v>
      </c>
    </row>
    <row r="322" spans="1:49">
      <c r="A322" s="304" t="str">
        <f ca="1">IF(LEFT(OFFSET(COM_N_2012!$A$60,AW322,0),2)="\I","*","")</f>
        <v>*</v>
      </c>
      <c r="B322" s="369" t="str">
        <f t="shared" ca="1" si="36"/>
        <v/>
      </c>
      <c r="C322" s="369" t="str">
        <f ca="1">IF($A322="*","",OFFSET(COM_N_2012!$B$60,AW322,0))</f>
        <v/>
      </c>
      <c r="D322" s="369" t="str">
        <f t="shared" ca="1" si="42"/>
        <v/>
      </c>
      <c r="E322" s="369" t="str">
        <f t="shared" ca="1" si="42"/>
        <v/>
      </c>
      <c r="F322" s="369" t="str">
        <f t="shared" ca="1" si="42"/>
        <v/>
      </c>
      <c r="G322" s="369" t="str">
        <f t="shared" ca="1" si="42"/>
        <v/>
      </c>
      <c r="H322" s="369" t="str">
        <f t="shared" ca="1" si="42"/>
        <v/>
      </c>
      <c r="I322" s="370" t="str">
        <f t="shared" ca="1" si="42"/>
        <v/>
      </c>
      <c r="J322" s="391" t="str">
        <f ca="1">IF($A322="*","",OFFSET(COM_N_2012!$B$60,AW322,SUMIF($B$10:$B$16,B322,$AX$10:$AX$16)))</f>
        <v/>
      </c>
      <c r="K322" s="369" t="str">
        <f ca="1">IF($B322&lt;&gt;"PRC_RESID","",IF(K$7=2005+OFFSET(COM_N_2012!$B$60,$AW322,SUMIF($B$10:$B$16,"NCAP_TLIFE",$AX$10:$AX$16)),0,""))</f>
        <v/>
      </c>
      <c r="L322" s="369" t="str">
        <f ca="1">IF($B322&lt;&gt;"PRC_RESID","",IF(L$7=2005+OFFSET(COM_N_2012!$B$60,$AW322,SUMIF($B$10:$B$16,"NCAP_TLIFE",$AX$10:$AX$16)),0,""))</f>
        <v/>
      </c>
      <c r="M322" s="369" t="str">
        <f ca="1">IF($B322&lt;&gt;"PRC_RESID","",IF(M$7=2005+OFFSET(COM_N_2012!$B$60,$AW322,SUMIF($B$10:$B$16,"NCAP_TLIFE",$AX$10:$AX$16)),0,""))</f>
        <v/>
      </c>
      <c r="N322" s="369" t="str">
        <f ca="1">IF($B322&lt;&gt;"PRC_RESID","",IF(N$7=2005+OFFSET(COM_N_2012!$B$60,$AW322,SUMIF($B$10:$B$16,"NCAP_TLIFE",$AX$10:$AX$16)),0,""))</f>
        <v/>
      </c>
      <c r="O322" s="369" t="str">
        <f ca="1">IF($B322&lt;&gt;"PRC_RESID","",IF(O$7=2005+OFFSET(COM_N_2012!$B$60,$AW322,SUMIF($B$10:$B$16,"NCAP_TLIFE",$AX$10:$AX$16)),0,""))</f>
        <v/>
      </c>
      <c r="P322" s="369" t="str">
        <f ca="1">IF($B322&lt;&gt;"PRC_RESID","",IF(P$7=2005+OFFSET(COM_N_2012!$B$60,$AW322,SUMIF($B$10:$B$16,"NCAP_TLIFE",$AX$10:$AX$16)),0,""))</f>
        <v/>
      </c>
      <c r="Q322" s="369" t="str">
        <f ca="1">IF($B322&lt;&gt;"PRC_RESID","",IF(Q$7=2005+OFFSET(COM_N_2012!$B$60,$AW322,SUMIF($B$10:$B$16,"NCAP_TLIFE",$AX$10:$AX$16)),0,""))</f>
        <v/>
      </c>
      <c r="R322" s="369" t="str">
        <f ca="1">IF($B322&lt;&gt;"PRC_RESID","",IF(R$7=2005+OFFSET(COM_N_2012!$B$60,$AW322,SUMIF($B$10:$B$16,"NCAP_TLIFE",$AX$10:$AX$16)),0,""))</f>
        <v/>
      </c>
      <c r="S322" s="369" t="str">
        <f ca="1">IF($B322&lt;&gt;"PRC_RESID","",IF(S$7=2005+OFFSET(COM_N_2012!$B$60,$AW322,SUMIF($B$10:$B$16,"NCAP_TLIFE",$AX$10:$AX$16)),0,""))</f>
        <v/>
      </c>
      <c r="T322" s="369" t="str">
        <f ca="1">IF($B322&lt;&gt;"PRC_RESID","",IF(T$7=2005+OFFSET(COM_N_2012!$B$60,$AW322,SUMIF($B$10:$B$16,"NCAP_TLIFE",$AX$10:$AX$16)),0,""))</f>
        <v/>
      </c>
      <c r="U322" s="369" t="str">
        <f ca="1">IF($B322&lt;&gt;"PRC_RESID","",IF(U$7=2005+OFFSET(COM_N_2012!$B$60,$AW322,SUMIF($B$10:$B$16,"NCAP_TLIFE",$AX$10:$AX$16)),0,""))</f>
        <v/>
      </c>
      <c r="V322" s="369" t="str">
        <f ca="1">IF($B322&lt;&gt;"PRC_RESID","",IF(V$7=2005+OFFSET(COM_N_2012!$B$60,$AW322,SUMIF($B$10:$B$16,"NCAP_TLIFE",$AX$10:$AX$16)),0,""))</f>
        <v/>
      </c>
      <c r="W322" s="369" t="str">
        <f ca="1">IF($B322&lt;&gt;"PRC_RESID","",IF(W$7=2005+OFFSET(COM_N_2012!$B$60,$AW322,SUMIF($B$10:$B$16,"NCAP_TLIFE",$AX$10:$AX$16)),0,""))</f>
        <v/>
      </c>
      <c r="X322" s="369" t="str">
        <f ca="1">IF($B322&lt;&gt;"PRC_RESID","",IF(X$7=2005+OFFSET(COM_N_2012!$B$60,$AW322,SUMIF($B$10:$B$16,"NCAP_TLIFE",$AX$10:$AX$16)),0,""))</f>
        <v/>
      </c>
      <c r="Y322" s="369" t="str">
        <f ca="1">IF($B322&lt;&gt;"PRC_RESID","",IF(Y$7=2005+OFFSET(COM_N_2012!$B$60,$AW322,SUMIF($B$10:$B$16,"NCAP_TLIFE",$AX$10:$AX$16)),0,""))</f>
        <v/>
      </c>
      <c r="Z322" s="369" t="str">
        <f ca="1">IF($B322&lt;&gt;"PRC_RESID","",IF(Z$7=2005+OFFSET(COM_N_2012!$B$60,$AW322,SUMIF($B$10:$B$16,"NCAP_TLIFE",$AX$10:$AX$16)),0,""))</f>
        <v/>
      </c>
      <c r="AA322" s="369" t="str">
        <f ca="1">IF($B322&lt;&gt;"PRC_RESID","",IF(AA$7=2005+OFFSET(COM_N_2012!$B$60,$AW322,SUMIF($B$10:$B$16,"NCAP_TLIFE",$AX$10:$AX$16)),0,""))</f>
        <v/>
      </c>
      <c r="AB322" s="369" t="str">
        <f ca="1">IF($B322&lt;&gt;"PRC_RESID","",IF(AB$7=2005+OFFSET(COM_N_2012!$B$60,$AW322,SUMIF($B$10:$B$16,"NCAP_TLIFE",$AX$10:$AX$16)),0,""))</f>
        <v/>
      </c>
      <c r="AC322" s="369" t="str">
        <f ca="1">IF($B322&lt;&gt;"PRC_RESID","",IF(AC$7=2005+OFFSET(COM_N_2012!$B$60,$AW322,SUMIF($B$10:$B$16,"NCAP_TLIFE",$AX$10:$AX$16)),0,""))</f>
        <v/>
      </c>
      <c r="AD322" s="369" t="str">
        <f ca="1">IF($B322&lt;&gt;"PRC_RESID","",IF(AD$7=2005+OFFSET(COM_N_2012!$B$60,$AW322,SUMIF($B$10:$B$16,"NCAP_TLIFE",$AX$10:$AX$16)),0,""))</f>
        <v/>
      </c>
      <c r="AE322" s="369" t="str">
        <f ca="1">IF($B322&lt;&gt;"PRC_RESID","",IF(AE$7=2005+OFFSET(COM_N_2012!$B$60,$AW322,SUMIF($B$10:$B$16,"NCAP_TLIFE",$AX$10:$AX$16)),0,""))</f>
        <v/>
      </c>
      <c r="AF322" s="369" t="str">
        <f ca="1">IF($B322&lt;&gt;"PRC_RESID","",IF(AF$7=2005+OFFSET(COM_N_2012!$B$60,$AW322,SUMIF($B$10:$B$16,"NCAP_TLIFE",$AX$10:$AX$16)),0,""))</f>
        <v/>
      </c>
      <c r="AG322" s="369" t="str">
        <f ca="1">IF($B322&lt;&gt;"PRC_RESID","",IF(AG$7=2005+OFFSET(COM_N_2012!$B$60,$AW322,SUMIF($B$10:$B$16,"NCAP_TLIFE",$AX$10:$AX$16)),0,""))</f>
        <v/>
      </c>
      <c r="AH322" s="369" t="str">
        <f ca="1">IF($B322&lt;&gt;"PRC_RESID","",IF(AH$7=2005+OFFSET(COM_N_2012!$B$60,$AW322,SUMIF($B$10:$B$16,"NCAP_TLIFE",$AX$10:$AX$16)),0,""))</f>
        <v/>
      </c>
      <c r="AI322" s="369" t="str">
        <f ca="1">IF($B322&lt;&gt;"PRC_RESID","",IF(AI$7=2005+OFFSET(COM_N_2012!$B$60,$AW322,SUMIF($B$10:$B$16,"NCAP_TLIFE",$AX$10:$AX$16)),0,""))</f>
        <v/>
      </c>
      <c r="AJ322" s="369" t="str">
        <f ca="1">IF($B322&lt;&gt;"PRC_RESID","",IF(AJ$7=2005+OFFSET(COM_N_2012!$B$60,$AW322,SUMIF($B$10:$B$16,"NCAP_TLIFE",$AX$10:$AX$16)),0,""))</f>
        <v/>
      </c>
      <c r="AK322" s="369" t="str">
        <f ca="1">IF($B322&lt;&gt;"PRC_RESID","",IF(AK$7=2005+OFFSET(COM_N_2012!$B$60,$AW322,SUMIF($B$10:$B$16,"NCAP_TLIFE",$AX$10:$AX$16)),0,""))</f>
        <v/>
      </c>
      <c r="AL322" s="369" t="str">
        <f ca="1">IF($B322&lt;&gt;"PRC_RESID","",IF(AL$7=2005+OFFSET(COM_N_2012!$B$60,$AW322,SUMIF($B$10:$B$16,"NCAP_TLIFE",$AX$10:$AX$16)),0,""))</f>
        <v/>
      </c>
      <c r="AM322" s="369" t="str">
        <f ca="1">IF($B322&lt;&gt;"PRC_RESID","",IF(AM$7=2005+OFFSET(COM_N_2012!$B$60,$AW322,SUMIF($B$10:$B$16,"NCAP_TLIFE",$AX$10:$AX$16)),0,""))</f>
        <v/>
      </c>
      <c r="AN322" s="369" t="str">
        <f ca="1">IF($B322&lt;&gt;"PRC_RESID","",IF(AN$7=2005+OFFSET(COM_N_2012!$B$60,$AW322,SUMIF($B$10:$B$16,"NCAP_TLIFE",$AX$10:$AX$16)),0,""))</f>
        <v/>
      </c>
      <c r="AO322" s="369" t="str">
        <f ca="1">IF($B322&lt;&gt;"PRC_RESID","",IF(AO$7=2005+OFFSET(COM_N_2012!$B$60,$AW322,SUMIF($B$10:$B$16,"NCAP_TLIFE",$AX$10:$AX$16)),0,""))</f>
        <v/>
      </c>
      <c r="AP322" s="369" t="str">
        <f ca="1">IF($B322&lt;&gt;"PRC_RESID","",IF(AP$7=2005+OFFSET(COM_N_2012!$B$60,$AW322,SUMIF($B$10:$B$16,"NCAP_TLIFE",$AX$10:$AX$16)),0,""))</f>
        <v/>
      </c>
      <c r="AQ322" s="369" t="str">
        <f ca="1">IF($B322&lt;&gt;"PRC_RESID","",IF(AQ$7=2005+OFFSET(COM_N_2012!$B$60,$AW322,SUMIF($B$10:$B$16,"NCAP_TLIFE",$AX$10:$AX$16)),0,""))</f>
        <v/>
      </c>
      <c r="AR322" s="369" t="str">
        <f ca="1">IF($B322&lt;&gt;"PRC_RESID","",IF(AR$7=2005+OFFSET(COM_N_2012!$B$60,$AW322,SUMIF($B$10:$B$16,"NCAP_TLIFE",$AX$10:$AX$16)),0,""))</f>
        <v/>
      </c>
      <c r="AS322" s="369" t="str">
        <f ca="1">IF($B322&lt;&gt;"PRC_RESID","",IF(AS$7=2005+OFFSET(COM_N_2012!$B$60,$AW322,SUMIF($B$10:$B$16,"NCAP_TLIFE",$AX$10:$AX$16)),0,""))</f>
        <v/>
      </c>
      <c r="AT322" s="369" t="str">
        <f ca="1">IF($B322&lt;&gt;"PRC_RESID","",IF(AT$7=2005+OFFSET(COM_N_2012!$B$60,$AW322,SUMIF($B$10:$B$16,"NCAP_TLIFE",$AX$10:$AX$16)),0,""))</f>
        <v/>
      </c>
      <c r="AU322" s="369" t="str">
        <f ca="1">IF($B322&lt;&gt;"PRC_RESID","",IF(AU$7=2005+OFFSET(COM_N_2012!$B$60,$AW322,SUMIF($B$10:$B$16,"NCAP_TLIFE",$AX$10:$AX$16)),0,""))</f>
        <v/>
      </c>
      <c r="AV322" s="304">
        <f>IF(AW321=COM_N_2012!$AK$121,AV321+1,AV321)</f>
        <v>5</v>
      </c>
      <c r="AW322" s="304">
        <f t="shared" si="43"/>
        <v>61</v>
      </c>
    </row>
    <row r="323" spans="1:49">
      <c r="A323" s="304" t="str">
        <f ca="1">IF(LEFT(OFFSET(COM_N_2012!$A$60,AW323,0),2)="\I","*","")</f>
        <v/>
      </c>
      <c r="B323" s="369" t="str">
        <f t="shared" ca="1" si="36"/>
        <v>PRC_RESID</v>
      </c>
      <c r="C323" s="369" t="str">
        <f ca="1">IF($A323="*","",OFFSET(COM_N_2012!$B$60,AW323,0))</f>
        <v>CNCELCCHIL-E</v>
      </c>
      <c r="D323" s="369" t="str">
        <f t="shared" ca="1" si="42"/>
        <v>-</v>
      </c>
      <c r="E323" s="369" t="str">
        <f t="shared" ca="1" si="42"/>
        <v>-</v>
      </c>
      <c r="F323" s="369" t="str">
        <f t="shared" ca="1" si="42"/>
        <v>-</v>
      </c>
      <c r="G323" s="369" t="str">
        <f t="shared" ca="1" si="42"/>
        <v>-</v>
      </c>
      <c r="H323" s="369" t="str">
        <f t="shared" ca="1" si="42"/>
        <v>-</v>
      </c>
      <c r="I323" s="370">
        <f t="shared" ca="1" si="42"/>
        <v>0</v>
      </c>
      <c r="J323" s="391">
        <f ca="1">IF($A323="*","",OFFSET(COM_N_2012!$B$60,AW323,SUMIF($B$10:$B$16,B323,$AX$10:$AX$16)))</f>
        <v>0</v>
      </c>
      <c r="K323" s="369" t="str">
        <f ca="1">IF($B323&lt;&gt;"PRC_RESID","",IF(K$7=2005+OFFSET(COM_N_2012!$B$60,$AW323,SUMIF($B$10:$B$16,"NCAP_TLIFE",$AX$10:$AX$16)),0,""))</f>
        <v/>
      </c>
      <c r="L323" s="369" t="str">
        <f ca="1">IF($B323&lt;&gt;"PRC_RESID","",IF(L$7=2005+OFFSET(COM_N_2012!$B$60,$AW323,SUMIF($B$10:$B$16,"NCAP_TLIFE",$AX$10:$AX$16)),0,""))</f>
        <v/>
      </c>
      <c r="M323" s="369" t="str">
        <f ca="1">IF($B323&lt;&gt;"PRC_RESID","",IF(M$7=2005+OFFSET(COM_N_2012!$B$60,$AW323,SUMIF($B$10:$B$16,"NCAP_TLIFE",$AX$10:$AX$16)),0,""))</f>
        <v/>
      </c>
      <c r="N323" s="369" t="str">
        <f ca="1">IF($B323&lt;&gt;"PRC_RESID","",IF(N$7=2005+OFFSET(COM_N_2012!$B$60,$AW323,SUMIF($B$10:$B$16,"NCAP_TLIFE",$AX$10:$AX$16)),0,""))</f>
        <v/>
      </c>
      <c r="O323" s="369" t="str">
        <f ca="1">IF($B323&lt;&gt;"PRC_RESID","",IF(O$7=2005+OFFSET(COM_N_2012!$B$60,$AW323,SUMIF($B$10:$B$16,"NCAP_TLIFE",$AX$10:$AX$16)),0,""))</f>
        <v/>
      </c>
      <c r="P323" s="369" t="str">
        <f ca="1">IF($B323&lt;&gt;"PRC_RESID","",IF(P$7=2005+OFFSET(COM_N_2012!$B$60,$AW323,SUMIF($B$10:$B$16,"NCAP_TLIFE",$AX$10:$AX$16)),0,""))</f>
        <v/>
      </c>
      <c r="Q323" s="369" t="str">
        <f ca="1">IF($B323&lt;&gt;"PRC_RESID","",IF(Q$7=2005+OFFSET(COM_N_2012!$B$60,$AW323,SUMIF($B$10:$B$16,"NCAP_TLIFE",$AX$10:$AX$16)),0,""))</f>
        <v/>
      </c>
      <c r="R323" s="369">
        <f ca="1">IF($B323&lt;&gt;"PRC_RESID","",IF(R$7=2005+OFFSET(COM_N_2012!$B$60,$AW323,SUMIF($B$10:$B$16,"NCAP_TLIFE",$AX$10:$AX$16)),0,""))</f>
        <v>0</v>
      </c>
      <c r="S323" s="369" t="str">
        <f ca="1">IF($B323&lt;&gt;"PRC_RESID","",IF(S$7=2005+OFFSET(COM_N_2012!$B$60,$AW323,SUMIF($B$10:$B$16,"NCAP_TLIFE",$AX$10:$AX$16)),0,""))</f>
        <v/>
      </c>
      <c r="T323" s="369" t="str">
        <f ca="1">IF($B323&lt;&gt;"PRC_RESID","",IF(T$7=2005+OFFSET(COM_N_2012!$B$60,$AW323,SUMIF($B$10:$B$16,"NCAP_TLIFE",$AX$10:$AX$16)),0,""))</f>
        <v/>
      </c>
      <c r="U323" s="369" t="str">
        <f ca="1">IF($B323&lt;&gt;"PRC_RESID","",IF(U$7=2005+OFFSET(COM_N_2012!$B$60,$AW323,SUMIF($B$10:$B$16,"NCAP_TLIFE",$AX$10:$AX$16)),0,""))</f>
        <v/>
      </c>
      <c r="V323" s="369" t="str">
        <f ca="1">IF($B323&lt;&gt;"PRC_RESID","",IF(V$7=2005+OFFSET(COM_N_2012!$B$60,$AW323,SUMIF($B$10:$B$16,"NCAP_TLIFE",$AX$10:$AX$16)),0,""))</f>
        <v/>
      </c>
      <c r="W323" s="369" t="str">
        <f ca="1">IF($B323&lt;&gt;"PRC_RESID","",IF(W$7=2005+OFFSET(COM_N_2012!$B$60,$AW323,SUMIF($B$10:$B$16,"NCAP_TLIFE",$AX$10:$AX$16)),0,""))</f>
        <v/>
      </c>
      <c r="X323" s="369" t="str">
        <f ca="1">IF($B323&lt;&gt;"PRC_RESID","",IF(X$7=2005+OFFSET(COM_N_2012!$B$60,$AW323,SUMIF($B$10:$B$16,"NCAP_TLIFE",$AX$10:$AX$16)),0,""))</f>
        <v/>
      </c>
      <c r="Y323" s="369" t="str">
        <f ca="1">IF($B323&lt;&gt;"PRC_RESID","",IF(Y$7=2005+OFFSET(COM_N_2012!$B$60,$AW323,SUMIF($B$10:$B$16,"NCAP_TLIFE",$AX$10:$AX$16)),0,""))</f>
        <v/>
      </c>
      <c r="Z323" s="369" t="str">
        <f ca="1">IF($B323&lt;&gt;"PRC_RESID","",IF(Z$7=2005+OFFSET(COM_N_2012!$B$60,$AW323,SUMIF($B$10:$B$16,"NCAP_TLIFE",$AX$10:$AX$16)),0,""))</f>
        <v/>
      </c>
      <c r="AA323" s="369" t="str">
        <f ca="1">IF($B323&lt;&gt;"PRC_RESID","",IF(AA$7=2005+OFFSET(COM_N_2012!$B$60,$AW323,SUMIF($B$10:$B$16,"NCAP_TLIFE",$AX$10:$AX$16)),0,""))</f>
        <v/>
      </c>
      <c r="AB323" s="369" t="str">
        <f ca="1">IF($B323&lt;&gt;"PRC_RESID","",IF(AB$7=2005+OFFSET(COM_N_2012!$B$60,$AW323,SUMIF($B$10:$B$16,"NCAP_TLIFE",$AX$10:$AX$16)),0,""))</f>
        <v/>
      </c>
      <c r="AC323" s="369" t="str">
        <f ca="1">IF($B323&lt;&gt;"PRC_RESID","",IF(AC$7=2005+OFFSET(COM_N_2012!$B$60,$AW323,SUMIF($B$10:$B$16,"NCAP_TLIFE",$AX$10:$AX$16)),0,""))</f>
        <v/>
      </c>
      <c r="AD323" s="369" t="str">
        <f ca="1">IF($B323&lt;&gt;"PRC_RESID","",IF(AD$7=2005+OFFSET(COM_N_2012!$B$60,$AW323,SUMIF($B$10:$B$16,"NCAP_TLIFE",$AX$10:$AX$16)),0,""))</f>
        <v/>
      </c>
      <c r="AE323" s="369" t="str">
        <f ca="1">IF($B323&lt;&gt;"PRC_RESID","",IF(AE$7=2005+OFFSET(COM_N_2012!$B$60,$AW323,SUMIF($B$10:$B$16,"NCAP_TLIFE",$AX$10:$AX$16)),0,""))</f>
        <v/>
      </c>
      <c r="AF323" s="369" t="str">
        <f ca="1">IF($B323&lt;&gt;"PRC_RESID","",IF(AF$7=2005+OFFSET(COM_N_2012!$B$60,$AW323,SUMIF($B$10:$B$16,"NCAP_TLIFE",$AX$10:$AX$16)),0,""))</f>
        <v/>
      </c>
      <c r="AG323" s="369" t="str">
        <f ca="1">IF($B323&lt;&gt;"PRC_RESID","",IF(AG$7=2005+OFFSET(COM_N_2012!$B$60,$AW323,SUMIF($B$10:$B$16,"NCAP_TLIFE",$AX$10:$AX$16)),0,""))</f>
        <v/>
      </c>
      <c r="AH323" s="369" t="str">
        <f ca="1">IF($B323&lt;&gt;"PRC_RESID","",IF(AH$7=2005+OFFSET(COM_N_2012!$B$60,$AW323,SUMIF($B$10:$B$16,"NCAP_TLIFE",$AX$10:$AX$16)),0,""))</f>
        <v/>
      </c>
      <c r="AI323" s="369" t="str">
        <f ca="1">IF($B323&lt;&gt;"PRC_RESID","",IF(AI$7=2005+OFFSET(COM_N_2012!$B$60,$AW323,SUMIF($B$10:$B$16,"NCAP_TLIFE",$AX$10:$AX$16)),0,""))</f>
        <v/>
      </c>
      <c r="AJ323" s="369" t="str">
        <f ca="1">IF($B323&lt;&gt;"PRC_RESID","",IF(AJ$7=2005+OFFSET(COM_N_2012!$B$60,$AW323,SUMIF($B$10:$B$16,"NCAP_TLIFE",$AX$10:$AX$16)),0,""))</f>
        <v/>
      </c>
      <c r="AK323" s="369" t="str">
        <f ca="1">IF($B323&lt;&gt;"PRC_RESID","",IF(AK$7=2005+OFFSET(COM_N_2012!$B$60,$AW323,SUMIF($B$10:$B$16,"NCAP_TLIFE",$AX$10:$AX$16)),0,""))</f>
        <v/>
      </c>
      <c r="AL323" s="369" t="str">
        <f ca="1">IF($B323&lt;&gt;"PRC_RESID","",IF(AL$7=2005+OFFSET(COM_N_2012!$B$60,$AW323,SUMIF($B$10:$B$16,"NCAP_TLIFE",$AX$10:$AX$16)),0,""))</f>
        <v/>
      </c>
      <c r="AM323" s="369" t="str">
        <f ca="1">IF($B323&lt;&gt;"PRC_RESID","",IF(AM$7=2005+OFFSET(COM_N_2012!$B$60,$AW323,SUMIF($B$10:$B$16,"NCAP_TLIFE",$AX$10:$AX$16)),0,""))</f>
        <v/>
      </c>
      <c r="AN323" s="369" t="str">
        <f ca="1">IF($B323&lt;&gt;"PRC_RESID","",IF(AN$7=2005+OFFSET(COM_N_2012!$B$60,$AW323,SUMIF($B$10:$B$16,"NCAP_TLIFE",$AX$10:$AX$16)),0,""))</f>
        <v/>
      </c>
      <c r="AO323" s="369" t="str">
        <f ca="1">IF($B323&lt;&gt;"PRC_RESID","",IF(AO$7=2005+OFFSET(COM_N_2012!$B$60,$AW323,SUMIF($B$10:$B$16,"NCAP_TLIFE",$AX$10:$AX$16)),0,""))</f>
        <v/>
      </c>
      <c r="AP323" s="369" t="str">
        <f ca="1">IF($B323&lt;&gt;"PRC_RESID","",IF(AP$7=2005+OFFSET(COM_N_2012!$B$60,$AW323,SUMIF($B$10:$B$16,"NCAP_TLIFE",$AX$10:$AX$16)),0,""))</f>
        <v/>
      </c>
      <c r="AQ323" s="369" t="str">
        <f ca="1">IF($B323&lt;&gt;"PRC_RESID","",IF(AQ$7=2005+OFFSET(COM_N_2012!$B$60,$AW323,SUMIF($B$10:$B$16,"NCAP_TLIFE",$AX$10:$AX$16)),0,""))</f>
        <v/>
      </c>
      <c r="AR323" s="369" t="str">
        <f ca="1">IF($B323&lt;&gt;"PRC_RESID","",IF(AR$7=2005+OFFSET(COM_N_2012!$B$60,$AW323,SUMIF($B$10:$B$16,"NCAP_TLIFE",$AX$10:$AX$16)),0,""))</f>
        <v/>
      </c>
      <c r="AS323" s="369" t="str">
        <f ca="1">IF($B323&lt;&gt;"PRC_RESID","",IF(AS$7=2005+OFFSET(COM_N_2012!$B$60,$AW323,SUMIF($B$10:$B$16,"NCAP_TLIFE",$AX$10:$AX$16)),0,""))</f>
        <v/>
      </c>
      <c r="AT323" s="369" t="str">
        <f ca="1">IF($B323&lt;&gt;"PRC_RESID","",IF(AT$7=2005+OFFSET(COM_N_2012!$B$60,$AW323,SUMIF($B$10:$B$16,"NCAP_TLIFE",$AX$10:$AX$16)),0,""))</f>
        <v/>
      </c>
      <c r="AU323" s="369" t="str">
        <f ca="1">IF($B323&lt;&gt;"PRC_RESID","",IF(AU$7=2005+OFFSET(COM_N_2012!$B$60,$AW323,SUMIF($B$10:$B$16,"NCAP_TLIFE",$AX$10:$AX$16)),0,""))</f>
        <v/>
      </c>
      <c r="AV323" s="304">
        <f>IF(AW322=COM_N_2012!$AK$121,AV322+1,AV322)</f>
        <v>6</v>
      </c>
      <c r="AW323" s="304">
        <f t="shared" si="43"/>
        <v>1</v>
      </c>
    </row>
    <row r="324" spans="1:49">
      <c r="A324" s="304" t="str">
        <f ca="1">IF(LEFT(OFFSET(COM_N_2012!$A$60,AW324,0),2)="\I","*","")</f>
        <v/>
      </c>
      <c r="B324" s="369" t="str">
        <f t="shared" ca="1" si="36"/>
        <v>PRC_RESID</v>
      </c>
      <c r="C324" s="369" t="str">
        <f ca="1">IF($A324="*","",OFFSET(COM_N_2012!$B$60,AW324,0))</f>
        <v>CNCELCCEN-E</v>
      </c>
      <c r="D324" s="369" t="str">
        <f t="shared" ca="1" si="42"/>
        <v>-</v>
      </c>
      <c r="E324" s="369" t="str">
        <f t="shared" ca="1" si="42"/>
        <v>-</v>
      </c>
      <c r="F324" s="369" t="str">
        <f t="shared" ca="1" si="42"/>
        <v>-</v>
      </c>
      <c r="G324" s="369" t="str">
        <f t="shared" ca="1" si="42"/>
        <v>-</v>
      </c>
      <c r="H324" s="369" t="str">
        <f t="shared" ca="1" si="42"/>
        <v>-</v>
      </c>
      <c r="I324" s="370">
        <f t="shared" ca="1" si="42"/>
        <v>0</v>
      </c>
      <c r="J324" s="391">
        <f ca="1">IF($A324="*","",OFFSET(COM_N_2012!$B$60,AW324,SUMIF($B$10:$B$16,B324,$AX$10:$AX$16)))</f>
        <v>0</v>
      </c>
      <c r="K324" s="369" t="str">
        <f ca="1">IF($B324&lt;&gt;"PRC_RESID","",IF(K$7=2005+OFFSET(COM_N_2012!$B$60,$AW324,SUMIF($B$10:$B$16,"NCAP_TLIFE",$AX$10:$AX$16)),0,""))</f>
        <v/>
      </c>
      <c r="L324" s="369" t="str">
        <f ca="1">IF($B324&lt;&gt;"PRC_RESID","",IF(L$7=2005+OFFSET(COM_N_2012!$B$60,$AW324,SUMIF($B$10:$B$16,"NCAP_TLIFE",$AX$10:$AX$16)),0,""))</f>
        <v/>
      </c>
      <c r="M324" s="369" t="str">
        <f ca="1">IF($B324&lt;&gt;"PRC_RESID","",IF(M$7=2005+OFFSET(COM_N_2012!$B$60,$AW324,SUMIF($B$10:$B$16,"NCAP_TLIFE",$AX$10:$AX$16)),0,""))</f>
        <v/>
      </c>
      <c r="N324" s="369" t="str">
        <f ca="1">IF($B324&lt;&gt;"PRC_RESID","",IF(N$7=2005+OFFSET(COM_N_2012!$B$60,$AW324,SUMIF($B$10:$B$16,"NCAP_TLIFE",$AX$10:$AX$16)),0,""))</f>
        <v/>
      </c>
      <c r="O324" s="369" t="str">
        <f ca="1">IF($B324&lt;&gt;"PRC_RESID","",IF(O$7=2005+OFFSET(COM_N_2012!$B$60,$AW324,SUMIF($B$10:$B$16,"NCAP_TLIFE",$AX$10:$AX$16)),0,""))</f>
        <v/>
      </c>
      <c r="P324" s="369" t="str">
        <f ca="1">IF($B324&lt;&gt;"PRC_RESID","",IF(P$7=2005+OFFSET(COM_N_2012!$B$60,$AW324,SUMIF($B$10:$B$16,"NCAP_TLIFE",$AX$10:$AX$16)),0,""))</f>
        <v/>
      </c>
      <c r="Q324" s="369" t="str">
        <f ca="1">IF($B324&lt;&gt;"PRC_RESID","",IF(Q$7=2005+OFFSET(COM_N_2012!$B$60,$AW324,SUMIF($B$10:$B$16,"NCAP_TLIFE",$AX$10:$AX$16)),0,""))</f>
        <v/>
      </c>
      <c r="R324" s="369">
        <f ca="1">IF($B324&lt;&gt;"PRC_RESID","",IF(R$7=2005+OFFSET(COM_N_2012!$B$60,$AW324,SUMIF($B$10:$B$16,"NCAP_TLIFE",$AX$10:$AX$16)),0,""))</f>
        <v>0</v>
      </c>
      <c r="S324" s="369" t="str">
        <f ca="1">IF($B324&lt;&gt;"PRC_RESID","",IF(S$7=2005+OFFSET(COM_N_2012!$B$60,$AW324,SUMIF($B$10:$B$16,"NCAP_TLIFE",$AX$10:$AX$16)),0,""))</f>
        <v/>
      </c>
      <c r="T324" s="369" t="str">
        <f ca="1">IF($B324&lt;&gt;"PRC_RESID","",IF(T$7=2005+OFFSET(COM_N_2012!$B$60,$AW324,SUMIF($B$10:$B$16,"NCAP_TLIFE",$AX$10:$AX$16)),0,""))</f>
        <v/>
      </c>
      <c r="U324" s="369" t="str">
        <f ca="1">IF($B324&lt;&gt;"PRC_RESID","",IF(U$7=2005+OFFSET(COM_N_2012!$B$60,$AW324,SUMIF($B$10:$B$16,"NCAP_TLIFE",$AX$10:$AX$16)),0,""))</f>
        <v/>
      </c>
      <c r="V324" s="369" t="str">
        <f ca="1">IF($B324&lt;&gt;"PRC_RESID","",IF(V$7=2005+OFFSET(COM_N_2012!$B$60,$AW324,SUMIF($B$10:$B$16,"NCAP_TLIFE",$AX$10:$AX$16)),0,""))</f>
        <v/>
      </c>
      <c r="W324" s="369" t="str">
        <f ca="1">IF($B324&lt;&gt;"PRC_RESID","",IF(W$7=2005+OFFSET(COM_N_2012!$B$60,$AW324,SUMIF($B$10:$B$16,"NCAP_TLIFE",$AX$10:$AX$16)),0,""))</f>
        <v/>
      </c>
      <c r="X324" s="369" t="str">
        <f ca="1">IF($B324&lt;&gt;"PRC_RESID","",IF(X$7=2005+OFFSET(COM_N_2012!$B$60,$AW324,SUMIF($B$10:$B$16,"NCAP_TLIFE",$AX$10:$AX$16)),0,""))</f>
        <v/>
      </c>
      <c r="Y324" s="369" t="str">
        <f ca="1">IF($B324&lt;&gt;"PRC_RESID","",IF(Y$7=2005+OFFSET(COM_N_2012!$B$60,$AW324,SUMIF($B$10:$B$16,"NCAP_TLIFE",$AX$10:$AX$16)),0,""))</f>
        <v/>
      </c>
      <c r="Z324" s="369" t="str">
        <f ca="1">IF($B324&lt;&gt;"PRC_RESID","",IF(Z$7=2005+OFFSET(COM_N_2012!$B$60,$AW324,SUMIF($B$10:$B$16,"NCAP_TLIFE",$AX$10:$AX$16)),0,""))</f>
        <v/>
      </c>
      <c r="AA324" s="369" t="str">
        <f ca="1">IF($B324&lt;&gt;"PRC_RESID","",IF(AA$7=2005+OFFSET(COM_N_2012!$B$60,$AW324,SUMIF($B$10:$B$16,"NCAP_TLIFE",$AX$10:$AX$16)),0,""))</f>
        <v/>
      </c>
      <c r="AB324" s="369" t="str">
        <f ca="1">IF($B324&lt;&gt;"PRC_RESID","",IF(AB$7=2005+OFFSET(COM_N_2012!$B$60,$AW324,SUMIF($B$10:$B$16,"NCAP_TLIFE",$AX$10:$AX$16)),0,""))</f>
        <v/>
      </c>
      <c r="AC324" s="369" t="str">
        <f ca="1">IF($B324&lt;&gt;"PRC_RESID","",IF(AC$7=2005+OFFSET(COM_N_2012!$B$60,$AW324,SUMIF($B$10:$B$16,"NCAP_TLIFE",$AX$10:$AX$16)),0,""))</f>
        <v/>
      </c>
      <c r="AD324" s="369" t="str">
        <f ca="1">IF($B324&lt;&gt;"PRC_RESID","",IF(AD$7=2005+OFFSET(COM_N_2012!$B$60,$AW324,SUMIF($B$10:$B$16,"NCAP_TLIFE",$AX$10:$AX$16)),0,""))</f>
        <v/>
      </c>
      <c r="AE324" s="369" t="str">
        <f ca="1">IF($B324&lt;&gt;"PRC_RESID","",IF(AE$7=2005+OFFSET(COM_N_2012!$B$60,$AW324,SUMIF($B$10:$B$16,"NCAP_TLIFE",$AX$10:$AX$16)),0,""))</f>
        <v/>
      </c>
      <c r="AF324" s="369" t="str">
        <f ca="1">IF($B324&lt;&gt;"PRC_RESID","",IF(AF$7=2005+OFFSET(COM_N_2012!$B$60,$AW324,SUMIF($B$10:$B$16,"NCAP_TLIFE",$AX$10:$AX$16)),0,""))</f>
        <v/>
      </c>
      <c r="AG324" s="369" t="str">
        <f ca="1">IF($B324&lt;&gt;"PRC_RESID","",IF(AG$7=2005+OFFSET(COM_N_2012!$B$60,$AW324,SUMIF($B$10:$B$16,"NCAP_TLIFE",$AX$10:$AX$16)),0,""))</f>
        <v/>
      </c>
      <c r="AH324" s="369" t="str">
        <f ca="1">IF($B324&lt;&gt;"PRC_RESID","",IF(AH$7=2005+OFFSET(COM_N_2012!$B$60,$AW324,SUMIF($B$10:$B$16,"NCAP_TLIFE",$AX$10:$AX$16)),0,""))</f>
        <v/>
      </c>
      <c r="AI324" s="369" t="str">
        <f ca="1">IF($B324&lt;&gt;"PRC_RESID","",IF(AI$7=2005+OFFSET(COM_N_2012!$B$60,$AW324,SUMIF($B$10:$B$16,"NCAP_TLIFE",$AX$10:$AX$16)),0,""))</f>
        <v/>
      </c>
      <c r="AJ324" s="369" t="str">
        <f ca="1">IF($B324&lt;&gt;"PRC_RESID","",IF(AJ$7=2005+OFFSET(COM_N_2012!$B$60,$AW324,SUMIF($B$10:$B$16,"NCAP_TLIFE",$AX$10:$AX$16)),0,""))</f>
        <v/>
      </c>
      <c r="AK324" s="369" t="str">
        <f ca="1">IF($B324&lt;&gt;"PRC_RESID","",IF(AK$7=2005+OFFSET(COM_N_2012!$B$60,$AW324,SUMIF($B$10:$B$16,"NCAP_TLIFE",$AX$10:$AX$16)),0,""))</f>
        <v/>
      </c>
      <c r="AL324" s="369" t="str">
        <f ca="1">IF($B324&lt;&gt;"PRC_RESID","",IF(AL$7=2005+OFFSET(COM_N_2012!$B$60,$AW324,SUMIF($B$10:$B$16,"NCAP_TLIFE",$AX$10:$AX$16)),0,""))</f>
        <v/>
      </c>
      <c r="AM324" s="369" t="str">
        <f ca="1">IF($B324&lt;&gt;"PRC_RESID","",IF(AM$7=2005+OFFSET(COM_N_2012!$B$60,$AW324,SUMIF($B$10:$B$16,"NCAP_TLIFE",$AX$10:$AX$16)),0,""))</f>
        <v/>
      </c>
      <c r="AN324" s="369" t="str">
        <f ca="1">IF($B324&lt;&gt;"PRC_RESID","",IF(AN$7=2005+OFFSET(COM_N_2012!$B$60,$AW324,SUMIF($B$10:$B$16,"NCAP_TLIFE",$AX$10:$AX$16)),0,""))</f>
        <v/>
      </c>
      <c r="AO324" s="369" t="str">
        <f ca="1">IF($B324&lt;&gt;"PRC_RESID","",IF(AO$7=2005+OFFSET(COM_N_2012!$B$60,$AW324,SUMIF($B$10:$B$16,"NCAP_TLIFE",$AX$10:$AX$16)),0,""))</f>
        <v/>
      </c>
      <c r="AP324" s="369" t="str">
        <f ca="1">IF($B324&lt;&gt;"PRC_RESID","",IF(AP$7=2005+OFFSET(COM_N_2012!$B$60,$AW324,SUMIF($B$10:$B$16,"NCAP_TLIFE",$AX$10:$AX$16)),0,""))</f>
        <v/>
      </c>
      <c r="AQ324" s="369" t="str">
        <f ca="1">IF($B324&lt;&gt;"PRC_RESID","",IF(AQ$7=2005+OFFSET(COM_N_2012!$B$60,$AW324,SUMIF($B$10:$B$16,"NCAP_TLIFE",$AX$10:$AX$16)),0,""))</f>
        <v/>
      </c>
      <c r="AR324" s="369" t="str">
        <f ca="1">IF($B324&lt;&gt;"PRC_RESID","",IF(AR$7=2005+OFFSET(COM_N_2012!$B$60,$AW324,SUMIF($B$10:$B$16,"NCAP_TLIFE",$AX$10:$AX$16)),0,""))</f>
        <v/>
      </c>
      <c r="AS324" s="369" t="str">
        <f ca="1">IF($B324&lt;&gt;"PRC_RESID","",IF(AS$7=2005+OFFSET(COM_N_2012!$B$60,$AW324,SUMIF($B$10:$B$16,"NCAP_TLIFE",$AX$10:$AX$16)),0,""))</f>
        <v/>
      </c>
      <c r="AT324" s="369" t="str">
        <f ca="1">IF($B324&lt;&gt;"PRC_RESID","",IF(AT$7=2005+OFFSET(COM_N_2012!$B$60,$AW324,SUMIF($B$10:$B$16,"NCAP_TLIFE",$AX$10:$AX$16)),0,""))</f>
        <v/>
      </c>
      <c r="AU324" s="369" t="str">
        <f ca="1">IF($B324&lt;&gt;"PRC_RESID","",IF(AU$7=2005+OFFSET(COM_N_2012!$B$60,$AW324,SUMIF($B$10:$B$16,"NCAP_TLIFE",$AX$10:$AX$16)),0,""))</f>
        <v/>
      </c>
      <c r="AV324" s="304">
        <f>IF(AW323=COM_N_2012!$AK$121,AV323+1,AV323)</f>
        <v>6</v>
      </c>
      <c r="AW324" s="304">
        <f t="shared" si="43"/>
        <v>2</v>
      </c>
    </row>
    <row r="325" spans="1:49">
      <c r="A325" s="304" t="str">
        <f ca="1">IF(LEFT(OFFSET(COM_N_2012!$A$60,AW325,0),2)="\I","*","")</f>
        <v/>
      </c>
      <c r="B325" s="369" t="str">
        <f t="shared" ca="1" si="36"/>
        <v>PRC_RESID</v>
      </c>
      <c r="C325" s="369" t="str">
        <f ca="1">IF($A325="*","",OFFSET(COM_N_2012!$B$60,AW325,0))</f>
        <v>CNCELCHP-E</v>
      </c>
      <c r="D325" s="369" t="str">
        <f t="shared" ca="1" si="42"/>
        <v>-</v>
      </c>
      <c r="E325" s="369" t="str">
        <f t="shared" ca="1" si="42"/>
        <v>-</v>
      </c>
      <c r="F325" s="369" t="str">
        <f t="shared" ca="1" si="42"/>
        <v>-</v>
      </c>
      <c r="G325" s="369" t="str">
        <f t="shared" ca="1" si="42"/>
        <v>-</v>
      </c>
      <c r="H325" s="369" t="str">
        <f t="shared" ca="1" si="42"/>
        <v>-</v>
      </c>
      <c r="I325" s="370">
        <f t="shared" ca="1" si="42"/>
        <v>0</v>
      </c>
      <c r="J325" s="391">
        <f ca="1">IF($A325="*","",OFFSET(COM_N_2012!$B$60,AW325,SUMIF($B$10:$B$16,B325,$AX$10:$AX$16)))</f>
        <v>0</v>
      </c>
      <c r="K325" s="369" t="str">
        <f ca="1">IF($B325&lt;&gt;"PRC_RESID","",IF(K$7=2005+OFFSET(COM_N_2012!$B$60,$AW325,SUMIF($B$10:$B$16,"NCAP_TLIFE",$AX$10:$AX$16)),0,""))</f>
        <v/>
      </c>
      <c r="L325" s="369" t="str">
        <f ca="1">IF($B325&lt;&gt;"PRC_RESID","",IF(L$7=2005+OFFSET(COM_N_2012!$B$60,$AW325,SUMIF($B$10:$B$16,"NCAP_TLIFE",$AX$10:$AX$16)),0,""))</f>
        <v/>
      </c>
      <c r="M325" s="369" t="str">
        <f ca="1">IF($B325&lt;&gt;"PRC_RESID","",IF(M$7=2005+OFFSET(COM_N_2012!$B$60,$AW325,SUMIF($B$10:$B$16,"NCAP_TLIFE",$AX$10:$AX$16)),0,""))</f>
        <v/>
      </c>
      <c r="N325" s="369" t="str">
        <f ca="1">IF($B325&lt;&gt;"PRC_RESID","",IF(N$7=2005+OFFSET(COM_N_2012!$B$60,$AW325,SUMIF($B$10:$B$16,"NCAP_TLIFE",$AX$10:$AX$16)),0,""))</f>
        <v/>
      </c>
      <c r="O325" s="369" t="str">
        <f ca="1">IF($B325&lt;&gt;"PRC_RESID","",IF(O$7=2005+OFFSET(COM_N_2012!$B$60,$AW325,SUMIF($B$10:$B$16,"NCAP_TLIFE",$AX$10:$AX$16)),0,""))</f>
        <v/>
      </c>
      <c r="P325" s="369" t="str">
        <f ca="1">IF($B325&lt;&gt;"PRC_RESID","",IF(P$7=2005+OFFSET(COM_N_2012!$B$60,$AW325,SUMIF($B$10:$B$16,"NCAP_TLIFE",$AX$10:$AX$16)),0,""))</f>
        <v/>
      </c>
      <c r="Q325" s="369" t="str">
        <f ca="1">IF($B325&lt;&gt;"PRC_RESID","",IF(Q$7=2005+OFFSET(COM_N_2012!$B$60,$AW325,SUMIF($B$10:$B$16,"NCAP_TLIFE",$AX$10:$AX$16)),0,""))</f>
        <v/>
      </c>
      <c r="R325" s="369">
        <f ca="1">IF($B325&lt;&gt;"PRC_RESID","",IF(R$7=2005+OFFSET(COM_N_2012!$B$60,$AW325,SUMIF($B$10:$B$16,"NCAP_TLIFE",$AX$10:$AX$16)),0,""))</f>
        <v>0</v>
      </c>
      <c r="S325" s="369" t="str">
        <f ca="1">IF($B325&lt;&gt;"PRC_RESID","",IF(S$7=2005+OFFSET(COM_N_2012!$B$60,$AW325,SUMIF($B$10:$B$16,"NCAP_TLIFE",$AX$10:$AX$16)),0,""))</f>
        <v/>
      </c>
      <c r="T325" s="369" t="str">
        <f ca="1">IF($B325&lt;&gt;"PRC_RESID","",IF(T$7=2005+OFFSET(COM_N_2012!$B$60,$AW325,SUMIF($B$10:$B$16,"NCAP_TLIFE",$AX$10:$AX$16)),0,""))</f>
        <v/>
      </c>
      <c r="U325" s="369" t="str">
        <f ca="1">IF($B325&lt;&gt;"PRC_RESID","",IF(U$7=2005+OFFSET(COM_N_2012!$B$60,$AW325,SUMIF($B$10:$B$16,"NCAP_TLIFE",$AX$10:$AX$16)),0,""))</f>
        <v/>
      </c>
      <c r="V325" s="369" t="str">
        <f ca="1">IF($B325&lt;&gt;"PRC_RESID","",IF(V$7=2005+OFFSET(COM_N_2012!$B$60,$AW325,SUMIF($B$10:$B$16,"NCAP_TLIFE",$AX$10:$AX$16)),0,""))</f>
        <v/>
      </c>
      <c r="W325" s="369" t="str">
        <f ca="1">IF($B325&lt;&gt;"PRC_RESID","",IF(W$7=2005+OFFSET(COM_N_2012!$B$60,$AW325,SUMIF($B$10:$B$16,"NCAP_TLIFE",$AX$10:$AX$16)),0,""))</f>
        <v/>
      </c>
      <c r="X325" s="369" t="str">
        <f ca="1">IF($B325&lt;&gt;"PRC_RESID","",IF(X$7=2005+OFFSET(COM_N_2012!$B$60,$AW325,SUMIF($B$10:$B$16,"NCAP_TLIFE",$AX$10:$AX$16)),0,""))</f>
        <v/>
      </c>
      <c r="Y325" s="369" t="str">
        <f ca="1">IF($B325&lt;&gt;"PRC_RESID","",IF(Y$7=2005+OFFSET(COM_N_2012!$B$60,$AW325,SUMIF($B$10:$B$16,"NCAP_TLIFE",$AX$10:$AX$16)),0,""))</f>
        <v/>
      </c>
      <c r="Z325" s="369" t="str">
        <f ca="1">IF($B325&lt;&gt;"PRC_RESID","",IF(Z$7=2005+OFFSET(COM_N_2012!$B$60,$AW325,SUMIF($B$10:$B$16,"NCAP_TLIFE",$AX$10:$AX$16)),0,""))</f>
        <v/>
      </c>
      <c r="AA325" s="369" t="str">
        <f ca="1">IF($B325&lt;&gt;"PRC_RESID","",IF(AA$7=2005+OFFSET(COM_N_2012!$B$60,$AW325,SUMIF($B$10:$B$16,"NCAP_TLIFE",$AX$10:$AX$16)),0,""))</f>
        <v/>
      </c>
      <c r="AB325" s="369" t="str">
        <f ca="1">IF($B325&lt;&gt;"PRC_RESID","",IF(AB$7=2005+OFFSET(COM_N_2012!$B$60,$AW325,SUMIF($B$10:$B$16,"NCAP_TLIFE",$AX$10:$AX$16)),0,""))</f>
        <v/>
      </c>
      <c r="AC325" s="369" t="str">
        <f ca="1">IF($B325&lt;&gt;"PRC_RESID","",IF(AC$7=2005+OFFSET(COM_N_2012!$B$60,$AW325,SUMIF($B$10:$B$16,"NCAP_TLIFE",$AX$10:$AX$16)),0,""))</f>
        <v/>
      </c>
      <c r="AD325" s="369" t="str">
        <f ca="1">IF($B325&lt;&gt;"PRC_RESID","",IF(AD$7=2005+OFFSET(COM_N_2012!$B$60,$AW325,SUMIF($B$10:$B$16,"NCAP_TLIFE",$AX$10:$AX$16)),0,""))</f>
        <v/>
      </c>
      <c r="AE325" s="369" t="str">
        <f ca="1">IF($B325&lt;&gt;"PRC_RESID","",IF(AE$7=2005+OFFSET(COM_N_2012!$B$60,$AW325,SUMIF($B$10:$B$16,"NCAP_TLIFE",$AX$10:$AX$16)),0,""))</f>
        <v/>
      </c>
      <c r="AF325" s="369" t="str">
        <f ca="1">IF($B325&lt;&gt;"PRC_RESID","",IF(AF$7=2005+OFFSET(COM_N_2012!$B$60,$AW325,SUMIF($B$10:$B$16,"NCAP_TLIFE",$AX$10:$AX$16)),0,""))</f>
        <v/>
      </c>
      <c r="AG325" s="369" t="str">
        <f ca="1">IF($B325&lt;&gt;"PRC_RESID","",IF(AG$7=2005+OFFSET(COM_N_2012!$B$60,$AW325,SUMIF($B$10:$B$16,"NCAP_TLIFE",$AX$10:$AX$16)),0,""))</f>
        <v/>
      </c>
      <c r="AH325" s="369" t="str">
        <f ca="1">IF($B325&lt;&gt;"PRC_RESID","",IF(AH$7=2005+OFFSET(COM_N_2012!$B$60,$AW325,SUMIF($B$10:$B$16,"NCAP_TLIFE",$AX$10:$AX$16)),0,""))</f>
        <v/>
      </c>
      <c r="AI325" s="369" t="str">
        <f ca="1">IF($B325&lt;&gt;"PRC_RESID","",IF(AI$7=2005+OFFSET(COM_N_2012!$B$60,$AW325,SUMIF($B$10:$B$16,"NCAP_TLIFE",$AX$10:$AX$16)),0,""))</f>
        <v/>
      </c>
      <c r="AJ325" s="369" t="str">
        <f ca="1">IF($B325&lt;&gt;"PRC_RESID","",IF(AJ$7=2005+OFFSET(COM_N_2012!$B$60,$AW325,SUMIF($B$10:$B$16,"NCAP_TLIFE",$AX$10:$AX$16)),0,""))</f>
        <v/>
      </c>
      <c r="AK325" s="369" t="str">
        <f ca="1">IF($B325&lt;&gt;"PRC_RESID","",IF(AK$7=2005+OFFSET(COM_N_2012!$B$60,$AW325,SUMIF($B$10:$B$16,"NCAP_TLIFE",$AX$10:$AX$16)),0,""))</f>
        <v/>
      </c>
      <c r="AL325" s="369" t="str">
        <f ca="1">IF($B325&lt;&gt;"PRC_RESID","",IF(AL$7=2005+OFFSET(COM_N_2012!$B$60,$AW325,SUMIF($B$10:$B$16,"NCAP_TLIFE",$AX$10:$AX$16)),0,""))</f>
        <v/>
      </c>
      <c r="AM325" s="369" t="str">
        <f ca="1">IF($B325&lt;&gt;"PRC_RESID","",IF(AM$7=2005+OFFSET(COM_N_2012!$B$60,$AW325,SUMIF($B$10:$B$16,"NCAP_TLIFE",$AX$10:$AX$16)),0,""))</f>
        <v/>
      </c>
      <c r="AN325" s="369" t="str">
        <f ca="1">IF($B325&lt;&gt;"PRC_RESID","",IF(AN$7=2005+OFFSET(COM_N_2012!$B$60,$AW325,SUMIF($B$10:$B$16,"NCAP_TLIFE",$AX$10:$AX$16)),0,""))</f>
        <v/>
      </c>
      <c r="AO325" s="369" t="str">
        <f ca="1">IF($B325&lt;&gt;"PRC_RESID","",IF(AO$7=2005+OFFSET(COM_N_2012!$B$60,$AW325,SUMIF($B$10:$B$16,"NCAP_TLIFE",$AX$10:$AX$16)),0,""))</f>
        <v/>
      </c>
      <c r="AP325" s="369" t="str">
        <f ca="1">IF($B325&lt;&gt;"PRC_RESID","",IF(AP$7=2005+OFFSET(COM_N_2012!$B$60,$AW325,SUMIF($B$10:$B$16,"NCAP_TLIFE",$AX$10:$AX$16)),0,""))</f>
        <v/>
      </c>
      <c r="AQ325" s="369" t="str">
        <f ca="1">IF($B325&lt;&gt;"PRC_RESID","",IF(AQ$7=2005+OFFSET(COM_N_2012!$B$60,$AW325,SUMIF($B$10:$B$16,"NCAP_TLIFE",$AX$10:$AX$16)),0,""))</f>
        <v/>
      </c>
      <c r="AR325" s="369" t="str">
        <f ca="1">IF($B325&lt;&gt;"PRC_RESID","",IF(AR$7=2005+OFFSET(COM_N_2012!$B$60,$AW325,SUMIF($B$10:$B$16,"NCAP_TLIFE",$AX$10:$AX$16)),0,""))</f>
        <v/>
      </c>
      <c r="AS325" s="369" t="str">
        <f ca="1">IF($B325&lt;&gt;"PRC_RESID","",IF(AS$7=2005+OFFSET(COM_N_2012!$B$60,$AW325,SUMIF($B$10:$B$16,"NCAP_TLIFE",$AX$10:$AX$16)),0,""))</f>
        <v/>
      </c>
      <c r="AT325" s="369" t="str">
        <f ca="1">IF($B325&lt;&gt;"PRC_RESID","",IF(AT$7=2005+OFFSET(COM_N_2012!$B$60,$AW325,SUMIF($B$10:$B$16,"NCAP_TLIFE",$AX$10:$AX$16)),0,""))</f>
        <v/>
      </c>
      <c r="AU325" s="369" t="str">
        <f ca="1">IF($B325&lt;&gt;"PRC_RESID","",IF(AU$7=2005+OFFSET(COM_N_2012!$B$60,$AW325,SUMIF($B$10:$B$16,"NCAP_TLIFE",$AX$10:$AX$16)),0,""))</f>
        <v/>
      </c>
      <c r="AV325" s="304">
        <f>IF(AW324=COM_N_2012!$AK$121,AV324+1,AV324)</f>
        <v>6</v>
      </c>
      <c r="AW325" s="304">
        <f t="shared" si="43"/>
        <v>3</v>
      </c>
    </row>
    <row r="326" spans="1:49">
      <c r="A326" s="304" t="str">
        <f ca="1">IF(LEFT(OFFSET(COM_N_2012!$A$60,AW326,0),2)="\I","*","")</f>
        <v/>
      </c>
      <c r="B326" s="369" t="str">
        <f t="shared" ca="1" si="36"/>
        <v>PRC_RESID</v>
      </c>
      <c r="C326" s="369" t="str">
        <f ca="1">IF($A326="*","",OFFSET(COM_N_2012!$B$60,AW326,0))</f>
        <v>CNCELCROOM-E</v>
      </c>
      <c r="D326" s="369" t="str">
        <f t="shared" ca="1" si="42"/>
        <v>-</v>
      </c>
      <c r="E326" s="369" t="str">
        <f t="shared" ca="1" si="42"/>
        <v>-</v>
      </c>
      <c r="F326" s="369" t="str">
        <f t="shared" ca="1" si="42"/>
        <v>-</v>
      </c>
      <c r="G326" s="369" t="str">
        <f t="shared" ca="1" si="42"/>
        <v>-</v>
      </c>
      <c r="H326" s="369" t="str">
        <f t="shared" ca="1" si="42"/>
        <v>-</v>
      </c>
      <c r="I326" s="370">
        <f t="shared" ca="1" si="42"/>
        <v>0</v>
      </c>
      <c r="J326" s="391">
        <f ca="1">IF($A326="*","",OFFSET(COM_N_2012!$B$60,AW326,SUMIF($B$10:$B$16,B326,$AX$10:$AX$16)))</f>
        <v>0</v>
      </c>
      <c r="K326" s="369" t="str">
        <f ca="1">IF($B326&lt;&gt;"PRC_RESID","",IF(K$7=2005+OFFSET(COM_N_2012!$B$60,$AW326,SUMIF($B$10:$B$16,"NCAP_TLIFE",$AX$10:$AX$16)),0,""))</f>
        <v/>
      </c>
      <c r="L326" s="369" t="str">
        <f ca="1">IF($B326&lt;&gt;"PRC_RESID","",IF(L$7=2005+OFFSET(COM_N_2012!$B$60,$AW326,SUMIF($B$10:$B$16,"NCAP_TLIFE",$AX$10:$AX$16)),0,""))</f>
        <v/>
      </c>
      <c r="M326" s="369" t="str">
        <f ca="1">IF($B326&lt;&gt;"PRC_RESID","",IF(M$7=2005+OFFSET(COM_N_2012!$B$60,$AW326,SUMIF($B$10:$B$16,"NCAP_TLIFE",$AX$10:$AX$16)),0,""))</f>
        <v/>
      </c>
      <c r="N326" s="369" t="str">
        <f ca="1">IF($B326&lt;&gt;"PRC_RESID","",IF(N$7=2005+OFFSET(COM_N_2012!$B$60,$AW326,SUMIF($B$10:$B$16,"NCAP_TLIFE",$AX$10:$AX$16)),0,""))</f>
        <v/>
      </c>
      <c r="O326" s="369" t="str">
        <f ca="1">IF($B326&lt;&gt;"PRC_RESID","",IF(O$7=2005+OFFSET(COM_N_2012!$B$60,$AW326,SUMIF($B$10:$B$16,"NCAP_TLIFE",$AX$10:$AX$16)),0,""))</f>
        <v/>
      </c>
      <c r="P326" s="369" t="str">
        <f ca="1">IF($B326&lt;&gt;"PRC_RESID","",IF(P$7=2005+OFFSET(COM_N_2012!$B$60,$AW326,SUMIF($B$10:$B$16,"NCAP_TLIFE",$AX$10:$AX$16)),0,""))</f>
        <v/>
      </c>
      <c r="Q326" s="369" t="str">
        <f ca="1">IF($B326&lt;&gt;"PRC_RESID","",IF(Q$7=2005+OFFSET(COM_N_2012!$B$60,$AW326,SUMIF($B$10:$B$16,"NCAP_TLIFE",$AX$10:$AX$16)),0,""))</f>
        <v/>
      </c>
      <c r="R326" s="369">
        <f ca="1">IF($B326&lt;&gt;"PRC_RESID","",IF(R$7=2005+OFFSET(COM_N_2012!$B$60,$AW326,SUMIF($B$10:$B$16,"NCAP_TLIFE",$AX$10:$AX$16)),0,""))</f>
        <v>0</v>
      </c>
      <c r="S326" s="369" t="str">
        <f ca="1">IF($B326&lt;&gt;"PRC_RESID","",IF(S$7=2005+OFFSET(COM_N_2012!$B$60,$AW326,SUMIF($B$10:$B$16,"NCAP_TLIFE",$AX$10:$AX$16)),0,""))</f>
        <v/>
      </c>
      <c r="T326" s="369" t="str">
        <f ca="1">IF($B326&lt;&gt;"PRC_RESID","",IF(T$7=2005+OFFSET(COM_N_2012!$B$60,$AW326,SUMIF($B$10:$B$16,"NCAP_TLIFE",$AX$10:$AX$16)),0,""))</f>
        <v/>
      </c>
      <c r="U326" s="369" t="str">
        <f ca="1">IF($B326&lt;&gt;"PRC_RESID","",IF(U$7=2005+OFFSET(COM_N_2012!$B$60,$AW326,SUMIF($B$10:$B$16,"NCAP_TLIFE",$AX$10:$AX$16)),0,""))</f>
        <v/>
      </c>
      <c r="V326" s="369" t="str">
        <f ca="1">IF($B326&lt;&gt;"PRC_RESID","",IF(V$7=2005+OFFSET(COM_N_2012!$B$60,$AW326,SUMIF($B$10:$B$16,"NCAP_TLIFE",$AX$10:$AX$16)),0,""))</f>
        <v/>
      </c>
      <c r="W326" s="369" t="str">
        <f ca="1">IF($B326&lt;&gt;"PRC_RESID","",IF(W$7=2005+OFFSET(COM_N_2012!$B$60,$AW326,SUMIF($B$10:$B$16,"NCAP_TLIFE",$AX$10:$AX$16)),0,""))</f>
        <v/>
      </c>
      <c r="X326" s="369" t="str">
        <f ca="1">IF($B326&lt;&gt;"PRC_RESID","",IF(X$7=2005+OFFSET(COM_N_2012!$B$60,$AW326,SUMIF($B$10:$B$16,"NCAP_TLIFE",$AX$10:$AX$16)),0,""))</f>
        <v/>
      </c>
      <c r="Y326" s="369" t="str">
        <f ca="1">IF($B326&lt;&gt;"PRC_RESID","",IF(Y$7=2005+OFFSET(COM_N_2012!$B$60,$AW326,SUMIF($B$10:$B$16,"NCAP_TLIFE",$AX$10:$AX$16)),0,""))</f>
        <v/>
      </c>
      <c r="Z326" s="369" t="str">
        <f ca="1">IF($B326&lt;&gt;"PRC_RESID","",IF(Z$7=2005+OFFSET(COM_N_2012!$B$60,$AW326,SUMIF($B$10:$B$16,"NCAP_TLIFE",$AX$10:$AX$16)),0,""))</f>
        <v/>
      </c>
      <c r="AA326" s="369" t="str">
        <f ca="1">IF($B326&lt;&gt;"PRC_RESID","",IF(AA$7=2005+OFFSET(COM_N_2012!$B$60,$AW326,SUMIF($B$10:$B$16,"NCAP_TLIFE",$AX$10:$AX$16)),0,""))</f>
        <v/>
      </c>
      <c r="AB326" s="369" t="str">
        <f ca="1">IF($B326&lt;&gt;"PRC_RESID","",IF(AB$7=2005+OFFSET(COM_N_2012!$B$60,$AW326,SUMIF($B$10:$B$16,"NCAP_TLIFE",$AX$10:$AX$16)),0,""))</f>
        <v/>
      </c>
      <c r="AC326" s="369" t="str">
        <f ca="1">IF($B326&lt;&gt;"PRC_RESID","",IF(AC$7=2005+OFFSET(COM_N_2012!$B$60,$AW326,SUMIF($B$10:$B$16,"NCAP_TLIFE",$AX$10:$AX$16)),0,""))</f>
        <v/>
      </c>
      <c r="AD326" s="369" t="str">
        <f ca="1">IF($B326&lt;&gt;"PRC_RESID","",IF(AD$7=2005+OFFSET(COM_N_2012!$B$60,$AW326,SUMIF($B$10:$B$16,"NCAP_TLIFE",$AX$10:$AX$16)),0,""))</f>
        <v/>
      </c>
      <c r="AE326" s="369" t="str">
        <f ca="1">IF($B326&lt;&gt;"PRC_RESID","",IF(AE$7=2005+OFFSET(COM_N_2012!$B$60,$AW326,SUMIF($B$10:$B$16,"NCAP_TLIFE",$AX$10:$AX$16)),0,""))</f>
        <v/>
      </c>
      <c r="AF326" s="369" t="str">
        <f ca="1">IF($B326&lt;&gt;"PRC_RESID","",IF(AF$7=2005+OFFSET(COM_N_2012!$B$60,$AW326,SUMIF($B$10:$B$16,"NCAP_TLIFE",$AX$10:$AX$16)),0,""))</f>
        <v/>
      </c>
      <c r="AG326" s="369" t="str">
        <f ca="1">IF($B326&lt;&gt;"PRC_RESID","",IF(AG$7=2005+OFFSET(COM_N_2012!$B$60,$AW326,SUMIF($B$10:$B$16,"NCAP_TLIFE",$AX$10:$AX$16)),0,""))</f>
        <v/>
      </c>
      <c r="AH326" s="369" t="str">
        <f ca="1">IF($B326&lt;&gt;"PRC_RESID","",IF(AH$7=2005+OFFSET(COM_N_2012!$B$60,$AW326,SUMIF($B$10:$B$16,"NCAP_TLIFE",$AX$10:$AX$16)),0,""))</f>
        <v/>
      </c>
      <c r="AI326" s="369" t="str">
        <f ca="1">IF($B326&lt;&gt;"PRC_RESID","",IF(AI$7=2005+OFFSET(COM_N_2012!$B$60,$AW326,SUMIF($B$10:$B$16,"NCAP_TLIFE",$AX$10:$AX$16)),0,""))</f>
        <v/>
      </c>
      <c r="AJ326" s="369" t="str">
        <f ca="1">IF($B326&lt;&gt;"PRC_RESID","",IF(AJ$7=2005+OFFSET(COM_N_2012!$B$60,$AW326,SUMIF($B$10:$B$16,"NCAP_TLIFE",$AX$10:$AX$16)),0,""))</f>
        <v/>
      </c>
      <c r="AK326" s="369" t="str">
        <f ca="1">IF($B326&lt;&gt;"PRC_RESID","",IF(AK$7=2005+OFFSET(COM_N_2012!$B$60,$AW326,SUMIF($B$10:$B$16,"NCAP_TLIFE",$AX$10:$AX$16)),0,""))</f>
        <v/>
      </c>
      <c r="AL326" s="369" t="str">
        <f ca="1">IF($B326&lt;&gt;"PRC_RESID","",IF(AL$7=2005+OFFSET(COM_N_2012!$B$60,$AW326,SUMIF($B$10:$B$16,"NCAP_TLIFE",$AX$10:$AX$16)),0,""))</f>
        <v/>
      </c>
      <c r="AM326" s="369" t="str">
        <f ca="1">IF($B326&lt;&gt;"PRC_RESID","",IF(AM$7=2005+OFFSET(COM_N_2012!$B$60,$AW326,SUMIF($B$10:$B$16,"NCAP_TLIFE",$AX$10:$AX$16)),0,""))</f>
        <v/>
      </c>
      <c r="AN326" s="369" t="str">
        <f ca="1">IF($B326&lt;&gt;"PRC_RESID","",IF(AN$7=2005+OFFSET(COM_N_2012!$B$60,$AW326,SUMIF($B$10:$B$16,"NCAP_TLIFE",$AX$10:$AX$16)),0,""))</f>
        <v/>
      </c>
      <c r="AO326" s="369" t="str">
        <f ca="1">IF($B326&lt;&gt;"PRC_RESID","",IF(AO$7=2005+OFFSET(COM_N_2012!$B$60,$AW326,SUMIF($B$10:$B$16,"NCAP_TLIFE",$AX$10:$AX$16)),0,""))</f>
        <v/>
      </c>
      <c r="AP326" s="369" t="str">
        <f ca="1">IF($B326&lt;&gt;"PRC_RESID","",IF(AP$7=2005+OFFSET(COM_N_2012!$B$60,$AW326,SUMIF($B$10:$B$16,"NCAP_TLIFE",$AX$10:$AX$16)),0,""))</f>
        <v/>
      </c>
      <c r="AQ326" s="369" t="str">
        <f ca="1">IF($B326&lt;&gt;"PRC_RESID","",IF(AQ$7=2005+OFFSET(COM_N_2012!$B$60,$AW326,SUMIF($B$10:$B$16,"NCAP_TLIFE",$AX$10:$AX$16)),0,""))</f>
        <v/>
      </c>
      <c r="AR326" s="369" t="str">
        <f ca="1">IF($B326&lt;&gt;"PRC_RESID","",IF(AR$7=2005+OFFSET(COM_N_2012!$B$60,$AW326,SUMIF($B$10:$B$16,"NCAP_TLIFE",$AX$10:$AX$16)),0,""))</f>
        <v/>
      </c>
      <c r="AS326" s="369" t="str">
        <f ca="1">IF($B326&lt;&gt;"PRC_RESID","",IF(AS$7=2005+OFFSET(COM_N_2012!$B$60,$AW326,SUMIF($B$10:$B$16,"NCAP_TLIFE",$AX$10:$AX$16)),0,""))</f>
        <v/>
      </c>
      <c r="AT326" s="369" t="str">
        <f ca="1">IF($B326&lt;&gt;"PRC_RESID","",IF(AT$7=2005+OFFSET(COM_N_2012!$B$60,$AW326,SUMIF($B$10:$B$16,"NCAP_TLIFE",$AX$10:$AX$16)),0,""))</f>
        <v/>
      </c>
      <c r="AU326" s="369" t="str">
        <f ca="1">IF($B326&lt;&gt;"PRC_RESID","",IF(AU$7=2005+OFFSET(COM_N_2012!$B$60,$AW326,SUMIF($B$10:$B$16,"NCAP_TLIFE",$AX$10:$AX$16)),0,""))</f>
        <v/>
      </c>
      <c r="AV326" s="304">
        <f>IF(AW325=COM_N_2012!$AK$121,AV325+1,AV325)</f>
        <v>6</v>
      </c>
      <c r="AW326" s="304">
        <f t="shared" si="43"/>
        <v>4</v>
      </c>
    </row>
    <row r="327" spans="1:49">
      <c r="A327" s="304" t="str">
        <f ca="1">IF(LEFT(OFFSET(COM_N_2012!$A$60,AW327,0),2)="\I","*","")</f>
        <v/>
      </c>
      <c r="B327" s="369" t="str">
        <f t="shared" ca="1" si="36"/>
        <v>PRC_RESID</v>
      </c>
      <c r="C327" s="369" t="str">
        <f ca="1">IF($A327="*","",OFFSET(COM_N_2012!$B$60,AW327,0))</f>
        <v>CNCELCCEN-N</v>
      </c>
      <c r="D327" s="369" t="str">
        <f t="shared" ca="1" si="42"/>
        <v>-</v>
      </c>
      <c r="E327" s="369" t="str">
        <f t="shared" ca="1" si="42"/>
        <v>-</v>
      </c>
      <c r="F327" s="369" t="str">
        <f t="shared" ca="1" si="42"/>
        <v>-</v>
      </c>
      <c r="G327" s="369" t="str">
        <f t="shared" ca="1" si="42"/>
        <v>-</v>
      </c>
      <c r="H327" s="369" t="str">
        <f t="shared" ca="1" si="42"/>
        <v>-</v>
      </c>
      <c r="I327" s="370">
        <f t="shared" ca="1" si="42"/>
        <v>0</v>
      </c>
      <c r="J327" s="391">
        <f ca="1">IF($A327="*","",OFFSET(COM_N_2012!$B$60,AW327,SUMIF($B$10:$B$16,B327,$AX$10:$AX$16)))</f>
        <v>0</v>
      </c>
      <c r="K327" s="369" t="str">
        <f ca="1">IF($B327&lt;&gt;"PRC_RESID","",IF(K$7=2005+OFFSET(COM_N_2012!$B$60,$AW327,SUMIF($B$10:$B$16,"NCAP_TLIFE",$AX$10:$AX$16)),0,""))</f>
        <v/>
      </c>
      <c r="L327" s="369" t="str">
        <f ca="1">IF($B327&lt;&gt;"PRC_RESID","",IF(L$7=2005+OFFSET(COM_N_2012!$B$60,$AW327,SUMIF($B$10:$B$16,"NCAP_TLIFE",$AX$10:$AX$16)),0,""))</f>
        <v/>
      </c>
      <c r="M327" s="369" t="str">
        <f ca="1">IF($B327&lt;&gt;"PRC_RESID","",IF(M$7=2005+OFFSET(COM_N_2012!$B$60,$AW327,SUMIF($B$10:$B$16,"NCAP_TLIFE",$AX$10:$AX$16)),0,""))</f>
        <v/>
      </c>
      <c r="N327" s="369" t="str">
        <f ca="1">IF($B327&lt;&gt;"PRC_RESID","",IF(N$7=2005+OFFSET(COM_N_2012!$B$60,$AW327,SUMIF($B$10:$B$16,"NCAP_TLIFE",$AX$10:$AX$16)),0,""))</f>
        <v/>
      </c>
      <c r="O327" s="369" t="str">
        <f ca="1">IF($B327&lt;&gt;"PRC_RESID","",IF(O$7=2005+OFFSET(COM_N_2012!$B$60,$AW327,SUMIF($B$10:$B$16,"NCAP_TLIFE",$AX$10:$AX$16)),0,""))</f>
        <v/>
      </c>
      <c r="P327" s="369" t="str">
        <f ca="1">IF($B327&lt;&gt;"PRC_RESID","",IF(P$7=2005+OFFSET(COM_N_2012!$B$60,$AW327,SUMIF($B$10:$B$16,"NCAP_TLIFE",$AX$10:$AX$16)),0,""))</f>
        <v/>
      </c>
      <c r="Q327" s="369" t="str">
        <f ca="1">IF($B327&lt;&gt;"PRC_RESID","",IF(Q$7=2005+OFFSET(COM_N_2012!$B$60,$AW327,SUMIF($B$10:$B$16,"NCAP_TLIFE",$AX$10:$AX$16)),0,""))</f>
        <v/>
      </c>
      <c r="R327" s="369">
        <f ca="1">IF($B327&lt;&gt;"PRC_RESID","",IF(R$7=2005+OFFSET(COM_N_2012!$B$60,$AW327,SUMIF($B$10:$B$16,"NCAP_TLIFE",$AX$10:$AX$16)),0,""))</f>
        <v>0</v>
      </c>
      <c r="S327" s="369" t="str">
        <f ca="1">IF($B327&lt;&gt;"PRC_RESID","",IF(S$7=2005+OFFSET(COM_N_2012!$B$60,$AW327,SUMIF($B$10:$B$16,"NCAP_TLIFE",$AX$10:$AX$16)),0,""))</f>
        <v/>
      </c>
      <c r="T327" s="369" t="str">
        <f ca="1">IF($B327&lt;&gt;"PRC_RESID","",IF(T$7=2005+OFFSET(COM_N_2012!$B$60,$AW327,SUMIF($B$10:$B$16,"NCAP_TLIFE",$AX$10:$AX$16)),0,""))</f>
        <v/>
      </c>
      <c r="U327" s="369" t="str">
        <f ca="1">IF($B327&lt;&gt;"PRC_RESID","",IF(U$7=2005+OFFSET(COM_N_2012!$B$60,$AW327,SUMIF($B$10:$B$16,"NCAP_TLIFE",$AX$10:$AX$16)),0,""))</f>
        <v/>
      </c>
      <c r="V327" s="369" t="str">
        <f ca="1">IF($B327&lt;&gt;"PRC_RESID","",IF(V$7=2005+OFFSET(COM_N_2012!$B$60,$AW327,SUMIF($B$10:$B$16,"NCAP_TLIFE",$AX$10:$AX$16)),0,""))</f>
        <v/>
      </c>
      <c r="W327" s="369" t="str">
        <f ca="1">IF($B327&lt;&gt;"PRC_RESID","",IF(W$7=2005+OFFSET(COM_N_2012!$B$60,$AW327,SUMIF($B$10:$B$16,"NCAP_TLIFE",$AX$10:$AX$16)),0,""))</f>
        <v/>
      </c>
      <c r="X327" s="369" t="str">
        <f ca="1">IF($B327&lt;&gt;"PRC_RESID","",IF(X$7=2005+OFFSET(COM_N_2012!$B$60,$AW327,SUMIF($B$10:$B$16,"NCAP_TLIFE",$AX$10:$AX$16)),0,""))</f>
        <v/>
      </c>
      <c r="Y327" s="369" t="str">
        <f ca="1">IF($B327&lt;&gt;"PRC_RESID","",IF(Y$7=2005+OFFSET(COM_N_2012!$B$60,$AW327,SUMIF($B$10:$B$16,"NCAP_TLIFE",$AX$10:$AX$16)),0,""))</f>
        <v/>
      </c>
      <c r="Z327" s="369" t="str">
        <f ca="1">IF($B327&lt;&gt;"PRC_RESID","",IF(Z$7=2005+OFFSET(COM_N_2012!$B$60,$AW327,SUMIF($B$10:$B$16,"NCAP_TLIFE",$AX$10:$AX$16)),0,""))</f>
        <v/>
      </c>
      <c r="AA327" s="369" t="str">
        <f ca="1">IF($B327&lt;&gt;"PRC_RESID","",IF(AA$7=2005+OFFSET(COM_N_2012!$B$60,$AW327,SUMIF($B$10:$B$16,"NCAP_TLIFE",$AX$10:$AX$16)),0,""))</f>
        <v/>
      </c>
      <c r="AB327" s="369" t="str">
        <f ca="1">IF($B327&lt;&gt;"PRC_RESID","",IF(AB$7=2005+OFFSET(COM_N_2012!$B$60,$AW327,SUMIF($B$10:$B$16,"NCAP_TLIFE",$AX$10:$AX$16)),0,""))</f>
        <v/>
      </c>
      <c r="AC327" s="369" t="str">
        <f ca="1">IF($B327&lt;&gt;"PRC_RESID","",IF(AC$7=2005+OFFSET(COM_N_2012!$B$60,$AW327,SUMIF($B$10:$B$16,"NCAP_TLIFE",$AX$10:$AX$16)),0,""))</f>
        <v/>
      </c>
      <c r="AD327" s="369" t="str">
        <f ca="1">IF($B327&lt;&gt;"PRC_RESID","",IF(AD$7=2005+OFFSET(COM_N_2012!$B$60,$AW327,SUMIF($B$10:$B$16,"NCAP_TLIFE",$AX$10:$AX$16)),0,""))</f>
        <v/>
      </c>
      <c r="AE327" s="369" t="str">
        <f ca="1">IF($B327&lt;&gt;"PRC_RESID","",IF(AE$7=2005+OFFSET(COM_N_2012!$B$60,$AW327,SUMIF($B$10:$B$16,"NCAP_TLIFE",$AX$10:$AX$16)),0,""))</f>
        <v/>
      </c>
      <c r="AF327" s="369" t="str">
        <f ca="1">IF($B327&lt;&gt;"PRC_RESID","",IF(AF$7=2005+OFFSET(COM_N_2012!$B$60,$AW327,SUMIF($B$10:$B$16,"NCAP_TLIFE",$AX$10:$AX$16)),0,""))</f>
        <v/>
      </c>
      <c r="AG327" s="369" t="str">
        <f ca="1">IF($B327&lt;&gt;"PRC_RESID","",IF(AG$7=2005+OFFSET(COM_N_2012!$B$60,$AW327,SUMIF($B$10:$B$16,"NCAP_TLIFE",$AX$10:$AX$16)),0,""))</f>
        <v/>
      </c>
      <c r="AH327" s="369" t="str">
        <f ca="1">IF($B327&lt;&gt;"PRC_RESID","",IF(AH$7=2005+OFFSET(COM_N_2012!$B$60,$AW327,SUMIF($B$10:$B$16,"NCAP_TLIFE",$AX$10:$AX$16)),0,""))</f>
        <v/>
      </c>
      <c r="AI327" s="369" t="str">
        <f ca="1">IF($B327&lt;&gt;"PRC_RESID","",IF(AI$7=2005+OFFSET(COM_N_2012!$B$60,$AW327,SUMIF($B$10:$B$16,"NCAP_TLIFE",$AX$10:$AX$16)),0,""))</f>
        <v/>
      </c>
      <c r="AJ327" s="369" t="str">
        <f ca="1">IF($B327&lt;&gt;"PRC_RESID","",IF(AJ$7=2005+OFFSET(COM_N_2012!$B$60,$AW327,SUMIF($B$10:$B$16,"NCAP_TLIFE",$AX$10:$AX$16)),0,""))</f>
        <v/>
      </c>
      <c r="AK327" s="369" t="str">
        <f ca="1">IF($B327&lt;&gt;"PRC_RESID","",IF(AK$7=2005+OFFSET(COM_N_2012!$B$60,$AW327,SUMIF($B$10:$B$16,"NCAP_TLIFE",$AX$10:$AX$16)),0,""))</f>
        <v/>
      </c>
      <c r="AL327" s="369" t="str">
        <f ca="1">IF($B327&lt;&gt;"PRC_RESID","",IF(AL$7=2005+OFFSET(COM_N_2012!$B$60,$AW327,SUMIF($B$10:$B$16,"NCAP_TLIFE",$AX$10:$AX$16)),0,""))</f>
        <v/>
      </c>
      <c r="AM327" s="369" t="str">
        <f ca="1">IF($B327&lt;&gt;"PRC_RESID","",IF(AM$7=2005+OFFSET(COM_N_2012!$B$60,$AW327,SUMIF($B$10:$B$16,"NCAP_TLIFE",$AX$10:$AX$16)),0,""))</f>
        <v/>
      </c>
      <c r="AN327" s="369" t="str">
        <f ca="1">IF($B327&lt;&gt;"PRC_RESID","",IF(AN$7=2005+OFFSET(COM_N_2012!$B$60,$AW327,SUMIF($B$10:$B$16,"NCAP_TLIFE",$AX$10:$AX$16)),0,""))</f>
        <v/>
      </c>
      <c r="AO327" s="369" t="str">
        <f ca="1">IF($B327&lt;&gt;"PRC_RESID","",IF(AO$7=2005+OFFSET(COM_N_2012!$B$60,$AW327,SUMIF($B$10:$B$16,"NCAP_TLIFE",$AX$10:$AX$16)),0,""))</f>
        <v/>
      </c>
      <c r="AP327" s="369" t="str">
        <f ca="1">IF($B327&lt;&gt;"PRC_RESID","",IF(AP$7=2005+OFFSET(COM_N_2012!$B$60,$AW327,SUMIF($B$10:$B$16,"NCAP_TLIFE",$AX$10:$AX$16)),0,""))</f>
        <v/>
      </c>
      <c r="AQ327" s="369" t="str">
        <f ca="1">IF($B327&lt;&gt;"PRC_RESID","",IF(AQ$7=2005+OFFSET(COM_N_2012!$B$60,$AW327,SUMIF($B$10:$B$16,"NCAP_TLIFE",$AX$10:$AX$16)),0,""))</f>
        <v/>
      </c>
      <c r="AR327" s="369" t="str">
        <f ca="1">IF($B327&lt;&gt;"PRC_RESID","",IF(AR$7=2005+OFFSET(COM_N_2012!$B$60,$AW327,SUMIF($B$10:$B$16,"NCAP_TLIFE",$AX$10:$AX$16)),0,""))</f>
        <v/>
      </c>
      <c r="AS327" s="369" t="str">
        <f ca="1">IF($B327&lt;&gt;"PRC_RESID","",IF(AS$7=2005+OFFSET(COM_N_2012!$B$60,$AW327,SUMIF($B$10:$B$16,"NCAP_TLIFE",$AX$10:$AX$16)),0,""))</f>
        <v/>
      </c>
      <c r="AT327" s="369" t="str">
        <f ca="1">IF($B327&lt;&gt;"PRC_RESID","",IF(AT$7=2005+OFFSET(COM_N_2012!$B$60,$AW327,SUMIF($B$10:$B$16,"NCAP_TLIFE",$AX$10:$AX$16)),0,""))</f>
        <v/>
      </c>
      <c r="AU327" s="369" t="str">
        <f ca="1">IF($B327&lt;&gt;"PRC_RESID","",IF(AU$7=2005+OFFSET(COM_N_2012!$B$60,$AW327,SUMIF($B$10:$B$16,"NCAP_TLIFE",$AX$10:$AX$16)),0,""))</f>
        <v/>
      </c>
      <c r="AV327" s="304">
        <f>IF(AW326=COM_N_2012!$AK$121,AV326+1,AV326)</f>
        <v>6</v>
      </c>
      <c r="AW327" s="304">
        <f t="shared" si="43"/>
        <v>5</v>
      </c>
    </row>
    <row r="328" spans="1:49">
      <c r="A328" s="304" t="str">
        <f ca="1">IF(LEFT(OFFSET(COM_N_2012!$A$60,AW328,0),2)="\I","*","")</f>
        <v/>
      </c>
      <c r="B328" s="369" t="str">
        <f t="shared" ca="1" si="36"/>
        <v>PRC_RESID</v>
      </c>
      <c r="C328" s="369" t="str">
        <f ca="1">IF($A328="*","",OFFSET(COM_N_2012!$B$60,AW328,0))</f>
        <v>CNCELCHP-N</v>
      </c>
      <c r="D328" s="369" t="str">
        <f t="shared" ref="D328:I343" ca="1" si="44">IF($A328="*","",VLOOKUP($B328,$B$10:$I$16,D$9,FALSE))</f>
        <v>-</v>
      </c>
      <c r="E328" s="369" t="str">
        <f t="shared" ca="1" si="44"/>
        <v>-</v>
      </c>
      <c r="F328" s="369" t="str">
        <f t="shared" ca="1" si="44"/>
        <v>-</v>
      </c>
      <c r="G328" s="369" t="str">
        <f t="shared" ca="1" si="44"/>
        <v>-</v>
      </c>
      <c r="H328" s="369" t="str">
        <f t="shared" ca="1" si="44"/>
        <v>-</v>
      </c>
      <c r="I328" s="370">
        <f t="shared" ca="1" si="44"/>
        <v>0</v>
      </c>
      <c r="J328" s="391">
        <f ca="1">IF($A328="*","",OFFSET(COM_N_2012!$B$60,AW328,SUMIF($B$10:$B$16,B328,$AX$10:$AX$16)))</f>
        <v>0</v>
      </c>
      <c r="K328" s="369" t="str">
        <f ca="1">IF($B328&lt;&gt;"PRC_RESID","",IF(K$7=2005+OFFSET(COM_N_2012!$B$60,$AW328,SUMIF($B$10:$B$16,"NCAP_TLIFE",$AX$10:$AX$16)),0,""))</f>
        <v/>
      </c>
      <c r="L328" s="369" t="str">
        <f ca="1">IF($B328&lt;&gt;"PRC_RESID","",IF(L$7=2005+OFFSET(COM_N_2012!$B$60,$AW328,SUMIF($B$10:$B$16,"NCAP_TLIFE",$AX$10:$AX$16)),0,""))</f>
        <v/>
      </c>
      <c r="M328" s="369" t="str">
        <f ca="1">IF($B328&lt;&gt;"PRC_RESID","",IF(M$7=2005+OFFSET(COM_N_2012!$B$60,$AW328,SUMIF($B$10:$B$16,"NCAP_TLIFE",$AX$10:$AX$16)),0,""))</f>
        <v/>
      </c>
      <c r="N328" s="369" t="str">
        <f ca="1">IF($B328&lt;&gt;"PRC_RESID","",IF(N$7=2005+OFFSET(COM_N_2012!$B$60,$AW328,SUMIF($B$10:$B$16,"NCAP_TLIFE",$AX$10:$AX$16)),0,""))</f>
        <v/>
      </c>
      <c r="O328" s="369" t="str">
        <f ca="1">IF($B328&lt;&gt;"PRC_RESID","",IF(O$7=2005+OFFSET(COM_N_2012!$B$60,$AW328,SUMIF($B$10:$B$16,"NCAP_TLIFE",$AX$10:$AX$16)),0,""))</f>
        <v/>
      </c>
      <c r="P328" s="369" t="str">
        <f ca="1">IF($B328&lt;&gt;"PRC_RESID","",IF(P$7=2005+OFFSET(COM_N_2012!$B$60,$AW328,SUMIF($B$10:$B$16,"NCAP_TLIFE",$AX$10:$AX$16)),0,""))</f>
        <v/>
      </c>
      <c r="Q328" s="369" t="str">
        <f ca="1">IF($B328&lt;&gt;"PRC_RESID","",IF(Q$7=2005+OFFSET(COM_N_2012!$B$60,$AW328,SUMIF($B$10:$B$16,"NCAP_TLIFE",$AX$10:$AX$16)),0,""))</f>
        <v/>
      </c>
      <c r="R328" s="369">
        <f ca="1">IF($B328&lt;&gt;"PRC_RESID","",IF(R$7=2005+OFFSET(COM_N_2012!$B$60,$AW328,SUMIF($B$10:$B$16,"NCAP_TLIFE",$AX$10:$AX$16)),0,""))</f>
        <v>0</v>
      </c>
      <c r="S328" s="369" t="str">
        <f ca="1">IF($B328&lt;&gt;"PRC_RESID","",IF(S$7=2005+OFFSET(COM_N_2012!$B$60,$AW328,SUMIF($B$10:$B$16,"NCAP_TLIFE",$AX$10:$AX$16)),0,""))</f>
        <v/>
      </c>
      <c r="T328" s="369" t="str">
        <f ca="1">IF($B328&lt;&gt;"PRC_RESID","",IF(T$7=2005+OFFSET(COM_N_2012!$B$60,$AW328,SUMIF($B$10:$B$16,"NCAP_TLIFE",$AX$10:$AX$16)),0,""))</f>
        <v/>
      </c>
      <c r="U328" s="369" t="str">
        <f ca="1">IF($B328&lt;&gt;"PRC_RESID","",IF(U$7=2005+OFFSET(COM_N_2012!$B$60,$AW328,SUMIF($B$10:$B$16,"NCAP_TLIFE",$AX$10:$AX$16)),0,""))</f>
        <v/>
      </c>
      <c r="V328" s="369" t="str">
        <f ca="1">IF($B328&lt;&gt;"PRC_RESID","",IF(V$7=2005+OFFSET(COM_N_2012!$B$60,$AW328,SUMIF($B$10:$B$16,"NCAP_TLIFE",$AX$10:$AX$16)),0,""))</f>
        <v/>
      </c>
      <c r="W328" s="369" t="str">
        <f ca="1">IF($B328&lt;&gt;"PRC_RESID","",IF(W$7=2005+OFFSET(COM_N_2012!$B$60,$AW328,SUMIF($B$10:$B$16,"NCAP_TLIFE",$AX$10:$AX$16)),0,""))</f>
        <v/>
      </c>
      <c r="X328" s="369" t="str">
        <f ca="1">IF($B328&lt;&gt;"PRC_RESID","",IF(X$7=2005+OFFSET(COM_N_2012!$B$60,$AW328,SUMIF($B$10:$B$16,"NCAP_TLIFE",$AX$10:$AX$16)),0,""))</f>
        <v/>
      </c>
      <c r="Y328" s="369" t="str">
        <f ca="1">IF($B328&lt;&gt;"PRC_RESID","",IF(Y$7=2005+OFFSET(COM_N_2012!$B$60,$AW328,SUMIF($B$10:$B$16,"NCAP_TLIFE",$AX$10:$AX$16)),0,""))</f>
        <v/>
      </c>
      <c r="Z328" s="369" t="str">
        <f ca="1">IF($B328&lt;&gt;"PRC_RESID","",IF(Z$7=2005+OFFSET(COM_N_2012!$B$60,$AW328,SUMIF($B$10:$B$16,"NCAP_TLIFE",$AX$10:$AX$16)),0,""))</f>
        <v/>
      </c>
      <c r="AA328" s="369" t="str">
        <f ca="1">IF($B328&lt;&gt;"PRC_RESID","",IF(AA$7=2005+OFFSET(COM_N_2012!$B$60,$AW328,SUMIF($B$10:$B$16,"NCAP_TLIFE",$AX$10:$AX$16)),0,""))</f>
        <v/>
      </c>
      <c r="AB328" s="369" t="str">
        <f ca="1">IF($B328&lt;&gt;"PRC_RESID","",IF(AB$7=2005+OFFSET(COM_N_2012!$B$60,$AW328,SUMIF($B$10:$B$16,"NCAP_TLIFE",$AX$10:$AX$16)),0,""))</f>
        <v/>
      </c>
      <c r="AC328" s="369" t="str">
        <f ca="1">IF($B328&lt;&gt;"PRC_RESID","",IF(AC$7=2005+OFFSET(COM_N_2012!$B$60,$AW328,SUMIF($B$10:$B$16,"NCAP_TLIFE",$AX$10:$AX$16)),0,""))</f>
        <v/>
      </c>
      <c r="AD328" s="369" t="str">
        <f ca="1">IF($B328&lt;&gt;"PRC_RESID","",IF(AD$7=2005+OFFSET(COM_N_2012!$B$60,$AW328,SUMIF($B$10:$B$16,"NCAP_TLIFE",$AX$10:$AX$16)),0,""))</f>
        <v/>
      </c>
      <c r="AE328" s="369" t="str">
        <f ca="1">IF($B328&lt;&gt;"PRC_RESID","",IF(AE$7=2005+OFFSET(COM_N_2012!$B$60,$AW328,SUMIF($B$10:$B$16,"NCAP_TLIFE",$AX$10:$AX$16)),0,""))</f>
        <v/>
      </c>
      <c r="AF328" s="369" t="str">
        <f ca="1">IF($B328&lt;&gt;"PRC_RESID","",IF(AF$7=2005+OFFSET(COM_N_2012!$B$60,$AW328,SUMIF($B$10:$B$16,"NCAP_TLIFE",$AX$10:$AX$16)),0,""))</f>
        <v/>
      </c>
      <c r="AG328" s="369" t="str">
        <f ca="1">IF($B328&lt;&gt;"PRC_RESID","",IF(AG$7=2005+OFFSET(COM_N_2012!$B$60,$AW328,SUMIF($B$10:$B$16,"NCAP_TLIFE",$AX$10:$AX$16)),0,""))</f>
        <v/>
      </c>
      <c r="AH328" s="369" t="str">
        <f ca="1">IF($B328&lt;&gt;"PRC_RESID","",IF(AH$7=2005+OFFSET(COM_N_2012!$B$60,$AW328,SUMIF($B$10:$B$16,"NCAP_TLIFE",$AX$10:$AX$16)),0,""))</f>
        <v/>
      </c>
      <c r="AI328" s="369" t="str">
        <f ca="1">IF($B328&lt;&gt;"PRC_RESID","",IF(AI$7=2005+OFFSET(COM_N_2012!$B$60,$AW328,SUMIF($B$10:$B$16,"NCAP_TLIFE",$AX$10:$AX$16)),0,""))</f>
        <v/>
      </c>
      <c r="AJ328" s="369" t="str">
        <f ca="1">IF($B328&lt;&gt;"PRC_RESID","",IF(AJ$7=2005+OFFSET(COM_N_2012!$B$60,$AW328,SUMIF($B$10:$B$16,"NCAP_TLIFE",$AX$10:$AX$16)),0,""))</f>
        <v/>
      </c>
      <c r="AK328" s="369" t="str">
        <f ca="1">IF($B328&lt;&gt;"PRC_RESID","",IF(AK$7=2005+OFFSET(COM_N_2012!$B$60,$AW328,SUMIF($B$10:$B$16,"NCAP_TLIFE",$AX$10:$AX$16)),0,""))</f>
        <v/>
      </c>
      <c r="AL328" s="369" t="str">
        <f ca="1">IF($B328&lt;&gt;"PRC_RESID","",IF(AL$7=2005+OFFSET(COM_N_2012!$B$60,$AW328,SUMIF($B$10:$B$16,"NCAP_TLIFE",$AX$10:$AX$16)),0,""))</f>
        <v/>
      </c>
      <c r="AM328" s="369" t="str">
        <f ca="1">IF($B328&lt;&gt;"PRC_RESID","",IF(AM$7=2005+OFFSET(COM_N_2012!$B$60,$AW328,SUMIF($B$10:$B$16,"NCAP_TLIFE",$AX$10:$AX$16)),0,""))</f>
        <v/>
      </c>
      <c r="AN328" s="369" t="str">
        <f ca="1">IF($B328&lt;&gt;"PRC_RESID","",IF(AN$7=2005+OFFSET(COM_N_2012!$B$60,$AW328,SUMIF($B$10:$B$16,"NCAP_TLIFE",$AX$10:$AX$16)),0,""))</f>
        <v/>
      </c>
      <c r="AO328" s="369" t="str">
        <f ca="1">IF($B328&lt;&gt;"PRC_RESID","",IF(AO$7=2005+OFFSET(COM_N_2012!$B$60,$AW328,SUMIF($B$10:$B$16,"NCAP_TLIFE",$AX$10:$AX$16)),0,""))</f>
        <v/>
      </c>
      <c r="AP328" s="369" t="str">
        <f ca="1">IF($B328&lt;&gt;"PRC_RESID","",IF(AP$7=2005+OFFSET(COM_N_2012!$B$60,$AW328,SUMIF($B$10:$B$16,"NCAP_TLIFE",$AX$10:$AX$16)),0,""))</f>
        <v/>
      </c>
      <c r="AQ328" s="369" t="str">
        <f ca="1">IF($B328&lt;&gt;"PRC_RESID","",IF(AQ$7=2005+OFFSET(COM_N_2012!$B$60,$AW328,SUMIF($B$10:$B$16,"NCAP_TLIFE",$AX$10:$AX$16)),0,""))</f>
        <v/>
      </c>
      <c r="AR328" s="369" t="str">
        <f ca="1">IF($B328&lt;&gt;"PRC_RESID","",IF(AR$7=2005+OFFSET(COM_N_2012!$B$60,$AW328,SUMIF($B$10:$B$16,"NCAP_TLIFE",$AX$10:$AX$16)),0,""))</f>
        <v/>
      </c>
      <c r="AS328" s="369" t="str">
        <f ca="1">IF($B328&lt;&gt;"PRC_RESID","",IF(AS$7=2005+OFFSET(COM_N_2012!$B$60,$AW328,SUMIF($B$10:$B$16,"NCAP_TLIFE",$AX$10:$AX$16)),0,""))</f>
        <v/>
      </c>
      <c r="AT328" s="369" t="str">
        <f ca="1">IF($B328&lt;&gt;"PRC_RESID","",IF(AT$7=2005+OFFSET(COM_N_2012!$B$60,$AW328,SUMIF($B$10:$B$16,"NCAP_TLIFE",$AX$10:$AX$16)),0,""))</f>
        <v/>
      </c>
      <c r="AU328" s="369" t="str">
        <f ca="1">IF($B328&lt;&gt;"PRC_RESID","",IF(AU$7=2005+OFFSET(COM_N_2012!$B$60,$AW328,SUMIF($B$10:$B$16,"NCAP_TLIFE",$AX$10:$AX$16)),0,""))</f>
        <v/>
      </c>
      <c r="AV328" s="304">
        <f>IF(AW327=COM_N_2012!$AK$121,AV327+1,AV327)</f>
        <v>6</v>
      </c>
      <c r="AW328" s="304">
        <f t="shared" si="43"/>
        <v>6</v>
      </c>
    </row>
    <row r="329" spans="1:49">
      <c r="A329" s="304" t="str">
        <f ca="1">IF(LEFT(OFFSET(COM_N_2012!$A$60,AW329,0),2)="\I","*","")</f>
        <v>*</v>
      </c>
      <c r="B329" s="369" t="str">
        <f t="shared" ca="1" si="36"/>
        <v/>
      </c>
      <c r="C329" s="369" t="str">
        <f ca="1">IF($A329="*","",OFFSET(COM_N_2012!$B$60,AW329,0))</f>
        <v/>
      </c>
      <c r="D329" s="369" t="str">
        <f t="shared" ca="1" si="44"/>
        <v/>
      </c>
      <c r="E329" s="369" t="str">
        <f t="shared" ca="1" si="44"/>
        <v/>
      </c>
      <c r="F329" s="369" t="str">
        <f t="shared" ca="1" si="44"/>
        <v/>
      </c>
      <c r="G329" s="369" t="str">
        <f t="shared" ca="1" si="44"/>
        <v/>
      </c>
      <c r="H329" s="369" t="str">
        <f t="shared" ca="1" si="44"/>
        <v/>
      </c>
      <c r="I329" s="370" t="str">
        <f t="shared" ca="1" si="44"/>
        <v/>
      </c>
      <c r="J329" s="391" t="str">
        <f ca="1">IF($A329="*","",OFFSET(COM_N_2012!$B$60,AW329,SUMIF($B$10:$B$16,B329,$AX$10:$AX$16)))</f>
        <v/>
      </c>
      <c r="K329" s="369" t="str">
        <f ca="1">IF($B329&lt;&gt;"PRC_RESID","",IF(K$7=2005+OFFSET(COM_N_2012!$B$60,$AW329,SUMIF($B$10:$B$16,"NCAP_TLIFE",$AX$10:$AX$16)),0,""))</f>
        <v/>
      </c>
      <c r="L329" s="369" t="str">
        <f ca="1">IF($B329&lt;&gt;"PRC_RESID","",IF(L$7=2005+OFFSET(COM_N_2012!$B$60,$AW329,SUMIF($B$10:$B$16,"NCAP_TLIFE",$AX$10:$AX$16)),0,""))</f>
        <v/>
      </c>
      <c r="M329" s="369" t="str">
        <f ca="1">IF($B329&lt;&gt;"PRC_RESID","",IF(M$7=2005+OFFSET(COM_N_2012!$B$60,$AW329,SUMIF($B$10:$B$16,"NCAP_TLIFE",$AX$10:$AX$16)),0,""))</f>
        <v/>
      </c>
      <c r="N329" s="369" t="str">
        <f ca="1">IF($B329&lt;&gt;"PRC_RESID","",IF(N$7=2005+OFFSET(COM_N_2012!$B$60,$AW329,SUMIF($B$10:$B$16,"NCAP_TLIFE",$AX$10:$AX$16)),0,""))</f>
        <v/>
      </c>
      <c r="O329" s="369" t="str">
        <f ca="1">IF($B329&lt;&gt;"PRC_RESID","",IF(O$7=2005+OFFSET(COM_N_2012!$B$60,$AW329,SUMIF($B$10:$B$16,"NCAP_TLIFE",$AX$10:$AX$16)),0,""))</f>
        <v/>
      </c>
      <c r="P329" s="369" t="str">
        <f ca="1">IF($B329&lt;&gt;"PRC_RESID","",IF(P$7=2005+OFFSET(COM_N_2012!$B$60,$AW329,SUMIF($B$10:$B$16,"NCAP_TLIFE",$AX$10:$AX$16)),0,""))</f>
        <v/>
      </c>
      <c r="Q329" s="369" t="str">
        <f ca="1">IF($B329&lt;&gt;"PRC_RESID","",IF(Q$7=2005+OFFSET(COM_N_2012!$B$60,$AW329,SUMIF($B$10:$B$16,"NCAP_TLIFE",$AX$10:$AX$16)),0,""))</f>
        <v/>
      </c>
      <c r="R329" s="369" t="str">
        <f ca="1">IF($B329&lt;&gt;"PRC_RESID","",IF(R$7=2005+OFFSET(COM_N_2012!$B$60,$AW329,SUMIF($B$10:$B$16,"NCAP_TLIFE",$AX$10:$AX$16)),0,""))</f>
        <v/>
      </c>
      <c r="S329" s="369" t="str">
        <f ca="1">IF($B329&lt;&gt;"PRC_RESID","",IF(S$7=2005+OFFSET(COM_N_2012!$B$60,$AW329,SUMIF($B$10:$B$16,"NCAP_TLIFE",$AX$10:$AX$16)),0,""))</f>
        <v/>
      </c>
      <c r="T329" s="369" t="str">
        <f ca="1">IF($B329&lt;&gt;"PRC_RESID","",IF(T$7=2005+OFFSET(COM_N_2012!$B$60,$AW329,SUMIF($B$10:$B$16,"NCAP_TLIFE",$AX$10:$AX$16)),0,""))</f>
        <v/>
      </c>
      <c r="U329" s="369" t="str">
        <f ca="1">IF($B329&lt;&gt;"PRC_RESID","",IF(U$7=2005+OFFSET(COM_N_2012!$B$60,$AW329,SUMIF($B$10:$B$16,"NCAP_TLIFE",$AX$10:$AX$16)),0,""))</f>
        <v/>
      </c>
      <c r="V329" s="369" t="str">
        <f ca="1">IF($B329&lt;&gt;"PRC_RESID","",IF(V$7=2005+OFFSET(COM_N_2012!$B$60,$AW329,SUMIF($B$10:$B$16,"NCAP_TLIFE",$AX$10:$AX$16)),0,""))</f>
        <v/>
      </c>
      <c r="W329" s="369" t="str">
        <f ca="1">IF($B329&lt;&gt;"PRC_RESID","",IF(W$7=2005+OFFSET(COM_N_2012!$B$60,$AW329,SUMIF($B$10:$B$16,"NCAP_TLIFE",$AX$10:$AX$16)),0,""))</f>
        <v/>
      </c>
      <c r="X329" s="369" t="str">
        <f ca="1">IF($B329&lt;&gt;"PRC_RESID","",IF(X$7=2005+OFFSET(COM_N_2012!$B$60,$AW329,SUMIF($B$10:$B$16,"NCAP_TLIFE",$AX$10:$AX$16)),0,""))</f>
        <v/>
      </c>
      <c r="Y329" s="369" t="str">
        <f ca="1">IF($B329&lt;&gt;"PRC_RESID","",IF(Y$7=2005+OFFSET(COM_N_2012!$B$60,$AW329,SUMIF($B$10:$B$16,"NCAP_TLIFE",$AX$10:$AX$16)),0,""))</f>
        <v/>
      </c>
      <c r="Z329" s="369" t="str">
        <f ca="1">IF($B329&lt;&gt;"PRC_RESID","",IF(Z$7=2005+OFFSET(COM_N_2012!$B$60,$AW329,SUMIF($B$10:$B$16,"NCAP_TLIFE",$AX$10:$AX$16)),0,""))</f>
        <v/>
      </c>
      <c r="AA329" s="369" t="str">
        <f ca="1">IF($B329&lt;&gt;"PRC_RESID","",IF(AA$7=2005+OFFSET(COM_N_2012!$B$60,$AW329,SUMIF($B$10:$B$16,"NCAP_TLIFE",$AX$10:$AX$16)),0,""))</f>
        <v/>
      </c>
      <c r="AB329" s="369" t="str">
        <f ca="1">IF($B329&lt;&gt;"PRC_RESID","",IF(AB$7=2005+OFFSET(COM_N_2012!$B$60,$AW329,SUMIF($B$10:$B$16,"NCAP_TLIFE",$AX$10:$AX$16)),0,""))</f>
        <v/>
      </c>
      <c r="AC329" s="369" t="str">
        <f ca="1">IF($B329&lt;&gt;"PRC_RESID","",IF(AC$7=2005+OFFSET(COM_N_2012!$B$60,$AW329,SUMIF($B$10:$B$16,"NCAP_TLIFE",$AX$10:$AX$16)),0,""))</f>
        <v/>
      </c>
      <c r="AD329" s="369" t="str">
        <f ca="1">IF($B329&lt;&gt;"PRC_RESID","",IF(AD$7=2005+OFFSET(COM_N_2012!$B$60,$AW329,SUMIF($B$10:$B$16,"NCAP_TLIFE",$AX$10:$AX$16)),0,""))</f>
        <v/>
      </c>
      <c r="AE329" s="369" t="str">
        <f ca="1">IF($B329&lt;&gt;"PRC_RESID","",IF(AE$7=2005+OFFSET(COM_N_2012!$B$60,$AW329,SUMIF($B$10:$B$16,"NCAP_TLIFE",$AX$10:$AX$16)),0,""))</f>
        <v/>
      </c>
      <c r="AF329" s="369" t="str">
        <f ca="1">IF($B329&lt;&gt;"PRC_RESID","",IF(AF$7=2005+OFFSET(COM_N_2012!$B$60,$AW329,SUMIF($B$10:$B$16,"NCAP_TLIFE",$AX$10:$AX$16)),0,""))</f>
        <v/>
      </c>
      <c r="AG329" s="369" t="str">
        <f ca="1">IF($B329&lt;&gt;"PRC_RESID","",IF(AG$7=2005+OFFSET(COM_N_2012!$B$60,$AW329,SUMIF($B$10:$B$16,"NCAP_TLIFE",$AX$10:$AX$16)),0,""))</f>
        <v/>
      </c>
      <c r="AH329" s="369" t="str">
        <f ca="1">IF($B329&lt;&gt;"PRC_RESID","",IF(AH$7=2005+OFFSET(COM_N_2012!$B$60,$AW329,SUMIF($B$10:$B$16,"NCAP_TLIFE",$AX$10:$AX$16)),0,""))</f>
        <v/>
      </c>
      <c r="AI329" s="369" t="str">
        <f ca="1">IF($B329&lt;&gt;"PRC_RESID","",IF(AI$7=2005+OFFSET(COM_N_2012!$B$60,$AW329,SUMIF($B$10:$B$16,"NCAP_TLIFE",$AX$10:$AX$16)),0,""))</f>
        <v/>
      </c>
      <c r="AJ329" s="369" t="str">
        <f ca="1">IF($B329&lt;&gt;"PRC_RESID","",IF(AJ$7=2005+OFFSET(COM_N_2012!$B$60,$AW329,SUMIF($B$10:$B$16,"NCAP_TLIFE",$AX$10:$AX$16)),0,""))</f>
        <v/>
      </c>
      <c r="AK329" s="369" t="str">
        <f ca="1">IF($B329&lt;&gt;"PRC_RESID","",IF(AK$7=2005+OFFSET(COM_N_2012!$B$60,$AW329,SUMIF($B$10:$B$16,"NCAP_TLIFE",$AX$10:$AX$16)),0,""))</f>
        <v/>
      </c>
      <c r="AL329" s="369" t="str">
        <f ca="1">IF($B329&lt;&gt;"PRC_RESID","",IF(AL$7=2005+OFFSET(COM_N_2012!$B$60,$AW329,SUMIF($B$10:$B$16,"NCAP_TLIFE",$AX$10:$AX$16)),0,""))</f>
        <v/>
      </c>
      <c r="AM329" s="369" t="str">
        <f ca="1">IF($B329&lt;&gt;"PRC_RESID","",IF(AM$7=2005+OFFSET(COM_N_2012!$B$60,$AW329,SUMIF($B$10:$B$16,"NCAP_TLIFE",$AX$10:$AX$16)),0,""))</f>
        <v/>
      </c>
      <c r="AN329" s="369" t="str">
        <f ca="1">IF($B329&lt;&gt;"PRC_RESID","",IF(AN$7=2005+OFFSET(COM_N_2012!$B$60,$AW329,SUMIF($B$10:$B$16,"NCAP_TLIFE",$AX$10:$AX$16)),0,""))</f>
        <v/>
      </c>
      <c r="AO329" s="369" t="str">
        <f ca="1">IF($B329&lt;&gt;"PRC_RESID","",IF(AO$7=2005+OFFSET(COM_N_2012!$B$60,$AW329,SUMIF($B$10:$B$16,"NCAP_TLIFE",$AX$10:$AX$16)),0,""))</f>
        <v/>
      </c>
      <c r="AP329" s="369" t="str">
        <f ca="1">IF($B329&lt;&gt;"PRC_RESID","",IF(AP$7=2005+OFFSET(COM_N_2012!$B$60,$AW329,SUMIF($B$10:$B$16,"NCAP_TLIFE",$AX$10:$AX$16)),0,""))</f>
        <v/>
      </c>
      <c r="AQ329" s="369" t="str">
        <f ca="1">IF($B329&lt;&gt;"PRC_RESID","",IF(AQ$7=2005+OFFSET(COM_N_2012!$B$60,$AW329,SUMIF($B$10:$B$16,"NCAP_TLIFE",$AX$10:$AX$16)),0,""))</f>
        <v/>
      </c>
      <c r="AR329" s="369" t="str">
        <f ca="1">IF($B329&lt;&gt;"PRC_RESID","",IF(AR$7=2005+OFFSET(COM_N_2012!$B$60,$AW329,SUMIF($B$10:$B$16,"NCAP_TLIFE",$AX$10:$AX$16)),0,""))</f>
        <v/>
      </c>
      <c r="AS329" s="369" t="str">
        <f ca="1">IF($B329&lt;&gt;"PRC_RESID","",IF(AS$7=2005+OFFSET(COM_N_2012!$B$60,$AW329,SUMIF($B$10:$B$16,"NCAP_TLIFE",$AX$10:$AX$16)),0,""))</f>
        <v/>
      </c>
      <c r="AT329" s="369" t="str">
        <f ca="1">IF($B329&lt;&gt;"PRC_RESID","",IF(AT$7=2005+OFFSET(COM_N_2012!$B$60,$AW329,SUMIF($B$10:$B$16,"NCAP_TLIFE",$AX$10:$AX$16)),0,""))</f>
        <v/>
      </c>
      <c r="AU329" s="369" t="str">
        <f ca="1">IF($B329&lt;&gt;"PRC_RESID","",IF(AU$7=2005+OFFSET(COM_N_2012!$B$60,$AW329,SUMIF($B$10:$B$16,"NCAP_TLIFE",$AX$10:$AX$16)),0,""))</f>
        <v/>
      </c>
      <c r="AV329" s="304">
        <f>IF(AW328=COM_N_2012!$AK$121,AV328+1,AV328)</f>
        <v>6</v>
      </c>
      <c r="AW329" s="304">
        <f t="shared" si="43"/>
        <v>7</v>
      </c>
    </row>
    <row r="330" spans="1:49">
      <c r="A330" s="304" t="str">
        <f ca="1">IF(LEFT(OFFSET(COM_N_2012!$A$60,AW330,0),2)="\I","*","")</f>
        <v>*</v>
      </c>
      <c r="B330" s="369" t="str">
        <f t="shared" ca="1" si="36"/>
        <v/>
      </c>
      <c r="C330" s="369" t="str">
        <f ca="1">IF($A330="*","",OFFSET(COM_N_2012!$B$60,AW330,0))</f>
        <v/>
      </c>
      <c r="D330" s="369" t="str">
        <f t="shared" ca="1" si="44"/>
        <v/>
      </c>
      <c r="E330" s="369" t="str">
        <f t="shared" ca="1" si="44"/>
        <v/>
      </c>
      <c r="F330" s="369" t="str">
        <f t="shared" ca="1" si="44"/>
        <v/>
      </c>
      <c r="G330" s="369" t="str">
        <f t="shared" ca="1" si="44"/>
        <v/>
      </c>
      <c r="H330" s="369" t="str">
        <f t="shared" ca="1" si="44"/>
        <v/>
      </c>
      <c r="I330" s="370" t="str">
        <f t="shared" ca="1" si="44"/>
        <v/>
      </c>
      <c r="J330" s="391" t="str">
        <f ca="1">IF($A330="*","",OFFSET(COM_N_2012!$B$60,AW330,SUMIF($B$10:$B$16,B330,$AX$10:$AX$16)))</f>
        <v/>
      </c>
      <c r="K330" s="369" t="str">
        <f ca="1">IF($B330&lt;&gt;"PRC_RESID","",IF(K$7=2005+OFFSET(COM_N_2012!$B$60,$AW330,SUMIF($B$10:$B$16,"NCAP_TLIFE",$AX$10:$AX$16)),0,""))</f>
        <v/>
      </c>
      <c r="L330" s="369" t="str">
        <f ca="1">IF($B330&lt;&gt;"PRC_RESID","",IF(L$7=2005+OFFSET(COM_N_2012!$B$60,$AW330,SUMIF($B$10:$B$16,"NCAP_TLIFE",$AX$10:$AX$16)),0,""))</f>
        <v/>
      </c>
      <c r="M330" s="369" t="str">
        <f ca="1">IF($B330&lt;&gt;"PRC_RESID","",IF(M$7=2005+OFFSET(COM_N_2012!$B$60,$AW330,SUMIF($B$10:$B$16,"NCAP_TLIFE",$AX$10:$AX$16)),0,""))</f>
        <v/>
      </c>
      <c r="N330" s="369" t="str">
        <f ca="1">IF($B330&lt;&gt;"PRC_RESID","",IF(N$7=2005+OFFSET(COM_N_2012!$B$60,$AW330,SUMIF($B$10:$B$16,"NCAP_TLIFE",$AX$10:$AX$16)),0,""))</f>
        <v/>
      </c>
      <c r="O330" s="369" t="str">
        <f ca="1">IF($B330&lt;&gt;"PRC_RESID","",IF(O$7=2005+OFFSET(COM_N_2012!$B$60,$AW330,SUMIF($B$10:$B$16,"NCAP_TLIFE",$AX$10:$AX$16)),0,""))</f>
        <v/>
      </c>
      <c r="P330" s="369" t="str">
        <f ca="1">IF($B330&lt;&gt;"PRC_RESID","",IF(P$7=2005+OFFSET(COM_N_2012!$B$60,$AW330,SUMIF($B$10:$B$16,"NCAP_TLIFE",$AX$10:$AX$16)),0,""))</f>
        <v/>
      </c>
      <c r="Q330" s="369" t="str">
        <f ca="1">IF($B330&lt;&gt;"PRC_RESID","",IF(Q$7=2005+OFFSET(COM_N_2012!$B$60,$AW330,SUMIF($B$10:$B$16,"NCAP_TLIFE",$AX$10:$AX$16)),0,""))</f>
        <v/>
      </c>
      <c r="R330" s="369" t="str">
        <f ca="1">IF($B330&lt;&gt;"PRC_RESID","",IF(R$7=2005+OFFSET(COM_N_2012!$B$60,$AW330,SUMIF($B$10:$B$16,"NCAP_TLIFE",$AX$10:$AX$16)),0,""))</f>
        <v/>
      </c>
      <c r="S330" s="369" t="str">
        <f ca="1">IF($B330&lt;&gt;"PRC_RESID","",IF(S$7=2005+OFFSET(COM_N_2012!$B$60,$AW330,SUMIF($B$10:$B$16,"NCAP_TLIFE",$AX$10:$AX$16)),0,""))</f>
        <v/>
      </c>
      <c r="T330" s="369" t="str">
        <f ca="1">IF($B330&lt;&gt;"PRC_RESID","",IF(T$7=2005+OFFSET(COM_N_2012!$B$60,$AW330,SUMIF($B$10:$B$16,"NCAP_TLIFE",$AX$10:$AX$16)),0,""))</f>
        <v/>
      </c>
      <c r="U330" s="369" t="str">
        <f ca="1">IF($B330&lt;&gt;"PRC_RESID","",IF(U$7=2005+OFFSET(COM_N_2012!$B$60,$AW330,SUMIF($B$10:$B$16,"NCAP_TLIFE",$AX$10:$AX$16)),0,""))</f>
        <v/>
      </c>
      <c r="V330" s="369" t="str">
        <f ca="1">IF($B330&lt;&gt;"PRC_RESID","",IF(V$7=2005+OFFSET(COM_N_2012!$B$60,$AW330,SUMIF($B$10:$B$16,"NCAP_TLIFE",$AX$10:$AX$16)),0,""))</f>
        <v/>
      </c>
      <c r="W330" s="369" t="str">
        <f ca="1">IF($B330&lt;&gt;"PRC_RESID","",IF(W$7=2005+OFFSET(COM_N_2012!$B$60,$AW330,SUMIF($B$10:$B$16,"NCAP_TLIFE",$AX$10:$AX$16)),0,""))</f>
        <v/>
      </c>
      <c r="X330" s="369" t="str">
        <f ca="1">IF($B330&lt;&gt;"PRC_RESID","",IF(X$7=2005+OFFSET(COM_N_2012!$B$60,$AW330,SUMIF($B$10:$B$16,"NCAP_TLIFE",$AX$10:$AX$16)),0,""))</f>
        <v/>
      </c>
      <c r="Y330" s="369" t="str">
        <f ca="1">IF($B330&lt;&gt;"PRC_RESID","",IF(Y$7=2005+OFFSET(COM_N_2012!$B$60,$AW330,SUMIF($B$10:$B$16,"NCAP_TLIFE",$AX$10:$AX$16)),0,""))</f>
        <v/>
      </c>
      <c r="Z330" s="369" t="str">
        <f ca="1">IF($B330&lt;&gt;"PRC_RESID","",IF(Z$7=2005+OFFSET(COM_N_2012!$B$60,$AW330,SUMIF($B$10:$B$16,"NCAP_TLIFE",$AX$10:$AX$16)),0,""))</f>
        <v/>
      </c>
      <c r="AA330" s="369" t="str">
        <f ca="1">IF($B330&lt;&gt;"PRC_RESID","",IF(AA$7=2005+OFFSET(COM_N_2012!$B$60,$AW330,SUMIF($B$10:$B$16,"NCAP_TLIFE",$AX$10:$AX$16)),0,""))</f>
        <v/>
      </c>
      <c r="AB330" s="369" t="str">
        <f ca="1">IF($B330&lt;&gt;"PRC_RESID","",IF(AB$7=2005+OFFSET(COM_N_2012!$B$60,$AW330,SUMIF($B$10:$B$16,"NCAP_TLIFE",$AX$10:$AX$16)),0,""))</f>
        <v/>
      </c>
      <c r="AC330" s="369" t="str">
        <f ca="1">IF($B330&lt;&gt;"PRC_RESID","",IF(AC$7=2005+OFFSET(COM_N_2012!$B$60,$AW330,SUMIF($B$10:$B$16,"NCAP_TLIFE",$AX$10:$AX$16)),0,""))</f>
        <v/>
      </c>
      <c r="AD330" s="369" t="str">
        <f ca="1">IF($B330&lt;&gt;"PRC_RESID","",IF(AD$7=2005+OFFSET(COM_N_2012!$B$60,$AW330,SUMIF($B$10:$B$16,"NCAP_TLIFE",$AX$10:$AX$16)),0,""))</f>
        <v/>
      </c>
      <c r="AE330" s="369" t="str">
        <f ca="1">IF($B330&lt;&gt;"PRC_RESID","",IF(AE$7=2005+OFFSET(COM_N_2012!$B$60,$AW330,SUMIF($B$10:$B$16,"NCAP_TLIFE",$AX$10:$AX$16)),0,""))</f>
        <v/>
      </c>
      <c r="AF330" s="369" t="str">
        <f ca="1">IF($B330&lt;&gt;"PRC_RESID","",IF(AF$7=2005+OFFSET(COM_N_2012!$B$60,$AW330,SUMIF($B$10:$B$16,"NCAP_TLIFE",$AX$10:$AX$16)),0,""))</f>
        <v/>
      </c>
      <c r="AG330" s="369" t="str">
        <f ca="1">IF($B330&lt;&gt;"PRC_RESID","",IF(AG$7=2005+OFFSET(COM_N_2012!$B$60,$AW330,SUMIF($B$10:$B$16,"NCAP_TLIFE",$AX$10:$AX$16)),0,""))</f>
        <v/>
      </c>
      <c r="AH330" s="369" t="str">
        <f ca="1">IF($B330&lt;&gt;"PRC_RESID","",IF(AH$7=2005+OFFSET(COM_N_2012!$B$60,$AW330,SUMIF($B$10:$B$16,"NCAP_TLIFE",$AX$10:$AX$16)),0,""))</f>
        <v/>
      </c>
      <c r="AI330" s="369" t="str">
        <f ca="1">IF($B330&lt;&gt;"PRC_RESID","",IF(AI$7=2005+OFFSET(COM_N_2012!$B$60,$AW330,SUMIF($B$10:$B$16,"NCAP_TLIFE",$AX$10:$AX$16)),0,""))</f>
        <v/>
      </c>
      <c r="AJ330" s="369" t="str">
        <f ca="1">IF($B330&lt;&gt;"PRC_RESID","",IF(AJ$7=2005+OFFSET(COM_N_2012!$B$60,$AW330,SUMIF($B$10:$B$16,"NCAP_TLIFE",$AX$10:$AX$16)),0,""))</f>
        <v/>
      </c>
      <c r="AK330" s="369" t="str">
        <f ca="1">IF($B330&lt;&gt;"PRC_RESID","",IF(AK$7=2005+OFFSET(COM_N_2012!$B$60,$AW330,SUMIF($B$10:$B$16,"NCAP_TLIFE",$AX$10:$AX$16)),0,""))</f>
        <v/>
      </c>
      <c r="AL330" s="369" t="str">
        <f ca="1">IF($B330&lt;&gt;"PRC_RESID","",IF(AL$7=2005+OFFSET(COM_N_2012!$B$60,$AW330,SUMIF($B$10:$B$16,"NCAP_TLIFE",$AX$10:$AX$16)),0,""))</f>
        <v/>
      </c>
      <c r="AM330" s="369" t="str">
        <f ca="1">IF($B330&lt;&gt;"PRC_RESID","",IF(AM$7=2005+OFFSET(COM_N_2012!$B$60,$AW330,SUMIF($B$10:$B$16,"NCAP_TLIFE",$AX$10:$AX$16)),0,""))</f>
        <v/>
      </c>
      <c r="AN330" s="369" t="str">
        <f ca="1">IF($B330&lt;&gt;"PRC_RESID","",IF(AN$7=2005+OFFSET(COM_N_2012!$B$60,$AW330,SUMIF($B$10:$B$16,"NCAP_TLIFE",$AX$10:$AX$16)),0,""))</f>
        <v/>
      </c>
      <c r="AO330" s="369" t="str">
        <f ca="1">IF($B330&lt;&gt;"PRC_RESID","",IF(AO$7=2005+OFFSET(COM_N_2012!$B$60,$AW330,SUMIF($B$10:$B$16,"NCAP_TLIFE",$AX$10:$AX$16)),0,""))</f>
        <v/>
      </c>
      <c r="AP330" s="369" t="str">
        <f ca="1">IF($B330&lt;&gt;"PRC_RESID","",IF(AP$7=2005+OFFSET(COM_N_2012!$B$60,$AW330,SUMIF($B$10:$B$16,"NCAP_TLIFE",$AX$10:$AX$16)),0,""))</f>
        <v/>
      </c>
      <c r="AQ330" s="369" t="str">
        <f ca="1">IF($B330&lt;&gt;"PRC_RESID","",IF(AQ$7=2005+OFFSET(COM_N_2012!$B$60,$AW330,SUMIF($B$10:$B$16,"NCAP_TLIFE",$AX$10:$AX$16)),0,""))</f>
        <v/>
      </c>
      <c r="AR330" s="369" t="str">
        <f ca="1">IF($B330&lt;&gt;"PRC_RESID","",IF(AR$7=2005+OFFSET(COM_N_2012!$B$60,$AW330,SUMIF($B$10:$B$16,"NCAP_TLIFE",$AX$10:$AX$16)),0,""))</f>
        <v/>
      </c>
      <c r="AS330" s="369" t="str">
        <f ca="1">IF($B330&lt;&gt;"PRC_RESID","",IF(AS$7=2005+OFFSET(COM_N_2012!$B$60,$AW330,SUMIF($B$10:$B$16,"NCAP_TLIFE",$AX$10:$AX$16)),0,""))</f>
        <v/>
      </c>
      <c r="AT330" s="369" t="str">
        <f ca="1">IF($B330&lt;&gt;"PRC_RESID","",IF(AT$7=2005+OFFSET(COM_N_2012!$B$60,$AW330,SUMIF($B$10:$B$16,"NCAP_TLIFE",$AX$10:$AX$16)),0,""))</f>
        <v/>
      </c>
      <c r="AU330" s="369" t="str">
        <f ca="1">IF($B330&lt;&gt;"PRC_RESID","",IF(AU$7=2005+OFFSET(COM_N_2012!$B$60,$AW330,SUMIF($B$10:$B$16,"NCAP_TLIFE",$AX$10:$AX$16)),0,""))</f>
        <v/>
      </c>
      <c r="AV330" s="304">
        <f>IF(AW329=COM_N_2012!$AK$121,AV329+1,AV329)</f>
        <v>6</v>
      </c>
      <c r="AW330" s="304">
        <f t="shared" si="43"/>
        <v>8</v>
      </c>
    </row>
    <row r="331" spans="1:49">
      <c r="A331" s="304" t="str">
        <f ca="1">IF(LEFT(OFFSET(COM_N_2012!$A$60,AW331,0),2)="\I","*","")</f>
        <v/>
      </c>
      <c r="B331" s="369" t="str">
        <f t="shared" ca="1" si="36"/>
        <v>PRC_RESID</v>
      </c>
      <c r="C331" s="369" t="str">
        <f ca="1">IF($A331="*","",OFFSET(COM_N_2012!$B$60,AW331,0))</f>
        <v>CNHCOA-E</v>
      </c>
      <c r="D331" s="369" t="str">
        <f t="shared" ca="1" si="44"/>
        <v>-</v>
      </c>
      <c r="E331" s="369" t="str">
        <f t="shared" ca="1" si="44"/>
        <v>-</v>
      </c>
      <c r="F331" s="369" t="str">
        <f t="shared" ca="1" si="44"/>
        <v>-</v>
      </c>
      <c r="G331" s="369" t="str">
        <f t="shared" ca="1" si="44"/>
        <v>-</v>
      </c>
      <c r="H331" s="369" t="str">
        <f t="shared" ca="1" si="44"/>
        <v>-</v>
      </c>
      <c r="I331" s="370">
        <f t="shared" ca="1" si="44"/>
        <v>0</v>
      </c>
      <c r="J331" s="391">
        <f ca="1">IF($A331="*","",OFFSET(COM_N_2012!$B$60,AW331,SUMIF($B$10:$B$16,B331,$AX$10:$AX$16)))</f>
        <v>0</v>
      </c>
      <c r="K331" s="369" t="str">
        <f ca="1">IF($B331&lt;&gt;"PRC_RESID","",IF(K$7=2005+OFFSET(COM_N_2012!$B$60,$AW331,SUMIF($B$10:$B$16,"NCAP_TLIFE",$AX$10:$AX$16)),0,""))</f>
        <v/>
      </c>
      <c r="L331" s="369" t="str">
        <f ca="1">IF($B331&lt;&gt;"PRC_RESID","",IF(L$7=2005+OFFSET(COM_N_2012!$B$60,$AW331,SUMIF($B$10:$B$16,"NCAP_TLIFE",$AX$10:$AX$16)),0,""))</f>
        <v/>
      </c>
      <c r="M331" s="369" t="str">
        <f ca="1">IF($B331&lt;&gt;"PRC_RESID","",IF(M$7=2005+OFFSET(COM_N_2012!$B$60,$AW331,SUMIF($B$10:$B$16,"NCAP_TLIFE",$AX$10:$AX$16)),0,""))</f>
        <v/>
      </c>
      <c r="N331" s="369" t="str">
        <f ca="1">IF($B331&lt;&gt;"PRC_RESID","",IF(N$7=2005+OFFSET(COM_N_2012!$B$60,$AW331,SUMIF($B$10:$B$16,"NCAP_TLIFE",$AX$10:$AX$16)),0,""))</f>
        <v/>
      </c>
      <c r="O331" s="369" t="str">
        <f ca="1">IF($B331&lt;&gt;"PRC_RESID","",IF(O$7=2005+OFFSET(COM_N_2012!$B$60,$AW331,SUMIF($B$10:$B$16,"NCAP_TLIFE",$AX$10:$AX$16)),0,""))</f>
        <v/>
      </c>
      <c r="P331" s="369" t="str">
        <f ca="1">IF($B331&lt;&gt;"PRC_RESID","",IF(P$7=2005+OFFSET(COM_N_2012!$B$60,$AW331,SUMIF($B$10:$B$16,"NCAP_TLIFE",$AX$10:$AX$16)),0,""))</f>
        <v/>
      </c>
      <c r="Q331" s="369" t="str">
        <f ca="1">IF($B331&lt;&gt;"PRC_RESID","",IF(Q$7=2005+OFFSET(COM_N_2012!$B$60,$AW331,SUMIF($B$10:$B$16,"NCAP_TLIFE",$AX$10:$AX$16)),0,""))</f>
        <v/>
      </c>
      <c r="R331" s="369">
        <f ca="1">IF($B331&lt;&gt;"PRC_RESID","",IF(R$7=2005+OFFSET(COM_N_2012!$B$60,$AW331,SUMIF($B$10:$B$16,"NCAP_TLIFE",$AX$10:$AX$16)),0,""))</f>
        <v>0</v>
      </c>
      <c r="S331" s="369" t="str">
        <f ca="1">IF($B331&lt;&gt;"PRC_RESID","",IF(S$7=2005+OFFSET(COM_N_2012!$B$60,$AW331,SUMIF($B$10:$B$16,"NCAP_TLIFE",$AX$10:$AX$16)),0,""))</f>
        <v/>
      </c>
      <c r="T331" s="369" t="str">
        <f ca="1">IF($B331&lt;&gt;"PRC_RESID","",IF(T$7=2005+OFFSET(COM_N_2012!$B$60,$AW331,SUMIF($B$10:$B$16,"NCAP_TLIFE",$AX$10:$AX$16)),0,""))</f>
        <v/>
      </c>
      <c r="U331" s="369" t="str">
        <f ca="1">IF($B331&lt;&gt;"PRC_RESID","",IF(U$7=2005+OFFSET(COM_N_2012!$B$60,$AW331,SUMIF($B$10:$B$16,"NCAP_TLIFE",$AX$10:$AX$16)),0,""))</f>
        <v/>
      </c>
      <c r="V331" s="369" t="str">
        <f ca="1">IF($B331&lt;&gt;"PRC_RESID","",IF(V$7=2005+OFFSET(COM_N_2012!$B$60,$AW331,SUMIF($B$10:$B$16,"NCAP_TLIFE",$AX$10:$AX$16)),0,""))</f>
        <v/>
      </c>
      <c r="W331" s="369" t="str">
        <f ca="1">IF($B331&lt;&gt;"PRC_RESID","",IF(W$7=2005+OFFSET(COM_N_2012!$B$60,$AW331,SUMIF($B$10:$B$16,"NCAP_TLIFE",$AX$10:$AX$16)),0,""))</f>
        <v/>
      </c>
      <c r="X331" s="369" t="str">
        <f ca="1">IF($B331&lt;&gt;"PRC_RESID","",IF(X$7=2005+OFFSET(COM_N_2012!$B$60,$AW331,SUMIF($B$10:$B$16,"NCAP_TLIFE",$AX$10:$AX$16)),0,""))</f>
        <v/>
      </c>
      <c r="Y331" s="369" t="str">
        <f ca="1">IF($B331&lt;&gt;"PRC_RESID","",IF(Y$7=2005+OFFSET(COM_N_2012!$B$60,$AW331,SUMIF($B$10:$B$16,"NCAP_TLIFE",$AX$10:$AX$16)),0,""))</f>
        <v/>
      </c>
      <c r="Z331" s="369" t="str">
        <f ca="1">IF($B331&lt;&gt;"PRC_RESID","",IF(Z$7=2005+OFFSET(COM_N_2012!$B$60,$AW331,SUMIF($B$10:$B$16,"NCAP_TLIFE",$AX$10:$AX$16)),0,""))</f>
        <v/>
      </c>
      <c r="AA331" s="369" t="str">
        <f ca="1">IF($B331&lt;&gt;"PRC_RESID","",IF(AA$7=2005+OFFSET(COM_N_2012!$B$60,$AW331,SUMIF($B$10:$B$16,"NCAP_TLIFE",$AX$10:$AX$16)),0,""))</f>
        <v/>
      </c>
      <c r="AB331" s="369" t="str">
        <f ca="1">IF($B331&lt;&gt;"PRC_RESID","",IF(AB$7=2005+OFFSET(COM_N_2012!$B$60,$AW331,SUMIF($B$10:$B$16,"NCAP_TLIFE",$AX$10:$AX$16)),0,""))</f>
        <v/>
      </c>
      <c r="AC331" s="369" t="str">
        <f ca="1">IF($B331&lt;&gt;"PRC_RESID","",IF(AC$7=2005+OFFSET(COM_N_2012!$B$60,$AW331,SUMIF($B$10:$B$16,"NCAP_TLIFE",$AX$10:$AX$16)),0,""))</f>
        <v/>
      </c>
      <c r="AD331" s="369" t="str">
        <f ca="1">IF($B331&lt;&gt;"PRC_RESID","",IF(AD$7=2005+OFFSET(COM_N_2012!$B$60,$AW331,SUMIF($B$10:$B$16,"NCAP_TLIFE",$AX$10:$AX$16)),0,""))</f>
        <v/>
      </c>
      <c r="AE331" s="369" t="str">
        <f ca="1">IF($B331&lt;&gt;"PRC_RESID","",IF(AE$7=2005+OFFSET(COM_N_2012!$B$60,$AW331,SUMIF($B$10:$B$16,"NCAP_TLIFE",$AX$10:$AX$16)),0,""))</f>
        <v/>
      </c>
      <c r="AF331" s="369" t="str">
        <f ca="1">IF($B331&lt;&gt;"PRC_RESID","",IF(AF$7=2005+OFFSET(COM_N_2012!$B$60,$AW331,SUMIF($B$10:$B$16,"NCAP_TLIFE",$AX$10:$AX$16)),0,""))</f>
        <v/>
      </c>
      <c r="AG331" s="369" t="str">
        <f ca="1">IF($B331&lt;&gt;"PRC_RESID","",IF(AG$7=2005+OFFSET(COM_N_2012!$B$60,$AW331,SUMIF($B$10:$B$16,"NCAP_TLIFE",$AX$10:$AX$16)),0,""))</f>
        <v/>
      </c>
      <c r="AH331" s="369" t="str">
        <f ca="1">IF($B331&lt;&gt;"PRC_RESID","",IF(AH$7=2005+OFFSET(COM_N_2012!$B$60,$AW331,SUMIF($B$10:$B$16,"NCAP_TLIFE",$AX$10:$AX$16)),0,""))</f>
        <v/>
      </c>
      <c r="AI331" s="369" t="str">
        <f ca="1">IF($B331&lt;&gt;"PRC_RESID","",IF(AI$7=2005+OFFSET(COM_N_2012!$B$60,$AW331,SUMIF($B$10:$B$16,"NCAP_TLIFE",$AX$10:$AX$16)),0,""))</f>
        <v/>
      </c>
      <c r="AJ331" s="369" t="str">
        <f ca="1">IF($B331&lt;&gt;"PRC_RESID","",IF(AJ$7=2005+OFFSET(COM_N_2012!$B$60,$AW331,SUMIF($B$10:$B$16,"NCAP_TLIFE",$AX$10:$AX$16)),0,""))</f>
        <v/>
      </c>
      <c r="AK331" s="369" t="str">
        <f ca="1">IF($B331&lt;&gt;"PRC_RESID","",IF(AK$7=2005+OFFSET(COM_N_2012!$B$60,$AW331,SUMIF($B$10:$B$16,"NCAP_TLIFE",$AX$10:$AX$16)),0,""))</f>
        <v/>
      </c>
      <c r="AL331" s="369" t="str">
        <f ca="1">IF($B331&lt;&gt;"PRC_RESID","",IF(AL$7=2005+OFFSET(COM_N_2012!$B$60,$AW331,SUMIF($B$10:$B$16,"NCAP_TLIFE",$AX$10:$AX$16)),0,""))</f>
        <v/>
      </c>
      <c r="AM331" s="369" t="str">
        <f ca="1">IF($B331&lt;&gt;"PRC_RESID","",IF(AM$7=2005+OFFSET(COM_N_2012!$B$60,$AW331,SUMIF($B$10:$B$16,"NCAP_TLIFE",$AX$10:$AX$16)),0,""))</f>
        <v/>
      </c>
      <c r="AN331" s="369" t="str">
        <f ca="1">IF($B331&lt;&gt;"PRC_RESID","",IF(AN$7=2005+OFFSET(COM_N_2012!$B$60,$AW331,SUMIF($B$10:$B$16,"NCAP_TLIFE",$AX$10:$AX$16)),0,""))</f>
        <v/>
      </c>
      <c r="AO331" s="369" t="str">
        <f ca="1">IF($B331&lt;&gt;"PRC_RESID","",IF(AO$7=2005+OFFSET(COM_N_2012!$B$60,$AW331,SUMIF($B$10:$B$16,"NCAP_TLIFE",$AX$10:$AX$16)),0,""))</f>
        <v/>
      </c>
      <c r="AP331" s="369" t="str">
        <f ca="1">IF($B331&lt;&gt;"PRC_RESID","",IF(AP$7=2005+OFFSET(COM_N_2012!$B$60,$AW331,SUMIF($B$10:$B$16,"NCAP_TLIFE",$AX$10:$AX$16)),0,""))</f>
        <v/>
      </c>
      <c r="AQ331" s="369" t="str">
        <f ca="1">IF($B331&lt;&gt;"PRC_RESID","",IF(AQ$7=2005+OFFSET(COM_N_2012!$B$60,$AW331,SUMIF($B$10:$B$16,"NCAP_TLIFE",$AX$10:$AX$16)),0,""))</f>
        <v/>
      </c>
      <c r="AR331" s="369" t="str">
        <f ca="1">IF($B331&lt;&gt;"PRC_RESID","",IF(AR$7=2005+OFFSET(COM_N_2012!$B$60,$AW331,SUMIF($B$10:$B$16,"NCAP_TLIFE",$AX$10:$AX$16)),0,""))</f>
        <v/>
      </c>
      <c r="AS331" s="369" t="str">
        <f ca="1">IF($B331&lt;&gt;"PRC_RESID","",IF(AS$7=2005+OFFSET(COM_N_2012!$B$60,$AW331,SUMIF($B$10:$B$16,"NCAP_TLIFE",$AX$10:$AX$16)),0,""))</f>
        <v/>
      </c>
      <c r="AT331" s="369" t="str">
        <f ca="1">IF($B331&lt;&gt;"PRC_RESID","",IF(AT$7=2005+OFFSET(COM_N_2012!$B$60,$AW331,SUMIF($B$10:$B$16,"NCAP_TLIFE",$AX$10:$AX$16)),0,""))</f>
        <v/>
      </c>
      <c r="AU331" s="369" t="str">
        <f ca="1">IF($B331&lt;&gt;"PRC_RESID","",IF(AU$7=2005+OFFSET(COM_N_2012!$B$60,$AW331,SUMIF($B$10:$B$16,"NCAP_TLIFE",$AX$10:$AX$16)),0,""))</f>
        <v/>
      </c>
      <c r="AV331" s="304">
        <f>IF(AW330=COM_N_2012!$AK$121,AV330+1,AV330)</f>
        <v>6</v>
      </c>
      <c r="AW331" s="304">
        <f t="shared" si="43"/>
        <v>9</v>
      </c>
    </row>
    <row r="332" spans="1:49">
      <c r="A332" s="304" t="str">
        <f ca="1">IF(LEFT(OFFSET(COM_N_2012!$A$60,AW332,0),2)="\I","*","")</f>
        <v/>
      </c>
      <c r="B332" s="369" t="str">
        <f t="shared" ca="1" si="36"/>
        <v>PRC_RESID</v>
      </c>
      <c r="C332" s="369" t="str">
        <f ca="1">IF($A332="*","",OFFSET(COM_N_2012!$B$60,AW332,0))</f>
        <v>CNHELC-E</v>
      </c>
      <c r="D332" s="369" t="str">
        <f t="shared" ca="1" si="44"/>
        <v>-</v>
      </c>
      <c r="E332" s="369" t="str">
        <f t="shared" ca="1" si="44"/>
        <v>-</v>
      </c>
      <c r="F332" s="369" t="str">
        <f t="shared" ca="1" si="44"/>
        <v>-</v>
      </c>
      <c r="G332" s="369" t="str">
        <f t="shared" ca="1" si="44"/>
        <v>-</v>
      </c>
      <c r="H332" s="369" t="str">
        <f t="shared" ca="1" si="44"/>
        <v>-</v>
      </c>
      <c r="I332" s="370">
        <f t="shared" ca="1" si="44"/>
        <v>0</v>
      </c>
      <c r="J332" s="391">
        <f ca="1">IF($A332="*","",OFFSET(COM_N_2012!$B$60,AW332,SUMIF($B$10:$B$16,B332,$AX$10:$AX$16)))</f>
        <v>0</v>
      </c>
      <c r="K332" s="369" t="str">
        <f ca="1">IF($B332&lt;&gt;"PRC_RESID","",IF(K$7=2005+OFFSET(COM_N_2012!$B$60,$AW332,SUMIF($B$10:$B$16,"NCAP_TLIFE",$AX$10:$AX$16)),0,""))</f>
        <v/>
      </c>
      <c r="L332" s="369" t="str">
        <f ca="1">IF($B332&lt;&gt;"PRC_RESID","",IF(L$7=2005+OFFSET(COM_N_2012!$B$60,$AW332,SUMIF($B$10:$B$16,"NCAP_TLIFE",$AX$10:$AX$16)),0,""))</f>
        <v/>
      </c>
      <c r="M332" s="369" t="str">
        <f ca="1">IF($B332&lt;&gt;"PRC_RESID","",IF(M$7=2005+OFFSET(COM_N_2012!$B$60,$AW332,SUMIF($B$10:$B$16,"NCAP_TLIFE",$AX$10:$AX$16)),0,""))</f>
        <v/>
      </c>
      <c r="N332" s="369" t="str">
        <f ca="1">IF($B332&lt;&gt;"PRC_RESID","",IF(N$7=2005+OFFSET(COM_N_2012!$B$60,$AW332,SUMIF($B$10:$B$16,"NCAP_TLIFE",$AX$10:$AX$16)),0,""))</f>
        <v/>
      </c>
      <c r="O332" s="369" t="str">
        <f ca="1">IF($B332&lt;&gt;"PRC_RESID","",IF(O$7=2005+OFFSET(COM_N_2012!$B$60,$AW332,SUMIF($B$10:$B$16,"NCAP_TLIFE",$AX$10:$AX$16)),0,""))</f>
        <v/>
      </c>
      <c r="P332" s="369" t="str">
        <f ca="1">IF($B332&lt;&gt;"PRC_RESID","",IF(P$7=2005+OFFSET(COM_N_2012!$B$60,$AW332,SUMIF($B$10:$B$16,"NCAP_TLIFE",$AX$10:$AX$16)),0,""))</f>
        <v/>
      </c>
      <c r="Q332" s="369" t="str">
        <f ca="1">IF($B332&lt;&gt;"PRC_RESID","",IF(Q$7=2005+OFFSET(COM_N_2012!$B$60,$AW332,SUMIF($B$10:$B$16,"NCAP_TLIFE",$AX$10:$AX$16)),0,""))</f>
        <v/>
      </c>
      <c r="R332" s="369">
        <f ca="1">IF($B332&lt;&gt;"PRC_RESID","",IF(R$7=2005+OFFSET(COM_N_2012!$B$60,$AW332,SUMIF($B$10:$B$16,"NCAP_TLIFE",$AX$10:$AX$16)),0,""))</f>
        <v>0</v>
      </c>
      <c r="S332" s="369" t="str">
        <f ca="1">IF($B332&lt;&gt;"PRC_RESID","",IF(S$7=2005+OFFSET(COM_N_2012!$B$60,$AW332,SUMIF($B$10:$B$16,"NCAP_TLIFE",$AX$10:$AX$16)),0,""))</f>
        <v/>
      </c>
      <c r="T332" s="369" t="str">
        <f ca="1">IF($B332&lt;&gt;"PRC_RESID","",IF(T$7=2005+OFFSET(COM_N_2012!$B$60,$AW332,SUMIF($B$10:$B$16,"NCAP_TLIFE",$AX$10:$AX$16)),0,""))</f>
        <v/>
      </c>
      <c r="U332" s="369" t="str">
        <f ca="1">IF($B332&lt;&gt;"PRC_RESID","",IF(U$7=2005+OFFSET(COM_N_2012!$B$60,$AW332,SUMIF($B$10:$B$16,"NCAP_TLIFE",$AX$10:$AX$16)),0,""))</f>
        <v/>
      </c>
      <c r="V332" s="369" t="str">
        <f ca="1">IF($B332&lt;&gt;"PRC_RESID","",IF(V$7=2005+OFFSET(COM_N_2012!$B$60,$AW332,SUMIF($B$10:$B$16,"NCAP_TLIFE",$AX$10:$AX$16)),0,""))</f>
        <v/>
      </c>
      <c r="W332" s="369" t="str">
        <f ca="1">IF($B332&lt;&gt;"PRC_RESID","",IF(W$7=2005+OFFSET(COM_N_2012!$B$60,$AW332,SUMIF($B$10:$B$16,"NCAP_TLIFE",$AX$10:$AX$16)),0,""))</f>
        <v/>
      </c>
      <c r="X332" s="369" t="str">
        <f ca="1">IF($B332&lt;&gt;"PRC_RESID","",IF(X$7=2005+OFFSET(COM_N_2012!$B$60,$AW332,SUMIF($B$10:$B$16,"NCAP_TLIFE",$AX$10:$AX$16)),0,""))</f>
        <v/>
      </c>
      <c r="Y332" s="369" t="str">
        <f ca="1">IF($B332&lt;&gt;"PRC_RESID","",IF(Y$7=2005+OFFSET(COM_N_2012!$B$60,$AW332,SUMIF($B$10:$B$16,"NCAP_TLIFE",$AX$10:$AX$16)),0,""))</f>
        <v/>
      </c>
      <c r="Z332" s="369" t="str">
        <f ca="1">IF($B332&lt;&gt;"PRC_RESID","",IF(Z$7=2005+OFFSET(COM_N_2012!$B$60,$AW332,SUMIF($B$10:$B$16,"NCAP_TLIFE",$AX$10:$AX$16)),0,""))</f>
        <v/>
      </c>
      <c r="AA332" s="369" t="str">
        <f ca="1">IF($B332&lt;&gt;"PRC_RESID","",IF(AA$7=2005+OFFSET(COM_N_2012!$B$60,$AW332,SUMIF($B$10:$B$16,"NCAP_TLIFE",$AX$10:$AX$16)),0,""))</f>
        <v/>
      </c>
      <c r="AB332" s="369" t="str">
        <f ca="1">IF($B332&lt;&gt;"PRC_RESID","",IF(AB$7=2005+OFFSET(COM_N_2012!$B$60,$AW332,SUMIF($B$10:$B$16,"NCAP_TLIFE",$AX$10:$AX$16)),0,""))</f>
        <v/>
      </c>
      <c r="AC332" s="369" t="str">
        <f ca="1">IF($B332&lt;&gt;"PRC_RESID","",IF(AC$7=2005+OFFSET(COM_N_2012!$B$60,$AW332,SUMIF($B$10:$B$16,"NCAP_TLIFE",$AX$10:$AX$16)),0,""))</f>
        <v/>
      </c>
      <c r="AD332" s="369" t="str">
        <f ca="1">IF($B332&lt;&gt;"PRC_RESID","",IF(AD$7=2005+OFFSET(COM_N_2012!$B$60,$AW332,SUMIF($B$10:$B$16,"NCAP_TLIFE",$AX$10:$AX$16)),0,""))</f>
        <v/>
      </c>
      <c r="AE332" s="369" t="str">
        <f ca="1">IF($B332&lt;&gt;"PRC_RESID","",IF(AE$7=2005+OFFSET(COM_N_2012!$B$60,$AW332,SUMIF($B$10:$B$16,"NCAP_TLIFE",$AX$10:$AX$16)),0,""))</f>
        <v/>
      </c>
      <c r="AF332" s="369" t="str">
        <f ca="1">IF($B332&lt;&gt;"PRC_RESID","",IF(AF$7=2005+OFFSET(COM_N_2012!$B$60,$AW332,SUMIF($B$10:$B$16,"NCAP_TLIFE",$AX$10:$AX$16)),0,""))</f>
        <v/>
      </c>
      <c r="AG332" s="369" t="str">
        <f ca="1">IF($B332&lt;&gt;"PRC_RESID","",IF(AG$7=2005+OFFSET(COM_N_2012!$B$60,$AW332,SUMIF($B$10:$B$16,"NCAP_TLIFE",$AX$10:$AX$16)),0,""))</f>
        <v/>
      </c>
      <c r="AH332" s="369" t="str">
        <f ca="1">IF($B332&lt;&gt;"PRC_RESID","",IF(AH$7=2005+OFFSET(COM_N_2012!$B$60,$AW332,SUMIF($B$10:$B$16,"NCAP_TLIFE",$AX$10:$AX$16)),0,""))</f>
        <v/>
      </c>
      <c r="AI332" s="369" t="str">
        <f ca="1">IF($B332&lt;&gt;"PRC_RESID","",IF(AI$7=2005+OFFSET(COM_N_2012!$B$60,$AW332,SUMIF($B$10:$B$16,"NCAP_TLIFE",$AX$10:$AX$16)),0,""))</f>
        <v/>
      </c>
      <c r="AJ332" s="369" t="str">
        <f ca="1">IF($B332&lt;&gt;"PRC_RESID","",IF(AJ$7=2005+OFFSET(COM_N_2012!$B$60,$AW332,SUMIF($B$10:$B$16,"NCAP_TLIFE",$AX$10:$AX$16)),0,""))</f>
        <v/>
      </c>
      <c r="AK332" s="369" t="str">
        <f ca="1">IF($B332&lt;&gt;"PRC_RESID","",IF(AK$7=2005+OFFSET(COM_N_2012!$B$60,$AW332,SUMIF($B$10:$B$16,"NCAP_TLIFE",$AX$10:$AX$16)),0,""))</f>
        <v/>
      </c>
      <c r="AL332" s="369" t="str">
        <f ca="1">IF($B332&lt;&gt;"PRC_RESID","",IF(AL$7=2005+OFFSET(COM_N_2012!$B$60,$AW332,SUMIF($B$10:$B$16,"NCAP_TLIFE",$AX$10:$AX$16)),0,""))</f>
        <v/>
      </c>
      <c r="AM332" s="369" t="str">
        <f ca="1">IF($B332&lt;&gt;"PRC_RESID","",IF(AM$7=2005+OFFSET(COM_N_2012!$B$60,$AW332,SUMIF($B$10:$B$16,"NCAP_TLIFE",$AX$10:$AX$16)),0,""))</f>
        <v/>
      </c>
      <c r="AN332" s="369" t="str">
        <f ca="1">IF($B332&lt;&gt;"PRC_RESID","",IF(AN$7=2005+OFFSET(COM_N_2012!$B$60,$AW332,SUMIF($B$10:$B$16,"NCAP_TLIFE",$AX$10:$AX$16)),0,""))</f>
        <v/>
      </c>
      <c r="AO332" s="369" t="str">
        <f ca="1">IF($B332&lt;&gt;"PRC_RESID","",IF(AO$7=2005+OFFSET(COM_N_2012!$B$60,$AW332,SUMIF($B$10:$B$16,"NCAP_TLIFE",$AX$10:$AX$16)),0,""))</f>
        <v/>
      </c>
      <c r="AP332" s="369" t="str">
        <f ca="1">IF($B332&lt;&gt;"PRC_RESID","",IF(AP$7=2005+OFFSET(COM_N_2012!$B$60,$AW332,SUMIF($B$10:$B$16,"NCAP_TLIFE",$AX$10:$AX$16)),0,""))</f>
        <v/>
      </c>
      <c r="AQ332" s="369" t="str">
        <f ca="1">IF($B332&lt;&gt;"PRC_RESID","",IF(AQ$7=2005+OFFSET(COM_N_2012!$B$60,$AW332,SUMIF($B$10:$B$16,"NCAP_TLIFE",$AX$10:$AX$16)),0,""))</f>
        <v/>
      </c>
      <c r="AR332" s="369" t="str">
        <f ca="1">IF($B332&lt;&gt;"PRC_RESID","",IF(AR$7=2005+OFFSET(COM_N_2012!$B$60,$AW332,SUMIF($B$10:$B$16,"NCAP_TLIFE",$AX$10:$AX$16)),0,""))</f>
        <v/>
      </c>
      <c r="AS332" s="369" t="str">
        <f ca="1">IF($B332&lt;&gt;"PRC_RESID","",IF(AS$7=2005+OFFSET(COM_N_2012!$B$60,$AW332,SUMIF($B$10:$B$16,"NCAP_TLIFE",$AX$10:$AX$16)),0,""))</f>
        <v/>
      </c>
      <c r="AT332" s="369" t="str">
        <f ca="1">IF($B332&lt;&gt;"PRC_RESID","",IF(AT$7=2005+OFFSET(COM_N_2012!$B$60,$AW332,SUMIF($B$10:$B$16,"NCAP_TLIFE",$AX$10:$AX$16)),0,""))</f>
        <v/>
      </c>
      <c r="AU332" s="369" t="str">
        <f ca="1">IF($B332&lt;&gt;"PRC_RESID","",IF(AU$7=2005+OFFSET(COM_N_2012!$B$60,$AW332,SUMIF($B$10:$B$16,"NCAP_TLIFE",$AX$10:$AX$16)),0,""))</f>
        <v/>
      </c>
      <c r="AV332" s="304">
        <f>IF(AW331=COM_N_2012!$AK$121,AV331+1,AV331)</f>
        <v>6</v>
      </c>
      <c r="AW332" s="304">
        <f t="shared" si="43"/>
        <v>10</v>
      </c>
    </row>
    <row r="333" spans="1:49">
      <c r="A333" s="304" t="str">
        <f ca="1">IF(LEFT(OFFSET(COM_N_2012!$A$60,AW333,0),2)="\I","*","")</f>
        <v/>
      </c>
      <c r="B333" s="369" t="str">
        <f t="shared" ca="1" si="36"/>
        <v>PRC_RESID</v>
      </c>
      <c r="C333" s="369" t="str">
        <f ca="1">IF($A333="*","",OFFSET(COM_N_2012!$B$60,AW333,0))</f>
        <v>CNHGAS-E</v>
      </c>
      <c r="D333" s="369" t="str">
        <f t="shared" ca="1" si="44"/>
        <v>-</v>
      </c>
      <c r="E333" s="369" t="str">
        <f t="shared" ca="1" si="44"/>
        <v>-</v>
      </c>
      <c r="F333" s="369" t="str">
        <f t="shared" ca="1" si="44"/>
        <v>-</v>
      </c>
      <c r="G333" s="369" t="str">
        <f t="shared" ca="1" si="44"/>
        <v>-</v>
      </c>
      <c r="H333" s="369" t="str">
        <f t="shared" ca="1" si="44"/>
        <v>-</v>
      </c>
      <c r="I333" s="370">
        <f t="shared" ca="1" si="44"/>
        <v>0</v>
      </c>
      <c r="J333" s="391">
        <f ca="1">IF($A333="*","",OFFSET(COM_N_2012!$B$60,AW333,SUMIF($B$10:$B$16,B333,$AX$10:$AX$16)))</f>
        <v>0</v>
      </c>
      <c r="K333" s="369" t="str">
        <f ca="1">IF($B333&lt;&gt;"PRC_RESID","",IF(K$7=2005+OFFSET(COM_N_2012!$B$60,$AW333,SUMIF($B$10:$B$16,"NCAP_TLIFE",$AX$10:$AX$16)),0,""))</f>
        <v/>
      </c>
      <c r="L333" s="369" t="str">
        <f ca="1">IF($B333&lt;&gt;"PRC_RESID","",IF(L$7=2005+OFFSET(COM_N_2012!$B$60,$AW333,SUMIF($B$10:$B$16,"NCAP_TLIFE",$AX$10:$AX$16)),0,""))</f>
        <v/>
      </c>
      <c r="M333" s="369" t="str">
        <f ca="1">IF($B333&lt;&gt;"PRC_RESID","",IF(M$7=2005+OFFSET(COM_N_2012!$B$60,$AW333,SUMIF($B$10:$B$16,"NCAP_TLIFE",$AX$10:$AX$16)),0,""))</f>
        <v/>
      </c>
      <c r="N333" s="369" t="str">
        <f ca="1">IF($B333&lt;&gt;"PRC_RESID","",IF(N$7=2005+OFFSET(COM_N_2012!$B$60,$AW333,SUMIF($B$10:$B$16,"NCAP_TLIFE",$AX$10:$AX$16)),0,""))</f>
        <v/>
      </c>
      <c r="O333" s="369" t="str">
        <f ca="1">IF($B333&lt;&gt;"PRC_RESID","",IF(O$7=2005+OFFSET(COM_N_2012!$B$60,$AW333,SUMIF($B$10:$B$16,"NCAP_TLIFE",$AX$10:$AX$16)),0,""))</f>
        <v/>
      </c>
      <c r="P333" s="369" t="str">
        <f ca="1">IF($B333&lt;&gt;"PRC_RESID","",IF(P$7=2005+OFFSET(COM_N_2012!$B$60,$AW333,SUMIF($B$10:$B$16,"NCAP_TLIFE",$AX$10:$AX$16)),0,""))</f>
        <v/>
      </c>
      <c r="Q333" s="369" t="str">
        <f ca="1">IF($B333&lt;&gt;"PRC_RESID","",IF(Q$7=2005+OFFSET(COM_N_2012!$B$60,$AW333,SUMIF($B$10:$B$16,"NCAP_TLIFE",$AX$10:$AX$16)),0,""))</f>
        <v/>
      </c>
      <c r="R333" s="369">
        <f ca="1">IF($B333&lt;&gt;"PRC_RESID","",IF(R$7=2005+OFFSET(COM_N_2012!$B$60,$AW333,SUMIF($B$10:$B$16,"NCAP_TLIFE",$AX$10:$AX$16)),0,""))</f>
        <v>0</v>
      </c>
      <c r="S333" s="369" t="str">
        <f ca="1">IF($B333&lt;&gt;"PRC_RESID","",IF(S$7=2005+OFFSET(COM_N_2012!$B$60,$AW333,SUMIF($B$10:$B$16,"NCAP_TLIFE",$AX$10:$AX$16)),0,""))</f>
        <v/>
      </c>
      <c r="T333" s="369" t="str">
        <f ca="1">IF($B333&lt;&gt;"PRC_RESID","",IF(T$7=2005+OFFSET(COM_N_2012!$B$60,$AW333,SUMIF($B$10:$B$16,"NCAP_TLIFE",$AX$10:$AX$16)),0,""))</f>
        <v/>
      </c>
      <c r="U333" s="369" t="str">
        <f ca="1">IF($B333&lt;&gt;"PRC_RESID","",IF(U$7=2005+OFFSET(COM_N_2012!$B$60,$AW333,SUMIF($B$10:$B$16,"NCAP_TLIFE",$AX$10:$AX$16)),0,""))</f>
        <v/>
      </c>
      <c r="V333" s="369" t="str">
        <f ca="1">IF($B333&lt;&gt;"PRC_RESID","",IF(V$7=2005+OFFSET(COM_N_2012!$B$60,$AW333,SUMIF($B$10:$B$16,"NCAP_TLIFE",$AX$10:$AX$16)),0,""))</f>
        <v/>
      </c>
      <c r="W333" s="369" t="str">
        <f ca="1">IF($B333&lt;&gt;"PRC_RESID","",IF(W$7=2005+OFFSET(COM_N_2012!$B$60,$AW333,SUMIF($B$10:$B$16,"NCAP_TLIFE",$AX$10:$AX$16)),0,""))</f>
        <v/>
      </c>
      <c r="X333" s="369" t="str">
        <f ca="1">IF($B333&lt;&gt;"PRC_RESID","",IF(X$7=2005+OFFSET(COM_N_2012!$B$60,$AW333,SUMIF($B$10:$B$16,"NCAP_TLIFE",$AX$10:$AX$16)),0,""))</f>
        <v/>
      </c>
      <c r="Y333" s="369" t="str">
        <f ca="1">IF($B333&lt;&gt;"PRC_RESID","",IF(Y$7=2005+OFFSET(COM_N_2012!$B$60,$AW333,SUMIF($B$10:$B$16,"NCAP_TLIFE",$AX$10:$AX$16)),0,""))</f>
        <v/>
      </c>
      <c r="Z333" s="369" t="str">
        <f ca="1">IF($B333&lt;&gt;"PRC_RESID","",IF(Z$7=2005+OFFSET(COM_N_2012!$B$60,$AW333,SUMIF($B$10:$B$16,"NCAP_TLIFE",$AX$10:$AX$16)),0,""))</f>
        <v/>
      </c>
      <c r="AA333" s="369" t="str">
        <f ca="1">IF($B333&lt;&gt;"PRC_RESID","",IF(AA$7=2005+OFFSET(COM_N_2012!$B$60,$AW333,SUMIF($B$10:$B$16,"NCAP_TLIFE",$AX$10:$AX$16)),0,""))</f>
        <v/>
      </c>
      <c r="AB333" s="369" t="str">
        <f ca="1">IF($B333&lt;&gt;"PRC_RESID","",IF(AB$7=2005+OFFSET(COM_N_2012!$B$60,$AW333,SUMIF($B$10:$B$16,"NCAP_TLIFE",$AX$10:$AX$16)),0,""))</f>
        <v/>
      </c>
      <c r="AC333" s="369" t="str">
        <f ca="1">IF($B333&lt;&gt;"PRC_RESID","",IF(AC$7=2005+OFFSET(COM_N_2012!$B$60,$AW333,SUMIF($B$10:$B$16,"NCAP_TLIFE",$AX$10:$AX$16)),0,""))</f>
        <v/>
      </c>
      <c r="AD333" s="369" t="str">
        <f ca="1">IF($B333&lt;&gt;"PRC_RESID","",IF(AD$7=2005+OFFSET(COM_N_2012!$B$60,$AW333,SUMIF($B$10:$B$16,"NCAP_TLIFE",$AX$10:$AX$16)),0,""))</f>
        <v/>
      </c>
      <c r="AE333" s="369" t="str">
        <f ca="1">IF($B333&lt;&gt;"PRC_RESID","",IF(AE$7=2005+OFFSET(COM_N_2012!$B$60,$AW333,SUMIF($B$10:$B$16,"NCAP_TLIFE",$AX$10:$AX$16)),0,""))</f>
        <v/>
      </c>
      <c r="AF333" s="369" t="str">
        <f ca="1">IF($B333&lt;&gt;"PRC_RESID","",IF(AF$7=2005+OFFSET(COM_N_2012!$B$60,$AW333,SUMIF($B$10:$B$16,"NCAP_TLIFE",$AX$10:$AX$16)),0,""))</f>
        <v/>
      </c>
      <c r="AG333" s="369" t="str">
        <f ca="1">IF($B333&lt;&gt;"PRC_RESID","",IF(AG$7=2005+OFFSET(COM_N_2012!$B$60,$AW333,SUMIF($B$10:$B$16,"NCAP_TLIFE",$AX$10:$AX$16)),0,""))</f>
        <v/>
      </c>
      <c r="AH333" s="369" t="str">
        <f ca="1">IF($B333&lt;&gt;"PRC_RESID","",IF(AH$7=2005+OFFSET(COM_N_2012!$B$60,$AW333,SUMIF($B$10:$B$16,"NCAP_TLIFE",$AX$10:$AX$16)),0,""))</f>
        <v/>
      </c>
      <c r="AI333" s="369" t="str">
        <f ca="1">IF($B333&lt;&gt;"PRC_RESID","",IF(AI$7=2005+OFFSET(COM_N_2012!$B$60,$AW333,SUMIF($B$10:$B$16,"NCAP_TLIFE",$AX$10:$AX$16)),0,""))</f>
        <v/>
      </c>
      <c r="AJ333" s="369" t="str">
        <f ca="1">IF($B333&lt;&gt;"PRC_RESID","",IF(AJ$7=2005+OFFSET(COM_N_2012!$B$60,$AW333,SUMIF($B$10:$B$16,"NCAP_TLIFE",$AX$10:$AX$16)),0,""))</f>
        <v/>
      </c>
      <c r="AK333" s="369" t="str">
        <f ca="1">IF($B333&lt;&gt;"PRC_RESID","",IF(AK$7=2005+OFFSET(COM_N_2012!$B$60,$AW333,SUMIF($B$10:$B$16,"NCAP_TLIFE",$AX$10:$AX$16)),0,""))</f>
        <v/>
      </c>
      <c r="AL333" s="369" t="str">
        <f ca="1">IF($B333&lt;&gt;"PRC_RESID","",IF(AL$7=2005+OFFSET(COM_N_2012!$B$60,$AW333,SUMIF($B$10:$B$16,"NCAP_TLIFE",$AX$10:$AX$16)),0,""))</f>
        <v/>
      </c>
      <c r="AM333" s="369" t="str">
        <f ca="1">IF($B333&lt;&gt;"PRC_RESID","",IF(AM$7=2005+OFFSET(COM_N_2012!$B$60,$AW333,SUMIF($B$10:$B$16,"NCAP_TLIFE",$AX$10:$AX$16)),0,""))</f>
        <v/>
      </c>
      <c r="AN333" s="369" t="str">
        <f ca="1">IF($B333&lt;&gt;"PRC_RESID","",IF(AN$7=2005+OFFSET(COM_N_2012!$B$60,$AW333,SUMIF($B$10:$B$16,"NCAP_TLIFE",$AX$10:$AX$16)),0,""))</f>
        <v/>
      </c>
      <c r="AO333" s="369" t="str">
        <f ca="1">IF($B333&lt;&gt;"PRC_RESID","",IF(AO$7=2005+OFFSET(COM_N_2012!$B$60,$AW333,SUMIF($B$10:$B$16,"NCAP_TLIFE",$AX$10:$AX$16)),0,""))</f>
        <v/>
      </c>
      <c r="AP333" s="369" t="str">
        <f ca="1">IF($B333&lt;&gt;"PRC_RESID","",IF(AP$7=2005+OFFSET(COM_N_2012!$B$60,$AW333,SUMIF($B$10:$B$16,"NCAP_TLIFE",$AX$10:$AX$16)),0,""))</f>
        <v/>
      </c>
      <c r="AQ333" s="369" t="str">
        <f ca="1">IF($B333&lt;&gt;"PRC_RESID","",IF(AQ$7=2005+OFFSET(COM_N_2012!$B$60,$AW333,SUMIF($B$10:$B$16,"NCAP_TLIFE",$AX$10:$AX$16)),0,""))</f>
        <v/>
      </c>
      <c r="AR333" s="369" t="str">
        <f ca="1">IF($B333&lt;&gt;"PRC_RESID","",IF(AR$7=2005+OFFSET(COM_N_2012!$B$60,$AW333,SUMIF($B$10:$B$16,"NCAP_TLIFE",$AX$10:$AX$16)),0,""))</f>
        <v/>
      </c>
      <c r="AS333" s="369" t="str">
        <f ca="1">IF($B333&lt;&gt;"PRC_RESID","",IF(AS$7=2005+OFFSET(COM_N_2012!$B$60,$AW333,SUMIF($B$10:$B$16,"NCAP_TLIFE",$AX$10:$AX$16)),0,""))</f>
        <v/>
      </c>
      <c r="AT333" s="369" t="str">
        <f ca="1">IF($B333&lt;&gt;"PRC_RESID","",IF(AT$7=2005+OFFSET(COM_N_2012!$B$60,$AW333,SUMIF($B$10:$B$16,"NCAP_TLIFE",$AX$10:$AX$16)),0,""))</f>
        <v/>
      </c>
      <c r="AU333" s="369" t="str">
        <f ca="1">IF($B333&lt;&gt;"PRC_RESID","",IF(AU$7=2005+OFFSET(COM_N_2012!$B$60,$AW333,SUMIF($B$10:$B$16,"NCAP_TLIFE",$AX$10:$AX$16)),0,""))</f>
        <v/>
      </c>
      <c r="AV333" s="304">
        <f>IF(AW332=COM_N_2012!$AK$121,AV332+1,AV332)</f>
        <v>6</v>
      </c>
      <c r="AW333" s="304">
        <f t="shared" ref="AW333:AW359" si="45">IF(AV333=AV332,AW332+1,1)</f>
        <v>11</v>
      </c>
    </row>
    <row r="334" spans="1:49">
      <c r="A334" s="304" t="str">
        <f ca="1">IF(LEFT(OFFSET(COM_N_2012!$A$60,AW334,0),2)="\I","*","")</f>
        <v/>
      </c>
      <c r="B334" s="369" t="str">
        <f t="shared" ca="1" si="36"/>
        <v>PRC_RESID</v>
      </c>
      <c r="C334" s="369" t="str">
        <f ca="1">IF($A334="*","",OFFSET(COM_N_2012!$B$60,AW334,0))</f>
        <v>CNHELC-N</v>
      </c>
      <c r="D334" s="369" t="str">
        <f t="shared" ca="1" si="44"/>
        <v>-</v>
      </c>
      <c r="E334" s="369" t="str">
        <f t="shared" ca="1" si="44"/>
        <v>-</v>
      </c>
      <c r="F334" s="369" t="str">
        <f t="shared" ca="1" si="44"/>
        <v>-</v>
      </c>
      <c r="G334" s="369" t="str">
        <f t="shared" ca="1" si="44"/>
        <v>-</v>
      </c>
      <c r="H334" s="369" t="str">
        <f t="shared" ca="1" si="44"/>
        <v>-</v>
      </c>
      <c r="I334" s="370">
        <f t="shared" ca="1" si="44"/>
        <v>0</v>
      </c>
      <c r="J334" s="391">
        <f ca="1">IF($A334="*","",OFFSET(COM_N_2012!$B$60,AW334,SUMIF($B$10:$B$16,B334,$AX$10:$AX$16)))</f>
        <v>0</v>
      </c>
      <c r="K334" s="369" t="str">
        <f ca="1">IF($B334&lt;&gt;"PRC_RESID","",IF(K$7=2005+OFFSET(COM_N_2012!$B$60,$AW334,SUMIF($B$10:$B$16,"NCAP_TLIFE",$AX$10:$AX$16)),0,""))</f>
        <v/>
      </c>
      <c r="L334" s="369" t="str">
        <f ca="1">IF($B334&lt;&gt;"PRC_RESID","",IF(L$7=2005+OFFSET(COM_N_2012!$B$60,$AW334,SUMIF($B$10:$B$16,"NCAP_TLIFE",$AX$10:$AX$16)),0,""))</f>
        <v/>
      </c>
      <c r="M334" s="369" t="str">
        <f ca="1">IF($B334&lt;&gt;"PRC_RESID","",IF(M$7=2005+OFFSET(COM_N_2012!$B$60,$AW334,SUMIF($B$10:$B$16,"NCAP_TLIFE",$AX$10:$AX$16)),0,""))</f>
        <v/>
      </c>
      <c r="N334" s="369" t="str">
        <f ca="1">IF($B334&lt;&gt;"PRC_RESID","",IF(N$7=2005+OFFSET(COM_N_2012!$B$60,$AW334,SUMIF($B$10:$B$16,"NCAP_TLIFE",$AX$10:$AX$16)),0,""))</f>
        <v/>
      </c>
      <c r="O334" s="369" t="str">
        <f ca="1">IF($B334&lt;&gt;"PRC_RESID","",IF(O$7=2005+OFFSET(COM_N_2012!$B$60,$AW334,SUMIF($B$10:$B$16,"NCAP_TLIFE",$AX$10:$AX$16)),0,""))</f>
        <v/>
      </c>
      <c r="P334" s="369" t="str">
        <f ca="1">IF($B334&lt;&gt;"PRC_RESID","",IF(P$7=2005+OFFSET(COM_N_2012!$B$60,$AW334,SUMIF($B$10:$B$16,"NCAP_TLIFE",$AX$10:$AX$16)),0,""))</f>
        <v/>
      </c>
      <c r="Q334" s="369" t="str">
        <f ca="1">IF($B334&lt;&gt;"PRC_RESID","",IF(Q$7=2005+OFFSET(COM_N_2012!$B$60,$AW334,SUMIF($B$10:$B$16,"NCAP_TLIFE",$AX$10:$AX$16)),0,""))</f>
        <v/>
      </c>
      <c r="R334" s="369">
        <f ca="1">IF($B334&lt;&gt;"PRC_RESID","",IF(R$7=2005+OFFSET(COM_N_2012!$B$60,$AW334,SUMIF($B$10:$B$16,"NCAP_TLIFE",$AX$10:$AX$16)),0,""))</f>
        <v>0</v>
      </c>
      <c r="S334" s="369" t="str">
        <f ca="1">IF($B334&lt;&gt;"PRC_RESID","",IF(S$7=2005+OFFSET(COM_N_2012!$B$60,$AW334,SUMIF($B$10:$B$16,"NCAP_TLIFE",$AX$10:$AX$16)),0,""))</f>
        <v/>
      </c>
      <c r="T334" s="369" t="str">
        <f ca="1">IF($B334&lt;&gt;"PRC_RESID","",IF(T$7=2005+OFFSET(COM_N_2012!$B$60,$AW334,SUMIF($B$10:$B$16,"NCAP_TLIFE",$AX$10:$AX$16)),0,""))</f>
        <v/>
      </c>
      <c r="U334" s="369" t="str">
        <f ca="1">IF($B334&lt;&gt;"PRC_RESID","",IF(U$7=2005+OFFSET(COM_N_2012!$B$60,$AW334,SUMIF($B$10:$B$16,"NCAP_TLIFE",$AX$10:$AX$16)),0,""))</f>
        <v/>
      </c>
      <c r="V334" s="369" t="str">
        <f ca="1">IF($B334&lt;&gt;"PRC_RESID","",IF(V$7=2005+OFFSET(COM_N_2012!$B$60,$AW334,SUMIF($B$10:$B$16,"NCAP_TLIFE",$AX$10:$AX$16)),0,""))</f>
        <v/>
      </c>
      <c r="W334" s="369" t="str">
        <f ca="1">IF($B334&lt;&gt;"PRC_RESID","",IF(W$7=2005+OFFSET(COM_N_2012!$B$60,$AW334,SUMIF($B$10:$B$16,"NCAP_TLIFE",$AX$10:$AX$16)),0,""))</f>
        <v/>
      </c>
      <c r="X334" s="369" t="str">
        <f ca="1">IF($B334&lt;&gt;"PRC_RESID","",IF(X$7=2005+OFFSET(COM_N_2012!$B$60,$AW334,SUMIF($B$10:$B$16,"NCAP_TLIFE",$AX$10:$AX$16)),0,""))</f>
        <v/>
      </c>
      <c r="Y334" s="369" t="str">
        <f ca="1">IF($B334&lt;&gt;"PRC_RESID","",IF(Y$7=2005+OFFSET(COM_N_2012!$B$60,$AW334,SUMIF($B$10:$B$16,"NCAP_TLIFE",$AX$10:$AX$16)),0,""))</f>
        <v/>
      </c>
      <c r="Z334" s="369" t="str">
        <f ca="1">IF($B334&lt;&gt;"PRC_RESID","",IF(Z$7=2005+OFFSET(COM_N_2012!$B$60,$AW334,SUMIF($B$10:$B$16,"NCAP_TLIFE",$AX$10:$AX$16)),0,""))</f>
        <v/>
      </c>
      <c r="AA334" s="369" t="str">
        <f ca="1">IF($B334&lt;&gt;"PRC_RESID","",IF(AA$7=2005+OFFSET(COM_N_2012!$B$60,$AW334,SUMIF($B$10:$B$16,"NCAP_TLIFE",$AX$10:$AX$16)),0,""))</f>
        <v/>
      </c>
      <c r="AB334" s="369" t="str">
        <f ca="1">IF($B334&lt;&gt;"PRC_RESID","",IF(AB$7=2005+OFFSET(COM_N_2012!$B$60,$AW334,SUMIF($B$10:$B$16,"NCAP_TLIFE",$AX$10:$AX$16)),0,""))</f>
        <v/>
      </c>
      <c r="AC334" s="369" t="str">
        <f ca="1">IF($B334&lt;&gt;"PRC_RESID","",IF(AC$7=2005+OFFSET(COM_N_2012!$B$60,$AW334,SUMIF($B$10:$B$16,"NCAP_TLIFE",$AX$10:$AX$16)),0,""))</f>
        <v/>
      </c>
      <c r="AD334" s="369" t="str">
        <f ca="1">IF($B334&lt;&gt;"PRC_RESID","",IF(AD$7=2005+OFFSET(COM_N_2012!$B$60,$AW334,SUMIF($B$10:$B$16,"NCAP_TLIFE",$AX$10:$AX$16)),0,""))</f>
        <v/>
      </c>
      <c r="AE334" s="369" t="str">
        <f ca="1">IF($B334&lt;&gt;"PRC_RESID","",IF(AE$7=2005+OFFSET(COM_N_2012!$B$60,$AW334,SUMIF($B$10:$B$16,"NCAP_TLIFE",$AX$10:$AX$16)),0,""))</f>
        <v/>
      </c>
      <c r="AF334" s="369" t="str">
        <f ca="1">IF($B334&lt;&gt;"PRC_RESID","",IF(AF$7=2005+OFFSET(COM_N_2012!$B$60,$AW334,SUMIF($B$10:$B$16,"NCAP_TLIFE",$AX$10:$AX$16)),0,""))</f>
        <v/>
      </c>
      <c r="AG334" s="369" t="str">
        <f ca="1">IF($B334&lt;&gt;"PRC_RESID","",IF(AG$7=2005+OFFSET(COM_N_2012!$B$60,$AW334,SUMIF($B$10:$B$16,"NCAP_TLIFE",$AX$10:$AX$16)),0,""))</f>
        <v/>
      </c>
      <c r="AH334" s="369" t="str">
        <f ca="1">IF($B334&lt;&gt;"PRC_RESID","",IF(AH$7=2005+OFFSET(COM_N_2012!$B$60,$AW334,SUMIF($B$10:$B$16,"NCAP_TLIFE",$AX$10:$AX$16)),0,""))</f>
        <v/>
      </c>
      <c r="AI334" s="369" t="str">
        <f ca="1">IF($B334&lt;&gt;"PRC_RESID","",IF(AI$7=2005+OFFSET(COM_N_2012!$B$60,$AW334,SUMIF($B$10:$B$16,"NCAP_TLIFE",$AX$10:$AX$16)),0,""))</f>
        <v/>
      </c>
      <c r="AJ334" s="369" t="str">
        <f ca="1">IF($B334&lt;&gt;"PRC_RESID","",IF(AJ$7=2005+OFFSET(COM_N_2012!$B$60,$AW334,SUMIF($B$10:$B$16,"NCAP_TLIFE",$AX$10:$AX$16)),0,""))</f>
        <v/>
      </c>
      <c r="AK334" s="369" t="str">
        <f ca="1">IF($B334&lt;&gt;"PRC_RESID","",IF(AK$7=2005+OFFSET(COM_N_2012!$B$60,$AW334,SUMIF($B$10:$B$16,"NCAP_TLIFE",$AX$10:$AX$16)),0,""))</f>
        <v/>
      </c>
      <c r="AL334" s="369" t="str">
        <f ca="1">IF($B334&lt;&gt;"PRC_RESID","",IF(AL$7=2005+OFFSET(COM_N_2012!$B$60,$AW334,SUMIF($B$10:$B$16,"NCAP_TLIFE",$AX$10:$AX$16)),0,""))</f>
        <v/>
      </c>
      <c r="AM334" s="369" t="str">
        <f ca="1">IF($B334&lt;&gt;"PRC_RESID","",IF(AM$7=2005+OFFSET(COM_N_2012!$B$60,$AW334,SUMIF($B$10:$B$16,"NCAP_TLIFE",$AX$10:$AX$16)),0,""))</f>
        <v/>
      </c>
      <c r="AN334" s="369" t="str">
        <f ca="1">IF($B334&lt;&gt;"PRC_RESID","",IF(AN$7=2005+OFFSET(COM_N_2012!$B$60,$AW334,SUMIF($B$10:$B$16,"NCAP_TLIFE",$AX$10:$AX$16)),0,""))</f>
        <v/>
      </c>
      <c r="AO334" s="369" t="str">
        <f ca="1">IF($B334&lt;&gt;"PRC_RESID","",IF(AO$7=2005+OFFSET(COM_N_2012!$B$60,$AW334,SUMIF($B$10:$B$16,"NCAP_TLIFE",$AX$10:$AX$16)),0,""))</f>
        <v/>
      </c>
      <c r="AP334" s="369" t="str">
        <f ca="1">IF($B334&lt;&gt;"PRC_RESID","",IF(AP$7=2005+OFFSET(COM_N_2012!$B$60,$AW334,SUMIF($B$10:$B$16,"NCAP_TLIFE",$AX$10:$AX$16)),0,""))</f>
        <v/>
      </c>
      <c r="AQ334" s="369" t="str">
        <f ca="1">IF($B334&lt;&gt;"PRC_RESID","",IF(AQ$7=2005+OFFSET(COM_N_2012!$B$60,$AW334,SUMIF($B$10:$B$16,"NCAP_TLIFE",$AX$10:$AX$16)),0,""))</f>
        <v/>
      </c>
      <c r="AR334" s="369" t="str">
        <f ca="1">IF($B334&lt;&gt;"PRC_RESID","",IF(AR$7=2005+OFFSET(COM_N_2012!$B$60,$AW334,SUMIF($B$10:$B$16,"NCAP_TLIFE",$AX$10:$AX$16)),0,""))</f>
        <v/>
      </c>
      <c r="AS334" s="369" t="str">
        <f ca="1">IF($B334&lt;&gt;"PRC_RESID","",IF(AS$7=2005+OFFSET(COM_N_2012!$B$60,$AW334,SUMIF($B$10:$B$16,"NCAP_TLIFE",$AX$10:$AX$16)),0,""))</f>
        <v/>
      </c>
      <c r="AT334" s="369" t="str">
        <f ca="1">IF($B334&lt;&gt;"PRC_RESID","",IF(AT$7=2005+OFFSET(COM_N_2012!$B$60,$AW334,SUMIF($B$10:$B$16,"NCAP_TLIFE",$AX$10:$AX$16)),0,""))</f>
        <v/>
      </c>
      <c r="AU334" s="369" t="str">
        <f ca="1">IF($B334&lt;&gt;"PRC_RESID","",IF(AU$7=2005+OFFSET(COM_N_2012!$B$60,$AW334,SUMIF($B$10:$B$16,"NCAP_TLIFE",$AX$10:$AX$16)),0,""))</f>
        <v/>
      </c>
      <c r="AV334" s="304">
        <f>IF(AW333=COM_N_2012!$AK$121,AV333+1,AV333)</f>
        <v>6</v>
      </c>
      <c r="AW334" s="304">
        <f t="shared" si="45"/>
        <v>12</v>
      </c>
    </row>
    <row r="335" spans="1:49">
      <c r="A335" s="304" t="str">
        <f ca="1">IF(LEFT(OFFSET(COM_N_2012!$A$60,AW335,0),2)="\I","*","")</f>
        <v/>
      </c>
      <c r="B335" s="369" t="str">
        <f t="shared" ca="1" si="36"/>
        <v>PRC_RESID</v>
      </c>
      <c r="C335" s="369" t="str">
        <f ca="1">IF($A335="*","",OFFSET(COM_N_2012!$B$60,AW335,0))</f>
        <v>CNHGAS-N</v>
      </c>
      <c r="D335" s="369" t="str">
        <f t="shared" ca="1" si="44"/>
        <v>-</v>
      </c>
      <c r="E335" s="369" t="str">
        <f t="shared" ca="1" si="44"/>
        <v>-</v>
      </c>
      <c r="F335" s="369" t="str">
        <f t="shared" ca="1" si="44"/>
        <v>-</v>
      </c>
      <c r="G335" s="369" t="str">
        <f t="shared" ca="1" si="44"/>
        <v>-</v>
      </c>
      <c r="H335" s="369" t="str">
        <f t="shared" ca="1" si="44"/>
        <v>-</v>
      </c>
      <c r="I335" s="370">
        <f t="shared" ca="1" si="44"/>
        <v>0</v>
      </c>
      <c r="J335" s="391">
        <f ca="1">IF($A335="*","",OFFSET(COM_N_2012!$B$60,AW335,SUMIF($B$10:$B$16,B335,$AX$10:$AX$16)))</f>
        <v>0</v>
      </c>
      <c r="K335" s="369" t="str">
        <f ca="1">IF($B335&lt;&gt;"PRC_RESID","",IF(K$7=2005+OFFSET(COM_N_2012!$B$60,$AW335,SUMIF($B$10:$B$16,"NCAP_TLIFE",$AX$10:$AX$16)),0,""))</f>
        <v/>
      </c>
      <c r="L335" s="369" t="str">
        <f ca="1">IF($B335&lt;&gt;"PRC_RESID","",IF(L$7=2005+OFFSET(COM_N_2012!$B$60,$AW335,SUMIF($B$10:$B$16,"NCAP_TLIFE",$AX$10:$AX$16)),0,""))</f>
        <v/>
      </c>
      <c r="M335" s="369" t="str">
        <f ca="1">IF($B335&lt;&gt;"PRC_RESID","",IF(M$7=2005+OFFSET(COM_N_2012!$B$60,$AW335,SUMIF($B$10:$B$16,"NCAP_TLIFE",$AX$10:$AX$16)),0,""))</f>
        <v/>
      </c>
      <c r="N335" s="369" t="str">
        <f ca="1">IF($B335&lt;&gt;"PRC_RESID","",IF(N$7=2005+OFFSET(COM_N_2012!$B$60,$AW335,SUMIF($B$10:$B$16,"NCAP_TLIFE",$AX$10:$AX$16)),0,""))</f>
        <v/>
      </c>
      <c r="O335" s="369" t="str">
        <f ca="1">IF($B335&lt;&gt;"PRC_RESID","",IF(O$7=2005+OFFSET(COM_N_2012!$B$60,$AW335,SUMIF($B$10:$B$16,"NCAP_TLIFE",$AX$10:$AX$16)),0,""))</f>
        <v/>
      </c>
      <c r="P335" s="369" t="str">
        <f ca="1">IF($B335&lt;&gt;"PRC_RESID","",IF(P$7=2005+OFFSET(COM_N_2012!$B$60,$AW335,SUMIF($B$10:$B$16,"NCAP_TLIFE",$AX$10:$AX$16)),0,""))</f>
        <v/>
      </c>
      <c r="Q335" s="369" t="str">
        <f ca="1">IF($B335&lt;&gt;"PRC_RESID","",IF(Q$7=2005+OFFSET(COM_N_2012!$B$60,$AW335,SUMIF($B$10:$B$16,"NCAP_TLIFE",$AX$10:$AX$16)),0,""))</f>
        <v/>
      </c>
      <c r="R335" s="369">
        <f ca="1">IF($B335&lt;&gt;"PRC_RESID","",IF(R$7=2005+OFFSET(COM_N_2012!$B$60,$AW335,SUMIF($B$10:$B$16,"NCAP_TLIFE",$AX$10:$AX$16)),0,""))</f>
        <v>0</v>
      </c>
      <c r="S335" s="369" t="str">
        <f ca="1">IF($B335&lt;&gt;"PRC_RESID","",IF(S$7=2005+OFFSET(COM_N_2012!$B$60,$AW335,SUMIF($B$10:$B$16,"NCAP_TLIFE",$AX$10:$AX$16)),0,""))</f>
        <v/>
      </c>
      <c r="T335" s="369" t="str">
        <f ca="1">IF($B335&lt;&gt;"PRC_RESID","",IF(T$7=2005+OFFSET(COM_N_2012!$B$60,$AW335,SUMIF($B$10:$B$16,"NCAP_TLIFE",$AX$10:$AX$16)),0,""))</f>
        <v/>
      </c>
      <c r="U335" s="369" t="str">
        <f ca="1">IF($B335&lt;&gt;"PRC_RESID","",IF(U$7=2005+OFFSET(COM_N_2012!$B$60,$AW335,SUMIF($B$10:$B$16,"NCAP_TLIFE",$AX$10:$AX$16)),0,""))</f>
        <v/>
      </c>
      <c r="V335" s="369" t="str">
        <f ca="1">IF($B335&lt;&gt;"PRC_RESID","",IF(V$7=2005+OFFSET(COM_N_2012!$B$60,$AW335,SUMIF($B$10:$B$16,"NCAP_TLIFE",$AX$10:$AX$16)),0,""))</f>
        <v/>
      </c>
      <c r="W335" s="369" t="str">
        <f ca="1">IF($B335&lt;&gt;"PRC_RESID","",IF(W$7=2005+OFFSET(COM_N_2012!$B$60,$AW335,SUMIF($B$10:$B$16,"NCAP_TLIFE",$AX$10:$AX$16)),0,""))</f>
        <v/>
      </c>
      <c r="X335" s="369" t="str">
        <f ca="1">IF($B335&lt;&gt;"PRC_RESID","",IF(X$7=2005+OFFSET(COM_N_2012!$B$60,$AW335,SUMIF($B$10:$B$16,"NCAP_TLIFE",$AX$10:$AX$16)),0,""))</f>
        <v/>
      </c>
      <c r="Y335" s="369" t="str">
        <f ca="1">IF($B335&lt;&gt;"PRC_RESID","",IF(Y$7=2005+OFFSET(COM_N_2012!$B$60,$AW335,SUMIF($B$10:$B$16,"NCAP_TLIFE",$AX$10:$AX$16)),0,""))</f>
        <v/>
      </c>
      <c r="Z335" s="369" t="str">
        <f ca="1">IF($B335&lt;&gt;"PRC_RESID","",IF(Z$7=2005+OFFSET(COM_N_2012!$B$60,$AW335,SUMIF($B$10:$B$16,"NCAP_TLIFE",$AX$10:$AX$16)),0,""))</f>
        <v/>
      </c>
      <c r="AA335" s="369" t="str">
        <f ca="1">IF($B335&lt;&gt;"PRC_RESID","",IF(AA$7=2005+OFFSET(COM_N_2012!$B$60,$AW335,SUMIF($B$10:$B$16,"NCAP_TLIFE",$AX$10:$AX$16)),0,""))</f>
        <v/>
      </c>
      <c r="AB335" s="369" t="str">
        <f ca="1">IF($B335&lt;&gt;"PRC_RESID","",IF(AB$7=2005+OFFSET(COM_N_2012!$B$60,$AW335,SUMIF($B$10:$B$16,"NCAP_TLIFE",$AX$10:$AX$16)),0,""))</f>
        <v/>
      </c>
      <c r="AC335" s="369" t="str">
        <f ca="1">IF($B335&lt;&gt;"PRC_RESID","",IF(AC$7=2005+OFFSET(COM_N_2012!$B$60,$AW335,SUMIF($B$10:$B$16,"NCAP_TLIFE",$AX$10:$AX$16)),0,""))</f>
        <v/>
      </c>
      <c r="AD335" s="369" t="str">
        <f ca="1">IF($B335&lt;&gt;"PRC_RESID","",IF(AD$7=2005+OFFSET(COM_N_2012!$B$60,$AW335,SUMIF($B$10:$B$16,"NCAP_TLIFE",$AX$10:$AX$16)),0,""))</f>
        <v/>
      </c>
      <c r="AE335" s="369" t="str">
        <f ca="1">IF($B335&lt;&gt;"PRC_RESID","",IF(AE$7=2005+OFFSET(COM_N_2012!$B$60,$AW335,SUMIF($B$10:$B$16,"NCAP_TLIFE",$AX$10:$AX$16)),0,""))</f>
        <v/>
      </c>
      <c r="AF335" s="369" t="str">
        <f ca="1">IF($B335&lt;&gt;"PRC_RESID","",IF(AF$7=2005+OFFSET(COM_N_2012!$B$60,$AW335,SUMIF($B$10:$B$16,"NCAP_TLIFE",$AX$10:$AX$16)),0,""))</f>
        <v/>
      </c>
      <c r="AG335" s="369" t="str">
        <f ca="1">IF($B335&lt;&gt;"PRC_RESID","",IF(AG$7=2005+OFFSET(COM_N_2012!$B$60,$AW335,SUMIF($B$10:$B$16,"NCAP_TLIFE",$AX$10:$AX$16)),0,""))</f>
        <v/>
      </c>
      <c r="AH335" s="369" t="str">
        <f ca="1">IF($B335&lt;&gt;"PRC_RESID","",IF(AH$7=2005+OFFSET(COM_N_2012!$B$60,$AW335,SUMIF($B$10:$B$16,"NCAP_TLIFE",$AX$10:$AX$16)),0,""))</f>
        <v/>
      </c>
      <c r="AI335" s="369" t="str">
        <f ca="1">IF($B335&lt;&gt;"PRC_RESID","",IF(AI$7=2005+OFFSET(COM_N_2012!$B$60,$AW335,SUMIF($B$10:$B$16,"NCAP_TLIFE",$AX$10:$AX$16)),0,""))</f>
        <v/>
      </c>
      <c r="AJ335" s="369" t="str">
        <f ca="1">IF($B335&lt;&gt;"PRC_RESID","",IF(AJ$7=2005+OFFSET(COM_N_2012!$B$60,$AW335,SUMIF($B$10:$B$16,"NCAP_TLIFE",$AX$10:$AX$16)),0,""))</f>
        <v/>
      </c>
      <c r="AK335" s="369" t="str">
        <f ca="1">IF($B335&lt;&gt;"PRC_RESID","",IF(AK$7=2005+OFFSET(COM_N_2012!$B$60,$AW335,SUMIF($B$10:$B$16,"NCAP_TLIFE",$AX$10:$AX$16)),0,""))</f>
        <v/>
      </c>
      <c r="AL335" s="369" t="str">
        <f ca="1">IF($B335&lt;&gt;"PRC_RESID","",IF(AL$7=2005+OFFSET(COM_N_2012!$B$60,$AW335,SUMIF($B$10:$B$16,"NCAP_TLIFE",$AX$10:$AX$16)),0,""))</f>
        <v/>
      </c>
      <c r="AM335" s="369" t="str">
        <f ca="1">IF($B335&lt;&gt;"PRC_RESID","",IF(AM$7=2005+OFFSET(COM_N_2012!$B$60,$AW335,SUMIF($B$10:$B$16,"NCAP_TLIFE",$AX$10:$AX$16)),0,""))</f>
        <v/>
      </c>
      <c r="AN335" s="369" t="str">
        <f ca="1">IF($B335&lt;&gt;"PRC_RESID","",IF(AN$7=2005+OFFSET(COM_N_2012!$B$60,$AW335,SUMIF($B$10:$B$16,"NCAP_TLIFE",$AX$10:$AX$16)),0,""))</f>
        <v/>
      </c>
      <c r="AO335" s="369" t="str">
        <f ca="1">IF($B335&lt;&gt;"PRC_RESID","",IF(AO$7=2005+OFFSET(COM_N_2012!$B$60,$AW335,SUMIF($B$10:$B$16,"NCAP_TLIFE",$AX$10:$AX$16)),0,""))</f>
        <v/>
      </c>
      <c r="AP335" s="369" t="str">
        <f ca="1">IF($B335&lt;&gt;"PRC_RESID","",IF(AP$7=2005+OFFSET(COM_N_2012!$B$60,$AW335,SUMIF($B$10:$B$16,"NCAP_TLIFE",$AX$10:$AX$16)),0,""))</f>
        <v/>
      </c>
      <c r="AQ335" s="369" t="str">
        <f ca="1">IF($B335&lt;&gt;"PRC_RESID","",IF(AQ$7=2005+OFFSET(COM_N_2012!$B$60,$AW335,SUMIF($B$10:$B$16,"NCAP_TLIFE",$AX$10:$AX$16)),0,""))</f>
        <v/>
      </c>
      <c r="AR335" s="369" t="str">
        <f ca="1">IF($B335&lt;&gt;"PRC_RESID","",IF(AR$7=2005+OFFSET(COM_N_2012!$B$60,$AW335,SUMIF($B$10:$B$16,"NCAP_TLIFE",$AX$10:$AX$16)),0,""))</f>
        <v/>
      </c>
      <c r="AS335" s="369" t="str">
        <f ca="1">IF($B335&lt;&gt;"PRC_RESID","",IF(AS$7=2005+OFFSET(COM_N_2012!$B$60,$AW335,SUMIF($B$10:$B$16,"NCAP_TLIFE",$AX$10:$AX$16)),0,""))</f>
        <v/>
      </c>
      <c r="AT335" s="369" t="str">
        <f ca="1">IF($B335&lt;&gt;"PRC_RESID","",IF(AT$7=2005+OFFSET(COM_N_2012!$B$60,$AW335,SUMIF($B$10:$B$16,"NCAP_TLIFE",$AX$10:$AX$16)),0,""))</f>
        <v/>
      </c>
      <c r="AU335" s="369" t="str">
        <f ca="1">IF($B335&lt;&gt;"PRC_RESID","",IF(AU$7=2005+OFFSET(COM_N_2012!$B$60,$AW335,SUMIF($B$10:$B$16,"NCAP_TLIFE",$AX$10:$AX$16)),0,""))</f>
        <v/>
      </c>
      <c r="AV335" s="304">
        <f>IF(AW334=COM_N_2012!$AK$121,AV334+1,AV334)</f>
        <v>6</v>
      </c>
      <c r="AW335" s="304">
        <f t="shared" si="45"/>
        <v>13</v>
      </c>
    </row>
    <row r="336" spans="1:49">
      <c r="A336" s="304" t="str">
        <f ca="1">IF(LEFT(OFFSET(COM_N_2012!$A$60,AW336,0),2)="\I","*","")</f>
        <v>*</v>
      </c>
      <c r="B336" s="369" t="str">
        <f t="shared" ca="1" si="36"/>
        <v/>
      </c>
      <c r="C336" s="369" t="str">
        <f ca="1">IF($A336="*","",OFFSET(COM_N_2012!$B$60,AW336,0))</f>
        <v/>
      </c>
      <c r="D336" s="369" t="str">
        <f t="shared" ca="1" si="44"/>
        <v/>
      </c>
      <c r="E336" s="369" t="str">
        <f t="shared" ca="1" si="44"/>
        <v/>
      </c>
      <c r="F336" s="369" t="str">
        <f t="shared" ca="1" si="44"/>
        <v/>
      </c>
      <c r="G336" s="369" t="str">
        <f t="shared" ca="1" si="44"/>
        <v/>
      </c>
      <c r="H336" s="369" t="str">
        <f t="shared" ca="1" si="44"/>
        <v/>
      </c>
      <c r="I336" s="370" t="str">
        <f t="shared" ca="1" si="44"/>
        <v/>
      </c>
      <c r="J336" s="391" t="str">
        <f ca="1">IF($A336="*","",OFFSET(COM_N_2012!$B$60,AW336,SUMIF($B$10:$B$16,B336,$AX$10:$AX$16)))</f>
        <v/>
      </c>
      <c r="K336" s="369" t="str">
        <f ca="1">IF($B336&lt;&gt;"PRC_RESID","",IF(K$7=2005+OFFSET(COM_N_2012!$B$60,$AW336,SUMIF($B$10:$B$16,"NCAP_TLIFE",$AX$10:$AX$16)),0,""))</f>
        <v/>
      </c>
      <c r="L336" s="369" t="str">
        <f ca="1">IF($B336&lt;&gt;"PRC_RESID","",IF(L$7=2005+OFFSET(COM_N_2012!$B$60,$AW336,SUMIF($B$10:$B$16,"NCAP_TLIFE",$AX$10:$AX$16)),0,""))</f>
        <v/>
      </c>
      <c r="M336" s="369" t="str">
        <f ca="1">IF($B336&lt;&gt;"PRC_RESID","",IF(M$7=2005+OFFSET(COM_N_2012!$B$60,$AW336,SUMIF($B$10:$B$16,"NCAP_TLIFE",$AX$10:$AX$16)),0,""))</f>
        <v/>
      </c>
      <c r="N336" s="369" t="str">
        <f ca="1">IF($B336&lt;&gt;"PRC_RESID","",IF(N$7=2005+OFFSET(COM_N_2012!$B$60,$AW336,SUMIF($B$10:$B$16,"NCAP_TLIFE",$AX$10:$AX$16)),0,""))</f>
        <v/>
      </c>
      <c r="O336" s="369" t="str">
        <f ca="1">IF($B336&lt;&gt;"PRC_RESID","",IF(O$7=2005+OFFSET(COM_N_2012!$B$60,$AW336,SUMIF($B$10:$B$16,"NCAP_TLIFE",$AX$10:$AX$16)),0,""))</f>
        <v/>
      </c>
      <c r="P336" s="369" t="str">
        <f ca="1">IF($B336&lt;&gt;"PRC_RESID","",IF(P$7=2005+OFFSET(COM_N_2012!$B$60,$AW336,SUMIF($B$10:$B$16,"NCAP_TLIFE",$AX$10:$AX$16)),0,""))</f>
        <v/>
      </c>
      <c r="Q336" s="369" t="str">
        <f ca="1">IF($B336&lt;&gt;"PRC_RESID","",IF(Q$7=2005+OFFSET(COM_N_2012!$B$60,$AW336,SUMIF($B$10:$B$16,"NCAP_TLIFE",$AX$10:$AX$16)),0,""))</f>
        <v/>
      </c>
      <c r="R336" s="369" t="str">
        <f ca="1">IF($B336&lt;&gt;"PRC_RESID","",IF(R$7=2005+OFFSET(COM_N_2012!$B$60,$AW336,SUMIF($B$10:$B$16,"NCAP_TLIFE",$AX$10:$AX$16)),0,""))</f>
        <v/>
      </c>
      <c r="S336" s="369" t="str">
        <f ca="1">IF($B336&lt;&gt;"PRC_RESID","",IF(S$7=2005+OFFSET(COM_N_2012!$B$60,$AW336,SUMIF($B$10:$B$16,"NCAP_TLIFE",$AX$10:$AX$16)),0,""))</f>
        <v/>
      </c>
      <c r="T336" s="369" t="str">
        <f ca="1">IF($B336&lt;&gt;"PRC_RESID","",IF(T$7=2005+OFFSET(COM_N_2012!$B$60,$AW336,SUMIF($B$10:$B$16,"NCAP_TLIFE",$AX$10:$AX$16)),0,""))</f>
        <v/>
      </c>
      <c r="U336" s="369" t="str">
        <f ca="1">IF($B336&lt;&gt;"PRC_RESID","",IF(U$7=2005+OFFSET(COM_N_2012!$B$60,$AW336,SUMIF($B$10:$B$16,"NCAP_TLIFE",$AX$10:$AX$16)),0,""))</f>
        <v/>
      </c>
      <c r="V336" s="369" t="str">
        <f ca="1">IF($B336&lt;&gt;"PRC_RESID","",IF(V$7=2005+OFFSET(COM_N_2012!$B$60,$AW336,SUMIF($B$10:$B$16,"NCAP_TLIFE",$AX$10:$AX$16)),0,""))</f>
        <v/>
      </c>
      <c r="W336" s="369" t="str">
        <f ca="1">IF($B336&lt;&gt;"PRC_RESID","",IF(W$7=2005+OFFSET(COM_N_2012!$B$60,$AW336,SUMIF($B$10:$B$16,"NCAP_TLIFE",$AX$10:$AX$16)),0,""))</f>
        <v/>
      </c>
      <c r="X336" s="369" t="str">
        <f ca="1">IF($B336&lt;&gt;"PRC_RESID","",IF(X$7=2005+OFFSET(COM_N_2012!$B$60,$AW336,SUMIF($B$10:$B$16,"NCAP_TLIFE",$AX$10:$AX$16)),0,""))</f>
        <v/>
      </c>
      <c r="Y336" s="369" t="str">
        <f ca="1">IF($B336&lt;&gt;"PRC_RESID","",IF(Y$7=2005+OFFSET(COM_N_2012!$B$60,$AW336,SUMIF($B$10:$B$16,"NCAP_TLIFE",$AX$10:$AX$16)),0,""))</f>
        <v/>
      </c>
      <c r="Z336" s="369" t="str">
        <f ca="1">IF($B336&lt;&gt;"PRC_RESID","",IF(Z$7=2005+OFFSET(COM_N_2012!$B$60,$AW336,SUMIF($B$10:$B$16,"NCAP_TLIFE",$AX$10:$AX$16)),0,""))</f>
        <v/>
      </c>
      <c r="AA336" s="369" t="str">
        <f ca="1">IF($B336&lt;&gt;"PRC_RESID","",IF(AA$7=2005+OFFSET(COM_N_2012!$B$60,$AW336,SUMIF($B$10:$B$16,"NCAP_TLIFE",$AX$10:$AX$16)),0,""))</f>
        <v/>
      </c>
      <c r="AB336" s="369" t="str">
        <f ca="1">IF($B336&lt;&gt;"PRC_RESID","",IF(AB$7=2005+OFFSET(COM_N_2012!$B$60,$AW336,SUMIF($B$10:$B$16,"NCAP_TLIFE",$AX$10:$AX$16)),0,""))</f>
        <v/>
      </c>
      <c r="AC336" s="369" t="str">
        <f ca="1">IF($B336&lt;&gt;"PRC_RESID","",IF(AC$7=2005+OFFSET(COM_N_2012!$B$60,$AW336,SUMIF($B$10:$B$16,"NCAP_TLIFE",$AX$10:$AX$16)),0,""))</f>
        <v/>
      </c>
      <c r="AD336" s="369" t="str">
        <f ca="1">IF($B336&lt;&gt;"PRC_RESID","",IF(AD$7=2005+OFFSET(COM_N_2012!$B$60,$AW336,SUMIF($B$10:$B$16,"NCAP_TLIFE",$AX$10:$AX$16)),0,""))</f>
        <v/>
      </c>
      <c r="AE336" s="369" t="str">
        <f ca="1">IF($B336&lt;&gt;"PRC_RESID","",IF(AE$7=2005+OFFSET(COM_N_2012!$B$60,$AW336,SUMIF($B$10:$B$16,"NCAP_TLIFE",$AX$10:$AX$16)),0,""))</f>
        <v/>
      </c>
      <c r="AF336" s="369" t="str">
        <f ca="1">IF($B336&lt;&gt;"PRC_RESID","",IF(AF$7=2005+OFFSET(COM_N_2012!$B$60,$AW336,SUMIF($B$10:$B$16,"NCAP_TLIFE",$AX$10:$AX$16)),0,""))</f>
        <v/>
      </c>
      <c r="AG336" s="369" t="str">
        <f ca="1">IF($B336&lt;&gt;"PRC_RESID","",IF(AG$7=2005+OFFSET(COM_N_2012!$B$60,$AW336,SUMIF($B$10:$B$16,"NCAP_TLIFE",$AX$10:$AX$16)),0,""))</f>
        <v/>
      </c>
      <c r="AH336" s="369" t="str">
        <f ca="1">IF($B336&lt;&gt;"PRC_RESID","",IF(AH$7=2005+OFFSET(COM_N_2012!$B$60,$AW336,SUMIF($B$10:$B$16,"NCAP_TLIFE",$AX$10:$AX$16)),0,""))</f>
        <v/>
      </c>
      <c r="AI336" s="369" t="str">
        <f ca="1">IF($B336&lt;&gt;"PRC_RESID","",IF(AI$7=2005+OFFSET(COM_N_2012!$B$60,$AW336,SUMIF($B$10:$B$16,"NCAP_TLIFE",$AX$10:$AX$16)),0,""))</f>
        <v/>
      </c>
      <c r="AJ336" s="369" t="str">
        <f ca="1">IF($B336&lt;&gt;"PRC_RESID","",IF(AJ$7=2005+OFFSET(COM_N_2012!$B$60,$AW336,SUMIF($B$10:$B$16,"NCAP_TLIFE",$AX$10:$AX$16)),0,""))</f>
        <v/>
      </c>
      <c r="AK336" s="369" t="str">
        <f ca="1">IF($B336&lt;&gt;"PRC_RESID","",IF(AK$7=2005+OFFSET(COM_N_2012!$B$60,$AW336,SUMIF($B$10:$B$16,"NCAP_TLIFE",$AX$10:$AX$16)),0,""))</f>
        <v/>
      </c>
      <c r="AL336" s="369" t="str">
        <f ca="1">IF($B336&lt;&gt;"PRC_RESID","",IF(AL$7=2005+OFFSET(COM_N_2012!$B$60,$AW336,SUMIF($B$10:$B$16,"NCAP_TLIFE",$AX$10:$AX$16)),0,""))</f>
        <v/>
      </c>
      <c r="AM336" s="369" t="str">
        <f ca="1">IF($B336&lt;&gt;"PRC_RESID","",IF(AM$7=2005+OFFSET(COM_N_2012!$B$60,$AW336,SUMIF($B$10:$B$16,"NCAP_TLIFE",$AX$10:$AX$16)),0,""))</f>
        <v/>
      </c>
      <c r="AN336" s="369" t="str">
        <f ca="1">IF($B336&lt;&gt;"PRC_RESID","",IF(AN$7=2005+OFFSET(COM_N_2012!$B$60,$AW336,SUMIF($B$10:$B$16,"NCAP_TLIFE",$AX$10:$AX$16)),0,""))</f>
        <v/>
      </c>
      <c r="AO336" s="369" t="str">
        <f ca="1">IF($B336&lt;&gt;"PRC_RESID","",IF(AO$7=2005+OFFSET(COM_N_2012!$B$60,$AW336,SUMIF($B$10:$B$16,"NCAP_TLIFE",$AX$10:$AX$16)),0,""))</f>
        <v/>
      </c>
      <c r="AP336" s="369" t="str">
        <f ca="1">IF($B336&lt;&gt;"PRC_RESID","",IF(AP$7=2005+OFFSET(COM_N_2012!$B$60,$AW336,SUMIF($B$10:$B$16,"NCAP_TLIFE",$AX$10:$AX$16)),0,""))</f>
        <v/>
      </c>
      <c r="AQ336" s="369" t="str">
        <f ca="1">IF($B336&lt;&gt;"PRC_RESID","",IF(AQ$7=2005+OFFSET(COM_N_2012!$B$60,$AW336,SUMIF($B$10:$B$16,"NCAP_TLIFE",$AX$10:$AX$16)),0,""))</f>
        <v/>
      </c>
      <c r="AR336" s="369" t="str">
        <f ca="1">IF($B336&lt;&gt;"PRC_RESID","",IF(AR$7=2005+OFFSET(COM_N_2012!$B$60,$AW336,SUMIF($B$10:$B$16,"NCAP_TLIFE",$AX$10:$AX$16)),0,""))</f>
        <v/>
      </c>
      <c r="AS336" s="369" t="str">
        <f ca="1">IF($B336&lt;&gt;"PRC_RESID","",IF(AS$7=2005+OFFSET(COM_N_2012!$B$60,$AW336,SUMIF($B$10:$B$16,"NCAP_TLIFE",$AX$10:$AX$16)),0,""))</f>
        <v/>
      </c>
      <c r="AT336" s="369" t="str">
        <f ca="1">IF($B336&lt;&gt;"PRC_RESID","",IF(AT$7=2005+OFFSET(COM_N_2012!$B$60,$AW336,SUMIF($B$10:$B$16,"NCAP_TLIFE",$AX$10:$AX$16)),0,""))</f>
        <v/>
      </c>
      <c r="AU336" s="369" t="str">
        <f ca="1">IF($B336&lt;&gt;"PRC_RESID","",IF(AU$7=2005+OFFSET(COM_N_2012!$B$60,$AW336,SUMIF($B$10:$B$16,"NCAP_TLIFE",$AX$10:$AX$16)),0,""))</f>
        <v/>
      </c>
      <c r="AV336" s="304">
        <f>IF(AW335=COM_N_2012!$AK$121,AV335+1,AV335)</f>
        <v>6</v>
      </c>
      <c r="AW336" s="304">
        <f t="shared" si="45"/>
        <v>14</v>
      </c>
    </row>
    <row r="337" spans="1:49">
      <c r="A337" s="304" t="str">
        <f ca="1">IF(LEFT(OFFSET(COM_N_2012!$A$60,AW337,0),2)="\I","*","")</f>
        <v>*</v>
      </c>
      <c r="B337" s="369" t="str">
        <f t="shared" ca="1" si="36"/>
        <v/>
      </c>
      <c r="C337" s="369" t="str">
        <f ca="1">IF($A337="*","",OFFSET(COM_N_2012!$B$60,AW337,0))</f>
        <v/>
      </c>
      <c r="D337" s="369" t="str">
        <f t="shared" ca="1" si="44"/>
        <v/>
      </c>
      <c r="E337" s="369" t="str">
        <f t="shared" ca="1" si="44"/>
        <v/>
      </c>
      <c r="F337" s="369" t="str">
        <f t="shared" ca="1" si="44"/>
        <v/>
      </c>
      <c r="G337" s="369" t="str">
        <f t="shared" ca="1" si="44"/>
        <v/>
      </c>
      <c r="H337" s="369" t="str">
        <f t="shared" ca="1" si="44"/>
        <v/>
      </c>
      <c r="I337" s="370" t="str">
        <f t="shared" ca="1" si="44"/>
        <v/>
      </c>
      <c r="J337" s="391" t="str">
        <f ca="1">IF($A337="*","",OFFSET(COM_N_2012!$B$60,AW337,SUMIF($B$10:$B$16,B337,$AX$10:$AX$16)))</f>
        <v/>
      </c>
      <c r="K337" s="369" t="str">
        <f ca="1">IF($B337&lt;&gt;"PRC_RESID","",IF(K$7=2005+OFFSET(COM_N_2012!$B$60,$AW337,SUMIF($B$10:$B$16,"NCAP_TLIFE",$AX$10:$AX$16)),0,""))</f>
        <v/>
      </c>
      <c r="L337" s="369" t="str">
        <f ca="1">IF($B337&lt;&gt;"PRC_RESID","",IF(L$7=2005+OFFSET(COM_N_2012!$B$60,$AW337,SUMIF($B$10:$B$16,"NCAP_TLIFE",$AX$10:$AX$16)),0,""))</f>
        <v/>
      </c>
      <c r="M337" s="369" t="str">
        <f ca="1">IF($B337&lt;&gt;"PRC_RESID","",IF(M$7=2005+OFFSET(COM_N_2012!$B$60,$AW337,SUMIF($B$10:$B$16,"NCAP_TLIFE",$AX$10:$AX$16)),0,""))</f>
        <v/>
      </c>
      <c r="N337" s="369" t="str">
        <f ca="1">IF($B337&lt;&gt;"PRC_RESID","",IF(N$7=2005+OFFSET(COM_N_2012!$B$60,$AW337,SUMIF($B$10:$B$16,"NCAP_TLIFE",$AX$10:$AX$16)),0,""))</f>
        <v/>
      </c>
      <c r="O337" s="369" t="str">
        <f ca="1">IF($B337&lt;&gt;"PRC_RESID","",IF(O$7=2005+OFFSET(COM_N_2012!$B$60,$AW337,SUMIF($B$10:$B$16,"NCAP_TLIFE",$AX$10:$AX$16)),0,""))</f>
        <v/>
      </c>
      <c r="P337" s="369" t="str">
        <f ca="1">IF($B337&lt;&gt;"PRC_RESID","",IF(P$7=2005+OFFSET(COM_N_2012!$B$60,$AW337,SUMIF($B$10:$B$16,"NCAP_TLIFE",$AX$10:$AX$16)),0,""))</f>
        <v/>
      </c>
      <c r="Q337" s="369" t="str">
        <f ca="1">IF($B337&lt;&gt;"PRC_RESID","",IF(Q$7=2005+OFFSET(COM_N_2012!$B$60,$AW337,SUMIF($B$10:$B$16,"NCAP_TLIFE",$AX$10:$AX$16)),0,""))</f>
        <v/>
      </c>
      <c r="R337" s="369" t="str">
        <f ca="1">IF($B337&lt;&gt;"PRC_RESID","",IF(R$7=2005+OFFSET(COM_N_2012!$B$60,$AW337,SUMIF($B$10:$B$16,"NCAP_TLIFE",$AX$10:$AX$16)),0,""))</f>
        <v/>
      </c>
      <c r="S337" s="369" t="str">
        <f ca="1">IF($B337&lt;&gt;"PRC_RESID","",IF(S$7=2005+OFFSET(COM_N_2012!$B$60,$AW337,SUMIF($B$10:$B$16,"NCAP_TLIFE",$AX$10:$AX$16)),0,""))</f>
        <v/>
      </c>
      <c r="T337" s="369" t="str">
        <f ca="1">IF($B337&lt;&gt;"PRC_RESID","",IF(T$7=2005+OFFSET(COM_N_2012!$B$60,$AW337,SUMIF($B$10:$B$16,"NCAP_TLIFE",$AX$10:$AX$16)),0,""))</f>
        <v/>
      </c>
      <c r="U337" s="369" t="str">
        <f ca="1">IF($B337&lt;&gt;"PRC_RESID","",IF(U$7=2005+OFFSET(COM_N_2012!$B$60,$AW337,SUMIF($B$10:$B$16,"NCAP_TLIFE",$AX$10:$AX$16)),0,""))</f>
        <v/>
      </c>
      <c r="V337" s="369" t="str">
        <f ca="1">IF($B337&lt;&gt;"PRC_RESID","",IF(V$7=2005+OFFSET(COM_N_2012!$B$60,$AW337,SUMIF($B$10:$B$16,"NCAP_TLIFE",$AX$10:$AX$16)),0,""))</f>
        <v/>
      </c>
      <c r="W337" s="369" t="str">
        <f ca="1">IF($B337&lt;&gt;"PRC_RESID","",IF(W$7=2005+OFFSET(COM_N_2012!$B$60,$AW337,SUMIF($B$10:$B$16,"NCAP_TLIFE",$AX$10:$AX$16)),0,""))</f>
        <v/>
      </c>
      <c r="X337" s="369" t="str">
        <f ca="1">IF($B337&lt;&gt;"PRC_RESID","",IF(X$7=2005+OFFSET(COM_N_2012!$B$60,$AW337,SUMIF($B$10:$B$16,"NCAP_TLIFE",$AX$10:$AX$16)),0,""))</f>
        <v/>
      </c>
      <c r="Y337" s="369" t="str">
        <f ca="1">IF($B337&lt;&gt;"PRC_RESID","",IF(Y$7=2005+OFFSET(COM_N_2012!$B$60,$AW337,SUMIF($B$10:$B$16,"NCAP_TLIFE",$AX$10:$AX$16)),0,""))</f>
        <v/>
      </c>
      <c r="Z337" s="369" t="str">
        <f ca="1">IF($B337&lt;&gt;"PRC_RESID","",IF(Z$7=2005+OFFSET(COM_N_2012!$B$60,$AW337,SUMIF($B$10:$B$16,"NCAP_TLIFE",$AX$10:$AX$16)),0,""))</f>
        <v/>
      </c>
      <c r="AA337" s="369" t="str">
        <f ca="1">IF($B337&lt;&gt;"PRC_RESID","",IF(AA$7=2005+OFFSET(COM_N_2012!$B$60,$AW337,SUMIF($B$10:$B$16,"NCAP_TLIFE",$AX$10:$AX$16)),0,""))</f>
        <v/>
      </c>
      <c r="AB337" s="369" t="str">
        <f ca="1">IF($B337&lt;&gt;"PRC_RESID","",IF(AB$7=2005+OFFSET(COM_N_2012!$B$60,$AW337,SUMIF($B$10:$B$16,"NCAP_TLIFE",$AX$10:$AX$16)),0,""))</f>
        <v/>
      </c>
      <c r="AC337" s="369" t="str">
        <f ca="1">IF($B337&lt;&gt;"PRC_RESID","",IF(AC$7=2005+OFFSET(COM_N_2012!$B$60,$AW337,SUMIF($B$10:$B$16,"NCAP_TLIFE",$AX$10:$AX$16)),0,""))</f>
        <v/>
      </c>
      <c r="AD337" s="369" t="str">
        <f ca="1">IF($B337&lt;&gt;"PRC_RESID","",IF(AD$7=2005+OFFSET(COM_N_2012!$B$60,$AW337,SUMIF($B$10:$B$16,"NCAP_TLIFE",$AX$10:$AX$16)),0,""))</f>
        <v/>
      </c>
      <c r="AE337" s="369" t="str">
        <f ca="1">IF($B337&lt;&gt;"PRC_RESID","",IF(AE$7=2005+OFFSET(COM_N_2012!$B$60,$AW337,SUMIF($B$10:$B$16,"NCAP_TLIFE",$AX$10:$AX$16)),0,""))</f>
        <v/>
      </c>
      <c r="AF337" s="369" t="str">
        <f ca="1">IF($B337&lt;&gt;"PRC_RESID","",IF(AF$7=2005+OFFSET(COM_N_2012!$B$60,$AW337,SUMIF($B$10:$B$16,"NCAP_TLIFE",$AX$10:$AX$16)),0,""))</f>
        <v/>
      </c>
      <c r="AG337" s="369" t="str">
        <f ca="1">IF($B337&lt;&gt;"PRC_RESID","",IF(AG$7=2005+OFFSET(COM_N_2012!$B$60,$AW337,SUMIF($B$10:$B$16,"NCAP_TLIFE",$AX$10:$AX$16)),0,""))</f>
        <v/>
      </c>
      <c r="AH337" s="369" t="str">
        <f ca="1">IF($B337&lt;&gt;"PRC_RESID","",IF(AH$7=2005+OFFSET(COM_N_2012!$B$60,$AW337,SUMIF($B$10:$B$16,"NCAP_TLIFE",$AX$10:$AX$16)),0,""))</f>
        <v/>
      </c>
      <c r="AI337" s="369" t="str">
        <f ca="1">IF($B337&lt;&gt;"PRC_RESID","",IF(AI$7=2005+OFFSET(COM_N_2012!$B$60,$AW337,SUMIF($B$10:$B$16,"NCAP_TLIFE",$AX$10:$AX$16)),0,""))</f>
        <v/>
      </c>
      <c r="AJ337" s="369" t="str">
        <f ca="1">IF($B337&lt;&gt;"PRC_RESID","",IF(AJ$7=2005+OFFSET(COM_N_2012!$B$60,$AW337,SUMIF($B$10:$B$16,"NCAP_TLIFE",$AX$10:$AX$16)),0,""))</f>
        <v/>
      </c>
      <c r="AK337" s="369" t="str">
        <f ca="1">IF($B337&lt;&gt;"PRC_RESID","",IF(AK$7=2005+OFFSET(COM_N_2012!$B$60,$AW337,SUMIF($B$10:$B$16,"NCAP_TLIFE",$AX$10:$AX$16)),0,""))</f>
        <v/>
      </c>
      <c r="AL337" s="369" t="str">
        <f ca="1">IF($B337&lt;&gt;"PRC_RESID","",IF(AL$7=2005+OFFSET(COM_N_2012!$B$60,$AW337,SUMIF($B$10:$B$16,"NCAP_TLIFE",$AX$10:$AX$16)),0,""))</f>
        <v/>
      </c>
      <c r="AM337" s="369" t="str">
        <f ca="1">IF($B337&lt;&gt;"PRC_RESID","",IF(AM$7=2005+OFFSET(COM_N_2012!$B$60,$AW337,SUMIF($B$10:$B$16,"NCAP_TLIFE",$AX$10:$AX$16)),0,""))</f>
        <v/>
      </c>
      <c r="AN337" s="369" t="str">
        <f ca="1">IF($B337&lt;&gt;"PRC_RESID","",IF(AN$7=2005+OFFSET(COM_N_2012!$B$60,$AW337,SUMIF($B$10:$B$16,"NCAP_TLIFE",$AX$10:$AX$16)),0,""))</f>
        <v/>
      </c>
      <c r="AO337" s="369" t="str">
        <f ca="1">IF($B337&lt;&gt;"PRC_RESID","",IF(AO$7=2005+OFFSET(COM_N_2012!$B$60,$AW337,SUMIF($B$10:$B$16,"NCAP_TLIFE",$AX$10:$AX$16)),0,""))</f>
        <v/>
      </c>
      <c r="AP337" s="369" t="str">
        <f ca="1">IF($B337&lt;&gt;"PRC_RESID","",IF(AP$7=2005+OFFSET(COM_N_2012!$B$60,$AW337,SUMIF($B$10:$B$16,"NCAP_TLIFE",$AX$10:$AX$16)),0,""))</f>
        <v/>
      </c>
      <c r="AQ337" s="369" t="str">
        <f ca="1">IF($B337&lt;&gt;"PRC_RESID","",IF(AQ$7=2005+OFFSET(COM_N_2012!$B$60,$AW337,SUMIF($B$10:$B$16,"NCAP_TLIFE",$AX$10:$AX$16)),0,""))</f>
        <v/>
      </c>
      <c r="AR337" s="369" t="str">
        <f ca="1">IF($B337&lt;&gt;"PRC_RESID","",IF(AR$7=2005+OFFSET(COM_N_2012!$B$60,$AW337,SUMIF($B$10:$B$16,"NCAP_TLIFE",$AX$10:$AX$16)),0,""))</f>
        <v/>
      </c>
      <c r="AS337" s="369" t="str">
        <f ca="1">IF($B337&lt;&gt;"PRC_RESID","",IF(AS$7=2005+OFFSET(COM_N_2012!$B$60,$AW337,SUMIF($B$10:$B$16,"NCAP_TLIFE",$AX$10:$AX$16)),0,""))</f>
        <v/>
      </c>
      <c r="AT337" s="369" t="str">
        <f ca="1">IF($B337&lt;&gt;"PRC_RESID","",IF(AT$7=2005+OFFSET(COM_N_2012!$B$60,$AW337,SUMIF($B$10:$B$16,"NCAP_TLIFE",$AX$10:$AX$16)),0,""))</f>
        <v/>
      </c>
      <c r="AU337" s="369" t="str">
        <f ca="1">IF($B337&lt;&gt;"PRC_RESID","",IF(AU$7=2005+OFFSET(COM_N_2012!$B$60,$AW337,SUMIF($B$10:$B$16,"NCAP_TLIFE",$AX$10:$AX$16)),0,""))</f>
        <v/>
      </c>
      <c r="AV337" s="304">
        <f>IF(AW336=COM_N_2012!$AK$121,AV336+1,AV336)</f>
        <v>6</v>
      </c>
      <c r="AW337" s="304">
        <f t="shared" si="45"/>
        <v>15</v>
      </c>
    </row>
    <row r="338" spans="1:49">
      <c r="A338" s="304" t="str">
        <f ca="1">IF(LEFT(OFFSET(COM_N_2012!$A$60,AW338,0),2)="\I","*","")</f>
        <v/>
      </c>
      <c r="B338" s="369" t="str">
        <f t="shared" ref="B338:B339" ca="1" si="46">IF(A338="*","",VLOOKUP("*"&amp;AV338,$A$9:$B$16,2,FALSE))</f>
        <v>PRC_RESID</v>
      </c>
      <c r="C338" s="369" t="str">
        <f ca="1">IF($A338="*","",OFFSET(COM_N_2012!$B$60,AW338,0))</f>
        <v>CNKOLP-E</v>
      </c>
      <c r="D338" s="369" t="str">
        <f t="shared" ca="1" si="44"/>
        <v>-</v>
      </c>
      <c r="E338" s="369" t="str">
        <f t="shared" ca="1" si="44"/>
        <v>-</v>
      </c>
      <c r="F338" s="369" t="str">
        <f t="shared" ca="1" si="44"/>
        <v>-</v>
      </c>
      <c r="G338" s="369" t="str">
        <f t="shared" ca="1" si="44"/>
        <v>-</v>
      </c>
      <c r="H338" s="369" t="str">
        <f t="shared" ca="1" si="44"/>
        <v>-</v>
      </c>
      <c r="I338" s="370">
        <f t="shared" ca="1" si="44"/>
        <v>0</v>
      </c>
      <c r="J338" s="391">
        <f ca="1">IF($A338="*","",OFFSET(COM_N_2012!$B$60,AW338,SUMIF($B$10:$B$16,B338,$AX$10:$AX$16)))</f>
        <v>0</v>
      </c>
      <c r="K338" s="369" t="str">
        <f ca="1">IF($B338&lt;&gt;"PRC_RESID","",IF(K$7=2005+OFFSET(COM_N_2012!$B$60,$AW338,SUMIF($B$10:$B$16,"NCAP_TLIFE",$AX$10:$AX$16)),0,""))</f>
        <v/>
      </c>
      <c r="L338" s="369" t="str">
        <f ca="1">IF($B338&lt;&gt;"PRC_RESID","",IF(L$7=2005+OFFSET(COM_N_2012!$B$60,$AW338,SUMIF($B$10:$B$16,"NCAP_TLIFE",$AX$10:$AX$16)),0,""))</f>
        <v/>
      </c>
      <c r="M338" s="369" t="str">
        <f ca="1">IF($B338&lt;&gt;"PRC_RESID","",IF(M$7=2005+OFFSET(COM_N_2012!$B$60,$AW338,SUMIF($B$10:$B$16,"NCAP_TLIFE",$AX$10:$AX$16)),0,""))</f>
        <v/>
      </c>
      <c r="N338" s="369" t="str">
        <f ca="1">IF($B338&lt;&gt;"PRC_RESID","",IF(N$7=2005+OFFSET(COM_N_2012!$B$60,$AW338,SUMIF($B$10:$B$16,"NCAP_TLIFE",$AX$10:$AX$16)),0,""))</f>
        <v/>
      </c>
      <c r="O338" s="369" t="str">
        <f ca="1">IF($B338&lt;&gt;"PRC_RESID","",IF(O$7=2005+OFFSET(COM_N_2012!$B$60,$AW338,SUMIF($B$10:$B$16,"NCAP_TLIFE",$AX$10:$AX$16)),0,""))</f>
        <v/>
      </c>
      <c r="P338" s="369" t="str">
        <f ca="1">IF($B338&lt;&gt;"PRC_RESID","",IF(P$7=2005+OFFSET(COM_N_2012!$B$60,$AW338,SUMIF($B$10:$B$16,"NCAP_TLIFE",$AX$10:$AX$16)),0,""))</f>
        <v/>
      </c>
      <c r="Q338" s="369" t="str">
        <f ca="1">IF($B338&lt;&gt;"PRC_RESID","",IF(Q$7=2005+OFFSET(COM_N_2012!$B$60,$AW338,SUMIF($B$10:$B$16,"NCAP_TLIFE",$AX$10:$AX$16)),0,""))</f>
        <v/>
      </c>
      <c r="R338" s="369">
        <f ca="1">IF($B338&lt;&gt;"PRC_RESID","",IF(R$7=2005+OFFSET(COM_N_2012!$B$60,$AW338,SUMIF($B$10:$B$16,"NCAP_TLIFE",$AX$10:$AX$16)),0,""))</f>
        <v>0</v>
      </c>
      <c r="S338" s="369" t="str">
        <f ca="1">IF($B338&lt;&gt;"PRC_RESID","",IF(S$7=2005+OFFSET(COM_N_2012!$B$60,$AW338,SUMIF($B$10:$B$16,"NCAP_TLIFE",$AX$10:$AX$16)),0,""))</f>
        <v/>
      </c>
      <c r="T338" s="369" t="str">
        <f ca="1">IF($B338&lt;&gt;"PRC_RESID","",IF(T$7=2005+OFFSET(COM_N_2012!$B$60,$AW338,SUMIF($B$10:$B$16,"NCAP_TLIFE",$AX$10:$AX$16)),0,""))</f>
        <v/>
      </c>
      <c r="U338" s="369" t="str">
        <f ca="1">IF($B338&lt;&gt;"PRC_RESID","",IF(U$7=2005+OFFSET(COM_N_2012!$B$60,$AW338,SUMIF($B$10:$B$16,"NCAP_TLIFE",$AX$10:$AX$16)),0,""))</f>
        <v/>
      </c>
      <c r="V338" s="369" t="str">
        <f ca="1">IF($B338&lt;&gt;"PRC_RESID","",IF(V$7=2005+OFFSET(COM_N_2012!$B$60,$AW338,SUMIF($B$10:$B$16,"NCAP_TLIFE",$AX$10:$AX$16)),0,""))</f>
        <v/>
      </c>
      <c r="W338" s="369" t="str">
        <f ca="1">IF($B338&lt;&gt;"PRC_RESID","",IF(W$7=2005+OFFSET(COM_N_2012!$B$60,$AW338,SUMIF($B$10:$B$16,"NCAP_TLIFE",$AX$10:$AX$16)),0,""))</f>
        <v/>
      </c>
      <c r="X338" s="369" t="str">
        <f ca="1">IF($B338&lt;&gt;"PRC_RESID","",IF(X$7=2005+OFFSET(COM_N_2012!$B$60,$AW338,SUMIF($B$10:$B$16,"NCAP_TLIFE",$AX$10:$AX$16)),0,""))</f>
        <v/>
      </c>
      <c r="Y338" s="369" t="str">
        <f ca="1">IF($B338&lt;&gt;"PRC_RESID","",IF(Y$7=2005+OFFSET(COM_N_2012!$B$60,$AW338,SUMIF($B$10:$B$16,"NCAP_TLIFE",$AX$10:$AX$16)),0,""))</f>
        <v/>
      </c>
      <c r="Z338" s="369" t="str">
        <f ca="1">IF($B338&lt;&gt;"PRC_RESID","",IF(Z$7=2005+OFFSET(COM_N_2012!$B$60,$AW338,SUMIF($B$10:$B$16,"NCAP_TLIFE",$AX$10:$AX$16)),0,""))</f>
        <v/>
      </c>
      <c r="AA338" s="369" t="str">
        <f ca="1">IF($B338&lt;&gt;"PRC_RESID","",IF(AA$7=2005+OFFSET(COM_N_2012!$B$60,$AW338,SUMIF($B$10:$B$16,"NCAP_TLIFE",$AX$10:$AX$16)),0,""))</f>
        <v/>
      </c>
      <c r="AB338" s="369" t="str">
        <f ca="1">IF($B338&lt;&gt;"PRC_RESID","",IF(AB$7=2005+OFFSET(COM_N_2012!$B$60,$AW338,SUMIF($B$10:$B$16,"NCAP_TLIFE",$AX$10:$AX$16)),0,""))</f>
        <v/>
      </c>
      <c r="AC338" s="369" t="str">
        <f ca="1">IF($B338&lt;&gt;"PRC_RESID","",IF(AC$7=2005+OFFSET(COM_N_2012!$B$60,$AW338,SUMIF($B$10:$B$16,"NCAP_TLIFE",$AX$10:$AX$16)),0,""))</f>
        <v/>
      </c>
      <c r="AD338" s="369" t="str">
        <f ca="1">IF($B338&lt;&gt;"PRC_RESID","",IF(AD$7=2005+OFFSET(COM_N_2012!$B$60,$AW338,SUMIF($B$10:$B$16,"NCAP_TLIFE",$AX$10:$AX$16)),0,""))</f>
        <v/>
      </c>
      <c r="AE338" s="369" t="str">
        <f ca="1">IF($B338&lt;&gt;"PRC_RESID","",IF(AE$7=2005+OFFSET(COM_N_2012!$B$60,$AW338,SUMIF($B$10:$B$16,"NCAP_TLIFE",$AX$10:$AX$16)),0,""))</f>
        <v/>
      </c>
      <c r="AF338" s="369" t="str">
        <f ca="1">IF($B338&lt;&gt;"PRC_RESID","",IF(AF$7=2005+OFFSET(COM_N_2012!$B$60,$AW338,SUMIF($B$10:$B$16,"NCAP_TLIFE",$AX$10:$AX$16)),0,""))</f>
        <v/>
      </c>
      <c r="AG338" s="369" t="str">
        <f ca="1">IF($B338&lt;&gt;"PRC_RESID","",IF(AG$7=2005+OFFSET(COM_N_2012!$B$60,$AW338,SUMIF($B$10:$B$16,"NCAP_TLIFE",$AX$10:$AX$16)),0,""))</f>
        <v/>
      </c>
      <c r="AH338" s="369" t="str">
        <f ca="1">IF($B338&lt;&gt;"PRC_RESID","",IF(AH$7=2005+OFFSET(COM_N_2012!$B$60,$AW338,SUMIF($B$10:$B$16,"NCAP_TLIFE",$AX$10:$AX$16)),0,""))</f>
        <v/>
      </c>
      <c r="AI338" s="369" t="str">
        <f ca="1">IF($B338&lt;&gt;"PRC_RESID","",IF(AI$7=2005+OFFSET(COM_N_2012!$B$60,$AW338,SUMIF($B$10:$B$16,"NCAP_TLIFE",$AX$10:$AX$16)),0,""))</f>
        <v/>
      </c>
      <c r="AJ338" s="369" t="str">
        <f ca="1">IF($B338&lt;&gt;"PRC_RESID","",IF(AJ$7=2005+OFFSET(COM_N_2012!$B$60,$AW338,SUMIF($B$10:$B$16,"NCAP_TLIFE",$AX$10:$AX$16)),0,""))</f>
        <v/>
      </c>
      <c r="AK338" s="369" t="str">
        <f ca="1">IF($B338&lt;&gt;"PRC_RESID","",IF(AK$7=2005+OFFSET(COM_N_2012!$B$60,$AW338,SUMIF($B$10:$B$16,"NCAP_TLIFE",$AX$10:$AX$16)),0,""))</f>
        <v/>
      </c>
      <c r="AL338" s="369" t="str">
        <f ca="1">IF($B338&lt;&gt;"PRC_RESID","",IF(AL$7=2005+OFFSET(COM_N_2012!$B$60,$AW338,SUMIF($B$10:$B$16,"NCAP_TLIFE",$AX$10:$AX$16)),0,""))</f>
        <v/>
      </c>
      <c r="AM338" s="369" t="str">
        <f ca="1">IF($B338&lt;&gt;"PRC_RESID","",IF(AM$7=2005+OFFSET(COM_N_2012!$B$60,$AW338,SUMIF($B$10:$B$16,"NCAP_TLIFE",$AX$10:$AX$16)),0,""))</f>
        <v/>
      </c>
      <c r="AN338" s="369" t="str">
        <f ca="1">IF($B338&lt;&gt;"PRC_RESID","",IF(AN$7=2005+OFFSET(COM_N_2012!$B$60,$AW338,SUMIF($B$10:$B$16,"NCAP_TLIFE",$AX$10:$AX$16)),0,""))</f>
        <v/>
      </c>
      <c r="AO338" s="369" t="str">
        <f ca="1">IF($B338&lt;&gt;"PRC_RESID","",IF(AO$7=2005+OFFSET(COM_N_2012!$B$60,$AW338,SUMIF($B$10:$B$16,"NCAP_TLIFE",$AX$10:$AX$16)),0,""))</f>
        <v/>
      </c>
      <c r="AP338" s="369" t="str">
        <f ca="1">IF($B338&lt;&gt;"PRC_RESID","",IF(AP$7=2005+OFFSET(COM_N_2012!$B$60,$AW338,SUMIF($B$10:$B$16,"NCAP_TLIFE",$AX$10:$AX$16)),0,""))</f>
        <v/>
      </c>
      <c r="AQ338" s="369" t="str">
        <f ca="1">IF($B338&lt;&gt;"PRC_RESID","",IF(AQ$7=2005+OFFSET(COM_N_2012!$B$60,$AW338,SUMIF($B$10:$B$16,"NCAP_TLIFE",$AX$10:$AX$16)),0,""))</f>
        <v/>
      </c>
      <c r="AR338" s="369" t="str">
        <f ca="1">IF($B338&lt;&gt;"PRC_RESID","",IF(AR$7=2005+OFFSET(COM_N_2012!$B$60,$AW338,SUMIF($B$10:$B$16,"NCAP_TLIFE",$AX$10:$AX$16)),0,""))</f>
        <v/>
      </c>
      <c r="AS338" s="369" t="str">
        <f ca="1">IF($B338&lt;&gt;"PRC_RESID","",IF(AS$7=2005+OFFSET(COM_N_2012!$B$60,$AW338,SUMIF($B$10:$B$16,"NCAP_TLIFE",$AX$10:$AX$16)),0,""))</f>
        <v/>
      </c>
      <c r="AT338" s="369" t="str">
        <f ca="1">IF($B338&lt;&gt;"PRC_RESID","",IF(AT$7=2005+OFFSET(COM_N_2012!$B$60,$AW338,SUMIF($B$10:$B$16,"NCAP_TLIFE",$AX$10:$AX$16)),0,""))</f>
        <v/>
      </c>
      <c r="AU338" s="369" t="str">
        <f ca="1">IF($B338&lt;&gt;"PRC_RESID","",IF(AU$7=2005+OFFSET(COM_N_2012!$B$60,$AW338,SUMIF($B$10:$B$16,"NCAP_TLIFE",$AX$10:$AX$16)),0,""))</f>
        <v/>
      </c>
      <c r="AV338" s="304">
        <f>IF(AW337=COM_N_2012!$AK$121,AV337+1,AV337)</f>
        <v>6</v>
      </c>
      <c r="AW338" s="304">
        <f t="shared" si="45"/>
        <v>16</v>
      </c>
    </row>
    <row r="339" spans="1:49">
      <c r="A339" s="304" t="str">
        <f ca="1">IF(LEFT(OFFSET(COM_N_2012!$A$60,AW339,0),2)="\I","*","")</f>
        <v/>
      </c>
      <c r="B339" s="369" t="str">
        <f t="shared" ca="1" si="46"/>
        <v>PRC_RESID</v>
      </c>
      <c r="C339" s="369" t="str">
        <f ca="1">IF($A339="*","",OFFSET(COM_N_2012!$B$60,AW339,0))</f>
        <v>CNKELC-E</v>
      </c>
      <c r="D339" s="369" t="str">
        <f t="shared" ca="1" si="44"/>
        <v>-</v>
      </c>
      <c r="E339" s="369" t="str">
        <f t="shared" ca="1" si="44"/>
        <v>-</v>
      </c>
      <c r="F339" s="369" t="str">
        <f t="shared" ca="1" si="44"/>
        <v>-</v>
      </c>
      <c r="G339" s="369" t="str">
        <f t="shared" ca="1" si="44"/>
        <v>-</v>
      </c>
      <c r="H339" s="369" t="str">
        <f t="shared" ca="1" si="44"/>
        <v>-</v>
      </c>
      <c r="I339" s="370">
        <f t="shared" ca="1" si="44"/>
        <v>0</v>
      </c>
      <c r="J339" s="391">
        <f ca="1">IF($A339="*","",OFFSET(COM_N_2012!$B$60,AW339,SUMIF($B$10:$B$16,B339,$AX$10:$AX$16)))</f>
        <v>0</v>
      </c>
      <c r="K339" s="369" t="str">
        <f ca="1">IF($B339&lt;&gt;"PRC_RESID","",IF(K$7=2005+OFFSET(COM_N_2012!$B$60,$AW339,SUMIF($B$10:$B$16,"NCAP_TLIFE",$AX$10:$AX$16)),0,""))</f>
        <v/>
      </c>
      <c r="L339" s="369" t="str">
        <f ca="1">IF($B339&lt;&gt;"PRC_RESID","",IF(L$7=2005+OFFSET(COM_N_2012!$B$60,$AW339,SUMIF($B$10:$B$16,"NCAP_TLIFE",$AX$10:$AX$16)),0,""))</f>
        <v/>
      </c>
      <c r="M339" s="369" t="str">
        <f ca="1">IF($B339&lt;&gt;"PRC_RESID","",IF(M$7=2005+OFFSET(COM_N_2012!$B$60,$AW339,SUMIF($B$10:$B$16,"NCAP_TLIFE",$AX$10:$AX$16)),0,""))</f>
        <v/>
      </c>
      <c r="N339" s="369" t="str">
        <f ca="1">IF($B339&lt;&gt;"PRC_RESID","",IF(N$7=2005+OFFSET(COM_N_2012!$B$60,$AW339,SUMIF($B$10:$B$16,"NCAP_TLIFE",$AX$10:$AX$16)),0,""))</f>
        <v/>
      </c>
      <c r="O339" s="369" t="str">
        <f ca="1">IF($B339&lt;&gt;"PRC_RESID","",IF(O$7=2005+OFFSET(COM_N_2012!$B$60,$AW339,SUMIF($B$10:$B$16,"NCAP_TLIFE",$AX$10:$AX$16)),0,""))</f>
        <v/>
      </c>
      <c r="P339" s="369" t="str">
        <f ca="1">IF($B339&lt;&gt;"PRC_RESID","",IF(P$7=2005+OFFSET(COM_N_2012!$B$60,$AW339,SUMIF($B$10:$B$16,"NCAP_TLIFE",$AX$10:$AX$16)),0,""))</f>
        <v/>
      </c>
      <c r="Q339" s="369" t="str">
        <f ca="1">IF($B339&lt;&gt;"PRC_RESID","",IF(Q$7=2005+OFFSET(COM_N_2012!$B$60,$AW339,SUMIF($B$10:$B$16,"NCAP_TLIFE",$AX$10:$AX$16)),0,""))</f>
        <v/>
      </c>
      <c r="R339" s="369">
        <f ca="1">IF($B339&lt;&gt;"PRC_RESID","",IF(R$7=2005+OFFSET(COM_N_2012!$B$60,$AW339,SUMIF($B$10:$B$16,"NCAP_TLIFE",$AX$10:$AX$16)),0,""))</f>
        <v>0</v>
      </c>
      <c r="S339" s="369" t="str">
        <f ca="1">IF($B339&lt;&gt;"PRC_RESID","",IF(S$7=2005+OFFSET(COM_N_2012!$B$60,$AW339,SUMIF($B$10:$B$16,"NCAP_TLIFE",$AX$10:$AX$16)),0,""))</f>
        <v/>
      </c>
      <c r="T339" s="369" t="str">
        <f ca="1">IF($B339&lt;&gt;"PRC_RESID","",IF(T$7=2005+OFFSET(COM_N_2012!$B$60,$AW339,SUMIF($B$10:$B$16,"NCAP_TLIFE",$AX$10:$AX$16)),0,""))</f>
        <v/>
      </c>
      <c r="U339" s="369" t="str">
        <f ca="1">IF($B339&lt;&gt;"PRC_RESID","",IF(U$7=2005+OFFSET(COM_N_2012!$B$60,$AW339,SUMIF($B$10:$B$16,"NCAP_TLIFE",$AX$10:$AX$16)),0,""))</f>
        <v/>
      </c>
      <c r="V339" s="369" t="str">
        <f ca="1">IF($B339&lt;&gt;"PRC_RESID","",IF(V$7=2005+OFFSET(COM_N_2012!$B$60,$AW339,SUMIF($B$10:$B$16,"NCAP_TLIFE",$AX$10:$AX$16)),0,""))</f>
        <v/>
      </c>
      <c r="W339" s="369" t="str">
        <f ca="1">IF($B339&lt;&gt;"PRC_RESID","",IF(W$7=2005+OFFSET(COM_N_2012!$B$60,$AW339,SUMIF($B$10:$B$16,"NCAP_TLIFE",$AX$10:$AX$16)),0,""))</f>
        <v/>
      </c>
      <c r="X339" s="369" t="str">
        <f ca="1">IF($B339&lt;&gt;"PRC_RESID","",IF(X$7=2005+OFFSET(COM_N_2012!$B$60,$AW339,SUMIF($B$10:$B$16,"NCAP_TLIFE",$AX$10:$AX$16)),0,""))</f>
        <v/>
      </c>
      <c r="Y339" s="369" t="str">
        <f ca="1">IF($B339&lt;&gt;"PRC_RESID","",IF(Y$7=2005+OFFSET(COM_N_2012!$B$60,$AW339,SUMIF($B$10:$B$16,"NCAP_TLIFE",$AX$10:$AX$16)),0,""))</f>
        <v/>
      </c>
      <c r="Z339" s="369" t="str">
        <f ca="1">IF($B339&lt;&gt;"PRC_RESID","",IF(Z$7=2005+OFFSET(COM_N_2012!$B$60,$AW339,SUMIF($B$10:$B$16,"NCAP_TLIFE",$AX$10:$AX$16)),0,""))</f>
        <v/>
      </c>
      <c r="AA339" s="369" t="str">
        <f ca="1">IF($B339&lt;&gt;"PRC_RESID","",IF(AA$7=2005+OFFSET(COM_N_2012!$B$60,$AW339,SUMIF($B$10:$B$16,"NCAP_TLIFE",$AX$10:$AX$16)),0,""))</f>
        <v/>
      </c>
      <c r="AB339" s="369" t="str">
        <f ca="1">IF($B339&lt;&gt;"PRC_RESID","",IF(AB$7=2005+OFFSET(COM_N_2012!$B$60,$AW339,SUMIF($B$10:$B$16,"NCAP_TLIFE",$AX$10:$AX$16)),0,""))</f>
        <v/>
      </c>
      <c r="AC339" s="369" t="str">
        <f ca="1">IF($B339&lt;&gt;"PRC_RESID","",IF(AC$7=2005+OFFSET(COM_N_2012!$B$60,$AW339,SUMIF($B$10:$B$16,"NCAP_TLIFE",$AX$10:$AX$16)),0,""))</f>
        <v/>
      </c>
      <c r="AD339" s="369" t="str">
        <f ca="1">IF($B339&lt;&gt;"PRC_RESID","",IF(AD$7=2005+OFFSET(COM_N_2012!$B$60,$AW339,SUMIF($B$10:$B$16,"NCAP_TLIFE",$AX$10:$AX$16)),0,""))</f>
        <v/>
      </c>
      <c r="AE339" s="369" t="str">
        <f ca="1">IF($B339&lt;&gt;"PRC_RESID","",IF(AE$7=2005+OFFSET(COM_N_2012!$B$60,$AW339,SUMIF($B$10:$B$16,"NCAP_TLIFE",$AX$10:$AX$16)),0,""))</f>
        <v/>
      </c>
      <c r="AF339" s="369" t="str">
        <f ca="1">IF($B339&lt;&gt;"PRC_RESID","",IF(AF$7=2005+OFFSET(COM_N_2012!$B$60,$AW339,SUMIF($B$10:$B$16,"NCAP_TLIFE",$AX$10:$AX$16)),0,""))</f>
        <v/>
      </c>
      <c r="AG339" s="369" t="str">
        <f ca="1">IF($B339&lt;&gt;"PRC_RESID","",IF(AG$7=2005+OFFSET(COM_N_2012!$B$60,$AW339,SUMIF($B$10:$B$16,"NCAP_TLIFE",$AX$10:$AX$16)),0,""))</f>
        <v/>
      </c>
      <c r="AH339" s="369" t="str">
        <f ca="1">IF($B339&lt;&gt;"PRC_RESID","",IF(AH$7=2005+OFFSET(COM_N_2012!$B$60,$AW339,SUMIF($B$10:$B$16,"NCAP_TLIFE",$AX$10:$AX$16)),0,""))</f>
        <v/>
      </c>
      <c r="AI339" s="369" t="str">
        <f ca="1">IF($B339&lt;&gt;"PRC_RESID","",IF(AI$7=2005+OFFSET(COM_N_2012!$B$60,$AW339,SUMIF($B$10:$B$16,"NCAP_TLIFE",$AX$10:$AX$16)),0,""))</f>
        <v/>
      </c>
      <c r="AJ339" s="369" t="str">
        <f ca="1">IF($B339&lt;&gt;"PRC_RESID","",IF(AJ$7=2005+OFFSET(COM_N_2012!$B$60,$AW339,SUMIF($B$10:$B$16,"NCAP_TLIFE",$AX$10:$AX$16)),0,""))</f>
        <v/>
      </c>
      <c r="AK339" s="369" t="str">
        <f ca="1">IF($B339&lt;&gt;"PRC_RESID","",IF(AK$7=2005+OFFSET(COM_N_2012!$B$60,$AW339,SUMIF($B$10:$B$16,"NCAP_TLIFE",$AX$10:$AX$16)),0,""))</f>
        <v/>
      </c>
      <c r="AL339" s="369" t="str">
        <f ca="1">IF($B339&lt;&gt;"PRC_RESID","",IF(AL$7=2005+OFFSET(COM_N_2012!$B$60,$AW339,SUMIF($B$10:$B$16,"NCAP_TLIFE",$AX$10:$AX$16)),0,""))</f>
        <v/>
      </c>
      <c r="AM339" s="369" t="str">
        <f ca="1">IF($B339&lt;&gt;"PRC_RESID","",IF(AM$7=2005+OFFSET(COM_N_2012!$B$60,$AW339,SUMIF($B$10:$B$16,"NCAP_TLIFE",$AX$10:$AX$16)),0,""))</f>
        <v/>
      </c>
      <c r="AN339" s="369" t="str">
        <f ca="1">IF($B339&lt;&gt;"PRC_RESID","",IF(AN$7=2005+OFFSET(COM_N_2012!$B$60,$AW339,SUMIF($B$10:$B$16,"NCAP_TLIFE",$AX$10:$AX$16)),0,""))</f>
        <v/>
      </c>
      <c r="AO339" s="369" t="str">
        <f ca="1">IF($B339&lt;&gt;"PRC_RESID","",IF(AO$7=2005+OFFSET(COM_N_2012!$B$60,$AW339,SUMIF($B$10:$B$16,"NCAP_TLIFE",$AX$10:$AX$16)),0,""))</f>
        <v/>
      </c>
      <c r="AP339" s="369" t="str">
        <f ca="1">IF($B339&lt;&gt;"PRC_RESID","",IF(AP$7=2005+OFFSET(COM_N_2012!$B$60,$AW339,SUMIF($B$10:$B$16,"NCAP_TLIFE",$AX$10:$AX$16)),0,""))</f>
        <v/>
      </c>
      <c r="AQ339" s="369" t="str">
        <f ca="1">IF($B339&lt;&gt;"PRC_RESID","",IF(AQ$7=2005+OFFSET(COM_N_2012!$B$60,$AW339,SUMIF($B$10:$B$16,"NCAP_TLIFE",$AX$10:$AX$16)),0,""))</f>
        <v/>
      </c>
      <c r="AR339" s="369" t="str">
        <f ca="1">IF($B339&lt;&gt;"PRC_RESID","",IF(AR$7=2005+OFFSET(COM_N_2012!$B$60,$AW339,SUMIF($B$10:$B$16,"NCAP_TLIFE",$AX$10:$AX$16)),0,""))</f>
        <v/>
      </c>
      <c r="AS339" s="369" t="str">
        <f ca="1">IF($B339&lt;&gt;"PRC_RESID","",IF(AS$7=2005+OFFSET(COM_N_2012!$B$60,$AW339,SUMIF($B$10:$B$16,"NCAP_TLIFE",$AX$10:$AX$16)),0,""))</f>
        <v/>
      </c>
      <c r="AT339" s="369" t="str">
        <f ca="1">IF($B339&lt;&gt;"PRC_RESID","",IF(AT$7=2005+OFFSET(COM_N_2012!$B$60,$AW339,SUMIF($B$10:$B$16,"NCAP_TLIFE",$AX$10:$AX$16)),0,""))</f>
        <v/>
      </c>
      <c r="AU339" s="369" t="str">
        <f ca="1">IF($B339&lt;&gt;"PRC_RESID","",IF(AU$7=2005+OFFSET(COM_N_2012!$B$60,$AW339,SUMIF($B$10:$B$16,"NCAP_TLIFE",$AX$10:$AX$16)),0,""))</f>
        <v/>
      </c>
      <c r="AV339" s="304">
        <f>IF(AW338=COM_N_2012!$AK$121,AV338+1,AV338)</f>
        <v>6</v>
      </c>
      <c r="AW339" s="304">
        <f t="shared" si="45"/>
        <v>17</v>
      </c>
    </row>
    <row r="340" spans="1:49">
      <c r="A340" s="304" t="str">
        <f ca="1">IF(LEFT(OFFSET(COM_N_2012!$A$60,AW340,0),2)="\I","*","")</f>
        <v/>
      </c>
      <c r="B340" s="369" t="str">
        <f t="shared" ref="B340:B359" ca="1" si="47">IF(A340="*","",VLOOKUP("*"&amp;AV340,$A$9:$B$16,2,FALSE))</f>
        <v>PRC_RESID</v>
      </c>
      <c r="C340" s="369" t="str">
        <f ca="1">IF($A340="*","",OFFSET(COM_N_2012!$B$60,AW340,0))</f>
        <v>CNKCOA-E</v>
      </c>
      <c r="D340" s="369" t="str">
        <f t="shared" ca="1" si="44"/>
        <v>-</v>
      </c>
      <c r="E340" s="369" t="str">
        <f t="shared" ca="1" si="44"/>
        <v>-</v>
      </c>
      <c r="F340" s="369" t="str">
        <f t="shared" ca="1" si="44"/>
        <v>-</v>
      </c>
      <c r="G340" s="369" t="str">
        <f t="shared" ca="1" si="44"/>
        <v>-</v>
      </c>
      <c r="H340" s="369" t="str">
        <f t="shared" ca="1" si="44"/>
        <v>-</v>
      </c>
      <c r="I340" s="370">
        <f t="shared" ca="1" si="44"/>
        <v>0</v>
      </c>
      <c r="J340" s="391">
        <f ca="1">IF($A340="*","",OFFSET(COM_N_2012!$B$60,AW340,SUMIF($B$10:$B$16,B340,$AX$10:$AX$16)))</f>
        <v>0</v>
      </c>
      <c r="K340" s="369" t="str">
        <f ca="1">IF($B340&lt;&gt;"PRC_RESID","",IF(K$7=2005+OFFSET(COM_N_2012!$B$60,$AW340,SUMIF($B$10:$B$16,"NCAP_TLIFE",$AX$10:$AX$16)),0,""))</f>
        <v/>
      </c>
      <c r="L340" s="369" t="str">
        <f ca="1">IF($B340&lt;&gt;"PRC_RESID","",IF(L$7=2005+OFFSET(COM_N_2012!$B$60,$AW340,SUMIF($B$10:$B$16,"NCAP_TLIFE",$AX$10:$AX$16)),0,""))</f>
        <v/>
      </c>
      <c r="M340" s="369" t="str">
        <f ca="1">IF($B340&lt;&gt;"PRC_RESID","",IF(M$7=2005+OFFSET(COM_N_2012!$B$60,$AW340,SUMIF($B$10:$B$16,"NCAP_TLIFE",$AX$10:$AX$16)),0,""))</f>
        <v/>
      </c>
      <c r="N340" s="369" t="str">
        <f ca="1">IF($B340&lt;&gt;"PRC_RESID","",IF(N$7=2005+OFFSET(COM_N_2012!$B$60,$AW340,SUMIF($B$10:$B$16,"NCAP_TLIFE",$AX$10:$AX$16)),0,""))</f>
        <v/>
      </c>
      <c r="O340" s="369" t="str">
        <f ca="1">IF($B340&lt;&gt;"PRC_RESID","",IF(O$7=2005+OFFSET(COM_N_2012!$B$60,$AW340,SUMIF($B$10:$B$16,"NCAP_TLIFE",$AX$10:$AX$16)),0,""))</f>
        <v/>
      </c>
      <c r="P340" s="369" t="str">
        <f ca="1">IF($B340&lt;&gt;"PRC_RESID","",IF(P$7=2005+OFFSET(COM_N_2012!$B$60,$AW340,SUMIF($B$10:$B$16,"NCAP_TLIFE",$AX$10:$AX$16)),0,""))</f>
        <v/>
      </c>
      <c r="Q340" s="369" t="str">
        <f ca="1">IF($B340&lt;&gt;"PRC_RESID","",IF(Q$7=2005+OFFSET(COM_N_2012!$B$60,$AW340,SUMIF($B$10:$B$16,"NCAP_TLIFE",$AX$10:$AX$16)),0,""))</f>
        <v/>
      </c>
      <c r="R340" s="369">
        <f ca="1">IF($B340&lt;&gt;"PRC_RESID","",IF(R$7=2005+OFFSET(COM_N_2012!$B$60,$AW340,SUMIF($B$10:$B$16,"NCAP_TLIFE",$AX$10:$AX$16)),0,""))</f>
        <v>0</v>
      </c>
      <c r="S340" s="369" t="str">
        <f ca="1">IF($B340&lt;&gt;"PRC_RESID","",IF(S$7=2005+OFFSET(COM_N_2012!$B$60,$AW340,SUMIF($B$10:$B$16,"NCAP_TLIFE",$AX$10:$AX$16)),0,""))</f>
        <v/>
      </c>
      <c r="T340" s="369" t="str">
        <f ca="1">IF($B340&lt;&gt;"PRC_RESID","",IF(T$7=2005+OFFSET(COM_N_2012!$B$60,$AW340,SUMIF($B$10:$B$16,"NCAP_TLIFE",$AX$10:$AX$16)),0,""))</f>
        <v/>
      </c>
      <c r="U340" s="369" t="str">
        <f ca="1">IF($B340&lt;&gt;"PRC_RESID","",IF(U$7=2005+OFFSET(COM_N_2012!$B$60,$AW340,SUMIF($B$10:$B$16,"NCAP_TLIFE",$AX$10:$AX$16)),0,""))</f>
        <v/>
      </c>
      <c r="V340" s="369" t="str">
        <f ca="1">IF($B340&lt;&gt;"PRC_RESID","",IF(V$7=2005+OFFSET(COM_N_2012!$B$60,$AW340,SUMIF($B$10:$B$16,"NCAP_TLIFE",$AX$10:$AX$16)),0,""))</f>
        <v/>
      </c>
      <c r="W340" s="369" t="str">
        <f ca="1">IF($B340&lt;&gt;"PRC_RESID","",IF(W$7=2005+OFFSET(COM_N_2012!$B$60,$AW340,SUMIF($B$10:$B$16,"NCAP_TLIFE",$AX$10:$AX$16)),0,""))</f>
        <v/>
      </c>
      <c r="X340" s="369" t="str">
        <f ca="1">IF($B340&lt;&gt;"PRC_RESID","",IF(X$7=2005+OFFSET(COM_N_2012!$B$60,$AW340,SUMIF($B$10:$B$16,"NCAP_TLIFE",$AX$10:$AX$16)),0,""))</f>
        <v/>
      </c>
      <c r="Y340" s="369" t="str">
        <f ca="1">IF($B340&lt;&gt;"PRC_RESID","",IF(Y$7=2005+OFFSET(COM_N_2012!$B$60,$AW340,SUMIF($B$10:$B$16,"NCAP_TLIFE",$AX$10:$AX$16)),0,""))</f>
        <v/>
      </c>
      <c r="Z340" s="369" t="str">
        <f ca="1">IF($B340&lt;&gt;"PRC_RESID","",IF(Z$7=2005+OFFSET(COM_N_2012!$B$60,$AW340,SUMIF($B$10:$B$16,"NCAP_TLIFE",$AX$10:$AX$16)),0,""))</f>
        <v/>
      </c>
      <c r="AA340" s="369" t="str">
        <f ca="1">IF($B340&lt;&gt;"PRC_RESID","",IF(AA$7=2005+OFFSET(COM_N_2012!$B$60,$AW340,SUMIF($B$10:$B$16,"NCAP_TLIFE",$AX$10:$AX$16)),0,""))</f>
        <v/>
      </c>
      <c r="AB340" s="369" t="str">
        <f ca="1">IF($B340&lt;&gt;"PRC_RESID","",IF(AB$7=2005+OFFSET(COM_N_2012!$B$60,$AW340,SUMIF($B$10:$B$16,"NCAP_TLIFE",$AX$10:$AX$16)),0,""))</f>
        <v/>
      </c>
      <c r="AC340" s="369" t="str">
        <f ca="1">IF($B340&lt;&gt;"PRC_RESID","",IF(AC$7=2005+OFFSET(COM_N_2012!$B$60,$AW340,SUMIF($B$10:$B$16,"NCAP_TLIFE",$AX$10:$AX$16)),0,""))</f>
        <v/>
      </c>
      <c r="AD340" s="369" t="str">
        <f ca="1">IF($B340&lt;&gt;"PRC_RESID","",IF(AD$7=2005+OFFSET(COM_N_2012!$B$60,$AW340,SUMIF($B$10:$B$16,"NCAP_TLIFE",$AX$10:$AX$16)),0,""))</f>
        <v/>
      </c>
      <c r="AE340" s="369" t="str">
        <f ca="1">IF($B340&lt;&gt;"PRC_RESID","",IF(AE$7=2005+OFFSET(COM_N_2012!$B$60,$AW340,SUMIF($B$10:$B$16,"NCAP_TLIFE",$AX$10:$AX$16)),0,""))</f>
        <v/>
      </c>
      <c r="AF340" s="369" t="str">
        <f ca="1">IF($B340&lt;&gt;"PRC_RESID","",IF(AF$7=2005+OFFSET(COM_N_2012!$B$60,$AW340,SUMIF($B$10:$B$16,"NCAP_TLIFE",$AX$10:$AX$16)),0,""))</f>
        <v/>
      </c>
      <c r="AG340" s="369" t="str">
        <f ca="1">IF($B340&lt;&gt;"PRC_RESID","",IF(AG$7=2005+OFFSET(COM_N_2012!$B$60,$AW340,SUMIF($B$10:$B$16,"NCAP_TLIFE",$AX$10:$AX$16)),0,""))</f>
        <v/>
      </c>
      <c r="AH340" s="369" t="str">
        <f ca="1">IF($B340&lt;&gt;"PRC_RESID","",IF(AH$7=2005+OFFSET(COM_N_2012!$B$60,$AW340,SUMIF($B$10:$B$16,"NCAP_TLIFE",$AX$10:$AX$16)),0,""))</f>
        <v/>
      </c>
      <c r="AI340" s="369" t="str">
        <f ca="1">IF($B340&lt;&gt;"PRC_RESID","",IF(AI$7=2005+OFFSET(COM_N_2012!$B$60,$AW340,SUMIF($B$10:$B$16,"NCAP_TLIFE",$AX$10:$AX$16)),0,""))</f>
        <v/>
      </c>
      <c r="AJ340" s="369" t="str">
        <f ca="1">IF($B340&lt;&gt;"PRC_RESID","",IF(AJ$7=2005+OFFSET(COM_N_2012!$B$60,$AW340,SUMIF($B$10:$B$16,"NCAP_TLIFE",$AX$10:$AX$16)),0,""))</f>
        <v/>
      </c>
      <c r="AK340" s="369" t="str">
        <f ca="1">IF($B340&lt;&gt;"PRC_RESID","",IF(AK$7=2005+OFFSET(COM_N_2012!$B$60,$AW340,SUMIF($B$10:$B$16,"NCAP_TLIFE",$AX$10:$AX$16)),0,""))</f>
        <v/>
      </c>
      <c r="AL340" s="369" t="str">
        <f ca="1">IF($B340&lt;&gt;"PRC_RESID","",IF(AL$7=2005+OFFSET(COM_N_2012!$B$60,$AW340,SUMIF($B$10:$B$16,"NCAP_TLIFE",$AX$10:$AX$16)),0,""))</f>
        <v/>
      </c>
      <c r="AM340" s="369" t="str">
        <f ca="1">IF($B340&lt;&gt;"PRC_RESID","",IF(AM$7=2005+OFFSET(COM_N_2012!$B$60,$AW340,SUMIF($B$10:$B$16,"NCAP_TLIFE",$AX$10:$AX$16)),0,""))</f>
        <v/>
      </c>
      <c r="AN340" s="369" t="str">
        <f ca="1">IF($B340&lt;&gt;"PRC_RESID","",IF(AN$7=2005+OFFSET(COM_N_2012!$B$60,$AW340,SUMIF($B$10:$B$16,"NCAP_TLIFE",$AX$10:$AX$16)),0,""))</f>
        <v/>
      </c>
      <c r="AO340" s="369" t="str">
        <f ca="1">IF($B340&lt;&gt;"PRC_RESID","",IF(AO$7=2005+OFFSET(COM_N_2012!$B$60,$AW340,SUMIF($B$10:$B$16,"NCAP_TLIFE",$AX$10:$AX$16)),0,""))</f>
        <v/>
      </c>
      <c r="AP340" s="369" t="str">
        <f ca="1">IF($B340&lt;&gt;"PRC_RESID","",IF(AP$7=2005+OFFSET(COM_N_2012!$B$60,$AW340,SUMIF($B$10:$B$16,"NCAP_TLIFE",$AX$10:$AX$16)),0,""))</f>
        <v/>
      </c>
      <c r="AQ340" s="369" t="str">
        <f ca="1">IF($B340&lt;&gt;"PRC_RESID","",IF(AQ$7=2005+OFFSET(COM_N_2012!$B$60,$AW340,SUMIF($B$10:$B$16,"NCAP_TLIFE",$AX$10:$AX$16)),0,""))</f>
        <v/>
      </c>
      <c r="AR340" s="369" t="str">
        <f ca="1">IF($B340&lt;&gt;"PRC_RESID","",IF(AR$7=2005+OFFSET(COM_N_2012!$B$60,$AW340,SUMIF($B$10:$B$16,"NCAP_TLIFE",$AX$10:$AX$16)),0,""))</f>
        <v/>
      </c>
      <c r="AS340" s="369" t="str">
        <f ca="1">IF($B340&lt;&gt;"PRC_RESID","",IF(AS$7=2005+OFFSET(COM_N_2012!$B$60,$AW340,SUMIF($B$10:$B$16,"NCAP_TLIFE",$AX$10:$AX$16)),0,""))</f>
        <v/>
      </c>
      <c r="AT340" s="369" t="str">
        <f ca="1">IF($B340&lt;&gt;"PRC_RESID","",IF(AT$7=2005+OFFSET(COM_N_2012!$B$60,$AW340,SUMIF($B$10:$B$16,"NCAP_TLIFE",$AX$10:$AX$16)),0,""))</f>
        <v/>
      </c>
      <c r="AU340" s="369" t="str">
        <f ca="1">IF($B340&lt;&gt;"PRC_RESID","",IF(AU$7=2005+OFFSET(COM_N_2012!$B$60,$AW340,SUMIF($B$10:$B$16,"NCAP_TLIFE",$AX$10:$AX$16)),0,""))</f>
        <v/>
      </c>
      <c r="AV340" s="304">
        <f>IF(AW339=COM_N_2012!$AK$121,AV339+1,AV339)</f>
        <v>6</v>
      </c>
      <c r="AW340" s="304">
        <f t="shared" si="45"/>
        <v>18</v>
      </c>
    </row>
    <row r="341" spans="1:49">
      <c r="A341" s="304" t="str">
        <f ca="1">IF(LEFT(OFFSET(COM_N_2012!$A$60,AW341,0),2)="\I","*","")</f>
        <v>*</v>
      </c>
      <c r="B341" s="369" t="str">
        <f t="shared" ca="1" si="47"/>
        <v/>
      </c>
      <c r="C341" s="369" t="str">
        <f ca="1">IF($A341="*","",OFFSET(COM_N_2012!$B$60,AW341,0))</f>
        <v/>
      </c>
      <c r="D341" s="369" t="str">
        <f t="shared" ca="1" si="44"/>
        <v/>
      </c>
      <c r="E341" s="369" t="str">
        <f t="shared" ca="1" si="44"/>
        <v/>
      </c>
      <c r="F341" s="369" t="str">
        <f t="shared" ca="1" si="44"/>
        <v/>
      </c>
      <c r="G341" s="369" t="str">
        <f t="shared" ca="1" si="44"/>
        <v/>
      </c>
      <c r="H341" s="369" t="str">
        <f t="shared" ca="1" si="44"/>
        <v/>
      </c>
      <c r="I341" s="370" t="str">
        <f t="shared" ca="1" si="44"/>
        <v/>
      </c>
      <c r="J341" s="391" t="str">
        <f ca="1">IF($A341="*","",OFFSET(COM_N_2012!$B$60,AW341,SUMIF($B$10:$B$16,B341,$AX$10:$AX$16)))</f>
        <v/>
      </c>
      <c r="K341" s="369" t="str">
        <f ca="1">IF($B341&lt;&gt;"PRC_RESID","",IF(K$7=2005+OFFSET(COM_N_2012!$B$60,$AW341,SUMIF($B$10:$B$16,"NCAP_TLIFE",$AX$10:$AX$16)),0,""))</f>
        <v/>
      </c>
      <c r="L341" s="369" t="str">
        <f ca="1">IF($B341&lt;&gt;"PRC_RESID","",IF(L$7=2005+OFFSET(COM_N_2012!$B$60,$AW341,SUMIF($B$10:$B$16,"NCAP_TLIFE",$AX$10:$AX$16)),0,""))</f>
        <v/>
      </c>
      <c r="M341" s="369" t="str">
        <f ca="1">IF($B341&lt;&gt;"PRC_RESID","",IF(M$7=2005+OFFSET(COM_N_2012!$B$60,$AW341,SUMIF($B$10:$B$16,"NCAP_TLIFE",$AX$10:$AX$16)),0,""))</f>
        <v/>
      </c>
      <c r="N341" s="369" t="str">
        <f ca="1">IF($B341&lt;&gt;"PRC_RESID","",IF(N$7=2005+OFFSET(COM_N_2012!$B$60,$AW341,SUMIF($B$10:$B$16,"NCAP_TLIFE",$AX$10:$AX$16)),0,""))</f>
        <v/>
      </c>
      <c r="O341" s="369" t="str">
        <f ca="1">IF($B341&lt;&gt;"PRC_RESID","",IF(O$7=2005+OFFSET(COM_N_2012!$B$60,$AW341,SUMIF($B$10:$B$16,"NCAP_TLIFE",$AX$10:$AX$16)),0,""))</f>
        <v/>
      </c>
      <c r="P341" s="369" t="str">
        <f ca="1">IF($B341&lt;&gt;"PRC_RESID","",IF(P$7=2005+OFFSET(COM_N_2012!$B$60,$AW341,SUMIF($B$10:$B$16,"NCAP_TLIFE",$AX$10:$AX$16)),0,""))</f>
        <v/>
      </c>
      <c r="Q341" s="369" t="str">
        <f ca="1">IF($B341&lt;&gt;"PRC_RESID","",IF(Q$7=2005+OFFSET(COM_N_2012!$B$60,$AW341,SUMIF($B$10:$B$16,"NCAP_TLIFE",$AX$10:$AX$16)),0,""))</f>
        <v/>
      </c>
      <c r="R341" s="369" t="str">
        <f ca="1">IF($B341&lt;&gt;"PRC_RESID","",IF(R$7=2005+OFFSET(COM_N_2012!$B$60,$AW341,SUMIF($B$10:$B$16,"NCAP_TLIFE",$AX$10:$AX$16)),0,""))</f>
        <v/>
      </c>
      <c r="S341" s="369" t="str">
        <f ca="1">IF($B341&lt;&gt;"PRC_RESID","",IF(S$7=2005+OFFSET(COM_N_2012!$B$60,$AW341,SUMIF($B$10:$B$16,"NCAP_TLIFE",$AX$10:$AX$16)),0,""))</f>
        <v/>
      </c>
      <c r="T341" s="369" t="str">
        <f ca="1">IF($B341&lt;&gt;"PRC_RESID","",IF(T$7=2005+OFFSET(COM_N_2012!$B$60,$AW341,SUMIF($B$10:$B$16,"NCAP_TLIFE",$AX$10:$AX$16)),0,""))</f>
        <v/>
      </c>
      <c r="U341" s="369" t="str">
        <f ca="1">IF($B341&lt;&gt;"PRC_RESID","",IF(U$7=2005+OFFSET(COM_N_2012!$B$60,$AW341,SUMIF($B$10:$B$16,"NCAP_TLIFE",$AX$10:$AX$16)),0,""))</f>
        <v/>
      </c>
      <c r="V341" s="369" t="str">
        <f ca="1">IF($B341&lt;&gt;"PRC_RESID","",IF(V$7=2005+OFFSET(COM_N_2012!$B$60,$AW341,SUMIF($B$10:$B$16,"NCAP_TLIFE",$AX$10:$AX$16)),0,""))</f>
        <v/>
      </c>
      <c r="W341" s="369" t="str">
        <f ca="1">IF($B341&lt;&gt;"PRC_RESID","",IF(W$7=2005+OFFSET(COM_N_2012!$B$60,$AW341,SUMIF($B$10:$B$16,"NCAP_TLIFE",$AX$10:$AX$16)),0,""))</f>
        <v/>
      </c>
      <c r="X341" s="369" t="str">
        <f ca="1">IF($B341&lt;&gt;"PRC_RESID","",IF(X$7=2005+OFFSET(COM_N_2012!$B$60,$AW341,SUMIF($B$10:$B$16,"NCAP_TLIFE",$AX$10:$AX$16)),0,""))</f>
        <v/>
      </c>
      <c r="Y341" s="369" t="str">
        <f ca="1">IF($B341&lt;&gt;"PRC_RESID","",IF(Y$7=2005+OFFSET(COM_N_2012!$B$60,$AW341,SUMIF($B$10:$B$16,"NCAP_TLIFE",$AX$10:$AX$16)),0,""))</f>
        <v/>
      </c>
      <c r="Z341" s="369" t="str">
        <f ca="1">IF($B341&lt;&gt;"PRC_RESID","",IF(Z$7=2005+OFFSET(COM_N_2012!$B$60,$AW341,SUMIF($B$10:$B$16,"NCAP_TLIFE",$AX$10:$AX$16)),0,""))</f>
        <v/>
      </c>
      <c r="AA341" s="369" t="str">
        <f ca="1">IF($B341&lt;&gt;"PRC_RESID","",IF(AA$7=2005+OFFSET(COM_N_2012!$B$60,$AW341,SUMIF($B$10:$B$16,"NCAP_TLIFE",$AX$10:$AX$16)),0,""))</f>
        <v/>
      </c>
      <c r="AB341" s="369" t="str">
        <f ca="1">IF($B341&lt;&gt;"PRC_RESID","",IF(AB$7=2005+OFFSET(COM_N_2012!$B$60,$AW341,SUMIF($B$10:$B$16,"NCAP_TLIFE",$AX$10:$AX$16)),0,""))</f>
        <v/>
      </c>
      <c r="AC341" s="369" t="str">
        <f ca="1">IF($B341&lt;&gt;"PRC_RESID","",IF(AC$7=2005+OFFSET(COM_N_2012!$B$60,$AW341,SUMIF($B$10:$B$16,"NCAP_TLIFE",$AX$10:$AX$16)),0,""))</f>
        <v/>
      </c>
      <c r="AD341" s="369" t="str">
        <f ca="1">IF($B341&lt;&gt;"PRC_RESID","",IF(AD$7=2005+OFFSET(COM_N_2012!$B$60,$AW341,SUMIF($B$10:$B$16,"NCAP_TLIFE",$AX$10:$AX$16)),0,""))</f>
        <v/>
      </c>
      <c r="AE341" s="369" t="str">
        <f ca="1">IF($B341&lt;&gt;"PRC_RESID","",IF(AE$7=2005+OFFSET(COM_N_2012!$B$60,$AW341,SUMIF($B$10:$B$16,"NCAP_TLIFE",$AX$10:$AX$16)),0,""))</f>
        <v/>
      </c>
      <c r="AF341" s="369" t="str">
        <f ca="1">IF($B341&lt;&gt;"PRC_RESID","",IF(AF$7=2005+OFFSET(COM_N_2012!$B$60,$AW341,SUMIF($B$10:$B$16,"NCAP_TLIFE",$AX$10:$AX$16)),0,""))</f>
        <v/>
      </c>
      <c r="AG341" s="369" t="str">
        <f ca="1">IF($B341&lt;&gt;"PRC_RESID","",IF(AG$7=2005+OFFSET(COM_N_2012!$B$60,$AW341,SUMIF($B$10:$B$16,"NCAP_TLIFE",$AX$10:$AX$16)),0,""))</f>
        <v/>
      </c>
      <c r="AH341" s="369" t="str">
        <f ca="1">IF($B341&lt;&gt;"PRC_RESID","",IF(AH$7=2005+OFFSET(COM_N_2012!$B$60,$AW341,SUMIF($B$10:$B$16,"NCAP_TLIFE",$AX$10:$AX$16)),0,""))</f>
        <v/>
      </c>
      <c r="AI341" s="369" t="str">
        <f ca="1">IF($B341&lt;&gt;"PRC_RESID","",IF(AI$7=2005+OFFSET(COM_N_2012!$B$60,$AW341,SUMIF($B$10:$B$16,"NCAP_TLIFE",$AX$10:$AX$16)),0,""))</f>
        <v/>
      </c>
      <c r="AJ341" s="369" t="str">
        <f ca="1">IF($B341&lt;&gt;"PRC_RESID","",IF(AJ$7=2005+OFFSET(COM_N_2012!$B$60,$AW341,SUMIF($B$10:$B$16,"NCAP_TLIFE",$AX$10:$AX$16)),0,""))</f>
        <v/>
      </c>
      <c r="AK341" s="369" t="str">
        <f ca="1">IF($B341&lt;&gt;"PRC_RESID","",IF(AK$7=2005+OFFSET(COM_N_2012!$B$60,$AW341,SUMIF($B$10:$B$16,"NCAP_TLIFE",$AX$10:$AX$16)),0,""))</f>
        <v/>
      </c>
      <c r="AL341" s="369" t="str">
        <f ca="1">IF($B341&lt;&gt;"PRC_RESID","",IF(AL$7=2005+OFFSET(COM_N_2012!$B$60,$AW341,SUMIF($B$10:$B$16,"NCAP_TLIFE",$AX$10:$AX$16)),0,""))</f>
        <v/>
      </c>
      <c r="AM341" s="369" t="str">
        <f ca="1">IF($B341&lt;&gt;"PRC_RESID","",IF(AM$7=2005+OFFSET(COM_N_2012!$B$60,$AW341,SUMIF($B$10:$B$16,"NCAP_TLIFE",$AX$10:$AX$16)),0,""))</f>
        <v/>
      </c>
      <c r="AN341" s="369" t="str">
        <f ca="1">IF($B341&lt;&gt;"PRC_RESID","",IF(AN$7=2005+OFFSET(COM_N_2012!$B$60,$AW341,SUMIF($B$10:$B$16,"NCAP_TLIFE",$AX$10:$AX$16)),0,""))</f>
        <v/>
      </c>
      <c r="AO341" s="369" t="str">
        <f ca="1">IF($B341&lt;&gt;"PRC_RESID","",IF(AO$7=2005+OFFSET(COM_N_2012!$B$60,$AW341,SUMIF($B$10:$B$16,"NCAP_TLIFE",$AX$10:$AX$16)),0,""))</f>
        <v/>
      </c>
      <c r="AP341" s="369" t="str">
        <f ca="1">IF($B341&lt;&gt;"PRC_RESID","",IF(AP$7=2005+OFFSET(COM_N_2012!$B$60,$AW341,SUMIF($B$10:$B$16,"NCAP_TLIFE",$AX$10:$AX$16)),0,""))</f>
        <v/>
      </c>
      <c r="AQ341" s="369" t="str">
        <f ca="1">IF($B341&lt;&gt;"PRC_RESID","",IF(AQ$7=2005+OFFSET(COM_N_2012!$B$60,$AW341,SUMIF($B$10:$B$16,"NCAP_TLIFE",$AX$10:$AX$16)),0,""))</f>
        <v/>
      </c>
      <c r="AR341" s="369" t="str">
        <f ca="1">IF($B341&lt;&gt;"PRC_RESID","",IF(AR$7=2005+OFFSET(COM_N_2012!$B$60,$AW341,SUMIF($B$10:$B$16,"NCAP_TLIFE",$AX$10:$AX$16)),0,""))</f>
        <v/>
      </c>
      <c r="AS341" s="369" t="str">
        <f ca="1">IF($B341&lt;&gt;"PRC_RESID","",IF(AS$7=2005+OFFSET(COM_N_2012!$B$60,$AW341,SUMIF($B$10:$B$16,"NCAP_TLIFE",$AX$10:$AX$16)),0,""))</f>
        <v/>
      </c>
      <c r="AT341" s="369" t="str">
        <f ca="1">IF($B341&lt;&gt;"PRC_RESID","",IF(AT$7=2005+OFFSET(COM_N_2012!$B$60,$AW341,SUMIF($B$10:$B$16,"NCAP_TLIFE",$AX$10:$AX$16)),0,""))</f>
        <v/>
      </c>
      <c r="AU341" s="369" t="str">
        <f ca="1">IF($B341&lt;&gt;"PRC_RESID","",IF(AU$7=2005+OFFSET(COM_N_2012!$B$60,$AW341,SUMIF($B$10:$B$16,"NCAP_TLIFE",$AX$10:$AX$16)),0,""))</f>
        <v/>
      </c>
      <c r="AV341" s="304">
        <f>IF(AW340=COM_N_2012!$AK$121,AV340+1,AV340)</f>
        <v>6</v>
      </c>
      <c r="AW341" s="304">
        <f t="shared" si="45"/>
        <v>19</v>
      </c>
    </row>
    <row r="342" spans="1:49">
      <c r="A342" s="304" t="str">
        <f ca="1">IF(LEFT(OFFSET(COM_N_2012!$A$60,AW342,0),2)="\I","*","")</f>
        <v>*</v>
      </c>
      <c r="B342" s="369" t="str">
        <f t="shared" ca="1" si="47"/>
        <v/>
      </c>
      <c r="C342" s="369" t="str">
        <f ca="1">IF($A342="*","",OFFSET(COM_N_2012!$B$60,AW342,0))</f>
        <v/>
      </c>
      <c r="D342" s="369" t="str">
        <f t="shared" ca="1" si="44"/>
        <v/>
      </c>
      <c r="E342" s="369" t="str">
        <f t="shared" ca="1" si="44"/>
        <v/>
      </c>
      <c r="F342" s="369" t="str">
        <f t="shared" ca="1" si="44"/>
        <v/>
      </c>
      <c r="G342" s="369" t="str">
        <f t="shared" ca="1" si="44"/>
        <v/>
      </c>
      <c r="H342" s="369" t="str">
        <f t="shared" ca="1" si="44"/>
        <v/>
      </c>
      <c r="I342" s="370" t="str">
        <f t="shared" ca="1" si="44"/>
        <v/>
      </c>
      <c r="J342" s="391" t="str">
        <f ca="1">IF($A342="*","",OFFSET(COM_N_2012!$B$60,AW342,SUMIF($B$10:$B$16,B342,$AX$10:$AX$16)))</f>
        <v/>
      </c>
      <c r="K342" s="369" t="str">
        <f ca="1">IF($B342&lt;&gt;"PRC_RESID","",IF(K$7=2005+OFFSET(COM_N_2012!$B$60,$AW342,SUMIF($B$10:$B$16,"NCAP_TLIFE",$AX$10:$AX$16)),0,""))</f>
        <v/>
      </c>
      <c r="L342" s="369" t="str">
        <f ca="1">IF($B342&lt;&gt;"PRC_RESID","",IF(L$7=2005+OFFSET(COM_N_2012!$B$60,$AW342,SUMIF($B$10:$B$16,"NCAP_TLIFE",$AX$10:$AX$16)),0,""))</f>
        <v/>
      </c>
      <c r="M342" s="369" t="str">
        <f ca="1">IF($B342&lt;&gt;"PRC_RESID","",IF(M$7=2005+OFFSET(COM_N_2012!$B$60,$AW342,SUMIF($B$10:$B$16,"NCAP_TLIFE",$AX$10:$AX$16)),0,""))</f>
        <v/>
      </c>
      <c r="N342" s="369" t="str">
        <f ca="1">IF($B342&lt;&gt;"PRC_RESID","",IF(N$7=2005+OFFSET(COM_N_2012!$B$60,$AW342,SUMIF($B$10:$B$16,"NCAP_TLIFE",$AX$10:$AX$16)),0,""))</f>
        <v/>
      </c>
      <c r="O342" s="369" t="str">
        <f ca="1">IF($B342&lt;&gt;"PRC_RESID","",IF(O$7=2005+OFFSET(COM_N_2012!$B$60,$AW342,SUMIF($B$10:$B$16,"NCAP_TLIFE",$AX$10:$AX$16)),0,""))</f>
        <v/>
      </c>
      <c r="P342" s="369" t="str">
        <f ca="1">IF($B342&lt;&gt;"PRC_RESID","",IF(P$7=2005+OFFSET(COM_N_2012!$B$60,$AW342,SUMIF($B$10:$B$16,"NCAP_TLIFE",$AX$10:$AX$16)),0,""))</f>
        <v/>
      </c>
      <c r="Q342" s="369" t="str">
        <f ca="1">IF($B342&lt;&gt;"PRC_RESID","",IF(Q$7=2005+OFFSET(COM_N_2012!$B$60,$AW342,SUMIF($B$10:$B$16,"NCAP_TLIFE",$AX$10:$AX$16)),0,""))</f>
        <v/>
      </c>
      <c r="R342" s="369" t="str">
        <f ca="1">IF($B342&lt;&gt;"PRC_RESID","",IF(R$7=2005+OFFSET(COM_N_2012!$B$60,$AW342,SUMIF($B$10:$B$16,"NCAP_TLIFE",$AX$10:$AX$16)),0,""))</f>
        <v/>
      </c>
      <c r="S342" s="369" t="str">
        <f ca="1">IF($B342&lt;&gt;"PRC_RESID","",IF(S$7=2005+OFFSET(COM_N_2012!$B$60,$AW342,SUMIF($B$10:$B$16,"NCAP_TLIFE",$AX$10:$AX$16)),0,""))</f>
        <v/>
      </c>
      <c r="T342" s="369" t="str">
        <f ca="1">IF($B342&lt;&gt;"PRC_RESID","",IF(T$7=2005+OFFSET(COM_N_2012!$B$60,$AW342,SUMIF($B$10:$B$16,"NCAP_TLIFE",$AX$10:$AX$16)),0,""))</f>
        <v/>
      </c>
      <c r="U342" s="369" t="str">
        <f ca="1">IF($B342&lt;&gt;"PRC_RESID","",IF(U$7=2005+OFFSET(COM_N_2012!$B$60,$AW342,SUMIF($B$10:$B$16,"NCAP_TLIFE",$AX$10:$AX$16)),0,""))</f>
        <v/>
      </c>
      <c r="V342" s="369" t="str">
        <f ca="1">IF($B342&lt;&gt;"PRC_RESID","",IF(V$7=2005+OFFSET(COM_N_2012!$B$60,$AW342,SUMIF($B$10:$B$16,"NCAP_TLIFE",$AX$10:$AX$16)),0,""))</f>
        <v/>
      </c>
      <c r="W342" s="369" t="str">
        <f ca="1">IF($B342&lt;&gt;"PRC_RESID","",IF(W$7=2005+OFFSET(COM_N_2012!$B$60,$AW342,SUMIF($B$10:$B$16,"NCAP_TLIFE",$AX$10:$AX$16)),0,""))</f>
        <v/>
      </c>
      <c r="X342" s="369" t="str">
        <f ca="1">IF($B342&lt;&gt;"PRC_RESID","",IF(X$7=2005+OFFSET(COM_N_2012!$B$60,$AW342,SUMIF($B$10:$B$16,"NCAP_TLIFE",$AX$10:$AX$16)),0,""))</f>
        <v/>
      </c>
      <c r="Y342" s="369" t="str">
        <f ca="1">IF($B342&lt;&gt;"PRC_RESID","",IF(Y$7=2005+OFFSET(COM_N_2012!$B$60,$AW342,SUMIF($B$10:$B$16,"NCAP_TLIFE",$AX$10:$AX$16)),0,""))</f>
        <v/>
      </c>
      <c r="Z342" s="369" t="str">
        <f ca="1">IF($B342&lt;&gt;"PRC_RESID","",IF(Z$7=2005+OFFSET(COM_N_2012!$B$60,$AW342,SUMIF($B$10:$B$16,"NCAP_TLIFE",$AX$10:$AX$16)),0,""))</f>
        <v/>
      </c>
      <c r="AA342" s="369" t="str">
        <f ca="1">IF($B342&lt;&gt;"PRC_RESID","",IF(AA$7=2005+OFFSET(COM_N_2012!$B$60,$AW342,SUMIF($B$10:$B$16,"NCAP_TLIFE",$AX$10:$AX$16)),0,""))</f>
        <v/>
      </c>
      <c r="AB342" s="369" t="str">
        <f ca="1">IF($B342&lt;&gt;"PRC_RESID","",IF(AB$7=2005+OFFSET(COM_N_2012!$B$60,$AW342,SUMIF($B$10:$B$16,"NCAP_TLIFE",$AX$10:$AX$16)),0,""))</f>
        <v/>
      </c>
      <c r="AC342" s="369" t="str">
        <f ca="1">IF($B342&lt;&gt;"PRC_RESID","",IF(AC$7=2005+OFFSET(COM_N_2012!$B$60,$AW342,SUMIF($B$10:$B$16,"NCAP_TLIFE",$AX$10:$AX$16)),0,""))</f>
        <v/>
      </c>
      <c r="AD342" s="369" t="str">
        <f ca="1">IF($B342&lt;&gt;"PRC_RESID","",IF(AD$7=2005+OFFSET(COM_N_2012!$B$60,$AW342,SUMIF($B$10:$B$16,"NCAP_TLIFE",$AX$10:$AX$16)),0,""))</f>
        <v/>
      </c>
      <c r="AE342" s="369" t="str">
        <f ca="1">IF($B342&lt;&gt;"PRC_RESID","",IF(AE$7=2005+OFFSET(COM_N_2012!$B$60,$AW342,SUMIF($B$10:$B$16,"NCAP_TLIFE",$AX$10:$AX$16)),0,""))</f>
        <v/>
      </c>
      <c r="AF342" s="369" t="str">
        <f ca="1">IF($B342&lt;&gt;"PRC_RESID","",IF(AF$7=2005+OFFSET(COM_N_2012!$B$60,$AW342,SUMIF($B$10:$B$16,"NCAP_TLIFE",$AX$10:$AX$16)),0,""))</f>
        <v/>
      </c>
      <c r="AG342" s="369" t="str">
        <f ca="1">IF($B342&lt;&gt;"PRC_RESID","",IF(AG$7=2005+OFFSET(COM_N_2012!$B$60,$AW342,SUMIF($B$10:$B$16,"NCAP_TLIFE",$AX$10:$AX$16)),0,""))</f>
        <v/>
      </c>
      <c r="AH342" s="369" t="str">
        <f ca="1">IF($B342&lt;&gt;"PRC_RESID","",IF(AH$7=2005+OFFSET(COM_N_2012!$B$60,$AW342,SUMIF($B$10:$B$16,"NCAP_TLIFE",$AX$10:$AX$16)),0,""))</f>
        <v/>
      </c>
      <c r="AI342" s="369" t="str">
        <f ca="1">IF($B342&lt;&gt;"PRC_RESID","",IF(AI$7=2005+OFFSET(COM_N_2012!$B$60,$AW342,SUMIF($B$10:$B$16,"NCAP_TLIFE",$AX$10:$AX$16)),0,""))</f>
        <v/>
      </c>
      <c r="AJ342" s="369" t="str">
        <f ca="1">IF($B342&lt;&gt;"PRC_RESID","",IF(AJ$7=2005+OFFSET(COM_N_2012!$B$60,$AW342,SUMIF($B$10:$B$16,"NCAP_TLIFE",$AX$10:$AX$16)),0,""))</f>
        <v/>
      </c>
      <c r="AK342" s="369" t="str">
        <f ca="1">IF($B342&lt;&gt;"PRC_RESID","",IF(AK$7=2005+OFFSET(COM_N_2012!$B$60,$AW342,SUMIF($B$10:$B$16,"NCAP_TLIFE",$AX$10:$AX$16)),0,""))</f>
        <v/>
      </c>
      <c r="AL342" s="369" t="str">
        <f ca="1">IF($B342&lt;&gt;"PRC_RESID","",IF(AL$7=2005+OFFSET(COM_N_2012!$B$60,$AW342,SUMIF($B$10:$B$16,"NCAP_TLIFE",$AX$10:$AX$16)),0,""))</f>
        <v/>
      </c>
      <c r="AM342" s="369" t="str">
        <f ca="1">IF($B342&lt;&gt;"PRC_RESID","",IF(AM$7=2005+OFFSET(COM_N_2012!$B$60,$AW342,SUMIF($B$10:$B$16,"NCAP_TLIFE",$AX$10:$AX$16)),0,""))</f>
        <v/>
      </c>
      <c r="AN342" s="369" t="str">
        <f ca="1">IF($B342&lt;&gt;"PRC_RESID","",IF(AN$7=2005+OFFSET(COM_N_2012!$B$60,$AW342,SUMIF($B$10:$B$16,"NCAP_TLIFE",$AX$10:$AX$16)),0,""))</f>
        <v/>
      </c>
      <c r="AO342" s="369" t="str">
        <f ca="1">IF($B342&lt;&gt;"PRC_RESID","",IF(AO$7=2005+OFFSET(COM_N_2012!$B$60,$AW342,SUMIF($B$10:$B$16,"NCAP_TLIFE",$AX$10:$AX$16)),0,""))</f>
        <v/>
      </c>
      <c r="AP342" s="369" t="str">
        <f ca="1">IF($B342&lt;&gt;"PRC_RESID","",IF(AP$7=2005+OFFSET(COM_N_2012!$B$60,$AW342,SUMIF($B$10:$B$16,"NCAP_TLIFE",$AX$10:$AX$16)),0,""))</f>
        <v/>
      </c>
      <c r="AQ342" s="369" t="str">
        <f ca="1">IF($B342&lt;&gt;"PRC_RESID","",IF(AQ$7=2005+OFFSET(COM_N_2012!$B$60,$AW342,SUMIF($B$10:$B$16,"NCAP_TLIFE",$AX$10:$AX$16)),0,""))</f>
        <v/>
      </c>
      <c r="AR342" s="369" t="str">
        <f ca="1">IF($B342&lt;&gt;"PRC_RESID","",IF(AR$7=2005+OFFSET(COM_N_2012!$B$60,$AW342,SUMIF($B$10:$B$16,"NCAP_TLIFE",$AX$10:$AX$16)),0,""))</f>
        <v/>
      </c>
      <c r="AS342" s="369" t="str">
        <f ca="1">IF($B342&lt;&gt;"PRC_RESID","",IF(AS$7=2005+OFFSET(COM_N_2012!$B$60,$AW342,SUMIF($B$10:$B$16,"NCAP_TLIFE",$AX$10:$AX$16)),0,""))</f>
        <v/>
      </c>
      <c r="AT342" s="369" t="str">
        <f ca="1">IF($B342&lt;&gt;"PRC_RESID","",IF(AT$7=2005+OFFSET(COM_N_2012!$B$60,$AW342,SUMIF($B$10:$B$16,"NCAP_TLIFE",$AX$10:$AX$16)),0,""))</f>
        <v/>
      </c>
      <c r="AU342" s="369" t="str">
        <f ca="1">IF($B342&lt;&gt;"PRC_RESID","",IF(AU$7=2005+OFFSET(COM_N_2012!$B$60,$AW342,SUMIF($B$10:$B$16,"NCAP_TLIFE",$AX$10:$AX$16)),0,""))</f>
        <v/>
      </c>
      <c r="AV342" s="304">
        <f>IF(AW341=COM_N_2012!$AK$121,AV341+1,AV341)</f>
        <v>6</v>
      </c>
      <c r="AW342" s="304">
        <f t="shared" si="45"/>
        <v>20</v>
      </c>
    </row>
    <row r="343" spans="1:49">
      <c r="A343" s="304" t="str">
        <f ca="1">IF(LEFT(OFFSET(COM_N_2012!$A$60,AW343,0),2)="\I","*","")</f>
        <v/>
      </c>
      <c r="B343" s="369" t="str">
        <f t="shared" ca="1" si="47"/>
        <v>PRC_RESID</v>
      </c>
      <c r="C343" s="369" t="str">
        <f ca="1">IF($A343="*","",OFFSET(COM_N_2012!$B$60,AW343,0))</f>
        <v>CNLELCCFL-E</v>
      </c>
      <c r="D343" s="369" t="str">
        <f t="shared" ca="1" si="44"/>
        <v>-</v>
      </c>
      <c r="E343" s="369" t="str">
        <f t="shared" ca="1" si="44"/>
        <v>-</v>
      </c>
      <c r="F343" s="369" t="str">
        <f t="shared" ca="1" si="44"/>
        <v>-</v>
      </c>
      <c r="G343" s="369" t="str">
        <f t="shared" ca="1" si="44"/>
        <v>-</v>
      </c>
      <c r="H343" s="369" t="str">
        <f t="shared" ca="1" si="44"/>
        <v>-</v>
      </c>
      <c r="I343" s="370">
        <f t="shared" ca="1" si="44"/>
        <v>0</v>
      </c>
      <c r="J343" s="391">
        <f ca="1">IF($A343="*","",OFFSET(COM_N_2012!$B$60,AW343,SUMIF($B$10:$B$16,B343,$AX$10:$AX$16)))</f>
        <v>0</v>
      </c>
      <c r="K343" s="369" t="str">
        <f ca="1">IF($B343&lt;&gt;"PRC_RESID","",IF(K$7=2005+OFFSET(COM_N_2012!$B$60,$AW343,SUMIF($B$10:$B$16,"NCAP_TLIFE",$AX$10:$AX$16)),0,""))</f>
        <v/>
      </c>
      <c r="L343" s="369" t="str">
        <f ca="1">IF($B343&lt;&gt;"PRC_RESID","",IF(L$7=2005+OFFSET(COM_N_2012!$B$60,$AW343,SUMIF($B$10:$B$16,"NCAP_TLIFE",$AX$10:$AX$16)),0,""))</f>
        <v/>
      </c>
      <c r="M343" s="369" t="str">
        <f ca="1">IF($B343&lt;&gt;"PRC_RESID","",IF(M$7=2005+OFFSET(COM_N_2012!$B$60,$AW343,SUMIF($B$10:$B$16,"NCAP_TLIFE",$AX$10:$AX$16)),0,""))</f>
        <v/>
      </c>
      <c r="N343" s="369" t="str">
        <f ca="1">IF($B343&lt;&gt;"PRC_RESID","",IF(N$7=2005+OFFSET(COM_N_2012!$B$60,$AW343,SUMIF($B$10:$B$16,"NCAP_TLIFE",$AX$10:$AX$16)),0,""))</f>
        <v/>
      </c>
      <c r="O343" s="369" t="str">
        <f ca="1">IF($B343&lt;&gt;"PRC_RESID","",IF(O$7=2005+OFFSET(COM_N_2012!$B$60,$AW343,SUMIF($B$10:$B$16,"NCAP_TLIFE",$AX$10:$AX$16)),0,""))</f>
        <v/>
      </c>
      <c r="P343" s="369" t="str">
        <f ca="1">IF($B343&lt;&gt;"PRC_RESID","",IF(P$7=2005+OFFSET(COM_N_2012!$B$60,$AW343,SUMIF($B$10:$B$16,"NCAP_TLIFE",$AX$10:$AX$16)),0,""))</f>
        <v/>
      </c>
      <c r="Q343" s="369" t="str">
        <f ca="1">IF($B343&lt;&gt;"PRC_RESID","",IF(Q$7=2005+OFFSET(COM_N_2012!$B$60,$AW343,SUMIF($B$10:$B$16,"NCAP_TLIFE",$AX$10:$AX$16)),0,""))</f>
        <v/>
      </c>
      <c r="R343" s="369" t="str">
        <f ca="1">IF($B343&lt;&gt;"PRC_RESID","",IF(R$7=2005+OFFSET(COM_N_2012!$B$60,$AW343,SUMIF($B$10:$B$16,"NCAP_TLIFE",$AX$10:$AX$16)),0,""))</f>
        <v/>
      </c>
      <c r="S343" s="369" t="str">
        <f ca="1">IF($B343&lt;&gt;"PRC_RESID","",IF(S$7=2005+OFFSET(COM_N_2012!$B$60,$AW343,SUMIF($B$10:$B$16,"NCAP_TLIFE",$AX$10:$AX$16)),0,""))</f>
        <v/>
      </c>
      <c r="T343" s="369" t="str">
        <f ca="1">IF($B343&lt;&gt;"PRC_RESID","",IF(T$7=2005+OFFSET(COM_N_2012!$B$60,$AW343,SUMIF($B$10:$B$16,"NCAP_TLIFE",$AX$10:$AX$16)),0,""))</f>
        <v/>
      </c>
      <c r="U343" s="369" t="str">
        <f ca="1">IF($B343&lt;&gt;"PRC_RESID","",IF(U$7=2005+OFFSET(COM_N_2012!$B$60,$AW343,SUMIF($B$10:$B$16,"NCAP_TLIFE",$AX$10:$AX$16)),0,""))</f>
        <v/>
      </c>
      <c r="V343" s="369" t="str">
        <f ca="1">IF($B343&lt;&gt;"PRC_RESID","",IF(V$7=2005+OFFSET(COM_N_2012!$B$60,$AW343,SUMIF($B$10:$B$16,"NCAP_TLIFE",$AX$10:$AX$16)),0,""))</f>
        <v/>
      </c>
      <c r="W343" s="369" t="str">
        <f ca="1">IF($B343&lt;&gt;"PRC_RESID","",IF(W$7=2005+OFFSET(COM_N_2012!$B$60,$AW343,SUMIF($B$10:$B$16,"NCAP_TLIFE",$AX$10:$AX$16)),0,""))</f>
        <v/>
      </c>
      <c r="X343" s="369" t="str">
        <f ca="1">IF($B343&lt;&gt;"PRC_RESID","",IF(X$7=2005+OFFSET(COM_N_2012!$B$60,$AW343,SUMIF($B$10:$B$16,"NCAP_TLIFE",$AX$10:$AX$16)),0,""))</f>
        <v/>
      </c>
      <c r="Y343" s="369" t="str">
        <f ca="1">IF($B343&lt;&gt;"PRC_RESID","",IF(Y$7=2005+OFFSET(COM_N_2012!$B$60,$AW343,SUMIF($B$10:$B$16,"NCAP_TLIFE",$AX$10:$AX$16)),0,""))</f>
        <v/>
      </c>
      <c r="Z343" s="369" t="str">
        <f ca="1">IF($B343&lt;&gt;"PRC_RESID","",IF(Z$7=2005+OFFSET(COM_N_2012!$B$60,$AW343,SUMIF($B$10:$B$16,"NCAP_TLIFE",$AX$10:$AX$16)),0,""))</f>
        <v/>
      </c>
      <c r="AA343" s="369" t="str">
        <f ca="1">IF($B343&lt;&gt;"PRC_RESID","",IF(AA$7=2005+OFFSET(COM_N_2012!$B$60,$AW343,SUMIF($B$10:$B$16,"NCAP_TLIFE",$AX$10:$AX$16)),0,""))</f>
        <v/>
      </c>
      <c r="AB343" s="369" t="str">
        <f ca="1">IF($B343&lt;&gt;"PRC_RESID","",IF(AB$7=2005+OFFSET(COM_N_2012!$B$60,$AW343,SUMIF($B$10:$B$16,"NCAP_TLIFE",$AX$10:$AX$16)),0,""))</f>
        <v/>
      </c>
      <c r="AC343" s="369" t="str">
        <f ca="1">IF($B343&lt;&gt;"PRC_RESID","",IF(AC$7=2005+OFFSET(COM_N_2012!$B$60,$AW343,SUMIF($B$10:$B$16,"NCAP_TLIFE",$AX$10:$AX$16)),0,""))</f>
        <v/>
      </c>
      <c r="AD343" s="369" t="str">
        <f ca="1">IF($B343&lt;&gt;"PRC_RESID","",IF(AD$7=2005+OFFSET(COM_N_2012!$B$60,$AW343,SUMIF($B$10:$B$16,"NCAP_TLIFE",$AX$10:$AX$16)),0,""))</f>
        <v/>
      </c>
      <c r="AE343" s="369" t="str">
        <f ca="1">IF($B343&lt;&gt;"PRC_RESID","",IF(AE$7=2005+OFFSET(COM_N_2012!$B$60,$AW343,SUMIF($B$10:$B$16,"NCAP_TLIFE",$AX$10:$AX$16)),0,""))</f>
        <v/>
      </c>
      <c r="AF343" s="369" t="str">
        <f ca="1">IF($B343&lt;&gt;"PRC_RESID","",IF(AF$7=2005+OFFSET(COM_N_2012!$B$60,$AW343,SUMIF($B$10:$B$16,"NCAP_TLIFE",$AX$10:$AX$16)),0,""))</f>
        <v/>
      </c>
      <c r="AG343" s="369" t="str">
        <f ca="1">IF($B343&lt;&gt;"PRC_RESID","",IF(AG$7=2005+OFFSET(COM_N_2012!$B$60,$AW343,SUMIF($B$10:$B$16,"NCAP_TLIFE",$AX$10:$AX$16)),0,""))</f>
        <v/>
      </c>
      <c r="AH343" s="369" t="str">
        <f ca="1">IF($B343&lt;&gt;"PRC_RESID","",IF(AH$7=2005+OFFSET(COM_N_2012!$B$60,$AW343,SUMIF($B$10:$B$16,"NCAP_TLIFE",$AX$10:$AX$16)),0,""))</f>
        <v/>
      </c>
      <c r="AI343" s="369" t="str">
        <f ca="1">IF($B343&lt;&gt;"PRC_RESID","",IF(AI$7=2005+OFFSET(COM_N_2012!$B$60,$AW343,SUMIF($B$10:$B$16,"NCAP_TLIFE",$AX$10:$AX$16)),0,""))</f>
        <v/>
      </c>
      <c r="AJ343" s="369" t="str">
        <f ca="1">IF($B343&lt;&gt;"PRC_RESID","",IF(AJ$7=2005+OFFSET(COM_N_2012!$B$60,$AW343,SUMIF($B$10:$B$16,"NCAP_TLIFE",$AX$10:$AX$16)),0,""))</f>
        <v/>
      </c>
      <c r="AK343" s="369" t="str">
        <f ca="1">IF($B343&lt;&gt;"PRC_RESID","",IF(AK$7=2005+OFFSET(COM_N_2012!$B$60,$AW343,SUMIF($B$10:$B$16,"NCAP_TLIFE",$AX$10:$AX$16)),0,""))</f>
        <v/>
      </c>
      <c r="AL343" s="369" t="str">
        <f ca="1">IF($B343&lt;&gt;"PRC_RESID","",IF(AL$7=2005+OFFSET(COM_N_2012!$B$60,$AW343,SUMIF($B$10:$B$16,"NCAP_TLIFE",$AX$10:$AX$16)),0,""))</f>
        <v/>
      </c>
      <c r="AM343" s="369" t="str">
        <f ca="1">IF($B343&lt;&gt;"PRC_RESID","",IF(AM$7=2005+OFFSET(COM_N_2012!$B$60,$AW343,SUMIF($B$10:$B$16,"NCAP_TLIFE",$AX$10:$AX$16)),0,""))</f>
        <v/>
      </c>
      <c r="AN343" s="369" t="str">
        <f ca="1">IF($B343&lt;&gt;"PRC_RESID","",IF(AN$7=2005+OFFSET(COM_N_2012!$B$60,$AW343,SUMIF($B$10:$B$16,"NCAP_TLIFE",$AX$10:$AX$16)),0,""))</f>
        <v/>
      </c>
      <c r="AO343" s="369" t="str">
        <f ca="1">IF($B343&lt;&gt;"PRC_RESID","",IF(AO$7=2005+OFFSET(COM_N_2012!$B$60,$AW343,SUMIF($B$10:$B$16,"NCAP_TLIFE",$AX$10:$AX$16)),0,""))</f>
        <v/>
      </c>
      <c r="AP343" s="369" t="str">
        <f ca="1">IF($B343&lt;&gt;"PRC_RESID","",IF(AP$7=2005+OFFSET(COM_N_2012!$B$60,$AW343,SUMIF($B$10:$B$16,"NCAP_TLIFE",$AX$10:$AX$16)),0,""))</f>
        <v/>
      </c>
      <c r="AQ343" s="369" t="str">
        <f ca="1">IF($B343&lt;&gt;"PRC_RESID","",IF(AQ$7=2005+OFFSET(COM_N_2012!$B$60,$AW343,SUMIF($B$10:$B$16,"NCAP_TLIFE",$AX$10:$AX$16)),0,""))</f>
        <v/>
      </c>
      <c r="AR343" s="369" t="str">
        <f ca="1">IF($B343&lt;&gt;"PRC_RESID","",IF(AR$7=2005+OFFSET(COM_N_2012!$B$60,$AW343,SUMIF($B$10:$B$16,"NCAP_TLIFE",$AX$10:$AX$16)),0,""))</f>
        <v/>
      </c>
      <c r="AS343" s="369" t="str">
        <f ca="1">IF($B343&lt;&gt;"PRC_RESID","",IF(AS$7=2005+OFFSET(COM_N_2012!$B$60,$AW343,SUMIF($B$10:$B$16,"NCAP_TLIFE",$AX$10:$AX$16)),0,""))</f>
        <v/>
      </c>
      <c r="AT343" s="369" t="str">
        <f ca="1">IF($B343&lt;&gt;"PRC_RESID","",IF(AT$7=2005+OFFSET(COM_N_2012!$B$60,$AW343,SUMIF($B$10:$B$16,"NCAP_TLIFE",$AX$10:$AX$16)),0,""))</f>
        <v/>
      </c>
      <c r="AU343" s="369" t="str">
        <f ca="1">IF($B343&lt;&gt;"PRC_RESID","",IF(AU$7=2005+OFFSET(COM_N_2012!$B$60,$AW343,SUMIF($B$10:$B$16,"NCAP_TLIFE",$AX$10:$AX$16)),0,""))</f>
        <v/>
      </c>
      <c r="AV343" s="304">
        <f>IF(AW342=COM_N_2012!$AK$121,AV342+1,AV342)</f>
        <v>6</v>
      </c>
      <c r="AW343" s="304">
        <f t="shared" si="45"/>
        <v>21</v>
      </c>
    </row>
    <row r="344" spans="1:49">
      <c r="A344" s="304" t="str">
        <f ca="1">IF(LEFT(OFFSET(COM_N_2012!$A$60,AW344,0),2)="\I","*","")</f>
        <v/>
      </c>
      <c r="B344" s="369" t="str">
        <f t="shared" ca="1" si="47"/>
        <v>PRC_RESID</v>
      </c>
      <c r="C344" s="369" t="str">
        <f ca="1">IF($A344="*","",OFFSET(COM_N_2012!$B$60,AW344,0))</f>
        <v>CNLELCFLU-E</v>
      </c>
      <c r="D344" s="369" t="str">
        <f t="shared" ref="D344:I359" ca="1" si="48">IF($A344="*","",VLOOKUP($B344,$B$10:$I$16,D$9,FALSE))</f>
        <v>-</v>
      </c>
      <c r="E344" s="369" t="str">
        <f t="shared" ca="1" si="48"/>
        <v>-</v>
      </c>
      <c r="F344" s="369" t="str">
        <f t="shared" ca="1" si="48"/>
        <v>-</v>
      </c>
      <c r="G344" s="369" t="str">
        <f t="shared" ca="1" si="48"/>
        <v>-</v>
      </c>
      <c r="H344" s="369" t="str">
        <f t="shared" ca="1" si="48"/>
        <v>-</v>
      </c>
      <c r="I344" s="370">
        <f t="shared" ca="1" si="48"/>
        <v>0</v>
      </c>
      <c r="J344" s="391">
        <f ca="1">IF($A344="*","",OFFSET(COM_N_2012!$B$60,AW344,SUMIF($B$10:$B$16,B344,$AX$10:$AX$16)))</f>
        <v>0</v>
      </c>
      <c r="K344" s="369" t="str">
        <f ca="1">IF($B344&lt;&gt;"PRC_RESID","",IF(K$7=2005+OFFSET(COM_N_2012!$B$60,$AW344,SUMIF($B$10:$B$16,"NCAP_TLIFE",$AX$10:$AX$16)),0,""))</f>
        <v/>
      </c>
      <c r="L344" s="369" t="str">
        <f ca="1">IF($B344&lt;&gt;"PRC_RESID","",IF(L$7=2005+OFFSET(COM_N_2012!$B$60,$AW344,SUMIF($B$10:$B$16,"NCAP_TLIFE",$AX$10:$AX$16)),0,""))</f>
        <v/>
      </c>
      <c r="M344" s="369" t="str">
        <f ca="1">IF($B344&lt;&gt;"PRC_RESID","",IF(M$7=2005+OFFSET(COM_N_2012!$B$60,$AW344,SUMIF($B$10:$B$16,"NCAP_TLIFE",$AX$10:$AX$16)),0,""))</f>
        <v/>
      </c>
      <c r="N344" s="369" t="str">
        <f ca="1">IF($B344&lt;&gt;"PRC_RESID","",IF(N$7=2005+OFFSET(COM_N_2012!$B$60,$AW344,SUMIF($B$10:$B$16,"NCAP_TLIFE",$AX$10:$AX$16)),0,""))</f>
        <v/>
      </c>
      <c r="O344" s="369" t="str">
        <f ca="1">IF($B344&lt;&gt;"PRC_RESID","",IF(O$7=2005+OFFSET(COM_N_2012!$B$60,$AW344,SUMIF($B$10:$B$16,"NCAP_TLIFE",$AX$10:$AX$16)),0,""))</f>
        <v/>
      </c>
      <c r="P344" s="369" t="str">
        <f ca="1">IF($B344&lt;&gt;"PRC_RESID","",IF(P$7=2005+OFFSET(COM_N_2012!$B$60,$AW344,SUMIF($B$10:$B$16,"NCAP_TLIFE",$AX$10:$AX$16)),0,""))</f>
        <v/>
      </c>
      <c r="Q344" s="369" t="str">
        <f ca="1">IF($B344&lt;&gt;"PRC_RESID","",IF(Q$7=2005+OFFSET(COM_N_2012!$B$60,$AW344,SUMIF($B$10:$B$16,"NCAP_TLIFE",$AX$10:$AX$16)),0,""))</f>
        <v/>
      </c>
      <c r="R344" s="369" t="str">
        <f ca="1">IF($B344&lt;&gt;"PRC_RESID","",IF(R$7=2005+OFFSET(COM_N_2012!$B$60,$AW344,SUMIF($B$10:$B$16,"NCAP_TLIFE",$AX$10:$AX$16)),0,""))</f>
        <v/>
      </c>
      <c r="S344" s="369" t="str">
        <f ca="1">IF($B344&lt;&gt;"PRC_RESID","",IF(S$7=2005+OFFSET(COM_N_2012!$B$60,$AW344,SUMIF($B$10:$B$16,"NCAP_TLIFE",$AX$10:$AX$16)),0,""))</f>
        <v/>
      </c>
      <c r="T344" s="369" t="str">
        <f ca="1">IF($B344&lt;&gt;"PRC_RESID","",IF(T$7=2005+OFFSET(COM_N_2012!$B$60,$AW344,SUMIF($B$10:$B$16,"NCAP_TLIFE",$AX$10:$AX$16)),0,""))</f>
        <v/>
      </c>
      <c r="U344" s="369" t="str">
        <f ca="1">IF($B344&lt;&gt;"PRC_RESID","",IF(U$7=2005+OFFSET(COM_N_2012!$B$60,$AW344,SUMIF($B$10:$B$16,"NCAP_TLIFE",$AX$10:$AX$16)),0,""))</f>
        <v/>
      </c>
      <c r="V344" s="369" t="str">
        <f ca="1">IF($B344&lt;&gt;"PRC_RESID","",IF(V$7=2005+OFFSET(COM_N_2012!$B$60,$AW344,SUMIF($B$10:$B$16,"NCAP_TLIFE",$AX$10:$AX$16)),0,""))</f>
        <v/>
      </c>
      <c r="W344" s="369" t="str">
        <f ca="1">IF($B344&lt;&gt;"PRC_RESID","",IF(W$7=2005+OFFSET(COM_N_2012!$B$60,$AW344,SUMIF($B$10:$B$16,"NCAP_TLIFE",$AX$10:$AX$16)),0,""))</f>
        <v/>
      </c>
      <c r="X344" s="369" t="str">
        <f ca="1">IF($B344&lt;&gt;"PRC_RESID","",IF(X$7=2005+OFFSET(COM_N_2012!$B$60,$AW344,SUMIF($B$10:$B$16,"NCAP_TLIFE",$AX$10:$AX$16)),0,""))</f>
        <v/>
      </c>
      <c r="Y344" s="369" t="str">
        <f ca="1">IF($B344&lt;&gt;"PRC_RESID","",IF(Y$7=2005+OFFSET(COM_N_2012!$B$60,$AW344,SUMIF($B$10:$B$16,"NCAP_TLIFE",$AX$10:$AX$16)),0,""))</f>
        <v/>
      </c>
      <c r="Z344" s="369" t="str">
        <f ca="1">IF($B344&lt;&gt;"PRC_RESID","",IF(Z$7=2005+OFFSET(COM_N_2012!$B$60,$AW344,SUMIF($B$10:$B$16,"NCAP_TLIFE",$AX$10:$AX$16)),0,""))</f>
        <v/>
      </c>
      <c r="AA344" s="369" t="str">
        <f ca="1">IF($B344&lt;&gt;"PRC_RESID","",IF(AA$7=2005+OFFSET(COM_N_2012!$B$60,$AW344,SUMIF($B$10:$B$16,"NCAP_TLIFE",$AX$10:$AX$16)),0,""))</f>
        <v/>
      </c>
      <c r="AB344" s="369" t="str">
        <f ca="1">IF($B344&lt;&gt;"PRC_RESID","",IF(AB$7=2005+OFFSET(COM_N_2012!$B$60,$AW344,SUMIF($B$10:$B$16,"NCAP_TLIFE",$AX$10:$AX$16)),0,""))</f>
        <v/>
      </c>
      <c r="AC344" s="369" t="str">
        <f ca="1">IF($B344&lt;&gt;"PRC_RESID","",IF(AC$7=2005+OFFSET(COM_N_2012!$B$60,$AW344,SUMIF($B$10:$B$16,"NCAP_TLIFE",$AX$10:$AX$16)),0,""))</f>
        <v/>
      </c>
      <c r="AD344" s="369" t="str">
        <f ca="1">IF($B344&lt;&gt;"PRC_RESID","",IF(AD$7=2005+OFFSET(COM_N_2012!$B$60,$AW344,SUMIF($B$10:$B$16,"NCAP_TLIFE",$AX$10:$AX$16)),0,""))</f>
        <v/>
      </c>
      <c r="AE344" s="369" t="str">
        <f ca="1">IF($B344&lt;&gt;"PRC_RESID","",IF(AE$7=2005+OFFSET(COM_N_2012!$B$60,$AW344,SUMIF($B$10:$B$16,"NCAP_TLIFE",$AX$10:$AX$16)),0,""))</f>
        <v/>
      </c>
      <c r="AF344" s="369" t="str">
        <f ca="1">IF($B344&lt;&gt;"PRC_RESID","",IF(AF$7=2005+OFFSET(COM_N_2012!$B$60,$AW344,SUMIF($B$10:$B$16,"NCAP_TLIFE",$AX$10:$AX$16)),0,""))</f>
        <v/>
      </c>
      <c r="AG344" s="369" t="str">
        <f ca="1">IF($B344&lt;&gt;"PRC_RESID","",IF(AG$7=2005+OFFSET(COM_N_2012!$B$60,$AW344,SUMIF($B$10:$B$16,"NCAP_TLIFE",$AX$10:$AX$16)),0,""))</f>
        <v/>
      </c>
      <c r="AH344" s="369" t="str">
        <f ca="1">IF($B344&lt;&gt;"PRC_RESID","",IF(AH$7=2005+OFFSET(COM_N_2012!$B$60,$AW344,SUMIF($B$10:$B$16,"NCAP_TLIFE",$AX$10:$AX$16)),0,""))</f>
        <v/>
      </c>
      <c r="AI344" s="369" t="str">
        <f ca="1">IF($B344&lt;&gt;"PRC_RESID","",IF(AI$7=2005+OFFSET(COM_N_2012!$B$60,$AW344,SUMIF($B$10:$B$16,"NCAP_TLIFE",$AX$10:$AX$16)),0,""))</f>
        <v/>
      </c>
      <c r="AJ344" s="369" t="str">
        <f ca="1">IF($B344&lt;&gt;"PRC_RESID","",IF(AJ$7=2005+OFFSET(COM_N_2012!$B$60,$AW344,SUMIF($B$10:$B$16,"NCAP_TLIFE",$AX$10:$AX$16)),0,""))</f>
        <v/>
      </c>
      <c r="AK344" s="369" t="str">
        <f ca="1">IF($B344&lt;&gt;"PRC_RESID","",IF(AK$7=2005+OFFSET(COM_N_2012!$B$60,$AW344,SUMIF($B$10:$B$16,"NCAP_TLIFE",$AX$10:$AX$16)),0,""))</f>
        <v/>
      </c>
      <c r="AL344" s="369" t="str">
        <f ca="1">IF($B344&lt;&gt;"PRC_RESID","",IF(AL$7=2005+OFFSET(COM_N_2012!$B$60,$AW344,SUMIF($B$10:$B$16,"NCAP_TLIFE",$AX$10:$AX$16)),0,""))</f>
        <v/>
      </c>
      <c r="AM344" s="369" t="str">
        <f ca="1">IF($B344&lt;&gt;"PRC_RESID","",IF(AM$7=2005+OFFSET(COM_N_2012!$B$60,$AW344,SUMIF($B$10:$B$16,"NCAP_TLIFE",$AX$10:$AX$16)),0,""))</f>
        <v/>
      </c>
      <c r="AN344" s="369" t="str">
        <f ca="1">IF($B344&lt;&gt;"PRC_RESID","",IF(AN$7=2005+OFFSET(COM_N_2012!$B$60,$AW344,SUMIF($B$10:$B$16,"NCAP_TLIFE",$AX$10:$AX$16)),0,""))</f>
        <v/>
      </c>
      <c r="AO344" s="369" t="str">
        <f ca="1">IF($B344&lt;&gt;"PRC_RESID","",IF(AO$7=2005+OFFSET(COM_N_2012!$B$60,$AW344,SUMIF($B$10:$B$16,"NCAP_TLIFE",$AX$10:$AX$16)),0,""))</f>
        <v/>
      </c>
      <c r="AP344" s="369" t="str">
        <f ca="1">IF($B344&lt;&gt;"PRC_RESID","",IF(AP$7=2005+OFFSET(COM_N_2012!$B$60,$AW344,SUMIF($B$10:$B$16,"NCAP_TLIFE",$AX$10:$AX$16)),0,""))</f>
        <v/>
      </c>
      <c r="AQ344" s="369" t="str">
        <f ca="1">IF($B344&lt;&gt;"PRC_RESID","",IF(AQ$7=2005+OFFSET(COM_N_2012!$B$60,$AW344,SUMIF($B$10:$B$16,"NCAP_TLIFE",$AX$10:$AX$16)),0,""))</f>
        <v/>
      </c>
      <c r="AR344" s="369" t="str">
        <f ca="1">IF($B344&lt;&gt;"PRC_RESID","",IF(AR$7=2005+OFFSET(COM_N_2012!$B$60,$AW344,SUMIF($B$10:$B$16,"NCAP_TLIFE",$AX$10:$AX$16)),0,""))</f>
        <v/>
      </c>
      <c r="AS344" s="369" t="str">
        <f ca="1">IF($B344&lt;&gt;"PRC_RESID","",IF(AS$7=2005+OFFSET(COM_N_2012!$B$60,$AW344,SUMIF($B$10:$B$16,"NCAP_TLIFE",$AX$10:$AX$16)),0,""))</f>
        <v/>
      </c>
      <c r="AT344" s="369" t="str">
        <f ca="1">IF($B344&lt;&gt;"PRC_RESID","",IF(AT$7=2005+OFFSET(COM_N_2012!$B$60,$AW344,SUMIF($B$10:$B$16,"NCAP_TLIFE",$AX$10:$AX$16)),0,""))</f>
        <v/>
      </c>
      <c r="AU344" s="369" t="str">
        <f ca="1">IF($B344&lt;&gt;"PRC_RESID","",IF(AU$7=2005+OFFSET(COM_N_2012!$B$60,$AW344,SUMIF($B$10:$B$16,"NCAP_TLIFE",$AX$10:$AX$16)),0,""))</f>
        <v/>
      </c>
      <c r="AV344" s="304">
        <f>IF(AW343=COM_N_2012!$AK$121,AV343+1,AV343)</f>
        <v>6</v>
      </c>
      <c r="AW344" s="304">
        <f t="shared" si="45"/>
        <v>22</v>
      </c>
    </row>
    <row r="345" spans="1:49">
      <c r="A345" s="304" t="str">
        <f ca="1">IF(LEFT(OFFSET(COM_N_2012!$A$60,AW345,0),2)="\I","*","")</f>
        <v/>
      </c>
      <c r="B345" s="369" t="str">
        <f t="shared" ca="1" si="47"/>
        <v>PRC_RESID</v>
      </c>
      <c r="C345" s="369" t="str">
        <f ca="1">IF($A345="*","",OFFSET(COM_N_2012!$B$60,AW345,0))</f>
        <v>CNLELCHAL-E</v>
      </c>
      <c r="D345" s="369" t="str">
        <f t="shared" ca="1" si="48"/>
        <v>-</v>
      </c>
      <c r="E345" s="369" t="str">
        <f t="shared" ca="1" si="48"/>
        <v>-</v>
      </c>
      <c r="F345" s="369" t="str">
        <f t="shared" ca="1" si="48"/>
        <v>-</v>
      </c>
      <c r="G345" s="369" t="str">
        <f t="shared" ca="1" si="48"/>
        <v>-</v>
      </c>
      <c r="H345" s="369" t="str">
        <f t="shared" ca="1" si="48"/>
        <v>-</v>
      </c>
      <c r="I345" s="370">
        <f t="shared" ca="1" si="48"/>
        <v>0</v>
      </c>
      <c r="J345" s="391">
        <f ca="1">IF($A345="*","",OFFSET(COM_N_2012!$B$60,AW345,SUMIF($B$10:$B$16,B345,$AX$10:$AX$16)))</f>
        <v>0</v>
      </c>
      <c r="K345" s="369" t="str">
        <f ca="1">IF($B345&lt;&gt;"PRC_RESID","",IF(K$7=2005+OFFSET(COM_N_2012!$B$60,$AW345,SUMIF($B$10:$B$16,"NCAP_TLIFE",$AX$10:$AX$16)),0,""))</f>
        <v/>
      </c>
      <c r="L345" s="369" t="str">
        <f ca="1">IF($B345&lt;&gt;"PRC_RESID","",IF(L$7=2005+OFFSET(COM_N_2012!$B$60,$AW345,SUMIF($B$10:$B$16,"NCAP_TLIFE",$AX$10:$AX$16)),0,""))</f>
        <v/>
      </c>
      <c r="M345" s="369" t="str">
        <f ca="1">IF($B345&lt;&gt;"PRC_RESID","",IF(M$7=2005+OFFSET(COM_N_2012!$B$60,$AW345,SUMIF($B$10:$B$16,"NCAP_TLIFE",$AX$10:$AX$16)),0,""))</f>
        <v/>
      </c>
      <c r="N345" s="369" t="str">
        <f ca="1">IF($B345&lt;&gt;"PRC_RESID","",IF(N$7=2005+OFFSET(COM_N_2012!$B$60,$AW345,SUMIF($B$10:$B$16,"NCAP_TLIFE",$AX$10:$AX$16)),0,""))</f>
        <v/>
      </c>
      <c r="O345" s="369" t="str">
        <f ca="1">IF($B345&lt;&gt;"PRC_RESID","",IF(O$7=2005+OFFSET(COM_N_2012!$B$60,$AW345,SUMIF($B$10:$B$16,"NCAP_TLIFE",$AX$10:$AX$16)),0,""))</f>
        <v/>
      </c>
      <c r="P345" s="369" t="str">
        <f ca="1">IF($B345&lt;&gt;"PRC_RESID","",IF(P$7=2005+OFFSET(COM_N_2012!$B$60,$AW345,SUMIF($B$10:$B$16,"NCAP_TLIFE",$AX$10:$AX$16)),0,""))</f>
        <v/>
      </c>
      <c r="Q345" s="369" t="str">
        <f ca="1">IF($B345&lt;&gt;"PRC_RESID","",IF(Q$7=2005+OFFSET(COM_N_2012!$B$60,$AW345,SUMIF($B$10:$B$16,"NCAP_TLIFE",$AX$10:$AX$16)),0,""))</f>
        <v/>
      </c>
      <c r="R345" s="369" t="str">
        <f ca="1">IF($B345&lt;&gt;"PRC_RESID","",IF(R$7=2005+OFFSET(COM_N_2012!$B$60,$AW345,SUMIF($B$10:$B$16,"NCAP_TLIFE",$AX$10:$AX$16)),0,""))</f>
        <v/>
      </c>
      <c r="S345" s="369" t="str">
        <f ca="1">IF($B345&lt;&gt;"PRC_RESID","",IF(S$7=2005+OFFSET(COM_N_2012!$B$60,$AW345,SUMIF($B$10:$B$16,"NCAP_TLIFE",$AX$10:$AX$16)),0,""))</f>
        <v/>
      </c>
      <c r="T345" s="369" t="str">
        <f ca="1">IF($B345&lt;&gt;"PRC_RESID","",IF(T$7=2005+OFFSET(COM_N_2012!$B$60,$AW345,SUMIF($B$10:$B$16,"NCAP_TLIFE",$AX$10:$AX$16)),0,""))</f>
        <v/>
      </c>
      <c r="U345" s="369" t="str">
        <f ca="1">IF($B345&lt;&gt;"PRC_RESID","",IF(U$7=2005+OFFSET(COM_N_2012!$B$60,$AW345,SUMIF($B$10:$B$16,"NCAP_TLIFE",$AX$10:$AX$16)),0,""))</f>
        <v/>
      </c>
      <c r="V345" s="369" t="str">
        <f ca="1">IF($B345&lt;&gt;"PRC_RESID","",IF(V$7=2005+OFFSET(COM_N_2012!$B$60,$AW345,SUMIF($B$10:$B$16,"NCAP_TLIFE",$AX$10:$AX$16)),0,""))</f>
        <v/>
      </c>
      <c r="W345" s="369" t="str">
        <f ca="1">IF($B345&lt;&gt;"PRC_RESID","",IF(W$7=2005+OFFSET(COM_N_2012!$B$60,$AW345,SUMIF($B$10:$B$16,"NCAP_TLIFE",$AX$10:$AX$16)),0,""))</f>
        <v/>
      </c>
      <c r="X345" s="369" t="str">
        <f ca="1">IF($B345&lt;&gt;"PRC_RESID","",IF(X$7=2005+OFFSET(COM_N_2012!$B$60,$AW345,SUMIF($B$10:$B$16,"NCAP_TLIFE",$AX$10:$AX$16)),0,""))</f>
        <v/>
      </c>
      <c r="Y345" s="369" t="str">
        <f ca="1">IF($B345&lt;&gt;"PRC_RESID","",IF(Y$7=2005+OFFSET(COM_N_2012!$B$60,$AW345,SUMIF($B$10:$B$16,"NCAP_TLIFE",$AX$10:$AX$16)),0,""))</f>
        <v/>
      </c>
      <c r="Z345" s="369" t="str">
        <f ca="1">IF($B345&lt;&gt;"PRC_RESID","",IF(Z$7=2005+OFFSET(COM_N_2012!$B$60,$AW345,SUMIF($B$10:$B$16,"NCAP_TLIFE",$AX$10:$AX$16)),0,""))</f>
        <v/>
      </c>
      <c r="AA345" s="369" t="str">
        <f ca="1">IF($B345&lt;&gt;"PRC_RESID","",IF(AA$7=2005+OFFSET(COM_N_2012!$B$60,$AW345,SUMIF($B$10:$B$16,"NCAP_TLIFE",$AX$10:$AX$16)),0,""))</f>
        <v/>
      </c>
      <c r="AB345" s="369" t="str">
        <f ca="1">IF($B345&lt;&gt;"PRC_RESID","",IF(AB$7=2005+OFFSET(COM_N_2012!$B$60,$AW345,SUMIF($B$10:$B$16,"NCAP_TLIFE",$AX$10:$AX$16)),0,""))</f>
        <v/>
      </c>
      <c r="AC345" s="369" t="str">
        <f ca="1">IF($B345&lt;&gt;"PRC_RESID","",IF(AC$7=2005+OFFSET(COM_N_2012!$B$60,$AW345,SUMIF($B$10:$B$16,"NCAP_TLIFE",$AX$10:$AX$16)),0,""))</f>
        <v/>
      </c>
      <c r="AD345" s="369" t="str">
        <f ca="1">IF($B345&lt;&gt;"PRC_RESID","",IF(AD$7=2005+OFFSET(COM_N_2012!$B$60,$AW345,SUMIF($B$10:$B$16,"NCAP_TLIFE",$AX$10:$AX$16)),0,""))</f>
        <v/>
      </c>
      <c r="AE345" s="369" t="str">
        <f ca="1">IF($B345&lt;&gt;"PRC_RESID","",IF(AE$7=2005+OFFSET(COM_N_2012!$B$60,$AW345,SUMIF($B$10:$B$16,"NCAP_TLIFE",$AX$10:$AX$16)),0,""))</f>
        <v/>
      </c>
      <c r="AF345" s="369" t="str">
        <f ca="1">IF($B345&lt;&gt;"PRC_RESID","",IF(AF$7=2005+OFFSET(COM_N_2012!$B$60,$AW345,SUMIF($B$10:$B$16,"NCAP_TLIFE",$AX$10:$AX$16)),0,""))</f>
        <v/>
      </c>
      <c r="AG345" s="369" t="str">
        <f ca="1">IF($B345&lt;&gt;"PRC_RESID","",IF(AG$7=2005+OFFSET(COM_N_2012!$B$60,$AW345,SUMIF($B$10:$B$16,"NCAP_TLIFE",$AX$10:$AX$16)),0,""))</f>
        <v/>
      </c>
      <c r="AH345" s="369" t="str">
        <f ca="1">IF($B345&lt;&gt;"PRC_RESID","",IF(AH$7=2005+OFFSET(COM_N_2012!$B$60,$AW345,SUMIF($B$10:$B$16,"NCAP_TLIFE",$AX$10:$AX$16)),0,""))</f>
        <v/>
      </c>
      <c r="AI345" s="369" t="str">
        <f ca="1">IF($B345&lt;&gt;"PRC_RESID","",IF(AI$7=2005+OFFSET(COM_N_2012!$B$60,$AW345,SUMIF($B$10:$B$16,"NCAP_TLIFE",$AX$10:$AX$16)),0,""))</f>
        <v/>
      </c>
      <c r="AJ345" s="369" t="str">
        <f ca="1">IF($B345&lt;&gt;"PRC_RESID","",IF(AJ$7=2005+OFFSET(COM_N_2012!$B$60,$AW345,SUMIF($B$10:$B$16,"NCAP_TLIFE",$AX$10:$AX$16)),0,""))</f>
        <v/>
      </c>
      <c r="AK345" s="369" t="str">
        <f ca="1">IF($B345&lt;&gt;"PRC_RESID","",IF(AK$7=2005+OFFSET(COM_N_2012!$B$60,$AW345,SUMIF($B$10:$B$16,"NCAP_TLIFE",$AX$10:$AX$16)),0,""))</f>
        <v/>
      </c>
      <c r="AL345" s="369" t="str">
        <f ca="1">IF($B345&lt;&gt;"PRC_RESID","",IF(AL$7=2005+OFFSET(COM_N_2012!$B$60,$AW345,SUMIF($B$10:$B$16,"NCAP_TLIFE",$AX$10:$AX$16)),0,""))</f>
        <v/>
      </c>
      <c r="AM345" s="369" t="str">
        <f ca="1">IF($B345&lt;&gt;"PRC_RESID","",IF(AM$7=2005+OFFSET(COM_N_2012!$B$60,$AW345,SUMIF($B$10:$B$16,"NCAP_TLIFE",$AX$10:$AX$16)),0,""))</f>
        <v/>
      </c>
      <c r="AN345" s="369" t="str">
        <f ca="1">IF($B345&lt;&gt;"PRC_RESID","",IF(AN$7=2005+OFFSET(COM_N_2012!$B$60,$AW345,SUMIF($B$10:$B$16,"NCAP_TLIFE",$AX$10:$AX$16)),0,""))</f>
        <v/>
      </c>
      <c r="AO345" s="369" t="str">
        <f ca="1">IF($B345&lt;&gt;"PRC_RESID","",IF(AO$7=2005+OFFSET(COM_N_2012!$B$60,$AW345,SUMIF($B$10:$B$16,"NCAP_TLIFE",$AX$10:$AX$16)),0,""))</f>
        <v/>
      </c>
      <c r="AP345" s="369" t="str">
        <f ca="1">IF($B345&lt;&gt;"PRC_RESID","",IF(AP$7=2005+OFFSET(COM_N_2012!$B$60,$AW345,SUMIF($B$10:$B$16,"NCAP_TLIFE",$AX$10:$AX$16)),0,""))</f>
        <v/>
      </c>
      <c r="AQ345" s="369" t="str">
        <f ca="1">IF($B345&lt;&gt;"PRC_RESID","",IF(AQ$7=2005+OFFSET(COM_N_2012!$B$60,$AW345,SUMIF($B$10:$B$16,"NCAP_TLIFE",$AX$10:$AX$16)),0,""))</f>
        <v/>
      </c>
      <c r="AR345" s="369" t="str">
        <f ca="1">IF($B345&lt;&gt;"PRC_RESID","",IF(AR$7=2005+OFFSET(COM_N_2012!$B$60,$AW345,SUMIF($B$10:$B$16,"NCAP_TLIFE",$AX$10:$AX$16)),0,""))</f>
        <v/>
      </c>
      <c r="AS345" s="369" t="str">
        <f ca="1">IF($B345&lt;&gt;"PRC_RESID","",IF(AS$7=2005+OFFSET(COM_N_2012!$B$60,$AW345,SUMIF($B$10:$B$16,"NCAP_TLIFE",$AX$10:$AX$16)),0,""))</f>
        <v/>
      </c>
      <c r="AT345" s="369" t="str">
        <f ca="1">IF($B345&lt;&gt;"PRC_RESID","",IF(AT$7=2005+OFFSET(COM_N_2012!$B$60,$AW345,SUMIF($B$10:$B$16,"NCAP_TLIFE",$AX$10:$AX$16)),0,""))</f>
        <v/>
      </c>
      <c r="AU345" s="369" t="str">
        <f ca="1">IF($B345&lt;&gt;"PRC_RESID","",IF(AU$7=2005+OFFSET(COM_N_2012!$B$60,$AW345,SUMIF($B$10:$B$16,"NCAP_TLIFE",$AX$10:$AX$16)),0,""))</f>
        <v/>
      </c>
      <c r="AV345" s="304">
        <f>IF(AW344=COM_N_2012!$AK$121,AV344+1,AV344)</f>
        <v>6</v>
      </c>
      <c r="AW345" s="304">
        <f t="shared" si="45"/>
        <v>23</v>
      </c>
    </row>
    <row r="346" spans="1:49">
      <c r="A346" s="304" t="str">
        <f ca="1">IF(LEFT(OFFSET(COM_N_2012!$A$60,AW346,0),2)="\I","*","")</f>
        <v/>
      </c>
      <c r="B346" s="369" t="str">
        <f t="shared" ca="1" si="47"/>
        <v>PRC_RESID</v>
      </c>
      <c r="C346" s="369" t="str">
        <f ca="1">IF($A346="*","",OFFSET(COM_N_2012!$B$60,AW346,0))</f>
        <v>CNLELCHID-E</v>
      </c>
      <c r="D346" s="369" t="str">
        <f t="shared" ca="1" si="48"/>
        <v>-</v>
      </c>
      <c r="E346" s="369" t="str">
        <f t="shared" ca="1" si="48"/>
        <v>-</v>
      </c>
      <c r="F346" s="369" t="str">
        <f t="shared" ca="1" si="48"/>
        <v>-</v>
      </c>
      <c r="G346" s="369" t="str">
        <f t="shared" ca="1" si="48"/>
        <v>-</v>
      </c>
      <c r="H346" s="369" t="str">
        <f t="shared" ca="1" si="48"/>
        <v>-</v>
      </c>
      <c r="I346" s="370">
        <f t="shared" ca="1" si="48"/>
        <v>0</v>
      </c>
      <c r="J346" s="391">
        <f ca="1">IF($A346="*","",OFFSET(COM_N_2012!$B$60,AW346,SUMIF($B$10:$B$16,B346,$AX$10:$AX$16)))</f>
        <v>0</v>
      </c>
      <c r="K346" s="369" t="str">
        <f ca="1">IF($B346&lt;&gt;"PRC_RESID","",IF(K$7=2005+OFFSET(COM_N_2012!$B$60,$AW346,SUMIF($B$10:$B$16,"NCAP_TLIFE",$AX$10:$AX$16)),0,""))</f>
        <v/>
      </c>
      <c r="L346" s="369" t="str">
        <f ca="1">IF($B346&lt;&gt;"PRC_RESID","",IF(L$7=2005+OFFSET(COM_N_2012!$B$60,$AW346,SUMIF($B$10:$B$16,"NCAP_TLIFE",$AX$10:$AX$16)),0,""))</f>
        <v/>
      </c>
      <c r="M346" s="369" t="str">
        <f ca="1">IF($B346&lt;&gt;"PRC_RESID","",IF(M$7=2005+OFFSET(COM_N_2012!$B$60,$AW346,SUMIF($B$10:$B$16,"NCAP_TLIFE",$AX$10:$AX$16)),0,""))</f>
        <v/>
      </c>
      <c r="N346" s="369" t="str">
        <f ca="1">IF($B346&lt;&gt;"PRC_RESID","",IF(N$7=2005+OFFSET(COM_N_2012!$B$60,$AW346,SUMIF($B$10:$B$16,"NCAP_TLIFE",$AX$10:$AX$16)),0,""))</f>
        <v/>
      </c>
      <c r="O346" s="369" t="str">
        <f ca="1">IF($B346&lt;&gt;"PRC_RESID","",IF(O$7=2005+OFFSET(COM_N_2012!$B$60,$AW346,SUMIF($B$10:$B$16,"NCAP_TLIFE",$AX$10:$AX$16)),0,""))</f>
        <v/>
      </c>
      <c r="P346" s="369" t="str">
        <f ca="1">IF($B346&lt;&gt;"PRC_RESID","",IF(P$7=2005+OFFSET(COM_N_2012!$B$60,$AW346,SUMIF($B$10:$B$16,"NCAP_TLIFE",$AX$10:$AX$16)),0,""))</f>
        <v/>
      </c>
      <c r="Q346" s="369" t="str">
        <f ca="1">IF($B346&lt;&gt;"PRC_RESID","",IF(Q$7=2005+OFFSET(COM_N_2012!$B$60,$AW346,SUMIF($B$10:$B$16,"NCAP_TLIFE",$AX$10:$AX$16)),0,""))</f>
        <v/>
      </c>
      <c r="R346" s="369" t="str">
        <f ca="1">IF($B346&lt;&gt;"PRC_RESID","",IF(R$7=2005+OFFSET(COM_N_2012!$B$60,$AW346,SUMIF($B$10:$B$16,"NCAP_TLIFE",$AX$10:$AX$16)),0,""))</f>
        <v/>
      </c>
      <c r="S346" s="369" t="str">
        <f ca="1">IF($B346&lt;&gt;"PRC_RESID","",IF(S$7=2005+OFFSET(COM_N_2012!$B$60,$AW346,SUMIF($B$10:$B$16,"NCAP_TLIFE",$AX$10:$AX$16)),0,""))</f>
        <v/>
      </c>
      <c r="T346" s="369" t="str">
        <f ca="1">IF($B346&lt;&gt;"PRC_RESID","",IF(T$7=2005+OFFSET(COM_N_2012!$B$60,$AW346,SUMIF($B$10:$B$16,"NCAP_TLIFE",$AX$10:$AX$16)),0,""))</f>
        <v/>
      </c>
      <c r="U346" s="369" t="str">
        <f ca="1">IF($B346&lt;&gt;"PRC_RESID","",IF(U$7=2005+OFFSET(COM_N_2012!$B$60,$AW346,SUMIF($B$10:$B$16,"NCAP_TLIFE",$AX$10:$AX$16)),0,""))</f>
        <v/>
      </c>
      <c r="V346" s="369" t="str">
        <f ca="1">IF($B346&lt;&gt;"PRC_RESID","",IF(V$7=2005+OFFSET(COM_N_2012!$B$60,$AW346,SUMIF($B$10:$B$16,"NCAP_TLIFE",$AX$10:$AX$16)),0,""))</f>
        <v/>
      </c>
      <c r="W346" s="369" t="str">
        <f ca="1">IF($B346&lt;&gt;"PRC_RESID","",IF(W$7=2005+OFFSET(COM_N_2012!$B$60,$AW346,SUMIF($B$10:$B$16,"NCAP_TLIFE",$AX$10:$AX$16)),0,""))</f>
        <v/>
      </c>
      <c r="X346" s="369" t="str">
        <f ca="1">IF($B346&lt;&gt;"PRC_RESID","",IF(X$7=2005+OFFSET(COM_N_2012!$B$60,$AW346,SUMIF($B$10:$B$16,"NCAP_TLIFE",$AX$10:$AX$16)),0,""))</f>
        <v/>
      </c>
      <c r="Y346" s="369" t="str">
        <f ca="1">IF($B346&lt;&gt;"PRC_RESID","",IF(Y$7=2005+OFFSET(COM_N_2012!$B$60,$AW346,SUMIF($B$10:$B$16,"NCAP_TLIFE",$AX$10:$AX$16)),0,""))</f>
        <v/>
      </c>
      <c r="Z346" s="369" t="str">
        <f ca="1">IF($B346&lt;&gt;"PRC_RESID","",IF(Z$7=2005+OFFSET(COM_N_2012!$B$60,$AW346,SUMIF($B$10:$B$16,"NCAP_TLIFE",$AX$10:$AX$16)),0,""))</f>
        <v/>
      </c>
      <c r="AA346" s="369" t="str">
        <f ca="1">IF($B346&lt;&gt;"PRC_RESID","",IF(AA$7=2005+OFFSET(COM_N_2012!$B$60,$AW346,SUMIF($B$10:$B$16,"NCAP_TLIFE",$AX$10:$AX$16)),0,""))</f>
        <v/>
      </c>
      <c r="AB346" s="369" t="str">
        <f ca="1">IF($B346&lt;&gt;"PRC_RESID","",IF(AB$7=2005+OFFSET(COM_N_2012!$B$60,$AW346,SUMIF($B$10:$B$16,"NCAP_TLIFE",$AX$10:$AX$16)),0,""))</f>
        <v/>
      </c>
      <c r="AC346" s="369" t="str">
        <f ca="1">IF($B346&lt;&gt;"PRC_RESID","",IF(AC$7=2005+OFFSET(COM_N_2012!$B$60,$AW346,SUMIF($B$10:$B$16,"NCAP_TLIFE",$AX$10:$AX$16)),0,""))</f>
        <v/>
      </c>
      <c r="AD346" s="369" t="str">
        <f ca="1">IF($B346&lt;&gt;"PRC_RESID","",IF(AD$7=2005+OFFSET(COM_N_2012!$B$60,$AW346,SUMIF($B$10:$B$16,"NCAP_TLIFE",$AX$10:$AX$16)),0,""))</f>
        <v/>
      </c>
      <c r="AE346" s="369" t="str">
        <f ca="1">IF($B346&lt;&gt;"PRC_RESID","",IF(AE$7=2005+OFFSET(COM_N_2012!$B$60,$AW346,SUMIF($B$10:$B$16,"NCAP_TLIFE",$AX$10:$AX$16)),0,""))</f>
        <v/>
      </c>
      <c r="AF346" s="369" t="str">
        <f ca="1">IF($B346&lt;&gt;"PRC_RESID","",IF(AF$7=2005+OFFSET(COM_N_2012!$B$60,$AW346,SUMIF($B$10:$B$16,"NCAP_TLIFE",$AX$10:$AX$16)),0,""))</f>
        <v/>
      </c>
      <c r="AG346" s="369" t="str">
        <f ca="1">IF($B346&lt;&gt;"PRC_RESID","",IF(AG$7=2005+OFFSET(COM_N_2012!$B$60,$AW346,SUMIF($B$10:$B$16,"NCAP_TLIFE",$AX$10:$AX$16)),0,""))</f>
        <v/>
      </c>
      <c r="AH346" s="369" t="str">
        <f ca="1">IF($B346&lt;&gt;"PRC_RESID","",IF(AH$7=2005+OFFSET(COM_N_2012!$B$60,$AW346,SUMIF($B$10:$B$16,"NCAP_TLIFE",$AX$10:$AX$16)),0,""))</f>
        <v/>
      </c>
      <c r="AI346" s="369" t="str">
        <f ca="1">IF($B346&lt;&gt;"PRC_RESID","",IF(AI$7=2005+OFFSET(COM_N_2012!$B$60,$AW346,SUMIF($B$10:$B$16,"NCAP_TLIFE",$AX$10:$AX$16)),0,""))</f>
        <v/>
      </c>
      <c r="AJ346" s="369" t="str">
        <f ca="1">IF($B346&lt;&gt;"PRC_RESID","",IF(AJ$7=2005+OFFSET(COM_N_2012!$B$60,$AW346,SUMIF($B$10:$B$16,"NCAP_TLIFE",$AX$10:$AX$16)),0,""))</f>
        <v/>
      </c>
      <c r="AK346" s="369" t="str">
        <f ca="1">IF($B346&lt;&gt;"PRC_RESID","",IF(AK$7=2005+OFFSET(COM_N_2012!$B$60,$AW346,SUMIF($B$10:$B$16,"NCAP_TLIFE",$AX$10:$AX$16)),0,""))</f>
        <v/>
      </c>
      <c r="AL346" s="369" t="str">
        <f ca="1">IF($B346&lt;&gt;"PRC_RESID","",IF(AL$7=2005+OFFSET(COM_N_2012!$B$60,$AW346,SUMIF($B$10:$B$16,"NCAP_TLIFE",$AX$10:$AX$16)),0,""))</f>
        <v/>
      </c>
      <c r="AM346" s="369" t="str">
        <f ca="1">IF($B346&lt;&gt;"PRC_RESID","",IF(AM$7=2005+OFFSET(COM_N_2012!$B$60,$AW346,SUMIF($B$10:$B$16,"NCAP_TLIFE",$AX$10:$AX$16)),0,""))</f>
        <v/>
      </c>
      <c r="AN346" s="369" t="str">
        <f ca="1">IF($B346&lt;&gt;"PRC_RESID","",IF(AN$7=2005+OFFSET(COM_N_2012!$B$60,$AW346,SUMIF($B$10:$B$16,"NCAP_TLIFE",$AX$10:$AX$16)),0,""))</f>
        <v/>
      </c>
      <c r="AO346" s="369" t="str">
        <f ca="1">IF($B346&lt;&gt;"PRC_RESID","",IF(AO$7=2005+OFFSET(COM_N_2012!$B$60,$AW346,SUMIF($B$10:$B$16,"NCAP_TLIFE",$AX$10:$AX$16)),0,""))</f>
        <v/>
      </c>
      <c r="AP346" s="369" t="str">
        <f ca="1">IF($B346&lt;&gt;"PRC_RESID","",IF(AP$7=2005+OFFSET(COM_N_2012!$B$60,$AW346,SUMIF($B$10:$B$16,"NCAP_TLIFE",$AX$10:$AX$16)),0,""))</f>
        <v/>
      </c>
      <c r="AQ346" s="369" t="str">
        <f ca="1">IF($B346&lt;&gt;"PRC_RESID","",IF(AQ$7=2005+OFFSET(COM_N_2012!$B$60,$AW346,SUMIF($B$10:$B$16,"NCAP_TLIFE",$AX$10:$AX$16)),0,""))</f>
        <v/>
      </c>
      <c r="AR346" s="369" t="str">
        <f ca="1">IF($B346&lt;&gt;"PRC_RESID","",IF(AR$7=2005+OFFSET(COM_N_2012!$B$60,$AW346,SUMIF($B$10:$B$16,"NCAP_TLIFE",$AX$10:$AX$16)),0,""))</f>
        <v/>
      </c>
      <c r="AS346" s="369" t="str">
        <f ca="1">IF($B346&lt;&gt;"PRC_RESID","",IF(AS$7=2005+OFFSET(COM_N_2012!$B$60,$AW346,SUMIF($B$10:$B$16,"NCAP_TLIFE",$AX$10:$AX$16)),0,""))</f>
        <v/>
      </c>
      <c r="AT346" s="369" t="str">
        <f ca="1">IF($B346&lt;&gt;"PRC_RESID","",IF(AT$7=2005+OFFSET(COM_N_2012!$B$60,$AW346,SUMIF($B$10:$B$16,"NCAP_TLIFE",$AX$10:$AX$16)),0,""))</f>
        <v/>
      </c>
      <c r="AU346" s="369" t="str">
        <f ca="1">IF($B346&lt;&gt;"PRC_RESID","",IF(AU$7=2005+OFFSET(COM_N_2012!$B$60,$AW346,SUMIF($B$10:$B$16,"NCAP_TLIFE",$AX$10:$AX$16)),0,""))</f>
        <v/>
      </c>
      <c r="AV346" s="304">
        <f>IF(AW345=COM_N_2012!$AK$121,AV345+1,AV345)</f>
        <v>6</v>
      </c>
      <c r="AW346" s="304">
        <f t="shared" si="45"/>
        <v>24</v>
      </c>
    </row>
    <row r="347" spans="1:49">
      <c r="A347" s="304" t="str">
        <f ca="1">IF(LEFT(OFFSET(COM_N_2012!$A$60,AW347,0),2)="\I","*","")</f>
        <v/>
      </c>
      <c r="B347" s="369" t="str">
        <f t="shared" ca="1" si="47"/>
        <v>PRC_RESID</v>
      </c>
      <c r="C347" s="369" t="str">
        <f ca="1">IF($A347="*","",OFFSET(COM_N_2012!$B$60,AW347,0))</f>
        <v>CNLELCINC-E</v>
      </c>
      <c r="D347" s="369" t="str">
        <f t="shared" ca="1" si="48"/>
        <v>-</v>
      </c>
      <c r="E347" s="369" t="str">
        <f t="shared" ca="1" si="48"/>
        <v>-</v>
      </c>
      <c r="F347" s="369" t="str">
        <f t="shared" ca="1" si="48"/>
        <v>-</v>
      </c>
      <c r="G347" s="369" t="str">
        <f t="shared" ca="1" si="48"/>
        <v>-</v>
      </c>
      <c r="H347" s="369" t="str">
        <f t="shared" ca="1" si="48"/>
        <v>-</v>
      </c>
      <c r="I347" s="370">
        <f t="shared" ca="1" si="48"/>
        <v>0</v>
      </c>
      <c r="J347" s="391">
        <f ca="1">IF($A347="*","",OFFSET(COM_N_2012!$B$60,AW347,SUMIF($B$10:$B$16,B347,$AX$10:$AX$16)))</f>
        <v>0</v>
      </c>
      <c r="K347" s="369" t="str">
        <f ca="1">IF($B347&lt;&gt;"PRC_RESID","",IF(K$7=2005+OFFSET(COM_N_2012!$B$60,$AW347,SUMIF($B$10:$B$16,"NCAP_TLIFE",$AX$10:$AX$16)),0,""))</f>
        <v/>
      </c>
      <c r="L347" s="369" t="str">
        <f ca="1">IF($B347&lt;&gt;"PRC_RESID","",IF(L$7=2005+OFFSET(COM_N_2012!$B$60,$AW347,SUMIF($B$10:$B$16,"NCAP_TLIFE",$AX$10:$AX$16)),0,""))</f>
        <v/>
      </c>
      <c r="M347" s="369" t="str">
        <f ca="1">IF($B347&lt;&gt;"PRC_RESID","",IF(M$7=2005+OFFSET(COM_N_2012!$B$60,$AW347,SUMIF($B$10:$B$16,"NCAP_TLIFE",$AX$10:$AX$16)),0,""))</f>
        <v/>
      </c>
      <c r="N347" s="369" t="str">
        <f ca="1">IF($B347&lt;&gt;"PRC_RESID","",IF(N$7=2005+OFFSET(COM_N_2012!$B$60,$AW347,SUMIF($B$10:$B$16,"NCAP_TLIFE",$AX$10:$AX$16)),0,""))</f>
        <v/>
      </c>
      <c r="O347" s="369" t="str">
        <f ca="1">IF($B347&lt;&gt;"PRC_RESID","",IF(O$7=2005+OFFSET(COM_N_2012!$B$60,$AW347,SUMIF($B$10:$B$16,"NCAP_TLIFE",$AX$10:$AX$16)),0,""))</f>
        <v/>
      </c>
      <c r="P347" s="369" t="str">
        <f ca="1">IF($B347&lt;&gt;"PRC_RESID","",IF(P$7=2005+OFFSET(COM_N_2012!$B$60,$AW347,SUMIF($B$10:$B$16,"NCAP_TLIFE",$AX$10:$AX$16)),0,""))</f>
        <v/>
      </c>
      <c r="Q347" s="369" t="str">
        <f ca="1">IF($B347&lt;&gt;"PRC_RESID","",IF(Q$7=2005+OFFSET(COM_N_2012!$B$60,$AW347,SUMIF($B$10:$B$16,"NCAP_TLIFE",$AX$10:$AX$16)),0,""))</f>
        <v/>
      </c>
      <c r="R347" s="369" t="str">
        <f ca="1">IF($B347&lt;&gt;"PRC_RESID","",IF(R$7=2005+OFFSET(COM_N_2012!$B$60,$AW347,SUMIF($B$10:$B$16,"NCAP_TLIFE",$AX$10:$AX$16)),0,""))</f>
        <v/>
      </c>
      <c r="S347" s="369" t="str">
        <f ca="1">IF($B347&lt;&gt;"PRC_RESID","",IF(S$7=2005+OFFSET(COM_N_2012!$B$60,$AW347,SUMIF($B$10:$B$16,"NCAP_TLIFE",$AX$10:$AX$16)),0,""))</f>
        <v/>
      </c>
      <c r="T347" s="369" t="str">
        <f ca="1">IF($B347&lt;&gt;"PRC_RESID","",IF(T$7=2005+OFFSET(COM_N_2012!$B$60,$AW347,SUMIF($B$10:$B$16,"NCAP_TLIFE",$AX$10:$AX$16)),0,""))</f>
        <v/>
      </c>
      <c r="U347" s="369" t="str">
        <f ca="1">IF($B347&lt;&gt;"PRC_RESID","",IF(U$7=2005+OFFSET(COM_N_2012!$B$60,$AW347,SUMIF($B$10:$B$16,"NCAP_TLIFE",$AX$10:$AX$16)),0,""))</f>
        <v/>
      </c>
      <c r="V347" s="369" t="str">
        <f ca="1">IF($B347&lt;&gt;"PRC_RESID","",IF(V$7=2005+OFFSET(COM_N_2012!$B$60,$AW347,SUMIF($B$10:$B$16,"NCAP_TLIFE",$AX$10:$AX$16)),0,""))</f>
        <v/>
      </c>
      <c r="W347" s="369" t="str">
        <f ca="1">IF($B347&lt;&gt;"PRC_RESID","",IF(W$7=2005+OFFSET(COM_N_2012!$B$60,$AW347,SUMIF($B$10:$B$16,"NCAP_TLIFE",$AX$10:$AX$16)),0,""))</f>
        <v/>
      </c>
      <c r="X347" s="369" t="str">
        <f ca="1">IF($B347&lt;&gt;"PRC_RESID","",IF(X$7=2005+OFFSET(COM_N_2012!$B$60,$AW347,SUMIF($B$10:$B$16,"NCAP_TLIFE",$AX$10:$AX$16)),0,""))</f>
        <v/>
      </c>
      <c r="Y347" s="369" t="str">
        <f ca="1">IF($B347&lt;&gt;"PRC_RESID","",IF(Y$7=2005+OFFSET(COM_N_2012!$B$60,$AW347,SUMIF($B$10:$B$16,"NCAP_TLIFE",$AX$10:$AX$16)),0,""))</f>
        <v/>
      </c>
      <c r="Z347" s="369" t="str">
        <f ca="1">IF($B347&lt;&gt;"PRC_RESID","",IF(Z$7=2005+OFFSET(COM_N_2012!$B$60,$AW347,SUMIF($B$10:$B$16,"NCAP_TLIFE",$AX$10:$AX$16)),0,""))</f>
        <v/>
      </c>
      <c r="AA347" s="369" t="str">
        <f ca="1">IF($B347&lt;&gt;"PRC_RESID","",IF(AA$7=2005+OFFSET(COM_N_2012!$B$60,$AW347,SUMIF($B$10:$B$16,"NCAP_TLIFE",$AX$10:$AX$16)),0,""))</f>
        <v/>
      </c>
      <c r="AB347" s="369" t="str">
        <f ca="1">IF($B347&lt;&gt;"PRC_RESID","",IF(AB$7=2005+OFFSET(COM_N_2012!$B$60,$AW347,SUMIF($B$10:$B$16,"NCAP_TLIFE",$AX$10:$AX$16)),0,""))</f>
        <v/>
      </c>
      <c r="AC347" s="369" t="str">
        <f ca="1">IF($B347&lt;&gt;"PRC_RESID","",IF(AC$7=2005+OFFSET(COM_N_2012!$B$60,$AW347,SUMIF($B$10:$B$16,"NCAP_TLIFE",$AX$10:$AX$16)),0,""))</f>
        <v/>
      </c>
      <c r="AD347" s="369" t="str">
        <f ca="1">IF($B347&lt;&gt;"PRC_RESID","",IF(AD$7=2005+OFFSET(COM_N_2012!$B$60,$AW347,SUMIF($B$10:$B$16,"NCAP_TLIFE",$AX$10:$AX$16)),0,""))</f>
        <v/>
      </c>
      <c r="AE347" s="369" t="str">
        <f ca="1">IF($B347&lt;&gt;"PRC_RESID","",IF(AE$7=2005+OFFSET(COM_N_2012!$B$60,$AW347,SUMIF($B$10:$B$16,"NCAP_TLIFE",$AX$10:$AX$16)),0,""))</f>
        <v/>
      </c>
      <c r="AF347" s="369" t="str">
        <f ca="1">IF($B347&lt;&gt;"PRC_RESID","",IF(AF$7=2005+OFFSET(COM_N_2012!$B$60,$AW347,SUMIF($B$10:$B$16,"NCAP_TLIFE",$AX$10:$AX$16)),0,""))</f>
        <v/>
      </c>
      <c r="AG347" s="369" t="str">
        <f ca="1">IF($B347&lt;&gt;"PRC_RESID","",IF(AG$7=2005+OFFSET(COM_N_2012!$B$60,$AW347,SUMIF($B$10:$B$16,"NCAP_TLIFE",$AX$10:$AX$16)),0,""))</f>
        <v/>
      </c>
      <c r="AH347" s="369" t="str">
        <f ca="1">IF($B347&lt;&gt;"PRC_RESID","",IF(AH$7=2005+OFFSET(COM_N_2012!$B$60,$AW347,SUMIF($B$10:$B$16,"NCAP_TLIFE",$AX$10:$AX$16)),0,""))</f>
        <v/>
      </c>
      <c r="AI347" s="369" t="str">
        <f ca="1">IF($B347&lt;&gt;"PRC_RESID","",IF(AI$7=2005+OFFSET(COM_N_2012!$B$60,$AW347,SUMIF($B$10:$B$16,"NCAP_TLIFE",$AX$10:$AX$16)),0,""))</f>
        <v/>
      </c>
      <c r="AJ347" s="369" t="str">
        <f ca="1">IF($B347&lt;&gt;"PRC_RESID","",IF(AJ$7=2005+OFFSET(COM_N_2012!$B$60,$AW347,SUMIF($B$10:$B$16,"NCAP_TLIFE",$AX$10:$AX$16)),0,""))</f>
        <v/>
      </c>
      <c r="AK347" s="369" t="str">
        <f ca="1">IF($B347&lt;&gt;"PRC_RESID","",IF(AK$7=2005+OFFSET(COM_N_2012!$B$60,$AW347,SUMIF($B$10:$B$16,"NCAP_TLIFE",$AX$10:$AX$16)),0,""))</f>
        <v/>
      </c>
      <c r="AL347" s="369" t="str">
        <f ca="1">IF($B347&lt;&gt;"PRC_RESID","",IF(AL$7=2005+OFFSET(COM_N_2012!$B$60,$AW347,SUMIF($B$10:$B$16,"NCAP_TLIFE",$AX$10:$AX$16)),0,""))</f>
        <v/>
      </c>
      <c r="AM347" s="369" t="str">
        <f ca="1">IF($B347&lt;&gt;"PRC_RESID","",IF(AM$7=2005+OFFSET(COM_N_2012!$B$60,$AW347,SUMIF($B$10:$B$16,"NCAP_TLIFE",$AX$10:$AX$16)),0,""))</f>
        <v/>
      </c>
      <c r="AN347" s="369" t="str">
        <f ca="1">IF($B347&lt;&gt;"PRC_RESID","",IF(AN$7=2005+OFFSET(COM_N_2012!$B$60,$AW347,SUMIF($B$10:$B$16,"NCAP_TLIFE",$AX$10:$AX$16)),0,""))</f>
        <v/>
      </c>
      <c r="AO347" s="369" t="str">
        <f ca="1">IF($B347&lt;&gt;"PRC_RESID","",IF(AO$7=2005+OFFSET(COM_N_2012!$B$60,$AW347,SUMIF($B$10:$B$16,"NCAP_TLIFE",$AX$10:$AX$16)),0,""))</f>
        <v/>
      </c>
      <c r="AP347" s="369" t="str">
        <f ca="1">IF($B347&lt;&gt;"PRC_RESID","",IF(AP$7=2005+OFFSET(COM_N_2012!$B$60,$AW347,SUMIF($B$10:$B$16,"NCAP_TLIFE",$AX$10:$AX$16)),0,""))</f>
        <v/>
      </c>
      <c r="AQ347" s="369" t="str">
        <f ca="1">IF($B347&lt;&gt;"PRC_RESID","",IF(AQ$7=2005+OFFSET(COM_N_2012!$B$60,$AW347,SUMIF($B$10:$B$16,"NCAP_TLIFE",$AX$10:$AX$16)),0,""))</f>
        <v/>
      </c>
      <c r="AR347" s="369" t="str">
        <f ca="1">IF($B347&lt;&gt;"PRC_RESID","",IF(AR$7=2005+OFFSET(COM_N_2012!$B$60,$AW347,SUMIF($B$10:$B$16,"NCAP_TLIFE",$AX$10:$AX$16)),0,""))</f>
        <v/>
      </c>
      <c r="AS347" s="369" t="str">
        <f ca="1">IF($B347&lt;&gt;"PRC_RESID","",IF(AS$7=2005+OFFSET(COM_N_2012!$B$60,$AW347,SUMIF($B$10:$B$16,"NCAP_TLIFE",$AX$10:$AX$16)),0,""))</f>
        <v/>
      </c>
      <c r="AT347" s="369" t="str">
        <f ca="1">IF($B347&lt;&gt;"PRC_RESID","",IF(AT$7=2005+OFFSET(COM_N_2012!$B$60,$AW347,SUMIF($B$10:$B$16,"NCAP_TLIFE",$AX$10:$AX$16)),0,""))</f>
        <v/>
      </c>
      <c r="AU347" s="369" t="str">
        <f ca="1">IF($B347&lt;&gt;"PRC_RESID","",IF(AU$7=2005+OFFSET(COM_N_2012!$B$60,$AW347,SUMIF($B$10:$B$16,"NCAP_TLIFE",$AX$10:$AX$16)),0,""))</f>
        <v/>
      </c>
      <c r="AV347" s="304">
        <f>IF(AW346=COM_N_2012!$AK$121,AV346+1,AV346)</f>
        <v>6</v>
      </c>
      <c r="AW347" s="304">
        <f t="shared" si="45"/>
        <v>25</v>
      </c>
    </row>
    <row r="348" spans="1:49">
      <c r="A348" s="304" t="str">
        <f ca="1">IF(LEFT(OFFSET(COM_N_2012!$A$60,AW348,0),2)="\I","*","")</f>
        <v/>
      </c>
      <c r="B348" s="369" t="str">
        <f t="shared" ca="1" si="47"/>
        <v>PRC_RESID</v>
      </c>
      <c r="C348" s="369" t="str">
        <f ca="1">IF($A348="*","",OFFSET(COM_N_2012!$B$60,AW348,0))</f>
        <v>CNLELCLED-N</v>
      </c>
      <c r="D348" s="369" t="str">
        <f t="shared" ca="1" si="48"/>
        <v>-</v>
      </c>
      <c r="E348" s="369" t="str">
        <f t="shared" ca="1" si="48"/>
        <v>-</v>
      </c>
      <c r="F348" s="369" t="str">
        <f t="shared" ca="1" si="48"/>
        <v>-</v>
      </c>
      <c r="G348" s="369" t="str">
        <f t="shared" ca="1" si="48"/>
        <v>-</v>
      </c>
      <c r="H348" s="369" t="str">
        <f t="shared" ca="1" si="48"/>
        <v>-</v>
      </c>
      <c r="I348" s="370">
        <f t="shared" ca="1" si="48"/>
        <v>0</v>
      </c>
      <c r="J348" s="391">
        <f ca="1">IF($A348="*","",OFFSET(COM_N_2012!$B$60,AW348,SUMIF($B$10:$B$16,B348,$AX$10:$AX$16)))</f>
        <v>0</v>
      </c>
      <c r="K348" s="369" t="str">
        <f ca="1">IF($B348&lt;&gt;"PRC_RESID","",IF(K$7=2005+OFFSET(COM_N_2012!$B$60,$AW348,SUMIF($B$10:$B$16,"NCAP_TLIFE",$AX$10:$AX$16)),0,""))</f>
        <v/>
      </c>
      <c r="L348" s="369" t="str">
        <f ca="1">IF($B348&lt;&gt;"PRC_RESID","",IF(L$7=2005+OFFSET(COM_N_2012!$B$60,$AW348,SUMIF($B$10:$B$16,"NCAP_TLIFE",$AX$10:$AX$16)),0,""))</f>
        <v/>
      </c>
      <c r="M348" s="369">
        <f ca="1">IF($B348&lt;&gt;"PRC_RESID","",IF(M$7=2005+OFFSET(COM_N_2012!$B$60,$AW348,SUMIF($B$10:$B$16,"NCAP_TLIFE",$AX$10:$AX$16)),0,""))</f>
        <v>0</v>
      </c>
      <c r="N348" s="369" t="str">
        <f ca="1">IF($B348&lt;&gt;"PRC_RESID","",IF(N$7=2005+OFFSET(COM_N_2012!$B$60,$AW348,SUMIF($B$10:$B$16,"NCAP_TLIFE",$AX$10:$AX$16)),0,""))</f>
        <v/>
      </c>
      <c r="O348" s="369" t="str">
        <f ca="1">IF($B348&lt;&gt;"PRC_RESID","",IF(O$7=2005+OFFSET(COM_N_2012!$B$60,$AW348,SUMIF($B$10:$B$16,"NCAP_TLIFE",$AX$10:$AX$16)),0,""))</f>
        <v/>
      </c>
      <c r="P348" s="369" t="str">
        <f ca="1">IF($B348&lt;&gt;"PRC_RESID","",IF(P$7=2005+OFFSET(COM_N_2012!$B$60,$AW348,SUMIF($B$10:$B$16,"NCAP_TLIFE",$AX$10:$AX$16)),0,""))</f>
        <v/>
      </c>
      <c r="Q348" s="369" t="str">
        <f ca="1">IF($B348&lt;&gt;"PRC_RESID","",IF(Q$7=2005+OFFSET(COM_N_2012!$B$60,$AW348,SUMIF($B$10:$B$16,"NCAP_TLIFE",$AX$10:$AX$16)),0,""))</f>
        <v/>
      </c>
      <c r="R348" s="369" t="str">
        <f ca="1">IF($B348&lt;&gt;"PRC_RESID","",IF(R$7=2005+OFFSET(COM_N_2012!$B$60,$AW348,SUMIF($B$10:$B$16,"NCAP_TLIFE",$AX$10:$AX$16)),0,""))</f>
        <v/>
      </c>
      <c r="S348" s="369" t="str">
        <f ca="1">IF($B348&lt;&gt;"PRC_RESID","",IF(S$7=2005+OFFSET(COM_N_2012!$B$60,$AW348,SUMIF($B$10:$B$16,"NCAP_TLIFE",$AX$10:$AX$16)),0,""))</f>
        <v/>
      </c>
      <c r="T348" s="369" t="str">
        <f ca="1">IF($B348&lt;&gt;"PRC_RESID","",IF(T$7=2005+OFFSET(COM_N_2012!$B$60,$AW348,SUMIF($B$10:$B$16,"NCAP_TLIFE",$AX$10:$AX$16)),0,""))</f>
        <v/>
      </c>
      <c r="U348" s="369" t="str">
        <f ca="1">IF($B348&lt;&gt;"PRC_RESID","",IF(U$7=2005+OFFSET(COM_N_2012!$B$60,$AW348,SUMIF($B$10:$B$16,"NCAP_TLIFE",$AX$10:$AX$16)),0,""))</f>
        <v/>
      </c>
      <c r="V348" s="369" t="str">
        <f ca="1">IF($B348&lt;&gt;"PRC_RESID","",IF(V$7=2005+OFFSET(COM_N_2012!$B$60,$AW348,SUMIF($B$10:$B$16,"NCAP_TLIFE",$AX$10:$AX$16)),0,""))</f>
        <v/>
      </c>
      <c r="W348" s="369" t="str">
        <f ca="1">IF($B348&lt;&gt;"PRC_RESID","",IF(W$7=2005+OFFSET(COM_N_2012!$B$60,$AW348,SUMIF($B$10:$B$16,"NCAP_TLIFE",$AX$10:$AX$16)),0,""))</f>
        <v/>
      </c>
      <c r="X348" s="369" t="str">
        <f ca="1">IF($B348&lt;&gt;"PRC_RESID","",IF(X$7=2005+OFFSET(COM_N_2012!$B$60,$AW348,SUMIF($B$10:$B$16,"NCAP_TLIFE",$AX$10:$AX$16)),0,""))</f>
        <v/>
      </c>
      <c r="Y348" s="369" t="str">
        <f ca="1">IF($B348&lt;&gt;"PRC_RESID","",IF(Y$7=2005+OFFSET(COM_N_2012!$B$60,$AW348,SUMIF($B$10:$B$16,"NCAP_TLIFE",$AX$10:$AX$16)),0,""))</f>
        <v/>
      </c>
      <c r="Z348" s="369" t="str">
        <f ca="1">IF($B348&lt;&gt;"PRC_RESID","",IF(Z$7=2005+OFFSET(COM_N_2012!$B$60,$AW348,SUMIF($B$10:$B$16,"NCAP_TLIFE",$AX$10:$AX$16)),0,""))</f>
        <v/>
      </c>
      <c r="AA348" s="369" t="str">
        <f ca="1">IF($B348&lt;&gt;"PRC_RESID","",IF(AA$7=2005+OFFSET(COM_N_2012!$B$60,$AW348,SUMIF($B$10:$B$16,"NCAP_TLIFE",$AX$10:$AX$16)),0,""))</f>
        <v/>
      </c>
      <c r="AB348" s="369" t="str">
        <f ca="1">IF($B348&lt;&gt;"PRC_RESID","",IF(AB$7=2005+OFFSET(COM_N_2012!$B$60,$AW348,SUMIF($B$10:$B$16,"NCAP_TLIFE",$AX$10:$AX$16)),0,""))</f>
        <v/>
      </c>
      <c r="AC348" s="369" t="str">
        <f ca="1">IF($B348&lt;&gt;"PRC_RESID","",IF(AC$7=2005+OFFSET(COM_N_2012!$B$60,$AW348,SUMIF($B$10:$B$16,"NCAP_TLIFE",$AX$10:$AX$16)),0,""))</f>
        <v/>
      </c>
      <c r="AD348" s="369" t="str">
        <f ca="1">IF($B348&lt;&gt;"PRC_RESID","",IF(AD$7=2005+OFFSET(COM_N_2012!$B$60,$AW348,SUMIF($B$10:$B$16,"NCAP_TLIFE",$AX$10:$AX$16)),0,""))</f>
        <v/>
      </c>
      <c r="AE348" s="369" t="str">
        <f ca="1">IF($B348&lt;&gt;"PRC_RESID","",IF(AE$7=2005+OFFSET(COM_N_2012!$B$60,$AW348,SUMIF($B$10:$B$16,"NCAP_TLIFE",$AX$10:$AX$16)),0,""))</f>
        <v/>
      </c>
      <c r="AF348" s="369" t="str">
        <f ca="1">IF($B348&lt;&gt;"PRC_RESID","",IF(AF$7=2005+OFFSET(COM_N_2012!$B$60,$AW348,SUMIF($B$10:$B$16,"NCAP_TLIFE",$AX$10:$AX$16)),0,""))</f>
        <v/>
      </c>
      <c r="AG348" s="369" t="str">
        <f ca="1">IF($B348&lt;&gt;"PRC_RESID","",IF(AG$7=2005+OFFSET(COM_N_2012!$B$60,$AW348,SUMIF($B$10:$B$16,"NCAP_TLIFE",$AX$10:$AX$16)),0,""))</f>
        <v/>
      </c>
      <c r="AH348" s="369" t="str">
        <f ca="1">IF($B348&lt;&gt;"PRC_RESID","",IF(AH$7=2005+OFFSET(COM_N_2012!$B$60,$AW348,SUMIF($B$10:$B$16,"NCAP_TLIFE",$AX$10:$AX$16)),0,""))</f>
        <v/>
      </c>
      <c r="AI348" s="369" t="str">
        <f ca="1">IF($B348&lt;&gt;"PRC_RESID","",IF(AI$7=2005+OFFSET(COM_N_2012!$B$60,$AW348,SUMIF($B$10:$B$16,"NCAP_TLIFE",$AX$10:$AX$16)),0,""))</f>
        <v/>
      </c>
      <c r="AJ348" s="369" t="str">
        <f ca="1">IF($B348&lt;&gt;"PRC_RESID","",IF(AJ$7=2005+OFFSET(COM_N_2012!$B$60,$AW348,SUMIF($B$10:$B$16,"NCAP_TLIFE",$AX$10:$AX$16)),0,""))</f>
        <v/>
      </c>
      <c r="AK348" s="369" t="str">
        <f ca="1">IF($B348&lt;&gt;"PRC_RESID","",IF(AK$7=2005+OFFSET(COM_N_2012!$B$60,$AW348,SUMIF($B$10:$B$16,"NCAP_TLIFE",$AX$10:$AX$16)),0,""))</f>
        <v/>
      </c>
      <c r="AL348" s="369" t="str">
        <f ca="1">IF($B348&lt;&gt;"PRC_RESID","",IF(AL$7=2005+OFFSET(COM_N_2012!$B$60,$AW348,SUMIF($B$10:$B$16,"NCAP_TLIFE",$AX$10:$AX$16)),0,""))</f>
        <v/>
      </c>
      <c r="AM348" s="369" t="str">
        <f ca="1">IF($B348&lt;&gt;"PRC_RESID","",IF(AM$7=2005+OFFSET(COM_N_2012!$B$60,$AW348,SUMIF($B$10:$B$16,"NCAP_TLIFE",$AX$10:$AX$16)),0,""))</f>
        <v/>
      </c>
      <c r="AN348" s="369" t="str">
        <f ca="1">IF($B348&lt;&gt;"PRC_RESID","",IF(AN$7=2005+OFFSET(COM_N_2012!$B$60,$AW348,SUMIF($B$10:$B$16,"NCAP_TLIFE",$AX$10:$AX$16)),0,""))</f>
        <v/>
      </c>
      <c r="AO348" s="369" t="str">
        <f ca="1">IF($B348&lt;&gt;"PRC_RESID","",IF(AO$7=2005+OFFSET(COM_N_2012!$B$60,$AW348,SUMIF($B$10:$B$16,"NCAP_TLIFE",$AX$10:$AX$16)),0,""))</f>
        <v/>
      </c>
      <c r="AP348" s="369" t="str">
        <f ca="1">IF($B348&lt;&gt;"PRC_RESID","",IF(AP$7=2005+OFFSET(COM_N_2012!$B$60,$AW348,SUMIF($B$10:$B$16,"NCAP_TLIFE",$AX$10:$AX$16)),0,""))</f>
        <v/>
      </c>
      <c r="AQ348" s="369" t="str">
        <f ca="1">IF($B348&lt;&gt;"PRC_RESID","",IF(AQ$7=2005+OFFSET(COM_N_2012!$B$60,$AW348,SUMIF($B$10:$B$16,"NCAP_TLIFE",$AX$10:$AX$16)),0,""))</f>
        <v/>
      </c>
      <c r="AR348" s="369" t="str">
        <f ca="1">IF($B348&lt;&gt;"PRC_RESID","",IF(AR$7=2005+OFFSET(COM_N_2012!$B$60,$AW348,SUMIF($B$10:$B$16,"NCAP_TLIFE",$AX$10:$AX$16)),0,""))</f>
        <v/>
      </c>
      <c r="AS348" s="369" t="str">
        <f ca="1">IF($B348&lt;&gt;"PRC_RESID","",IF(AS$7=2005+OFFSET(COM_N_2012!$B$60,$AW348,SUMIF($B$10:$B$16,"NCAP_TLIFE",$AX$10:$AX$16)),0,""))</f>
        <v/>
      </c>
      <c r="AT348" s="369" t="str">
        <f ca="1">IF($B348&lt;&gt;"PRC_RESID","",IF(AT$7=2005+OFFSET(COM_N_2012!$B$60,$AW348,SUMIF($B$10:$B$16,"NCAP_TLIFE",$AX$10:$AX$16)),0,""))</f>
        <v/>
      </c>
      <c r="AU348" s="369" t="str">
        <f ca="1">IF($B348&lt;&gt;"PRC_RESID","",IF(AU$7=2005+OFFSET(COM_N_2012!$B$60,$AW348,SUMIF($B$10:$B$16,"NCAP_TLIFE",$AX$10:$AX$16)),0,""))</f>
        <v/>
      </c>
      <c r="AV348" s="304">
        <f>IF(AW347=COM_N_2012!$AK$121,AV347+1,AV347)</f>
        <v>6</v>
      </c>
      <c r="AW348" s="304">
        <f t="shared" si="45"/>
        <v>26</v>
      </c>
    </row>
    <row r="349" spans="1:49">
      <c r="A349" s="304" t="str">
        <f ca="1">IF(LEFT(OFFSET(COM_N_2012!$A$60,AW349,0),2)="\I","*","")</f>
        <v>*</v>
      </c>
      <c r="B349" s="369" t="str">
        <f t="shared" ca="1" si="47"/>
        <v/>
      </c>
      <c r="C349" s="369" t="str">
        <f ca="1">IF($A349="*","",OFFSET(COM_N_2012!$B$60,AW349,0))</f>
        <v/>
      </c>
      <c r="D349" s="369" t="str">
        <f t="shared" ca="1" si="48"/>
        <v/>
      </c>
      <c r="E349" s="369" t="str">
        <f t="shared" ca="1" si="48"/>
        <v/>
      </c>
      <c r="F349" s="369" t="str">
        <f t="shared" ca="1" si="48"/>
        <v/>
      </c>
      <c r="G349" s="369" t="str">
        <f t="shared" ca="1" si="48"/>
        <v/>
      </c>
      <c r="H349" s="369" t="str">
        <f t="shared" ca="1" si="48"/>
        <v/>
      </c>
      <c r="I349" s="370" t="str">
        <f t="shared" ca="1" si="48"/>
        <v/>
      </c>
      <c r="J349" s="391" t="str">
        <f ca="1">IF($A349="*","",OFFSET(COM_N_2012!$B$60,AW349,SUMIF($B$10:$B$16,B349,$AX$10:$AX$16)))</f>
        <v/>
      </c>
      <c r="K349" s="369" t="str">
        <f ca="1">IF($B349&lt;&gt;"PRC_RESID","",IF(K$7=2005+OFFSET(COM_N_2012!$B$60,$AW349,SUMIF($B$10:$B$16,"NCAP_TLIFE",$AX$10:$AX$16)),0,""))</f>
        <v/>
      </c>
      <c r="L349" s="369" t="str">
        <f ca="1">IF($B349&lt;&gt;"PRC_RESID","",IF(L$7=2005+OFFSET(COM_N_2012!$B$60,$AW349,SUMIF($B$10:$B$16,"NCAP_TLIFE",$AX$10:$AX$16)),0,""))</f>
        <v/>
      </c>
      <c r="M349" s="369" t="str">
        <f ca="1">IF($B349&lt;&gt;"PRC_RESID","",IF(M$7=2005+OFFSET(COM_N_2012!$B$60,$AW349,SUMIF($B$10:$B$16,"NCAP_TLIFE",$AX$10:$AX$16)),0,""))</f>
        <v/>
      </c>
      <c r="N349" s="369" t="str">
        <f ca="1">IF($B349&lt;&gt;"PRC_RESID","",IF(N$7=2005+OFFSET(COM_N_2012!$B$60,$AW349,SUMIF($B$10:$B$16,"NCAP_TLIFE",$AX$10:$AX$16)),0,""))</f>
        <v/>
      </c>
      <c r="O349" s="369" t="str">
        <f ca="1">IF($B349&lt;&gt;"PRC_RESID","",IF(O$7=2005+OFFSET(COM_N_2012!$B$60,$AW349,SUMIF($B$10:$B$16,"NCAP_TLIFE",$AX$10:$AX$16)),0,""))</f>
        <v/>
      </c>
      <c r="P349" s="369" t="str">
        <f ca="1">IF($B349&lt;&gt;"PRC_RESID","",IF(P$7=2005+OFFSET(COM_N_2012!$B$60,$AW349,SUMIF($B$10:$B$16,"NCAP_TLIFE",$AX$10:$AX$16)),0,""))</f>
        <v/>
      </c>
      <c r="Q349" s="369" t="str">
        <f ca="1">IF($B349&lt;&gt;"PRC_RESID","",IF(Q$7=2005+OFFSET(COM_N_2012!$B$60,$AW349,SUMIF($B$10:$B$16,"NCAP_TLIFE",$AX$10:$AX$16)),0,""))</f>
        <v/>
      </c>
      <c r="R349" s="369" t="str">
        <f ca="1">IF($B349&lt;&gt;"PRC_RESID","",IF(R$7=2005+OFFSET(COM_N_2012!$B$60,$AW349,SUMIF($B$10:$B$16,"NCAP_TLIFE",$AX$10:$AX$16)),0,""))</f>
        <v/>
      </c>
      <c r="S349" s="369" t="str">
        <f ca="1">IF($B349&lt;&gt;"PRC_RESID","",IF(S$7=2005+OFFSET(COM_N_2012!$B$60,$AW349,SUMIF($B$10:$B$16,"NCAP_TLIFE",$AX$10:$AX$16)),0,""))</f>
        <v/>
      </c>
      <c r="T349" s="369" t="str">
        <f ca="1">IF($B349&lt;&gt;"PRC_RESID","",IF(T$7=2005+OFFSET(COM_N_2012!$B$60,$AW349,SUMIF($B$10:$B$16,"NCAP_TLIFE",$AX$10:$AX$16)),0,""))</f>
        <v/>
      </c>
      <c r="U349" s="369" t="str">
        <f ca="1">IF($B349&lt;&gt;"PRC_RESID","",IF(U$7=2005+OFFSET(COM_N_2012!$B$60,$AW349,SUMIF($B$10:$B$16,"NCAP_TLIFE",$AX$10:$AX$16)),0,""))</f>
        <v/>
      </c>
      <c r="V349" s="369" t="str">
        <f ca="1">IF($B349&lt;&gt;"PRC_RESID","",IF(V$7=2005+OFFSET(COM_N_2012!$B$60,$AW349,SUMIF($B$10:$B$16,"NCAP_TLIFE",$AX$10:$AX$16)),0,""))</f>
        <v/>
      </c>
      <c r="W349" s="369" t="str">
        <f ca="1">IF($B349&lt;&gt;"PRC_RESID","",IF(W$7=2005+OFFSET(COM_N_2012!$B$60,$AW349,SUMIF($B$10:$B$16,"NCAP_TLIFE",$AX$10:$AX$16)),0,""))</f>
        <v/>
      </c>
      <c r="X349" s="369" t="str">
        <f ca="1">IF($B349&lt;&gt;"PRC_RESID","",IF(X$7=2005+OFFSET(COM_N_2012!$B$60,$AW349,SUMIF($B$10:$B$16,"NCAP_TLIFE",$AX$10:$AX$16)),0,""))</f>
        <v/>
      </c>
      <c r="Y349" s="369" t="str">
        <f ca="1">IF($B349&lt;&gt;"PRC_RESID","",IF(Y$7=2005+OFFSET(COM_N_2012!$B$60,$AW349,SUMIF($B$10:$B$16,"NCAP_TLIFE",$AX$10:$AX$16)),0,""))</f>
        <v/>
      </c>
      <c r="Z349" s="369" t="str">
        <f ca="1">IF($B349&lt;&gt;"PRC_RESID","",IF(Z$7=2005+OFFSET(COM_N_2012!$B$60,$AW349,SUMIF($B$10:$B$16,"NCAP_TLIFE",$AX$10:$AX$16)),0,""))</f>
        <v/>
      </c>
      <c r="AA349" s="369" t="str">
        <f ca="1">IF($B349&lt;&gt;"PRC_RESID","",IF(AA$7=2005+OFFSET(COM_N_2012!$B$60,$AW349,SUMIF($B$10:$B$16,"NCAP_TLIFE",$AX$10:$AX$16)),0,""))</f>
        <v/>
      </c>
      <c r="AB349" s="369" t="str">
        <f ca="1">IF($B349&lt;&gt;"PRC_RESID","",IF(AB$7=2005+OFFSET(COM_N_2012!$B$60,$AW349,SUMIF($B$10:$B$16,"NCAP_TLIFE",$AX$10:$AX$16)),0,""))</f>
        <v/>
      </c>
      <c r="AC349" s="369" t="str">
        <f ca="1">IF($B349&lt;&gt;"PRC_RESID","",IF(AC$7=2005+OFFSET(COM_N_2012!$B$60,$AW349,SUMIF($B$10:$B$16,"NCAP_TLIFE",$AX$10:$AX$16)),0,""))</f>
        <v/>
      </c>
      <c r="AD349" s="369" t="str">
        <f ca="1">IF($B349&lt;&gt;"PRC_RESID","",IF(AD$7=2005+OFFSET(COM_N_2012!$B$60,$AW349,SUMIF($B$10:$B$16,"NCAP_TLIFE",$AX$10:$AX$16)),0,""))</f>
        <v/>
      </c>
      <c r="AE349" s="369" t="str">
        <f ca="1">IF($B349&lt;&gt;"PRC_RESID","",IF(AE$7=2005+OFFSET(COM_N_2012!$B$60,$AW349,SUMIF($B$10:$B$16,"NCAP_TLIFE",$AX$10:$AX$16)),0,""))</f>
        <v/>
      </c>
      <c r="AF349" s="369" t="str">
        <f ca="1">IF($B349&lt;&gt;"PRC_RESID","",IF(AF$7=2005+OFFSET(COM_N_2012!$B$60,$AW349,SUMIF($B$10:$B$16,"NCAP_TLIFE",$AX$10:$AX$16)),0,""))</f>
        <v/>
      </c>
      <c r="AG349" s="369" t="str">
        <f ca="1">IF($B349&lt;&gt;"PRC_RESID","",IF(AG$7=2005+OFFSET(COM_N_2012!$B$60,$AW349,SUMIF($B$10:$B$16,"NCAP_TLIFE",$AX$10:$AX$16)),0,""))</f>
        <v/>
      </c>
      <c r="AH349" s="369" t="str">
        <f ca="1">IF($B349&lt;&gt;"PRC_RESID","",IF(AH$7=2005+OFFSET(COM_N_2012!$B$60,$AW349,SUMIF($B$10:$B$16,"NCAP_TLIFE",$AX$10:$AX$16)),0,""))</f>
        <v/>
      </c>
      <c r="AI349" s="369" t="str">
        <f ca="1">IF($B349&lt;&gt;"PRC_RESID","",IF(AI$7=2005+OFFSET(COM_N_2012!$B$60,$AW349,SUMIF($B$10:$B$16,"NCAP_TLIFE",$AX$10:$AX$16)),0,""))</f>
        <v/>
      </c>
      <c r="AJ349" s="369" t="str">
        <f ca="1">IF($B349&lt;&gt;"PRC_RESID","",IF(AJ$7=2005+OFFSET(COM_N_2012!$B$60,$AW349,SUMIF($B$10:$B$16,"NCAP_TLIFE",$AX$10:$AX$16)),0,""))</f>
        <v/>
      </c>
      <c r="AK349" s="369" t="str">
        <f ca="1">IF($B349&lt;&gt;"PRC_RESID","",IF(AK$7=2005+OFFSET(COM_N_2012!$B$60,$AW349,SUMIF($B$10:$B$16,"NCAP_TLIFE",$AX$10:$AX$16)),0,""))</f>
        <v/>
      </c>
      <c r="AL349" s="369" t="str">
        <f ca="1">IF($B349&lt;&gt;"PRC_RESID","",IF(AL$7=2005+OFFSET(COM_N_2012!$B$60,$AW349,SUMIF($B$10:$B$16,"NCAP_TLIFE",$AX$10:$AX$16)),0,""))</f>
        <v/>
      </c>
      <c r="AM349" s="369" t="str">
        <f ca="1">IF($B349&lt;&gt;"PRC_RESID","",IF(AM$7=2005+OFFSET(COM_N_2012!$B$60,$AW349,SUMIF($B$10:$B$16,"NCAP_TLIFE",$AX$10:$AX$16)),0,""))</f>
        <v/>
      </c>
      <c r="AN349" s="369" t="str">
        <f ca="1">IF($B349&lt;&gt;"PRC_RESID","",IF(AN$7=2005+OFFSET(COM_N_2012!$B$60,$AW349,SUMIF($B$10:$B$16,"NCAP_TLIFE",$AX$10:$AX$16)),0,""))</f>
        <v/>
      </c>
      <c r="AO349" s="369" t="str">
        <f ca="1">IF($B349&lt;&gt;"PRC_RESID","",IF(AO$7=2005+OFFSET(COM_N_2012!$B$60,$AW349,SUMIF($B$10:$B$16,"NCAP_TLIFE",$AX$10:$AX$16)),0,""))</f>
        <v/>
      </c>
      <c r="AP349" s="369" t="str">
        <f ca="1">IF($B349&lt;&gt;"PRC_RESID","",IF(AP$7=2005+OFFSET(COM_N_2012!$B$60,$AW349,SUMIF($B$10:$B$16,"NCAP_TLIFE",$AX$10:$AX$16)),0,""))</f>
        <v/>
      </c>
      <c r="AQ349" s="369" t="str">
        <f ca="1">IF($B349&lt;&gt;"PRC_RESID","",IF(AQ$7=2005+OFFSET(COM_N_2012!$B$60,$AW349,SUMIF($B$10:$B$16,"NCAP_TLIFE",$AX$10:$AX$16)),0,""))</f>
        <v/>
      </c>
      <c r="AR349" s="369" t="str">
        <f ca="1">IF($B349&lt;&gt;"PRC_RESID","",IF(AR$7=2005+OFFSET(COM_N_2012!$B$60,$AW349,SUMIF($B$10:$B$16,"NCAP_TLIFE",$AX$10:$AX$16)),0,""))</f>
        <v/>
      </c>
      <c r="AS349" s="369" t="str">
        <f ca="1">IF($B349&lt;&gt;"PRC_RESID","",IF(AS$7=2005+OFFSET(COM_N_2012!$B$60,$AW349,SUMIF($B$10:$B$16,"NCAP_TLIFE",$AX$10:$AX$16)),0,""))</f>
        <v/>
      </c>
      <c r="AT349" s="369" t="str">
        <f ca="1">IF($B349&lt;&gt;"PRC_RESID","",IF(AT$7=2005+OFFSET(COM_N_2012!$B$60,$AW349,SUMIF($B$10:$B$16,"NCAP_TLIFE",$AX$10:$AX$16)),0,""))</f>
        <v/>
      </c>
      <c r="AU349" s="369" t="str">
        <f ca="1">IF($B349&lt;&gt;"PRC_RESID","",IF(AU$7=2005+OFFSET(COM_N_2012!$B$60,$AW349,SUMIF($B$10:$B$16,"NCAP_TLIFE",$AX$10:$AX$16)),0,""))</f>
        <v/>
      </c>
      <c r="AV349" s="304">
        <f>IF(AW348=COM_N_2012!$AK$121,AV348+1,AV348)</f>
        <v>6</v>
      </c>
      <c r="AW349" s="304">
        <f t="shared" si="45"/>
        <v>27</v>
      </c>
    </row>
    <row r="350" spans="1:49">
      <c r="A350" s="304" t="str">
        <f ca="1">IF(LEFT(OFFSET(COM_N_2012!$A$60,AW350,0),2)="\I","*","")</f>
        <v>*</v>
      </c>
      <c r="B350" s="369" t="str">
        <f t="shared" ca="1" si="47"/>
        <v/>
      </c>
      <c r="C350" s="369" t="str">
        <f ca="1">IF($A350="*","",OFFSET(COM_N_2012!$B$60,AW350,0))</f>
        <v/>
      </c>
      <c r="D350" s="369" t="str">
        <f t="shared" ca="1" si="48"/>
        <v/>
      </c>
      <c r="E350" s="369" t="str">
        <f t="shared" ca="1" si="48"/>
        <v/>
      </c>
      <c r="F350" s="369" t="str">
        <f t="shared" ca="1" si="48"/>
        <v/>
      </c>
      <c r="G350" s="369" t="str">
        <f t="shared" ca="1" si="48"/>
        <v/>
      </c>
      <c r="H350" s="369" t="str">
        <f t="shared" ca="1" si="48"/>
        <v/>
      </c>
      <c r="I350" s="370" t="str">
        <f t="shared" ca="1" si="48"/>
        <v/>
      </c>
      <c r="J350" s="391" t="str">
        <f ca="1">IF($A350="*","",OFFSET(COM_N_2012!$B$60,AW350,SUMIF($B$10:$B$16,B350,$AX$10:$AX$16)))</f>
        <v/>
      </c>
      <c r="K350" s="369" t="str">
        <f ca="1">IF($B350&lt;&gt;"PRC_RESID","",IF(K$7=2005+OFFSET(COM_N_2012!$B$60,$AW350,SUMIF($B$10:$B$16,"NCAP_TLIFE",$AX$10:$AX$16)),0,""))</f>
        <v/>
      </c>
      <c r="L350" s="369" t="str">
        <f ca="1">IF($B350&lt;&gt;"PRC_RESID","",IF(L$7=2005+OFFSET(COM_N_2012!$B$60,$AW350,SUMIF($B$10:$B$16,"NCAP_TLIFE",$AX$10:$AX$16)),0,""))</f>
        <v/>
      </c>
      <c r="M350" s="369" t="str">
        <f ca="1">IF($B350&lt;&gt;"PRC_RESID","",IF(M$7=2005+OFFSET(COM_N_2012!$B$60,$AW350,SUMIF($B$10:$B$16,"NCAP_TLIFE",$AX$10:$AX$16)),0,""))</f>
        <v/>
      </c>
      <c r="N350" s="369" t="str">
        <f ca="1">IF($B350&lt;&gt;"PRC_RESID","",IF(N$7=2005+OFFSET(COM_N_2012!$B$60,$AW350,SUMIF($B$10:$B$16,"NCAP_TLIFE",$AX$10:$AX$16)),0,""))</f>
        <v/>
      </c>
      <c r="O350" s="369" t="str">
        <f ca="1">IF($B350&lt;&gt;"PRC_RESID","",IF(O$7=2005+OFFSET(COM_N_2012!$B$60,$AW350,SUMIF($B$10:$B$16,"NCAP_TLIFE",$AX$10:$AX$16)),0,""))</f>
        <v/>
      </c>
      <c r="P350" s="369" t="str">
        <f ca="1">IF($B350&lt;&gt;"PRC_RESID","",IF(P$7=2005+OFFSET(COM_N_2012!$B$60,$AW350,SUMIF($B$10:$B$16,"NCAP_TLIFE",$AX$10:$AX$16)),0,""))</f>
        <v/>
      </c>
      <c r="Q350" s="369" t="str">
        <f ca="1">IF($B350&lt;&gt;"PRC_RESID","",IF(Q$7=2005+OFFSET(COM_N_2012!$B$60,$AW350,SUMIF($B$10:$B$16,"NCAP_TLIFE",$AX$10:$AX$16)),0,""))</f>
        <v/>
      </c>
      <c r="R350" s="369" t="str">
        <f ca="1">IF($B350&lt;&gt;"PRC_RESID","",IF(R$7=2005+OFFSET(COM_N_2012!$B$60,$AW350,SUMIF($B$10:$B$16,"NCAP_TLIFE",$AX$10:$AX$16)),0,""))</f>
        <v/>
      </c>
      <c r="S350" s="369" t="str">
        <f ca="1">IF($B350&lt;&gt;"PRC_RESID","",IF(S$7=2005+OFFSET(COM_N_2012!$B$60,$AW350,SUMIF($B$10:$B$16,"NCAP_TLIFE",$AX$10:$AX$16)),0,""))</f>
        <v/>
      </c>
      <c r="T350" s="369" t="str">
        <f ca="1">IF($B350&lt;&gt;"PRC_RESID","",IF(T$7=2005+OFFSET(COM_N_2012!$B$60,$AW350,SUMIF($B$10:$B$16,"NCAP_TLIFE",$AX$10:$AX$16)),0,""))</f>
        <v/>
      </c>
      <c r="U350" s="369" t="str">
        <f ca="1">IF($B350&lt;&gt;"PRC_RESID","",IF(U$7=2005+OFFSET(COM_N_2012!$B$60,$AW350,SUMIF($B$10:$B$16,"NCAP_TLIFE",$AX$10:$AX$16)),0,""))</f>
        <v/>
      </c>
      <c r="V350" s="369" t="str">
        <f ca="1">IF($B350&lt;&gt;"PRC_RESID","",IF(V$7=2005+OFFSET(COM_N_2012!$B$60,$AW350,SUMIF($B$10:$B$16,"NCAP_TLIFE",$AX$10:$AX$16)),0,""))</f>
        <v/>
      </c>
      <c r="W350" s="369" t="str">
        <f ca="1">IF($B350&lt;&gt;"PRC_RESID","",IF(W$7=2005+OFFSET(COM_N_2012!$B$60,$AW350,SUMIF($B$10:$B$16,"NCAP_TLIFE",$AX$10:$AX$16)),0,""))</f>
        <v/>
      </c>
      <c r="X350" s="369" t="str">
        <f ca="1">IF($B350&lt;&gt;"PRC_RESID","",IF(X$7=2005+OFFSET(COM_N_2012!$B$60,$AW350,SUMIF($B$10:$B$16,"NCAP_TLIFE",$AX$10:$AX$16)),0,""))</f>
        <v/>
      </c>
      <c r="Y350" s="369" t="str">
        <f ca="1">IF($B350&lt;&gt;"PRC_RESID","",IF(Y$7=2005+OFFSET(COM_N_2012!$B$60,$AW350,SUMIF($B$10:$B$16,"NCAP_TLIFE",$AX$10:$AX$16)),0,""))</f>
        <v/>
      </c>
      <c r="Z350" s="369" t="str">
        <f ca="1">IF($B350&lt;&gt;"PRC_RESID","",IF(Z$7=2005+OFFSET(COM_N_2012!$B$60,$AW350,SUMIF($B$10:$B$16,"NCAP_TLIFE",$AX$10:$AX$16)),0,""))</f>
        <v/>
      </c>
      <c r="AA350" s="369" t="str">
        <f ca="1">IF($B350&lt;&gt;"PRC_RESID","",IF(AA$7=2005+OFFSET(COM_N_2012!$B$60,$AW350,SUMIF($B$10:$B$16,"NCAP_TLIFE",$AX$10:$AX$16)),0,""))</f>
        <v/>
      </c>
      <c r="AB350" s="369" t="str">
        <f ca="1">IF($B350&lt;&gt;"PRC_RESID","",IF(AB$7=2005+OFFSET(COM_N_2012!$B$60,$AW350,SUMIF($B$10:$B$16,"NCAP_TLIFE",$AX$10:$AX$16)),0,""))</f>
        <v/>
      </c>
      <c r="AC350" s="369" t="str">
        <f ca="1">IF($B350&lt;&gt;"PRC_RESID","",IF(AC$7=2005+OFFSET(COM_N_2012!$B$60,$AW350,SUMIF($B$10:$B$16,"NCAP_TLIFE",$AX$10:$AX$16)),0,""))</f>
        <v/>
      </c>
      <c r="AD350" s="369" t="str">
        <f ca="1">IF($B350&lt;&gt;"PRC_RESID","",IF(AD$7=2005+OFFSET(COM_N_2012!$B$60,$AW350,SUMIF($B$10:$B$16,"NCAP_TLIFE",$AX$10:$AX$16)),0,""))</f>
        <v/>
      </c>
      <c r="AE350" s="369" t="str">
        <f ca="1">IF($B350&lt;&gt;"PRC_RESID","",IF(AE$7=2005+OFFSET(COM_N_2012!$B$60,$AW350,SUMIF($B$10:$B$16,"NCAP_TLIFE",$AX$10:$AX$16)),0,""))</f>
        <v/>
      </c>
      <c r="AF350" s="369" t="str">
        <f ca="1">IF($B350&lt;&gt;"PRC_RESID","",IF(AF$7=2005+OFFSET(COM_N_2012!$B$60,$AW350,SUMIF($B$10:$B$16,"NCAP_TLIFE",$AX$10:$AX$16)),0,""))</f>
        <v/>
      </c>
      <c r="AG350" s="369" t="str">
        <f ca="1">IF($B350&lt;&gt;"PRC_RESID","",IF(AG$7=2005+OFFSET(COM_N_2012!$B$60,$AW350,SUMIF($B$10:$B$16,"NCAP_TLIFE",$AX$10:$AX$16)),0,""))</f>
        <v/>
      </c>
      <c r="AH350" s="369" t="str">
        <f ca="1">IF($B350&lt;&gt;"PRC_RESID","",IF(AH$7=2005+OFFSET(COM_N_2012!$B$60,$AW350,SUMIF($B$10:$B$16,"NCAP_TLIFE",$AX$10:$AX$16)),0,""))</f>
        <v/>
      </c>
      <c r="AI350" s="369" t="str">
        <f ca="1">IF($B350&lt;&gt;"PRC_RESID","",IF(AI$7=2005+OFFSET(COM_N_2012!$B$60,$AW350,SUMIF($B$10:$B$16,"NCAP_TLIFE",$AX$10:$AX$16)),0,""))</f>
        <v/>
      </c>
      <c r="AJ350" s="369" t="str">
        <f ca="1">IF($B350&lt;&gt;"PRC_RESID","",IF(AJ$7=2005+OFFSET(COM_N_2012!$B$60,$AW350,SUMIF($B$10:$B$16,"NCAP_TLIFE",$AX$10:$AX$16)),0,""))</f>
        <v/>
      </c>
      <c r="AK350" s="369" t="str">
        <f ca="1">IF($B350&lt;&gt;"PRC_RESID","",IF(AK$7=2005+OFFSET(COM_N_2012!$B$60,$AW350,SUMIF($B$10:$B$16,"NCAP_TLIFE",$AX$10:$AX$16)),0,""))</f>
        <v/>
      </c>
      <c r="AL350" s="369" t="str">
        <f ca="1">IF($B350&lt;&gt;"PRC_RESID","",IF(AL$7=2005+OFFSET(COM_N_2012!$B$60,$AW350,SUMIF($B$10:$B$16,"NCAP_TLIFE",$AX$10:$AX$16)),0,""))</f>
        <v/>
      </c>
      <c r="AM350" s="369" t="str">
        <f ca="1">IF($B350&lt;&gt;"PRC_RESID","",IF(AM$7=2005+OFFSET(COM_N_2012!$B$60,$AW350,SUMIF($B$10:$B$16,"NCAP_TLIFE",$AX$10:$AX$16)),0,""))</f>
        <v/>
      </c>
      <c r="AN350" s="369" t="str">
        <f ca="1">IF($B350&lt;&gt;"PRC_RESID","",IF(AN$7=2005+OFFSET(COM_N_2012!$B$60,$AW350,SUMIF($B$10:$B$16,"NCAP_TLIFE",$AX$10:$AX$16)),0,""))</f>
        <v/>
      </c>
      <c r="AO350" s="369" t="str">
        <f ca="1">IF($B350&lt;&gt;"PRC_RESID","",IF(AO$7=2005+OFFSET(COM_N_2012!$B$60,$AW350,SUMIF($B$10:$B$16,"NCAP_TLIFE",$AX$10:$AX$16)),0,""))</f>
        <v/>
      </c>
      <c r="AP350" s="369" t="str">
        <f ca="1">IF($B350&lt;&gt;"PRC_RESID","",IF(AP$7=2005+OFFSET(COM_N_2012!$B$60,$AW350,SUMIF($B$10:$B$16,"NCAP_TLIFE",$AX$10:$AX$16)),0,""))</f>
        <v/>
      </c>
      <c r="AQ350" s="369" t="str">
        <f ca="1">IF($B350&lt;&gt;"PRC_RESID","",IF(AQ$7=2005+OFFSET(COM_N_2012!$B$60,$AW350,SUMIF($B$10:$B$16,"NCAP_TLIFE",$AX$10:$AX$16)),0,""))</f>
        <v/>
      </c>
      <c r="AR350" s="369" t="str">
        <f ca="1">IF($B350&lt;&gt;"PRC_RESID","",IF(AR$7=2005+OFFSET(COM_N_2012!$B$60,$AW350,SUMIF($B$10:$B$16,"NCAP_TLIFE",$AX$10:$AX$16)),0,""))</f>
        <v/>
      </c>
      <c r="AS350" s="369" t="str">
        <f ca="1">IF($B350&lt;&gt;"PRC_RESID","",IF(AS$7=2005+OFFSET(COM_N_2012!$B$60,$AW350,SUMIF($B$10:$B$16,"NCAP_TLIFE",$AX$10:$AX$16)),0,""))</f>
        <v/>
      </c>
      <c r="AT350" s="369" t="str">
        <f ca="1">IF($B350&lt;&gt;"PRC_RESID","",IF(AT$7=2005+OFFSET(COM_N_2012!$B$60,$AW350,SUMIF($B$10:$B$16,"NCAP_TLIFE",$AX$10:$AX$16)),0,""))</f>
        <v/>
      </c>
      <c r="AU350" s="369" t="str">
        <f ca="1">IF($B350&lt;&gt;"PRC_RESID","",IF(AU$7=2005+OFFSET(COM_N_2012!$B$60,$AW350,SUMIF($B$10:$B$16,"NCAP_TLIFE",$AX$10:$AX$16)),0,""))</f>
        <v/>
      </c>
      <c r="AV350" s="304">
        <f>IF(AW349=COM_N_2012!$AK$121,AV349+1,AV349)</f>
        <v>6</v>
      </c>
      <c r="AW350" s="304">
        <f t="shared" si="45"/>
        <v>28</v>
      </c>
    </row>
    <row r="351" spans="1:49">
      <c r="A351" s="304" t="str">
        <f ca="1">IF(LEFT(OFFSET(COM_N_2012!$A$60,AW351,0),2)="\I","*","")</f>
        <v/>
      </c>
      <c r="B351" s="369" t="str">
        <f t="shared" ca="1" si="47"/>
        <v>PRC_RESID</v>
      </c>
      <c r="C351" s="369" t="str">
        <f ca="1">IF($A351="*","",OFFSET(COM_N_2012!$B$60,AW351,0))</f>
        <v>CNRELC-E</v>
      </c>
      <c r="D351" s="369" t="str">
        <f t="shared" ca="1" si="48"/>
        <v>-</v>
      </c>
      <c r="E351" s="369" t="str">
        <f t="shared" ca="1" si="48"/>
        <v>-</v>
      </c>
      <c r="F351" s="369" t="str">
        <f t="shared" ca="1" si="48"/>
        <v>-</v>
      </c>
      <c r="G351" s="369" t="str">
        <f t="shared" ca="1" si="48"/>
        <v>-</v>
      </c>
      <c r="H351" s="369" t="str">
        <f t="shared" ca="1" si="48"/>
        <v>-</v>
      </c>
      <c r="I351" s="370">
        <f t="shared" ca="1" si="48"/>
        <v>0</v>
      </c>
      <c r="J351" s="391">
        <f ca="1">IF($A351="*","",OFFSET(COM_N_2012!$B$60,AW351,SUMIF($B$10:$B$16,B351,$AX$10:$AX$16)))</f>
        <v>0</v>
      </c>
      <c r="K351" s="369" t="str">
        <f ca="1">IF($B351&lt;&gt;"PRC_RESID","",IF(K$7=2005+OFFSET(COM_N_2012!$B$60,$AW351,SUMIF($B$10:$B$16,"NCAP_TLIFE",$AX$10:$AX$16)),0,""))</f>
        <v/>
      </c>
      <c r="L351" s="369" t="str">
        <f ca="1">IF($B351&lt;&gt;"PRC_RESID","",IF(L$7=2005+OFFSET(COM_N_2012!$B$60,$AW351,SUMIF($B$10:$B$16,"NCAP_TLIFE",$AX$10:$AX$16)),0,""))</f>
        <v/>
      </c>
      <c r="M351" s="369">
        <f ca="1">IF($B351&lt;&gt;"PRC_RESID","",IF(M$7=2005+OFFSET(COM_N_2012!$B$60,$AW351,SUMIF($B$10:$B$16,"NCAP_TLIFE",$AX$10:$AX$16)),0,""))</f>
        <v>0</v>
      </c>
      <c r="N351" s="369" t="str">
        <f ca="1">IF($B351&lt;&gt;"PRC_RESID","",IF(N$7=2005+OFFSET(COM_N_2012!$B$60,$AW351,SUMIF($B$10:$B$16,"NCAP_TLIFE",$AX$10:$AX$16)),0,""))</f>
        <v/>
      </c>
      <c r="O351" s="369" t="str">
        <f ca="1">IF($B351&lt;&gt;"PRC_RESID","",IF(O$7=2005+OFFSET(COM_N_2012!$B$60,$AW351,SUMIF($B$10:$B$16,"NCAP_TLIFE",$AX$10:$AX$16)),0,""))</f>
        <v/>
      </c>
      <c r="P351" s="369" t="str">
        <f ca="1">IF($B351&lt;&gt;"PRC_RESID","",IF(P$7=2005+OFFSET(COM_N_2012!$B$60,$AW351,SUMIF($B$10:$B$16,"NCAP_TLIFE",$AX$10:$AX$16)),0,""))</f>
        <v/>
      </c>
      <c r="Q351" s="369" t="str">
        <f ca="1">IF($B351&lt;&gt;"PRC_RESID","",IF(Q$7=2005+OFFSET(COM_N_2012!$B$60,$AW351,SUMIF($B$10:$B$16,"NCAP_TLIFE",$AX$10:$AX$16)),0,""))</f>
        <v/>
      </c>
      <c r="R351" s="369" t="str">
        <f ca="1">IF($B351&lt;&gt;"PRC_RESID","",IF(R$7=2005+OFFSET(COM_N_2012!$B$60,$AW351,SUMIF($B$10:$B$16,"NCAP_TLIFE",$AX$10:$AX$16)),0,""))</f>
        <v/>
      </c>
      <c r="S351" s="369" t="str">
        <f ca="1">IF($B351&lt;&gt;"PRC_RESID","",IF(S$7=2005+OFFSET(COM_N_2012!$B$60,$AW351,SUMIF($B$10:$B$16,"NCAP_TLIFE",$AX$10:$AX$16)),0,""))</f>
        <v/>
      </c>
      <c r="T351" s="369" t="str">
        <f ca="1">IF($B351&lt;&gt;"PRC_RESID","",IF(T$7=2005+OFFSET(COM_N_2012!$B$60,$AW351,SUMIF($B$10:$B$16,"NCAP_TLIFE",$AX$10:$AX$16)),0,""))</f>
        <v/>
      </c>
      <c r="U351" s="369" t="str">
        <f ca="1">IF($B351&lt;&gt;"PRC_RESID","",IF(U$7=2005+OFFSET(COM_N_2012!$B$60,$AW351,SUMIF($B$10:$B$16,"NCAP_TLIFE",$AX$10:$AX$16)),0,""))</f>
        <v/>
      </c>
      <c r="V351" s="369" t="str">
        <f ca="1">IF($B351&lt;&gt;"PRC_RESID","",IF(V$7=2005+OFFSET(COM_N_2012!$B$60,$AW351,SUMIF($B$10:$B$16,"NCAP_TLIFE",$AX$10:$AX$16)),0,""))</f>
        <v/>
      </c>
      <c r="W351" s="369" t="str">
        <f ca="1">IF($B351&lt;&gt;"PRC_RESID","",IF(W$7=2005+OFFSET(COM_N_2012!$B$60,$AW351,SUMIF($B$10:$B$16,"NCAP_TLIFE",$AX$10:$AX$16)),0,""))</f>
        <v/>
      </c>
      <c r="X351" s="369" t="str">
        <f ca="1">IF($B351&lt;&gt;"PRC_RESID","",IF(X$7=2005+OFFSET(COM_N_2012!$B$60,$AW351,SUMIF($B$10:$B$16,"NCAP_TLIFE",$AX$10:$AX$16)),0,""))</f>
        <v/>
      </c>
      <c r="Y351" s="369" t="str">
        <f ca="1">IF($B351&lt;&gt;"PRC_RESID","",IF(Y$7=2005+OFFSET(COM_N_2012!$B$60,$AW351,SUMIF($B$10:$B$16,"NCAP_TLIFE",$AX$10:$AX$16)),0,""))</f>
        <v/>
      </c>
      <c r="Z351" s="369" t="str">
        <f ca="1">IF($B351&lt;&gt;"PRC_RESID","",IF(Z$7=2005+OFFSET(COM_N_2012!$B$60,$AW351,SUMIF($B$10:$B$16,"NCAP_TLIFE",$AX$10:$AX$16)),0,""))</f>
        <v/>
      </c>
      <c r="AA351" s="369" t="str">
        <f ca="1">IF($B351&lt;&gt;"PRC_RESID","",IF(AA$7=2005+OFFSET(COM_N_2012!$B$60,$AW351,SUMIF($B$10:$B$16,"NCAP_TLIFE",$AX$10:$AX$16)),0,""))</f>
        <v/>
      </c>
      <c r="AB351" s="369" t="str">
        <f ca="1">IF($B351&lt;&gt;"PRC_RESID","",IF(AB$7=2005+OFFSET(COM_N_2012!$B$60,$AW351,SUMIF($B$10:$B$16,"NCAP_TLIFE",$AX$10:$AX$16)),0,""))</f>
        <v/>
      </c>
      <c r="AC351" s="369" t="str">
        <f ca="1">IF($B351&lt;&gt;"PRC_RESID","",IF(AC$7=2005+OFFSET(COM_N_2012!$B$60,$AW351,SUMIF($B$10:$B$16,"NCAP_TLIFE",$AX$10:$AX$16)),0,""))</f>
        <v/>
      </c>
      <c r="AD351" s="369" t="str">
        <f ca="1">IF($B351&lt;&gt;"PRC_RESID","",IF(AD$7=2005+OFFSET(COM_N_2012!$B$60,$AW351,SUMIF($B$10:$B$16,"NCAP_TLIFE",$AX$10:$AX$16)),0,""))</f>
        <v/>
      </c>
      <c r="AE351" s="369" t="str">
        <f ca="1">IF($B351&lt;&gt;"PRC_RESID","",IF(AE$7=2005+OFFSET(COM_N_2012!$B$60,$AW351,SUMIF($B$10:$B$16,"NCAP_TLIFE",$AX$10:$AX$16)),0,""))</f>
        <v/>
      </c>
      <c r="AF351" s="369" t="str">
        <f ca="1">IF($B351&lt;&gt;"PRC_RESID","",IF(AF$7=2005+OFFSET(COM_N_2012!$B$60,$AW351,SUMIF($B$10:$B$16,"NCAP_TLIFE",$AX$10:$AX$16)),0,""))</f>
        <v/>
      </c>
      <c r="AG351" s="369" t="str">
        <f ca="1">IF($B351&lt;&gt;"PRC_RESID","",IF(AG$7=2005+OFFSET(COM_N_2012!$B$60,$AW351,SUMIF($B$10:$B$16,"NCAP_TLIFE",$AX$10:$AX$16)),0,""))</f>
        <v/>
      </c>
      <c r="AH351" s="369" t="str">
        <f ca="1">IF($B351&lt;&gt;"PRC_RESID","",IF(AH$7=2005+OFFSET(COM_N_2012!$B$60,$AW351,SUMIF($B$10:$B$16,"NCAP_TLIFE",$AX$10:$AX$16)),0,""))</f>
        <v/>
      </c>
      <c r="AI351" s="369" t="str">
        <f ca="1">IF($B351&lt;&gt;"PRC_RESID","",IF(AI$7=2005+OFFSET(COM_N_2012!$B$60,$AW351,SUMIF($B$10:$B$16,"NCAP_TLIFE",$AX$10:$AX$16)),0,""))</f>
        <v/>
      </c>
      <c r="AJ351" s="369" t="str">
        <f ca="1">IF($B351&lt;&gt;"PRC_RESID","",IF(AJ$7=2005+OFFSET(COM_N_2012!$B$60,$AW351,SUMIF($B$10:$B$16,"NCAP_TLIFE",$AX$10:$AX$16)),0,""))</f>
        <v/>
      </c>
      <c r="AK351" s="369" t="str">
        <f ca="1">IF($B351&lt;&gt;"PRC_RESID","",IF(AK$7=2005+OFFSET(COM_N_2012!$B$60,$AW351,SUMIF($B$10:$B$16,"NCAP_TLIFE",$AX$10:$AX$16)),0,""))</f>
        <v/>
      </c>
      <c r="AL351" s="369" t="str">
        <f ca="1">IF($B351&lt;&gt;"PRC_RESID","",IF(AL$7=2005+OFFSET(COM_N_2012!$B$60,$AW351,SUMIF($B$10:$B$16,"NCAP_TLIFE",$AX$10:$AX$16)),0,""))</f>
        <v/>
      </c>
      <c r="AM351" s="369" t="str">
        <f ca="1">IF($B351&lt;&gt;"PRC_RESID","",IF(AM$7=2005+OFFSET(COM_N_2012!$B$60,$AW351,SUMIF($B$10:$B$16,"NCAP_TLIFE",$AX$10:$AX$16)),0,""))</f>
        <v/>
      </c>
      <c r="AN351" s="369" t="str">
        <f ca="1">IF($B351&lt;&gt;"PRC_RESID","",IF(AN$7=2005+OFFSET(COM_N_2012!$B$60,$AW351,SUMIF($B$10:$B$16,"NCAP_TLIFE",$AX$10:$AX$16)),0,""))</f>
        <v/>
      </c>
      <c r="AO351" s="369" t="str">
        <f ca="1">IF($B351&lt;&gt;"PRC_RESID","",IF(AO$7=2005+OFFSET(COM_N_2012!$B$60,$AW351,SUMIF($B$10:$B$16,"NCAP_TLIFE",$AX$10:$AX$16)),0,""))</f>
        <v/>
      </c>
      <c r="AP351" s="369" t="str">
        <f ca="1">IF($B351&lt;&gt;"PRC_RESID","",IF(AP$7=2005+OFFSET(COM_N_2012!$B$60,$AW351,SUMIF($B$10:$B$16,"NCAP_TLIFE",$AX$10:$AX$16)),0,""))</f>
        <v/>
      </c>
      <c r="AQ351" s="369" t="str">
        <f ca="1">IF($B351&lt;&gt;"PRC_RESID","",IF(AQ$7=2005+OFFSET(COM_N_2012!$B$60,$AW351,SUMIF($B$10:$B$16,"NCAP_TLIFE",$AX$10:$AX$16)),0,""))</f>
        <v/>
      </c>
      <c r="AR351" s="369" t="str">
        <f ca="1">IF($B351&lt;&gt;"PRC_RESID","",IF(AR$7=2005+OFFSET(COM_N_2012!$B$60,$AW351,SUMIF($B$10:$B$16,"NCAP_TLIFE",$AX$10:$AX$16)),0,""))</f>
        <v/>
      </c>
      <c r="AS351" s="369" t="str">
        <f ca="1">IF($B351&lt;&gt;"PRC_RESID","",IF(AS$7=2005+OFFSET(COM_N_2012!$B$60,$AW351,SUMIF($B$10:$B$16,"NCAP_TLIFE",$AX$10:$AX$16)),0,""))</f>
        <v/>
      </c>
      <c r="AT351" s="369" t="str">
        <f ca="1">IF($B351&lt;&gt;"PRC_RESID","",IF(AT$7=2005+OFFSET(COM_N_2012!$B$60,$AW351,SUMIF($B$10:$B$16,"NCAP_TLIFE",$AX$10:$AX$16)),0,""))</f>
        <v/>
      </c>
      <c r="AU351" s="369" t="str">
        <f ca="1">IF($B351&lt;&gt;"PRC_RESID","",IF(AU$7=2005+OFFSET(COM_N_2012!$B$60,$AW351,SUMIF($B$10:$B$16,"NCAP_TLIFE",$AX$10:$AX$16)),0,""))</f>
        <v/>
      </c>
      <c r="AV351" s="304">
        <f>IF(AW350=COM_N_2012!$AK$121,AV350+1,AV350)</f>
        <v>6</v>
      </c>
      <c r="AW351" s="304">
        <f t="shared" si="45"/>
        <v>29</v>
      </c>
    </row>
    <row r="352" spans="1:49">
      <c r="A352" s="304" t="str">
        <f ca="1">IF(LEFT(OFFSET(COM_N_2012!$A$60,AW352,0),2)="\I","*","")</f>
        <v/>
      </c>
      <c r="B352" s="369" t="str">
        <f t="shared" ca="1" si="47"/>
        <v>PRC_RESID</v>
      </c>
      <c r="C352" s="369" t="str">
        <f ca="1">IF($A352="*","",OFFSET(COM_N_2012!$B$60,AW352,0))</f>
        <v>CNRELC-N</v>
      </c>
      <c r="D352" s="369" t="str">
        <f t="shared" ca="1" si="48"/>
        <v>-</v>
      </c>
      <c r="E352" s="369" t="str">
        <f t="shared" ca="1" si="48"/>
        <v>-</v>
      </c>
      <c r="F352" s="369" t="str">
        <f t="shared" ca="1" si="48"/>
        <v>-</v>
      </c>
      <c r="G352" s="369" t="str">
        <f t="shared" ca="1" si="48"/>
        <v>-</v>
      </c>
      <c r="H352" s="369" t="str">
        <f t="shared" ca="1" si="48"/>
        <v>-</v>
      </c>
      <c r="I352" s="370">
        <f t="shared" ca="1" si="48"/>
        <v>0</v>
      </c>
      <c r="J352" s="391">
        <f ca="1">IF($A352="*","",OFFSET(COM_N_2012!$B$60,AW352,SUMIF($B$10:$B$16,B352,$AX$10:$AX$16)))</f>
        <v>0</v>
      </c>
      <c r="K352" s="369" t="str">
        <f ca="1">IF($B352&lt;&gt;"PRC_RESID","",IF(K$7=2005+OFFSET(COM_N_2012!$B$60,$AW352,SUMIF($B$10:$B$16,"NCAP_TLIFE",$AX$10:$AX$16)),0,""))</f>
        <v/>
      </c>
      <c r="L352" s="369" t="str">
        <f ca="1">IF($B352&lt;&gt;"PRC_RESID","",IF(L$7=2005+OFFSET(COM_N_2012!$B$60,$AW352,SUMIF($B$10:$B$16,"NCAP_TLIFE",$AX$10:$AX$16)),0,""))</f>
        <v/>
      </c>
      <c r="M352" s="369">
        <f ca="1">IF($B352&lt;&gt;"PRC_RESID","",IF(M$7=2005+OFFSET(COM_N_2012!$B$60,$AW352,SUMIF($B$10:$B$16,"NCAP_TLIFE",$AX$10:$AX$16)),0,""))</f>
        <v>0</v>
      </c>
      <c r="N352" s="369" t="str">
        <f ca="1">IF($B352&lt;&gt;"PRC_RESID","",IF(N$7=2005+OFFSET(COM_N_2012!$B$60,$AW352,SUMIF($B$10:$B$16,"NCAP_TLIFE",$AX$10:$AX$16)),0,""))</f>
        <v/>
      </c>
      <c r="O352" s="369" t="str">
        <f ca="1">IF($B352&lt;&gt;"PRC_RESID","",IF(O$7=2005+OFFSET(COM_N_2012!$B$60,$AW352,SUMIF($B$10:$B$16,"NCAP_TLIFE",$AX$10:$AX$16)),0,""))</f>
        <v/>
      </c>
      <c r="P352" s="369" t="str">
        <f ca="1">IF($B352&lt;&gt;"PRC_RESID","",IF(P$7=2005+OFFSET(COM_N_2012!$B$60,$AW352,SUMIF($B$10:$B$16,"NCAP_TLIFE",$AX$10:$AX$16)),0,""))</f>
        <v/>
      </c>
      <c r="Q352" s="369" t="str">
        <f ca="1">IF($B352&lt;&gt;"PRC_RESID","",IF(Q$7=2005+OFFSET(COM_N_2012!$B$60,$AW352,SUMIF($B$10:$B$16,"NCAP_TLIFE",$AX$10:$AX$16)),0,""))</f>
        <v/>
      </c>
      <c r="R352" s="369" t="str">
        <f ca="1">IF($B352&lt;&gt;"PRC_RESID","",IF(R$7=2005+OFFSET(COM_N_2012!$B$60,$AW352,SUMIF($B$10:$B$16,"NCAP_TLIFE",$AX$10:$AX$16)),0,""))</f>
        <v/>
      </c>
      <c r="S352" s="369" t="str">
        <f ca="1">IF($B352&lt;&gt;"PRC_RESID","",IF(S$7=2005+OFFSET(COM_N_2012!$B$60,$AW352,SUMIF($B$10:$B$16,"NCAP_TLIFE",$AX$10:$AX$16)),0,""))</f>
        <v/>
      </c>
      <c r="T352" s="369" t="str">
        <f ca="1">IF($B352&lt;&gt;"PRC_RESID","",IF(T$7=2005+OFFSET(COM_N_2012!$B$60,$AW352,SUMIF($B$10:$B$16,"NCAP_TLIFE",$AX$10:$AX$16)),0,""))</f>
        <v/>
      </c>
      <c r="U352" s="369" t="str">
        <f ca="1">IF($B352&lt;&gt;"PRC_RESID","",IF(U$7=2005+OFFSET(COM_N_2012!$B$60,$AW352,SUMIF($B$10:$B$16,"NCAP_TLIFE",$AX$10:$AX$16)),0,""))</f>
        <v/>
      </c>
      <c r="V352" s="369" t="str">
        <f ca="1">IF($B352&lt;&gt;"PRC_RESID","",IF(V$7=2005+OFFSET(COM_N_2012!$B$60,$AW352,SUMIF($B$10:$B$16,"NCAP_TLIFE",$AX$10:$AX$16)),0,""))</f>
        <v/>
      </c>
      <c r="W352" s="369" t="str">
        <f ca="1">IF($B352&lt;&gt;"PRC_RESID","",IF(W$7=2005+OFFSET(COM_N_2012!$B$60,$AW352,SUMIF($B$10:$B$16,"NCAP_TLIFE",$AX$10:$AX$16)),0,""))</f>
        <v/>
      </c>
      <c r="X352" s="369" t="str">
        <f ca="1">IF($B352&lt;&gt;"PRC_RESID","",IF(X$7=2005+OFFSET(COM_N_2012!$B$60,$AW352,SUMIF($B$10:$B$16,"NCAP_TLIFE",$AX$10:$AX$16)),0,""))</f>
        <v/>
      </c>
      <c r="Y352" s="369" t="str">
        <f ca="1">IF($B352&lt;&gt;"PRC_RESID","",IF(Y$7=2005+OFFSET(COM_N_2012!$B$60,$AW352,SUMIF($B$10:$B$16,"NCAP_TLIFE",$AX$10:$AX$16)),0,""))</f>
        <v/>
      </c>
      <c r="Z352" s="369" t="str">
        <f ca="1">IF($B352&lt;&gt;"PRC_RESID","",IF(Z$7=2005+OFFSET(COM_N_2012!$B$60,$AW352,SUMIF($B$10:$B$16,"NCAP_TLIFE",$AX$10:$AX$16)),0,""))</f>
        <v/>
      </c>
      <c r="AA352" s="369" t="str">
        <f ca="1">IF($B352&lt;&gt;"PRC_RESID","",IF(AA$7=2005+OFFSET(COM_N_2012!$B$60,$AW352,SUMIF($B$10:$B$16,"NCAP_TLIFE",$AX$10:$AX$16)),0,""))</f>
        <v/>
      </c>
      <c r="AB352" s="369" t="str">
        <f ca="1">IF($B352&lt;&gt;"PRC_RESID","",IF(AB$7=2005+OFFSET(COM_N_2012!$B$60,$AW352,SUMIF($B$10:$B$16,"NCAP_TLIFE",$AX$10:$AX$16)),0,""))</f>
        <v/>
      </c>
      <c r="AC352" s="369" t="str">
        <f ca="1">IF($B352&lt;&gt;"PRC_RESID","",IF(AC$7=2005+OFFSET(COM_N_2012!$B$60,$AW352,SUMIF($B$10:$B$16,"NCAP_TLIFE",$AX$10:$AX$16)),0,""))</f>
        <v/>
      </c>
      <c r="AD352" s="369" t="str">
        <f ca="1">IF($B352&lt;&gt;"PRC_RESID","",IF(AD$7=2005+OFFSET(COM_N_2012!$B$60,$AW352,SUMIF($B$10:$B$16,"NCAP_TLIFE",$AX$10:$AX$16)),0,""))</f>
        <v/>
      </c>
      <c r="AE352" s="369" t="str">
        <f ca="1">IF($B352&lt;&gt;"PRC_RESID","",IF(AE$7=2005+OFFSET(COM_N_2012!$B$60,$AW352,SUMIF($B$10:$B$16,"NCAP_TLIFE",$AX$10:$AX$16)),0,""))</f>
        <v/>
      </c>
      <c r="AF352" s="369" t="str">
        <f ca="1">IF($B352&lt;&gt;"PRC_RESID","",IF(AF$7=2005+OFFSET(COM_N_2012!$B$60,$AW352,SUMIF($B$10:$B$16,"NCAP_TLIFE",$AX$10:$AX$16)),0,""))</f>
        <v/>
      </c>
      <c r="AG352" s="369" t="str">
        <f ca="1">IF($B352&lt;&gt;"PRC_RESID","",IF(AG$7=2005+OFFSET(COM_N_2012!$B$60,$AW352,SUMIF($B$10:$B$16,"NCAP_TLIFE",$AX$10:$AX$16)),0,""))</f>
        <v/>
      </c>
      <c r="AH352" s="369" t="str">
        <f ca="1">IF($B352&lt;&gt;"PRC_RESID","",IF(AH$7=2005+OFFSET(COM_N_2012!$B$60,$AW352,SUMIF($B$10:$B$16,"NCAP_TLIFE",$AX$10:$AX$16)),0,""))</f>
        <v/>
      </c>
      <c r="AI352" s="369" t="str">
        <f ca="1">IF($B352&lt;&gt;"PRC_RESID","",IF(AI$7=2005+OFFSET(COM_N_2012!$B$60,$AW352,SUMIF($B$10:$B$16,"NCAP_TLIFE",$AX$10:$AX$16)),0,""))</f>
        <v/>
      </c>
      <c r="AJ352" s="369" t="str">
        <f ca="1">IF($B352&lt;&gt;"PRC_RESID","",IF(AJ$7=2005+OFFSET(COM_N_2012!$B$60,$AW352,SUMIF($B$10:$B$16,"NCAP_TLIFE",$AX$10:$AX$16)),0,""))</f>
        <v/>
      </c>
      <c r="AK352" s="369" t="str">
        <f ca="1">IF($B352&lt;&gt;"PRC_RESID","",IF(AK$7=2005+OFFSET(COM_N_2012!$B$60,$AW352,SUMIF($B$10:$B$16,"NCAP_TLIFE",$AX$10:$AX$16)),0,""))</f>
        <v/>
      </c>
      <c r="AL352" s="369" t="str">
        <f ca="1">IF($B352&lt;&gt;"PRC_RESID","",IF(AL$7=2005+OFFSET(COM_N_2012!$B$60,$AW352,SUMIF($B$10:$B$16,"NCAP_TLIFE",$AX$10:$AX$16)),0,""))</f>
        <v/>
      </c>
      <c r="AM352" s="369" t="str">
        <f ca="1">IF($B352&lt;&gt;"PRC_RESID","",IF(AM$7=2005+OFFSET(COM_N_2012!$B$60,$AW352,SUMIF($B$10:$B$16,"NCAP_TLIFE",$AX$10:$AX$16)),0,""))</f>
        <v/>
      </c>
      <c r="AN352" s="369" t="str">
        <f ca="1">IF($B352&lt;&gt;"PRC_RESID","",IF(AN$7=2005+OFFSET(COM_N_2012!$B$60,$AW352,SUMIF($B$10:$B$16,"NCAP_TLIFE",$AX$10:$AX$16)),0,""))</f>
        <v/>
      </c>
      <c r="AO352" s="369" t="str">
        <f ca="1">IF($B352&lt;&gt;"PRC_RESID","",IF(AO$7=2005+OFFSET(COM_N_2012!$B$60,$AW352,SUMIF($B$10:$B$16,"NCAP_TLIFE",$AX$10:$AX$16)),0,""))</f>
        <v/>
      </c>
      <c r="AP352" s="369" t="str">
        <f ca="1">IF($B352&lt;&gt;"PRC_RESID","",IF(AP$7=2005+OFFSET(COM_N_2012!$B$60,$AW352,SUMIF($B$10:$B$16,"NCAP_TLIFE",$AX$10:$AX$16)),0,""))</f>
        <v/>
      </c>
      <c r="AQ352" s="369" t="str">
        <f ca="1">IF($B352&lt;&gt;"PRC_RESID","",IF(AQ$7=2005+OFFSET(COM_N_2012!$B$60,$AW352,SUMIF($B$10:$B$16,"NCAP_TLIFE",$AX$10:$AX$16)),0,""))</f>
        <v/>
      </c>
      <c r="AR352" s="369" t="str">
        <f ca="1">IF($B352&lt;&gt;"PRC_RESID","",IF(AR$7=2005+OFFSET(COM_N_2012!$B$60,$AW352,SUMIF($B$10:$B$16,"NCAP_TLIFE",$AX$10:$AX$16)),0,""))</f>
        <v/>
      </c>
      <c r="AS352" s="369" t="str">
        <f ca="1">IF($B352&lt;&gt;"PRC_RESID","",IF(AS$7=2005+OFFSET(COM_N_2012!$B$60,$AW352,SUMIF($B$10:$B$16,"NCAP_TLIFE",$AX$10:$AX$16)),0,""))</f>
        <v/>
      </c>
      <c r="AT352" s="369" t="str">
        <f ca="1">IF($B352&lt;&gt;"PRC_RESID","",IF(AT$7=2005+OFFSET(COM_N_2012!$B$60,$AW352,SUMIF($B$10:$B$16,"NCAP_TLIFE",$AX$10:$AX$16)),0,""))</f>
        <v/>
      </c>
      <c r="AU352" s="369" t="str">
        <f ca="1">IF($B352&lt;&gt;"PRC_RESID","",IF(AU$7=2005+OFFSET(COM_N_2012!$B$60,$AW352,SUMIF($B$10:$B$16,"NCAP_TLIFE",$AX$10:$AX$16)),0,""))</f>
        <v/>
      </c>
      <c r="AV352" s="304">
        <f>IF(AW351=COM_N_2012!$AK$121,AV351+1,AV351)</f>
        <v>6</v>
      </c>
      <c r="AW352" s="304">
        <f t="shared" si="45"/>
        <v>30</v>
      </c>
    </row>
    <row r="353" spans="1:49">
      <c r="A353" s="304" t="str">
        <f ca="1">IF(LEFT(OFFSET(COM_N_2012!$A$60,AW353,0),2)="\I","*","")</f>
        <v>*</v>
      </c>
      <c r="B353" s="369" t="str">
        <f t="shared" ca="1" si="47"/>
        <v/>
      </c>
      <c r="C353" s="369" t="str">
        <f ca="1">IF($A353="*","",OFFSET(COM_N_2012!$B$60,AW353,0))</f>
        <v/>
      </c>
      <c r="D353" s="369" t="str">
        <f t="shared" ca="1" si="48"/>
        <v/>
      </c>
      <c r="E353" s="369" t="str">
        <f t="shared" ca="1" si="48"/>
        <v/>
      </c>
      <c r="F353" s="369" t="str">
        <f t="shared" ca="1" si="48"/>
        <v/>
      </c>
      <c r="G353" s="369" t="str">
        <f t="shared" ca="1" si="48"/>
        <v/>
      </c>
      <c r="H353" s="369" t="str">
        <f t="shared" ca="1" si="48"/>
        <v/>
      </c>
      <c r="I353" s="370" t="str">
        <f t="shared" ca="1" si="48"/>
        <v/>
      </c>
      <c r="J353" s="391" t="str">
        <f ca="1">IF($A353="*","",OFFSET(COM_N_2012!$B$60,AW353,SUMIF($B$10:$B$16,B353,$AX$10:$AX$16)))</f>
        <v/>
      </c>
      <c r="K353" s="369" t="str">
        <f ca="1">IF($B353&lt;&gt;"PRC_RESID","",IF(K$7=2005+OFFSET(COM_N_2012!$B$60,$AW353,SUMIF($B$10:$B$16,"NCAP_TLIFE",$AX$10:$AX$16)),0,""))</f>
        <v/>
      </c>
      <c r="L353" s="369" t="str">
        <f ca="1">IF($B353&lt;&gt;"PRC_RESID","",IF(L$7=2005+OFFSET(COM_N_2012!$B$60,$AW353,SUMIF($B$10:$B$16,"NCAP_TLIFE",$AX$10:$AX$16)),0,""))</f>
        <v/>
      </c>
      <c r="M353" s="369" t="str">
        <f ca="1">IF($B353&lt;&gt;"PRC_RESID","",IF(M$7=2005+OFFSET(COM_N_2012!$B$60,$AW353,SUMIF($B$10:$B$16,"NCAP_TLIFE",$AX$10:$AX$16)),0,""))</f>
        <v/>
      </c>
      <c r="N353" s="369" t="str">
        <f ca="1">IF($B353&lt;&gt;"PRC_RESID","",IF(N$7=2005+OFFSET(COM_N_2012!$B$60,$AW353,SUMIF($B$10:$B$16,"NCAP_TLIFE",$AX$10:$AX$16)),0,""))</f>
        <v/>
      </c>
      <c r="O353" s="369" t="str">
        <f ca="1">IF($B353&lt;&gt;"PRC_RESID","",IF(O$7=2005+OFFSET(COM_N_2012!$B$60,$AW353,SUMIF($B$10:$B$16,"NCAP_TLIFE",$AX$10:$AX$16)),0,""))</f>
        <v/>
      </c>
      <c r="P353" s="369" t="str">
        <f ca="1">IF($B353&lt;&gt;"PRC_RESID","",IF(P$7=2005+OFFSET(COM_N_2012!$B$60,$AW353,SUMIF($B$10:$B$16,"NCAP_TLIFE",$AX$10:$AX$16)),0,""))</f>
        <v/>
      </c>
      <c r="Q353" s="369" t="str">
        <f ca="1">IF($B353&lt;&gt;"PRC_RESID","",IF(Q$7=2005+OFFSET(COM_N_2012!$B$60,$AW353,SUMIF($B$10:$B$16,"NCAP_TLIFE",$AX$10:$AX$16)),0,""))</f>
        <v/>
      </c>
      <c r="R353" s="369" t="str">
        <f ca="1">IF($B353&lt;&gt;"PRC_RESID","",IF(R$7=2005+OFFSET(COM_N_2012!$B$60,$AW353,SUMIF($B$10:$B$16,"NCAP_TLIFE",$AX$10:$AX$16)),0,""))</f>
        <v/>
      </c>
      <c r="S353" s="369" t="str">
        <f ca="1">IF($B353&lt;&gt;"PRC_RESID","",IF(S$7=2005+OFFSET(COM_N_2012!$B$60,$AW353,SUMIF($B$10:$B$16,"NCAP_TLIFE",$AX$10:$AX$16)),0,""))</f>
        <v/>
      </c>
      <c r="T353" s="369" t="str">
        <f ca="1">IF($B353&lt;&gt;"PRC_RESID","",IF(T$7=2005+OFFSET(COM_N_2012!$B$60,$AW353,SUMIF($B$10:$B$16,"NCAP_TLIFE",$AX$10:$AX$16)),0,""))</f>
        <v/>
      </c>
      <c r="U353" s="369" t="str">
        <f ca="1">IF($B353&lt;&gt;"PRC_RESID","",IF(U$7=2005+OFFSET(COM_N_2012!$B$60,$AW353,SUMIF($B$10:$B$16,"NCAP_TLIFE",$AX$10:$AX$16)),0,""))</f>
        <v/>
      </c>
      <c r="V353" s="369" t="str">
        <f ca="1">IF($B353&lt;&gt;"PRC_RESID","",IF(V$7=2005+OFFSET(COM_N_2012!$B$60,$AW353,SUMIF($B$10:$B$16,"NCAP_TLIFE",$AX$10:$AX$16)),0,""))</f>
        <v/>
      </c>
      <c r="W353" s="369" t="str">
        <f ca="1">IF($B353&lt;&gt;"PRC_RESID","",IF(W$7=2005+OFFSET(COM_N_2012!$B$60,$AW353,SUMIF($B$10:$B$16,"NCAP_TLIFE",$AX$10:$AX$16)),0,""))</f>
        <v/>
      </c>
      <c r="X353" s="369" t="str">
        <f ca="1">IF($B353&lt;&gt;"PRC_RESID","",IF(X$7=2005+OFFSET(COM_N_2012!$B$60,$AW353,SUMIF($B$10:$B$16,"NCAP_TLIFE",$AX$10:$AX$16)),0,""))</f>
        <v/>
      </c>
      <c r="Y353" s="369" t="str">
        <f ca="1">IF($B353&lt;&gt;"PRC_RESID","",IF(Y$7=2005+OFFSET(COM_N_2012!$B$60,$AW353,SUMIF($B$10:$B$16,"NCAP_TLIFE",$AX$10:$AX$16)),0,""))</f>
        <v/>
      </c>
      <c r="Z353" s="369" t="str">
        <f ca="1">IF($B353&lt;&gt;"PRC_RESID","",IF(Z$7=2005+OFFSET(COM_N_2012!$B$60,$AW353,SUMIF($B$10:$B$16,"NCAP_TLIFE",$AX$10:$AX$16)),0,""))</f>
        <v/>
      </c>
      <c r="AA353" s="369" t="str">
        <f ca="1">IF($B353&lt;&gt;"PRC_RESID","",IF(AA$7=2005+OFFSET(COM_N_2012!$B$60,$AW353,SUMIF($B$10:$B$16,"NCAP_TLIFE",$AX$10:$AX$16)),0,""))</f>
        <v/>
      </c>
      <c r="AB353" s="369" t="str">
        <f ca="1">IF($B353&lt;&gt;"PRC_RESID","",IF(AB$7=2005+OFFSET(COM_N_2012!$B$60,$AW353,SUMIF($B$10:$B$16,"NCAP_TLIFE",$AX$10:$AX$16)),0,""))</f>
        <v/>
      </c>
      <c r="AC353" s="369" t="str">
        <f ca="1">IF($B353&lt;&gt;"PRC_RESID","",IF(AC$7=2005+OFFSET(COM_N_2012!$B$60,$AW353,SUMIF($B$10:$B$16,"NCAP_TLIFE",$AX$10:$AX$16)),0,""))</f>
        <v/>
      </c>
      <c r="AD353" s="369" t="str">
        <f ca="1">IF($B353&lt;&gt;"PRC_RESID","",IF(AD$7=2005+OFFSET(COM_N_2012!$B$60,$AW353,SUMIF($B$10:$B$16,"NCAP_TLIFE",$AX$10:$AX$16)),0,""))</f>
        <v/>
      </c>
      <c r="AE353" s="369" t="str">
        <f ca="1">IF($B353&lt;&gt;"PRC_RESID","",IF(AE$7=2005+OFFSET(COM_N_2012!$B$60,$AW353,SUMIF($B$10:$B$16,"NCAP_TLIFE",$AX$10:$AX$16)),0,""))</f>
        <v/>
      </c>
      <c r="AF353" s="369" t="str">
        <f ca="1">IF($B353&lt;&gt;"PRC_RESID","",IF(AF$7=2005+OFFSET(COM_N_2012!$B$60,$AW353,SUMIF($B$10:$B$16,"NCAP_TLIFE",$AX$10:$AX$16)),0,""))</f>
        <v/>
      </c>
      <c r="AG353" s="369" t="str">
        <f ca="1">IF($B353&lt;&gt;"PRC_RESID","",IF(AG$7=2005+OFFSET(COM_N_2012!$B$60,$AW353,SUMIF($B$10:$B$16,"NCAP_TLIFE",$AX$10:$AX$16)),0,""))</f>
        <v/>
      </c>
      <c r="AH353" s="369" t="str">
        <f ca="1">IF($B353&lt;&gt;"PRC_RESID","",IF(AH$7=2005+OFFSET(COM_N_2012!$B$60,$AW353,SUMIF($B$10:$B$16,"NCAP_TLIFE",$AX$10:$AX$16)),0,""))</f>
        <v/>
      </c>
      <c r="AI353" s="369" t="str">
        <f ca="1">IF($B353&lt;&gt;"PRC_RESID","",IF(AI$7=2005+OFFSET(COM_N_2012!$B$60,$AW353,SUMIF($B$10:$B$16,"NCAP_TLIFE",$AX$10:$AX$16)),0,""))</f>
        <v/>
      </c>
      <c r="AJ353" s="369" t="str">
        <f ca="1">IF($B353&lt;&gt;"PRC_RESID","",IF(AJ$7=2005+OFFSET(COM_N_2012!$B$60,$AW353,SUMIF($B$10:$B$16,"NCAP_TLIFE",$AX$10:$AX$16)),0,""))</f>
        <v/>
      </c>
      <c r="AK353" s="369" t="str">
        <f ca="1">IF($B353&lt;&gt;"PRC_RESID","",IF(AK$7=2005+OFFSET(COM_N_2012!$B$60,$AW353,SUMIF($B$10:$B$16,"NCAP_TLIFE",$AX$10:$AX$16)),0,""))</f>
        <v/>
      </c>
      <c r="AL353" s="369" t="str">
        <f ca="1">IF($B353&lt;&gt;"PRC_RESID","",IF(AL$7=2005+OFFSET(COM_N_2012!$B$60,$AW353,SUMIF($B$10:$B$16,"NCAP_TLIFE",$AX$10:$AX$16)),0,""))</f>
        <v/>
      </c>
      <c r="AM353" s="369" t="str">
        <f ca="1">IF($B353&lt;&gt;"PRC_RESID","",IF(AM$7=2005+OFFSET(COM_N_2012!$B$60,$AW353,SUMIF($B$10:$B$16,"NCAP_TLIFE",$AX$10:$AX$16)),0,""))</f>
        <v/>
      </c>
      <c r="AN353" s="369" t="str">
        <f ca="1">IF($B353&lt;&gt;"PRC_RESID","",IF(AN$7=2005+OFFSET(COM_N_2012!$B$60,$AW353,SUMIF($B$10:$B$16,"NCAP_TLIFE",$AX$10:$AX$16)),0,""))</f>
        <v/>
      </c>
      <c r="AO353" s="369" t="str">
        <f ca="1">IF($B353&lt;&gt;"PRC_RESID","",IF(AO$7=2005+OFFSET(COM_N_2012!$B$60,$AW353,SUMIF($B$10:$B$16,"NCAP_TLIFE",$AX$10:$AX$16)),0,""))</f>
        <v/>
      </c>
      <c r="AP353" s="369" t="str">
        <f ca="1">IF($B353&lt;&gt;"PRC_RESID","",IF(AP$7=2005+OFFSET(COM_N_2012!$B$60,$AW353,SUMIF($B$10:$B$16,"NCAP_TLIFE",$AX$10:$AX$16)),0,""))</f>
        <v/>
      </c>
      <c r="AQ353" s="369" t="str">
        <f ca="1">IF($B353&lt;&gt;"PRC_RESID","",IF(AQ$7=2005+OFFSET(COM_N_2012!$B$60,$AW353,SUMIF($B$10:$B$16,"NCAP_TLIFE",$AX$10:$AX$16)),0,""))</f>
        <v/>
      </c>
      <c r="AR353" s="369" t="str">
        <f ca="1">IF($B353&lt;&gt;"PRC_RESID","",IF(AR$7=2005+OFFSET(COM_N_2012!$B$60,$AW353,SUMIF($B$10:$B$16,"NCAP_TLIFE",$AX$10:$AX$16)),0,""))</f>
        <v/>
      </c>
      <c r="AS353" s="369" t="str">
        <f ca="1">IF($B353&lt;&gt;"PRC_RESID","",IF(AS$7=2005+OFFSET(COM_N_2012!$B$60,$AW353,SUMIF($B$10:$B$16,"NCAP_TLIFE",$AX$10:$AX$16)),0,""))</f>
        <v/>
      </c>
      <c r="AT353" s="369" t="str">
        <f ca="1">IF($B353&lt;&gt;"PRC_RESID","",IF(AT$7=2005+OFFSET(COM_N_2012!$B$60,$AW353,SUMIF($B$10:$B$16,"NCAP_TLIFE",$AX$10:$AX$16)),0,""))</f>
        <v/>
      </c>
      <c r="AU353" s="369" t="str">
        <f ca="1">IF($B353&lt;&gt;"PRC_RESID","",IF(AU$7=2005+OFFSET(COM_N_2012!$B$60,$AW353,SUMIF($B$10:$B$16,"NCAP_TLIFE",$AX$10:$AX$16)),0,""))</f>
        <v/>
      </c>
      <c r="AV353" s="304">
        <f>IF(AW352=COM_N_2012!$AK$121,AV352+1,AV352)</f>
        <v>6</v>
      </c>
      <c r="AW353" s="304">
        <f t="shared" si="45"/>
        <v>31</v>
      </c>
    </row>
    <row r="354" spans="1:49">
      <c r="A354" s="304" t="str">
        <f ca="1">IF(LEFT(OFFSET(COM_N_2012!$A$60,AW354,0),2)="\I","*","")</f>
        <v>*</v>
      </c>
      <c r="B354" s="369" t="str">
        <f t="shared" ca="1" si="47"/>
        <v/>
      </c>
      <c r="C354" s="369" t="str">
        <f ca="1">IF($A354="*","",OFFSET(COM_N_2012!$B$60,AW354,0))</f>
        <v/>
      </c>
      <c r="D354" s="369" t="str">
        <f t="shared" ca="1" si="48"/>
        <v/>
      </c>
      <c r="E354" s="369" t="str">
        <f t="shared" ca="1" si="48"/>
        <v/>
      </c>
      <c r="F354" s="369" t="str">
        <f t="shared" ca="1" si="48"/>
        <v/>
      </c>
      <c r="G354" s="369" t="str">
        <f t="shared" ca="1" si="48"/>
        <v/>
      </c>
      <c r="H354" s="369" t="str">
        <f t="shared" ca="1" si="48"/>
        <v/>
      </c>
      <c r="I354" s="370" t="str">
        <f t="shared" ca="1" si="48"/>
        <v/>
      </c>
      <c r="J354" s="391" t="str">
        <f ca="1">IF($A354="*","",OFFSET(COM_N_2012!$B$60,AW354,SUMIF($B$10:$B$16,B354,$AX$10:$AX$16)))</f>
        <v/>
      </c>
      <c r="K354" s="369" t="str">
        <f ca="1">IF($B354&lt;&gt;"PRC_RESID","",IF(K$7=2005+OFFSET(COM_N_2012!$B$60,$AW354,SUMIF($B$10:$B$16,"NCAP_TLIFE",$AX$10:$AX$16)),0,""))</f>
        <v/>
      </c>
      <c r="L354" s="369" t="str">
        <f ca="1">IF($B354&lt;&gt;"PRC_RESID","",IF(L$7=2005+OFFSET(COM_N_2012!$B$60,$AW354,SUMIF($B$10:$B$16,"NCAP_TLIFE",$AX$10:$AX$16)),0,""))</f>
        <v/>
      </c>
      <c r="M354" s="369" t="str">
        <f ca="1">IF($B354&lt;&gt;"PRC_RESID","",IF(M$7=2005+OFFSET(COM_N_2012!$B$60,$AW354,SUMIF($B$10:$B$16,"NCAP_TLIFE",$AX$10:$AX$16)),0,""))</f>
        <v/>
      </c>
      <c r="N354" s="369" t="str">
        <f ca="1">IF($B354&lt;&gt;"PRC_RESID","",IF(N$7=2005+OFFSET(COM_N_2012!$B$60,$AW354,SUMIF($B$10:$B$16,"NCAP_TLIFE",$AX$10:$AX$16)),0,""))</f>
        <v/>
      </c>
      <c r="O354" s="369" t="str">
        <f ca="1">IF($B354&lt;&gt;"PRC_RESID","",IF(O$7=2005+OFFSET(COM_N_2012!$B$60,$AW354,SUMIF($B$10:$B$16,"NCAP_TLIFE",$AX$10:$AX$16)),0,""))</f>
        <v/>
      </c>
      <c r="P354" s="369" t="str">
        <f ca="1">IF($B354&lt;&gt;"PRC_RESID","",IF(P$7=2005+OFFSET(COM_N_2012!$B$60,$AW354,SUMIF($B$10:$B$16,"NCAP_TLIFE",$AX$10:$AX$16)),0,""))</f>
        <v/>
      </c>
      <c r="Q354" s="369" t="str">
        <f ca="1">IF($B354&lt;&gt;"PRC_RESID","",IF(Q$7=2005+OFFSET(COM_N_2012!$B$60,$AW354,SUMIF($B$10:$B$16,"NCAP_TLIFE",$AX$10:$AX$16)),0,""))</f>
        <v/>
      </c>
      <c r="R354" s="369" t="str">
        <f ca="1">IF($B354&lt;&gt;"PRC_RESID","",IF(R$7=2005+OFFSET(COM_N_2012!$B$60,$AW354,SUMIF($B$10:$B$16,"NCAP_TLIFE",$AX$10:$AX$16)),0,""))</f>
        <v/>
      </c>
      <c r="S354" s="369" t="str">
        <f ca="1">IF($B354&lt;&gt;"PRC_RESID","",IF(S$7=2005+OFFSET(COM_N_2012!$B$60,$AW354,SUMIF($B$10:$B$16,"NCAP_TLIFE",$AX$10:$AX$16)),0,""))</f>
        <v/>
      </c>
      <c r="T354" s="369" t="str">
        <f ca="1">IF($B354&lt;&gt;"PRC_RESID","",IF(T$7=2005+OFFSET(COM_N_2012!$B$60,$AW354,SUMIF($B$10:$B$16,"NCAP_TLIFE",$AX$10:$AX$16)),0,""))</f>
        <v/>
      </c>
      <c r="U354" s="369" t="str">
        <f ca="1">IF($B354&lt;&gt;"PRC_RESID","",IF(U$7=2005+OFFSET(COM_N_2012!$B$60,$AW354,SUMIF($B$10:$B$16,"NCAP_TLIFE",$AX$10:$AX$16)),0,""))</f>
        <v/>
      </c>
      <c r="V354" s="369" t="str">
        <f ca="1">IF($B354&lt;&gt;"PRC_RESID","",IF(V$7=2005+OFFSET(COM_N_2012!$B$60,$AW354,SUMIF($B$10:$B$16,"NCAP_TLIFE",$AX$10:$AX$16)),0,""))</f>
        <v/>
      </c>
      <c r="W354" s="369" t="str">
        <f ca="1">IF($B354&lt;&gt;"PRC_RESID","",IF(W$7=2005+OFFSET(COM_N_2012!$B$60,$AW354,SUMIF($B$10:$B$16,"NCAP_TLIFE",$AX$10:$AX$16)),0,""))</f>
        <v/>
      </c>
      <c r="X354" s="369" t="str">
        <f ca="1">IF($B354&lt;&gt;"PRC_RESID","",IF(X$7=2005+OFFSET(COM_N_2012!$B$60,$AW354,SUMIF($B$10:$B$16,"NCAP_TLIFE",$AX$10:$AX$16)),0,""))</f>
        <v/>
      </c>
      <c r="Y354" s="369" t="str">
        <f ca="1">IF($B354&lt;&gt;"PRC_RESID","",IF(Y$7=2005+OFFSET(COM_N_2012!$B$60,$AW354,SUMIF($B$10:$B$16,"NCAP_TLIFE",$AX$10:$AX$16)),0,""))</f>
        <v/>
      </c>
      <c r="Z354" s="369" t="str">
        <f ca="1">IF($B354&lt;&gt;"PRC_RESID","",IF(Z$7=2005+OFFSET(COM_N_2012!$B$60,$AW354,SUMIF($B$10:$B$16,"NCAP_TLIFE",$AX$10:$AX$16)),0,""))</f>
        <v/>
      </c>
      <c r="AA354" s="369" t="str">
        <f ca="1">IF($B354&lt;&gt;"PRC_RESID","",IF(AA$7=2005+OFFSET(COM_N_2012!$B$60,$AW354,SUMIF($B$10:$B$16,"NCAP_TLIFE",$AX$10:$AX$16)),0,""))</f>
        <v/>
      </c>
      <c r="AB354" s="369" t="str">
        <f ca="1">IF($B354&lt;&gt;"PRC_RESID","",IF(AB$7=2005+OFFSET(COM_N_2012!$B$60,$AW354,SUMIF($B$10:$B$16,"NCAP_TLIFE",$AX$10:$AX$16)),0,""))</f>
        <v/>
      </c>
      <c r="AC354" s="369" t="str">
        <f ca="1">IF($B354&lt;&gt;"PRC_RESID","",IF(AC$7=2005+OFFSET(COM_N_2012!$B$60,$AW354,SUMIF($B$10:$B$16,"NCAP_TLIFE",$AX$10:$AX$16)),0,""))</f>
        <v/>
      </c>
      <c r="AD354" s="369" t="str">
        <f ca="1">IF($B354&lt;&gt;"PRC_RESID","",IF(AD$7=2005+OFFSET(COM_N_2012!$B$60,$AW354,SUMIF($B$10:$B$16,"NCAP_TLIFE",$AX$10:$AX$16)),0,""))</f>
        <v/>
      </c>
      <c r="AE354" s="369" t="str">
        <f ca="1">IF($B354&lt;&gt;"PRC_RESID","",IF(AE$7=2005+OFFSET(COM_N_2012!$B$60,$AW354,SUMIF($B$10:$B$16,"NCAP_TLIFE",$AX$10:$AX$16)),0,""))</f>
        <v/>
      </c>
      <c r="AF354" s="369" t="str">
        <f ca="1">IF($B354&lt;&gt;"PRC_RESID","",IF(AF$7=2005+OFFSET(COM_N_2012!$B$60,$AW354,SUMIF($B$10:$B$16,"NCAP_TLIFE",$AX$10:$AX$16)),0,""))</f>
        <v/>
      </c>
      <c r="AG354" s="369" t="str">
        <f ca="1">IF($B354&lt;&gt;"PRC_RESID","",IF(AG$7=2005+OFFSET(COM_N_2012!$B$60,$AW354,SUMIF($B$10:$B$16,"NCAP_TLIFE",$AX$10:$AX$16)),0,""))</f>
        <v/>
      </c>
      <c r="AH354" s="369" t="str">
        <f ca="1">IF($B354&lt;&gt;"PRC_RESID","",IF(AH$7=2005+OFFSET(COM_N_2012!$B$60,$AW354,SUMIF($B$10:$B$16,"NCAP_TLIFE",$AX$10:$AX$16)),0,""))</f>
        <v/>
      </c>
      <c r="AI354" s="369" t="str">
        <f ca="1">IF($B354&lt;&gt;"PRC_RESID","",IF(AI$7=2005+OFFSET(COM_N_2012!$B$60,$AW354,SUMIF($B$10:$B$16,"NCAP_TLIFE",$AX$10:$AX$16)),0,""))</f>
        <v/>
      </c>
      <c r="AJ354" s="369" t="str">
        <f ca="1">IF($B354&lt;&gt;"PRC_RESID","",IF(AJ$7=2005+OFFSET(COM_N_2012!$B$60,$AW354,SUMIF($B$10:$B$16,"NCAP_TLIFE",$AX$10:$AX$16)),0,""))</f>
        <v/>
      </c>
      <c r="AK354" s="369" t="str">
        <f ca="1">IF($B354&lt;&gt;"PRC_RESID","",IF(AK$7=2005+OFFSET(COM_N_2012!$B$60,$AW354,SUMIF($B$10:$B$16,"NCAP_TLIFE",$AX$10:$AX$16)),0,""))</f>
        <v/>
      </c>
      <c r="AL354" s="369" t="str">
        <f ca="1">IF($B354&lt;&gt;"PRC_RESID","",IF(AL$7=2005+OFFSET(COM_N_2012!$B$60,$AW354,SUMIF($B$10:$B$16,"NCAP_TLIFE",$AX$10:$AX$16)),0,""))</f>
        <v/>
      </c>
      <c r="AM354" s="369" t="str">
        <f ca="1">IF($B354&lt;&gt;"PRC_RESID","",IF(AM$7=2005+OFFSET(COM_N_2012!$B$60,$AW354,SUMIF($B$10:$B$16,"NCAP_TLIFE",$AX$10:$AX$16)),0,""))</f>
        <v/>
      </c>
      <c r="AN354" s="369" t="str">
        <f ca="1">IF($B354&lt;&gt;"PRC_RESID","",IF(AN$7=2005+OFFSET(COM_N_2012!$B$60,$AW354,SUMIF($B$10:$B$16,"NCAP_TLIFE",$AX$10:$AX$16)),0,""))</f>
        <v/>
      </c>
      <c r="AO354" s="369" t="str">
        <f ca="1">IF($B354&lt;&gt;"PRC_RESID","",IF(AO$7=2005+OFFSET(COM_N_2012!$B$60,$AW354,SUMIF($B$10:$B$16,"NCAP_TLIFE",$AX$10:$AX$16)),0,""))</f>
        <v/>
      </c>
      <c r="AP354" s="369" t="str">
        <f ca="1">IF($B354&lt;&gt;"PRC_RESID","",IF(AP$7=2005+OFFSET(COM_N_2012!$B$60,$AW354,SUMIF($B$10:$B$16,"NCAP_TLIFE",$AX$10:$AX$16)),0,""))</f>
        <v/>
      </c>
      <c r="AQ354" s="369" t="str">
        <f ca="1">IF($B354&lt;&gt;"PRC_RESID","",IF(AQ$7=2005+OFFSET(COM_N_2012!$B$60,$AW354,SUMIF($B$10:$B$16,"NCAP_TLIFE",$AX$10:$AX$16)),0,""))</f>
        <v/>
      </c>
      <c r="AR354" s="369" t="str">
        <f ca="1">IF($B354&lt;&gt;"PRC_RESID","",IF(AR$7=2005+OFFSET(COM_N_2012!$B$60,$AW354,SUMIF($B$10:$B$16,"NCAP_TLIFE",$AX$10:$AX$16)),0,""))</f>
        <v/>
      </c>
      <c r="AS354" s="369" t="str">
        <f ca="1">IF($B354&lt;&gt;"PRC_RESID","",IF(AS$7=2005+OFFSET(COM_N_2012!$B$60,$AW354,SUMIF($B$10:$B$16,"NCAP_TLIFE",$AX$10:$AX$16)),0,""))</f>
        <v/>
      </c>
      <c r="AT354" s="369" t="str">
        <f ca="1">IF($B354&lt;&gt;"PRC_RESID","",IF(AT$7=2005+OFFSET(COM_N_2012!$B$60,$AW354,SUMIF($B$10:$B$16,"NCAP_TLIFE",$AX$10:$AX$16)),0,""))</f>
        <v/>
      </c>
      <c r="AU354" s="369" t="str">
        <f ca="1">IF($B354&lt;&gt;"PRC_RESID","",IF(AU$7=2005+OFFSET(COM_N_2012!$B$60,$AW354,SUMIF($B$10:$B$16,"NCAP_TLIFE",$AX$10:$AX$16)),0,""))</f>
        <v/>
      </c>
      <c r="AV354" s="304">
        <f>IF(AW353=COM_N_2012!$AK$121,AV353+1,AV353)</f>
        <v>6</v>
      </c>
      <c r="AW354" s="304">
        <f t="shared" si="45"/>
        <v>32</v>
      </c>
    </row>
    <row r="355" spans="1:49">
      <c r="A355" s="304" t="str">
        <f ca="1">IF(LEFT(OFFSET(COM_N_2012!$A$60,AW355,0),2)="\I","*","")</f>
        <v/>
      </c>
      <c r="B355" s="369" t="str">
        <f t="shared" ca="1" si="47"/>
        <v>PRC_RESID</v>
      </c>
      <c r="C355" s="369" t="str">
        <f ca="1">IF($A355="*","",OFFSET(COM_N_2012!$B$60,AW355,0))</f>
        <v>CNWELC-E</v>
      </c>
      <c r="D355" s="369" t="str">
        <f t="shared" ca="1" si="48"/>
        <v>-</v>
      </c>
      <c r="E355" s="369" t="str">
        <f t="shared" ca="1" si="48"/>
        <v>-</v>
      </c>
      <c r="F355" s="369" t="str">
        <f t="shared" ca="1" si="48"/>
        <v>-</v>
      </c>
      <c r="G355" s="369" t="str">
        <f t="shared" ca="1" si="48"/>
        <v>-</v>
      </c>
      <c r="H355" s="369" t="str">
        <f t="shared" ca="1" si="48"/>
        <v>-</v>
      </c>
      <c r="I355" s="370">
        <f t="shared" ca="1" si="48"/>
        <v>0</v>
      </c>
      <c r="J355" s="391">
        <f ca="1">IF($A355="*","",OFFSET(COM_N_2012!$B$60,AW355,SUMIF($B$10:$B$16,B355,$AX$10:$AX$16)))</f>
        <v>0</v>
      </c>
      <c r="K355" s="369" t="str">
        <f ca="1">IF($B355&lt;&gt;"PRC_RESID","",IF(K$7=2005+OFFSET(COM_N_2012!$B$60,$AW355,SUMIF($B$10:$B$16,"NCAP_TLIFE",$AX$10:$AX$16)),0,""))</f>
        <v/>
      </c>
      <c r="L355" s="369" t="str">
        <f ca="1">IF($B355&lt;&gt;"PRC_RESID","",IF(L$7=2005+OFFSET(COM_N_2012!$B$60,$AW355,SUMIF($B$10:$B$16,"NCAP_TLIFE",$AX$10:$AX$16)),0,""))</f>
        <v/>
      </c>
      <c r="M355" s="369" t="str">
        <f ca="1">IF($B355&lt;&gt;"PRC_RESID","",IF(M$7=2005+OFFSET(COM_N_2012!$B$60,$AW355,SUMIF($B$10:$B$16,"NCAP_TLIFE",$AX$10:$AX$16)),0,""))</f>
        <v/>
      </c>
      <c r="N355" s="369" t="str">
        <f ca="1">IF($B355&lt;&gt;"PRC_RESID","",IF(N$7=2005+OFFSET(COM_N_2012!$B$60,$AW355,SUMIF($B$10:$B$16,"NCAP_TLIFE",$AX$10:$AX$16)),0,""))</f>
        <v/>
      </c>
      <c r="O355" s="369" t="str">
        <f ca="1">IF($B355&lt;&gt;"PRC_RESID","",IF(O$7=2005+OFFSET(COM_N_2012!$B$60,$AW355,SUMIF($B$10:$B$16,"NCAP_TLIFE",$AX$10:$AX$16)),0,""))</f>
        <v/>
      </c>
      <c r="P355" s="369" t="str">
        <f ca="1">IF($B355&lt;&gt;"PRC_RESID","",IF(P$7=2005+OFFSET(COM_N_2012!$B$60,$AW355,SUMIF($B$10:$B$16,"NCAP_TLIFE",$AX$10:$AX$16)),0,""))</f>
        <v/>
      </c>
      <c r="Q355" s="369">
        <f ca="1">IF($B355&lt;&gt;"PRC_RESID","",IF(Q$7=2005+OFFSET(COM_N_2012!$B$60,$AW355,SUMIF($B$10:$B$16,"NCAP_TLIFE",$AX$10:$AX$16)),0,""))</f>
        <v>0</v>
      </c>
      <c r="R355" s="369" t="str">
        <f ca="1">IF($B355&lt;&gt;"PRC_RESID","",IF(R$7=2005+OFFSET(COM_N_2012!$B$60,$AW355,SUMIF($B$10:$B$16,"NCAP_TLIFE",$AX$10:$AX$16)),0,""))</f>
        <v/>
      </c>
      <c r="S355" s="369" t="str">
        <f ca="1">IF($B355&lt;&gt;"PRC_RESID","",IF(S$7=2005+OFFSET(COM_N_2012!$B$60,$AW355,SUMIF($B$10:$B$16,"NCAP_TLIFE",$AX$10:$AX$16)),0,""))</f>
        <v/>
      </c>
      <c r="T355" s="369" t="str">
        <f ca="1">IF($B355&lt;&gt;"PRC_RESID","",IF(T$7=2005+OFFSET(COM_N_2012!$B$60,$AW355,SUMIF($B$10:$B$16,"NCAP_TLIFE",$AX$10:$AX$16)),0,""))</f>
        <v/>
      </c>
      <c r="U355" s="369" t="str">
        <f ca="1">IF($B355&lt;&gt;"PRC_RESID","",IF(U$7=2005+OFFSET(COM_N_2012!$B$60,$AW355,SUMIF($B$10:$B$16,"NCAP_TLIFE",$AX$10:$AX$16)),0,""))</f>
        <v/>
      </c>
      <c r="V355" s="369" t="str">
        <f ca="1">IF($B355&lt;&gt;"PRC_RESID","",IF(V$7=2005+OFFSET(COM_N_2012!$B$60,$AW355,SUMIF($B$10:$B$16,"NCAP_TLIFE",$AX$10:$AX$16)),0,""))</f>
        <v/>
      </c>
      <c r="W355" s="369" t="str">
        <f ca="1">IF($B355&lt;&gt;"PRC_RESID","",IF(W$7=2005+OFFSET(COM_N_2012!$B$60,$AW355,SUMIF($B$10:$B$16,"NCAP_TLIFE",$AX$10:$AX$16)),0,""))</f>
        <v/>
      </c>
      <c r="X355" s="369" t="str">
        <f ca="1">IF($B355&lt;&gt;"PRC_RESID","",IF(X$7=2005+OFFSET(COM_N_2012!$B$60,$AW355,SUMIF($B$10:$B$16,"NCAP_TLIFE",$AX$10:$AX$16)),0,""))</f>
        <v/>
      </c>
      <c r="Y355" s="369" t="str">
        <f ca="1">IF($B355&lt;&gt;"PRC_RESID","",IF(Y$7=2005+OFFSET(COM_N_2012!$B$60,$AW355,SUMIF($B$10:$B$16,"NCAP_TLIFE",$AX$10:$AX$16)),0,""))</f>
        <v/>
      </c>
      <c r="Z355" s="369" t="str">
        <f ca="1">IF($B355&lt;&gt;"PRC_RESID","",IF(Z$7=2005+OFFSET(COM_N_2012!$B$60,$AW355,SUMIF($B$10:$B$16,"NCAP_TLIFE",$AX$10:$AX$16)),0,""))</f>
        <v/>
      </c>
      <c r="AA355" s="369" t="str">
        <f ca="1">IF($B355&lt;&gt;"PRC_RESID","",IF(AA$7=2005+OFFSET(COM_N_2012!$B$60,$AW355,SUMIF($B$10:$B$16,"NCAP_TLIFE",$AX$10:$AX$16)),0,""))</f>
        <v/>
      </c>
      <c r="AB355" s="369" t="str">
        <f ca="1">IF($B355&lt;&gt;"PRC_RESID","",IF(AB$7=2005+OFFSET(COM_N_2012!$B$60,$AW355,SUMIF($B$10:$B$16,"NCAP_TLIFE",$AX$10:$AX$16)),0,""))</f>
        <v/>
      </c>
      <c r="AC355" s="369" t="str">
        <f ca="1">IF($B355&lt;&gt;"PRC_RESID","",IF(AC$7=2005+OFFSET(COM_N_2012!$B$60,$AW355,SUMIF($B$10:$B$16,"NCAP_TLIFE",$AX$10:$AX$16)),0,""))</f>
        <v/>
      </c>
      <c r="AD355" s="369" t="str">
        <f ca="1">IF($B355&lt;&gt;"PRC_RESID","",IF(AD$7=2005+OFFSET(COM_N_2012!$B$60,$AW355,SUMIF($B$10:$B$16,"NCAP_TLIFE",$AX$10:$AX$16)),0,""))</f>
        <v/>
      </c>
      <c r="AE355" s="369" t="str">
        <f ca="1">IF($B355&lt;&gt;"PRC_RESID","",IF(AE$7=2005+OFFSET(COM_N_2012!$B$60,$AW355,SUMIF($B$10:$B$16,"NCAP_TLIFE",$AX$10:$AX$16)),0,""))</f>
        <v/>
      </c>
      <c r="AF355" s="369" t="str">
        <f ca="1">IF($B355&lt;&gt;"PRC_RESID","",IF(AF$7=2005+OFFSET(COM_N_2012!$B$60,$AW355,SUMIF($B$10:$B$16,"NCAP_TLIFE",$AX$10:$AX$16)),0,""))</f>
        <v/>
      </c>
      <c r="AG355" s="369" t="str">
        <f ca="1">IF($B355&lt;&gt;"PRC_RESID","",IF(AG$7=2005+OFFSET(COM_N_2012!$B$60,$AW355,SUMIF($B$10:$B$16,"NCAP_TLIFE",$AX$10:$AX$16)),0,""))</f>
        <v/>
      </c>
      <c r="AH355" s="369" t="str">
        <f ca="1">IF($B355&lt;&gt;"PRC_RESID","",IF(AH$7=2005+OFFSET(COM_N_2012!$B$60,$AW355,SUMIF($B$10:$B$16,"NCAP_TLIFE",$AX$10:$AX$16)),0,""))</f>
        <v/>
      </c>
      <c r="AI355" s="369" t="str">
        <f ca="1">IF($B355&lt;&gt;"PRC_RESID","",IF(AI$7=2005+OFFSET(COM_N_2012!$B$60,$AW355,SUMIF($B$10:$B$16,"NCAP_TLIFE",$AX$10:$AX$16)),0,""))</f>
        <v/>
      </c>
      <c r="AJ355" s="369" t="str">
        <f ca="1">IF($B355&lt;&gt;"PRC_RESID","",IF(AJ$7=2005+OFFSET(COM_N_2012!$B$60,$AW355,SUMIF($B$10:$B$16,"NCAP_TLIFE",$AX$10:$AX$16)),0,""))</f>
        <v/>
      </c>
      <c r="AK355" s="369" t="str">
        <f ca="1">IF($B355&lt;&gt;"PRC_RESID","",IF(AK$7=2005+OFFSET(COM_N_2012!$B$60,$AW355,SUMIF($B$10:$B$16,"NCAP_TLIFE",$AX$10:$AX$16)),0,""))</f>
        <v/>
      </c>
      <c r="AL355" s="369" t="str">
        <f ca="1">IF($B355&lt;&gt;"PRC_RESID","",IF(AL$7=2005+OFFSET(COM_N_2012!$B$60,$AW355,SUMIF($B$10:$B$16,"NCAP_TLIFE",$AX$10:$AX$16)),0,""))</f>
        <v/>
      </c>
      <c r="AM355" s="369" t="str">
        <f ca="1">IF($B355&lt;&gt;"PRC_RESID","",IF(AM$7=2005+OFFSET(COM_N_2012!$B$60,$AW355,SUMIF($B$10:$B$16,"NCAP_TLIFE",$AX$10:$AX$16)),0,""))</f>
        <v/>
      </c>
      <c r="AN355" s="369" t="str">
        <f ca="1">IF($B355&lt;&gt;"PRC_RESID","",IF(AN$7=2005+OFFSET(COM_N_2012!$B$60,$AW355,SUMIF($B$10:$B$16,"NCAP_TLIFE",$AX$10:$AX$16)),0,""))</f>
        <v/>
      </c>
      <c r="AO355" s="369" t="str">
        <f ca="1">IF($B355&lt;&gt;"PRC_RESID","",IF(AO$7=2005+OFFSET(COM_N_2012!$B$60,$AW355,SUMIF($B$10:$B$16,"NCAP_TLIFE",$AX$10:$AX$16)),0,""))</f>
        <v/>
      </c>
      <c r="AP355" s="369" t="str">
        <f ca="1">IF($B355&lt;&gt;"PRC_RESID","",IF(AP$7=2005+OFFSET(COM_N_2012!$B$60,$AW355,SUMIF($B$10:$B$16,"NCAP_TLIFE",$AX$10:$AX$16)),0,""))</f>
        <v/>
      </c>
      <c r="AQ355" s="369" t="str">
        <f ca="1">IF($B355&lt;&gt;"PRC_RESID","",IF(AQ$7=2005+OFFSET(COM_N_2012!$B$60,$AW355,SUMIF($B$10:$B$16,"NCAP_TLIFE",$AX$10:$AX$16)),0,""))</f>
        <v/>
      </c>
      <c r="AR355" s="369" t="str">
        <f ca="1">IF($B355&lt;&gt;"PRC_RESID","",IF(AR$7=2005+OFFSET(COM_N_2012!$B$60,$AW355,SUMIF($B$10:$B$16,"NCAP_TLIFE",$AX$10:$AX$16)),0,""))</f>
        <v/>
      </c>
      <c r="AS355" s="369" t="str">
        <f ca="1">IF($B355&lt;&gt;"PRC_RESID","",IF(AS$7=2005+OFFSET(COM_N_2012!$B$60,$AW355,SUMIF($B$10:$B$16,"NCAP_TLIFE",$AX$10:$AX$16)),0,""))</f>
        <v/>
      </c>
      <c r="AT355" s="369" t="str">
        <f ca="1">IF($B355&lt;&gt;"PRC_RESID","",IF(AT$7=2005+OFFSET(COM_N_2012!$B$60,$AW355,SUMIF($B$10:$B$16,"NCAP_TLIFE",$AX$10:$AX$16)),0,""))</f>
        <v/>
      </c>
      <c r="AU355" s="369" t="str">
        <f ca="1">IF($B355&lt;&gt;"PRC_RESID","",IF(AU$7=2005+OFFSET(COM_N_2012!$B$60,$AW355,SUMIF($B$10:$B$16,"NCAP_TLIFE",$AX$10:$AX$16)),0,""))</f>
        <v/>
      </c>
      <c r="AV355" s="304">
        <f>IF(AW354=COM_N_2012!$AK$121,AV354+1,AV354)</f>
        <v>6</v>
      </c>
      <c r="AW355" s="304">
        <f t="shared" si="45"/>
        <v>33</v>
      </c>
    </row>
    <row r="356" spans="1:49">
      <c r="A356" s="304" t="str">
        <f ca="1">IF(LEFT(OFFSET(COM_N_2012!$A$60,AW356,0),2)="\I","*","")</f>
        <v/>
      </c>
      <c r="B356" s="369" t="str">
        <f t="shared" ca="1" si="47"/>
        <v>PRC_RESID</v>
      </c>
      <c r="C356" s="369" t="str">
        <f ca="1">IF($A356="*","",OFFSET(COM_N_2012!$B$60,AW356,0))</f>
        <v>CNWCOA-E</v>
      </c>
      <c r="D356" s="369" t="str">
        <f t="shared" ca="1" si="48"/>
        <v>-</v>
      </c>
      <c r="E356" s="369" t="str">
        <f t="shared" ca="1" si="48"/>
        <v>-</v>
      </c>
      <c r="F356" s="369" t="str">
        <f t="shared" ca="1" si="48"/>
        <v>-</v>
      </c>
      <c r="G356" s="369" t="str">
        <f t="shared" ca="1" si="48"/>
        <v>-</v>
      </c>
      <c r="H356" s="369" t="str">
        <f t="shared" ca="1" si="48"/>
        <v>-</v>
      </c>
      <c r="I356" s="370">
        <f t="shared" ca="1" si="48"/>
        <v>0</v>
      </c>
      <c r="J356" s="391">
        <f ca="1">IF($A356="*","",OFFSET(COM_N_2012!$B$60,AW356,SUMIF($B$10:$B$16,B356,$AX$10:$AX$16)))</f>
        <v>0</v>
      </c>
      <c r="K356" s="369" t="str">
        <f ca="1">IF($B356&lt;&gt;"PRC_RESID","",IF(K$7=2005+OFFSET(COM_N_2012!$B$60,$AW356,SUMIF($B$10:$B$16,"NCAP_TLIFE",$AX$10:$AX$16)),0,""))</f>
        <v/>
      </c>
      <c r="L356" s="369" t="str">
        <f ca="1">IF($B356&lt;&gt;"PRC_RESID","",IF(L$7=2005+OFFSET(COM_N_2012!$B$60,$AW356,SUMIF($B$10:$B$16,"NCAP_TLIFE",$AX$10:$AX$16)),0,""))</f>
        <v/>
      </c>
      <c r="M356" s="369" t="str">
        <f ca="1">IF($B356&lt;&gt;"PRC_RESID","",IF(M$7=2005+OFFSET(COM_N_2012!$B$60,$AW356,SUMIF($B$10:$B$16,"NCAP_TLIFE",$AX$10:$AX$16)),0,""))</f>
        <v/>
      </c>
      <c r="N356" s="369" t="str">
        <f ca="1">IF($B356&lt;&gt;"PRC_RESID","",IF(N$7=2005+OFFSET(COM_N_2012!$B$60,$AW356,SUMIF($B$10:$B$16,"NCAP_TLIFE",$AX$10:$AX$16)),0,""))</f>
        <v/>
      </c>
      <c r="O356" s="369" t="str">
        <f ca="1">IF($B356&lt;&gt;"PRC_RESID","",IF(O$7=2005+OFFSET(COM_N_2012!$B$60,$AW356,SUMIF($B$10:$B$16,"NCAP_TLIFE",$AX$10:$AX$16)),0,""))</f>
        <v/>
      </c>
      <c r="P356" s="369" t="str">
        <f ca="1">IF($B356&lt;&gt;"PRC_RESID","",IF(P$7=2005+OFFSET(COM_N_2012!$B$60,$AW356,SUMIF($B$10:$B$16,"NCAP_TLIFE",$AX$10:$AX$16)),0,""))</f>
        <v/>
      </c>
      <c r="Q356" s="369">
        <f ca="1">IF($B356&lt;&gt;"PRC_RESID","",IF(Q$7=2005+OFFSET(COM_N_2012!$B$60,$AW356,SUMIF($B$10:$B$16,"NCAP_TLIFE",$AX$10:$AX$16)),0,""))</f>
        <v>0</v>
      </c>
      <c r="R356" s="369" t="str">
        <f ca="1">IF($B356&lt;&gt;"PRC_RESID","",IF(R$7=2005+OFFSET(COM_N_2012!$B$60,$AW356,SUMIF($B$10:$B$16,"NCAP_TLIFE",$AX$10:$AX$16)),0,""))</f>
        <v/>
      </c>
      <c r="S356" s="369" t="str">
        <f ca="1">IF($B356&lt;&gt;"PRC_RESID","",IF(S$7=2005+OFFSET(COM_N_2012!$B$60,$AW356,SUMIF($B$10:$B$16,"NCAP_TLIFE",$AX$10:$AX$16)),0,""))</f>
        <v/>
      </c>
      <c r="T356" s="369" t="str">
        <f ca="1">IF($B356&lt;&gt;"PRC_RESID","",IF(T$7=2005+OFFSET(COM_N_2012!$B$60,$AW356,SUMIF($B$10:$B$16,"NCAP_TLIFE",$AX$10:$AX$16)),0,""))</f>
        <v/>
      </c>
      <c r="U356" s="369" t="str">
        <f ca="1">IF($B356&lt;&gt;"PRC_RESID","",IF(U$7=2005+OFFSET(COM_N_2012!$B$60,$AW356,SUMIF($B$10:$B$16,"NCAP_TLIFE",$AX$10:$AX$16)),0,""))</f>
        <v/>
      </c>
      <c r="V356" s="369" t="str">
        <f ca="1">IF($B356&lt;&gt;"PRC_RESID","",IF(V$7=2005+OFFSET(COM_N_2012!$B$60,$AW356,SUMIF($B$10:$B$16,"NCAP_TLIFE",$AX$10:$AX$16)),0,""))</f>
        <v/>
      </c>
      <c r="W356" s="369" t="str">
        <f ca="1">IF($B356&lt;&gt;"PRC_RESID","",IF(W$7=2005+OFFSET(COM_N_2012!$B$60,$AW356,SUMIF($B$10:$B$16,"NCAP_TLIFE",$AX$10:$AX$16)),0,""))</f>
        <v/>
      </c>
      <c r="X356" s="369" t="str">
        <f ca="1">IF($B356&lt;&gt;"PRC_RESID","",IF(X$7=2005+OFFSET(COM_N_2012!$B$60,$AW356,SUMIF($B$10:$B$16,"NCAP_TLIFE",$AX$10:$AX$16)),0,""))</f>
        <v/>
      </c>
      <c r="Y356" s="369" t="str">
        <f ca="1">IF($B356&lt;&gt;"PRC_RESID","",IF(Y$7=2005+OFFSET(COM_N_2012!$B$60,$AW356,SUMIF($B$10:$B$16,"NCAP_TLIFE",$AX$10:$AX$16)),0,""))</f>
        <v/>
      </c>
      <c r="Z356" s="369" t="str">
        <f ca="1">IF($B356&lt;&gt;"PRC_RESID","",IF(Z$7=2005+OFFSET(COM_N_2012!$B$60,$AW356,SUMIF($B$10:$B$16,"NCAP_TLIFE",$AX$10:$AX$16)),0,""))</f>
        <v/>
      </c>
      <c r="AA356" s="369" t="str">
        <f ca="1">IF($B356&lt;&gt;"PRC_RESID","",IF(AA$7=2005+OFFSET(COM_N_2012!$B$60,$AW356,SUMIF($B$10:$B$16,"NCAP_TLIFE",$AX$10:$AX$16)),0,""))</f>
        <v/>
      </c>
      <c r="AB356" s="369" t="str">
        <f ca="1">IF($B356&lt;&gt;"PRC_RESID","",IF(AB$7=2005+OFFSET(COM_N_2012!$B$60,$AW356,SUMIF($B$10:$B$16,"NCAP_TLIFE",$AX$10:$AX$16)),0,""))</f>
        <v/>
      </c>
      <c r="AC356" s="369" t="str">
        <f ca="1">IF($B356&lt;&gt;"PRC_RESID","",IF(AC$7=2005+OFFSET(COM_N_2012!$B$60,$AW356,SUMIF($B$10:$B$16,"NCAP_TLIFE",$AX$10:$AX$16)),0,""))</f>
        <v/>
      </c>
      <c r="AD356" s="369" t="str">
        <f ca="1">IF($B356&lt;&gt;"PRC_RESID","",IF(AD$7=2005+OFFSET(COM_N_2012!$B$60,$AW356,SUMIF($B$10:$B$16,"NCAP_TLIFE",$AX$10:$AX$16)),0,""))</f>
        <v/>
      </c>
      <c r="AE356" s="369" t="str">
        <f ca="1">IF($B356&lt;&gt;"PRC_RESID","",IF(AE$7=2005+OFFSET(COM_N_2012!$B$60,$AW356,SUMIF($B$10:$B$16,"NCAP_TLIFE",$AX$10:$AX$16)),0,""))</f>
        <v/>
      </c>
      <c r="AF356" s="369" t="str">
        <f ca="1">IF($B356&lt;&gt;"PRC_RESID","",IF(AF$7=2005+OFFSET(COM_N_2012!$B$60,$AW356,SUMIF($B$10:$B$16,"NCAP_TLIFE",$AX$10:$AX$16)),0,""))</f>
        <v/>
      </c>
      <c r="AG356" s="369" t="str">
        <f ca="1">IF($B356&lt;&gt;"PRC_RESID","",IF(AG$7=2005+OFFSET(COM_N_2012!$B$60,$AW356,SUMIF($B$10:$B$16,"NCAP_TLIFE",$AX$10:$AX$16)),0,""))</f>
        <v/>
      </c>
      <c r="AH356" s="369" t="str">
        <f ca="1">IF($B356&lt;&gt;"PRC_RESID","",IF(AH$7=2005+OFFSET(COM_N_2012!$B$60,$AW356,SUMIF($B$10:$B$16,"NCAP_TLIFE",$AX$10:$AX$16)),0,""))</f>
        <v/>
      </c>
      <c r="AI356" s="369" t="str">
        <f ca="1">IF($B356&lt;&gt;"PRC_RESID","",IF(AI$7=2005+OFFSET(COM_N_2012!$B$60,$AW356,SUMIF($B$10:$B$16,"NCAP_TLIFE",$AX$10:$AX$16)),0,""))</f>
        <v/>
      </c>
      <c r="AJ356" s="369" t="str">
        <f ca="1">IF($B356&lt;&gt;"PRC_RESID","",IF(AJ$7=2005+OFFSET(COM_N_2012!$B$60,$AW356,SUMIF($B$10:$B$16,"NCAP_TLIFE",$AX$10:$AX$16)),0,""))</f>
        <v/>
      </c>
      <c r="AK356" s="369" t="str">
        <f ca="1">IF($B356&lt;&gt;"PRC_RESID","",IF(AK$7=2005+OFFSET(COM_N_2012!$B$60,$AW356,SUMIF($B$10:$B$16,"NCAP_TLIFE",$AX$10:$AX$16)),0,""))</f>
        <v/>
      </c>
      <c r="AL356" s="369" t="str">
        <f ca="1">IF($B356&lt;&gt;"PRC_RESID","",IF(AL$7=2005+OFFSET(COM_N_2012!$B$60,$AW356,SUMIF($B$10:$B$16,"NCAP_TLIFE",$AX$10:$AX$16)),0,""))</f>
        <v/>
      </c>
      <c r="AM356" s="369" t="str">
        <f ca="1">IF($B356&lt;&gt;"PRC_RESID","",IF(AM$7=2005+OFFSET(COM_N_2012!$B$60,$AW356,SUMIF($B$10:$B$16,"NCAP_TLIFE",$AX$10:$AX$16)),0,""))</f>
        <v/>
      </c>
      <c r="AN356" s="369" t="str">
        <f ca="1">IF($B356&lt;&gt;"PRC_RESID","",IF(AN$7=2005+OFFSET(COM_N_2012!$B$60,$AW356,SUMIF($B$10:$B$16,"NCAP_TLIFE",$AX$10:$AX$16)),0,""))</f>
        <v/>
      </c>
      <c r="AO356" s="369" t="str">
        <f ca="1">IF($B356&lt;&gt;"PRC_RESID","",IF(AO$7=2005+OFFSET(COM_N_2012!$B$60,$AW356,SUMIF($B$10:$B$16,"NCAP_TLIFE",$AX$10:$AX$16)),0,""))</f>
        <v/>
      </c>
      <c r="AP356" s="369" t="str">
        <f ca="1">IF($B356&lt;&gt;"PRC_RESID","",IF(AP$7=2005+OFFSET(COM_N_2012!$B$60,$AW356,SUMIF($B$10:$B$16,"NCAP_TLIFE",$AX$10:$AX$16)),0,""))</f>
        <v/>
      </c>
      <c r="AQ356" s="369" t="str">
        <f ca="1">IF($B356&lt;&gt;"PRC_RESID","",IF(AQ$7=2005+OFFSET(COM_N_2012!$B$60,$AW356,SUMIF($B$10:$B$16,"NCAP_TLIFE",$AX$10:$AX$16)),0,""))</f>
        <v/>
      </c>
      <c r="AR356" s="369" t="str">
        <f ca="1">IF($B356&lt;&gt;"PRC_RESID","",IF(AR$7=2005+OFFSET(COM_N_2012!$B$60,$AW356,SUMIF($B$10:$B$16,"NCAP_TLIFE",$AX$10:$AX$16)),0,""))</f>
        <v/>
      </c>
      <c r="AS356" s="369" t="str">
        <f ca="1">IF($B356&lt;&gt;"PRC_RESID","",IF(AS$7=2005+OFFSET(COM_N_2012!$B$60,$AW356,SUMIF($B$10:$B$16,"NCAP_TLIFE",$AX$10:$AX$16)),0,""))</f>
        <v/>
      </c>
      <c r="AT356" s="369" t="str">
        <f ca="1">IF($B356&lt;&gt;"PRC_RESID","",IF(AT$7=2005+OFFSET(COM_N_2012!$B$60,$AW356,SUMIF($B$10:$B$16,"NCAP_TLIFE",$AX$10:$AX$16)),0,""))</f>
        <v/>
      </c>
      <c r="AU356" s="369" t="str">
        <f ca="1">IF($B356&lt;&gt;"PRC_RESID","",IF(AU$7=2005+OFFSET(COM_N_2012!$B$60,$AW356,SUMIF($B$10:$B$16,"NCAP_TLIFE",$AX$10:$AX$16)),0,""))</f>
        <v/>
      </c>
      <c r="AV356" s="304">
        <f>IF(AW355=COM_N_2012!$AK$121,AV355+1,AV355)</f>
        <v>6</v>
      </c>
      <c r="AW356" s="304">
        <f t="shared" si="45"/>
        <v>34</v>
      </c>
    </row>
    <row r="357" spans="1:49">
      <c r="A357" s="304" t="str">
        <f ca="1">IF(LEFT(OFFSET(COM_N_2012!$A$60,AW357,0),2)="\I","*","")</f>
        <v/>
      </c>
      <c r="B357" s="369" t="str">
        <f t="shared" ca="1" si="47"/>
        <v>PRC_RESID</v>
      </c>
      <c r="C357" s="369" t="str">
        <f ca="1">IF($A357="*","",OFFSET(COM_N_2012!$B$60,AW357,0))</f>
        <v>CNWOLP-E</v>
      </c>
      <c r="D357" s="369" t="str">
        <f t="shared" ca="1" si="48"/>
        <v>-</v>
      </c>
      <c r="E357" s="369" t="str">
        <f t="shared" ca="1" si="48"/>
        <v>-</v>
      </c>
      <c r="F357" s="369" t="str">
        <f t="shared" ca="1" si="48"/>
        <v>-</v>
      </c>
      <c r="G357" s="369" t="str">
        <f t="shared" ca="1" si="48"/>
        <v>-</v>
      </c>
      <c r="H357" s="369" t="str">
        <f t="shared" ca="1" si="48"/>
        <v>-</v>
      </c>
      <c r="I357" s="370">
        <f t="shared" ca="1" si="48"/>
        <v>0</v>
      </c>
      <c r="J357" s="391">
        <f ca="1">IF($A357="*","",OFFSET(COM_N_2012!$B$60,AW357,SUMIF($B$10:$B$16,B357,$AX$10:$AX$16)))</f>
        <v>0</v>
      </c>
      <c r="K357" s="369" t="str">
        <f ca="1">IF($B357&lt;&gt;"PRC_RESID","",IF(K$7=2005+OFFSET(COM_N_2012!$B$60,$AW357,SUMIF($B$10:$B$16,"NCAP_TLIFE",$AX$10:$AX$16)),0,""))</f>
        <v/>
      </c>
      <c r="L357" s="369" t="str">
        <f ca="1">IF($B357&lt;&gt;"PRC_RESID","",IF(L$7=2005+OFFSET(COM_N_2012!$B$60,$AW357,SUMIF($B$10:$B$16,"NCAP_TLIFE",$AX$10:$AX$16)),0,""))</f>
        <v/>
      </c>
      <c r="M357" s="369" t="str">
        <f ca="1">IF($B357&lt;&gt;"PRC_RESID","",IF(M$7=2005+OFFSET(COM_N_2012!$B$60,$AW357,SUMIF($B$10:$B$16,"NCAP_TLIFE",$AX$10:$AX$16)),0,""))</f>
        <v/>
      </c>
      <c r="N357" s="369" t="str">
        <f ca="1">IF($B357&lt;&gt;"PRC_RESID","",IF(N$7=2005+OFFSET(COM_N_2012!$B$60,$AW357,SUMIF($B$10:$B$16,"NCAP_TLIFE",$AX$10:$AX$16)),0,""))</f>
        <v/>
      </c>
      <c r="O357" s="369">
        <f ca="1">IF($B357&lt;&gt;"PRC_RESID","",IF(O$7=2005+OFFSET(COM_N_2012!$B$60,$AW357,SUMIF($B$10:$B$16,"NCAP_TLIFE",$AX$10:$AX$16)),0,""))</f>
        <v>0</v>
      </c>
      <c r="P357" s="369" t="str">
        <f ca="1">IF($B357&lt;&gt;"PRC_RESID","",IF(P$7=2005+OFFSET(COM_N_2012!$B$60,$AW357,SUMIF($B$10:$B$16,"NCAP_TLIFE",$AX$10:$AX$16)),0,""))</f>
        <v/>
      </c>
      <c r="Q357" s="369" t="str">
        <f ca="1">IF($B357&lt;&gt;"PRC_RESID","",IF(Q$7=2005+OFFSET(COM_N_2012!$B$60,$AW357,SUMIF($B$10:$B$16,"NCAP_TLIFE",$AX$10:$AX$16)),0,""))</f>
        <v/>
      </c>
      <c r="R357" s="369" t="str">
        <f ca="1">IF($B357&lt;&gt;"PRC_RESID","",IF(R$7=2005+OFFSET(COM_N_2012!$B$60,$AW357,SUMIF($B$10:$B$16,"NCAP_TLIFE",$AX$10:$AX$16)),0,""))</f>
        <v/>
      </c>
      <c r="S357" s="369" t="str">
        <f ca="1">IF($B357&lt;&gt;"PRC_RESID","",IF(S$7=2005+OFFSET(COM_N_2012!$B$60,$AW357,SUMIF($B$10:$B$16,"NCAP_TLIFE",$AX$10:$AX$16)),0,""))</f>
        <v/>
      </c>
      <c r="T357" s="369" t="str">
        <f ca="1">IF($B357&lt;&gt;"PRC_RESID","",IF(T$7=2005+OFFSET(COM_N_2012!$B$60,$AW357,SUMIF($B$10:$B$16,"NCAP_TLIFE",$AX$10:$AX$16)),0,""))</f>
        <v/>
      </c>
      <c r="U357" s="369" t="str">
        <f ca="1">IF($B357&lt;&gt;"PRC_RESID","",IF(U$7=2005+OFFSET(COM_N_2012!$B$60,$AW357,SUMIF($B$10:$B$16,"NCAP_TLIFE",$AX$10:$AX$16)),0,""))</f>
        <v/>
      </c>
      <c r="V357" s="369" t="str">
        <f ca="1">IF($B357&lt;&gt;"PRC_RESID","",IF(V$7=2005+OFFSET(COM_N_2012!$B$60,$AW357,SUMIF($B$10:$B$16,"NCAP_TLIFE",$AX$10:$AX$16)),0,""))</f>
        <v/>
      </c>
      <c r="W357" s="369" t="str">
        <f ca="1">IF($B357&lt;&gt;"PRC_RESID","",IF(W$7=2005+OFFSET(COM_N_2012!$B$60,$AW357,SUMIF($B$10:$B$16,"NCAP_TLIFE",$AX$10:$AX$16)),0,""))</f>
        <v/>
      </c>
      <c r="X357" s="369" t="str">
        <f ca="1">IF($B357&lt;&gt;"PRC_RESID","",IF(X$7=2005+OFFSET(COM_N_2012!$B$60,$AW357,SUMIF($B$10:$B$16,"NCAP_TLIFE",$AX$10:$AX$16)),0,""))</f>
        <v/>
      </c>
      <c r="Y357" s="369" t="str">
        <f ca="1">IF($B357&lt;&gt;"PRC_RESID","",IF(Y$7=2005+OFFSET(COM_N_2012!$B$60,$AW357,SUMIF($B$10:$B$16,"NCAP_TLIFE",$AX$10:$AX$16)),0,""))</f>
        <v/>
      </c>
      <c r="Z357" s="369" t="str">
        <f ca="1">IF($B357&lt;&gt;"PRC_RESID","",IF(Z$7=2005+OFFSET(COM_N_2012!$B$60,$AW357,SUMIF($B$10:$B$16,"NCAP_TLIFE",$AX$10:$AX$16)),0,""))</f>
        <v/>
      </c>
      <c r="AA357" s="369" t="str">
        <f ca="1">IF($B357&lt;&gt;"PRC_RESID","",IF(AA$7=2005+OFFSET(COM_N_2012!$B$60,$AW357,SUMIF($B$10:$B$16,"NCAP_TLIFE",$AX$10:$AX$16)),0,""))</f>
        <v/>
      </c>
      <c r="AB357" s="369" t="str">
        <f ca="1">IF($B357&lt;&gt;"PRC_RESID","",IF(AB$7=2005+OFFSET(COM_N_2012!$B$60,$AW357,SUMIF($B$10:$B$16,"NCAP_TLIFE",$AX$10:$AX$16)),0,""))</f>
        <v/>
      </c>
      <c r="AC357" s="369" t="str">
        <f ca="1">IF($B357&lt;&gt;"PRC_RESID","",IF(AC$7=2005+OFFSET(COM_N_2012!$B$60,$AW357,SUMIF($B$10:$B$16,"NCAP_TLIFE",$AX$10:$AX$16)),0,""))</f>
        <v/>
      </c>
      <c r="AD357" s="369" t="str">
        <f ca="1">IF($B357&lt;&gt;"PRC_RESID","",IF(AD$7=2005+OFFSET(COM_N_2012!$B$60,$AW357,SUMIF($B$10:$B$16,"NCAP_TLIFE",$AX$10:$AX$16)),0,""))</f>
        <v/>
      </c>
      <c r="AE357" s="369" t="str">
        <f ca="1">IF($B357&lt;&gt;"PRC_RESID","",IF(AE$7=2005+OFFSET(COM_N_2012!$B$60,$AW357,SUMIF($B$10:$B$16,"NCAP_TLIFE",$AX$10:$AX$16)),0,""))</f>
        <v/>
      </c>
      <c r="AF357" s="369" t="str">
        <f ca="1">IF($B357&lt;&gt;"PRC_RESID","",IF(AF$7=2005+OFFSET(COM_N_2012!$B$60,$AW357,SUMIF($B$10:$B$16,"NCAP_TLIFE",$AX$10:$AX$16)),0,""))</f>
        <v/>
      </c>
      <c r="AG357" s="369" t="str">
        <f ca="1">IF($B357&lt;&gt;"PRC_RESID","",IF(AG$7=2005+OFFSET(COM_N_2012!$B$60,$AW357,SUMIF($B$10:$B$16,"NCAP_TLIFE",$AX$10:$AX$16)),0,""))</f>
        <v/>
      </c>
      <c r="AH357" s="369" t="str">
        <f ca="1">IF($B357&lt;&gt;"PRC_RESID","",IF(AH$7=2005+OFFSET(COM_N_2012!$B$60,$AW357,SUMIF($B$10:$B$16,"NCAP_TLIFE",$AX$10:$AX$16)),0,""))</f>
        <v/>
      </c>
      <c r="AI357" s="369" t="str">
        <f ca="1">IF($B357&lt;&gt;"PRC_RESID","",IF(AI$7=2005+OFFSET(COM_N_2012!$B$60,$AW357,SUMIF($B$10:$B$16,"NCAP_TLIFE",$AX$10:$AX$16)),0,""))</f>
        <v/>
      </c>
      <c r="AJ357" s="369" t="str">
        <f ca="1">IF($B357&lt;&gt;"PRC_RESID","",IF(AJ$7=2005+OFFSET(COM_N_2012!$B$60,$AW357,SUMIF($B$10:$B$16,"NCAP_TLIFE",$AX$10:$AX$16)),0,""))</f>
        <v/>
      </c>
      <c r="AK357" s="369" t="str">
        <f ca="1">IF($B357&lt;&gt;"PRC_RESID","",IF(AK$7=2005+OFFSET(COM_N_2012!$B$60,$AW357,SUMIF($B$10:$B$16,"NCAP_TLIFE",$AX$10:$AX$16)),0,""))</f>
        <v/>
      </c>
      <c r="AL357" s="369" t="str">
        <f ca="1">IF($B357&lt;&gt;"PRC_RESID","",IF(AL$7=2005+OFFSET(COM_N_2012!$B$60,$AW357,SUMIF($B$10:$B$16,"NCAP_TLIFE",$AX$10:$AX$16)),0,""))</f>
        <v/>
      </c>
      <c r="AM357" s="369" t="str">
        <f ca="1">IF($B357&lt;&gt;"PRC_RESID","",IF(AM$7=2005+OFFSET(COM_N_2012!$B$60,$AW357,SUMIF($B$10:$B$16,"NCAP_TLIFE",$AX$10:$AX$16)),0,""))</f>
        <v/>
      </c>
      <c r="AN357" s="369" t="str">
        <f ca="1">IF($B357&lt;&gt;"PRC_RESID","",IF(AN$7=2005+OFFSET(COM_N_2012!$B$60,$AW357,SUMIF($B$10:$B$16,"NCAP_TLIFE",$AX$10:$AX$16)),0,""))</f>
        <v/>
      </c>
      <c r="AO357" s="369" t="str">
        <f ca="1">IF($B357&lt;&gt;"PRC_RESID","",IF(AO$7=2005+OFFSET(COM_N_2012!$B$60,$AW357,SUMIF($B$10:$B$16,"NCAP_TLIFE",$AX$10:$AX$16)),0,""))</f>
        <v/>
      </c>
      <c r="AP357" s="369" t="str">
        <f ca="1">IF($B357&lt;&gt;"PRC_RESID","",IF(AP$7=2005+OFFSET(COM_N_2012!$B$60,$AW357,SUMIF($B$10:$B$16,"NCAP_TLIFE",$AX$10:$AX$16)),0,""))</f>
        <v/>
      </c>
      <c r="AQ357" s="369" t="str">
        <f ca="1">IF($B357&lt;&gt;"PRC_RESID","",IF(AQ$7=2005+OFFSET(COM_N_2012!$B$60,$AW357,SUMIF($B$10:$B$16,"NCAP_TLIFE",$AX$10:$AX$16)),0,""))</f>
        <v/>
      </c>
      <c r="AR357" s="369" t="str">
        <f ca="1">IF($B357&lt;&gt;"PRC_RESID","",IF(AR$7=2005+OFFSET(COM_N_2012!$B$60,$AW357,SUMIF($B$10:$B$16,"NCAP_TLIFE",$AX$10:$AX$16)),0,""))</f>
        <v/>
      </c>
      <c r="AS357" s="369" t="str">
        <f ca="1">IF($B357&lt;&gt;"PRC_RESID","",IF(AS$7=2005+OFFSET(COM_N_2012!$B$60,$AW357,SUMIF($B$10:$B$16,"NCAP_TLIFE",$AX$10:$AX$16)),0,""))</f>
        <v/>
      </c>
      <c r="AT357" s="369" t="str">
        <f ca="1">IF($B357&lt;&gt;"PRC_RESID","",IF(AT$7=2005+OFFSET(COM_N_2012!$B$60,$AW357,SUMIF($B$10:$B$16,"NCAP_TLIFE",$AX$10:$AX$16)),0,""))</f>
        <v/>
      </c>
      <c r="AU357" s="369" t="str">
        <f ca="1">IF($B357&lt;&gt;"PRC_RESID","",IF(AU$7=2005+OFFSET(COM_N_2012!$B$60,$AW357,SUMIF($B$10:$B$16,"NCAP_TLIFE",$AX$10:$AX$16)),0,""))</f>
        <v/>
      </c>
      <c r="AV357" s="304">
        <f>IF(AW356=COM_N_2012!$AK$121,AV356+1,AV356)</f>
        <v>6</v>
      </c>
      <c r="AW357" s="304">
        <f t="shared" si="45"/>
        <v>35</v>
      </c>
    </row>
    <row r="358" spans="1:49">
      <c r="A358" s="304" t="str">
        <f ca="1">IF(LEFT(OFFSET(COM_N_2012!$A$60,AW358,0),2)="\I","*","")</f>
        <v/>
      </c>
      <c r="B358" s="369" t="str">
        <f t="shared" ca="1" si="47"/>
        <v>PRC_RESID</v>
      </c>
      <c r="C358" s="369" t="str">
        <f ca="1">IF($A358="*","",OFFSET(COM_N_2012!$B$60,AW358,0))</f>
        <v>CNWGAS-E</v>
      </c>
      <c r="D358" s="369" t="str">
        <f t="shared" ca="1" si="48"/>
        <v>-</v>
      </c>
      <c r="E358" s="369" t="str">
        <f t="shared" ca="1" si="48"/>
        <v>-</v>
      </c>
      <c r="F358" s="369" t="str">
        <f t="shared" ca="1" si="48"/>
        <v>-</v>
      </c>
      <c r="G358" s="369" t="str">
        <f t="shared" ca="1" si="48"/>
        <v>-</v>
      </c>
      <c r="H358" s="369" t="str">
        <f t="shared" ca="1" si="48"/>
        <v>-</v>
      </c>
      <c r="I358" s="370">
        <f t="shared" ca="1" si="48"/>
        <v>0</v>
      </c>
      <c r="J358" s="391">
        <f ca="1">IF($A358="*","",OFFSET(COM_N_2012!$B$60,AW358,SUMIF($B$10:$B$16,B358,$AX$10:$AX$16)))</f>
        <v>0</v>
      </c>
      <c r="K358" s="369" t="str">
        <f ca="1">IF($B358&lt;&gt;"PRC_RESID","",IF(K$7=2005+OFFSET(COM_N_2012!$B$60,$AW358,SUMIF($B$10:$B$16,"NCAP_TLIFE",$AX$10:$AX$16)),0,""))</f>
        <v/>
      </c>
      <c r="L358" s="369" t="str">
        <f ca="1">IF($B358&lt;&gt;"PRC_RESID","",IF(L$7=2005+OFFSET(COM_N_2012!$B$60,$AW358,SUMIF($B$10:$B$16,"NCAP_TLIFE",$AX$10:$AX$16)),0,""))</f>
        <v/>
      </c>
      <c r="M358" s="369" t="str">
        <f ca="1">IF($B358&lt;&gt;"PRC_RESID","",IF(M$7=2005+OFFSET(COM_N_2012!$B$60,$AW358,SUMIF($B$10:$B$16,"NCAP_TLIFE",$AX$10:$AX$16)),0,""))</f>
        <v/>
      </c>
      <c r="N358" s="369" t="str">
        <f ca="1">IF($B358&lt;&gt;"PRC_RESID","",IF(N$7=2005+OFFSET(COM_N_2012!$B$60,$AW358,SUMIF($B$10:$B$16,"NCAP_TLIFE",$AX$10:$AX$16)),0,""))</f>
        <v/>
      </c>
      <c r="O358" s="369">
        <f ca="1">IF($B358&lt;&gt;"PRC_RESID","",IF(O$7=2005+OFFSET(COM_N_2012!$B$60,$AW358,SUMIF($B$10:$B$16,"NCAP_TLIFE",$AX$10:$AX$16)),0,""))</f>
        <v>0</v>
      </c>
      <c r="P358" s="369" t="str">
        <f ca="1">IF($B358&lt;&gt;"PRC_RESID","",IF(P$7=2005+OFFSET(COM_N_2012!$B$60,$AW358,SUMIF($B$10:$B$16,"NCAP_TLIFE",$AX$10:$AX$16)),0,""))</f>
        <v/>
      </c>
      <c r="Q358" s="369" t="str">
        <f ca="1">IF($B358&lt;&gt;"PRC_RESID","",IF(Q$7=2005+OFFSET(COM_N_2012!$B$60,$AW358,SUMIF($B$10:$B$16,"NCAP_TLIFE",$AX$10:$AX$16)),0,""))</f>
        <v/>
      </c>
      <c r="R358" s="369" t="str">
        <f ca="1">IF($B358&lt;&gt;"PRC_RESID","",IF(R$7=2005+OFFSET(COM_N_2012!$B$60,$AW358,SUMIF($B$10:$B$16,"NCAP_TLIFE",$AX$10:$AX$16)),0,""))</f>
        <v/>
      </c>
      <c r="S358" s="369" t="str">
        <f ca="1">IF($B358&lt;&gt;"PRC_RESID","",IF(S$7=2005+OFFSET(COM_N_2012!$B$60,$AW358,SUMIF($B$10:$B$16,"NCAP_TLIFE",$AX$10:$AX$16)),0,""))</f>
        <v/>
      </c>
      <c r="T358" s="369" t="str">
        <f ca="1">IF($B358&lt;&gt;"PRC_RESID","",IF(T$7=2005+OFFSET(COM_N_2012!$B$60,$AW358,SUMIF($B$10:$B$16,"NCAP_TLIFE",$AX$10:$AX$16)),0,""))</f>
        <v/>
      </c>
      <c r="U358" s="369" t="str">
        <f ca="1">IF($B358&lt;&gt;"PRC_RESID","",IF(U$7=2005+OFFSET(COM_N_2012!$B$60,$AW358,SUMIF($B$10:$B$16,"NCAP_TLIFE",$AX$10:$AX$16)),0,""))</f>
        <v/>
      </c>
      <c r="V358" s="369" t="str">
        <f ca="1">IF($B358&lt;&gt;"PRC_RESID","",IF(V$7=2005+OFFSET(COM_N_2012!$B$60,$AW358,SUMIF($B$10:$B$16,"NCAP_TLIFE",$AX$10:$AX$16)),0,""))</f>
        <v/>
      </c>
      <c r="W358" s="369" t="str">
        <f ca="1">IF($B358&lt;&gt;"PRC_RESID","",IF(W$7=2005+OFFSET(COM_N_2012!$B$60,$AW358,SUMIF($B$10:$B$16,"NCAP_TLIFE",$AX$10:$AX$16)),0,""))</f>
        <v/>
      </c>
      <c r="X358" s="369" t="str">
        <f ca="1">IF($B358&lt;&gt;"PRC_RESID","",IF(X$7=2005+OFFSET(COM_N_2012!$B$60,$AW358,SUMIF($B$10:$B$16,"NCAP_TLIFE",$AX$10:$AX$16)),0,""))</f>
        <v/>
      </c>
      <c r="Y358" s="369" t="str">
        <f ca="1">IF($B358&lt;&gt;"PRC_RESID","",IF(Y$7=2005+OFFSET(COM_N_2012!$B$60,$AW358,SUMIF($B$10:$B$16,"NCAP_TLIFE",$AX$10:$AX$16)),0,""))</f>
        <v/>
      </c>
      <c r="Z358" s="369" t="str">
        <f ca="1">IF($B358&lt;&gt;"PRC_RESID","",IF(Z$7=2005+OFFSET(COM_N_2012!$B$60,$AW358,SUMIF($B$10:$B$16,"NCAP_TLIFE",$AX$10:$AX$16)),0,""))</f>
        <v/>
      </c>
      <c r="AA358" s="369" t="str">
        <f ca="1">IF($B358&lt;&gt;"PRC_RESID","",IF(AA$7=2005+OFFSET(COM_N_2012!$B$60,$AW358,SUMIF($B$10:$B$16,"NCAP_TLIFE",$AX$10:$AX$16)),0,""))</f>
        <v/>
      </c>
      <c r="AB358" s="369" t="str">
        <f ca="1">IF($B358&lt;&gt;"PRC_RESID","",IF(AB$7=2005+OFFSET(COM_N_2012!$B$60,$AW358,SUMIF($B$10:$B$16,"NCAP_TLIFE",$AX$10:$AX$16)),0,""))</f>
        <v/>
      </c>
      <c r="AC358" s="369" t="str">
        <f ca="1">IF($B358&lt;&gt;"PRC_RESID","",IF(AC$7=2005+OFFSET(COM_N_2012!$B$60,$AW358,SUMIF($B$10:$B$16,"NCAP_TLIFE",$AX$10:$AX$16)),0,""))</f>
        <v/>
      </c>
      <c r="AD358" s="369" t="str">
        <f ca="1">IF($B358&lt;&gt;"PRC_RESID","",IF(AD$7=2005+OFFSET(COM_N_2012!$B$60,$AW358,SUMIF($B$10:$B$16,"NCAP_TLIFE",$AX$10:$AX$16)),0,""))</f>
        <v/>
      </c>
      <c r="AE358" s="369" t="str">
        <f ca="1">IF($B358&lt;&gt;"PRC_RESID","",IF(AE$7=2005+OFFSET(COM_N_2012!$B$60,$AW358,SUMIF($B$10:$B$16,"NCAP_TLIFE",$AX$10:$AX$16)),0,""))</f>
        <v/>
      </c>
      <c r="AF358" s="369" t="str">
        <f ca="1">IF($B358&lt;&gt;"PRC_RESID","",IF(AF$7=2005+OFFSET(COM_N_2012!$B$60,$AW358,SUMIF($B$10:$B$16,"NCAP_TLIFE",$AX$10:$AX$16)),0,""))</f>
        <v/>
      </c>
      <c r="AG358" s="369" t="str">
        <f ca="1">IF($B358&lt;&gt;"PRC_RESID","",IF(AG$7=2005+OFFSET(COM_N_2012!$B$60,$AW358,SUMIF($B$10:$B$16,"NCAP_TLIFE",$AX$10:$AX$16)),0,""))</f>
        <v/>
      </c>
      <c r="AH358" s="369" t="str">
        <f ca="1">IF($B358&lt;&gt;"PRC_RESID","",IF(AH$7=2005+OFFSET(COM_N_2012!$B$60,$AW358,SUMIF($B$10:$B$16,"NCAP_TLIFE",$AX$10:$AX$16)),0,""))</f>
        <v/>
      </c>
      <c r="AI358" s="369" t="str">
        <f ca="1">IF($B358&lt;&gt;"PRC_RESID","",IF(AI$7=2005+OFFSET(COM_N_2012!$B$60,$AW358,SUMIF($B$10:$B$16,"NCAP_TLIFE",$AX$10:$AX$16)),0,""))</f>
        <v/>
      </c>
      <c r="AJ358" s="369" t="str">
        <f ca="1">IF($B358&lt;&gt;"PRC_RESID","",IF(AJ$7=2005+OFFSET(COM_N_2012!$B$60,$AW358,SUMIF($B$10:$B$16,"NCAP_TLIFE",$AX$10:$AX$16)),0,""))</f>
        <v/>
      </c>
      <c r="AK358" s="369" t="str">
        <f ca="1">IF($B358&lt;&gt;"PRC_RESID","",IF(AK$7=2005+OFFSET(COM_N_2012!$B$60,$AW358,SUMIF($B$10:$B$16,"NCAP_TLIFE",$AX$10:$AX$16)),0,""))</f>
        <v/>
      </c>
      <c r="AL358" s="369" t="str">
        <f ca="1">IF($B358&lt;&gt;"PRC_RESID","",IF(AL$7=2005+OFFSET(COM_N_2012!$B$60,$AW358,SUMIF($B$10:$B$16,"NCAP_TLIFE",$AX$10:$AX$16)),0,""))</f>
        <v/>
      </c>
      <c r="AM358" s="369" t="str">
        <f ca="1">IF($B358&lt;&gt;"PRC_RESID","",IF(AM$7=2005+OFFSET(COM_N_2012!$B$60,$AW358,SUMIF($B$10:$B$16,"NCAP_TLIFE",$AX$10:$AX$16)),0,""))</f>
        <v/>
      </c>
      <c r="AN358" s="369" t="str">
        <f ca="1">IF($B358&lt;&gt;"PRC_RESID","",IF(AN$7=2005+OFFSET(COM_N_2012!$B$60,$AW358,SUMIF($B$10:$B$16,"NCAP_TLIFE",$AX$10:$AX$16)),0,""))</f>
        <v/>
      </c>
      <c r="AO358" s="369" t="str">
        <f ca="1">IF($B358&lt;&gt;"PRC_RESID","",IF(AO$7=2005+OFFSET(COM_N_2012!$B$60,$AW358,SUMIF($B$10:$B$16,"NCAP_TLIFE",$AX$10:$AX$16)),0,""))</f>
        <v/>
      </c>
      <c r="AP358" s="369" t="str">
        <f ca="1">IF($B358&lt;&gt;"PRC_RESID","",IF(AP$7=2005+OFFSET(COM_N_2012!$B$60,$AW358,SUMIF($B$10:$B$16,"NCAP_TLIFE",$AX$10:$AX$16)),0,""))</f>
        <v/>
      </c>
      <c r="AQ358" s="369" t="str">
        <f ca="1">IF($B358&lt;&gt;"PRC_RESID","",IF(AQ$7=2005+OFFSET(COM_N_2012!$B$60,$AW358,SUMIF($B$10:$B$16,"NCAP_TLIFE",$AX$10:$AX$16)),0,""))</f>
        <v/>
      </c>
      <c r="AR358" s="369" t="str">
        <f ca="1">IF($B358&lt;&gt;"PRC_RESID","",IF(AR$7=2005+OFFSET(COM_N_2012!$B$60,$AW358,SUMIF($B$10:$B$16,"NCAP_TLIFE",$AX$10:$AX$16)),0,""))</f>
        <v/>
      </c>
      <c r="AS358" s="369" t="str">
        <f ca="1">IF($B358&lt;&gt;"PRC_RESID","",IF(AS$7=2005+OFFSET(COM_N_2012!$B$60,$AW358,SUMIF($B$10:$B$16,"NCAP_TLIFE",$AX$10:$AX$16)),0,""))</f>
        <v/>
      </c>
      <c r="AT358" s="369" t="str">
        <f ca="1">IF($B358&lt;&gt;"PRC_RESID","",IF(AT$7=2005+OFFSET(COM_N_2012!$B$60,$AW358,SUMIF($B$10:$B$16,"NCAP_TLIFE",$AX$10:$AX$16)),0,""))</f>
        <v/>
      </c>
      <c r="AU358" s="369" t="str">
        <f ca="1">IF($B358&lt;&gt;"PRC_RESID","",IF(AU$7=2005+OFFSET(COM_N_2012!$B$60,$AW358,SUMIF($B$10:$B$16,"NCAP_TLIFE",$AX$10:$AX$16)),0,""))</f>
        <v/>
      </c>
      <c r="AV358" s="304">
        <f>IF(AW357=COM_N_2012!$AK$121,AV357+1,AV357)</f>
        <v>6</v>
      </c>
      <c r="AW358" s="304">
        <f t="shared" si="45"/>
        <v>36</v>
      </c>
    </row>
    <row r="359" spans="1:49">
      <c r="A359" s="304" t="str">
        <f ca="1">IF(LEFT(OFFSET(COM_N_2012!$A$60,AW359,0),2)="\I","*","")</f>
        <v/>
      </c>
      <c r="B359" s="369" t="str">
        <f t="shared" ca="1" si="47"/>
        <v>PRC_RESID</v>
      </c>
      <c r="C359" s="369" t="str">
        <f ca="1">IF($A359="*","",OFFSET(COM_N_2012!$B$60,AW359,0))</f>
        <v>CNWOKE-E</v>
      </c>
      <c r="D359" s="369" t="str">
        <f t="shared" ca="1" si="48"/>
        <v>-</v>
      </c>
      <c r="E359" s="369" t="str">
        <f t="shared" ca="1" si="48"/>
        <v>-</v>
      </c>
      <c r="F359" s="369" t="str">
        <f t="shared" ca="1" si="48"/>
        <v>-</v>
      </c>
      <c r="G359" s="369" t="str">
        <f t="shared" ca="1" si="48"/>
        <v>-</v>
      </c>
      <c r="H359" s="369" t="str">
        <f t="shared" ca="1" si="48"/>
        <v>-</v>
      </c>
      <c r="I359" s="370">
        <f t="shared" ca="1" si="48"/>
        <v>0</v>
      </c>
      <c r="J359" s="391">
        <f ca="1">IF($A359="*","",OFFSET(COM_N_2012!$B$60,AW359,SUMIF($B$10:$B$16,B359,$AX$10:$AX$16)))</f>
        <v>0</v>
      </c>
      <c r="K359" s="369" t="str">
        <f ca="1">IF($B359&lt;&gt;"PRC_RESID","",IF(K$7=2005+OFFSET(COM_N_2012!$B$60,$AW359,SUMIF($B$10:$B$16,"NCAP_TLIFE",$AX$10:$AX$16)),0,""))</f>
        <v/>
      </c>
      <c r="L359" s="369" t="str">
        <f ca="1">IF($B359&lt;&gt;"PRC_RESID","",IF(L$7=2005+OFFSET(COM_N_2012!$B$60,$AW359,SUMIF($B$10:$B$16,"NCAP_TLIFE",$AX$10:$AX$16)),0,""))</f>
        <v/>
      </c>
      <c r="M359" s="369" t="str">
        <f ca="1">IF($B359&lt;&gt;"PRC_RESID","",IF(M$7=2005+OFFSET(COM_N_2012!$B$60,$AW359,SUMIF($B$10:$B$16,"NCAP_TLIFE",$AX$10:$AX$16)),0,""))</f>
        <v/>
      </c>
      <c r="N359" s="369" t="str">
        <f ca="1">IF($B359&lt;&gt;"PRC_RESID","",IF(N$7=2005+OFFSET(COM_N_2012!$B$60,$AW359,SUMIF($B$10:$B$16,"NCAP_TLIFE",$AX$10:$AX$16)),0,""))</f>
        <v/>
      </c>
      <c r="O359" s="369">
        <f ca="1">IF($B359&lt;&gt;"PRC_RESID","",IF(O$7=2005+OFFSET(COM_N_2012!$B$60,$AW359,SUMIF($B$10:$B$16,"NCAP_TLIFE",$AX$10:$AX$16)),0,""))</f>
        <v>0</v>
      </c>
      <c r="P359" s="369" t="str">
        <f ca="1">IF($B359&lt;&gt;"PRC_RESID","",IF(P$7=2005+OFFSET(COM_N_2012!$B$60,$AW359,SUMIF($B$10:$B$16,"NCAP_TLIFE",$AX$10:$AX$16)),0,""))</f>
        <v/>
      </c>
      <c r="Q359" s="369" t="str">
        <f ca="1">IF($B359&lt;&gt;"PRC_RESID","",IF(Q$7=2005+OFFSET(COM_N_2012!$B$60,$AW359,SUMIF($B$10:$B$16,"NCAP_TLIFE",$AX$10:$AX$16)),0,""))</f>
        <v/>
      </c>
      <c r="R359" s="369" t="str">
        <f ca="1">IF($B359&lt;&gt;"PRC_RESID","",IF(R$7=2005+OFFSET(COM_N_2012!$B$60,$AW359,SUMIF($B$10:$B$16,"NCAP_TLIFE",$AX$10:$AX$16)),0,""))</f>
        <v/>
      </c>
      <c r="S359" s="369" t="str">
        <f ca="1">IF($B359&lt;&gt;"PRC_RESID","",IF(S$7=2005+OFFSET(COM_N_2012!$B$60,$AW359,SUMIF($B$10:$B$16,"NCAP_TLIFE",$AX$10:$AX$16)),0,""))</f>
        <v/>
      </c>
      <c r="T359" s="369" t="str">
        <f ca="1">IF($B359&lt;&gt;"PRC_RESID","",IF(T$7=2005+OFFSET(COM_N_2012!$B$60,$AW359,SUMIF($B$10:$B$16,"NCAP_TLIFE",$AX$10:$AX$16)),0,""))</f>
        <v/>
      </c>
      <c r="U359" s="369" t="str">
        <f ca="1">IF($B359&lt;&gt;"PRC_RESID","",IF(U$7=2005+OFFSET(COM_N_2012!$B$60,$AW359,SUMIF($B$10:$B$16,"NCAP_TLIFE",$AX$10:$AX$16)),0,""))</f>
        <v/>
      </c>
      <c r="V359" s="369" t="str">
        <f ca="1">IF($B359&lt;&gt;"PRC_RESID","",IF(V$7=2005+OFFSET(COM_N_2012!$B$60,$AW359,SUMIF($B$10:$B$16,"NCAP_TLIFE",$AX$10:$AX$16)),0,""))</f>
        <v/>
      </c>
      <c r="W359" s="369" t="str">
        <f ca="1">IF($B359&lt;&gt;"PRC_RESID","",IF(W$7=2005+OFFSET(COM_N_2012!$B$60,$AW359,SUMIF($B$10:$B$16,"NCAP_TLIFE",$AX$10:$AX$16)),0,""))</f>
        <v/>
      </c>
      <c r="X359" s="369" t="str">
        <f ca="1">IF($B359&lt;&gt;"PRC_RESID","",IF(X$7=2005+OFFSET(COM_N_2012!$B$60,$AW359,SUMIF($B$10:$B$16,"NCAP_TLIFE",$AX$10:$AX$16)),0,""))</f>
        <v/>
      </c>
      <c r="Y359" s="369" t="str">
        <f ca="1">IF($B359&lt;&gt;"PRC_RESID","",IF(Y$7=2005+OFFSET(COM_N_2012!$B$60,$AW359,SUMIF($B$10:$B$16,"NCAP_TLIFE",$AX$10:$AX$16)),0,""))</f>
        <v/>
      </c>
      <c r="Z359" s="369" t="str">
        <f ca="1">IF($B359&lt;&gt;"PRC_RESID","",IF(Z$7=2005+OFFSET(COM_N_2012!$B$60,$AW359,SUMIF($B$10:$B$16,"NCAP_TLIFE",$AX$10:$AX$16)),0,""))</f>
        <v/>
      </c>
      <c r="AA359" s="369" t="str">
        <f ca="1">IF($B359&lt;&gt;"PRC_RESID","",IF(AA$7=2005+OFFSET(COM_N_2012!$B$60,$AW359,SUMIF($B$10:$B$16,"NCAP_TLIFE",$AX$10:$AX$16)),0,""))</f>
        <v/>
      </c>
      <c r="AB359" s="369" t="str">
        <f ca="1">IF($B359&lt;&gt;"PRC_RESID","",IF(AB$7=2005+OFFSET(COM_N_2012!$B$60,$AW359,SUMIF($B$10:$B$16,"NCAP_TLIFE",$AX$10:$AX$16)),0,""))</f>
        <v/>
      </c>
      <c r="AC359" s="369" t="str">
        <f ca="1">IF($B359&lt;&gt;"PRC_RESID","",IF(AC$7=2005+OFFSET(COM_N_2012!$B$60,$AW359,SUMIF($B$10:$B$16,"NCAP_TLIFE",$AX$10:$AX$16)),0,""))</f>
        <v/>
      </c>
      <c r="AD359" s="369" t="str">
        <f ca="1">IF($B359&lt;&gt;"PRC_RESID","",IF(AD$7=2005+OFFSET(COM_N_2012!$B$60,$AW359,SUMIF($B$10:$B$16,"NCAP_TLIFE",$AX$10:$AX$16)),0,""))</f>
        <v/>
      </c>
      <c r="AE359" s="369" t="str">
        <f ca="1">IF($B359&lt;&gt;"PRC_RESID","",IF(AE$7=2005+OFFSET(COM_N_2012!$B$60,$AW359,SUMIF($B$10:$B$16,"NCAP_TLIFE",$AX$10:$AX$16)),0,""))</f>
        <v/>
      </c>
      <c r="AF359" s="369" t="str">
        <f ca="1">IF($B359&lt;&gt;"PRC_RESID","",IF(AF$7=2005+OFFSET(COM_N_2012!$B$60,$AW359,SUMIF($B$10:$B$16,"NCAP_TLIFE",$AX$10:$AX$16)),0,""))</f>
        <v/>
      </c>
      <c r="AG359" s="369" t="str">
        <f ca="1">IF($B359&lt;&gt;"PRC_RESID","",IF(AG$7=2005+OFFSET(COM_N_2012!$B$60,$AW359,SUMIF($B$10:$B$16,"NCAP_TLIFE",$AX$10:$AX$16)),0,""))</f>
        <v/>
      </c>
      <c r="AH359" s="369" t="str">
        <f ca="1">IF($B359&lt;&gt;"PRC_RESID","",IF(AH$7=2005+OFFSET(COM_N_2012!$B$60,$AW359,SUMIF($B$10:$B$16,"NCAP_TLIFE",$AX$10:$AX$16)),0,""))</f>
        <v/>
      </c>
      <c r="AI359" s="369" t="str">
        <f ca="1">IF($B359&lt;&gt;"PRC_RESID","",IF(AI$7=2005+OFFSET(COM_N_2012!$B$60,$AW359,SUMIF($B$10:$B$16,"NCAP_TLIFE",$AX$10:$AX$16)),0,""))</f>
        <v/>
      </c>
      <c r="AJ359" s="369" t="str">
        <f ca="1">IF($B359&lt;&gt;"PRC_RESID","",IF(AJ$7=2005+OFFSET(COM_N_2012!$B$60,$AW359,SUMIF($B$10:$B$16,"NCAP_TLIFE",$AX$10:$AX$16)),0,""))</f>
        <v/>
      </c>
      <c r="AK359" s="369" t="str">
        <f ca="1">IF($B359&lt;&gt;"PRC_RESID","",IF(AK$7=2005+OFFSET(COM_N_2012!$B$60,$AW359,SUMIF($B$10:$B$16,"NCAP_TLIFE",$AX$10:$AX$16)),0,""))</f>
        <v/>
      </c>
      <c r="AL359" s="369" t="str">
        <f ca="1">IF($B359&lt;&gt;"PRC_RESID","",IF(AL$7=2005+OFFSET(COM_N_2012!$B$60,$AW359,SUMIF($B$10:$B$16,"NCAP_TLIFE",$AX$10:$AX$16)),0,""))</f>
        <v/>
      </c>
      <c r="AM359" s="369" t="str">
        <f ca="1">IF($B359&lt;&gt;"PRC_RESID","",IF(AM$7=2005+OFFSET(COM_N_2012!$B$60,$AW359,SUMIF($B$10:$B$16,"NCAP_TLIFE",$AX$10:$AX$16)),0,""))</f>
        <v/>
      </c>
      <c r="AN359" s="369" t="str">
        <f ca="1">IF($B359&lt;&gt;"PRC_RESID","",IF(AN$7=2005+OFFSET(COM_N_2012!$B$60,$AW359,SUMIF($B$10:$B$16,"NCAP_TLIFE",$AX$10:$AX$16)),0,""))</f>
        <v/>
      </c>
      <c r="AO359" s="369" t="str">
        <f ca="1">IF($B359&lt;&gt;"PRC_RESID","",IF(AO$7=2005+OFFSET(COM_N_2012!$B$60,$AW359,SUMIF($B$10:$B$16,"NCAP_TLIFE",$AX$10:$AX$16)),0,""))</f>
        <v/>
      </c>
      <c r="AP359" s="369" t="str">
        <f ca="1">IF($B359&lt;&gt;"PRC_RESID","",IF(AP$7=2005+OFFSET(COM_N_2012!$B$60,$AW359,SUMIF($B$10:$B$16,"NCAP_TLIFE",$AX$10:$AX$16)),0,""))</f>
        <v/>
      </c>
      <c r="AQ359" s="369" t="str">
        <f ca="1">IF($B359&lt;&gt;"PRC_RESID","",IF(AQ$7=2005+OFFSET(COM_N_2012!$B$60,$AW359,SUMIF($B$10:$B$16,"NCAP_TLIFE",$AX$10:$AX$16)),0,""))</f>
        <v/>
      </c>
      <c r="AR359" s="369" t="str">
        <f ca="1">IF($B359&lt;&gt;"PRC_RESID","",IF(AR$7=2005+OFFSET(COM_N_2012!$B$60,$AW359,SUMIF($B$10:$B$16,"NCAP_TLIFE",$AX$10:$AX$16)),0,""))</f>
        <v/>
      </c>
      <c r="AS359" s="369" t="str">
        <f ca="1">IF($B359&lt;&gt;"PRC_RESID","",IF(AS$7=2005+OFFSET(COM_N_2012!$B$60,$AW359,SUMIF($B$10:$B$16,"NCAP_TLIFE",$AX$10:$AX$16)),0,""))</f>
        <v/>
      </c>
      <c r="AT359" s="369" t="str">
        <f ca="1">IF($B359&lt;&gt;"PRC_RESID","",IF(AT$7=2005+OFFSET(COM_N_2012!$B$60,$AW359,SUMIF($B$10:$B$16,"NCAP_TLIFE",$AX$10:$AX$16)),0,""))</f>
        <v/>
      </c>
      <c r="AU359" s="369" t="str">
        <f ca="1">IF($B359&lt;&gt;"PRC_RESID","",IF(AU$7=2005+OFFSET(COM_N_2012!$B$60,$AW359,SUMIF($B$10:$B$16,"NCAP_TLIFE",$AX$10:$AX$16)),0,""))</f>
        <v/>
      </c>
      <c r="AV359" s="304">
        <f>IF(AW358=COM_N_2012!$AK$121,AV358+1,AV358)</f>
        <v>6</v>
      </c>
      <c r="AW359" s="304">
        <f t="shared" si="45"/>
        <v>37</v>
      </c>
    </row>
    <row r="360" spans="1:49">
      <c r="A360" s="304" t="str">
        <f ca="1">IF(LEFT(OFFSET(COM_N_2012!$A$60,AW360,0),2)="\I","*","")</f>
        <v/>
      </c>
      <c r="B360" s="369" t="str">
        <f t="shared" ref="B360:B373" ca="1" si="49">IF(A360="*","",VLOOKUP("*"&amp;AV360,$A$9:$B$16,2,FALSE))</f>
        <v>PRC_RESID</v>
      </c>
      <c r="C360" s="369" t="str">
        <f ca="1">IF($A360="*","",OFFSET(COM_N_2012!$B$60,AW360,0))</f>
        <v>CNWELC-N</v>
      </c>
      <c r="D360" s="369" t="str">
        <f t="shared" ref="D360:I375" ca="1" si="50">IF($A360="*","",VLOOKUP($B360,$B$10:$I$16,D$9,FALSE))</f>
        <v>-</v>
      </c>
      <c r="E360" s="369" t="str">
        <f t="shared" ca="1" si="50"/>
        <v>-</v>
      </c>
      <c r="F360" s="369" t="str">
        <f t="shared" ca="1" si="50"/>
        <v>-</v>
      </c>
      <c r="G360" s="369" t="str">
        <f t="shared" ca="1" si="50"/>
        <v>-</v>
      </c>
      <c r="H360" s="369" t="str">
        <f t="shared" ca="1" si="50"/>
        <v>-</v>
      </c>
      <c r="I360" s="370">
        <f t="shared" ca="1" si="50"/>
        <v>0</v>
      </c>
      <c r="J360" s="391">
        <f ca="1">IF($A360="*","",OFFSET(COM_N_2012!$B$60,AW360,SUMIF($B$10:$B$16,B360,$AX$10:$AX$16)))</f>
        <v>0</v>
      </c>
      <c r="K360" s="369" t="str">
        <f ca="1">IF($B360&lt;&gt;"PRC_RESID","",IF(K$7=2005+OFFSET(COM_N_2012!$B$60,$AW360,SUMIF($B$10:$B$16,"NCAP_TLIFE",$AX$10:$AX$16)),0,""))</f>
        <v/>
      </c>
      <c r="L360" s="369" t="str">
        <f ca="1">IF($B360&lt;&gt;"PRC_RESID","",IF(L$7=2005+OFFSET(COM_N_2012!$B$60,$AW360,SUMIF($B$10:$B$16,"NCAP_TLIFE",$AX$10:$AX$16)),0,""))</f>
        <v/>
      </c>
      <c r="M360" s="369" t="str">
        <f ca="1">IF($B360&lt;&gt;"PRC_RESID","",IF(M$7=2005+OFFSET(COM_N_2012!$B$60,$AW360,SUMIF($B$10:$B$16,"NCAP_TLIFE",$AX$10:$AX$16)),0,""))</f>
        <v/>
      </c>
      <c r="N360" s="369" t="str">
        <f ca="1">IF($B360&lt;&gt;"PRC_RESID","",IF(N$7=2005+OFFSET(COM_N_2012!$B$60,$AW360,SUMIF($B$10:$B$16,"NCAP_TLIFE",$AX$10:$AX$16)),0,""))</f>
        <v/>
      </c>
      <c r="O360" s="369" t="str">
        <f ca="1">IF($B360&lt;&gt;"PRC_RESID","",IF(O$7=2005+OFFSET(COM_N_2012!$B$60,$AW360,SUMIF($B$10:$B$16,"NCAP_TLIFE",$AX$10:$AX$16)),0,""))</f>
        <v/>
      </c>
      <c r="P360" s="369" t="str">
        <f ca="1">IF($B360&lt;&gt;"PRC_RESID","",IF(P$7=2005+OFFSET(COM_N_2012!$B$60,$AW360,SUMIF($B$10:$B$16,"NCAP_TLIFE",$AX$10:$AX$16)),0,""))</f>
        <v/>
      </c>
      <c r="Q360" s="369">
        <f ca="1">IF($B360&lt;&gt;"PRC_RESID","",IF(Q$7=2005+OFFSET(COM_N_2012!$B$60,$AW360,SUMIF($B$10:$B$16,"NCAP_TLIFE",$AX$10:$AX$16)),0,""))</f>
        <v>0</v>
      </c>
      <c r="R360" s="369" t="str">
        <f ca="1">IF($B360&lt;&gt;"PRC_RESID","",IF(R$7=2005+OFFSET(COM_N_2012!$B$60,$AW360,SUMIF($B$10:$B$16,"NCAP_TLIFE",$AX$10:$AX$16)),0,""))</f>
        <v/>
      </c>
      <c r="S360" s="369" t="str">
        <f ca="1">IF($B360&lt;&gt;"PRC_RESID","",IF(S$7=2005+OFFSET(COM_N_2012!$B$60,$AW360,SUMIF($B$10:$B$16,"NCAP_TLIFE",$AX$10:$AX$16)),0,""))</f>
        <v/>
      </c>
      <c r="T360" s="369" t="str">
        <f ca="1">IF($B360&lt;&gt;"PRC_RESID","",IF(T$7=2005+OFFSET(COM_N_2012!$B$60,$AW360,SUMIF($B$10:$B$16,"NCAP_TLIFE",$AX$10:$AX$16)),0,""))</f>
        <v/>
      </c>
      <c r="U360" s="369" t="str">
        <f ca="1">IF($B360&lt;&gt;"PRC_RESID","",IF(U$7=2005+OFFSET(COM_N_2012!$B$60,$AW360,SUMIF($B$10:$B$16,"NCAP_TLIFE",$AX$10:$AX$16)),0,""))</f>
        <v/>
      </c>
      <c r="V360" s="369" t="str">
        <f ca="1">IF($B360&lt;&gt;"PRC_RESID","",IF(V$7=2005+OFFSET(COM_N_2012!$B$60,$AW360,SUMIF($B$10:$B$16,"NCAP_TLIFE",$AX$10:$AX$16)),0,""))</f>
        <v/>
      </c>
      <c r="W360" s="369" t="str">
        <f ca="1">IF($B360&lt;&gt;"PRC_RESID","",IF(W$7=2005+OFFSET(COM_N_2012!$B$60,$AW360,SUMIF($B$10:$B$16,"NCAP_TLIFE",$AX$10:$AX$16)),0,""))</f>
        <v/>
      </c>
      <c r="X360" s="369" t="str">
        <f ca="1">IF($B360&lt;&gt;"PRC_RESID","",IF(X$7=2005+OFFSET(COM_N_2012!$B$60,$AW360,SUMIF($B$10:$B$16,"NCAP_TLIFE",$AX$10:$AX$16)),0,""))</f>
        <v/>
      </c>
      <c r="Y360" s="369" t="str">
        <f ca="1">IF($B360&lt;&gt;"PRC_RESID","",IF(Y$7=2005+OFFSET(COM_N_2012!$B$60,$AW360,SUMIF($B$10:$B$16,"NCAP_TLIFE",$AX$10:$AX$16)),0,""))</f>
        <v/>
      </c>
      <c r="Z360" s="369" t="str">
        <f ca="1">IF($B360&lt;&gt;"PRC_RESID","",IF(Z$7=2005+OFFSET(COM_N_2012!$B$60,$AW360,SUMIF($B$10:$B$16,"NCAP_TLIFE",$AX$10:$AX$16)),0,""))</f>
        <v/>
      </c>
      <c r="AA360" s="369" t="str">
        <f ca="1">IF($B360&lt;&gt;"PRC_RESID","",IF(AA$7=2005+OFFSET(COM_N_2012!$B$60,$AW360,SUMIF($B$10:$B$16,"NCAP_TLIFE",$AX$10:$AX$16)),0,""))</f>
        <v/>
      </c>
      <c r="AB360" s="369" t="str">
        <f ca="1">IF($B360&lt;&gt;"PRC_RESID","",IF(AB$7=2005+OFFSET(COM_N_2012!$B$60,$AW360,SUMIF($B$10:$B$16,"NCAP_TLIFE",$AX$10:$AX$16)),0,""))</f>
        <v/>
      </c>
      <c r="AC360" s="369" t="str">
        <f ca="1">IF($B360&lt;&gt;"PRC_RESID","",IF(AC$7=2005+OFFSET(COM_N_2012!$B$60,$AW360,SUMIF($B$10:$B$16,"NCAP_TLIFE",$AX$10:$AX$16)),0,""))</f>
        <v/>
      </c>
      <c r="AD360" s="369" t="str">
        <f ca="1">IF($B360&lt;&gt;"PRC_RESID","",IF(AD$7=2005+OFFSET(COM_N_2012!$B$60,$AW360,SUMIF($B$10:$B$16,"NCAP_TLIFE",$AX$10:$AX$16)),0,""))</f>
        <v/>
      </c>
      <c r="AE360" s="369" t="str">
        <f ca="1">IF($B360&lt;&gt;"PRC_RESID","",IF(AE$7=2005+OFFSET(COM_N_2012!$B$60,$AW360,SUMIF($B$10:$B$16,"NCAP_TLIFE",$AX$10:$AX$16)),0,""))</f>
        <v/>
      </c>
      <c r="AF360" s="369" t="str">
        <f ca="1">IF($B360&lt;&gt;"PRC_RESID","",IF(AF$7=2005+OFFSET(COM_N_2012!$B$60,$AW360,SUMIF($B$10:$B$16,"NCAP_TLIFE",$AX$10:$AX$16)),0,""))</f>
        <v/>
      </c>
      <c r="AG360" s="369" t="str">
        <f ca="1">IF($B360&lt;&gt;"PRC_RESID","",IF(AG$7=2005+OFFSET(COM_N_2012!$B$60,$AW360,SUMIF($B$10:$B$16,"NCAP_TLIFE",$AX$10:$AX$16)),0,""))</f>
        <v/>
      </c>
      <c r="AH360" s="369" t="str">
        <f ca="1">IF($B360&lt;&gt;"PRC_RESID","",IF(AH$7=2005+OFFSET(COM_N_2012!$B$60,$AW360,SUMIF($B$10:$B$16,"NCAP_TLIFE",$AX$10:$AX$16)),0,""))</f>
        <v/>
      </c>
      <c r="AI360" s="369" t="str">
        <f ca="1">IF($B360&lt;&gt;"PRC_RESID","",IF(AI$7=2005+OFFSET(COM_N_2012!$B$60,$AW360,SUMIF($B$10:$B$16,"NCAP_TLIFE",$AX$10:$AX$16)),0,""))</f>
        <v/>
      </c>
      <c r="AJ360" s="369" t="str">
        <f ca="1">IF($B360&lt;&gt;"PRC_RESID","",IF(AJ$7=2005+OFFSET(COM_N_2012!$B$60,$AW360,SUMIF($B$10:$B$16,"NCAP_TLIFE",$AX$10:$AX$16)),0,""))</f>
        <v/>
      </c>
      <c r="AK360" s="369" t="str">
        <f ca="1">IF($B360&lt;&gt;"PRC_RESID","",IF(AK$7=2005+OFFSET(COM_N_2012!$B$60,$AW360,SUMIF($B$10:$B$16,"NCAP_TLIFE",$AX$10:$AX$16)),0,""))</f>
        <v/>
      </c>
      <c r="AL360" s="369" t="str">
        <f ca="1">IF($B360&lt;&gt;"PRC_RESID","",IF(AL$7=2005+OFFSET(COM_N_2012!$B$60,$AW360,SUMIF($B$10:$B$16,"NCAP_TLIFE",$AX$10:$AX$16)),0,""))</f>
        <v/>
      </c>
      <c r="AM360" s="369" t="str">
        <f ca="1">IF($B360&lt;&gt;"PRC_RESID","",IF(AM$7=2005+OFFSET(COM_N_2012!$B$60,$AW360,SUMIF($B$10:$B$16,"NCAP_TLIFE",$AX$10:$AX$16)),0,""))</f>
        <v/>
      </c>
      <c r="AN360" s="369" t="str">
        <f ca="1">IF($B360&lt;&gt;"PRC_RESID","",IF(AN$7=2005+OFFSET(COM_N_2012!$B$60,$AW360,SUMIF($B$10:$B$16,"NCAP_TLIFE",$AX$10:$AX$16)),0,""))</f>
        <v/>
      </c>
      <c r="AO360" s="369" t="str">
        <f ca="1">IF($B360&lt;&gt;"PRC_RESID","",IF(AO$7=2005+OFFSET(COM_N_2012!$B$60,$AW360,SUMIF($B$10:$B$16,"NCAP_TLIFE",$AX$10:$AX$16)),0,""))</f>
        <v/>
      </c>
      <c r="AP360" s="369" t="str">
        <f ca="1">IF($B360&lt;&gt;"PRC_RESID","",IF(AP$7=2005+OFFSET(COM_N_2012!$B$60,$AW360,SUMIF($B$10:$B$16,"NCAP_TLIFE",$AX$10:$AX$16)),0,""))</f>
        <v/>
      </c>
      <c r="AQ360" s="369" t="str">
        <f ca="1">IF($B360&lt;&gt;"PRC_RESID","",IF(AQ$7=2005+OFFSET(COM_N_2012!$B$60,$AW360,SUMIF($B$10:$B$16,"NCAP_TLIFE",$AX$10:$AX$16)),0,""))</f>
        <v/>
      </c>
      <c r="AR360" s="369" t="str">
        <f ca="1">IF($B360&lt;&gt;"PRC_RESID","",IF(AR$7=2005+OFFSET(COM_N_2012!$B$60,$AW360,SUMIF($B$10:$B$16,"NCAP_TLIFE",$AX$10:$AX$16)),0,""))</f>
        <v/>
      </c>
      <c r="AS360" s="369" t="str">
        <f ca="1">IF($B360&lt;&gt;"PRC_RESID","",IF(AS$7=2005+OFFSET(COM_N_2012!$B$60,$AW360,SUMIF($B$10:$B$16,"NCAP_TLIFE",$AX$10:$AX$16)),0,""))</f>
        <v/>
      </c>
      <c r="AT360" s="369" t="str">
        <f ca="1">IF($B360&lt;&gt;"PRC_RESID","",IF(AT$7=2005+OFFSET(COM_N_2012!$B$60,$AW360,SUMIF($B$10:$B$16,"NCAP_TLIFE",$AX$10:$AX$16)),0,""))</f>
        <v/>
      </c>
      <c r="AU360" s="369" t="str">
        <f ca="1">IF($B360&lt;&gt;"PRC_RESID","",IF(AU$7=2005+OFFSET(COM_N_2012!$B$60,$AW360,SUMIF($B$10:$B$16,"NCAP_TLIFE",$AX$10:$AX$16)),0,""))</f>
        <v/>
      </c>
      <c r="AV360" s="304">
        <f>IF(AW359=COM_N_2012!$AK$121,AV359+1,AV359)</f>
        <v>6</v>
      </c>
      <c r="AW360" s="304">
        <f t="shared" ref="AW360:AW373" si="51">IF(AV360=AV359,AW359+1,1)</f>
        <v>38</v>
      </c>
    </row>
    <row r="361" spans="1:49">
      <c r="A361" s="304" t="str">
        <f ca="1">IF(LEFT(OFFSET(COM_N_2012!$A$60,AW361,0),2)="\I","*","")</f>
        <v/>
      </c>
      <c r="B361" s="369" t="str">
        <f t="shared" ca="1" si="49"/>
        <v>PRC_RESID</v>
      </c>
      <c r="C361" s="369" t="str">
        <f ca="1">IF($A361="*","",OFFSET(COM_N_2012!$B$60,AW361,0))</f>
        <v>CNWELCHP-N</v>
      </c>
      <c r="D361" s="369" t="str">
        <f t="shared" ca="1" si="50"/>
        <v>-</v>
      </c>
      <c r="E361" s="369" t="str">
        <f t="shared" ca="1" si="50"/>
        <v>-</v>
      </c>
      <c r="F361" s="369" t="str">
        <f t="shared" ca="1" si="50"/>
        <v>-</v>
      </c>
      <c r="G361" s="369" t="str">
        <f t="shared" ca="1" si="50"/>
        <v>-</v>
      </c>
      <c r="H361" s="369" t="str">
        <f t="shared" ca="1" si="50"/>
        <v>-</v>
      </c>
      <c r="I361" s="370">
        <f t="shared" ca="1" si="50"/>
        <v>0</v>
      </c>
      <c r="J361" s="391">
        <f ca="1">IF($A361="*","",OFFSET(COM_N_2012!$B$60,AW361,SUMIF($B$10:$B$16,B361,$AX$10:$AX$16)))</f>
        <v>0</v>
      </c>
      <c r="K361" s="369" t="str">
        <f ca="1">IF($B361&lt;&gt;"PRC_RESID","",IF(K$7=2005+OFFSET(COM_N_2012!$B$60,$AW361,SUMIF($B$10:$B$16,"NCAP_TLIFE",$AX$10:$AX$16)),0,""))</f>
        <v/>
      </c>
      <c r="L361" s="369" t="str">
        <f ca="1">IF($B361&lt;&gt;"PRC_RESID","",IF(L$7=2005+OFFSET(COM_N_2012!$B$60,$AW361,SUMIF($B$10:$B$16,"NCAP_TLIFE",$AX$10:$AX$16)),0,""))</f>
        <v/>
      </c>
      <c r="M361" s="369">
        <f ca="1">IF($B361&lt;&gt;"PRC_RESID","",IF(M$7=2005+OFFSET(COM_N_2012!$B$60,$AW361,SUMIF($B$10:$B$16,"NCAP_TLIFE",$AX$10:$AX$16)),0,""))</f>
        <v>0</v>
      </c>
      <c r="N361" s="369" t="str">
        <f ca="1">IF($B361&lt;&gt;"PRC_RESID","",IF(N$7=2005+OFFSET(COM_N_2012!$B$60,$AW361,SUMIF($B$10:$B$16,"NCAP_TLIFE",$AX$10:$AX$16)),0,""))</f>
        <v/>
      </c>
      <c r="O361" s="369" t="str">
        <f ca="1">IF($B361&lt;&gt;"PRC_RESID","",IF(O$7=2005+OFFSET(COM_N_2012!$B$60,$AW361,SUMIF($B$10:$B$16,"NCAP_TLIFE",$AX$10:$AX$16)),0,""))</f>
        <v/>
      </c>
      <c r="P361" s="369" t="str">
        <f ca="1">IF($B361&lt;&gt;"PRC_RESID","",IF(P$7=2005+OFFSET(COM_N_2012!$B$60,$AW361,SUMIF($B$10:$B$16,"NCAP_TLIFE",$AX$10:$AX$16)),0,""))</f>
        <v/>
      </c>
      <c r="Q361" s="369" t="str">
        <f ca="1">IF($B361&lt;&gt;"PRC_RESID","",IF(Q$7=2005+OFFSET(COM_N_2012!$B$60,$AW361,SUMIF($B$10:$B$16,"NCAP_TLIFE",$AX$10:$AX$16)),0,""))</f>
        <v/>
      </c>
      <c r="R361" s="369" t="str">
        <f ca="1">IF($B361&lt;&gt;"PRC_RESID","",IF(R$7=2005+OFFSET(COM_N_2012!$B$60,$AW361,SUMIF($B$10:$B$16,"NCAP_TLIFE",$AX$10:$AX$16)),0,""))</f>
        <v/>
      </c>
      <c r="S361" s="369" t="str">
        <f ca="1">IF($B361&lt;&gt;"PRC_RESID","",IF(S$7=2005+OFFSET(COM_N_2012!$B$60,$AW361,SUMIF($B$10:$B$16,"NCAP_TLIFE",$AX$10:$AX$16)),0,""))</f>
        <v/>
      </c>
      <c r="T361" s="369" t="str">
        <f ca="1">IF($B361&lt;&gt;"PRC_RESID","",IF(T$7=2005+OFFSET(COM_N_2012!$B$60,$AW361,SUMIF($B$10:$B$16,"NCAP_TLIFE",$AX$10:$AX$16)),0,""))</f>
        <v/>
      </c>
      <c r="U361" s="369" t="str">
        <f ca="1">IF($B361&lt;&gt;"PRC_RESID","",IF(U$7=2005+OFFSET(COM_N_2012!$B$60,$AW361,SUMIF($B$10:$B$16,"NCAP_TLIFE",$AX$10:$AX$16)),0,""))</f>
        <v/>
      </c>
      <c r="V361" s="369" t="str">
        <f ca="1">IF($B361&lt;&gt;"PRC_RESID","",IF(V$7=2005+OFFSET(COM_N_2012!$B$60,$AW361,SUMIF($B$10:$B$16,"NCAP_TLIFE",$AX$10:$AX$16)),0,""))</f>
        <v/>
      </c>
      <c r="W361" s="369" t="str">
        <f ca="1">IF($B361&lt;&gt;"PRC_RESID","",IF(W$7=2005+OFFSET(COM_N_2012!$B$60,$AW361,SUMIF($B$10:$B$16,"NCAP_TLIFE",$AX$10:$AX$16)),0,""))</f>
        <v/>
      </c>
      <c r="X361" s="369" t="str">
        <f ca="1">IF($B361&lt;&gt;"PRC_RESID","",IF(X$7=2005+OFFSET(COM_N_2012!$B$60,$AW361,SUMIF($B$10:$B$16,"NCAP_TLIFE",$AX$10:$AX$16)),0,""))</f>
        <v/>
      </c>
      <c r="Y361" s="369" t="str">
        <f ca="1">IF($B361&lt;&gt;"PRC_RESID","",IF(Y$7=2005+OFFSET(COM_N_2012!$B$60,$AW361,SUMIF($B$10:$B$16,"NCAP_TLIFE",$AX$10:$AX$16)),0,""))</f>
        <v/>
      </c>
      <c r="Z361" s="369" t="str">
        <f ca="1">IF($B361&lt;&gt;"PRC_RESID","",IF(Z$7=2005+OFFSET(COM_N_2012!$B$60,$AW361,SUMIF($B$10:$B$16,"NCAP_TLIFE",$AX$10:$AX$16)),0,""))</f>
        <v/>
      </c>
      <c r="AA361" s="369" t="str">
        <f ca="1">IF($B361&lt;&gt;"PRC_RESID","",IF(AA$7=2005+OFFSET(COM_N_2012!$B$60,$AW361,SUMIF($B$10:$B$16,"NCAP_TLIFE",$AX$10:$AX$16)),0,""))</f>
        <v/>
      </c>
      <c r="AB361" s="369" t="str">
        <f ca="1">IF($B361&lt;&gt;"PRC_RESID","",IF(AB$7=2005+OFFSET(COM_N_2012!$B$60,$AW361,SUMIF($B$10:$B$16,"NCAP_TLIFE",$AX$10:$AX$16)),0,""))</f>
        <v/>
      </c>
      <c r="AC361" s="369" t="str">
        <f ca="1">IF($B361&lt;&gt;"PRC_RESID","",IF(AC$7=2005+OFFSET(COM_N_2012!$B$60,$AW361,SUMIF($B$10:$B$16,"NCAP_TLIFE",$AX$10:$AX$16)),0,""))</f>
        <v/>
      </c>
      <c r="AD361" s="369" t="str">
        <f ca="1">IF($B361&lt;&gt;"PRC_RESID","",IF(AD$7=2005+OFFSET(COM_N_2012!$B$60,$AW361,SUMIF($B$10:$B$16,"NCAP_TLIFE",$AX$10:$AX$16)),0,""))</f>
        <v/>
      </c>
      <c r="AE361" s="369" t="str">
        <f ca="1">IF($B361&lt;&gt;"PRC_RESID","",IF(AE$7=2005+OFFSET(COM_N_2012!$B$60,$AW361,SUMIF($B$10:$B$16,"NCAP_TLIFE",$AX$10:$AX$16)),0,""))</f>
        <v/>
      </c>
      <c r="AF361" s="369" t="str">
        <f ca="1">IF($B361&lt;&gt;"PRC_RESID","",IF(AF$7=2005+OFFSET(COM_N_2012!$B$60,$AW361,SUMIF($B$10:$B$16,"NCAP_TLIFE",$AX$10:$AX$16)),0,""))</f>
        <v/>
      </c>
      <c r="AG361" s="369" t="str">
        <f ca="1">IF($B361&lt;&gt;"PRC_RESID","",IF(AG$7=2005+OFFSET(COM_N_2012!$B$60,$AW361,SUMIF($B$10:$B$16,"NCAP_TLIFE",$AX$10:$AX$16)),0,""))</f>
        <v/>
      </c>
      <c r="AH361" s="369" t="str">
        <f ca="1">IF($B361&lt;&gt;"PRC_RESID","",IF(AH$7=2005+OFFSET(COM_N_2012!$B$60,$AW361,SUMIF($B$10:$B$16,"NCAP_TLIFE",$AX$10:$AX$16)),0,""))</f>
        <v/>
      </c>
      <c r="AI361" s="369" t="str">
        <f ca="1">IF($B361&lt;&gt;"PRC_RESID","",IF(AI$7=2005+OFFSET(COM_N_2012!$B$60,$AW361,SUMIF($B$10:$B$16,"NCAP_TLIFE",$AX$10:$AX$16)),0,""))</f>
        <v/>
      </c>
      <c r="AJ361" s="369" t="str">
        <f ca="1">IF($B361&lt;&gt;"PRC_RESID","",IF(AJ$7=2005+OFFSET(COM_N_2012!$B$60,$AW361,SUMIF($B$10:$B$16,"NCAP_TLIFE",$AX$10:$AX$16)),0,""))</f>
        <v/>
      </c>
      <c r="AK361" s="369" t="str">
        <f ca="1">IF($B361&lt;&gt;"PRC_RESID","",IF(AK$7=2005+OFFSET(COM_N_2012!$B$60,$AW361,SUMIF($B$10:$B$16,"NCAP_TLIFE",$AX$10:$AX$16)),0,""))</f>
        <v/>
      </c>
      <c r="AL361" s="369" t="str">
        <f ca="1">IF($B361&lt;&gt;"PRC_RESID","",IF(AL$7=2005+OFFSET(COM_N_2012!$B$60,$AW361,SUMIF($B$10:$B$16,"NCAP_TLIFE",$AX$10:$AX$16)),0,""))</f>
        <v/>
      </c>
      <c r="AM361" s="369" t="str">
        <f ca="1">IF($B361&lt;&gt;"PRC_RESID","",IF(AM$7=2005+OFFSET(COM_N_2012!$B$60,$AW361,SUMIF($B$10:$B$16,"NCAP_TLIFE",$AX$10:$AX$16)),0,""))</f>
        <v/>
      </c>
      <c r="AN361" s="369" t="str">
        <f ca="1">IF($B361&lt;&gt;"PRC_RESID","",IF(AN$7=2005+OFFSET(COM_N_2012!$B$60,$AW361,SUMIF($B$10:$B$16,"NCAP_TLIFE",$AX$10:$AX$16)),0,""))</f>
        <v/>
      </c>
      <c r="AO361" s="369" t="str">
        <f ca="1">IF($B361&lt;&gt;"PRC_RESID","",IF(AO$7=2005+OFFSET(COM_N_2012!$B$60,$AW361,SUMIF($B$10:$B$16,"NCAP_TLIFE",$AX$10:$AX$16)),0,""))</f>
        <v/>
      </c>
      <c r="AP361" s="369" t="str">
        <f ca="1">IF($B361&lt;&gt;"PRC_RESID","",IF(AP$7=2005+OFFSET(COM_N_2012!$B$60,$AW361,SUMIF($B$10:$B$16,"NCAP_TLIFE",$AX$10:$AX$16)),0,""))</f>
        <v/>
      </c>
      <c r="AQ361" s="369" t="str">
        <f ca="1">IF($B361&lt;&gt;"PRC_RESID","",IF(AQ$7=2005+OFFSET(COM_N_2012!$B$60,$AW361,SUMIF($B$10:$B$16,"NCAP_TLIFE",$AX$10:$AX$16)),0,""))</f>
        <v/>
      </c>
      <c r="AR361" s="369" t="str">
        <f ca="1">IF($B361&lt;&gt;"PRC_RESID","",IF(AR$7=2005+OFFSET(COM_N_2012!$B$60,$AW361,SUMIF($B$10:$B$16,"NCAP_TLIFE",$AX$10:$AX$16)),0,""))</f>
        <v/>
      </c>
      <c r="AS361" s="369" t="str">
        <f ca="1">IF($B361&lt;&gt;"PRC_RESID","",IF(AS$7=2005+OFFSET(COM_N_2012!$B$60,$AW361,SUMIF($B$10:$B$16,"NCAP_TLIFE",$AX$10:$AX$16)),0,""))</f>
        <v/>
      </c>
      <c r="AT361" s="369" t="str">
        <f ca="1">IF($B361&lt;&gt;"PRC_RESID","",IF(AT$7=2005+OFFSET(COM_N_2012!$B$60,$AW361,SUMIF($B$10:$B$16,"NCAP_TLIFE",$AX$10:$AX$16)),0,""))</f>
        <v/>
      </c>
      <c r="AU361" s="369" t="str">
        <f ca="1">IF($B361&lt;&gt;"PRC_RESID","",IF(AU$7=2005+OFFSET(COM_N_2012!$B$60,$AW361,SUMIF($B$10:$B$16,"NCAP_TLIFE",$AX$10:$AX$16)),0,""))</f>
        <v/>
      </c>
      <c r="AV361" s="304">
        <f>IF(AW360=COM_N_2012!$AK$121,AV360+1,AV360)</f>
        <v>6</v>
      </c>
      <c r="AW361" s="304">
        <f t="shared" si="51"/>
        <v>39</v>
      </c>
    </row>
    <row r="362" spans="1:49">
      <c r="A362" s="304" t="str">
        <f ca="1">IF(LEFT(OFFSET(COM_N_2012!$A$60,AW362,0),2)="\I","*","")</f>
        <v>*</v>
      </c>
      <c r="B362" s="369" t="str">
        <f t="shared" ca="1" si="49"/>
        <v/>
      </c>
      <c r="C362" s="369" t="str">
        <f ca="1">IF($A362="*","",OFFSET(COM_N_2012!$B$60,AW362,0))</f>
        <v/>
      </c>
      <c r="D362" s="369" t="str">
        <f t="shared" ca="1" si="50"/>
        <v/>
      </c>
      <c r="E362" s="369" t="str">
        <f t="shared" ca="1" si="50"/>
        <v/>
      </c>
      <c r="F362" s="369" t="str">
        <f t="shared" ca="1" si="50"/>
        <v/>
      </c>
      <c r="G362" s="369" t="str">
        <f t="shared" ca="1" si="50"/>
        <v/>
      </c>
      <c r="H362" s="369" t="str">
        <f t="shared" ca="1" si="50"/>
        <v/>
      </c>
      <c r="I362" s="370" t="str">
        <f t="shared" ca="1" si="50"/>
        <v/>
      </c>
      <c r="J362" s="391" t="str">
        <f ca="1">IF($A362="*","",OFFSET(COM_N_2012!$B$60,AW362,SUMIF($B$10:$B$16,B362,$AX$10:$AX$16)))</f>
        <v/>
      </c>
      <c r="K362" s="369" t="str">
        <f ca="1">IF($B362&lt;&gt;"PRC_RESID","",IF(K$7=2005+OFFSET(COM_N_2012!$B$60,$AW362,SUMIF($B$10:$B$16,"NCAP_TLIFE",$AX$10:$AX$16)),0,""))</f>
        <v/>
      </c>
      <c r="L362" s="369" t="str">
        <f ca="1">IF($B362&lt;&gt;"PRC_RESID","",IF(L$7=2005+OFFSET(COM_N_2012!$B$60,$AW362,SUMIF($B$10:$B$16,"NCAP_TLIFE",$AX$10:$AX$16)),0,""))</f>
        <v/>
      </c>
      <c r="M362" s="369" t="str">
        <f ca="1">IF($B362&lt;&gt;"PRC_RESID","",IF(M$7=2005+OFFSET(COM_N_2012!$B$60,$AW362,SUMIF($B$10:$B$16,"NCAP_TLIFE",$AX$10:$AX$16)),0,""))</f>
        <v/>
      </c>
      <c r="N362" s="369" t="str">
        <f ca="1">IF($B362&lt;&gt;"PRC_RESID","",IF(N$7=2005+OFFSET(COM_N_2012!$B$60,$AW362,SUMIF($B$10:$B$16,"NCAP_TLIFE",$AX$10:$AX$16)),0,""))</f>
        <v/>
      </c>
      <c r="O362" s="369" t="str">
        <f ca="1">IF($B362&lt;&gt;"PRC_RESID","",IF(O$7=2005+OFFSET(COM_N_2012!$B$60,$AW362,SUMIF($B$10:$B$16,"NCAP_TLIFE",$AX$10:$AX$16)),0,""))</f>
        <v/>
      </c>
      <c r="P362" s="369" t="str">
        <f ca="1">IF($B362&lt;&gt;"PRC_RESID","",IF(P$7=2005+OFFSET(COM_N_2012!$B$60,$AW362,SUMIF($B$10:$B$16,"NCAP_TLIFE",$AX$10:$AX$16)),0,""))</f>
        <v/>
      </c>
      <c r="Q362" s="369" t="str">
        <f ca="1">IF($B362&lt;&gt;"PRC_RESID","",IF(Q$7=2005+OFFSET(COM_N_2012!$B$60,$AW362,SUMIF($B$10:$B$16,"NCAP_TLIFE",$AX$10:$AX$16)),0,""))</f>
        <v/>
      </c>
      <c r="R362" s="369" t="str">
        <f ca="1">IF($B362&lt;&gt;"PRC_RESID","",IF(R$7=2005+OFFSET(COM_N_2012!$B$60,$AW362,SUMIF($B$10:$B$16,"NCAP_TLIFE",$AX$10:$AX$16)),0,""))</f>
        <v/>
      </c>
      <c r="S362" s="369" t="str">
        <f ca="1">IF($B362&lt;&gt;"PRC_RESID","",IF(S$7=2005+OFFSET(COM_N_2012!$B$60,$AW362,SUMIF($B$10:$B$16,"NCAP_TLIFE",$AX$10:$AX$16)),0,""))</f>
        <v/>
      </c>
      <c r="T362" s="369" t="str">
        <f ca="1">IF($B362&lt;&gt;"PRC_RESID","",IF(T$7=2005+OFFSET(COM_N_2012!$B$60,$AW362,SUMIF($B$10:$B$16,"NCAP_TLIFE",$AX$10:$AX$16)),0,""))</f>
        <v/>
      </c>
      <c r="U362" s="369" t="str">
        <f ca="1">IF($B362&lt;&gt;"PRC_RESID","",IF(U$7=2005+OFFSET(COM_N_2012!$B$60,$AW362,SUMIF($B$10:$B$16,"NCAP_TLIFE",$AX$10:$AX$16)),0,""))</f>
        <v/>
      </c>
      <c r="V362" s="369" t="str">
        <f ca="1">IF($B362&lt;&gt;"PRC_RESID","",IF(V$7=2005+OFFSET(COM_N_2012!$B$60,$AW362,SUMIF($B$10:$B$16,"NCAP_TLIFE",$AX$10:$AX$16)),0,""))</f>
        <v/>
      </c>
      <c r="W362" s="369" t="str">
        <f ca="1">IF($B362&lt;&gt;"PRC_RESID","",IF(W$7=2005+OFFSET(COM_N_2012!$B$60,$AW362,SUMIF($B$10:$B$16,"NCAP_TLIFE",$AX$10:$AX$16)),0,""))</f>
        <v/>
      </c>
      <c r="X362" s="369" t="str">
        <f ca="1">IF($B362&lt;&gt;"PRC_RESID","",IF(X$7=2005+OFFSET(COM_N_2012!$B$60,$AW362,SUMIF($B$10:$B$16,"NCAP_TLIFE",$AX$10:$AX$16)),0,""))</f>
        <v/>
      </c>
      <c r="Y362" s="369" t="str">
        <f ca="1">IF($B362&lt;&gt;"PRC_RESID","",IF(Y$7=2005+OFFSET(COM_N_2012!$B$60,$AW362,SUMIF($B$10:$B$16,"NCAP_TLIFE",$AX$10:$AX$16)),0,""))</f>
        <v/>
      </c>
      <c r="Z362" s="369" t="str">
        <f ca="1">IF($B362&lt;&gt;"PRC_RESID","",IF(Z$7=2005+OFFSET(COM_N_2012!$B$60,$AW362,SUMIF($B$10:$B$16,"NCAP_TLIFE",$AX$10:$AX$16)),0,""))</f>
        <v/>
      </c>
      <c r="AA362" s="369" t="str">
        <f ca="1">IF($B362&lt;&gt;"PRC_RESID","",IF(AA$7=2005+OFFSET(COM_N_2012!$B$60,$AW362,SUMIF($B$10:$B$16,"NCAP_TLIFE",$AX$10:$AX$16)),0,""))</f>
        <v/>
      </c>
      <c r="AB362" s="369" t="str">
        <f ca="1">IF($B362&lt;&gt;"PRC_RESID","",IF(AB$7=2005+OFFSET(COM_N_2012!$B$60,$AW362,SUMIF($B$10:$B$16,"NCAP_TLIFE",$AX$10:$AX$16)),0,""))</f>
        <v/>
      </c>
      <c r="AC362" s="369" t="str">
        <f ca="1">IF($B362&lt;&gt;"PRC_RESID","",IF(AC$7=2005+OFFSET(COM_N_2012!$B$60,$AW362,SUMIF($B$10:$B$16,"NCAP_TLIFE",$AX$10:$AX$16)),0,""))</f>
        <v/>
      </c>
      <c r="AD362" s="369" t="str">
        <f ca="1">IF($B362&lt;&gt;"PRC_RESID","",IF(AD$7=2005+OFFSET(COM_N_2012!$B$60,$AW362,SUMIF($B$10:$B$16,"NCAP_TLIFE",$AX$10:$AX$16)),0,""))</f>
        <v/>
      </c>
      <c r="AE362" s="369" t="str">
        <f ca="1">IF($B362&lt;&gt;"PRC_RESID","",IF(AE$7=2005+OFFSET(COM_N_2012!$B$60,$AW362,SUMIF($B$10:$B$16,"NCAP_TLIFE",$AX$10:$AX$16)),0,""))</f>
        <v/>
      </c>
      <c r="AF362" s="369" t="str">
        <f ca="1">IF($B362&lt;&gt;"PRC_RESID","",IF(AF$7=2005+OFFSET(COM_N_2012!$B$60,$AW362,SUMIF($B$10:$B$16,"NCAP_TLIFE",$AX$10:$AX$16)),0,""))</f>
        <v/>
      </c>
      <c r="AG362" s="369" t="str">
        <f ca="1">IF($B362&lt;&gt;"PRC_RESID","",IF(AG$7=2005+OFFSET(COM_N_2012!$B$60,$AW362,SUMIF($B$10:$B$16,"NCAP_TLIFE",$AX$10:$AX$16)),0,""))</f>
        <v/>
      </c>
      <c r="AH362" s="369" t="str">
        <f ca="1">IF($B362&lt;&gt;"PRC_RESID","",IF(AH$7=2005+OFFSET(COM_N_2012!$B$60,$AW362,SUMIF($B$10:$B$16,"NCAP_TLIFE",$AX$10:$AX$16)),0,""))</f>
        <v/>
      </c>
      <c r="AI362" s="369" t="str">
        <f ca="1">IF($B362&lt;&gt;"PRC_RESID","",IF(AI$7=2005+OFFSET(COM_N_2012!$B$60,$AW362,SUMIF($B$10:$B$16,"NCAP_TLIFE",$AX$10:$AX$16)),0,""))</f>
        <v/>
      </c>
      <c r="AJ362" s="369" t="str">
        <f ca="1">IF($B362&lt;&gt;"PRC_RESID","",IF(AJ$7=2005+OFFSET(COM_N_2012!$B$60,$AW362,SUMIF($B$10:$B$16,"NCAP_TLIFE",$AX$10:$AX$16)),0,""))</f>
        <v/>
      </c>
      <c r="AK362" s="369" t="str">
        <f ca="1">IF($B362&lt;&gt;"PRC_RESID","",IF(AK$7=2005+OFFSET(COM_N_2012!$B$60,$AW362,SUMIF($B$10:$B$16,"NCAP_TLIFE",$AX$10:$AX$16)),0,""))</f>
        <v/>
      </c>
      <c r="AL362" s="369" t="str">
        <f ca="1">IF($B362&lt;&gt;"PRC_RESID","",IF(AL$7=2005+OFFSET(COM_N_2012!$B$60,$AW362,SUMIF($B$10:$B$16,"NCAP_TLIFE",$AX$10:$AX$16)),0,""))</f>
        <v/>
      </c>
      <c r="AM362" s="369" t="str">
        <f ca="1">IF($B362&lt;&gt;"PRC_RESID","",IF(AM$7=2005+OFFSET(COM_N_2012!$B$60,$AW362,SUMIF($B$10:$B$16,"NCAP_TLIFE",$AX$10:$AX$16)),0,""))</f>
        <v/>
      </c>
      <c r="AN362" s="369" t="str">
        <f ca="1">IF($B362&lt;&gt;"PRC_RESID","",IF(AN$7=2005+OFFSET(COM_N_2012!$B$60,$AW362,SUMIF($B$10:$B$16,"NCAP_TLIFE",$AX$10:$AX$16)),0,""))</f>
        <v/>
      </c>
      <c r="AO362" s="369" t="str">
        <f ca="1">IF($B362&lt;&gt;"PRC_RESID","",IF(AO$7=2005+OFFSET(COM_N_2012!$B$60,$AW362,SUMIF($B$10:$B$16,"NCAP_TLIFE",$AX$10:$AX$16)),0,""))</f>
        <v/>
      </c>
      <c r="AP362" s="369" t="str">
        <f ca="1">IF($B362&lt;&gt;"PRC_RESID","",IF(AP$7=2005+OFFSET(COM_N_2012!$B$60,$AW362,SUMIF($B$10:$B$16,"NCAP_TLIFE",$AX$10:$AX$16)),0,""))</f>
        <v/>
      </c>
      <c r="AQ362" s="369" t="str">
        <f ca="1">IF($B362&lt;&gt;"PRC_RESID","",IF(AQ$7=2005+OFFSET(COM_N_2012!$B$60,$AW362,SUMIF($B$10:$B$16,"NCAP_TLIFE",$AX$10:$AX$16)),0,""))</f>
        <v/>
      </c>
      <c r="AR362" s="369" t="str">
        <f ca="1">IF($B362&lt;&gt;"PRC_RESID","",IF(AR$7=2005+OFFSET(COM_N_2012!$B$60,$AW362,SUMIF($B$10:$B$16,"NCAP_TLIFE",$AX$10:$AX$16)),0,""))</f>
        <v/>
      </c>
      <c r="AS362" s="369" t="str">
        <f ca="1">IF($B362&lt;&gt;"PRC_RESID","",IF(AS$7=2005+OFFSET(COM_N_2012!$B$60,$AW362,SUMIF($B$10:$B$16,"NCAP_TLIFE",$AX$10:$AX$16)),0,""))</f>
        <v/>
      </c>
      <c r="AT362" s="369" t="str">
        <f ca="1">IF($B362&lt;&gt;"PRC_RESID","",IF(AT$7=2005+OFFSET(COM_N_2012!$B$60,$AW362,SUMIF($B$10:$B$16,"NCAP_TLIFE",$AX$10:$AX$16)),0,""))</f>
        <v/>
      </c>
      <c r="AU362" s="369" t="str">
        <f ca="1">IF($B362&lt;&gt;"PRC_RESID","",IF(AU$7=2005+OFFSET(COM_N_2012!$B$60,$AW362,SUMIF($B$10:$B$16,"NCAP_TLIFE",$AX$10:$AX$16)),0,""))</f>
        <v/>
      </c>
      <c r="AV362" s="304">
        <f>IF(AW361=COM_N_2012!$AK$121,AV361+1,AV361)</f>
        <v>6</v>
      </c>
      <c r="AW362" s="304">
        <f t="shared" si="51"/>
        <v>40</v>
      </c>
    </row>
    <row r="363" spans="1:49">
      <c r="A363" s="304" t="str">
        <f ca="1">IF(LEFT(OFFSET(COM_N_2012!$A$60,AW363,0),2)="\I","*","")</f>
        <v>*</v>
      </c>
      <c r="B363" s="369" t="str">
        <f t="shared" ca="1" si="49"/>
        <v/>
      </c>
      <c r="C363" s="369" t="str">
        <f ca="1">IF($A363="*","",OFFSET(COM_N_2012!$B$60,AW363,0))</f>
        <v/>
      </c>
      <c r="D363" s="369" t="str">
        <f t="shared" ca="1" si="50"/>
        <v/>
      </c>
      <c r="E363" s="369" t="str">
        <f t="shared" ca="1" si="50"/>
        <v/>
      </c>
      <c r="F363" s="369" t="str">
        <f t="shared" ca="1" si="50"/>
        <v/>
      </c>
      <c r="G363" s="369" t="str">
        <f t="shared" ca="1" si="50"/>
        <v/>
      </c>
      <c r="H363" s="369" t="str">
        <f t="shared" ca="1" si="50"/>
        <v/>
      </c>
      <c r="I363" s="370" t="str">
        <f t="shared" ca="1" si="50"/>
        <v/>
      </c>
      <c r="J363" s="391" t="str">
        <f ca="1">IF($A363="*","",OFFSET(COM_N_2012!$B$60,AW363,SUMIF($B$10:$B$16,B363,$AX$10:$AX$16)))</f>
        <v/>
      </c>
      <c r="K363" s="369" t="str">
        <f ca="1">IF($B363&lt;&gt;"PRC_RESID","",IF(K$7=2005+OFFSET(COM_N_2012!$B$60,$AW363,SUMIF($B$10:$B$16,"NCAP_TLIFE",$AX$10:$AX$16)),0,""))</f>
        <v/>
      </c>
      <c r="L363" s="369" t="str">
        <f ca="1">IF($B363&lt;&gt;"PRC_RESID","",IF(L$7=2005+OFFSET(COM_N_2012!$B$60,$AW363,SUMIF($B$10:$B$16,"NCAP_TLIFE",$AX$10:$AX$16)),0,""))</f>
        <v/>
      </c>
      <c r="M363" s="369" t="str">
        <f ca="1">IF($B363&lt;&gt;"PRC_RESID","",IF(M$7=2005+OFFSET(COM_N_2012!$B$60,$AW363,SUMIF($B$10:$B$16,"NCAP_TLIFE",$AX$10:$AX$16)),0,""))</f>
        <v/>
      </c>
      <c r="N363" s="369" t="str">
        <f ca="1">IF($B363&lt;&gt;"PRC_RESID","",IF(N$7=2005+OFFSET(COM_N_2012!$B$60,$AW363,SUMIF($B$10:$B$16,"NCAP_TLIFE",$AX$10:$AX$16)),0,""))</f>
        <v/>
      </c>
      <c r="O363" s="369" t="str">
        <f ca="1">IF($B363&lt;&gt;"PRC_RESID","",IF(O$7=2005+OFFSET(COM_N_2012!$B$60,$AW363,SUMIF($B$10:$B$16,"NCAP_TLIFE",$AX$10:$AX$16)),0,""))</f>
        <v/>
      </c>
      <c r="P363" s="369" t="str">
        <f ca="1">IF($B363&lt;&gt;"PRC_RESID","",IF(P$7=2005+OFFSET(COM_N_2012!$B$60,$AW363,SUMIF($B$10:$B$16,"NCAP_TLIFE",$AX$10:$AX$16)),0,""))</f>
        <v/>
      </c>
      <c r="Q363" s="369" t="str">
        <f ca="1">IF($B363&lt;&gt;"PRC_RESID","",IF(Q$7=2005+OFFSET(COM_N_2012!$B$60,$AW363,SUMIF($B$10:$B$16,"NCAP_TLIFE",$AX$10:$AX$16)),0,""))</f>
        <v/>
      </c>
      <c r="R363" s="369" t="str">
        <f ca="1">IF($B363&lt;&gt;"PRC_RESID","",IF(R$7=2005+OFFSET(COM_N_2012!$B$60,$AW363,SUMIF($B$10:$B$16,"NCAP_TLIFE",$AX$10:$AX$16)),0,""))</f>
        <v/>
      </c>
      <c r="S363" s="369" t="str">
        <f ca="1">IF($B363&lt;&gt;"PRC_RESID","",IF(S$7=2005+OFFSET(COM_N_2012!$B$60,$AW363,SUMIF($B$10:$B$16,"NCAP_TLIFE",$AX$10:$AX$16)),0,""))</f>
        <v/>
      </c>
      <c r="T363" s="369" t="str">
        <f ca="1">IF($B363&lt;&gt;"PRC_RESID","",IF(T$7=2005+OFFSET(COM_N_2012!$B$60,$AW363,SUMIF($B$10:$B$16,"NCAP_TLIFE",$AX$10:$AX$16)),0,""))</f>
        <v/>
      </c>
      <c r="U363" s="369" t="str">
        <f ca="1">IF($B363&lt;&gt;"PRC_RESID","",IF(U$7=2005+OFFSET(COM_N_2012!$B$60,$AW363,SUMIF($B$10:$B$16,"NCAP_TLIFE",$AX$10:$AX$16)),0,""))</f>
        <v/>
      </c>
      <c r="V363" s="369" t="str">
        <f ca="1">IF($B363&lt;&gt;"PRC_RESID","",IF(V$7=2005+OFFSET(COM_N_2012!$B$60,$AW363,SUMIF($B$10:$B$16,"NCAP_TLIFE",$AX$10:$AX$16)),0,""))</f>
        <v/>
      </c>
      <c r="W363" s="369" t="str">
        <f ca="1">IF($B363&lt;&gt;"PRC_RESID","",IF(W$7=2005+OFFSET(COM_N_2012!$B$60,$AW363,SUMIF($B$10:$B$16,"NCAP_TLIFE",$AX$10:$AX$16)),0,""))</f>
        <v/>
      </c>
      <c r="X363" s="369" t="str">
        <f ca="1">IF($B363&lt;&gt;"PRC_RESID","",IF(X$7=2005+OFFSET(COM_N_2012!$B$60,$AW363,SUMIF($B$10:$B$16,"NCAP_TLIFE",$AX$10:$AX$16)),0,""))</f>
        <v/>
      </c>
      <c r="Y363" s="369" t="str">
        <f ca="1">IF($B363&lt;&gt;"PRC_RESID","",IF(Y$7=2005+OFFSET(COM_N_2012!$B$60,$AW363,SUMIF($B$10:$B$16,"NCAP_TLIFE",$AX$10:$AX$16)),0,""))</f>
        <v/>
      </c>
      <c r="Z363" s="369" t="str">
        <f ca="1">IF($B363&lt;&gt;"PRC_RESID","",IF(Z$7=2005+OFFSET(COM_N_2012!$B$60,$AW363,SUMIF($B$10:$B$16,"NCAP_TLIFE",$AX$10:$AX$16)),0,""))</f>
        <v/>
      </c>
      <c r="AA363" s="369" t="str">
        <f ca="1">IF($B363&lt;&gt;"PRC_RESID","",IF(AA$7=2005+OFFSET(COM_N_2012!$B$60,$AW363,SUMIF($B$10:$B$16,"NCAP_TLIFE",$AX$10:$AX$16)),0,""))</f>
        <v/>
      </c>
      <c r="AB363" s="369" t="str">
        <f ca="1">IF($B363&lt;&gt;"PRC_RESID","",IF(AB$7=2005+OFFSET(COM_N_2012!$B$60,$AW363,SUMIF($B$10:$B$16,"NCAP_TLIFE",$AX$10:$AX$16)),0,""))</f>
        <v/>
      </c>
      <c r="AC363" s="369" t="str">
        <f ca="1">IF($B363&lt;&gt;"PRC_RESID","",IF(AC$7=2005+OFFSET(COM_N_2012!$B$60,$AW363,SUMIF($B$10:$B$16,"NCAP_TLIFE",$AX$10:$AX$16)),0,""))</f>
        <v/>
      </c>
      <c r="AD363" s="369" t="str">
        <f ca="1">IF($B363&lt;&gt;"PRC_RESID","",IF(AD$7=2005+OFFSET(COM_N_2012!$B$60,$AW363,SUMIF($B$10:$B$16,"NCAP_TLIFE",$AX$10:$AX$16)),0,""))</f>
        <v/>
      </c>
      <c r="AE363" s="369" t="str">
        <f ca="1">IF($B363&lt;&gt;"PRC_RESID","",IF(AE$7=2005+OFFSET(COM_N_2012!$B$60,$AW363,SUMIF($B$10:$B$16,"NCAP_TLIFE",$AX$10:$AX$16)),0,""))</f>
        <v/>
      </c>
      <c r="AF363" s="369" t="str">
        <f ca="1">IF($B363&lt;&gt;"PRC_RESID","",IF(AF$7=2005+OFFSET(COM_N_2012!$B$60,$AW363,SUMIF($B$10:$B$16,"NCAP_TLIFE",$AX$10:$AX$16)),0,""))</f>
        <v/>
      </c>
      <c r="AG363" s="369" t="str">
        <f ca="1">IF($B363&lt;&gt;"PRC_RESID","",IF(AG$7=2005+OFFSET(COM_N_2012!$B$60,$AW363,SUMIF($B$10:$B$16,"NCAP_TLIFE",$AX$10:$AX$16)),0,""))</f>
        <v/>
      </c>
      <c r="AH363" s="369" t="str">
        <f ca="1">IF($B363&lt;&gt;"PRC_RESID","",IF(AH$7=2005+OFFSET(COM_N_2012!$B$60,$AW363,SUMIF($B$10:$B$16,"NCAP_TLIFE",$AX$10:$AX$16)),0,""))</f>
        <v/>
      </c>
      <c r="AI363" s="369" t="str">
        <f ca="1">IF($B363&lt;&gt;"PRC_RESID","",IF(AI$7=2005+OFFSET(COM_N_2012!$B$60,$AW363,SUMIF($B$10:$B$16,"NCAP_TLIFE",$AX$10:$AX$16)),0,""))</f>
        <v/>
      </c>
      <c r="AJ363" s="369" t="str">
        <f ca="1">IF($B363&lt;&gt;"PRC_RESID","",IF(AJ$7=2005+OFFSET(COM_N_2012!$B$60,$AW363,SUMIF($B$10:$B$16,"NCAP_TLIFE",$AX$10:$AX$16)),0,""))</f>
        <v/>
      </c>
      <c r="AK363" s="369" t="str">
        <f ca="1">IF($B363&lt;&gt;"PRC_RESID","",IF(AK$7=2005+OFFSET(COM_N_2012!$B$60,$AW363,SUMIF($B$10:$B$16,"NCAP_TLIFE",$AX$10:$AX$16)),0,""))</f>
        <v/>
      </c>
      <c r="AL363" s="369" t="str">
        <f ca="1">IF($B363&lt;&gt;"PRC_RESID","",IF(AL$7=2005+OFFSET(COM_N_2012!$B$60,$AW363,SUMIF($B$10:$B$16,"NCAP_TLIFE",$AX$10:$AX$16)),0,""))</f>
        <v/>
      </c>
      <c r="AM363" s="369" t="str">
        <f ca="1">IF($B363&lt;&gt;"PRC_RESID","",IF(AM$7=2005+OFFSET(COM_N_2012!$B$60,$AW363,SUMIF($B$10:$B$16,"NCAP_TLIFE",$AX$10:$AX$16)),0,""))</f>
        <v/>
      </c>
      <c r="AN363" s="369" t="str">
        <f ca="1">IF($B363&lt;&gt;"PRC_RESID","",IF(AN$7=2005+OFFSET(COM_N_2012!$B$60,$AW363,SUMIF($B$10:$B$16,"NCAP_TLIFE",$AX$10:$AX$16)),0,""))</f>
        <v/>
      </c>
      <c r="AO363" s="369" t="str">
        <f ca="1">IF($B363&lt;&gt;"PRC_RESID","",IF(AO$7=2005+OFFSET(COM_N_2012!$B$60,$AW363,SUMIF($B$10:$B$16,"NCAP_TLIFE",$AX$10:$AX$16)),0,""))</f>
        <v/>
      </c>
      <c r="AP363" s="369" t="str">
        <f ca="1">IF($B363&lt;&gt;"PRC_RESID","",IF(AP$7=2005+OFFSET(COM_N_2012!$B$60,$AW363,SUMIF($B$10:$B$16,"NCAP_TLIFE",$AX$10:$AX$16)),0,""))</f>
        <v/>
      </c>
      <c r="AQ363" s="369" t="str">
        <f ca="1">IF($B363&lt;&gt;"PRC_RESID","",IF(AQ$7=2005+OFFSET(COM_N_2012!$B$60,$AW363,SUMIF($B$10:$B$16,"NCAP_TLIFE",$AX$10:$AX$16)),0,""))</f>
        <v/>
      </c>
      <c r="AR363" s="369" t="str">
        <f ca="1">IF($B363&lt;&gt;"PRC_RESID","",IF(AR$7=2005+OFFSET(COM_N_2012!$B$60,$AW363,SUMIF($B$10:$B$16,"NCAP_TLIFE",$AX$10:$AX$16)),0,""))</f>
        <v/>
      </c>
      <c r="AS363" s="369" t="str">
        <f ca="1">IF($B363&lt;&gt;"PRC_RESID","",IF(AS$7=2005+OFFSET(COM_N_2012!$B$60,$AW363,SUMIF($B$10:$B$16,"NCAP_TLIFE",$AX$10:$AX$16)),0,""))</f>
        <v/>
      </c>
      <c r="AT363" s="369" t="str">
        <f ca="1">IF($B363&lt;&gt;"PRC_RESID","",IF(AT$7=2005+OFFSET(COM_N_2012!$B$60,$AW363,SUMIF($B$10:$B$16,"NCAP_TLIFE",$AX$10:$AX$16)),0,""))</f>
        <v/>
      </c>
      <c r="AU363" s="369" t="str">
        <f ca="1">IF($B363&lt;&gt;"PRC_RESID","",IF(AU$7=2005+OFFSET(COM_N_2012!$B$60,$AW363,SUMIF($B$10:$B$16,"NCAP_TLIFE",$AX$10:$AX$16)),0,""))</f>
        <v/>
      </c>
      <c r="AV363" s="304">
        <f>IF(AW362=COM_N_2012!$AK$121,AV362+1,AV362)</f>
        <v>6</v>
      </c>
      <c r="AW363" s="304">
        <f t="shared" si="51"/>
        <v>41</v>
      </c>
    </row>
    <row r="364" spans="1:49">
      <c r="A364" s="304" t="str">
        <f ca="1">IF(LEFT(OFFSET(COM_N_2012!$A$60,AW364,0),2)="\I","*","")</f>
        <v/>
      </c>
      <c r="B364" s="369" t="str">
        <f t="shared" ca="1" si="49"/>
        <v>PRC_RESID</v>
      </c>
      <c r="C364" s="369" t="str">
        <f ca="1">IF($A364="*","",OFFSET(COM_N_2012!$B$60,AW364,0))</f>
        <v>CNGELCINC-E</v>
      </c>
      <c r="D364" s="369" t="str">
        <f t="shared" ca="1" si="50"/>
        <v>-</v>
      </c>
      <c r="E364" s="369" t="str">
        <f t="shared" ca="1" si="50"/>
        <v>-</v>
      </c>
      <c r="F364" s="369" t="str">
        <f t="shared" ca="1" si="50"/>
        <v>-</v>
      </c>
      <c r="G364" s="369" t="str">
        <f t="shared" ca="1" si="50"/>
        <v>-</v>
      </c>
      <c r="H364" s="369" t="str">
        <f t="shared" ca="1" si="50"/>
        <v>-</v>
      </c>
      <c r="I364" s="370">
        <f t="shared" ca="1" si="50"/>
        <v>0</v>
      </c>
      <c r="J364" s="391">
        <f ca="1">IF($A364="*","",OFFSET(COM_N_2012!$B$60,AW364,SUMIF($B$10:$B$16,B364,$AX$10:$AX$16)))</f>
        <v>0</v>
      </c>
      <c r="K364" s="369" t="str">
        <f ca="1">IF($B364&lt;&gt;"PRC_RESID","",IF(K$7=2005+OFFSET(COM_N_2012!$B$60,$AW364,SUMIF($B$10:$B$16,"NCAP_TLIFE",$AX$10:$AX$16)),0,""))</f>
        <v/>
      </c>
      <c r="L364" s="369">
        <f ca="1">IF($B364&lt;&gt;"PRC_RESID","",IF(L$7=2005+OFFSET(COM_N_2012!$B$60,$AW364,SUMIF($B$10:$B$16,"NCAP_TLIFE",$AX$10:$AX$16)),0,""))</f>
        <v>0</v>
      </c>
      <c r="M364" s="369" t="str">
        <f ca="1">IF($B364&lt;&gt;"PRC_RESID","",IF(M$7=2005+OFFSET(COM_N_2012!$B$60,$AW364,SUMIF($B$10:$B$16,"NCAP_TLIFE",$AX$10:$AX$16)),0,""))</f>
        <v/>
      </c>
      <c r="N364" s="369" t="str">
        <f ca="1">IF($B364&lt;&gt;"PRC_RESID","",IF(N$7=2005+OFFSET(COM_N_2012!$B$60,$AW364,SUMIF($B$10:$B$16,"NCAP_TLIFE",$AX$10:$AX$16)),0,""))</f>
        <v/>
      </c>
      <c r="O364" s="369" t="str">
        <f ca="1">IF($B364&lt;&gt;"PRC_RESID","",IF(O$7=2005+OFFSET(COM_N_2012!$B$60,$AW364,SUMIF($B$10:$B$16,"NCAP_TLIFE",$AX$10:$AX$16)),0,""))</f>
        <v/>
      </c>
      <c r="P364" s="369" t="str">
        <f ca="1">IF($B364&lt;&gt;"PRC_RESID","",IF(P$7=2005+OFFSET(COM_N_2012!$B$60,$AW364,SUMIF($B$10:$B$16,"NCAP_TLIFE",$AX$10:$AX$16)),0,""))</f>
        <v/>
      </c>
      <c r="Q364" s="369" t="str">
        <f ca="1">IF($B364&lt;&gt;"PRC_RESID","",IF(Q$7=2005+OFFSET(COM_N_2012!$B$60,$AW364,SUMIF($B$10:$B$16,"NCAP_TLIFE",$AX$10:$AX$16)),0,""))</f>
        <v/>
      </c>
      <c r="R364" s="369" t="str">
        <f ca="1">IF($B364&lt;&gt;"PRC_RESID","",IF(R$7=2005+OFFSET(COM_N_2012!$B$60,$AW364,SUMIF($B$10:$B$16,"NCAP_TLIFE",$AX$10:$AX$16)),0,""))</f>
        <v/>
      </c>
      <c r="S364" s="369" t="str">
        <f ca="1">IF($B364&lt;&gt;"PRC_RESID","",IF(S$7=2005+OFFSET(COM_N_2012!$B$60,$AW364,SUMIF($B$10:$B$16,"NCAP_TLIFE",$AX$10:$AX$16)),0,""))</f>
        <v/>
      </c>
      <c r="T364" s="369" t="str">
        <f ca="1">IF($B364&lt;&gt;"PRC_RESID","",IF(T$7=2005+OFFSET(COM_N_2012!$B$60,$AW364,SUMIF($B$10:$B$16,"NCAP_TLIFE",$AX$10:$AX$16)),0,""))</f>
        <v/>
      </c>
      <c r="U364" s="369" t="str">
        <f ca="1">IF($B364&lt;&gt;"PRC_RESID","",IF(U$7=2005+OFFSET(COM_N_2012!$B$60,$AW364,SUMIF($B$10:$B$16,"NCAP_TLIFE",$AX$10:$AX$16)),0,""))</f>
        <v/>
      </c>
      <c r="V364" s="369" t="str">
        <f ca="1">IF($B364&lt;&gt;"PRC_RESID","",IF(V$7=2005+OFFSET(COM_N_2012!$B$60,$AW364,SUMIF($B$10:$B$16,"NCAP_TLIFE",$AX$10:$AX$16)),0,""))</f>
        <v/>
      </c>
      <c r="W364" s="369" t="str">
        <f ca="1">IF($B364&lt;&gt;"PRC_RESID","",IF(W$7=2005+OFFSET(COM_N_2012!$B$60,$AW364,SUMIF($B$10:$B$16,"NCAP_TLIFE",$AX$10:$AX$16)),0,""))</f>
        <v/>
      </c>
      <c r="X364" s="369" t="str">
        <f ca="1">IF($B364&lt;&gt;"PRC_RESID","",IF(X$7=2005+OFFSET(COM_N_2012!$B$60,$AW364,SUMIF($B$10:$B$16,"NCAP_TLIFE",$AX$10:$AX$16)),0,""))</f>
        <v/>
      </c>
      <c r="Y364" s="369" t="str">
        <f ca="1">IF($B364&lt;&gt;"PRC_RESID","",IF(Y$7=2005+OFFSET(COM_N_2012!$B$60,$AW364,SUMIF($B$10:$B$16,"NCAP_TLIFE",$AX$10:$AX$16)),0,""))</f>
        <v/>
      </c>
      <c r="Z364" s="369" t="str">
        <f ca="1">IF($B364&lt;&gt;"PRC_RESID","",IF(Z$7=2005+OFFSET(COM_N_2012!$B$60,$AW364,SUMIF($B$10:$B$16,"NCAP_TLIFE",$AX$10:$AX$16)),0,""))</f>
        <v/>
      </c>
      <c r="AA364" s="369" t="str">
        <f ca="1">IF($B364&lt;&gt;"PRC_RESID","",IF(AA$7=2005+OFFSET(COM_N_2012!$B$60,$AW364,SUMIF($B$10:$B$16,"NCAP_TLIFE",$AX$10:$AX$16)),0,""))</f>
        <v/>
      </c>
      <c r="AB364" s="369" t="str">
        <f ca="1">IF($B364&lt;&gt;"PRC_RESID","",IF(AB$7=2005+OFFSET(COM_N_2012!$B$60,$AW364,SUMIF($B$10:$B$16,"NCAP_TLIFE",$AX$10:$AX$16)),0,""))</f>
        <v/>
      </c>
      <c r="AC364" s="369" t="str">
        <f ca="1">IF($B364&lt;&gt;"PRC_RESID","",IF(AC$7=2005+OFFSET(COM_N_2012!$B$60,$AW364,SUMIF($B$10:$B$16,"NCAP_TLIFE",$AX$10:$AX$16)),0,""))</f>
        <v/>
      </c>
      <c r="AD364" s="369" t="str">
        <f ca="1">IF($B364&lt;&gt;"PRC_RESID","",IF(AD$7=2005+OFFSET(COM_N_2012!$B$60,$AW364,SUMIF($B$10:$B$16,"NCAP_TLIFE",$AX$10:$AX$16)),0,""))</f>
        <v/>
      </c>
      <c r="AE364" s="369" t="str">
        <f ca="1">IF($B364&lt;&gt;"PRC_RESID","",IF(AE$7=2005+OFFSET(COM_N_2012!$B$60,$AW364,SUMIF($B$10:$B$16,"NCAP_TLIFE",$AX$10:$AX$16)),0,""))</f>
        <v/>
      </c>
      <c r="AF364" s="369" t="str">
        <f ca="1">IF($B364&lt;&gt;"PRC_RESID","",IF(AF$7=2005+OFFSET(COM_N_2012!$B$60,$AW364,SUMIF($B$10:$B$16,"NCAP_TLIFE",$AX$10:$AX$16)),0,""))</f>
        <v/>
      </c>
      <c r="AG364" s="369" t="str">
        <f ca="1">IF($B364&lt;&gt;"PRC_RESID","",IF(AG$7=2005+OFFSET(COM_N_2012!$B$60,$AW364,SUMIF($B$10:$B$16,"NCAP_TLIFE",$AX$10:$AX$16)),0,""))</f>
        <v/>
      </c>
      <c r="AH364" s="369" t="str">
        <f ca="1">IF($B364&lt;&gt;"PRC_RESID","",IF(AH$7=2005+OFFSET(COM_N_2012!$B$60,$AW364,SUMIF($B$10:$B$16,"NCAP_TLIFE",$AX$10:$AX$16)),0,""))</f>
        <v/>
      </c>
      <c r="AI364" s="369" t="str">
        <f ca="1">IF($B364&lt;&gt;"PRC_RESID","",IF(AI$7=2005+OFFSET(COM_N_2012!$B$60,$AW364,SUMIF($B$10:$B$16,"NCAP_TLIFE",$AX$10:$AX$16)),0,""))</f>
        <v/>
      </c>
      <c r="AJ364" s="369" t="str">
        <f ca="1">IF($B364&lt;&gt;"PRC_RESID","",IF(AJ$7=2005+OFFSET(COM_N_2012!$B$60,$AW364,SUMIF($B$10:$B$16,"NCAP_TLIFE",$AX$10:$AX$16)),0,""))</f>
        <v/>
      </c>
      <c r="AK364" s="369" t="str">
        <f ca="1">IF($B364&lt;&gt;"PRC_RESID","",IF(AK$7=2005+OFFSET(COM_N_2012!$B$60,$AW364,SUMIF($B$10:$B$16,"NCAP_TLIFE",$AX$10:$AX$16)),0,""))</f>
        <v/>
      </c>
      <c r="AL364" s="369" t="str">
        <f ca="1">IF($B364&lt;&gt;"PRC_RESID","",IF(AL$7=2005+OFFSET(COM_N_2012!$B$60,$AW364,SUMIF($B$10:$B$16,"NCAP_TLIFE",$AX$10:$AX$16)),0,""))</f>
        <v/>
      </c>
      <c r="AM364" s="369" t="str">
        <f ca="1">IF($B364&lt;&gt;"PRC_RESID","",IF(AM$7=2005+OFFSET(COM_N_2012!$B$60,$AW364,SUMIF($B$10:$B$16,"NCAP_TLIFE",$AX$10:$AX$16)),0,""))</f>
        <v/>
      </c>
      <c r="AN364" s="369" t="str">
        <f ca="1">IF($B364&lt;&gt;"PRC_RESID","",IF(AN$7=2005+OFFSET(COM_N_2012!$B$60,$AW364,SUMIF($B$10:$B$16,"NCAP_TLIFE",$AX$10:$AX$16)),0,""))</f>
        <v/>
      </c>
      <c r="AO364" s="369" t="str">
        <f ca="1">IF($B364&lt;&gt;"PRC_RESID","",IF(AO$7=2005+OFFSET(COM_N_2012!$B$60,$AW364,SUMIF($B$10:$B$16,"NCAP_TLIFE",$AX$10:$AX$16)),0,""))</f>
        <v/>
      </c>
      <c r="AP364" s="369" t="str">
        <f ca="1">IF($B364&lt;&gt;"PRC_RESID","",IF(AP$7=2005+OFFSET(COM_N_2012!$B$60,$AW364,SUMIF($B$10:$B$16,"NCAP_TLIFE",$AX$10:$AX$16)),0,""))</f>
        <v/>
      </c>
      <c r="AQ364" s="369" t="str">
        <f ca="1">IF($B364&lt;&gt;"PRC_RESID","",IF(AQ$7=2005+OFFSET(COM_N_2012!$B$60,$AW364,SUMIF($B$10:$B$16,"NCAP_TLIFE",$AX$10:$AX$16)),0,""))</f>
        <v/>
      </c>
      <c r="AR364" s="369" t="str">
        <f ca="1">IF($B364&lt;&gt;"PRC_RESID","",IF(AR$7=2005+OFFSET(COM_N_2012!$B$60,$AW364,SUMIF($B$10:$B$16,"NCAP_TLIFE",$AX$10:$AX$16)),0,""))</f>
        <v/>
      </c>
      <c r="AS364" s="369" t="str">
        <f ca="1">IF($B364&lt;&gt;"PRC_RESID","",IF(AS$7=2005+OFFSET(COM_N_2012!$B$60,$AW364,SUMIF($B$10:$B$16,"NCAP_TLIFE",$AX$10:$AX$16)),0,""))</f>
        <v/>
      </c>
      <c r="AT364" s="369" t="str">
        <f ca="1">IF($B364&lt;&gt;"PRC_RESID","",IF(AT$7=2005+OFFSET(COM_N_2012!$B$60,$AW364,SUMIF($B$10:$B$16,"NCAP_TLIFE",$AX$10:$AX$16)),0,""))</f>
        <v/>
      </c>
      <c r="AU364" s="369" t="str">
        <f ca="1">IF($B364&lt;&gt;"PRC_RESID","",IF(AU$7=2005+OFFSET(COM_N_2012!$B$60,$AW364,SUMIF($B$10:$B$16,"NCAP_TLIFE",$AX$10:$AX$16)),0,""))</f>
        <v/>
      </c>
      <c r="AV364" s="304">
        <f>IF(AW363=COM_N_2012!$AK$121,AV363+1,AV363)</f>
        <v>6</v>
      </c>
      <c r="AW364" s="304">
        <f t="shared" si="51"/>
        <v>42</v>
      </c>
    </row>
    <row r="365" spans="1:49">
      <c r="A365" s="304" t="str">
        <f ca="1">IF(LEFT(OFFSET(COM_N_2012!$A$60,AW365,0),2)="\I","*","")</f>
        <v/>
      </c>
      <c r="B365" s="369" t="str">
        <f t="shared" ca="1" si="49"/>
        <v>PRC_RESID</v>
      </c>
      <c r="C365" s="369" t="str">
        <f ca="1">IF($A365="*","",OFFSET(COM_N_2012!$B$60,AW365,0))</f>
        <v>CNGELCHAL-E</v>
      </c>
      <c r="D365" s="369" t="str">
        <f t="shared" ca="1" si="50"/>
        <v>-</v>
      </c>
      <c r="E365" s="369" t="str">
        <f t="shared" ca="1" si="50"/>
        <v>-</v>
      </c>
      <c r="F365" s="369" t="str">
        <f t="shared" ca="1" si="50"/>
        <v>-</v>
      </c>
      <c r="G365" s="369" t="str">
        <f t="shared" ca="1" si="50"/>
        <v>-</v>
      </c>
      <c r="H365" s="369" t="str">
        <f t="shared" ca="1" si="50"/>
        <v>-</v>
      </c>
      <c r="I365" s="370">
        <f t="shared" ca="1" si="50"/>
        <v>0</v>
      </c>
      <c r="J365" s="391">
        <f ca="1">IF($A365="*","",OFFSET(COM_N_2012!$B$60,AW365,SUMIF($B$10:$B$16,B365,$AX$10:$AX$16)))</f>
        <v>0</v>
      </c>
      <c r="K365" s="369" t="str">
        <f ca="1">IF($B365&lt;&gt;"PRC_RESID","",IF(K$7=2005+OFFSET(COM_N_2012!$B$60,$AW365,SUMIF($B$10:$B$16,"NCAP_TLIFE",$AX$10:$AX$16)),0,""))</f>
        <v/>
      </c>
      <c r="L365" s="369" t="str">
        <f ca="1">IF($B365&lt;&gt;"PRC_RESID","",IF(L$7=2005+OFFSET(COM_N_2012!$B$60,$AW365,SUMIF($B$10:$B$16,"NCAP_TLIFE",$AX$10:$AX$16)),0,""))</f>
        <v/>
      </c>
      <c r="M365" s="369">
        <f ca="1">IF($B365&lt;&gt;"PRC_RESID","",IF(M$7=2005+OFFSET(COM_N_2012!$B$60,$AW365,SUMIF($B$10:$B$16,"NCAP_TLIFE",$AX$10:$AX$16)),0,""))</f>
        <v>0</v>
      </c>
      <c r="N365" s="369" t="str">
        <f ca="1">IF($B365&lt;&gt;"PRC_RESID","",IF(N$7=2005+OFFSET(COM_N_2012!$B$60,$AW365,SUMIF($B$10:$B$16,"NCAP_TLIFE",$AX$10:$AX$16)),0,""))</f>
        <v/>
      </c>
      <c r="O365" s="369" t="str">
        <f ca="1">IF($B365&lt;&gt;"PRC_RESID","",IF(O$7=2005+OFFSET(COM_N_2012!$B$60,$AW365,SUMIF($B$10:$B$16,"NCAP_TLIFE",$AX$10:$AX$16)),0,""))</f>
        <v/>
      </c>
      <c r="P365" s="369" t="str">
        <f ca="1">IF($B365&lt;&gt;"PRC_RESID","",IF(P$7=2005+OFFSET(COM_N_2012!$B$60,$AW365,SUMIF($B$10:$B$16,"NCAP_TLIFE",$AX$10:$AX$16)),0,""))</f>
        <v/>
      </c>
      <c r="Q365" s="369" t="str">
        <f ca="1">IF($B365&lt;&gt;"PRC_RESID","",IF(Q$7=2005+OFFSET(COM_N_2012!$B$60,$AW365,SUMIF($B$10:$B$16,"NCAP_TLIFE",$AX$10:$AX$16)),0,""))</f>
        <v/>
      </c>
      <c r="R365" s="369" t="str">
        <f ca="1">IF($B365&lt;&gt;"PRC_RESID","",IF(R$7=2005+OFFSET(COM_N_2012!$B$60,$AW365,SUMIF($B$10:$B$16,"NCAP_TLIFE",$AX$10:$AX$16)),0,""))</f>
        <v/>
      </c>
      <c r="S365" s="369" t="str">
        <f ca="1">IF($B365&lt;&gt;"PRC_RESID","",IF(S$7=2005+OFFSET(COM_N_2012!$B$60,$AW365,SUMIF($B$10:$B$16,"NCAP_TLIFE",$AX$10:$AX$16)),0,""))</f>
        <v/>
      </c>
      <c r="T365" s="369" t="str">
        <f ca="1">IF($B365&lt;&gt;"PRC_RESID","",IF(T$7=2005+OFFSET(COM_N_2012!$B$60,$AW365,SUMIF($B$10:$B$16,"NCAP_TLIFE",$AX$10:$AX$16)),0,""))</f>
        <v/>
      </c>
      <c r="U365" s="369" t="str">
        <f ca="1">IF($B365&lt;&gt;"PRC_RESID","",IF(U$7=2005+OFFSET(COM_N_2012!$B$60,$AW365,SUMIF($B$10:$B$16,"NCAP_TLIFE",$AX$10:$AX$16)),0,""))</f>
        <v/>
      </c>
      <c r="V365" s="369" t="str">
        <f ca="1">IF($B365&lt;&gt;"PRC_RESID","",IF(V$7=2005+OFFSET(COM_N_2012!$B$60,$AW365,SUMIF($B$10:$B$16,"NCAP_TLIFE",$AX$10:$AX$16)),0,""))</f>
        <v/>
      </c>
      <c r="W365" s="369" t="str">
        <f ca="1">IF($B365&lt;&gt;"PRC_RESID","",IF(W$7=2005+OFFSET(COM_N_2012!$B$60,$AW365,SUMIF($B$10:$B$16,"NCAP_TLIFE",$AX$10:$AX$16)),0,""))</f>
        <v/>
      </c>
      <c r="X365" s="369" t="str">
        <f ca="1">IF($B365&lt;&gt;"PRC_RESID","",IF(X$7=2005+OFFSET(COM_N_2012!$B$60,$AW365,SUMIF($B$10:$B$16,"NCAP_TLIFE",$AX$10:$AX$16)),0,""))</f>
        <v/>
      </c>
      <c r="Y365" s="369" t="str">
        <f ca="1">IF($B365&lt;&gt;"PRC_RESID","",IF(Y$7=2005+OFFSET(COM_N_2012!$B$60,$AW365,SUMIF($B$10:$B$16,"NCAP_TLIFE",$AX$10:$AX$16)),0,""))</f>
        <v/>
      </c>
      <c r="Z365" s="369" t="str">
        <f ca="1">IF($B365&lt;&gt;"PRC_RESID","",IF(Z$7=2005+OFFSET(COM_N_2012!$B$60,$AW365,SUMIF($B$10:$B$16,"NCAP_TLIFE",$AX$10:$AX$16)),0,""))</f>
        <v/>
      </c>
      <c r="AA365" s="369" t="str">
        <f ca="1">IF($B365&lt;&gt;"PRC_RESID","",IF(AA$7=2005+OFFSET(COM_N_2012!$B$60,$AW365,SUMIF($B$10:$B$16,"NCAP_TLIFE",$AX$10:$AX$16)),0,""))</f>
        <v/>
      </c>
      <c r="AB365" s="369" t="str">
        <f ca="1">IF($B365&lt;&gt;"PRC_RESID","",IF(AB$7=2005+OFFSET(COM_N_2012!$B$60,$AW365,SUMIF($B$10:$B$16,"NCAP_TLIFE",$AX$10:$AX$16)),0,""))</f>
        <v/>
      </c>
      <c r="AC365" s="369" t="str">
        <f ca="1">IF($B365&lt;&gt;"PRC_RESID","",IF(AC$7=2005+OFFSET(COM_N_2012!$B$60,$AW365,SUMIF($B$10:$B$16,"NCAP_TLIFE",$AX$10:$AX$16)),0,""))</f>
        <v/>
      </c>
      <c r="AD365" s="369" t="str">
        <f ca="1">IF($B365&lt;&gt;"PRC_RESID","",IF(AD$7=2005+OFFSET(COM_N_2012!$B$60,$AW365,SUMIF($B$10:$B$16,"NCAP_TLIFE",$AX$10:$AX$16)),0,""))</f>
        <v/>
      </c>
      <c r="AE365" s="369" t="str">
        <f ca="1">IF($B365&lt;&gt;"PRC_RESID","",IF(AE$7=2005+OFFSET(COM_N_2012!$B$60,$AW365,SUMIF($B$10:$B$16,"NCAP_TLIFE",$AX$10:$AX$16)),0,""))</f>
        <v/>
      </c>
      <c r="AF365" s="369" t="str">
        <f ca="1">IF($B365&lt;&gt;"PRC_RESID","",IF(AF$7=2005+OFFSET(COM_N_2012!$B$60,$AW365,SUMIF($B$10:$B$16,"NCAP_TLIFE",$AX$10:$AX$16)),0,""))</f>
        <v/>
      </c>
      <c r="AG365" s="369" t="str">
        <f ca="1">IF($B365&lt;&gt;"PRC_RESID","",IF(AG$7=2005+OFFSET(COM_N_2012!$B$60,$AW365,SUMIF($B$10:$B$16,"NCAP_TLIFE",$AX$10:$AX$16)),0,""))</f>
        <v/>
      </c>
      <c r="AH365" s="369" t="str">
        <f ca="1">IF($B365&lt;&gt;"PRC_RESID","",IF(AH$7=2005+OFFSET(COM_N_2012!$B$60,$AW365,SUMIF($B$10:$B$16,"NCAP_TLIFE",$AX$10:$AX$16)),0,""))</f>
        <v/>
      </c>
      <c r="AI365" s="369" t="str">
        <f ca="1">IF($B365&lt;&gt;"PRC_RESID","",IF(AI$7=2005+OFFSET(COM_N_2012!$B$60,$AW365,SUMIF($B$10:$B$16,"NCAP_TLIFE",$AX$10:$AX$16)),0,""))</f>
        <v/>
      </c>
      <c r="AJ365" s="369" t="str">
        <f ca="1">IF($B365&lt;&gt;"PRC_RESID","",IF(AJ$7=2005+OFFSET(COM_N_2012!$B$60,$AW365,SUMIF($B$10:$B$16,"NCAP_TLIFE",$AX$10:$AX$16)),0,""))</f>
        <v/>
      </c>
      <c r="AK365" s="369" t="str">
        <f ca="1">IF($B365&lt;&gt;"PRC_RESID","",IF(AK$7=2005+OFFSET(COM_N_2012!$B$60,$AW365,SUMIF($B$10:$B$16,"NCAP_TLIFE",$AX$10:$AX$16)),0,""))</f>
        <v/>
      </c>
      <c r="AL365" s="369" t="str">
        <f ca="1">IF($B365&lt;&gt;"PRC_RESID","",IF(AL$7=2005+OFFSET(COM_N_2012!$B$60,$AW365,SUMIF($B$10:$B$16,"NCAP_TLIFE",$AX$10:$AX$16)),0,""))</f>
        <v/>
      </c>
      <c r="AM365" s="369" t="str">
        <f ca="1">IF($B365&lt;&gt;"PRC_RESID","",IF(AM$7=2005+OFFSET(COM_N_2012!$B$60,$AW365,SUMIF($B$10:$B$16,"NCAP_TLIFE",$AX$10:$AX$16)),0,""))</f>
        <v/>
      </c>
      <c r="AN365" s="369" t="str">
        <f ca="1">IF($B365&lt;&gt;"PRC_RESID","",IF(AN$7=2005+OFFSET(COM_N_2012!$B$60,$AW365,SUMIF($B$10:$B$16,"NCAP_TLIFE",$AX$10:$AX$16)),0,""))</f>
        <v/>
      </c>
      <c r="AO365" s="369" t="str">
        <f ca="1">IF($B365&lt;&gt;"PRC_RESID","",IF(AO$7=2005+OFFSET(COM_N_2012!$B$60,$AW365,SUMIF($B$10:$B$16,"NCAP_TLIFE",$AX$10:$AX$16)),0,""))</f>
        <v/>
      </c>
      <c r="AP365" s="369" t="str">
        <f ca="1">IF($B365&lt;&gt;"PRC_RESID","",IF(AP$7=2005+OFFSET(COM_N_2012!$B$60,$AW365,SUMIF($B$10:$B$16,"NCAP_TLIFE",$AX$10:$AX$16)),0,""))</f>
        <v/>
      </c>
      <c r="AQ365" s="369" t="str">
        <f ca="1">IF($B365&lt;&gt;"PRC_RESID","",IF(AQ$7=2005+OFFSET(COM_N_2012!$B$60,$AW365,SUMIF($B$10:$B$16,"NCAP_TLIFE",$AX$10:$AX$16)),0,""))</f>
        <v/>
      </c>
      <c r="AR365" s="369" t="str">
        <f ca="1">IF($B365&lt;&gt;"PRC_RESID","",IF(AR$7=2005+OFFSET(COM_N_2012!$B$60,$AW365,SUMIF($B$10:$B$16,"NCAP_TLIFE",$AX$10:$AX$16)),0,""))</f>
        <v/>
      </c>
      <c r="AS365" s="369" t="str">
        <f ca="1">IF($B365&lt;&gt;"PRC_RESID","",IF(AS$7=2005+OFFSET(COM_N_2012!$B$60,$AW365,SUMIF($B$10:$B$16,"NCAP_TLIFE",$AX$10:$AX$16)),0,""))</f>
        <v/>
      </c>
      <c r="AT365" s="369" t="str">
        <f ca="1">IF($B365&lt;&gt;"PRC_RESID","",IF(AT$7=2005+OFFSET(COM_N_2012!$B$60,$AW365,SUMIF($B$10:$B$16,"NCAP_TLIFE",$AX$10:$AX$16)),0,""))</f>
        <v/>
      </c>
      <c r="AU365" s="369" t="str">
        <f ca="1">IF($B365&lt;&gt;"PRC_RESID","",IF(AU$7=2005+OFFSET(COM_N_2012!$B$60,$AW365,SUMIF($B$10:$B$16,"NCAP_TLIFE",$AX$10:$AX$16)),0,""))</f>
        <v/>
      </c>
      <c r="AV365" s="304">
        <f>IF(AW364=COM_N_2012!$AK$121,AV364+1,AV364)</f>
        <v>6</v>
      </c>
      <c r="AW365" s="304">
        <f t="shared" si="51"/>
        <v>43</v>
      </c>
    </row>
    <row r="366" spans="1:49">
      <c r="A366" s="304" t="str">
        <f ca="1">IF(LEFT(OFFSET(COM_N_2012!$A$60,AW366,0),2)="\I","*","")</f>
        <v/>
      </c>
      <c r="B366" s="369" t="str">
        <f t="shared" ca="1" si="49"/>
        <v>PRC_RESID</v>
      </c>
      <c r="C366" s="369" t="str">
        <f ca="1">IF($A366="*","",OFFSET(COM_N_2012!$B$60,AW366,0))</f>
        <v>CNGELCHPM-E</v>
      </c>
      <c r="D366" s="369" t="str">
        <f t="shared" ca="1" si="50"/>
        <v>-</v>
      </c>
      <c r="E366" s="369" t="str">
        <f t="shared" ca="1" si="50"/>
        <v>-</v>
      </c>
      <c r="F366" s="369" t="str">
        <f t="shared" ca="1" si="50"/>
        <v>-</v>
      </c>
      <c r="G366" s="369" t="str">
        <f t="shared" ca="1" si="50"/>
        <v>-</v>
      </c>
      <c r="H366" s="369" t="str">
        <f t="shared" ca="1" si="50"/>
        <v>-</v>
      </c>
      <c r="I366" s="370">
        <f t="shared" ca="1" si="50"/>
        <v>0</v>
      </c>
      <c r="J366" s="391">
        <f ca="1">IF($A366="*","",OFFSET(COM_N_2012!$B$60,AW366,SUMIF($B$10:$B$16,B366,$AX$10:$AX$16)))</f>
        <v>0</v>
      </c>
      <c r="K366" s="369" t="str">
        <f ca="1">IF($B366&lt;&gt;"PRC_RESID","",IF(K$7=2005+OFFSET(COM_N_2012!$B$60,$AW366,SUMIF($B$10:$B$16,"NCAP_TLIFE",$AX$10:$AX$16)),0,""))</f>
        <v/>
      </c>
      <c r="L366" s="369" t="str">
        <f ca="1">IF($B366&lt;&gt;"PRC_RESID","",IF(L$7=2005+OFFSET(COM_N_2012!$B$60,$AW366,SUMIF($B$10:$B$16,"NCAP_TLIFE",$AX$10:$AX$16)),0,""))</f>
        <v/>
      </c>
      <c r="M366" s="369" t="str">
        <f ca="1">IF($B366&lt;&gt;"PRC_RESID","",IF(M$7=2005+OFFSET(COM_N_2012!$B$60,$AW366,SUMIF($B$10:$B$16,"NCAP_TLIFE",$AX$10:$AX$16)),0,""))</f>
        <v/>
      </c>
      <c r="N366" s="369">
        <f ca="1">IF($B366&lt;&gt;"PRC_RESID","",IF(N$7=2005+OFFSET(COM_N_2012!$B$60,$AW366,SUMIF($B$10:$B$16,"NCAP_TLIFE",$AX$10:$AX$16)),0,""))</f>
        <v>0</v>
      </c>
      <c r="O366" s="369" t="str">
        <f ca="1">IF($B366&lt;&gt;"PRC_RESID","",IF(O$7=2005+OFFSET(COM_N_2012!$B$60,$AW366,SUMIF($B$10:$B$16,"NCAP_TLIFE",$AX$10:$AX$16)),0,""))</f>
        <v/>
      </c>
      <c r="P366" s="369" t="str">
        <f ca="1">IF($B366&lt;&gt;"PRC_RESID","",IF(P$7=2005+OFFSET(COM_N_2012!$B$60,$AW366,SUMIF($B$10:$B$16,"NCAP_TLIFE",$AX$10:$AX$16)),0,""))</f>
        <v/>
      </c>
      <c r="Q366" s="369" t="str">
        <f ca="1">IF($B366&lt;&gt;"PRC_RESID","",IF(Q$7=2005+OFFSET(COM_N_2012!$B$60,$AW366,SUMIF($B$10:$B$16,"NCAP_TLIFE",$AX$10:$AX$16)),0,""))</f>
        <v/>
      </c>
      <c r="R366" s="369" t="str">
        <f ca="1">IF($B366&lt;&gt;"PRC_RESID","",IF(R$7=2005+OFFSET(COM_N_2012!$B$60,$AW366,SUMIF($B$10:$B$16,"NCAP_TLIFE",$AX$10:$AX$16)),0,""))</f>
        <v/>
      </c>
      <c r="S366" s="369" t="str">
        <f ca="1">IF($B366&lt;&gt;"PRC_RESID","",IF(S$7=2005+OFFSET(COM_N_2012!$B$60,$AW366,SUMIF($B$10:$B$16,"NCAP_TLIFE",$AX$10:$AX$16)),0,""))</f>
        <v/>
      </c>
      <c r="T366" s="369" t="str">
        <f ca="1">IF($B366&lt;&gt;"PRC_RESID","",IF(T$7=2005+OFFSET(COM_N_2012!$B$60,$AW366,SUMIF($B$10:$B$16,"NCAP_TLIFE",$AX$10:$AX$16)),0,""))</f>
        <v/>
      </c>
      <c r="U366" s="369" t="str">
        <f ca="1">IF($B366&lt;&gt;"PRC_RESID","",IF(U$7=2005+OFFSET(COM_N_2012!$B$60,$AW366,SUMIF($B$10:$B$16,"NCAP_TLIFE",$AX$10:$AX$16)),0,""))</f>
        <v/>
      </c>
      <c r="V366" s="369" t="str">
        <f ca="1">IF($B366&lt;&gt;"PRC_RESID","",IF(V$7=2005+OFFSET(COM_N_2012!$B$60,$AW366,SUMIF($B$10:$B$16,"NCAP_TLIFE",$AX$10:$AX$16)),0,""))</f>
        <v/>
      </c>
      <c r="W366" s="369" t="str">
        <f ca="1">IF($B366&lt;&gt;"PRC_RESID","",IF(W$7=2005+OFFSET(COM_N_2012!$B$60,$AW366,SUMIF($B$10:$B$16,"NCAP_TLIFE",$AX$10:$AX$16)),0,""))</f>
        <v/>
      </c>
      <c r="X366" s="369" t="str">
        <f ca="1">IF($B366&lt;&gt;"PRC_RESID","",IF(X$7=2005+OFFSET(COM_N_2012!$B$60,$AW366,SUMIF($B$10:$B$16,"NCAP_TLIFE",$AX$10:$AX$16)),0,""))</f>
        <v/>
      </c>
      <c r="Y366" s="369" t="str">
        <f ca="1">IF($B366&lt;&gt;"PRC_RESID","",IF(Y$7=2005+OFFSET(COM_N_2012!$B$60,$AW366,SUMIF($B$10:$B$16,"NCAP_TLIFE",$AX$10:$AX$16)),0,""))</f>
        <v/>
      </c>
      <c r="Z366" s="369" t="str">
        <f ca="1">IF($B366&lt;&gt;"PRC_RESID","",IF(Z$7=2005+OFFSET(COM_N_2012!$B$60,$AW366,SUMIF($B$10:$B$16,"NCAP_TLIFE",$AX$10:$AX$16)),0,""))</f>
        <v/>
      </c>
      <c r="AA366" s="369" t="str">
        <f ca="1">IF($B366&lt;&gt;"PRC_RESID","",IF(AA$7=2005+OFFSET(COM_N_2012!$B$60,$AW366,SUMIF($B$10:$B$16,"NCAP_TLIFE",$AX$10:$AX$16)),0,""))</f>
        <v/>
      </c>
      <c r="AB366" s="369" t="str">
        <f ca="1">IF($B366&lt;&gt;"PRC_RESID","",IF(AB$7=2005+OFFSET(COM_N_2012!$B$60,$AW366,SUMIF($B$10:$B$16,"NCAP_TLIFE",$AX$10:$AX$16)),0,""))</f>
        <v/>
      </c>
      <c r="AC366" s="369" t="str">
        <f ca="1">IF($B366&lt;&gt;"PRC_RESID","",IF(AC$7=2005+OFFSET(COM_N_2012!$B$60,$AW366,SUMIF($B$10:$B$16,"NCAP_TLIFE",$AX$10:$AX$16)),0,""))</f>
        <v/>
      </c>
      <c r="AD366" s="369" t="str">
        <f ca="1">IF($B366&lt;&gt;"PRC_RESID","",IF(AD$7=2005+OFFSET(COM_N_2012!$B$60,$AW366,SUMIF($B$10:$B$16,"NCAP_TLIFE",$AX$10:$AX$16)),0,""))</f>
        <v/>
      </c>
      <c r="AE366" s="369" t="str">
        <f ca="1">IF($B366&lt;&gt;"PRC_RESID","",IF(AE$7=2005+OFFSET(COM_N_2012!$B$60,$AW366,SUMIF($B$10:$B$16,"NCAP_TLIFE",$AX$10:$AX$16)),0,""))</f>
        <v/>
      </c>
      <c r="AF366" s="369" t="str">
        <f ca="1">IF($B366&lt;&gt;"PRC_RESID","",IF(AF$7=2005+OFFSET(COM_N_2012!$B$60,$AW366,SUMIF($B$10:$B$16,"NCAP_TLIFE",$AX$10:$AX$16)),0,""))</f>
        <v/>
      </c>
      <c r="AG366" s="369" t="str">
        <f ca="1">IF($B366&lt;&gt;"PRC_RESID","",IF(AG$7=2005+OFFSET(COM_N_2012!$B$60,$AW366,SUMIF($B$10:$B$16,"NCAP_TLIFE",$AX$10:$AX$16)),0,""))</f>
        <v/>
      </c>
      <c r="AH366" s="369" t="str">
        <f ca="1">IF($B366&lt;&gt;"PRC_RESID","",IF(AH$7=2005+OFFSET(COM_N_2012!$B$60,$AW366,SUMIF($B$10:$B$16,"NCAP_TLIFE",$AX$10:$AX$16)),0,""))</f>
        <v/>
      </c>
      <c r="AI366" s="369" t="str">
        <f ca="1">IF($B366&lt;&gt;"PRC_RESID","",IF(AI$7=2005+OFFSET(COM_N_2012!$B$60,$AW366,SUMIF($B$10:$B$16,"NCAP_TLIFE",$AX$10:$AX$16)),0,""))</f>
        <v/>
      </c>
      <c r="AJ366" s="369" t="str">
        <f ca="1">IF($B366&lt;&gt;"PRC_RESID","",IF(AJ$7=2005+OFFSET(COM_N_2012!$B$60,$AW366,SUMIF($B$10:$B$16,"NCAP_TLIFE",$AX$10:$AX$16)),0,""))</f>
        <v/>
      </c>
      <c r="AK366" s="369" t="str">
        <f ca="1">IF($B366&lt;&gt;"PRC_RESID","",IF(AK$7=2005+OFFSET(COM_N_2012!$B$60,$AW366,SUMIF($B$10:$B$16,"NCAP_TLIFE",$AX$10:$AX$16)),0,""))</f>
        <v/>
      </c>
      <c r="AL366" s="369" t="str">
        <f ca="1">IF($B366&lt;&gt;"PRC_RESID","",IF(AL$7=2005+OFFSET(COM_N_2012!$B$60,$AW366,SUMIF($B$10:$B$16,"NCAP_TLIFE",$AX$10:$AX$16)),0,""))</f>
        <v/>
      </c>
      <c r="AM366" s="369" t="str">
        <f ca="1">IF($B366&lt;&gt;"PRC_RESID","",IF(AM$7=2005+OFFSET(COM_N_2012!$B$60,$AW366,SUMIF($B$10:$B$16,"NCAP_TLIFE",$AX$10:$AX$16)),0,""))</f>
        <v/>
      </c>
      <c r="AN366" s="369" t="str">
        <f ca="1">IF($B366&lt;&gt;"PRC_RESID","",IF(AN$7=2005+OFFSET(COM_N_2012!$B$60,$AW366,SUMIF($B$10:$B$16,"NCAP_TLIFE",$AX$10:$AX$16)),0,""))</f>
        <v/>
      </c>
      <c r="AO366" s="369" t="str">
        <f ca="1">IF($B366&lt;&gt;"PRC_RESID","",IF(AO$7=2005+OFFSET(COM_N_2012!$B$60,$AW366,SUMIF($B$10:$B$16,"NCAP_TLIFE",$AX$10:$AX$16)),0,""))</f>
        <v/>
      </c>
      <c r="AP366" s="369" t="str">
        <f ca="1">IF($B366&lt;&gt;"PRC_RESID","",IF(AP$7=2005+OFFSET(COM_N_2012!$B$60,$AW366,SUMIF($B$10:$B$16,"NCAP_TLIFE",$AX$10:$AX$16)),0,""))</f>
        <v/>
      </c>
      <c r="AQ366" s="369" t="str">
        <f ca="1">IF($B366&lt;&gt;"PRC_RESID","",IF(AQ$7=2005+OFFSET(COM_N_2012!$B$60,$AW366,SUMIF($B$10:$B$16,"NCAP_TLIFE",$AX$10:$AX$16)),0,""))</f>
        <v/>
      </c>
      <c r="AR366" s="369" t="str">
        <f ca="1">IF($B366&lt;&gt;"PRC_RESID","",IF(AR$7=2005+OFFSET(COM_N_2012!$B$60,$AW366,SUMIF($B$10:$B$16,"NCAP_TLIFE",$AX$10:$AX$16)),0,""))</f>
        <v/>
      </c>
      <c r="AS366" s="369" t="str">
        <f ca="1">IF($B366&lt;&gt;"PRC_RESID","",IF(AS$7=2005+OFFSET(COM_N_2012!$B$60,$AW366,SUMIF($B$10:$B$16,"NCAP_TLIFE",$AX$10:$AX$16)),0,""))</f>
        <v/>
      </c>
      <c r="AT366" s="369" t="str">
        <f ca="1">IF($B366&lt;&gt;"PRC_RESID","",IF(AT$7=2005+OFFSET(COM_N_2012!$B$60,$AW366,SUMIF($B$10:$B$16,"NCAP_TLIFE",$AX$10:$AX$16)),0,""))</f>
        <v/>
      </c>
      <c r="AU366" s="369" t="str">
        <f ca="1">IF($B366&lt;&gt;"PRC_RESID","",IF(AU$7=2005+OFFSET(COM_N_2012!$B$60,$AW366,SUMIF($B$10:$B$16,"NCAP_TLIFE",$AX$10:$AX$16)),0,""))</f>
        <v/>
      </c>
      <c r="AV366" s="304">
        <f>IF(AW365=COM_N_2012!$AK$121,AV365+1,AV365)</f>
        <v>6</v>
      </c>
      <c r="AW366" s="304">
        <f t="shared" si="51"/>
        <v>44</v>
      </c>
    </row>
    <row r="367" spans="1:49">
      <c r="A367" s="304" t="str">
        <f ca="1">IF(LEFT(OFFSET(COM_N_2012!$A$60,AW367,0),2)="\I","*","")</f>
        <v/>
      </c>
      <c r="B367" s="369" t="str">
        <f t="shared" ca="1" si="49"/>
        <v>PRC_RESID</v>
      </c>
      <c r="C367" s="369" t="str">
        <f ca="1">IF($A367="*","",OFFSET(COM_N_2012!$B$60,AW367,0))</f>
        <v>CNGELCHPS-E</v>
      </c>
      <c r="D367" s="369" t="str">
        <f t="shared" ca="1" si="50"/>
        <v>-</v>
      </c>
      <c r="E367" s="369" t="str">
        <f t="shared" ca="1" si="50"/>
        <v>-</v>
      </c>
      <c r="F367" s="369" t="str">
        <f t="shared" ca="1" si="50"/>
        <v>-</v>
      </c>
      <c r="G367" s="369" t="str">
        <f t="shared" ca="1" si="50"/>
        <v>-</v>
      </c>
      <c r="H367" s="369" t="str">
        <f t="shared" ca="1" si="50"/>
        <v>-</v>
      </c>
      <c r="I367" s="370">
        <f t="shared" ca="1" si="50"/>
        <v>0</v>
      </c>
      <c r="J367" s="391">
        <f ca="1">IF($A367="*","",OFFSET(COM_N_2012!$B$60,AW367,SUMIF($B$10:$B$16,B367,$AX$10:$AX$16)))</f>
        <v>0</v>
      </c>
      <c r="K367" s="369" t="str">
        <f ca="1">IF($B367&lt;&gt;"PRC_RESID","",IF(K$7=2005+OFFSET(COM_N_2012!$B$60,$AW367,SUMIF($B$10:$B$16,"NCAP_TLIFE",$AX$10:$AX$16)),0,""))</f>
        <v/>
      </c>
      <c r="L367" s="369" t="str">
        <f ca="1">IF($B367&lt;&gt;"PRC_RESID","",IF(L$7=2005+OFFSET(COM_N_2012!$B$60,$AW367,SUMIF($B$10:$B$16,"NCAP_TLIFE",$AX$10:$AX$16)),0,""))</f>
        <v/>
      </c>
      <c r="M367" s="369" t="str">
        <f ca="1">IF($B367&lt;&gt;"PRC_RESID","",IF(M$7=2005+OFFSET(COM_N_2012!$B$60,$AW367,SUMIF($B$10:$B$16,"NCAP_TLIFE",$AX$10:$AX$16)),0,""))</f>
        <v/>
      </c>
      <c r="N367" s="369" t="str">
        <f ca="1">IF($B367&lt;&gt;"PRC_RESID","",IF(N$7=2005+OFFSET(COM_N_2012!$B$60,$AW367,SUMIF($B$10:$B$16,"NCAP_TLIFE",$AX$10:$AX$16)),0,""))</f>
        <v/>
      </c>
      <c r="O367" s="369">
        <f ca="1">IF($B367&lt;&gt;"PRC_RESID","",IF(O$7=2005+OFFSET(COM_N_2012!$B$60,$AW367,SUMIF($B$10:$B$16,"NCAP_TLIFE",$AX$10:$AX$16)),0,""))</f>
        <v>0</v>
      </c>
      <c r="P367" s="369" t="str">
        <f ca="1">IF($B367&lt;&gt;"PRC_RESID","",IF(P$7=2005+OFFSET(COM_N_2012!$B$60,$AW367,SUMIF($B$10:$B$16,"NCAP_TLIFE",$AX$10:$AX$16)),0,""))</f>
        <v/>
      </c>
      <c r="Q367" s="369" t="str">
        <f ca="1">IF($B367&lt;&gt;"PRC_RESID","",IF(Q$7=2005+OFFSET(COM_N_2012!$B$60,$AW367,SUMIF($B$10:$B$16,"NCAP_TLIFE",$AX$10:$AX$16)),0,""))</f>
        <v/>
      </c>
      <c r="R367" s="369" t="str">
        <f ca="1">IF($B367&lt;&gt;"PRC_RESID","",IF(R$7=2005+OFFSET(COM_N_2012!$B$60,$AW367,SUMIF($B$10:$B$16,"NCAP_TLIFE",$AX$10:$AX$16)),0,""))</f>
        <v/>
      </c>
      <c r="S367" s="369" t="str">
        <f ca="1">IF($B367&lt;&gt;"PRC_RESID","",IF(S$7=2005+OFFSET(COM_N_2012!$B$60,$AW367,SUMIF($B$10:$B$16,"NCAP_TLIFE",$AX$10:$AX$16)),0,""))</f>
        <v/>
      </c>
      <c r="T367" s="369" t="str">
        <f ca="1">IF($B367&lt;&gt;"PRC_RESID","",IF(T$7=2005+OFFSET(COM_N_2012!$B$60,$AW367,SUMIF($B$10:$B$16,"NCAP_TLIFE",$AX$10:$AX$16)),0,""))</f>
        <v/>
      </c>
      <c r="U367" s="369" t="str">
        <f ca="1">IF($B367&lt;&gt;"PRC_RESID","",IF(U$7=2005+OFFSET(COM_N_2012!$B$60,$AW367,SUMIF($B$10:$B$16,"NCAP_TLIFE",$AX$10:$AX$16)),0,""))</f>
        <v/>
      </c>
      <c r="V367" s="369" t="str">
        <f ca="1">IF($B367&lt;&gt;"PRC_RESID","",IF(V$7=2005+OFFSET(COM_N_2012!$B$60,$AW367,SUMIF($B$10:$B$16,"NCAP_TLIFE",$AX$10:$AX$16)),0,""))</f>
        <v/>
      </c>
      <c r="W367" s="369" t="str">
        <f ca="1">IF($B367&lt;&gt;"PRC_RESID","",IF(W$7=2005+OFFSET(COM_N_2012!$B$60,$AW367,SUMIF($B$10:$B$16,"NCAP_TLIFE",$AX$10:$AX$16)),0,""))</f>
        <v/>
      </c>
      <c r="X367" s="369" t="str">
        <f ca="1">IF($B367&lt;&gt;"PRC_RESID","",IF(X$7=2005+OFFSET(COM_N_2012!$B$60,$AW367,SUMIF($B$10:$B$16,"NCAP_TLIFE",$AX$10:$AX$16)),0,""))</f>
        <v/>
      </c>
      <c r="Y367" s="369" t="str">
        <f ca="1">IF($B367&lt;&gt;"PRC_RESID","",IF(Y$7=2005+OFFSET(COM_N_2012!$B$60,$AW367,SUMIF($B$10:$B$16,"NCAP_TLIFE",$AX$10:$AX$16)),0,""))</f>
        <v/>
      </c>
      <c r="Z367" s="369" t="str">
        <f ca="1">IF($B367&lt;&gt;"PRC_RESID","",IF(Z$7=2005+OFFSET(COM_N_2012!$B$60,$AW367,SUMIF($B$10:$B$16,"NCAP_TLIFE",$AX$10:$AX$16)),0,""))</f>
        <v/>
      </c>
      <c r="AA367" s="369" t="str">
        <f ca="1">IF($B367&lt;&gt;"PRC_RESID","",IF(AA$7=2005+OFFSET(COM_N_2012!$B$60,$AW367,SUMIF($B$10:$B$16,"NCAP_TLIFE",$AX$10:$AX$16)),0,""))</f>
        <v/>
      </c>
      <c r="AB367" s="369" t="str">
        <f ca="1">IF($B367&lt;&gt;"PRC_RESID","",IF(AB$7=2005+OFFSET(COM_N_2012!$B$60,$AW367,SUMIF($B$10:$B$16,"NCAP_TLIFE",$AX$10:$AX$16)),0,""))</f>
        <v/>
      </c>
      <c r="AC367" s="369" t="str">
        <f ca="1">IF($B367&lt;&gt;"PRC_RESID","",IF(AC$7=2005+OFFSET(COM_N_2012!$B$60,$AW367,SUMIF($B$10:$B$16,"NCAP_TLIFE",$AX$10:$AX$16)),0,""))</f>
        <v/>
      </c>
      <c r="AD367" s="369" t="str">
        <f ca="1">IF($B367&lt;&gt;"PRC_RESID","",IF(AD$7=2005+OFFSET(COM_N_2012!$B$60,$AW367,SUMIF($B$10:$B$16,"NCAP_TLIFE",$AX$10:$AX$16)),0,""))</f>
        <v/>
      </c>
      <c r="AE367" s="369" t="str">
        <f ca="1">IF($B367&lt;&gt;"PRC_RESID","",IF(AE$7=2005+OFFSET(COM_N_2012!$B$60,$AW367,SUMIF($B$10:$B$16,"NCAP_TLIFE",$AX$10:$AX$16)),0,""))</f>
        <v/>
      </c>
      <c r="AF367" s="369" t="str">
        <f ca="1">IF($B367&lt;&gt;"PRC_RESID","",IF(AF$7=2005+OFFSET(COM_N_2012!$B$60,$AW367,SUMIF($B$10:$B$16,"NCAP_TLIFE",$AX$10:$AX$16)),0,""))</f>
        <v/>
      </c>
      <c r="AG367" s="369" t="str">
        <f ca="1">IF($B367&lt;&gt;"PRC_RESID","",IF(AG$7=2005+OFFSET(COM_N_2012!$B$60,$AW367,SUMIF($B$10:$B$16,"NCAP_TLIFE",$AX$10:$AX$16)),0,""))</f>
        <v/>
      </c>
      <c r="AH367" s="369" t="str">
        <f ca="1">IF($B367&lt;&gt;"PRC_RESID","",IF(AH$7=2005+OFFSET(COM_N_2012!$B$60,$AW367,SUMIF($B$10:$B$16,"NCAP_TLIFE",$AX$10:$AX$16)),0,""))</f>
        <v/>
      </c>
      <c r="AI367" s="369" t="str">
        <f ca="1">IF($B367&lt;&gt;"PRC_RESID","",IF(AI$7=2005+OFFSET(COM_N_2012!$B$60,$AW367,SUMIF($B$10:$B$16,"NCAP_TLIFE",$AX$10:$AX$16)),0,""))</f>
        <v/>
      </c>
      <c r="AJ367" s="369" t="str">
        <f ca="1">IF($B367&lt;&gt;"PRC_RESID","",IF(AJ$7=2005+OFFSET(COM_N_2012!$B$60,$AW367,SUMIF($B$10:$B$16,"NCAP_TLIFE",$AX$10:$AX$16)),0,""))</f>
        <v/>
      </c>
      <c r="AK367" s="369" t="str">
        <f ca="1">IF($B367&lt;&gt;"PRC_RESID","",IF(AK$7=2005+OFFSET(COM_N_2012!$B$60,$AW367,SUMIF($B$10:$B$16,"NCAP_TLIFE",$AX$10:$AX$16)),0,""))</f>
        <v/>
      </c>
      <c r="AL367" s="369" t="str">
        <f ca="1">IF($B367&lt;&gt;"PRC_RESID","",IF(AL$7=2005+OFFSET(COM_N_2012!$B$60,$AW367,SUMIF($B$10:$B$16,"NCAP_TLIFE",$AX$10:$AX$16)),0,""))</f>
        <v/>
      </c>
      <c r="AM367" s="369" t="str">
        <f ca="1">IF($B367&lt;&gt;"PRC_RESID","",IF(AM$7=2005+OFFSET(COM_N_2012!$B$60,$AW367,SUMIF($B$10:$B$16,"NCAP_TLIFE",$AX$10:$AX$16)),0,""))</f>
        <v/>
      </c>
      <c r="AN367" s="369" t="str">
        <f ca="1">IF($B367&lt;&gt;"PRC_RESID","",IF(AN$7=2005+OFFSET(COM_N_2012!$B$60,$AW367,SUMIF($B$10:$B$16,"NCAP_TLIFE",$AX$10:$AX$16)),0,""))</f>
        <v/>
      </c>
      <c r="AO367" s="369" t="str">
        <f ca="1">IF($B367&lt;&gt;"PRC_RESID","",IF(AO$7=2005+OFFSET(COM_N_2012!$B$60,$AW367,SUMIF($B$10:$B$16,"NCAP_TLIFE",$AX$10:$AX$16)),0,""))</f>
        <v/>
      </c>
      <c r="AP367" s="369" t="str">
        <f ca="1">IF($B367&lt;&gt;"PRC_RESID","",IF(AP$7=2005+OFFSET(COM_N_2012!$B$60,$AW367,SUMIF($B$10:$B$16,"NCAP_TLIFE",$AX$10:$AX$16)),0,""))</f>
        <v/>
      </c>
      <c r="AQ367" s="369" t="str">
        <f ca="1">IF($B367&lt;&gt;"PRC_RESID","",IF(AQ$7=2005+OFFSET(COM_N_2012!$B$60,$AW367,SUMIF($B$10:$B$16,"NCAP_TLIFE",$AX$10:$AX$16)),0,""))</f>
        <v/>
      </c>
      <c r="AR367" s="369" t="str">
        <f ca="1">IF($B367&lt;&gt;"PRC_RESID","",IF(AR$7=2005+OFFSET(COM_N_2012!$B$60,$AW367,SUMIF($B$10:$B$16,"NCAP_TLIFE",$AX$10:$AX$16)),0,""))</f>
        <v/>
      </c>
      <c r="AS367" s="369" t="str">
        <f ca="1">IF($B367&lt;&gt;"PRC_RESID","",IF(AS$7=2005+OFFSET(COM_N_2012!$B$60,$AW367,SUMIF($B$10:$B$16,"NCAP_TLIFE",$AX$10:$AX$16)),0,""))</f>
        <v/>
      </c>
      <c r="AT367" s="369" t="str">
        <f ca="1">IF($B367&lt;&gt;"PRC_RESID","",IF(AT$7=2005+OFFSET(COM_N_2012!$B$60,$AW367,SUMIF($B$10:$B$16,"NCAP_TLIFE",$AX$10:$AX$16)),0,""))</f>
        <v/>
      </c>
      <c r="AU367" s="369" t="str">
        <f ca="1">IF($B367&lt;&gt;"PRC_RESID","",IF(AU$7=2005+OFFSET(COM_N_2012!$B$60,$AW367,SUMIF($B$10:$B$16,"NCAP_TLIFE",$AX$10:$AX$16)),0,""))</f>
        <v/>
      </c>
      <c r="AV367" s="304">
        <f>IF(AW366=COM_N_2012!$AK$121,AV366+1,AV366)</f>
        <v>6</v>
      </c>
      <c r="AW367" s="304">
        <f t="shared" si="51"/>
        <v>45</v>
      </c>
    </row>
    <row r="368" spans="1:49">
      <c r="A368" s="304" t="str">
        <f ca="1">IF(LEFT(OFFSET(COM_N_2012!$A$60,AW368,0),2)="\I","*","")</f>
        <v/>
      </c>
      <c r="B368" s="369" t="str">
        <f t="shared" ca="1" si="49"/>
        <v>PRC_RESID</v>
      </c>
      <c r="C368" s="369" t="str">
        <f ca="1">IF($A368="*","",OFFSET(COM_N_2012!$B$60,AW368,0))</f>
        <v>CNGELCMHL-E</v>
      </c>
      <c r="D368" s="369" t="str">
        <f t="shared" ca="1" si="50"/>
        <v>-</v>
      </c>
      <c r="E368" s="369" t="str">
        <f t="shared" ca="1" si="50"/>
        <v>-</v>
      </c>
      <c r="F368" s="369" t="str">
        <f t="shared" ca="1" si="50"/>
        <v>-</v>
      </c>
      <c r="G368" s="369" t="str">
        <f t="shared" ca="1" si="50"/>
        <v>-</v>
      </c>
      <c r="H368" s="369" t="str">
        <f t="shared" ca="1" si="50"/>
        <v>-</v>
      </c>
      <c r="I368" s="370">
        <f t="shared" ca="1" si="50"/>
        <v>0</v>
      </c>
      <c r="J368" s="391">
        <f ca="1">IF($A368="*","",OFFSET(COM_N_2012!$B$60,AW368,SUMIF($B$10:$B$16,B368,$AX$10:$AX$16)))</f>
        <v>0</v>
      </c>
      <c r="K368" s="369" t="str">
        <f ca="1">IF($B368&lt;&gt;"PRC_RESID","",IF(K$7=2005+OFFSET(COM_N_2012!$B$60,$AW368,SUMIF($B$10:$B$16,"NCAP_TLIFE",$AX$10:$AX$16)),0,""))</f>
        <v/>
      </c>
      <c r="L368" s="369" t="str">
        <f ca="1">IF($B368&lt;&gt;"PRC_RESID","",IF(L$7=2005+OFFSET(COM_N_2012!$B$60,$AW368,SUMIF($B$10:$B$16,"NCAP_TLIFE",$AX$10:$AX$16)),0,""))</f>
        <v/>
      </c>
      <c r="M368" s="369">
        <f ca="1">IF($B368&lt;&gt;"PRC_RESID","",IF(M$7=2005+OFFSET(COM_N_2012!$B$60,$AW368,SUMIF($B$10:$B$16,"NCAP_TLIFE",$AX$10:$AX$16)),0,""))</f>
        <v>0</v>
      </c>
      <c r="N368" s="369" t="str">
        <f ca="1">IF($B368&lt;&gt;"PRC_RESID","",IF(N$7=2005+OFFSET(COM_N_2012!$B$60,$AW368,SUMIF($B$10:$B$16,"NCAP_TLIFE",$AX$10:$AX$16)),0,""))</f>
        <v/>
      </c>
      <c r="O368" s="369" t="str">
        <f ca="1">IF($B368&lt;&gt;"PRC_RESID","",IF(O$7=2005+OFFSET(COM_N_2012!$B$60,$AW368,SUMIF($B$10:$B$16,"NCAP_TLIFE",$AX$10:$AX$16)),0,""))</f>
        <v/>
      </c>
      <c r="P368" s="369" t="str">
        <f ca="1">IF($B368&lt;&gt;"PRC_RESID","",IF(P$7=2005+OFFSET(COM_N_2012!$B$60,$AW368,SUMIF($B$10:$B$16,"NCAP_TLIFE",$AX$10:$AX$16)),0,""))</f>
        <v/>
      </c>
      <c r="Q368" s="369" t="str">
        <f ca="1">IF($B368&lt;&gt;"PRC_RESID","",IF(Q$7=2005+OFFSET(COM_N_2012!$B$60,$AW368,SUMIF($B$10:$B$16,"NCAP_TLIFE",$AX$10:$AX$16)),0,""))</f>
        <v/>
      </c>
      <c r="R368" s="369" t="str">
        <f ca="1">IF($B368&lt;&gt;"PRC_RESID","",IF(R$7=2005+OFFSET(COM_N_2012!$B$60,$AW368,SUMIF($B$10:$B$16,"NCAP_TLIFE",$AX$10:$AX$16)),0,""))</f>
        <v/>
      </c>
      <c r="S368" s="369" t="str">
        <f ca="1">IF($B368&lt;&gt;"PRC_RESID","",IF(S$7=2005+OFFSET(COM_N_2012!$B$60,$AW368,SUMIF($B$10:$B$16,"NCAP_TLIFE",$AX$10:$AX$16)),0,""))</f>
        <v/>
      </c>
      <c r="T368" s="369" t="str">
        <f ca="1">IF($B368&lt;&gt;"PRC_RESID","",IF(T$7=2005+OFFSET(COM_N_2012!$B$60,$AW368,SUMIF($B$10:$B$16,"NCAP_TLIFE",$AX$10:$AX$16)),0,""))</f>
        <v/>
      </c>
      <c r="U368" s="369" t="str">
        <f ca="1">IF($B368&lt;&gt;"PRC_RESID","",IF(U$7=2005+OFFSET(COM_N_2012!$B$60,$AW368,SUMIF($B$10:$B$16,"NCAP_TLIFE",$AX$10:$AX$16)),0,""))</f>
        <v/>
      </c>
      <c r="V368" s="369" t="str">
        <f ca="1">IF($B368&lt;&gt;"PRC_RESID","",IF(V$7=2005+OFFSET(COM_N_2012!$B$60,$AW368,SUMIF($B$10:$B$16,"NCAP_TLIFE",$AX$10:$AX$16)),0,""))</f>
        <v/>
      </c>
      <c r="W368" s="369" t="str">
        <f ca="1">IF($B368&lt;&gt;"PRC_RESID","",IF(W$7=2005+OFFSET(COM_N_2012!$B$60,$AW368,SUMIF($B$10:$B$16,"NCAP_TLIFE",$AX$10:$AX$16)),0,""))</f>
        <v/>
      </c>
      <c r="X368" s="369" t="str">
        <f ca="1">IF($B368&lt;&gt;"PRC_RESID","",IF(X$7=2005+OFFSET(COM_N_2012!$B$60,$AW368,SUMIF($B$10:$B$16,"NCAP_TLIFE",$AX$10:$AX$16)),0,""))</f>
        <v/>
      </c>
      <c r="Y368" s="369" t="str">
        <f ca="1">IF($B368&lt;&gt;"PRC_RESID","",IF(Y$7=2005+OFFSET(COM_N_2012!$B$60,$AW368,SUMIF($B$10:$B$16,"NCAP_TLIFE",$AX$10:$AX$16)),0,""))</f>
        <v/>
      </c>
      <c r="Z368" s="369" t="str">
        <f ca="1">IF($B368&lt;&gt;"PRC_RESID","",IF(Z$7=2005+OFFSET(COM_N_2012!$B$60,$AW368,SUMIF($B$10:$B$16,"NCAP_TLIFE",$AX$10:$AX$16)),0,""))</f>
        <v/>
      </c>
      <c r="AA368" s="369" t="str">
        <f ca="1">IF($B368&lt;&gt;"PRC_RESID","",IF(AA$7=2005+OFFSET(COM_N_2012!$B$60,$AW368,SUMIF($B$10:$B$16,"NCAP_TLIFE",$AX$10:$AX$16)),0,""))</f>
        <v/>
      </c>
      <c r="AB368" s="369" t="str">
        <f ca="1">IF($B368&lt;&gt;"PRC_RESID","",IF(AB$7=2005+OFFSET(COM_N_2012!$B$60,$AW368,SUMIF($B$10:$B$16,"NCAP_TLIFE",$AX$10:$AX$16)),0,""))</f>
        <v/>
      </c>
      <c r="AC368" s="369" t="str">
        <f ca="1">IF($B368&lt;&gt;"PRC_RESID","",IF(AC$7=2005+OFFSET(COM_N_2012!$B$60,$AW368,SUMIF($B$10:$B$16,"NCAP_TLIFE",$AX$10:$AX$16)),0,""))</f>
        <v/>
      </c>
      <c r="AD368" s="369" t="str">
        <f ca="1">IF($B368&lt;&gt;"PRC_RESID","",IF(AD$7=2005+OFFSET(COM_N_2012!$B$60,$AW368,SUMIF($B$10:$B$16,"NCAP_TLIFE",$AX$10:$AX$16)),0,""))</f>
        <v/>
      </c>
      <c r="AE368" s="369" t="str">
        <f ca="1">IF($B368&lt;&gt;"PRC_RESID","",IF(AE$7=2005+OFFSET(COM_N_2012!$B$60,$AW368,SUMIF($B$10:$B$16,"NCAP_TLIFE",$AX$10:$AX$16)),0,""))</f>
        <v/>
      </c>
      <c r="AF368" s="369" t="str">
        <f ca="1">IF($B368&lt;&gt;"PRC_RESID","",IF(AF$7=2005+OFFSET(COM_N_2012!$B$60,$AW368,SUMIF($B$10:$B$16,"NCAP_TLIFE",$AX$10:$AX$16)),0,""))</f>
        <v/>
      </c>
      <c r="AG368" s="369" t="str">
        <f ca="1">IF($B368&lt;&gt;"PRC_RESID","",IF(AG$7=2005+OFFSET(COM_N_2012!$B$60,$AW368,SUMIF($B$10:$B$16,"NCAP_TLIFE",$AX$10:$AX$16)),0,""))</f>
        <v/>
      </c>
      <c r="AH368" s="369" t="str">
        <f ca="1">IF($B368&lt;&gt;"PRC_RESID","",IF(AH$7=2005+OFFSET(COM_N_2012!$B$60,$AW368,SUMIF($B$10:$B$16,"NCAP_TLIFE",$AX$10:$AX$16)),0,""))</f>
        <v/>
      </c>
      <c r="AI368" s="369" t="str">
        <f ca="1">IF($B368&lt;&gt;"PRC_RESID","",IF(AI$7=2005+OFFSET(COM_N_2012!$B$60,$AW368,SUMIF($B$10:$B$16,"NCAP_TLIFE",$AX$10:$AX$16)),0,""))</f>
        <v/>
      </c>
      <c r="AJ368" s="369" t="str">
        <f ca="1">IF($B368&lt;&gt;"PRC_RESID","",IF(AJ$7=2005+OFFSET(COM_N_2012!$B$60,$AW368,SUMIF($B$10:$B$16,"NCAP_TLIFE",$AX$10:$AX$16)),0,""))</f>
        <v/>
      </c>
      <c r="AK368" s="369" t="str">
        <f ca="1">IF($B368&lt;&gt;"PRC_RESID","",IF(AK$7=2005+OFFSET(COM_N_2012!$B$60,$AW368,SUMIF($B$10:$B$16,"NCAP_TLIFE",$AX$10:$AX$16)),0,""))</f>
        <v/>
      </c>
      <c r="AL368" s="369" t="str">
        <f ca="1">IF($B368&lt;&gt;"PRC_RESID","",IF(AL$7=2005+OFFSET(COM_N_2012!$B$60,$AW368,SUMIF($B$10:$B$16,"NCAP_TLIFE",$AX$10:$AX$16)),0,""))</f>
        <v/>
      </c>
      <c r="AM368" s="369" t="str">
        <f ca="1">IF($B368&lt;&gt;"PRC_RESID","",IF(AM$7=2005+OFFSET(COM_N_2012!$B$60,$AW368,SUMIF($B$10:$B$16,"NCAP_TLIFE",$AX$10:$AX$16)),0,""))</f>
        <v/>
      </c>
      <c r="AN368" s="369" t="str">
        <f ca="1">IF($B368&lt;&gt;"PRC_RESID","",IF(AN$7=2005+OFFSET(COM_N_2012!$B$60,$AW368,SUMIF($B$10:$B$16,"NCAP_TLIFE",$AX$10:$AX$16)),0,""))</f>
        <v/>
      </c>
      <c r="AO368" s="369" t="str">
        <f ca="1">IF($B368&lt;&gt;"PRC_RESID","",IF(AO$7=2005+OFFSET(COM_N_2012!$B$60,$AW368,SUMIF($B$10:$B$16,"NCAP_TLIFE",$AX$10:$AX$16)),0,""))</f>
        <v/>
      </c>
      <c r="AP368" s="369" t="str">
        <f ca="1">IF($B368&lt;&gt;"PRC_RESID","",IF(AP$7=2005+OFFSET(COM_N_2012!$B$60,$AW368,SUMIF($B$10:$B$16,"NCAP_TLIFE",$AX$10:$AX$16)),0,""))</f>
        <v/>
      </c>
      <c r="AQ368" s="369" t="str">
        <f ca="1">IF($B368&lt;&gt;"PRC_RESID","",IF(AQ$7=2005+OFFSET(COM_N_2012!$B$60,$AW368,SUMIF($B$10:$B$16,"NCAP_TLIFE",$AX$10:$AX$16)),0,""))</f>
        <v/>
      </c>
      <c r="AR368" s="369" t="str">
        <f ca="1">IF($B368&lt;&gt;"PRC_RESID","",IF(AR$7=2005+OFFSET(COM_N_2012!$B$60,$AW368,SUMIF($B$10:$B$16,"NCAP_TLIFE",$AX$10:$AX$16)),0,""))</f>
        <v/>
      </c>
      <c r="AS368" s="369" t="str">
        <f ca="1">IF($B368&lt;&gt;"PRC_RESID","",IF(AS$7=2005+OFFSET(COM_N_2012!$B$60,$AW368,SUMIF($B$10:$B$16,"NCAP_TLIFE",$AX$10:$AX$16)),0,""))</f>
        <v/>
      </c>
      <c r="AT368" s="369" t="str">
        <f ca="1">IF($B368&lt;&gt;"PRC_RESID","",IF(AT$7=2005+OFFSET(COM_N_2012!$B$60,$AW368,SUMIF($B$10:$B$16,"NCAP_TLIFE",$AX$10:$AX$16)),0,""))</f>
        <v/>
      </c>
      <c r="AU368" s="369" t="str">
        <f ca="1">IF($B368&lt;&gt;"PRC_RESID","",IF(AU$7=2005+OFFSET(COM_N_2012!$B$60,$AW368,SUMIF($B$10:$B$16,"NCAP_TLIFE",$AX$10:$AX$16)),0,""))</f>
        <v/>
      </c>
      <c r="AV368" s="304">
        <f>IF(AW367=COM_N_2012!$AK$121,AV367+1,AV367)</f>
        <v>6</v>
      </c>
      <c r="AW368" s="304">
        <f t="shared" si="51"/>
        <v>46</v>
      </c>
    </row>
    <row r="369" spans="1:49">
      <c r="A369" s="304" t="str">
        <f ca="1">IF(LEFT(OFFSET(COM_N_2012!$A$60,AW369,0),2)="\I","*","")</f>
        <v/>
      </c>
      <c r="B369" s="369" t="str">
        <f t="shared" ca="1" si="49"/>
        <v>PRC_RESID</v>
      </c>
      <c r="C369" s="369" t="str">
        <f ca="1">IF($A369="*","",OFFSET(COM_N_2012!$B$60,AW369,0))</f>
        <v>CNGELCLED-N</v>
      </c>
      <c r="D369" s="369" t="str">
        <f t="shared" ca="1" si="50"/>
        <v>-</v>
      </c>
      <c r="E369" s="369" t="str">
        <f t="shared" ca="1" si="50"/>
        <v>-</v>
      </c>
      <c r="F369" s="369" t="str">
        <f t="shared" ca="1" si="50"/>
        <v>-</v>
      </c>
      <c r="G369" s="369" t="str">
        <f t="shared" ca="1" si="50"/>
        <v>-</v>
      </c>
      <c r="H369" s="369" t="str">
        <f t="shared" ca="1" si="50"/>
        <v>-</v>
      </c>
      <c r="I369" s="370">
        <f t="shared" ca="1" si="50"/>
        <v>0</v>
      </c>
      <c r="J369" s="391">
        <f ca="1">IF($A369="*","",OFFSET(COM_N_2012!$B$60,AW369,SUMIF($B$10:$B$16,B369,$AX$10:$AX$16)))</f>
        <v>0</v>
      </c>
      <c r="K369" s="369" t="str">
        <f ca="1">IF($B369&lt;&gt;"PRC_RESID","",IF(K$7=2005+OFFSET(COM_N_2012!$B$60,$AW369,SUMIF($B$10:$B$16,"NCAP_TLIFE",$AX$10:$AX$16)),0,""))</f>
        <v/>
      </c>
      <c r="L369" s="369" t="str">
        <f ca="1">IF($B369&lt;&gt;"PRC_RESID","",IF(L$7=2005+OFFSET(COM_N_2012!$B$60,$AW369,SUMIF($B$10:$B$16,"NCAP_TLIFE",$AX$10:$AX$16)),0,""))</f>
        <v/>
      </c>
      <c r="M369" s="369">
        <f ca="1">IF($B369&lt;&gt;"PRC_RESID","",IF(M$7=2005+OFFSET(COM_N_2012!$B$60,$AW369,SUMIF($B$10:$B$16,"NCAP_TLIFE",$AX$10:$AX$16)),0,""))</f>
        <v>0</v>
      </c>
      <c r="N369" s="369" t="str">
        <f ca="1">IF($B369&lt;&gt;"PRC_RESID","",IF(N$7=2005+OFFSET(COM_N_2012!$B$60,$AW369,SUMIF($B$10:$B$16,"NCAP_TLIFE",$AX$10:$AX$16)),0,""))</f>
        <v/>
      </c>
      <c r="O369" s="369" t="str">
        <f ca="1">IF($B369&lt;&gt;"PRC_RESID","",IF(O$7=2005+OFFSET(COM_N_2012!$B$60,$AW369,SUMIF($B$10:$B$16,"NCAP_TLIFE",$AX$10:$AX$16)),0,""))</f>
        <v/>
      </c>
      <c r="P369" s="369" t="str">
        <f ca="1">IF($B369&lt;&gt;"PRC_RESID","",IF(P$7=2005+OFFSET(COM_N_2012!$B$60,$AW369,SUMIF($B$10:$B$16,"NCAP_TLIFE",$AX$10:$AX$16)),0,""))</f>
        <v/>
      </c>
      <c r="Q369" s="369" t="str">
        <f ca="1">IF($B369&lt;&gt;"PRC_RESID","",IF(Q$7=2005+OFFSET(COM_N_2012!$B$60,$AW369,SUMIF($B$10:$B$16,"NCAP_TLIFE",$AX$10:$AX$16)),0,""))</f>
        <v/>
      </c>
      <c r="R369" s="369" t="str">
        <f ca="1">IF($B369&lt;&gt;"PRC_RESID","",IF(R$7=2005+OFFSET(COM_N_2012!$B$60,$AW369,SUMIF($B$10:$B$16,"NCAP_TLIFE",$AX$10:$AX$16)),0,""))</f>
        <v/>
      </c>
      <c r="S369" s="369" t="str">
        <f ca="1">IF($B369&lt;&gt;"PRC_RESID","",IF(S$7=2005+OFFSET(COM_N_2012!$B$60,$AW369,SUMIF($B$10:$B$16,"NCAP_TLIFE",$AX$10:$AX$16)),0,""))</f>
        <v/>
      </c>
      <c r="T369" s="369" t="str">
        <f ca="1">IF($B369&lt;&gt;"PRC_RESID","",IF(T$7=2005+OFFSET(COM_N_2012!$B$60,$AW369,SUMIF($B$10:$B$16,"NCAP_TLIFE",$AX$10:$AX$16)),0,""))</f>
        <v/>
      </c>
      <c r="U369" s="369" t="str">
        <f ca="1">IF($B369&lt;&gt;"PRC_RESID","",IF(U$7=2005+OFFSET(COM_N_2012!$B$60,$AW369,SUMIF($B$10:$B$16,"NCAP_TLIFE",$AX$10:$AX$16)),0,""))</f>
        <v/>
      </c>
      <c r="V369" s="369" t="str">
        <f ca="1">IF($B369&lt;&gt;"PRC_RESID","",IF(V$7=2005+OFFSET(COM_N_2012!$B$60,$AW369,SUMIF($B$10:$B$16,"NCAP_TLIFE",$AX$10:$AX$16)),0,""))</f>
        <v/>
      </c>
      <c r="W369" s="369" t="str">
        <f ca="1">IF($B369&lt;&gt;"PRC_RESID","",IF(W$7=2005+OFFSET(COM_N_2012!$B$60,$AW369,SUMIF($B$10:$B$16,"NCAP_TLIFE",$AX$10:$AX$16)),0,""))</f>
        <v/>
      </c>
      <c r="X369" s="369" t="str">
        <f ca="1">IF($B369&lt;&gt;"PRC_RESID","",IF(X$7=2005+OFFSET(COM_N_2012!$B$60,$AW369,SUMIF($B$10:$B$16,"NCAP_TLIFE",$AX$10:$AX$16)),0,""))</f>
        <v/>
      </c>
      <c r="Y369" s="369" t="str">
        <f ca="1">IF($B369&lt;&gt;"PRC_RESID","",IF(Y$7=2005+OFFSET(COM_N_2012!$B$60,$AW369,SUMIF($B$10:$B$16,"NCAP_TLIFE",$AX$10:$AX$16)),0,""))</f>
        <v/>
      </c>
      <c r="Z369" s="369" t="str">
        <f ca="1">IF($B369&lt;&gt;"PRC_RESID","",IF(Z$7=2005+OFFSET(COM_N_2012!$B$60,$AW369,SUMIF($B$10:$B$16,"NCAP_TLIFE",$AX$10:$AX$16)),0,""))</f>
        <v/>
      </c>
      <c r="AA369" s="369" t="str">
        <f ca="1">IF($B369&lt;&gt;"PRC_RESID","",IF(AA$7=2005+OFFSET(COM_N_2012!$B$60,$AW369,SUMIF($B$10:$B$16,"NCAP_TLIFE",$AX$10:$AX$16)),0,""))</f>
        <v/>
      </c>
      <c r="AB369" s="369" t="str">
        <f ca="1">IF($B369&lt;&gt;"PRC_RESID","",IF(AB$7=2005+OFFSET(COM_N_2012!$B$60,$AW369,SUMIF($B$10:$B$16,"NCAP_TLIFE",$AX$10:$AX$16)),0,""))</f>
        <v/>
      </c>
      <c r="AC369" s="369" t="str">
        <f ca="1">IF($B369&lt;&gt;"PRC_RESID","",IF(AC$7=2005+OFFSET(COM_N_2012!$B$60,$AW369,SUMIF($B$10:$B$16,"NCAP_TLIFE",$AX$10:$AX$16)),0,""))</f>
        <v/>
      </c>
      <c r="AD369" s="369" t="str">
        <f ca="1">IF($B369&lt;&gt;"PRC_RESID","",IF(AD$7=2005+OFFSET(COM_N_2012!$B$60,$AW369,SUMIF($B$10:$B$16,"NCAP_TLIFE",$AX$10:$AX$16)),0,""))</f>
        <v/>
      </c>
      <c r="AE369" s="369" t="str">
        <f ca="1">IF($B369&lt;&gt;"PRC_RESID","",IF(AE$7=2005+OFFSET(COM_N_2012!$B$60,$AW369,SUMIF($B$10:$B$16,"NCAP_TLIFE",$AX$10:$AX$16)),0,""))</f>
        <v/>
      </c>
      <c r="AF369" s="369" t="str">
        <f ca="1">IF($B369&lt;&gt;"PRC_RESID","",IF(AF$7=2005+OFFSET(COM_N_2012!$B$60,$AW369,SUMIF($B$10:$B$16,"NCAP_TLIFE",$AX$10:$AX$16)),0,""))</f>
        <v/>
      </c>
      <c r="AG369" s="369" t="str">
        <f ca="1">IF($B369&lt;&gt;"PRC_RESID","",IF(AG$7=2005+OFFSET(COM_N_2012!$B$60,$AW369,SUMIF($B$10:$B$16,"NCAP_TLIFE",$AX$10:$AX$16)),0,""))</f>
        <v/>
      </c>
      <c r="AH369" s="369" t="str">
        <f ca="1">IF($B369&lt;&gt;"PRC_RESID","",IF(AH$7=2005+OFFSET(COM_N_2012!$B$60,$AW369,SUMIF($B$10:$B$16,"NCAP_TLIFE",$AX$10:$AX$16)),0,""))</f>
        <v/>
      </c>
      <c r="AI369" s="369" t="str">
        <f ca="1">IF($B369&lt;&gt;"PRC_RESID","",IF(AI$7=2005+OFFSET(COM_N_2012!$B$60,$AW369,SUMIF($B$10:$B$16,"NCAP_TLIFE",$AX$10:$AX$16)),0,""))</f>
        <v/>
      </c>
      <c r="AJ369" s="369" t="str">
        <f ca="1">IF($B369&lt;&gt;"PRC_RESID","",IF(AJ$7=2005+OFFSET(COM_N_2012!$B$60,$AW369,SUMIF($B$10:$B$16,"NCAP_TLIFE",$AX$10:$AX$16)),0,""))</f>
        <v/>
      </c>
      <c r="AK369" s="369" t="str">
        <f ca="1">IF($B369&lt;&gt;"PRC_RESID","",IF(AK$7=2005+OFFSET(COM_N_2012!$B$60,$AW369,SUMIF($B$10:$B$16,"NCAP_TLIFE",$AX$10:$AX$16)),0,""))</f>
        <v/>
      </c>
      <c r="AL369" s="369" t="str">
        <f ca="1">IF($B369&lt;&gt;"PRC_RESID","",IF(AL$7=2005+OFFSET(COM_N_2012!$B$60,$AW369,SUMIF($B$10:$B$16,"NCAP_TLIFE",$AX$10:$AX$16)),0,""))</f>
        <v/>
      </c>
      <c r="AM369" s="369" t="str">
        <f ca="1">IF($B369&lt;&gt;"PRC_RESID","",IF(AM$7=2005+OFFSET(COM_N_2012!$B$60,$AW369,SUMIF($B$10:$B$16,"NCAP_TLIFE",$AX$10:$AX$16)),0,""))</f>
        <v/>
      </c>
      <c r="AN369" s="369" t="str">
        <f ca="1">IF($B369&lt;&gt;"PRC_RESID","",IF(AN$7=2005+OFFSET(COM_N_2012!$B$60,$AW369,SUMIF($B$10:$B$16,"NCAP_TLIFE",$AX$10:$AX$16)),0,""))</f>
        <v/>
      </c>
      <c r="AO369" s="369" t="str">
        <f ca="1">IF($B369&lt;&gt;"PRC_RESID","",IF(AO$7=2005+OFFSET(COM_N_2012!$B$60,$AW369,SUMIF($B$10:$B$16,"NCAP_TLIFE",$AX$10:$AX$16)),0,""))</f>
        <v/>
      </c>
      <c r="AP369" s="369" t="str">
        <f ca="1">IF($B369&lt;&gt;"PRC_RESID","",IF(AP$7=2005+OFFSET(COM_N_2012!$B$60,$AW369,SUMIF($B$10:$B$16,"NCAP_TLIFE",$AX$10:$AX$16)),0,""))</f>
        <v/>
      </c>
      <c r="AQ369" s="369" t="str">
        <f ca="1">IF($B369&lt;&gt;"PRC_RESID","",IF(AQ$7=2005+OFFSET(COM_N_2012!$B$60,$AW369,SUMIF($B$10:$B$16,"NCAP_TLIFE",$AX$10:$AX$16)),0,""))</f>
        <v/>
      </c>
      <c r="AR369" s="369" t="str">
        <f ca="1">IF($B369&lt;&gt;"PRC_RESID","",IF(AR$7=2005+OFFSET(COM_N_2012!$B$60,$AW369,SUMIF($B$10:$B$16,"NCAP_TLIFE",$AX$10:$AX$16)),0,""))</f>
        <v/>
      </c>
      <c r="AS369" s="369" t="str">
        <f ca="1">IF($B369&lt;&gt;"PRC_RESID","",IF(AS$7=2005+OFFSET(COM_N_2012!$B$60,$AW369,SUMIF($B$10:$B$16,"NCAP_TLIFE",$AX$10:$AX$16)),0,""))</f>
        <v/>
      </c>
      <c r="AT369" s="369" t="str">
        <f ca="1">IF($B369&lt;&gt;"PRC_RESID","",IF(AT$7=2005+OFFSET(COM_N_2012!$B$60,$AW369,SUMIF($B$10:$B$16,"NCAP_TLIFE",$AX$10:$AX$16)),0,""))</f>
        <v/>
      </c>
      <c r="AU369" s="369" t="str">
        <f ca="1">IF($B369&lt;&gt;"PRC_RESID","",IF(AU$7=2005+OFFSET(COM_N_2012!$B$60,$AW369,SUMIF($B$10:$B$16,"NCAP_TLIFE",$AX$10:$AX$16)),0,""))</f>
        <v/>
      </c>
      <c r="AV369" s="304">
        <f>IF(AW368=COM_N_2012!$AK$121,AV368+1,AV368)</f>
        <v>6</v>
      </c>
      <c r="AW369" s="304">
        <f t="shared" si="51"/>
        <v>47</v>
      </c>
    </row>
    <row r="370" spans="1:49">
      <c r="A370" s="304" t="str">
        <f ca="1">IF(LEFT(OFFSET(COM_N_2012!$A$60,AW370,0),2)="\I","*","")</f>
        <v>*</v>
      </c>
      <c r="B370" s="369" t="str">
        <f t="shared" ca="1" si="49"/>
        <v/>
      </c>
      <c r="C370" s="369" t="str">
        <f ca="1">IF($A370="*","",OFFSET(COM_N_2012!$B$60,AW370,0))</f>
        <v/>
      </c>
      <c r="D370" s="369" t="str">
        <f t="shared" ca="1" si="50"/>
        <v/>
      </c>
      <c r="E370" s="369" t="str">
        <f t="shared" ca="1" si="50"/>
        <v/>
      </c>
      <c r="F370" s="369" t="str">
        <f t="shared" ca="1" si="50"/>
        <v/>
      </c>
      <c r="G370" s="369" t="str">
        <f t="shared" ca="1" si="50"/>
        <v/>
      </c>
      <c r="H370" s="369" t="str">
        <f t="shared" ca="1" si="50"/>
        <v/>
      </c>
      <c r="I370" s="370" t="str">
        <f t="shared" ca="1" si="50"/>
        <v/>
      </c>
      <c r="J370" s="391" t="str">
        <f ca="1">IF($A370="*","",OFFSET(COM_N_2012!$B$60,AW370,SUMIF($B$10:$B$16,B370,$AX$10:$AX$16)))</f>
        <v/>
      </c>
      <c r="K370" s="369" t="str">
        <f ca="1">IF($B370&lt;&gt;"PRC_RESID","",IF(K$7=2005+OFFSET(COM_N_2012!$B$60,$AW370,SUMIF($B$10:$B$16,"NCAP_TLIFE",$AX$10:$AX$16)),0,""))</f>
        <v/>
      </c>
      <c r="L370" s="369" t="str">
        <f ca="1">IF($B370&lt;&gt;"PRC_RESID","",IF(L$7=2005+OFFSET(COM_N_2012!$B$60,$AW370,SUMIF($B$10:$B$16,"NCAP_TLIFE",$AX$10:$AX$16)),0,""))</f>
        <v/>
      </c>
      <c r="M370" s="369" t="str">
        <f ca="1">IF($B370&lt;&gt;"PRC_RESID","",IF(M$7=2005+OFFSET(COM_N_2012!$B$60,$AW370,SUMIF($B$10:$B$16,"NCAP_TLIFE",$AX$10:$AX$16)),0,""))</f>
        <v/>
      </c>
      <c r="N370" s="369" t="str">
        <f ca="1">IF($B370&lt;&gt;"PRC_RESID","",IF(N$7=2005+OFFSET(COM_N_2012!$B$60,$AW370,SUMIF($B$10:$B$16,"NCAP_TLIFE",$AX$10:$AX$16)),0,""))</f>
        <v/>
      </c>
      <c r="O370" s="369" t="str">
        <f ca="1">IF($B370&lt;&gt;"PRC_RESID","",IF(O$7=2005+OFFSET(COM_N_2012!$B$60,$AW370,SUMIF($B$10:$B$16,"NCAP_TLIFE",$AX$10:$AX$16)),0,""))</f>
        <v/>
      </c>
      <c r="P370" s="369" t="str">
        <f ca="1">IF($B370&lt;&gt;"PRC_RESID","",IF(P$7=2005+OFFSET(COM_N_2012!$B$60,$AW370,SUMIF($B$10:$B$16,"NCAP_TLIFE",$AX$10:$AX$16)),0,""))</f>
        <v/>
      </c>
      <c r="Q370" s="369" t="str">
        <f ca="1">IF($B370&lt;&gt;"PRC_RESID","",IF(Q$7=2005+OFFSET(COM_N_2012!$B$60,$AW370,SUMIF($B$10:$B$16,"NCAP_TLIFE",$AX$10:$AX$16)),0,""))</f>
        <v/>
      </c>
      <c r="R370" s="369" t="str">
        <f ca="1">IF($B370&lt;&gt;"PRC_RESID","",IF(R$7=2005+OFFSET(COM_N_2012!$B$60,$AW370,SUMIF($B$10:$B$16,"NCAP_TLIFE",$AX$10:$AX$16)),0,""))</f>
        <v/>
      </c>
      <c r="S370" s="369" t="str">
        <f ca="1">IF($B370&lt;&gt;"PRC_RESID","",IF(S$7=2005+OFFSET(COM_N_2012!$B$60,$AW370,SUMIF($B$10:$B$16,"NCAP_TLIFE",$AX$10:$AX$16)),0,""))</f>
        <v/>
      </c>
      <c r="T370" s="369" t="str">
        <f ca="1">IF($B370&lt;&gt;"PRC_RESID","",IF(T$7=2005+OFFSET(COM_N_2012!$B$60,$AW370,SUMIF($B$10:$B$16,"NCAP_TLIFE",$AX$10:$AX$16)),0,""))</f>
        <v/>
      </c>
      <c r="U370" s="369" t="str">
        <f ca="1">IF($B370&lt;&gt;"PRC_RESID","",IF(U$7=2005+OFFSET(COM_N_2012!$B$60,$AW370,SUMIF($B$10:$B$16,"NCAP_TLIFE",$AX$10:$AX$16)),0,""))</f>
        <v/>
      </c>
      <c r="V370" s="369" t="str">
        <f ca="1">IF($B370&lt;&gt;"PRC_RESID","",IF(V$7=2005+OFFSET(COM_N_2012!$B$60,$AW370,SUMIF($B$10:$B$16,"NCAP_TLIFE",$AX$10:$AX$16)),0,""))</f>
        <v/>
      </c>
      <c r="W370" s="369" t="str">
        <f ca="1">IF($B370&lt;&gt;"PRC_RESID","",IF(W$7=2005+OFFSET(COM_N_2012!$B$60,$AW370,SUMIF($B$10:$B$16,"NCAP_TLIFE",$AX$10:$AX$16)),0,""))</f>
        <v/>
      </c>
      <c r="X370" s="369" t="str">
        <f ca="1">IF($B370&lt;&gt;"PRC_RESID","",IF(X$7=2005+OFFSET(COM_N_2012!$B$60,$AW370,SUMIF($B$10:$B$16,"NCAP_TLIFE",$AX$10:$AX$16)),0,""))</f>
        <v/>
      </c>
      <c r="Y370" s="369" t="str">
        <f ca="1">IF($B370&lt;&gt;"PRC_RESID","",IF(Y$7=2005+OFFSET(COM_N_2012!$B$60,$AW370,SUMIF($B$10:$B$16,"NCAP_TLIFE",$AX$10:$AX$16)),0,""))</f>
        <v/>
      </c>
      <c r="Z370" s="369" t="str">
        <f ca="1">IF($B370&lt;&gt;"PRC_RESID","",IF(Z$7=2005+OFFSET(COM_N_2012!$B$60,$AW370,SUMIF($B$10:$B$16,"NCAP_TLIFE",$AX$10:$AX$16)),0,""))</f>
        <v/>
      </c>
      <c r="AA370" s="369" t="str">
        <f ca="1">IF($B370&lt;&gt;"PRC_RESID","",IF(AA$7=2005+OFFSET(COM_N_2012!$B$60,$AW370,SUMIF($B$10:$B$16,"NCAP_TLIFE",$AX$10:$AX$16)),0,""))</f>
        <v/>
      </c>
      <c r="AB370" s="369" t="str">
        <f ca="1">IF($B370&lt;&gt;"PRC_RESID","",IF(AB$7=2005+OFFSET(COM_N_2012!$B$60,$AW370,SUMIF($B$10:$B$16,"NCAP_TLIFE",$AX$10:$AX$16)),0,""))</f>
        <v/>
      </c>
      <c r="AC370" s="369" t="str">
        <f ca="1">IF($B370&lt;&gt;"PRC_RESID","",IF(AC$7=2005+OFFSET(COM_N_2012!$B$60,$AW370,SUMIF($B$10:$B$16,"NCAP_TLIFE",$AX$10:$AX$16)),0,""))</f>
        <v/>
      </c>
      <c r="AD370" s="369" t="str">
        <f ca="1">IF($B370&lt;&gt;"PRC_RESID","",IF(AD$7=2005+OFFSET(COM_N_2012!$B$60,$AW370,SUMIF($B$10:$B$16,"NCAP_TLIFE",$AX$10:$AX$16)),0,""))</f>
        <v/>
      </c>
      <c r="AE370" s="369" t="str">
        <f ca="1">IF($B370&lt;&gt;"PRC_RESID","",IF(AE$7=2005+OFFSET(COM_N_2012!$B$60,$AW370,SUMIF($B$10:$B$16,"NCAP_TLIFE",$AX$10:$AX$16)),0,""))</f>
        <v/>
      </c>
      <c r="AF370" s="369" t="str">
        <f ca="1">IF($B370&lt;&gt;"PRC_RESID","",IF(AF$7=2005+OFFSET(COM_N_2012!$B$60,$AW370,SUMIF($B$10:$B$16,"NCAP_TLIFE",$AX$10:$AX$16)),0,""))</f>
        <v/>
      </c>
      <c r="AG370" s="369" t="str">
        <f ca="1">IF($B370&lt;&gt;"PRC_RESID","",IF(AG$7=2005+OFFSET(COM_N_2012!$B$60,$AW370,SUMIF($B$10:$B$16,"NCAP_TLIFE",$AX$10:$AX$16)),0,""))</f>
        <v/>
      </c>
      <c r="AH370" s="369" t="str">
        <f ca="1">IF($B370&lt;&gt;"PRC_RESID","",IF(AH$7=2005+OFFSET(COM_N_2012!$B$60,$AW370,SUMIF($B$10:$B$16,"NCAP_TLIFE",$AX$10:$AX$16)),0,""))</f>
        <v/>
      </c>
      <c r="AI370" s="369" t="str">
        <f ca="1">IF($B370&lt;&gt;"PRC_RESID","",IF(AI$7=2005+OFFSET(COM_N_2012!$B$60,$AW370,SUMIF($B$10:$B$16,"NCAP_TLIFE",$AX$10:$AX$16)),0,""))</f>
        <v/>
      </c>
      <c r="AJ370" s="369" t="str">
        <f ca="1">IF($B370&lt;&gt;"PRC_RESID","",IF(AJ$7=2005+OFFSET(COM_N_2012!$B$60,$AW370,SUMIF($B$10:$B$16,"NCAP_TLIFE",$AX$10:$AX$16)),0,""))</f>
        <v/>
      </c>
      <c r="AK370" s="369" t="str">
        <f ca="1">IF($B370&lt;&gt;"PRC_RESID","",IF(AK$7=2005+OFFSET(COM_N_2012!$B$60,$AW370,SUMIF($B$10:$B$16,"NCAP_TLIFE",$AX$10:$AX$16)),0,""))</f>
        <v/>
      </c>
      <c r="AL370" s="369" t="str">
        <f ca="1">IF($B370&lt;&gt;"PRC_RESID","",IF(AL$7=2005+OFFSET(COM_N_2012!$B$60,$AW370,SUMIF($B$10:$B$16,"NCAP_TLIFE",$AX$10:$AX$16)),0,""))</f>
        <v/>
      </c>
      <c r="AM370" s="369" t="str">
        <f ca="1">IF($B370&lt;&gt;"PRC_RESID","",IF(AM$7=2005+OFFSET(COM_N_2012!$B$60,$AW370,SUMIF($B$10:$B$16,"NCAP_TLIFE",$AX$10:$AX$16)),0,""))</f>
        <v/>
      </c>
      <c r="AN370" s="369" t="str">
        <f ca="1">IF($B370&lt;&gt;"PRC_RESID","",IF(AN$7=2005+OFFSET(COM_N_2012!$B$60,$AW370,SUMIF($B$10:$B$16,"NCAP_TLIFE",$AX$10:$AX$16)),0,""))</f>
        <v/>
      </c>
      <c r="AO370" s="369" t="str">
        <f ca="1">IF($B370&lt;&gt;"PRC_RESID","",IF(AO$7=2005+OFFSET(COM_N_2012!$B$60,$AW370,SUMIF($B$10:$B$16,"NCAP_TLIFE",$AX$10:$AX$16)),0,""))</f>
        <v/>
      </c>
      <c r="AP370" s="369" t="str">
        <f ca="1">IF($B370&lt;&gt;"PRC_RESID","",IF(AP$7=2005+OFFSET(COM_N_2012!$B$60,$AW370,SUMIF($B$10:$B$16,"NCAP_TLIFE",$AX$10:$AX$16)),0,""))</f>
        <v/>
      </c>
      <c r="AQ370" s="369" t="str">
        <f ca="1">IF($B370&lt;&gt;"PRC_RESID","",IF(AQ$7=2005+OFFSET(COM_N_2012!$B$60,$AW370,SUMIF($B$10:$B$16,"NCAP_TLIFE",$AX$10:$AX$16)),0,""))</f>
        <v/>
      </c>
      <c r="AR370" s="369" t="str">
        <f ca="1">IF($B370&lt;&gt;"PRC_RESID","",IF(AR$7=2005+OFFSET(COM_N_2012!$B$60,$AW370,SUMIF($B$10:$B$16,"NCAP_TLIFE",$AX$10:$AX$16)),0,""))</f>
        <v/>
      </c>
      <c r="AS370" s="369" t="str">
        <f ca="1">IF($B370&lt;&gt;"PRC_RESID","",IF(AS$7=2005+OFFSET(COM_N_2012!$B$60,$AW370,SUMIF($B$10:$B$16,"NCAP_TLIFE",$AX$10:$AX$16)),0,""))</f>
        <v/>
      </c>
      <c r="AT370" s="369" t="str">
        <f ca="1">IF($B370&lt;&gt;"PRC_RESID","",IF(AT$7=2005+OFFSET(COM_N_2012!$B$60,$AW370,SUMIF($B$10:$B$16,"NCAP_TLIFE",$AX$10:$AX$16)),0,""))</f>
        <v/>
      </c>
      <c r="AU370" s="369" t="str">
        <f ca="1">IF($B370&lt;&gt;"PRC_RESID","",IF(AU$7=2005+OFFSET(COM_N_2012!$B$60,$AW370,SUMIF($B$10:$B$16,"NCAP_TLIFE",$AX$10:$AX$16)),0,""))</f>
        <v/>
      </c>
      <c r="AV370" s="304">
        <f>IF(AW369=COM_N_2012!$AK$121,AV369+1,AV369)</f>
        <v>6</v>
      </c>
      <c r="AW370" s="304">
        <f t="shared" si="51"/>
        <v>48</v>
      </c>
    </row>
    <row r="371" spans="1:49">
      <c r="A371" s="304" t="str">
        <f ca="1">IF(LEFT(OFFSET(COM_N_2012!$A$60,AW371,0),2)="\I","*","")</f>
        <v>*</v>
      </c>
      <c r="B371" s="369" t="str">
        <f t="shared" ca="1" si="49"/>
        <v/>
      </c>
      <c r="C371" s="369" t="str">
        <f ca="1">IF($A371="*","",OFFSET(COM_N_2012!$B$60,AW371,0))</f>
        <v/>
      </c>
      <c r="D371" s="369" t="str">
        <f t="shared" ca="1" si="50"/>
        <v/>
      </c>
      <c r="E371" s="369" t="str">
        <f t="shared" ca="1" si="50"/>
        <v/>
      </c>
      <c r="F371" s="369" t="str">
        <f t="shared" ca="1" si="50"/>
        <v/>
      </c>
      <c r="G371" s="369" t="str">
        <f t="shared" ca="1" si="50"/>
        <v/>
      </c>
      <c r="H371" s="369" t="str">
        <f t="shared" ca="1" si="50"/>
        <v/>
      </c>
      <c r="I371" s="370" t="str">
        <f t="shared" ca="1" si="50"/>
        <v/>
      </c>
      <c r="J371" s="391" t="str">
        <f ca="1">IF($A371="*","",OFFSET(COM_N_2012!$B$60,AW371,SUMIF($B$10:$B$16,B371,$AX$10:$AX$16)))</f>
        <v/>
      </c>
      <c r="K371" s="369" t="str">
        <f ca="1">IF($B371&lt;&gt;"PRC_RESID","",IF(K$7=2005+OFFSET(COM_N_2012!$B$60,$AW371,SUMIF($B$10:$B$16,"NCAP_TLIFE",$AX$10:$AX$16)),0,""))</f>
        <v/>
      </c>
      <c r="L371" s="369" t="str">
        <f ca="1">IF($B371&lt;&gt;"PRC_RESID","",IF(L$7=2005+OFFSET(COM_N_2012!$B$60,$AW371,SUMIF($B$10:$B$16,"NCAP_TLIFE",$AX$10:$AX$16)),0,""))</f>
        <v/>
      </c>
      <c r="M371" s="369" t="str">
        <f ca="1">IF($B371&lt;&gt;"PRC_RESID","",IF(M$7=2005+OFFSET(COM_N_2012!$B$60,$AW371,SUMIF($B$10:$B$16,"NCAP_TLIFE",$AX$10:$AX$16)),0,""))</f>
        <v/>
      </c>
      <c r="N371" s="369" t="str">
        <f ca="1">IF($B371&lt;&gt;"PRC_RESID","",IF(N$7=2005+OFFSET(COM_N_2012!$B$60,$AW371,SUMIF($B$10:$B$16,"NCAP_TLIFE",$AX$10:$AX$16)),0,""))</f>
        <v/>
      </c>
      <c r="O371" s="369" t="str">
        <f ca="1">IF($B371&lt;&gt;"PRC_RESID","",IF(O$7=2005+OFFSET(COM_N_2012!$B$60,$AW371,SUMIF($B$10:$B$16,"NCAP_TLIFE",$AX$10:$AX$16)),0,""))</f>
        <v/>
      </c>
      <c r="P371" s="369" t="str">
        <f ca="1">IF($B371&lt;&gt;"PRC_RESID","",IF(P$7=2005+OFFSET(COM_N_2012!$B$60,$AW371,SUMIF($B$10:$B$16,"NCAP_TLIFE",$AX$10:$AX$16)),0,""))</f>
        <v/>
      </c>
      <c r="Q371" s="369" t="str">
        <f ca="1">IF($B371&lt;&gt;"PRC_RESID","",IF(Q$7=2005+OFFSET(COM_N_2012!$B$60,$AW371,SUMIF($B$10:$B$16,"NCAP_TLIFE",$AX$10:$AX$16)),0,""))</f>
        <v/>
      </c>
      <c r="R371" s="369" t="str">
        <f ca="1">IF($B371&lt;&gt;"PRC_RESID","",IF(R$7=2005+OFFSET(COM_N_2012!$B$60,$AW371,SUMIF($B$10:$B$16,"NCAP_TLIFE",$AX$10:$AX$16)),0,""))</f>
        <v/>
      </c>
      <c r="S371" s="369" t="str">
        <f ca="1">IF($B371&lt;&gt;"PRC_RESID","",IF(S$7=2005+OFFSET(COM_N_2012!$B$60,$AW371,SUMIF($B$10:$B$16,"NCAP_TLIFE",$AX$10:$AX$16)),0,""))</f>
        <v/>
      </c>
      <c r="T371" s="369" t="str">
        <f ca="1">IF($B371&lt;&gt;"PRC_RESID","",IF(T$7=2005+OFFSET(COM_N_2012!$B$60,$AW371,SUMIF($B$10:$B$16,"NCAP_TLIFE",$AX$10:$AX$16)),0,""))</f>
        <v/>
      </c>
      <c r="U371" s="369" t="str">
        <f ca="1">IF($B371&lt;&gt;"PRC_RESID","",IF(U$7=2005+OFFSET(COM_N_2012!$B$60,$AW371,SUMIF($B$10:$B$16,"NCAP_TLIFE",$AX$10:$AX$16)),0,""))</f>
        <v/>
      </c>
      <c r="V371" s="369" t="str">
        <f ca="1">IF($B371&lt;&gt;"PRC_RESID","",IF(V$7=2005+OFFSET(COM_N_2012!$B$60,$AW371,SUMIF($B$10:$B$16,"NCAP_TLIFE",$AX$10:$AX$16)),0,""))</f>
        <v/>
      </c>
      <c r="W371" s="369" t="str">
        <f ca="1">IF($B371&lt;&gt;"PRC_RESID","",IF(W$7=2005+OFFSET(COM_N_2012!$B$60,$AW371,SUMIF($B$10:$B$16,"NCAP_TLIFE",$AX$10:$AX$16)),0,""))</f>
        <v/>
      </c>
      <c r="X371" s="369" t="str">
        <f ca="1">IF($B371&lt;&gt;"PRC_RESID","",IF(X$7=2005+OFFSET(COM_N_2012!$B$60,$AW371,SUMIF($B$10:$B$16,"NCAP_TLIFE",$AX$10:$AX$16)),0,""))</f>
        <v/>
      </c>
      <c r="Y371" s="369" t="str">
        <f ca="1">IF($B371&lt;&gt;"PRC_RESID","",IF(Y$7=2005+OFFSET(COM_N_2012!$B$60,$AW371,SUMIF($B$10:$B$16,"NCAP_TLIFE",$AX$10:$AX$16)),0,""))</f>
        <v/>
      </c>
      <c r="Z371" s="369" t="str">
        <f ca="1">IF($B371&lt;&gt;"PRC_RESID","",IF(Z$7=2005+OFFSET(COM_N_2012!$B$60,$AW371,SUMIF($B$10:$B$16,"NCAP_TLIFE",$AX$10:$AX$16)),0,""))</f>
        <v/>
      </c>
      <c r="AA371" s="369" t="str">
        <f ca="1">IF($B371&lt;&gt;"PRC_RESID","",IF(AA$7=2005+OFFSET(COM_N_2012!$B$60,$AW371,SUMIF($B$10:$B$16,"NCAP_TLIFE",$AX$10:$AX$16)),0,""))</f>
        <v/>
      </c>
      <c r="AB371" s="369" t="str">
        <f ca="1">IF($B371&lt;&gt;"PRC_RESID","",IF(AB$7=2005+OFFSET(COM_N_2012!$B$60,$AW371,SUMIF($B$10:$B$16,"NCAP_TLIFE",$AX$10:$AX$16)),0,""))</f>
        <v/>
      </c>
      <c r="AC371" s="369" t="str">
        <f ca="1">IF($B371&lt;&gt;"PRC_RESID","",IF(AC$7=2005+OFFSET(COM_N_2012!$B$60,$AW371,SUMIF($B$10:$B$16,"NCAP_TLIFE",$AX$10:$AX$16)),0,""))</f>
        <v/>
      </c>
      <c r="AD371" s="369" t="str">
        <f ca="1">IF($B371&lt;&gt;"PRC_RESID","",IF(AD$7=2005+OFFSET(COM_N_2012!$B$60,$AW371,SUMIF($B$10:$B$16,"NCAP_TLIFE",$AX$10:$AX$16)),0,""))</f>
        <v/>
      </c>
      <c r="AE371" s="369" t="str">
        <f ca="1">IF($B371&lt;&gt;"PRC_RESID","",IF(AE$7=2005+OFFSET(COM_N_2012!$B$60,$AW371,SUMIF($B$10:$B$16,"NCAP_TLIFE",$AX$10:$AX$16)),0,""))</f>
        <v/>
      </c>
      <c r="AF371" s="369" t="str">
        <f ca="1">IF($B371&lt;&gt;"PRC_RESID","",IF(AF$7=2005+OFFSET(COM_N_2012!$B$60,$AW371,SUMIF($B$10:$B$16,"NCAP_TLIFE",$AX$10:$AX$16)),0,""))</f>
        <v/>
      </c>
      <c r="AG371" s="369" t="str">
        <f ca="1">IF($B371&lt;&gt;"PRC_RESID","",IF(AG$7=2005+OFFSET(COM_N_2012!$B$60,$AW371,SUMIF($B$10:$B$16,"NCAP_TLIFE",$AX$10:$AX$16)),0,""))</f>
        <v/>
      </c>
      <c r="AH371" s="369" t="str">
        <f ca="1">IF($B371&lt;&gt;"PRC_RESID","",IF(AH$7=2005+OFFSET(COM_N_2012!$B$60,$AW371,SUMIF($B$10:$B$16,"NCAP_TLIFE",$AX$10:$AX$16)),0,""))</f>
        <v/>
      </c>
      <c r="AI371" s="369" t="str">
        <f ca="1">IF($B371&lt;&gt;"PRC_RESID","",IF(AI$7=2005+OFFSET(COM_N_2012!$B$60,$AW371,SUMIF($B$10:$B$16,"NCAP_TLIFE",$AX$10:$AX$16)),0,""))</f>
        <v/>
      </c>
      <c r="AJ371" s="369" t="str">
        <f ca="1">IF($B371&lt;&gt;"PRC_RESID","",IF(AJ$7=2005+OFFSET(COM_N_2012!$B$60,$AW371,SUMIF($B$10:$B$16,"NCAP_TLIFE",$AX$10:$AX$16)),0,""))</f>
        <v/>
      </c>
      <c r="AK371" s="369" t="str">
        <f ca="1">IF($B371&lt;&gt;"PRC_RESID","",IF(AK$7=2005+OFFSET(COM_N_2012!$B$60,$AW371,SUMIF($B$10:$B$16,"NCAP_TLIFE",$AX$10:$AX$16)),0,""))</f>
        <v/>
      </c>
      <c r="AL371" s="369" t="str">
        <f ca="1">IF($B371&lt;&gt;"PRC_RESID","",IF(AL$7=2005+OFFSET(COM_N_2012!$B$60,$AW371,SUMIF($B$10:$B$16,"NCAP_TLIFE",$AX$10:$AX$16)),0,""))</f>
        <v/>
      </c>
      <c r="AM371" s="369" t="str">
        <f ca="1">IF($B371&lt;&gt;"PRC_RESID","",IF(AM$7=2005+OFFSET(COM_N_2012!$B$60,$AW371,SUMIF($B$10:$B$16,"NCAP_TLIFE",$AX$10:$AX$16)),0,""))</f>
        <v/>
      </c>
      <c r="AN371" s="369" t="str">
        <f ca="1">IF($B371&lt;&gt;"PRC_RESID","",IF(AN$7=2005+OFFSET(COM_N_2012!$B$60,$AW371,SUMIF($B$10:$B$16,"NCAP_TLIFE",$AX$10:$AX$16)),0,""))</f>
        <v/>
      </c>
      <c r="AO371" s="369" t="str">
        <f ca="1">IF($B371&lt;&gt;"PRC_RESID","",IF(AO$7=2005+OFFSET(COM_N_2012!$B$60,$AW371,SUMIF($B$10:$B$16,"NCAP_TLIFE",$AX$10:$AX$16)),0,""))</f>
        <v/>
      </c>
      <c r="AP371" s="369" t="str">
        <f ca="1">IF($B371&lt;&gt;"PRC_RESID","",IF(AP$7=2005+OFFSET(COM_N_2012!$B$60,$AW371,SUMIF($B$10:$B$16,"NCAP_TLIFE",$AX$10:$AX$16)),0,""))</f>
        <v/>
      </c>
      <c r="AQ371" s="369" t="str">
        <f ca="1">IF($B371&lt;&gt;"PRC_RESID","",IF(AQ$7=2005+OFFSET(COM_N_2012!$B$60,$AW371,SUMIF($B$10:$B$16,"NCAP_TLIFE",$AX$10:$AX$16)),0,""))</f>
        <v/>
      </c>
      <c r="AR371" s="369" t="str">
        <f ca="1">IF($B371&lt;&gt;"PRC_RESID","",IF(AR$7=2005+OFFSET(COM_N_2012!$B$60,$AW371,SUMIF($B$10:$B$16,"NCAP_TLIFE",$AX$10:$AX$16)),0,""))</f>
        <v/>
      </c>
      <c r="AS371" s="369" t="str">
        <f ca="1">IF($B371&lt;&gt;"PRC_RESID","",IF(AS$7=2005+OFFSET(COM_N_2012!$B$60,$AW371,SUMIF($B$10:$B$16,"NCAP_TLIFE",$AX$10:$AX$16)),0,""))</f>
        <v/>
      </c>
      <c r="AT371" s="369" t="str">
        <f ca="1">IF($B371&lt;&gt;"PRC_RESID","",IF(AT$7=2005+OFFSET(COM_N_2012!$B$60,$AW371,SUMIF($B$10:$B$16,"NCAP_TLIFE",$AX$10:$AX$16)),0,""))</f>
        <v/>
      </c>
      <c r="AU371" s="369" t="str">
        <f ca="1">IF($B371&lt;&gt;"PRC_RESID","",IF(AU$7=2005+OFFSET(COM_N_2012!$B$60,$AW371,SUMIF($B$10:$B$16,"NCAP_TLIFE",$AX$10:$AX$16)),0,""))</f>
        <v/>
      </c>
      <c r="AV371" s="304">
        <f>IF(AW370=COM_N_2012!$AK$121,AV370+1,AV370)</f>
        <v>6</v>
      </c>
      <c r="AW371" s="304">
        <f t="shared" si="51"/>
        <v>49</v>
      </c>
    </row>
    <row r="372" spans="1:49">
      <c r="A372" s="304" t="str">
        <f ca="1">IF(LEFT(OFFSET(COM_N_2012!$A$60,AW372,0),2)="\I","*","")</f>
        <v/>
      </c>
      <c r="B372" s="369" t="str">
        <f t="shared" ca="1" si="49"/>
        <v>PRC_RESID</v>
      </c>
      <c r="C372" s="369" t="str">
        <f ca="1">IF($A372="*","",OFFSET(COM_N_2012!$B$60,AW372,0))</f>
        <v>CNTELC-E</v>
      </c>
      <c r="D372" s="369" t="str">
        <f t="shared" ca="1" si="50"/>
        <v>-</v>
      </c>
      <c r="E372" s="369" t="str">
        <f t="shared" ca="1" si="50"/>
        <v>-</v>
      </c>
      <c r="F372" s="369" t="str">
        <f t="shared" ca="1" si="50"/>
        <v>-</v>
      </c>
      <c r="G372" s="369" t="str">
        <f t="shared" ca="1" si="50"/>
        <v>-</v>
      </c>
      <c r="H372" s="369" t="str">
        <f t="shared" ca="1" si="50"/>
        <v>-</v>
      </c>
      <c r="I372" s="370">
        <f t="shared" ca="1" si="50"/>
        <v>0</v>
      </c>
      <c r="J372" s="391">
        <f ca="1">IF($A372="*","",OFFSET(COM_N_2012!$B$60,AW372,SUMIF($B$10:$B$16,B372,$AX$10:$AX$16)))</f>
        <v>0</v>
      </c>
      <c r="K372" s="369" t="str">
        <f ca="1">IF($B372&lt;&gt;"PRC_RESID","",IF(K$7=2005+OFFSET(COM_N_2012!$B$60,$AW372,SUMIF($B$10:$B$16,"NCAP_TLIFE",$AX$10:$AX$16)),0,""))</f>
        <v/>
      </c>
      <c r="L372" s="369" t="str">
        <f ca="1">IF($B372&lt;&gt;"PRC_RESID","",IF(L$7=2005+OFFSET(COM_N_2012!$B$60,$AW372,SUMIF($B$10:$B$16,"NCAP_TLIFE",$AX$10:$AX$16)),0,""))</f>
        <v/>
      </c>
      <c r="M372" s="369" t="str">
        <f ca="1">IF($B372&lt;&gt;"PRC_RESID","",IF(M$7=2005+OFFSET(COM_N_2012!$B$60,$AW372,SUMIF($B$10:$B$16,"NCAP_TLIFE",$AX$10:$AX$16)),0,""))</f>
        <v/>
      </c>
      <c r="N372" s="369" t="str">
        <f ca="1">IF($B372&lt;&gt;"PRC_RESID","",IF(N$7=2005+OFFSET(COM_N_2012!$B$60,$AW372,SUMIF($B$10:$B$16,"NCAP_TLIFE",$AX$10:$AX$16)),0,""))</f>
        <v/>
      </c>
      <c r="O372" s="369" t="str">
        <f ca="1">IF($B372&lt;&gt;"PRC_RESID","",IF(O$7=2005+OFFSET(COM_N_2012!$B$60,$AW372,SUMIF($B$10:$B$16,"NCAP_TLIFE",$AX$10:$AX$16)),0,""))</f>
        <v/>
      </c>
      <c r="P372" s="369" t="str">
        <f ca="1">IF($B372&lt;&gt;"PRC_RESID","",IF(P$7=2005+OFFSET(COM_N_2012!$B$60,$AW372,SUMIF($B$10:$B$16,"NCAP_TLIFE",$AX$10:$AX$16)),0,""))</f>
        <v/>
      </c>
      <c r="Q372" s="369" t="str">
        <f ca="1">IF($B372&lt;&gt;"PRC_RESID","",IF(Q$7=2005+OFFSET(COM_N_2012!$B$60,$AW372,SUMIF($B$10:$B$16,"NCAP_TLIFE",$AX$10:$AX$16)),0,""))</f>
        <v/>
      </c>
      <c r="R372" s="369">
        <f ca="1">IF($B372&lt;&gt;"PRC_RESID","",IF(R$7=2005+OFFSET(COM_N_2012!$B$60,$AW372,SUMIF($B$10:$B$16,"NCAP_TLIFE",$AX$10:$AX$16)),0,""))</f>
        <v>0</v>
      </c>
      <c r="S372" s="369" t="str">
        <f ca="1">IF($B372&lt;&gt;"PRC_RESID","",IF(S$7=2005+OFFSET(COM_N_2012!$B$60,$AW372,SUMIF($B$10:$B$16,"NCAP_TLIFE",$AX$10:$AX$16)),0,""))</f>
        <v/>
      </c>
      <c r="T372" s="369" t="str">
        <f ca="1">IF($B372&lt;&gt;"PRC_RESID","",IF(T$7=2005+OFFSET(COM_N_2012!$B$60,$AW372,SUMIF($B$10:$B$16,"NCAP_TLIFE",$AX$10:$AX$16)),0,""))</f>
        <v/>
      </c>
      <c r="U372" s="369" t="str">
        <f ca="1">IF($B372&lt;&gt;"PRC_RESID","",IF(U$7=2005+OFFSET(COM_N_2012!$B$60,$AW372,SUMIF($B$10:$B$16,"NCAP_TLIFE",$AX$10:$AX$16)),0,""))</f>
        <v/>
      </c>
      <c r="V372" s="369" t="str">
        <f ca="1">IF($B372&lt;&gt;"PRC_RESID","",IF(V$7=2005+OFFSET(COM_N_2012!$B$60,$AW372,SUMIF($B$10:$B$16,"NCAP_TLIFE",$AX$10:$AX$16)),0,""))</f>
        <v/>
      </c>
      <c r="W372" s="369" t="str">
        <f ca="1">IF($B372&lt;&gt;"PRC_RESID","",IF(W$7=2005+OFFSET(COM_N_2012!$B$60,$AW372,SUMIF($B$10:$B$16,"NCAP_TLIFE",$AX$10:$AX$16)),0,""))</f>
        <v/>
      </c>
      <c r="X372" s="369" t="str">
        <f ca="1">IF($B372&lt;&gt;"PRC_RESID","",IF(X$7=2005+OFFSET(COM_N_2012!$B$60,$AW372,SUMIF($B$10:$B$16,"NCAP_TLIFE",$AX$10:$AX$16)),0,""))</f>
        <v/>
      </c>
      <c r="Y372" s="369" t="str">
        <f ca="1">IF($B372&lt;&gt;"PRC_RESID","",IF(Y$7=2005+OFFSET(COM_N_2012!$B$60,$AW372,SUMIF($B$10:$B$16,"NCAP_TLIFE",$AX$10:$AX$16)),0,""))</f>
        <v/>
      </c>
      <c r="Z372" s="369" t="str">
        <f ca="1">IF($B372&lt;&gt;"PRC_RESID","",IF(Z$7=2005+OFFSET(COM_N_2012!$B$60,$AW372,SUMIF($B$10:$B$16,"NCAP_TLIFE",$AX$10:$AX$16)),0,""))</f>
        <v/>
      </c>
      <c r="AA372" s="369" t="str">
        <f ca="1">IF($B372&lt;&gt;"PRC_RESID","",IF(AA$7=2005+OFFSET(COM_N_2012!$B$60,$AW372,SUMIF($B$10:$B$16,"NCAP_TLIFE",$AX$10:$AX$16)),0,""))</f>
        <v/>
      </c>
      <c r="AB372" s="369" t="str">
        <f ca="1">IF($B372&lt;&gt;"PRC_RESID","",IF(AB$7=2005+OFFSET(COM_N_2012!$B$60,$AW372,SUMIF($B$10:$B$16,"NCAP_TLIFE",$AX$10:$AX$16)),0,""))</f>
        <v/>
      </c>
      <c r="AC372" s="369" t="str">
        <f ca="1">IF($B372&lt;&gt;"PRC_RESID","",IF(AC$7=2005+OFFSET(COM_N_2012!$B$60,$AW372,SUMIF($B$10:$B$16,"NCAP_TLIFE",$AX$10:$AX$16)),0,""))</f>
        <v/>
      </c>
      <c r="AD372" s="369" t="str">
        <f ca="1">IF($B372&lt;&gt;"PRC_RESID","",IF(AD$7=2005+OFFSET(COM_N_2012!$B$60,$AW372,SUMIF($B$10:$B$16,"NCAP_TLIFE",$AX$10:$AX$16)),0,""))</f>
        <v/>
      </c>
      <c r="AE372" s="369" t="str">
        <f ca="1">IF($B372&lt;&gt;"PRC_RESID","",IF(AE$7=2005+OFFSET(COM_N_2012!$B$60,$AW372,SUMIF($B$10:$B$16,"NCAP_TLIFE",$AX$10:$AX$16)),0,""))</f>
        <v/>
      </c>
      <c r="AF372" s="369" t="str">
        <f ca="1">IF($B372&lt;&gt;"PRC_RESID","",IF(AF$7=2005+OFFSET(COM_N_2012!$B$60,$AW372,SUMIF($B$10:$B$16,"NCAP_TLIFE",$AX$10:$AX$16)),0,""))</f>
        <v/>
      </c>
      <c r="AG372" s="369" t="str">
        <f ca="1">IF($B372&lt;&gt;"PRC_RESID","",IF(AG$7=2005+OFFSET(COM_N_2012!$B$60,$AW372,SUMIF($B$10:$B$16,"NCAP_TLIFE",$AX$10:$AX$16)),0,""))</f>
        <v/>
      </c>
      <c r="AH372" s="369" t="str">
        <f ca="1">IF($B372&lt;&gt;"PRC_RESID","",IF(AH$7=2005+OFFSET(COM_N_2012!$B$60,$AW372,SUMIF($B$10:$B$16,"NCAP_TLIFE",$AX$10:$AX$16)),0,""))</f>
        <v/>
      </c>
      <c r="AI372" s="369" t="str">
        <f ca="1">IF($B372&lt;&gt;"PRC_RESID","",IF(AI$7=2005+OFFSET(COM_N_2012!$B$60,$AW372,SUMIF($B$10:$B$16,"NCAP_TLIFE",$AX$10:$AX$16)),0,""))</f>
        <v/>
      </c>
      <c r="AJ372" s="369" t="str">
        <f ca="1">IF($B372&lt;&gt;"PRC_RESID","",IF(AJ$7=2005+OFFSET(COM_N_2012!$B$60,$AW372,SUMIF($B$10:$B$16,"NCAP_TLIFE",$AX$10:$AX$16)),0,""))</f>
        <v/>
      </c>
      <c r="AK372" s="369" t="str">
        <f ca="1">IF($B372&lt;&gt;"PRC_RESID","",IF(AK$7=2005+OFFSET(COM_N_2012!$B$60,$AW372,SUMIF($B$10:$B$16,"NCAP_TLIFE",$AX$10:$AX$16)),0,""))</f>
        <v/>
      </c>
      <c r="AL372" s="369" t="str">
        <f ca="1">IF($B372&lt;&gt;"PRC_RESID","",IF(AL$7=2005+OFFSET(COM_N_2012!$B$60,$AW372,SUMIF($B$10:$B$16,"NCAP_TLIFE",$AX$10:$AX$16)),0,""))</f>
        <v/>
      </c>
      <c r="AM372" s="369" t="str">
        <f ca="1">IF($B372&lt;&gt;"PRC_RESID","",IF(AM$7=2005+OFFSET(COM_N_2012!$B$60,$AW372,SUMIF($B$10:$B$16,"NCAP_TLIFE",$AX$10:$AX$16)),0,""))</f>
        <v/>
      </c>
      <c r="AN372" s="369" t="str">
        <f ca="1">IF($B372&lt;&gt;"PRC_RESID","",IF(AN$7=2005+OFFSET(COM_N_2012!$B$60,$AW372,SUMIF($B$10:$B$16,"NCAP_TLIFE",$AX$10:$AX$16)),0,""))</f>
        <v/>
      </c>
      <c r="AO372" s="369" t="str">
        <f ca="1">IF($B372&lt;&gt;"PRC_RESID","",IF(AO$7=2005+OFFSET(COM_N_2012!$B$60,$AW372,SUMIF($B$10:$B$16,"NCAP_TLIFE",$AX$10:$AX$16)),0,""))</f>
        <v/>
      </c>
      <c r="AP372" s="369" t="str">
        <f ca="1">IF($B372&lt;&gt;"PRC_RESID","",IF(AP$7=2005+OFFSET(COM_N_2012!$B$60,$AW372,SUMIF($B$10:$B$16,"NCAP_TLIFE",$AX$10:$AX$16)),0,""))</f>
        <v/>
      </c>
      <c r="AQ372" s="369" t="str">
        <f ca="1">IF($B372&lt;&gt;"PRC_RESID","",IF(AQ$7=2005+OFFSET(COM_N_2012!$B$60,$AW372,SUMIF($B$10:$B$16,"NCAP_TLIFE",$AX$10:$AX$16)),0,""))</f>
        <v/>
      </c>
      <c r="AR372" s="369" t="str">
        <f ca="1">IF($B372&lt;&gt;"PRC_RESID","",IF(AR$7=2005+OFFSET(COM_N_2012!$B$60,$AW372,SUMIF($B$10:$B$16,"NCAP_TLIFE",$AX$10:$AX$16)),0,""))</f>
        <v/>
      </c>
      <c r="AS372" s="369" t="str">
        <f ca="1">IF($B372&lt;&gt;"PRC_RESID","",IF(AS$7=2005+OFFSET(COM_N_2012!$B$60,$AW372,SUMIF($B$10:$B$16,"NCAP_TLIFE",$AX$10:$AX$16)),0,""))</f>
        <v/>
      </c>
      <c r="AT372" s="369" t="str">
        <f ca="1">IF($B372&lt;&gt;"PRC_RESID","",IF(AT$7=2005+OFFSET(COM_N_2012!$B$60,$AW372,SUMIF($B$10:$B$16,"NCAP_TLIFE",$AX$10:$AX$16)),0,""))</f>
        <v/>
      </c>
      <c r="AU372" s="369" t="str">
        <f ca="1">IF($B372&lt;&gt;"PRC_RESID","",IF(AU$7=2005+OFFSET(COM_N_2012!$B$60,$AW372,SUMIF($B$10:$B$16,"NCAP_TLIFE",$AX$10:$AX$16)),0,""))</f>
        <v/>
      </c>
      <c r="AV372" s="304">
        <f>IF(AW371=COM_N_2012!$AK$121,AV371+1,AV371)</f>
        <v>6</v>
      </c>
      <c r="AW372" s="304">
        <f t="shared" si="51"/>
        <v>50</v>
      </c>
    </row>
    <row r="373" spans="1:49">
      <c r="A373" s="304" t="str">
        <f ca="1">IF(LEFT(OFFSET(COM_N_2012!$A$60,AW373,0),2)="\I","*","")</f>
        <v>*</v>
      </c>
      <c r="B373" s="369" t="str">
        <f t="shared" ca="1" si="49"/>
        <v/>
      </c>
      <c r="C373" s="369" t="str">
        <f ca="1">IF($A373="*","",OFFSET(COM_N_2012!$B$60,AW373,0))</f>
        <v/>
      </c>
      <c r="D373" s="369" t="str">
        <f t="shared" ca="1" si="50"/>
        <v/>
      </c>
      <c r="E373" s="369" t="str">
        <f t="shared" ca="1" si="50"/>
        <v/>
      </c>
      <c r="F373" s="369" t="str">
        <f t="shared" ca="1" si="50"/>
        <v/>
      </c>
      <c r="G373" s="369" t="str">
        <f t="shared" ca="1" si="50"/>
        <v/>
      </c>
      <c r="H373" s="369" t="str">
        <f t="shared" ca="1" si="50"/>
        <v/>
      </c>
      <c r="I373" s="370" t="str">
        <f t="shared" ca="1" si="50"/>
        <v/>
      </c>
      <c r="J373" s="391" t="str">
        <f ca="1">IF($A373="*","",OFFSET(COM_N_2012!$B$60,AW373,SUMIF($B$10:$B$16,B373,$AX$10:$AX$16)))</f>
        <v/>
      </c>
      <c r="K373" s="369" t="str">
        <f ca="1">IF($B373&lt;&gt;"PRC_RESID","",IF(K$7=2005+OFFSET(COM_N_2012!$B$60,$AW373,SUMIF($B$10:$B$16,"NCAP_TLIFE",$AX$10:$AX$16)),0,""))</f>
        <v/>
      </c>
      <c r="L373" s="369" t="str">
        <f ca="1">IF($B373&lt;&gt;"PRC_RESID","",IF(L$7=2005+OFFSET(COM_N_2012!$B$60,$AW373,SUMIF($B$10:$B$16,"NCAP_TLIFE",$AX$10:$AX$16)),0,""))</f>
        <v/>
      </c>
      <c r="M373" s="369" t="str">
        <f ca="1">IF($B373&lt;&gt;"PRC_RESID","",IF(M$7=2005+OFFSET(COM_N_2012!$B$60,$AW373,SUMIF($B$10:$B$16,"NCAP_TLIFE",$AX$10:$AX$16)),0,""))</f>
        <v/>
      </c>
      <c r="N373" s="369" t="str">
        <f ca="1">IF($B373&lt;&gt;"PRC_RESID","",IF(N$7=2005+OFFSET(COM_N_2012!$B$60,$AW373,SUMIF($B$10:$B$16,"NCAP_TLIFE",$AX$10:$AX$16)),0,""))</f>
        <v/>
      </c>
      <c r="O373" s="369" t="str">
        <f ca="1">IF($B373&lt;&gt;"PRC_RESID","",IF(O$7=2005+OFFSET(COM_N_2012!$B$60,$AW373,SUMIF($B$10:$B$16,"NCAP_TLIFE",$AX$10:$AX$16)),0,""))</f>
        <v/>
      </c>
      <c r="P373" s="369" t="str">
        <f ca="1">IF($B373&lt;&gt;"PRC_RESID","",IF(P$7=2005+OFFSET(COM_N_2012!$B$60,$AW373,SUMIF($B$10:$B$16,"NCAP_TLIFE",$AX$10:$AX$16)),0,""))</f>
        <v/>
      </c>
      <c r="Q373" s="369" t="str">
        <f ca="1">IF($B373&lt;&gt;"PRC_RESID","",IF(Q$7=2005+OFFSET(COM_N_2012!$B$60,$AW373,SUMIF($B$10:$B$16,"NCAP_TLIFE",$AX$10:$AX$16)),0,""))</f>
        <v/>
      </c>
      <c r="R373" s="369" t="str">
        <f ca="1">IF($B373&lt;&gt;"PRC_RESID","",IF(R$7=2005+OFFSET(COM_N_2012!$B$60,$AW373,SUMIF($B$10:$B$16,"NCAP_TLIFE",$AX$10:$AX$16)),0,""))</f>
        <v/>
      </c>
      <c r="S373" s="369" t="str">
        <f ca="1">IF($B373&lt;&gt;"PRC_RESID","",IF(S$7=2005+OFFSET(COM_N_2012!$B$60,$AW373,SUMIF($B$10:$B$16,"NCAP_TLIFE",$AX$10:$AX$16)),0,""))</f>
        <v/>
      </c>
      <c r="T373" s="369" t="str">
        <f ca="1">IF($B373&lt;&gt;"PRC_RESID","",IF(T$7=2005+OFFSET(COM_N_2012!$B$60,$AW373,SUMIF($B$10:$B$16,"NCAP_TLIFE",$AX$10:$AX$16)),0,""))</f>
        <v/>
      </c>
      <c r="U373" s="369" t="str">
        <f ca="1">IF($B373&lt;&gt;"PRC_RESID","",IF(U$7=2005+OFFSET(COM_N_2012!$B$60,$AW373,SUMIF($B$10:$B$16,"NCAP_TLIFE",$AX$10:$AX$16)),0,""))</f>
        <v/>
      </c>
      <c r="V373" s="369" t="str">
        <f ca="1">IF($B373&lt;&gt;"PRC_RESID","",IF(V$7=2005+OFFSET(COM_N_2012!$B$60,$AW373,SUMIF($B$10:$B$16,"NCAP_TLIFE",$AX$10:$AX$16)),0,""))</f>
        <v/>
      </c>
      <c r="W373" s="369" t="str">
        <f ca="1">IF($B373&lt;&gt;"PRC_RESID","",IF(W$7=2005+OFFSET(COM_N_2012!$B$60,$AW373,SUMIF($B$10:$B$16,"NCAP_TLIFE",$AX$10:$AX$16)),0,""))</f>
        <v/>
      </c>
      <c r="X373" s="369" t="str">
        <f ca="1">IF($B373&lt;&gt;"PRC_RESID","",IF(X$7=2005+OFFSET(COM_N_2012!$B$60,$AW373,SUMIF($B$10:$B$16,"NCAP_TLIFE",$AX$10:$AX$16)),0,""))</f>
        <v/>
      </c>
      <c r="Y373" s="369" t="str">
        <f ca="1">IF($B373&lt;&gt;"PRC_RESID","",IF(Y$7=2005+OFFSET(COM_N_2012!$B$60,$AW373,SUMIF($B$10:$B$16,"NCAP_TLIFE",$AX$10:$AX$16)),0,""))</f>
        <v/>
      </c>
      <c r="Z373" s="369" t="str">
        <f ca="1">IF($B373&lt;&gt;"PRC_RESID","",IF(Z$7=2005+OFFSET(COM_N_2012!$B$60,$AW373,SUMIF($B$10:$B$16,"NCAP_TLIFE",$AX$10:$AX$16)),0,""))</f>
        <v/>
      </c>
      <c r="AA373" s="369" t="str">
        <f ca="1">IF($B373&lt;&gt;"PRC_RESID","",IF(AA$7=2005+OFFSET(COM_N_2012!$B$60,$AW373,SUMIF($B$10:$B$16,"NCAP_TLIFE",$AX$10:$AX$16)),0,""))</f>
        <v/>
      </c>
      <c r="AB373" s="369" t="str">
        <f ca="1">IF($B373&lt;&gt;"PRC_RESID","",IF(AB$7=2005+OFFSET(COM_N_2012!$B$60,$AW373,SUMIF($B$10:$B$16,"NCAP_TLIFE",$AX$10:$AX$16)),0,""))</f>
        <v/>
      </c>
      <c r="AC373" s="369" t="str">
        <f ca="1">IF($B373&lt;&gt;"PRC_RESID","",IF(AC$7=2005+OFFSET(COM_N_2012!$B$60,$AW373,SUMIF($B$10:$B$16,"NCAP_TLIFE",$AX$10:$AX$16)),0,""))</f>
        <v/>
      </c>
      <c r="AD373" s="369" t="str">
        <f ca="1">IF($B373&lt;&gt;"PRC_RESID","",IF(AD$7=2005+OFFSET(COM_N_2012!$B$60,$AW373,SUMIF($B$10:$B$16,"NCAP_TLIFE",$AX$10:$AX$16)),0,""))</f>
        <v/>
      </c>
      <c r="AE373" s="369" t="str">
        <f ca="1">IF($B373&lt;&gt;"PRC_RESID","",IF(AE$7=2005+OFFSET(COM_N_2012!$B$60,$AW373,SUMIF($B$10:$B$16,"NCAP_TLIFE",$AX$10:$AX$16)),0,""))</f>
        <v/>
      </c>
      <c r="AF373" s="369" t="str">
        <f ca="1">IF($B373&lt;&gt;"PRC_RESID","",IF(AF$7=2005+OFFSET(COM_N_2012!$B$60,$AW373,SUMIF($B$10:$B$16,"NCAP_TLIFE",$AX$10:$AX$16)),0,""))</f>
        <v/>
      </c>
      <c r="AG373" s="369" t="str">
        <f ca="1">IF($B373&lt;&gt;"PRC_RESID","",IF(AG$7=2005+OFFSET(COM_N_2012!$B$60,$AW373,SUMIF($B$10:$B$16,"NCAP_TLIFE",$AX$10:$AX$16)),0,""))</f>
        <v/>
      </c>
      <c r="AH373" s="369" t="str">
        <f ca="1">IF($B373&lt;&gt;"PRC_RESID","",IF(AH$7=2005+OFFSET(COM_N_2012!$B$60,$AW373,SUMIF($B$10:$B$16,"NCAP_TLIFE",$AX$10:$AX$16)),0,""))</f>
        <v/>
      </c>
      <c r="AI373" s="369" t="str">
        <f ca="1">IF($B373&lt;&gt;"PRC_RESID","",IF(AI$7=2005+OFFSET(COM_N_2012!$B$60,$AW373,SUMIF($B$10:$B$16,"NCAP_TLIFE",$AX$10:$AX$16)),0,""))</f>
        <v/>
      </c>
      <c r="AJ373" s="369" t="str">
        <f ca="1">IF($B373&lt;&gt;"PRC_RESID","",IF(AJ$7=2005+OFFSET(COM_N_2012!$B$60,$AW373,SUMIF($B$10:$B$16,"NCAP_TLIFE",$AX$10:$AX$16)),0,""))</f>
        <v/>
      </c>
      <c r="AK373" s="369" t="str">
        <f ca="1">IF($B373&lt;&gt;"PRC_RESID","",IF(AK$7=2005+OFFSET(COM_N_2012!$B$60,$AW373,SUMIF($B$10:$B$16,"NCAP_TLIFE",$AX$10:$AX$16)),0,""))</f>
        <v/>
      </c>
      <c r="AL373" s="369" t="str">
        <f ca="1">IF($B373&lt;&gt;"PRC_RESID","",IF(AL$7=2005+OFFSET(COM_N_2012!$B$60,$AW373,SUMIF($B$10:$B$16,"NCAP_TLIFE",$AX$10:$AX$16)),0,""))</f>
        <v/>
      </c>
      <c r="AM373" s="369" t="str">
        <f ca="1">IF($B373&lt;&gt;"PRC_RESID","",IF(AM$7=2005+OFFSET(COM_N_2012!$B$60,$AW373,SUMIF($B$10:$B$16,"NCAP_TLIFE",$AX$10:$AX$16)),0,""))</f>
        <v/>
      </c>
      <c r="AN373" s="369" t="str">
        <f ca="1">IF($B373&lt;&gt;"PRC_RESID","",IF(AN$7=2005+OFFSET(COM_N_2012!$B$60,$AW373,SUMIF($B$10:$B$16,"NCAP_TLIFE",$AX$10:$AX$16)),0,""))</f>
        <v/>
      </c>
      <c r="AO373" s="369" t="str">
        <f ca="1">IF($B373&lt;&gt;"PRC_RESID","",IF(AO$7=2005+OFFSET(COM_N_2012!$B$60,$AW373,SUMIF($B$10:$B$16,"NCAP_TLIFE",$AX$10:$AX$16)),0,""))</f>
        <v/>
      </c>
      <c r="AP373" s="369" t="str">
        <f ca="1">IF($B373&lt;&gt;"PRC_RESID","",IF(AP$7=2005+OFFSET(COM_N_2012!$B$60,$AW373,SUMIF($B$10:$B$16,"NCAP_TLIFE",$AX$10:$AX$16)),0,""))</f>
        <v/>
      </c>
      <c r="AQ373" s="369" t="str">
        <f ca="1">IF($B373&lt;&gt;"PRC_RESID","",IF(AQ$7=2005+OFFSET(COM_N_2012!$B$60,$AW373,SUMIF($B$10:$B$16,"NCAP_TLIFE",$AX$10:$AX$16)),0,""))</f>
        <v/>
      </c>
      <c r="AR373" s="369" t="str">
        <f ca="1">IF($B373&lt;&gt;"PRC_RESID","",IF(AR$7=2005+OFFSET(COM_N_2012!$B$60,$AW373,SUMIF($B$10:$B$16,"NCAP_TLIFE",$AX$10:$AX$16)),0,""))</f>
        <v/>
      </c>
      <c r="AS373" s="369" t="str">
        <f ca="1">IF($B373&lt;&gt;"PRC_RESID","",IF(AS$7=2005+OFFSET(COM_N_2012!$B$60,$AW373,SUMIF($B$10:$B$16,"NCAP_TLIFE",$AX$10:$AX$16)),0,""))</f>
        <v/>
      </c>
      <c r="AT373" s="369" t="str">
        <f ca="1">IF($B373&lt;&gt;"PRC_RESID","",IF(AT$7=2005+OFFSET(COM_N_2012!$B$60,$AW373,SUMIF($B$10:$B$16,"NCAP_TLIFE",$AX$10:$AX$16)),0,""))</f>
        <v/>
      </c>
      <c r="AU373" s="369" t="str">
        <f ca="1">IF($B373&lt;&gt;"PRC_RESID","",IF(AU$7=2005+OFFSET(COM_N_2012!$B$60,$AW373,SUMIF($B$10:$B$16,"NCAP_TLIFE",$AX$10:$AX$16)),0,""))</f>
        <v/>
      </c>
      <c r="AV373" s="304">
        <f>IF(AW372=COM_N_2012!$AK$121,AV372+1,AV372)</f>
        <v>6</v>
      </c>
      <c r="AW373" s="304">
        <f t="shared" si="51"/>
        <v>51</v>
      </c>
    </row>
    <row r="374" spans="1:49">
      <c r="A374" s="304" t="str">
        <f ca="1">IF(LEFT(OFFSET(COM_N_2012!$A$60,AW374,0),2)="\I","*","")</f>
        <v>*</v>
      </c>
      <c r="B374" s="369" t="str">
        <f t="shared" ref="B374:B383" ca="1" si="52">IF(A374="*","",VLOOKUP("*"&amp;AV374,$A$9:$B$16,2,FALSE))</f>
        <v/>
      </c>
      <c r="C374" s="369" t="str">
        <f ca="1">IF($A374="*","",OFFSET(COM_N_2012!$B$60,AW374,0))</f>
        <v/>
      </c>
      <c r="D374" s="369" t="str">
        <f t="shared" ca="1" si="50"/>
        <v/>
      </c>
      <c r="E374" s="369" t="str">
        <f t="shared" ca="1" si="50"/>
        <v/>
      </c>
      <c r="F374" s="369" t="str">
        <f t="shared" ca="1" si="50"/>
        <v/>
      </c>
      <c r="G374" s="369" t="str">
        <f t="shared" ca="1" si="50"/>
        <v/>
      </c>
      <c r="H374" s="369" t="str">
        <f t="shared" ca="1" si="50"/>
        <v/>
      </c>
      <c r="I374" s="370" t="str">
        <f t="shared" ca="1" si="50"/>
        <v/>
      </c>
      <c r="J374" s="391" t="str">
        <f ca="1">IF($A374="*","",OFFSET(COM_N_2012!$B$60,AW374,SUMIF($B$10:$B$16,B374,$AX$10:$AX$16)))</f>
        <v/>
      </c>
      <c r="K374" s="369" t="str">
        <f ca="1">IF($B374&lt;&gt;"PRC_RESID","",IF(K$7=2005+OFFSET(COM_N_2012!$B$60,$AW374,SUMIF($B$10:$B$16,"NCAP_TLIFE",$AX$10:$AX$16)),0,""))</f>
        <v/>
      </c>
      <c r="L374" s="369" t="str">
        <f ca="1">IF($B374&lt;&gt;"PRC_RESID","",IF(L$7=2005+OFFSET(COM_N_2012!$B$60,$AW374,SUMIF($B$10:$B$16,"NCAP_TLIFE",$AX$10:$AX$16)),0,""))</f>
        <v/>
      </c>
      <c r="M374" s="369" t="str">
        <f ca="1">IF($B374&lt;&gt;"PRC_RESID","",IF(M$7=2005+OFFSET(COM_N_2012!$B$60,$AW374,SUMIF($B$10:$B$16,"NCAP_TLIFE",$AX$10:$AX$16)),0,""))</f>
        <v/>
      </c>
      <c r="N374" s="369" t="str">
        <f ca="1">IF($B374&lt;&gt;"PRC_RESID","",IF(N$7=2005+OFFSET(COM_N_2012!$B$60,$AW374,SUMIF($B$10:$B$16,"NCAP_TLIFE",$AX$10:$AX$16)),0,""))</f>
        <v/>
      </c>
      <c r="O374" s="369" t="str">
        <f ca="1">IF($B374&lt;&gt;"PRC_RESID","",IF(O$7=2005+OFFSET(COM_N_2012!$B$60,$AW374,SUMIF($B$10:$B$16,"NCAP_TLIFE",$AX$10:$AX$16)),0,""))</f>
        <v/>
      </c>
      <c r="P374" s="369" t="str">
        <f ca="1">IF($B374&lt;&gt;"PRC_RESID","",IF(P$7=2005+OFFSET(COM_N_2012!$B$60,$AW374,SUMIF($B$10:$B$16,"NCAP_TLIFE",$AX$10:$AX$16)),0,""))</f>
        <v/>
      </c>
      <c r="Q374" s="369" t="str">
        <f ca="1">IF($B374&lt;&gt;"PRC_RESID","",IF(Q$7=2005+OFFSET(COM_N_2012!$B$60,$AW374,SUMIF($B$10:$B$16,"NCAP_TLIFE",$AX$10:$AX$16)),0,""))</f>
        <v/>
      </c>
      <c r="R374" s="369" t="str">
        <f ca="1">IF($B374&lt;&gt;"PRC_RESID","",IF(R$7=2005+OFFSET(COM_N_2012!$B$60,$AW374,SUMIF($B$10:$B$16,"NCAP_TLIFE",$AX$10:$AX$16)),0,""))</f>
        <v/>
      </c>
      <c r="S374" s="369" t="str">
        <f ca="1">IF($B374&lt;&gt;"PRC_RESID","",IF(S$7=2005+OFFSET(COM_N_2012!$B$60,$AW374,SUMIF($B$10:$B$16,"NCAP_TLIFE",$AX$10:$AX$16)),0,""))</f>
        <v/>
      </c>
      <c r="T374" s="369" t="str">
        <f ca="1">IF($B374&lt;&gt;"PRC_RESID","",IF(T$7=2005+OFFSET(COM_N_2012!$B$60,$AW374,SUMIF($B$10:$B$16,"NCAP_TLIFE",$AX$10:$AX$16)),0,""))</f>
        <v/>
      </c>
      <c r="U374" s="369" t="str">
        <f ca="1">IF($B374&lt;&gt;"PRC_RESID","",IF(U$7=2005+OFFSET(COM_N_2012!$B$60,$AW374,SUMIF($B$10:$B$16,"NCAP_TLIFE",$AX$10:$AX$16)),0,""))</f>
        <v/>
      </c>
      <c r="V374" s="369" t="str">
        <f ca="1">IF($B374&lt;&gt;"PRC_RESID","",IF(V$7=2005+OFFSET(COM_N_2012!$B$60,$AW374,SUMIF($B$10:$B$16,"NCAP_TLIFE",$AX$10:$AX$16)),0,""))</f>
        <v/>
      </c>
      <c r="W374" s="369" t="str">
        <f ca="1">IF($B374&lt;&gt;"PRC_RESID","",IF(W$7=2005+OFFSET(COM_N_2012!$B$60,$AW374,SUMIF($B$10:$B$16,"NCAP_TLIFE",$AX$10:$AX$16)),0,""))</f>
        <v/>
      </c>
      <c r="X374" s="369" t="str">
        <f ca="1">IF($B374&lt;&gt;"PRC_RESID","",IF(X$7=2005+OFFSET(COM_N_2012!$B$60,$AW374,SUMIF($B$10:$B$16,"NCAP_TLIFE",$AX$10:$AX$16)),0,""))</f>
        <v/>
      </c>
      <c r="Y374" s="369" t="str">
        <f ca="1">IF($B374&lt;&gt;"PRC_RESID","",IF(Y$7=2005+OFFSET(COM_N_2012!$B$60,$AW374,SUMIF($B$10:$B$16,"NCAP_TLIFE",$AX$10:$AX$16)),0,""))</f>
        <v/>
      </c>
      <c r="Z374" s="369" t="str">
        <f ca="1">IF($B374&lt;&gt;"PRC_RESID","",IF(Z$7=2005+OFFSET(COM_N_2012!$B$60,$AW374,SUMIF($B$10:$B$16,"NCAP_TLIFE",$AX$10:$AX$16)),0,""))</f>
        <v/>
      </c>
      <c r="AA374" s="369" t="str">
        <f ca="1">IF($B374&lt;&gt;"PRC_RESID","",IF(AA$7=2005+OFFSET(COM_N_2012!$B$60,$AW374,SUMIF($B$10:$B$16,"NCAP_TLIFE",$AX$10:$AX$16)),0,""))</f>
        <v/>
      </c>
      <c r="AB374" s="369" t="str">
        <f ca="1">IF($B374&lt;&gt;"PRC_RESID","",IF(AB$7=2005+OFFSET(COM_N_2012!$B$60,$AW374,SUMIF($B$10:$B$16,"NCAP_TLIFE",$AX$10:$AX$16)),0,""))</f>
        <v/>
      </c>
      <c r="AC374" s="369" t="str">
        <f ca="1">IF($B374&lt;&gt;"PRC_RESID","",IF(AC$7=2005+OFFSET(COM_N_2012!$B$60,$AW374,SUMIF($B$10:$B$16,"NCAP_TLIFE",$AX$10:$AX$16)),0,""))</f>
        <v/>
      </c>
      <c r="AD374" s="369" t="str">
        <f ca="1">IF($B374&lt;&gt;"PRC_RESID","",IF(AD$7=2005+OFFSET(COM_N_2012!$B$60,$AW374,SUMIF($B$10:$B$16,"NCAP_TLIFE",$AX$10:$AX$16)),0,""))</f>
        <v/>
      </c>
      <c r="AE374" s="369" t="str">
        <f ca="1">IF($B374&lt;&gt;"PRC_RESID","",IF(AE$7=2005+OFFSET(COM_N_2012!$B$60,$AW374,SUMIF($B$10:$B$16,"NCAP_TLIFE",$AX$10:$AX$16)),0,""))</f>
        <v/>
      </c>
      <c r="AF374" s="369" t="str">
        <f ca="1">IF($B374&lt;&gt;"PRC_RESID","",IF(AF$7=2005+OFFSET(COM_N_2012!$B$60,$AW374,SUMIF($B$10:$B$16,"NCAP_TLIFE",$AX$10:$AX$16)),0,""))</f>
        <v/>
      </c>
      <c r="AG374" s="369" t="str">
        <f ca="1">IF($B374&lt;&gt;"PRC_RESID","",IF(AG$7=2005+OFFSET(COM_N_2012!$B$60,$AW374,SUMIF($B$10:$B$16,"NCAP_TLIFE",$AX$10:$AX$16)),0,""))</f>
        <v/>
      </c>
      <c r="AH374" s="369" t="str">
        <f ca="1">IF($B374&lt;&gt;"PRC_RESID","",IF(AH$7=2005+OFFSET(COM_N_2012!$B$60,$AW374,SUMIF($B$10:$B$16,"NCAP_TLIFE",$AX$10:$AX$16)),0,""))</f>
        <v/>
      </c>
      <c r="AI374" s="369" t="str">
        <f ca="1">IF($B374&lt;&gt;"PRC_RESID","",IF(AI$7=2005+OFFSET(COM_N_2012!$B$60,$AW374,SUMIF($B$10:$B$16,"NCAP_TLIFE",$AX$10:$AX$16)),0,""))</f>
        <v/>
      </c>
      <c r="AJ374" s="369" t="str">
        <f ca="1">IF($B374&lt;&gt;"PRC_RESID","",IF(AJ$7=2005+OFFSET(COM_N_2012!$B$60,$AW374,SUMIF($B$10:$B$16,"NCAP_TLIFE",$AX$10:$AX$16)),0,""))</f>
        <v/>
      </c>
      <c r="AK374" s="369" t="str">
        <f ca="1">IF($B374&lt;&gt;"PRC_RESID","",IF(AK$7=2005+OFFSET(COM_N_2012!$B$60,$AW374,SUMIF($B$10:$B$16,"NCAP_TLIFE",$AX$10:$AX$16)),0,""))</f>
        <v/>
      </c>
      <c r="AL374" s="369" t="str">
        <f ca="1">IF($B374&lt;&gt;"PRC_RESID","",IF(AL$7=2005+OFFSET(COM_N_2012!$B$60,$AW374,SUMIF($B$10:$B$16,"NCAP_TLIFE",$AX$10:$AX$16)),0,""))</f>
        <v/>
      </c>
      <c r="AM374" s="369" t="str">
        <f ca="1">IF($B374&lt;&gt;"PRC_RESID","",IF(AM$7=2005+OFFSET(COM_N_2012!$B$60,$AW374,SUMIF($B$10:$B$16,"NCAP_TLIFE",$AX$10:$AX$16)),0,""))</f>
        <v/>
      </c>
      <c r="AN374" s="369" t="str">
        <f ca="1">IF($B374&lt;&gt;"PRC_RESID","",IF(AN$7=2005+OFFSET(COM_N_2012!$B$60,$AW374,SUMIF($B$10:$B$16,"NCAP_TLIFE",$AX$10:$AX$16)),0,""))</f>
        <v/>
      </c>
      <c r="AO374" s="369" t="str">
        <f ca="1">IF($B374&lt;&gt;"PRC_RESID","",IF(AO$7=2005+OFFSET(COM_N_2012!$B$60,$AW374,SUMIF($B$10:$B$16,"NCAP_TLIFE",$AX$10:$AX$16)),0,""))</f>
        <v/>
      </c>
      <c r="AP374" s="369" t="str">
        <f ca="1">IF($B374&lt;&gt;"PRC_RESID","",IF(AP$7=2005+OFFSET(COM_N_2012!$B$60,$AW374,SUMIF($B$10:$B$16,"NCAP_TLIFE",$AX$10:$AX$16)),0,""))</f>
        <v/>
      </c>
      <c r="AQ374" s="369" t="str">
        <f ca="1">IF($B374&lt;&gt;"PRC_RESID","",IF(AQ$7=2005+OFFSET(COM_N_2012!$B$60,$AW374,SUMIF($B$10:$B$16,"NCAP_TLIFE",$AX$10:$AX$16)),0,""))</f>
        <v/>
      </c>
      <c r="AR374" s="369" t="str">
        <f ca="1">IF($B374&lt;&gt;"PRC_RESID","",IF(AR$7=2005+OFFSET(COM_N_2012!$B$60,$AW374,SUMIF($B$10:$B$16,"NCAP_TLIFE",$AX$10:$AX$16)),0,""))</f>
        <v/>
      </c>
      <c r="AS374" s="369" t="str">
        <f ca="1">IF($B374&lt;&gt;"PRC_RESID","",IF(AS$7=2005+OFFSET(COM_N_2012!$B$60,$AW374,SUMIF($B$10:$B$16,"NCAP_TLIFE",$AX$10:$AX$16)),0,""))</f>
        <v/>
      </c>
      <c r="AT374" s="369" t="str">
        <f ca="1">IF($B374&lt;&gt;"PRC_RESID","",IF(AT$7=2005+OFFSET(COM_N_2012!$B$60,$AW374,SUMIF($B$10:$B$16,"NCAP_TLIFE",$AX$10:$AX$16)),0,""))</f>
        <v/>
      </c>
      <c r="AU374" s="369" t="str">
        <f ca="1">IF($B374&lt;&gt;"PRC_RESID","",IF(AU$7=2005+OFFSET(COM_N_2012!$B$60,$AW374,SUMIF($B$10:$B$16,"NCAP_TLIFE",$AX$10:$AX$16)),0,""))</f>
        <v/>
      </c>
      <c r="AV374" s="304">
        <f>IF(AW373=COM_N_2012!$AK$121,AV373+1,AV373)</f>
        <v>6</v>
      </c>
      <c r="AW374" s="304">
        <f t="shared" ref="AW374:AW383" si="53">IF(AV374=AV373,AW373+1,1)</f>
        <v>52</v>
      </c>
    </row>
    <row r="375" spans="1:49">
      <c r="A375" s="304" t="str">
        <f ca="1">IF(LEFT(OFFSET(COM_N_2012!$A$60,AW375,0),2)="\I","*","")</f>
        <v/>
      </c>
      <c r="B375" s="369" t="str">
        <f t="shared" ca="1" si="52"/>
        <v>PRC_RESID</v>
      </c>
      <c r="C375" s="369" t="str">
        <f ca="1">IF($A375="*","",OFFSET(COM_N_2012!$B$60,AW375,0))</f>
        <v>CNOCOA-E</v>
      </c>
      <c r="D375" s="369" t="str">
        <f t="shared" ca="1" si="50"/>
        <v>-</v>
      </c>
      <c r="E375" s="369" t="str">
        <f t="shared" ca="1" si="50"/>
        <v>-</v>
      </c>
      <c r="F375" s="369" t="str">
        <f t="shared" ca="1" si="50"/>
        <v>-</v>
      </c>
      <c r="G375" s="369" t="str">
        <f t="shared" ca="1" si="50"/>
        <v>-</v>
      </c>
      <c r="H375" s="369" t="str">
        <f t="shared" ca="1" si="50"/>
        <v>-</v>
      </c>
      <c r="I375" s="370">
        <f t="shared" ca="1" si="50"/>
        <v>0</v>
      </c>
      <c r="J375" s="391">
        <f ca="1">IF($A375="*","",OFFSET(COM_N_2012!$B$60,AW375,SUMIF($B$10:$B$16,B375,$AX$10:$AX$16)))</f>
        <v>0</v>
      </c>
      <c r="K375" s="369" t="str">
        <f ca="1">IF($B375&lt;&gt;"PRC_RESID","",IF(K$7=2005+OFFSET(COM_N_2012!$B$60,$AW375,SUMIF($B$10:$B$16,"NCAP_TLIFE",$AX$10:$AX$16)),0,""))</f>
        <v/>
      </c>
      <c r="L375" s="369" t="str">
        <f ca="1">IF($B375&lt;&gt;"PRC_RESID","",IF(L$7=2005+OFFSET(COM_N_2012!$B$60,$AW375,SUMIF($B$10:$B$16,"NCAP_TLIFE",$AX$10:$AX$16)),0,""))</f>
        <v/>
      </c>
      <c r="M375" s="369" t="str">
        <f ca="1">IF($B375&lt;&gt;"PRC_RESID","",IF(M$7=2005+OFFSET(COM_N_2012!$B$60,$AW375,SUMIF($B$10:$B$16,"NCAP_TLIFE",$AX$10:$AX$16)),0,""))</f>
        <v/>
      </c>
      <c r="N375" s="369" t="str">
        <f ca="1">IF($B375&lt;&gt;"PRC_RESID","",IF(N$7=2005+OFFSET(COM_N_2012!$B$60,$AW375,SUMIF($B$10:$B$16,"NCAP_TLIFE",$AX$10:$AX$16)),0,""))</f>
        <v/>
      </c>
      <c r="O375" s="369" t="str">
        <f ca="1">IF($B375&lt;&gt;"PRC_RESID","",IF(O$7=2005+OFFSET(COM_N_2012!$B$60,$AW375,SUMIF($B$10:$B$16,"NCAP_TLIFE",$AX$10:$AX$16)),0,""))</f>
        <v/>
      </c>
      <c r="P375" s="369" t="str">
        <f ca="1">IF($B375&lt;&gt;"PRC_RESID","",IF(P$7=2005+OFFSET(COM_N_2012!$B$60,$AW375,SUMIF($B$10:$B$16,"NCAP_TLIFE",$AX$10:$AX$16)),0,""))</f>
        <v/>
      </c>
      <c r="Q375" s="369" t="str">
        <f ca="1">IF($B375&lt;&gt;"PRC_RESID","",IF(Q$7=2005+OFFSET(COM_N_2012!$B$60,$AW375,SUMIF($B$10:$B$16,"NCAP_TLIFE",$AX$10:$AX$16)),0,""))</f>
        <v/>
      </c>
      <c r="R375" s="369">
        <f ca="1">IF($B375&lt;&gt;"PRC_RESID","",IF(R$7=2005+OFFSET(COM_N_2012!$B$60,$AW375,SUMIF($B$10:$B$16,"NCAP_TLIFE",$AX$10:$AX$16)),0,""))</f>
        <v>0</v>
      </c>
      <c r="S375" s="369" t="str">
        <f ca="1">IF($B375&lt;&gt;"PRC_RESID","",IF(S$7=2005+OFFSET(COM_N_2012!$B$60,$AW375,SUMIF($B$10:$B$16,"NCAP_TLIFE",$AX$10:$AX$16)),0,""))</f>
        <v/>
      </c>
      <c r="T375" s="369" t="str">
        <f ca="1">IF($B375&lt;&gt;"PRC_RESID","",IF(T$7=2005+OFFSET(COM_N_2012!$B$60,$AW375,SUMIF($B$10:$B$16,"NCAP_TLIFE",$AX$10:$AX$16)),0,""))</f>
        <v/>
      </c>
      <c r="U375" s="369" t="str">
        <f ca="1">IF($B375&lt;&gt;"PRC_RESID","",IF(U$7=2005+OFFSET(COM_N_2012!$B$60,$AW375,SUMIF($B$10:$B$16,"NCAP_TLIFE",$AX$10:$AX$16)),0,""))</f>
        <v/>
      </c>
      <c r="V375" s="369" t="str">
        <f ca="1">IF($B375&lt;&gt;"PRC_RESID","",IF(V$7=2005+OFFSET(COM_N_2012!$B$60,$AW375,SUMIF($B$10:$B$16,"NCAP_TLIFE",$AX$10:$AX$16)),0,""))</f>
        <v/>
      </c>
      <c r="W375" s="369" t="str">
        <f ca="1">IF($B375&lt;&gt;"PRC_RESID","",IF(W$7=2005+OFFSET(COM_N_2012!$B$60,$AW375,SUMIF($B$10:$B$16,"NCAP_TLIFE",$AX$10:$AX$16)),0,""))</f>
        <v/>
      </c>
      <c r="X375" s="369" t="str">
        <f ca="1">IF($B375&lt;&gt;"PRC_RESID","",IF(X$7=2005+OFFSET(COM_N_2012!$B$60,$AW375,SUMIF($B$10:$B$16,"NCAP_TLIFE",$AX$10:$AX$16)),0,""))</f>
        <v/>
      </c>
      <c r="Y375" s="369" t="str">
        <f ca="1">IF($B375&lt;&gt;"PRC_RESID","",IF(Y$7=2005+OFFSET(COM_N_2012!$B$60,$AW375,SUMIF($B$10:$B$16,"NCAP_TLIFE",$AX$10:$AX$16)),0,""))</f>
        <v/>
      </c>
      <c r="Z375" s="369" t="str">
        <f ca="1">IF($B375&lt;&gt;"PRC_RESID","",IF(Z$7=2005+OFFSET(COM_N_2012!$B$60,$AW375,SUMIF($B$10:$B$16,"NCAP_TLIFE",$AX$10:$AX$16)),0,""))</f>
        <v/>
      </c>
      <c r="AA375" s="369" t="str">
        <f ca="1">IF($B375&lt;&gt;"PRC_RESID","",IF(AA$7=2005+OFFSET(COM_N_2012!$B$60,$AW375,SUMIF($B$10:$B$16,"NCAP_TLIFE",$AX$10:$AX$16)),0,""))</f>
        <v/>
      </c>
      <c r="AB375" s="369" t="str">
        <f ca="1">IF($B375&lt;&gt;"PRC_RESID","",IF(AB$7=2005+OFFSET(COM_N_2012!$B$60,$AW375,SUMIF($B$10:$B$16,"NCAP_TLIFE",$AX$10:$AX$16)),0,""))</f>
        <v/>
      </c>
      <c r="AC375" s="369" t="str">
        <f ca="1">IF($B375&lt;&gt;"PRC_RESID","",IF(AC$7=2005+OFFSET(COM_N_2012!$B$60,$AW375,SUMIF($B$10:$B$16,"NCAP_TLIFE",$AX$10:$AX$16)),0,""))</f>
        <v/>
      </c>
      <c r="AD375" s="369" t="str">
        <f ca="1">IF($B375&lt;&gt;"PRC_RESID","",IF(AD$7=2005+OFFSET(COM_N_2012!$B$60,$AW375,SUMIF($B$10:$B$16,"NCAP_TLIFE",$AX$10:$AX$16)),0,""))</f>
        <v/>
      </c>
      <c r="AE375" s="369" t="str">
        <f ca="1">IF($B375&lt;&gt;"PRC_RESID","",IF(AE$7=2005+OFFSET(COM_N_2012!$B$60,$AW375,SUMIF($B$10:$B$16,"NCAP_TLIFE",$AX$10:$AX$16)),0,""))</f>
        <v/>
      </c>
      <c r="AF375" s="369" t="str">
        <f ca="1">IF($B375&lt;&gt;"PRC_RESID","",IF(AF$7=2005+OFFSET(COM_N_2012!$B$60,$AW375,SUMIF($B$10:$B$16,"NCAP_TLIFE",$AX$10:$AX$16)),0,""))</f>
        <v/>
      </c>
      <c r="AG375" s="369" t="str">
        <f ca="1">IF($B375&lt;&gt;"PRC_RESID","",IF(AG$7=2005+OFFSET(COM_N_2012!$B$60,$AW375,SUMIF($B$10:$B$16,"NCAP_TLIFE",$AX$10:$AX$16)),0,""))</f>
        <v/>
      </c>
      <c r="AH375" s="369" t="str">
        <f ca="1">IF($B375&lt;&gt;"PRC_RESID","",IF(AH$7=2005+OFFSET(COM_N_2012!$B$60,$AW375,SUMIF($B$10:$B$16,"NCAP_TLIFE",$AX$10:$AX$16)),0,""))</f>
        <v/>
      </c>
      <c r="AI375" s="369" t="str">
        <f ca="1">IF($B375&lt;&gt;"PRC_RESID","",IF(AI$7=2005+OFFSET(COM_N_2012!$B$60,$AW375,SUMIF($B$10:$B$16,"NCAP_TLIFE",$AX$10:$AX$16)),0,""))</f>
        <v/>
      </c>
      <c r="AJ375" s="369" t="str">
        <f ca="1">IF($B375&lt;&gt;"PRC_RESID","",IF(AJ$7=2005+OFFSET(COM_N_2012!$B$60,$AW375,SUMIF($B$10:$B$16,"NCAP_TLIFE",$AX$10:$AX$16)),0,""))</f>
        <v/>
      </c>
      <c r="AK375" s="369" t="str">
        <f ca="1">IF($B375&lt;&gt;"PRC_RESID","",IF(AK$7=2005+OFFSET(COM_N_2012!$B$60,$AW375,SUMIF($B$10:$B$16,"NCAP_TLIFE",$AX$10:$AX$16)),0,""))</f>
        <v/>
      </c>
      <c r="AL375" s="369" t="str">
        <f ca="1">IF($B375&lt;&gt;"PRC_RESID","",IF(AL$7=2005+OFFSET(COM_N_2012!$B$60,$AW375,SUMIF($B$10:$B$16,"NCAP_TLIFE",$AX$10:$AX$16)),0,""))</f>
        <v/>
      </c>
      <c r="AM375" s="369" t="str">
        <f ca="1">IF($B375&lt;&gt;"PRC_RESID","",IF(AM$7=2005+OFFSET(COM_N_2012!$B$60,$AW375,SUMIF($B$10:$B$16,"NCAP_TLIFE",$AX$10:$AX$16)),0,""))</f>
        <v/>
      </c>
      <c r="AN375" s="369" t="str">
        <f ca="1">IF($B375&lt;&gt;"PRC_RESID","",IF(AN$7=2005+OFFSET(COM_N_2012!$B$60,$AW375,SUMIF($B$10:$B$16,"NCAP_TLIFE",$AX$10:$AX$16)),0,""))</f>
        <v/>
      </c>
      <c r="AO375" s="369" t="str">
        <f ca="1">IF($B375&lt;&gt;"PRC_RESID","",IF(AO$7=2005+OFFSET(COM_N_2012!$B$60,$AW375,SUMIF($B$10:$B$16,"NCAP_TLIFE",$AX$10:$AX$16)),0,""))</f>
        <v/>
      </c>
      <c r="AP375" s="369" t="str">
        <f ca="1">IF($B375&lt;&gt;"PRC_RESID","",IF(AP$7=2005+OFFSET(COM_N_2012!$B$60,$AW375,SUMIF($B$10:$B$16,"NCAP_TLIFE",$AX$10:$AX$16)),0,""))</f>
        <v/>
      </c>
      <c r="AQ375" s="369" t="str">
        <f ca="1">IF($B375&lt;&gt;"PRC_RESID","",IF(AQ$7=2005+OFFSET(COM_N_2012!$B$60,$AW375,SUMIF($B$10:$B$16,"NCAP_TLIFE",$AX$10:$AX$16)),0,""))</f>
        <v/>
      </c>
      <c r="AR375" s="369" t="str">
        <f ca="1">IF($B375&lt;&gt;"PRC_RESID","",IF(AR$7=2005+OFFSET(COM_N_2012!$B$60,$AW375,SUMIF($B$10:$B$16,"NCAP_TLIFE",$AX$10:$AX$16)),0,""))</f>
        <v/>
      </c>
      <c r="AS375" s="369" t="str">
        <f ca="1">IF($B375&lt;&gt;"PRC_RESID","",IF(AS$7=2005+OFFSET(COM_N_2012!$B$60,$AW375,SUMIF($B$10:$B$16,"NCAP_TLIFE",$AX$10:$AX$16)),0,""))</f>
        <v/>
      </c>
      <c r="AT375" s="369" t="str">
        <f ca="1">IF($B375&lt;&gt;"PRC_RESID","",IF(AT$7=2005+OFFSET(COM_N_2012!$B$60,$AW375,SUMIF($B$10:$B$16,"NCAP_TLIFE",$AX$10:$AX$16)),0,""))</f>
        <v/>
      </c>
      <c r="AU375" s="369" t="str">
        <f ca="1">IF($B375&lt;&gt;"PRC_RESID","",IF(AU$7=2005+OFFSET(COM_N_2012!$B$60,$AW375,SUMIF($B$10:$B$16,"NCAP_TLIFE",$AX$10:$AX$16)),0,""))</f>
        <v/>
      </c>
      <c r="AV375" s="304">
        <f>IF(AW374=COM_N_2012!$AK$121,AV374+1,AV374)</f>
        <v>6</v>
      </c>
      <c r="AW375" s="304">
        <f t="shared" si="53"/>
        <v>53</v>
      </c>
    </row>
    <row r="376" spans="1:49">
      <c r="A376" s="304" t="str">
        <f ca="1">IF(LEFT(OFFSET(COM_N_2012!$A$60,AW376,0),2)="\I","*","")</f>
        <v/>
      </c>
      <c r="B376" s="369" t="str">
        <f t="shared" ca="1" si="52"/>
        <v>PRC_RESID</v>
      </c>
      <c r="C376" s="369" t="str">
        <f ca="1">IF($A376="*","",OFFSET(COM_N_2012!$B$60,AW376,0))</f>
        <v>CNOODS-E</v>
      </c>
      <c r="D376" s="369" t="str">
        <f t="shared" ref="D376:I383" ca="1" si="54">IF($A376="*","",VLOOKUP($B376,$B$10:$I$16,D$9,FALSE))</f>
        <v>-</v>
      </c>
      <c r="E376" s="369" t="str">
        <f t="shared" ca="1" si="54"/>
        <v>-</v>
      </c>
      <c r="F376" s="369" t="str">
        <f t="shared" ca="1" si="54"/>
        <v>-</v>
      </c>
      <c r="G376" s="369" t="str">
        <f t="shared" ca="1" si="54"/>
        <v>-</v>
      </c>
      <c r="H376" s="369" t="str">
        <f t="shared" ca="1" si="54"/>
        <v>-</v>
      </c>
      <c r="I376" s="370">
        <f t="shared" ca="1" si="54"/>
        <v>0</v>
      </c>
      <c r="J376" s="391">
        <f ca="1">IF($A376="*","",OFFSET(COM_N_2012!$B$60,AW376,SUMIF($B$10:$B$16,B376,$AX$10:$AX$16)))</f>
        <v>0</v>
      </c>
      <c r="K376" s="369" t="str">
        <f ca="1">IF($B376&lt;&gt;"PRC_RESID","",IF(K$7=2005+OFFSET(COM_N_2012!$B$60,$AW376,SUMIF($B$10:$B$16,"NCAP_TLIFE",$AX$10:$AX$16)),0,""))</f>
        <v/>
      </c>
      <c r="L376" s="369" t="str">
        <f ca="1">IF($B376&lt;&gt;"PRC_RESID","",IF(L$7=2005+OFFSET(COM_N_2012!$B$60,$AW376,SUMIF($B$10:$B$16,"NCAP_TLIFE",$AX$10:$AX$16)),0,""))</f>
        <v/>
      </c>
      <c r="M376" s="369" t="str">
        <f ca="1">IF($B376&lt;&gt;"PRC_RESID","",IF(M$7=2005+OFFSET(COM_N_2012!$B$60,$AW376,SUMIF($B$10:$B$16,"NCAP_TLIFE",$AX$10:$AX$16)),0,""))</f>
        <v/>
      </c>
      <c r="N376" s="369" t="str">
        <f ca="1">IF($B376&lt;&gt;"PRC_RESID","",IF(N$7=2005+OFFSET(COM_N_2012!$B$60,$AW376,SUMIF($B$10:$B$16,"NCAP_TLIFE",$AX$10:$AX$16)),0,""))</f>
        <v/>
      </c>
      <c r="O376" s="369" t="str">
        <f ca="1">IF($B376&lt;&gt;"PRC_RESID","",IF(O$7=2005+OFFSET(COM_N_2012!$B$60,$AW376,SUMIF($B$10:$B$16,"NCAP_TLIFE",$AX$10:$AX$16)),0,""))</f>
        <v/>
      </c>
      <c r="P376" s="369" t="str">
        <f ca="1">IF($B376&lt;&gt;"PRC_RESID","",IF(P$7=2005+OFFSET(COM_N_2012!$B$60,$AW376,SUMIF($B$10:$B$16,"NCAP_TLIFE",$AX$10:$AX$16)),0,""))</f>
        <v/>
      </c>
      <c r="Q376" s="369" t="str">
        <f ca="1">IF($B376&lt;&gt;"PRC_RESID","",IF(Q$7=2005+OFFSET(COM_N_2012!$B$60,$AW376,SUMIF($B$10:$B$16,"NCAP_TLIFE",$AX$10:$AX$16)),0,""))</f>
        <v/>
      </c>
      <c r="R376" s="369">
        <f ca="1">IF($B376&lt;&gt;"PRC_RESID","",IF(R$7=2005+OFFSET(COM_N_2012!$B$60,$AW376,SUMIF($B$10:$B$16,"NCAP_TLIFE",$AX$10:$AX$16)),0,""))</f>
        <v>0</v>
      </c>
      <c r="S376" s="369" t="str">
        <f ca="1">IF($B376&lt;&gt;"PRC_RESID","",IF(S$7=2005+OFFSET(COM_N_2012!$B$60,$AW376,SUMIF($B$10:$B$16,"NCAP_TLIFE",$AX$10:$AX$16)),0,""))</f>
        <v/>
      </c>
      <c r="T376" s="369" t="str">
        <f ca="1">IF($B376&lt;&gt;"PRC_RESID","",IF(T$7=2005+OFFSET(COM_N_2012!$B$60,$AW376,SUMIF($B$10:$B$16,"NCAP_TLIFE",$AX$10:$AX$16)),0,""))</f>
        <v/>
      </c>
      <c r="U376" s="369" t="str">
        <f ca="1">IF($B376&lt;&gt;"PRC_RESID","",IF(U$7=2005+OFFSET(COM_N_2012!$B$60,$AW376,SUMIF($B$10:$B$16,"NCAP_TLIFE",$AX$10:$AX$16)),0,""))</f>
        <v/>
      </c>
      <c r="V376" s="369" t="str">
        <f ca="1">IF($B376&lt;&gt;"PRC_RESID","",IF(V$7=2005+OFFSET(COM_N_2012!$B$60,$AW376,SUMIF($B$10:$B$16,"NCAP_TLIFE",$AX$10:$AX$16)),0,""))</f>
        <v/>
      </c>
      <c r="W376" s="369" t="str">
        <f ca="1">IF($B376&lt;&gt;"PRC_RESID","",IF(W$7=2005+OFFSET(COM_N_2012!$B$60,$AW376,SUMIF($B$10:$B$16,"NCAP_TLIFE",$AX$10:$AX$16)),0,""))</f>
        <v/>
      </c>
      <c r="X376" s="369" t="str">
        <f ca="1">IF($B376&lt;&gt;"PRC_RESID","",IF(X$7=2005+OFFSET(COM_N_2012!$B$60,$AW376,SUMIF($B$10:$B$16,"NCAP_TLIFE",$AX$10:$AX$16)),0,""))</f>
        <v/>
      </c>
      <c r="Y376" s="369" t="str">
        <f ca="1">IF($B376&lt;&gt;"PRC_RESID","",IF(Y$7=2005+OFFSET(COM_N_2012!$B$60,$AW376,SUMIF($B$10:$B$16,"NCAP_TLIFE",$AX$10:$AX$16)),0,""))</f>
        <v/>
      </c>
      <c r="Z376" s="369" t="str">
        <f ca="1">IF($B376&lt;&gt;"PRC_RESID","",IF(Z$7=2005+OFFSET(COM_N_2012!$B$60,$AW376,SUMIF($B$10:$B$16,"NCAP_TLIFE",$AX$10:$AX$16)),0,""))</f>
        <v/>
      </c>
      <c r="AA376" s="369" t="str">
        <f ca="1">IF($B376&lt;&gt;"PRC_RESID","",IF(AA$7=2005+OFFSET(COM_N_2012!$B$60,$AW376,SUMIF($B$10:$B$16,"NCAP_TLIFE",$AX$10:$AX$16)),0,""))</f>
        <v/>
      </c>
      <c r="AB376" s="369" t="str">
        <f ca="1">IF($B376&lt;&gt;"PRC_RESID","",IF(AB$7=2005+OFFSET(COM_N_2012!$B$60,$AW376,SUMIF($B$10:$B$16,"NCAP_TLIFE",$AX$10:$AX$16)),0,""))</f>
        <v/>
      </c>
      <c r="AC376" s="369" t="str">
        <f ca="1">IF($B376&lt;&gt;"PRC_RESID","",IF(AC$7=2005+OFFSET(COM_N_2012!$B$60,$AW376,SUMIF($B$10:$B$16,"NCAP_TLIFE",$AX$10:$AX$16)),0,""))</f>
        <v/>
      </c>
      <c r="AD376" s="369" t="str">
        <f ca="1">IF($B376&lt;&gt;"PRC_RESID","",IF(AD$7=2005+OFFSET(COM_N_2012!$B$60,$AW376,SUMIF($B$10:$B$16,"NCAP_TLIFE",$AX$10:$AX$16)),0,""))</f>
        <v/>
      </c>
      <c r="AE376" s="369" t="str">
        <f ca="1">IF($B376&lt;&gt;"PRC_RESID","",IF(AE$7=2005+OFFSET(COM_N_2012!$B$60,$AW376,SUMIF($B$10:$B$16,"NCAP_TLIFE",$AX$10:$AX$16)),0,""))</f>
        <v/>
      </c>
      <c r="AF376" s="369" t="str">
        <f ca="1">IF($B376&lt;&gt;"PRC_RESID","",IF(AF$7=2005+OFFSET(COM_N_2012!$B$60,$AW376,SUMIF($B$10:$B$16,"NCAP_TLIFE",$AX$10:$AX$16)),0,""))</f>
        <v/>
      </c>
      <c r="AG376" s="369" t="str">
        <f ca="1">IF($B376&lt;&gt;"PRC_RESID","",IF(AG$7=2005+OFFSET(COM_N_2012!$B$60,$AW376,SUMIF($B$10:$B$16,"NCAP_TLIFE",$AX$10:$AX$16)),0,""))</f>
        <v/>
      </c>
      <c r="AH376" s="369" t="str">
        <f ca="1">IF($B376&lt;&gt;"PRC_RESID","",IF(AH$7=2005+OFFSET(COM_N_2012!$B$60,$AW376,SUMIF($B$10:$B$16,"NCAP_TLIFE",$AX$10:$AX$16)),0,""))</f>
        <v/>
      </c>
      <c r="AI376" s="369" t="str">
        <f ca="1">IF($B376&lt;&gt;"PRC_RESID","",IF(AI$7=2005+OFFSET(COM_N_2012!$B$60,$AW376,SUMIF($B$10:$B$16,"NCAP_TLIFE",$AX$10:$AX$16)),0,""))</f>
        <v/>
      </c>
      <c r="AJ376" s="369" t="str">
        <f ca="1">IF($B376&lt;&gt;"PRC_RESID","",IF(AJ$7=2005+OFFSET(COM_N_2012!$B$60,$AW376,SUMIF($B$10:$B$16,"NCAP_TLIFE",$AX$10:$AX$16)),0,""))</f>
        <v/>
      </c>
      <c r="AK376" s="369" t="str">
        <f ca="1">IF($B376&lt;&gt;"PRC_RESID","",IF(AK$7=2005+OFFSET(COM_N_2012!$B$60,$AW376,SUMIF($B$10:$B$16,"NCAP_TLIFE",$AX$10:$AX$16)),0,""))</f>
        <v/>
      </c>
      <c r="AL376" s="369" t="str">
        <f ca="1">IF($B376&lt;&gt;"PRC_RESID","",IF(AL$7=2005+OFFSET(COM_N_2012!$B$60,$AW376,SUMIF($B$10:$B$16,"NCAP_TLIFE",$AX$10:$AX$16)),0,""))</f>
        <v/>
      </c>
      <c r="AM376" s="369" t="str">
        <f ca="1">IF($B376&lt;&gt;"PRC_RESID","",IF(AM$7=2005+OFFSET(COM_N_2012!$B$60,$AW376,SUMIF($B$10:$B$16,"NCAP_TLIFE",$AX$10:$AX$16)),0,""))</f>
        <v/>
      </c>
      <c r="AN376" s="369" t="str">
        <f ca="1">IF($B376&lt;&gt;"PRC_RESID","",IF(AN$7=2005+OFFSET(COM_N_2012!$B$60,$AW376,SUMIF($B$10:$B$16,"NCAP_TLIFE",$AX$10:$AX$16)),0,""))</f>
        <v/>
      </c>
      <c r="AO376" s="369" t="str">
        <f ca="1">IF($B376&lt;&gt;"PRC_RESID","",IF(AO$7=2005+OFFSET(COM_N_2012!$B$60,$AW376,SUMIF($B$10:$B$16,"NCAP_TLIFE",$AX$10:$AX$16)),0,""))</f>
        <v/>
      </c>
      <c r="AP376" s="369" t="str">
        <f ca="1">IF($B376&lt;&gt;"PRC_RESID","",IF(AP$7=2005+OFFSET(COM_N_2012!$B$60,$AW376,SUMIF($B$10:$B$16,"NCAP_TLIFE",$AX$10:$AX$16)),0,""))</f>
        <v/>
      </c>
      <c r="AQ376" s="369" t="str">
        <f ca="1">IF($B376&lt;&gt;"PRC_RESID","",IF(AQ$7=2005+OFFSET(COM_N_2012!$B$60,$AW376,SUMIF($B$10:$B$16,"NCAP_TLIFE",$AX$10:$AX$16)),0,""))</f>
        <v/>
      </c>
      <c r="AR376" s="369" t="str">
        <f ca="1">IF($B376&lt;&gt;"PRC_RESID","",IF(AR$7=2005+OFFSET(COM_N_2012!$B$60,$AW376,SUMIF($B$10:$B$16,"NCAP_TLIFE",$AX$10:$AX$16)),0,""))</f>
        <v/>
      </c>
      <c r="AS376" s="369" t="str">
        <f ca="1">IF($B376&lt;&gt;"PRC_RESID","",IF(AS$7=2005+OFFSET(COM_N_2012!$B$60,$AW376,SUMIF($B$10:$B$16,"NCAP_TLIFE",$AX$10:$AX$16)),0,""))</f>
        <v/>
      </c>
      <c r="AT376" s="369" t="str">
        <f ca="1">IF($B376&lt;&gt;"PRC_RESID","",IF(AT$7=2005+OFFSET(COM_N_2012!$B$60,$AW376,SUMIF($B$10:$B$16,"NCAP_TLIFE",$AX$10:$AX$16)),0,""))</f>
        <v/>
      </c>
      <c r="AU376" s="369" t="str">
        <f ca="1">IF($B376&lt;&gt;"PRC_RESID","",IF(AU$7=2005+OFFSET(COM_N_2012!$B$60,$AW376,SUMIF($B$10:$B$16,"NCAP_TLIFE",$AX$10:$AX$16)),0,""))</f>
        <v/>
      </c>
      <c r="AV376" s="304">
        <f>IF(AW375=COM_N_2012!$AK$121,AV375+1,AV375)</f>
        <v>6</v>
      </c>
      <c r="AW376" s="304">
        <f t="shared" si="53"/>
        <v>54</v>
      </c>
    </row>
    <row r="377" spans="1:49">
      <c r="A377" s="304" t="str">
        <f ca="1">IF(LEFT(OFFSET(COM_N_2012!$A$60,AW377,0),2)="\I","*","")</f>
        <v/>
      </c>
      <c r="B377" s="369" t="str">
        <f t="shared" ca="1" si="52"/>
        <v>PRC_RESID</v>
      </c>
      <c r="C377" s="369" t="str">
        <f ca="1">IF($A377="*","",OFFSET(COM_N_2012!$B$60,AW377,0))</f>
        <v>CNOELC-E</v>
      </c>
      <c r="D377" s="369" t="str">
        <f t="shared" ca="1" si="54"/>
        <v>-</v>
      </c>
      <c r="E377" s="369" t="str">
        <f t="shared" ca="1" si="54"/>
        <v>-</v>
      </c>
      <c r="F377" s="369" t="str">
        <f t="shared" ca="1" si="54"/>
        <v>-</v>
      </c>
      <c r="G377" s="369" t="str">
        <f t="shared" ca="1" si="54"/>
        <v>-</v>
      </c>
      <c r="H377" s="369" t="str">
        <f t="shared" ca="1" si="54"/>
        <v>-</v>
      </c>
      <c r="I377" s="370">
        <f t="shared" ca="1" si="54"/>
        <v>0</v>
      </c>
      <c r="J377" s="391">
        <f ca="1">IF($A377="*","",OFFSET(COM_N_2012!$B$60,AW377,SUMIF($B$10:$B$16,B377,$AX$10:$AX$16)))</f>
        <v>0</v>
      </c>
      <c r="K377" s="369" t="str">
        <f ca="1">IF($B377&lt;&gt;"PRC_RESID","",IF(K$7=2005+OFFSET(COM_N_2012!$B$60,$AW377,SUMIF($B$10:$B$16,"NCAP_TLIFE",$AX$10:$AX$16)),0,""))</f>
        <v/>
      </c>
      <c r="L377" s="369" t="str">
        <f ca="1">IF($B377&lt;&gt;"PRC_RESID","",IF(L$7=2005+OFFSET(COM_N_2012!$B$60,$AW377,SUMIF($B$10:$B$16,"NCAP_TLIFE",$AX$10:$AX$16)),0,""))</f>
        <v/>
      </c>
      <c r="M377" s="369" t="str">
        <f ca="1">IF($B377&lt;&gt;"PRC_RESID","",IF(M$7=2005+OFFSET(COM_N_2012!$B$60,$AW377,SUMIF($B$10:$B$16,"NCAP_TLIFE",$AX$10:$AX$16)),0,""))</f>
        <v/>
      </c>
      <c r="N377" s="369" t="str">
        <f ca="1">IF($B377&lt;&gt;"PRC_RESID","",IF(N$7=2005+OFFSET(COM_N_2012!$B$60,$AW377,SUMIF($B$10:$B$16,"NCAP_TLIFE",$AX$10:$AX$16)),0,""))</f>
        <v/>
      </c>
      <c r="O377" s="369" t="str">
        <f ca="1">IF($B377&lt;&gt;"PRC_RESID","",IF(O$7=2005+OFFSET(COM_N_2012!$B$60,$AW377,SUMIF($B$10:$B$16,"NCAP_TLIFE",$AX$10:$AX$16)),0,""))</f>
        <v/>
      </c>
      <c r="P377" s="369" t="str">
        <f ca="1">IF($B377&lt;&gt;"PRC_RESID","",IF(P$7=2005+OFFSET(COM_N_2012!$B$60,$AW377,SUMIF($B$10:$B$16,"NCAP_TLIFE",$AX$10:$AX$16)),0,""))</f>
        <v/>
      </c>
      <c r="Q377" s="369" t="str">
        <f ca="1">IF($B377&lt;&gt;"PRC_RESID","",IF(Q$7=2005+OFFSET(COM_N_2012!$B$60,$AW377,SUMIF($B$10:$B$16,"NCAP_TLIFE",$AX$10:$AX$16)),0,""))</f>
        <v/>
      </c>
      <c r="R377" s="369">
        <f ca="1">IF($B377&lt;&gt;"PRC_RESID","",IF(R$7=2005+OFFSET(COM_N_2012!$B$60,$AW377,SUMIF($B$10:$B$16,"NCAP_TLIFE",$AX$10:$AX$16)),0,""))</f>
        <v>0</v>
      </c>
      <c r="S377" s="369" t="str">
        <f ca="1">IF($B377&lt;&gt;"PRC_RESID","",IF(S$7=2005+OFFSET(COM_N_2012!$B$60,$AW377,SUMIF($B$10:$B$16,"NCAP_TLIFE",$AX$10:$AX$16)),0,""))</f>
        <v/>
      </c>
      <c r="T377" s="369" t="str">
        <f ca="1">IF($B377&lt;&gt;"PRC_RESID","",IF(T$7=2005+OFFSET(COM_N_2012!$B$60,$AW377,SUMIF($B$10:$B$16,"NCAP_TLIFE",$AX$10:$AX$16)),0,""))</f>
        <v/>
      </c>
      <c r="U377" s="369" t="str">
        <f ca="1">IF($B377&lt;&gt;"PRC_RESID","",IF(U$7=2005+OFFSET(COM_N_2012!$B$60,$AW377,SUMIF($B$10:$B$16,"NCAP_TLIFE",$AX$10:$AX$16)),0,""))</f>
        <v/>
      </c>
      <c r="V377" s="369" t="str">
        <f ca="1">IF($B377&lt;&gt;"PRC_RESID","",IF(V$7=2005+OFFSET(COM_N_2012!$B$60,$AW377,SUMIF($B$10:$B$16,"NCAP_TLIFE",$AX$10:$AX$16)),0,""))</f>
        <v/>
      </c>
      <c r="W377" s="369" t="str">
        <f ca="1">IF($B377&lt;&gt;"PRC_RESID","",IF(W$7=2005+OFFSET(COM_N_2012!$B$60,$AW377,SUMIF($B$10:$B$16,"NCAP_TLIFE",$AX$10:$AX$16)),0,""))</f>
        <v/>
      </c>
      <c r="X377" s="369" t="str">
        <f ca="1">IF($B377&lt;&gt;"PRC_RESID","",IF(X$7=2005+OFFSET(COM_N_2012!$B$60,$AW377,SUMIF($B$10:$B$16,"NCAP_TLIFE",$AX$10:$AX$16)),0,""))</f>
        <v/>
      </c>
      <c r="Y377" s="369" t="str">
        <f ca="1">IF($B377&lt;&gt;"PRC_RESID","",IF(Y$7=2005+OFFSET(COM_N_2012!$B$60,$AW377,SUMIF($B$10:$B$16,"NCAP_TLIFE",$AX$10:$AX$16)),0,""))</f>
        <v/>
      </c>
      <c r="Z377" s="369" t="str">
        <f ca="1">IF($B377&lt;&gt;"PRC_RESID","",IF(Z$7=2005+OFFSET(COM_N_2012!$B$60,$AW377,SUMIF($B$10:$B$16,"NCAP_TLIFE",$AX$10:$AX$16)),0,""))</f>
        <v/>
      </c>
      <c r="AA377" s="369" t="str">
        <f ca="1">IF($B377&lt;&gt;"PRC_RESID","",IF(AA$7=2005+OFFSET(COM_N_2012!$B$60,$AW377,SUMIF($B$10:$B$16,"NCAP_TLIFE",$AX$10:$AX$16)),0,""))</f>
        <v/>
      </c>
      <c r="AB377" s="369" t="str">
        <f ca="1">IF($B377&lt;&gt;"PRC_RESID","",IF(AB$7=2005+OFFSET(COM_N_2012!$B$60,$AW377,SUMIF($B$10:$B$16,"NCAP_TLIFE",$AX$10:$AX$16)),0,""))</f>
        <v/>
      </c>
      <c r="AC377" s="369" t="str">
        <f ca="1">IF($B377&lt;&gt;"PRC_RESID","",IF(AC$7=2005+OFFSET(COM_N_2012!$B$60,$AW377,SUMIF($B$10:$B$16,"NCAP_TLIFE",$AX$10:$AX$16)),0,""))</f>
        <v/>
      </c>
      <c r="AD377" s="369" t="str">
        <f ca="1">IF($B377&lt;&gt;"PRC_RESID","",IF(AD$7=2005+OFFSET(COM_N_2012!$B$60,$AW377,SUMIF($B$10:$B$16,"NCAP_TLIFE",$AX$10:$AX$16)),0,""))</f>
        <v/>
      </c>
      <c r="AE377" s="369" t="str">
        <f ca="1">IF($B377&lt;&gt;"PRC_RESID","",IF(AE$7=2005+OFFSET(COM_N_2012!$B$60,$AW377,SUMIF($B$10:$B$16,"NCAP_TLIFE",$AX$10:$AX$16)),0,""))</f>
        <v/>
      </c>
      <c r="AF377" s="369" t="str">
        <f ca="1">IF($B377&lt;&gt;"PRC_RESID","",IF(AF$7=2005+OFFSET(COM_N_2012!$B$60,$AW377,SUMIF($B$10:$B$16,"NCAP_TLIFE",$AX$10:$AX$16)),0,""))</f>
        <v/>
      </c>
      <c r="AG377" s="369" t="str">
        <f ca="1">IF($B377&lt;&gt;"PRC_RESID","",IF(AG$7=2005+OFFSET(COM_N_2012!$B$60,$AW377,SUMIF($B$10:$B$16,"NCAP_TLIFE",$AX$10:$AX$16)),0,""))</f>
        <v/>
      </c>
      <c r="AH377" s="369" t="str">
        <f ca="1">IF($B377&lt;&gt;"PRC_RESID","",IF(AH$7=2005+OFFSET(COM_N_2012!$B$60,$AW377,SUMIF($B$10:$B$16,"NCAP_TLIFE",$AX$10:$AX$16)),0,""))</f>
        <v/>
      </c>
      <c r="AI377" s="369" t="str">
        <f ca="1">IF($B377&lt;&gt;"PRC_RESID","",IF(AI$7=2005+OFFSET(COM_N_2012!$B$60,$AW377,SUMIF($B$10:$B$16,"NCAP_TLIFE",$AX$10:$AX$16)),0,""))</f>
        <v/>
      </c>
      <c r="AJ377" s="369" t="str">
        <f ca="1">IF($B377&lt;&gt;"PRC_RESID","",IF(AJ$7=2005+OFFSET(COM_N_2012!$B$60,$AW377,SUMIF($B$10:$B$16,"NCAP_TLIFE",$AX$10:$AX$16)),0,""))</f>
        <v/>
      </c>
      <c r="AK377" s="369" t="str">
        <f ca="1">IF($B377&lt;&gt;"PRC_RESID","",IF(AK$7=2005+OFFSET(COM_N_2012!$B$60,$AW377,SUMIF($B$10:$B$16,"NCAP_TLIFE",$AX$10:$AX$16)),0,""))</f>
        <v/>
      </c>
      <c r="AL377" s="369" t="str">
        <f ca="1">IF($B377&lt;&gt;"PRC_RESID","",IF(AL$7=2005+OFFSET(COM_N_2012!$B$60,$AW377,SUMIF($B$10:$B$16,"NCAP_TLIFE",$AX$10:$AX$16)),0,""))</f>
        <v/>
      </c>
      <c r="AM377" s="369" t="str">
        <f ca="1">IF($B377&lt;&gt;"PRC_RESID","",IF(AM$7=2005+OFFSET(COM_N_2012!$B$60,$AW377,SUMIF($B$10:$B$16,"NCAP_TLIFE",$AX$10:$AX$16)),0,""))</f>
        <v/>
      </c>
      <c r="AN377" s="369" t="str">
        <f ca="1">IF($B377&lt;&gt;"PRC_RESID","",IF(AN$7=2005+OFFSET(COM_N_2012!$B$60,$AW377,SUMIF($B$10:$B$16,"NCAP_TLIFE",$AX$10:$AX$16)),0,""))</f>
        <v/>
      </c>
      <c r="AO377" s="369" t="str">
        <f ca="1">IF($B377&lt;&gt;"PRC_RESID","",IF(AO$7=2005+OFFSET(COM_N_2012!$B$60,$AW377,SUMIF($B$10:$B$16,"NCAP_TLIFE",$AX$10:$AX$16)),0,""))</f>
        <v/>
      </c>
      <c r="AP377" s="369" t="str">
        <f ca="1">IF($B377&lt;&gt;"PRC_RESID","",IF(AP$7=2005+OFFSET(COM_N_2012!$B$60,$AW377,SUMIF($B$10:$B$16,"NCAP_TLIFE",$AX$10:$AX$16)),0,""))</f>
        <v/>
      </c>
      <c r="AQ377" s="369" t="str">
        <f ca="1">IF($B377&lt;&gt;"PRC_RESID","",IF(AQ$7=2005+OFFSET(COM_N_2012!$B$60,$AW377,SUMIF($B$10:$B$16,"NCAP_TLIFE",$AX$10:$AX$16)),0,""))</f>
        <v/>
      </c>
      <c r="AR377" s="369" t="str">
        <f ca="1">IF($B377&lt;&gt;"PRC_RESID","",IF(AR$7=2005+OFFSET(COM_N_2012!$B$60,$AW377,SUMIF($B$10:$B$16,"NCAP_TLIFE",$AX$10:$AX$16)),0,""))</f>
        <v/>
      </c>
      <c r="AS377" s="369" t="str">
        <f ca="1">IF($B377&lt;&gt;"PRC_RESID","",IF(AS$7=2005+OFFSET(COM_N_2012!$B$60,$AW377,SUMIF($B$10:$B$16,"NCAP_TLIFE",$AX$10:$AX$16)),0,""))</f>
        <v/>
      </c>
      <c r="AT377" s="369" t="str">
        <f ca="1">IF($B377&lt;&gt;"PRC_RESID","",IF(AT$7=2005+OFFSET(COM_N_2012!$B$60,$AW377,SUMIF($B$10:$B$16,"NCAP_TLIFE",$AX$10:$AX$16)),0,""))</f>
        <v/>
      </c>
      <c r="AU377" s="369" t="str">
        <f ca="1">IF($B377&lt;&gt;"PRC_RESID","",IF(AU$7=2005+OFFSET(COM_N_2012!$B$60,$AW377,SUMIF($B$10:$B$16,"NCAP_TLIFE",$AX$10:$AX$16)),0,""))</f>
        <v/>
      </c>
      <c r="AV377" s="304">
        <f>IF(AW376=COM_N_2012!$AK$121,AV376+1,AV376)</f>
        <v>6</v>
      </c>
      <c r="AW377" s="304">
        <f t="shared" si="53"/>
        <v>55</v>
      </c>
    </row>
    <row r="378" spans="1:49">
      <c r="A378" s="304" t="str">
        <f ca="1">IF(LEFT(OFFSET(COM_N_2012!$A$60,AW378,0),2)="\I","*","")</f>
        <v/>
      </c>
      <c r="B378" s="369" t="str">
        <f t="shared" ca="1" si="52"/>
        <v>PRC_RESID</v>
      </c>
      <c r="C378" s="369" t="str">
        <f ca="1">IF($A378="*","",OFFSET(COM_N_2012!$B$60,AW378,0))</f>
        <v>CNOGAS-E</v>
      </c>
      <c r="D378" s="369" t="str">
        <f t="shared" ca="1" si="54"/>
        <v>-</v>
      </c>
      <c r="E378" s="369" t="str">
        <f t="shared" ca="1" si="54"/>
        <v>-</v>
      </c>
      <c r="F378" s="369" t="str">
        <f t="shared" ca="1" si="54"/>
        <v>-</v>
      </c>
      <c r="G378" s="369" t="str">
        <f t="shared" ca="1" si="54"/>
        <v>-</v>
      </c>
      <c r="H378" s="369" t="str">
        <f t="shared" ca="1" si="54"/>
        <v>-</v>
      </c>
      <c r="I378" s="370">
        <f t="shared" ca="1" si="54"/>
        <v>0</v>
      </c>
      <c r="J378" s="391">
        <f ca="1">IF($A378="*","",OFFSET(COM_N_2012!$B$60,AW378,SUMIF($B$10:$B$16,B378,$AX$10:$AX$16)))</f>
        <v>0</v>
      </c>
      <c r="K378" s="369" t="str">
        <f ca="1">IF($B378&lt;&gt;"PRC_RESID","",IF(K$7=2005+OFFSET(COM_N_2012!$B$60,$AW378,SUMIF($B$10:$B$16,"NCAP_TLIFE",$AX$10:$AX$16)),0,""))</f>
        <v/>
      </c>
      <c r="L378" s="369" t="str">
        <f ca="1">IF($B378&lt;&gt;"PRC_RESID","",IF(L$7=2005+OFFSET(COM_N_2012!$B$60,$AW378,SUMIF($B$10:$B$16,"NCAP_TLIFE",$AX$10:$AX$16)),0,""))</f>
        <v/>
      </c>
      <c r="M378" s="369" t="str">
        <f ca="1">IF($B378&lt;&gt;"PRC_RESID","",IF(M$7=2005+OFFSET(COM_N_2012!$B$60,$AW378,SUMIF($B$10:$B$16,"NCAP_TLIFE",$AX$10:$AX$16)),0,""))</f>
        <v/>
      </c>
      <c r="N378" s="369" t="str">
        <f ca="1">IF($B378&lt;&gt;"PRC_RESID","",IF(N$7=2005+OFFSET(COM_N_2012!$B$60,$AW378,SUMIF($B$10:$B$16,"NCAP_TLIFE",$AX$10:$AX$16)),0,""))</f>
        <v/>
      </c>
      <c r="O378" s="369" t="str">
        <f ca="1">IF($B378&lt;&gt;"PRC_RESID","",IF(O$7=2005+OFFSET(COM_N_2012!$B$60,$AW378,SUMIF($B$10:$B$16,"NCAP_TLIFE",$AX$10:$AX$16)),0,""))</f>
        <v/>
      </c>
      <c r="P378" s="369" t="str">
        <f ca="1">IF($B378&lt;&gt;"PRC_RESID","",IF(P$7=2005+OFFSET(COM_N_2012!$B$60,$AW378,SUMIF($B$10:$B$16,"NCAP_TLIFE",$AX$10:$AX$16)),0,""))</f>
        <v/>
      </c>
      <c r="Q378" s="369" t="str">
        <f ca="1">IF($B378&lt;&gt;"PRC_RESID","",IF(Q$7=2005+OFFSET(COM_N_2012!$B$60,$AW378,SUMIF($B$10:$B$16,"NCAP_TLIFE",$AX$10:$AX$16)),0,""))</f>
        <v/>
      </c>
      <c r="R378" s="369">
        <f ca="1">IF($B378&lt;&gt;"PRC_RESID","",IF(R$7=2005+OFFSET(COM_N_2012!$B$60,$AW378,SUMIF($B$10:$B$16,"NCAP_TLIFE",$AX$10:$AX$16)),0,""))</f>
        <v>0</v>
      </c>
      <c r="S378" s="369" t="str">
        <f ca="1">IF($B378&lt;&gt;"PRC_RESID","",IF(S$7=2005+OFFSET(COM_N_2012!$B$60,$AW378,SUMIF($B$10:$B$16,"NCAP_TLIFE",$AX$10:$AX$16)),0,""))</f>
        <v/>
      </c>
      <c r="T378" s="369" t="str">
        <f ca="1">IF($B378&lt;&gt;"PRC_RESID","",IF(T$7=2005+OFFSET(COM_N_2012!$B$60,$AW378,SUMIF($B$10:$B$16,"NCAP_TLIFE",$AX$10:$AX$16)),0,""))</f>
        <v/>
      </c>
      <c r="U378" s="369" t="str">
        <f ca="1">IF($B378&lt;&gt;"PRC_RESID","",IF(U$7=2005+OFFSET(COM_N_2012!$B$60,$AW378,SUMIF($B$10:$B$16,"NCAP_TLIFE",$AX$10:$AX$16)),0,""))</f>
        <v/>
      </c>
      <c r="V378" s="369" t="str">
        <f ca="1">IF($B378&lt;&gt;"PRC_RESID","",IF(V$7=2005+OFFSET(COM_N_2012!$B$60,$AW378,SUMIF($B$10:$B$16,"NCAP_TLIFE",$AX$10:$AX$16)),0,""))</f>
        <v/>
      </c>
      <c r="W378" s="369" t="str">
        <f ca="1">IF($B378&lt;&gt;"PRC_RESID","",IF(W$7=2005+OFFSET(COM_N_2012!$B$60,$AW378,SUMIF($B$10:$B$16,"NCAP_TLIFE",$AX$10:$AX$16)),0,""))</f>
        <v/>
      </c>
      <c r="X378" s="369" t="str">
        <f ca="1">IF($B378&lt;&gt;"PRC_RESID","",IF(X$7=2005+OFFSET(COM_N_2012!$B$60,$AW378,SUMIF($B$10:$B$16,"NCAP_TLIFE",$AX$10:$AX$16)),0,""))</f>
        <v/>
      </c>
      <c r="Y378" s="369" t="str">
        <f ca="1">IF($B378&lt;&gt;"PRC_RESID","",IF(Y$7=2005+OFFSET(COM_N_2012!$B$60,$AW378,SUMIF($B$10:$B$16,"NCAP_TLIFE",$AX$10:$AX$16)),0,""))</f>
        <v/>
      </c>
      <c r="Z378" s="369" t="str">
        <f ca="1">IF($B378&lt;&gt;"PRC_RESID","",IF(Z$7=2005+OFFSET(COM_N_2012!$B$60,$AW378,SUMIF($B$10:$B$16,"NCAP_TLIFE",$AX$10:$AX$16)),0,""))</f>
        <v/>
      </c>
      <c r="AA378" s="369" t="str">
        <f ca="1">IF($B378&lt;&gt;"PRC_RESID","",IF(AA$7=2005+OFFSET(COM_N_2012!$B$60,$AW378,SUMIF($B$10:$B$16,"NCAP_TLIFE",$AX$10:$AX$16)),0,""))</f>
        <v/>
      </c>
      <c r="AB378" s="369" t="str">
        <f ca="1">IF($B378&lt;&gt;"PRC_RESID","",IF(AB$7=2005+OFFSET(COM_N_2012!$B$60,$AW378,SUMIF($B$10:$B$16,"NCAP_TLIFE",$AX$10:$AX$16)),0,""))</f>
        <v/>
      </c>
      <c r="AC378" s="369" t="str">
        <f ca="1">IF($B378&lt;&gt;"PRC_RESID","",IF(AC$7=2005+OFFSET(COM_N_2012!$B$60,$AW378,SUMIF($B$10:$B$16,"NCAP_TLIFE",$AX$10:$AX$16)),0,""))</f>
        <v/>
      </c>
      <c r="AD378" s="369" t="str">
        <f ca="1">IF($B378&lt;&gt;"PRC_RESID","",IF(AD$7=2005+OFFSET(COM_N_2012!$B$60,$AW378,SUMIF($B$10:$B$16,"NCAP_TLIFE",$AX$10:$AX$16)),0,""))</f>
        <v/>
      </c>
      <c r="AE378" s="369" t="str">
        <f ca="1">IF($B378&lt;&gt;"PRC_RESID","",IF(AE$7=2005+OFFSET(COM_N_2012!$B$60,$AW378,SUMIF($B$10:$B$16,"NCAP_TLIFE",$AX$10:$AX$16)),0,""))</f>
        <v/>
      </c>
      <c r="AF378" s="369" t="str">
        <f ca="1">IF($B378&lt;&gt;"PRC_RESID","",IF(AF$7=2005+OFFSET(COM_N_2012!$B$60,$AW378,SUMIF($B$10:$B$16,"NCAP_TLIFE",$AX$10:$AX$16)),0,""))</f>
        <v/>
      </c>
      <c r="AG378" s="369" t="str">
        <f ca="1">IF($B378&lt;&gt;"PRC_RESID","",IF(AG$7=2005+OFFSET(COM_N_2012!$B$60,$AW378,SUMIF($B$10:$B$16,"NCAP_TLIFE",$AX$10:$AX$16)),0,""))</f>
        <v/>
      </c>
      <c r="AH378" s="369" t="str">
        <f ca="1">IF($B378&lt;&gt;"PRC_RESID","",IF(AH$7=2005+OFFSET(COM_N_2012!$B$60,$AW378,SUMIF($B$10:$B$16,"NCAP_TLIFE",$AX$10:$AX$16)),0,""))</f>
        <v/>
      </c>
      <c r="AI378" s="369" t="str">
        <f ca="1">IF($B378&lt;&gt;"PRC_RESID","",IF(AI$7=2005+OFFSET(COM_N_2012!$B$60,$AW378,SUMIF($B$10:$B$16,"NCAP_TLIFE",$AX$10:$AX$16)),0,""))</f>
        <v/>
      </c>
      <c r="AJ378" s="369" t="str">
        <f ca="1">IF($B378&lt;&gt;"PRC_RESID","",IF(AJ$7=2005+OFFSET(COM_N_2012!$B$60,$AW378,SUMIF($B$10:$B$16,"NCAP_TLIFE",$AX$10:$AX$16)),0,""))</f>
        <v/>
      </c>
      <c r="AK378" s="369" t="str">
        <f ca="1">IF($B378&lt;&gt;"PRC_RESID","",IF(AK$7=2005+OFFSET(COM_N_2012!$B$60,$AW378,SUMIF($B$10:$B$16,"NCAP_TLIFE",$AX$10:$AX$16)),0,""))</f>
        <v/>
      </c>
      <c r="AL378" s="369" t="str">
        <f ca="1">IF($B378&lt;&gt;"PRC_RESID","",IF(AL$7=2005+OFFSET(COM_N_2012!$B$60,$AW378,SUMIF($B$10:$B$16,"NCAP_TLIFE",$AX$10:$AX$16)),0,""))</f>
        <v/>
      </c>
      <c r="AM378" s="369" t="str">
        <f ca="1">IF($B378&lt;&gt;"PRC_RESID","",IF(AM$7=2005+OFFSET(COM_N_2012!$B$60,$AW378,SUMIF($B$10:$B$16,"NCAP_TLIFE",$AX$10:$AX$16)),0,""))</f>
        <v/>
      </c>
      <c r="AN378" s="369" t="str">
        <f ca="1">IF($B378&lt;&gt;"PRC_RESID","",IF(AN$7=2005+OFFSET(COM_N_2012!$B$60,$AW378,SUMIF($B$10:$B$16,"NCAP_TLIFE",$AX$10:$AX$16)),0,""))</f>
        <v/>
      </c>
      <c r="AO378" s="369" t="str">
        <f ca="1">IF($B378&lt;&gt;"PRC_RESID","",IF(AO$7=2005+OFFSET(COM_N_2012!$B$60,$AW378,SUMIF($B$10:$B$16,"NCAP_TLIFE",$AX$10:$AX$16)),0,""))</f>
        <v/>
      </c>
      <c r="AP378" s="369" t="str">
        <f ca="1">IF($B378&lt;&gt;"PRC_RESID","",IF(AP$7=2005+OFFSET(COM_N_2012!$B$60,$AW378,SUMIF($B$10:$B$16,"NCAP_TLIFE",$AX$10:$AX$16)),0,""))</f>
        <v/>
      </c>
      <c r="AQ378" s="369" t="str">
        <f ca="1">IF($B378&lt;&gt;"PRC_RESID","",IF(AQ$7=2005+OFFSET(COM_N_2012!$B$60,$AW378,SUMIF($B$10:$B$16,"NCAP_TLIFE",$AX$10:$AX$16)),0,""))</f>
        <v/>
      </c>
      <c r="AR378" s="369" t="str">
        <f ca="1">IF($B378&lt;&gt;"PRC_RESID","",IF(AR$7=2005+OFFSET(COM_N_2012!$B$60,$AW378,SUMIF($B$10:$B$16,"NCAP_TLIFE",$AX$10:$AX$16)),0,""))</f>
        <v/>
      </c>
      <c r="AS378" s="369" t="str">
        <f ca="1">IF($B378&lt;&gt;"PRC_RESID","",IF(AS$7=2005+OFFSET(COM_N_2012!$B$60,$AW378,SUMIF($B$10:$B$16,"NCAP_TLIFE",$AX$10:$AX$16)),0,""))</f>
        <v/>
      </c>
      <c r="AT378" s="369" t="str">
        <f ca="1">IF($B378&lt;&gt;"PRC_RESID","",IF(AT$7=2005+OFFSET(COM_N_2012!$B$60,$AW378,SUMIF($B$10:$B$16,"NCAP_TLIFE",$AX$10:$AX$16)),0,""))</f>
        <v/>
      </c>
      <c r="AU378" s="369" t="str">
        <f ca="1">IF($B378&lt;&gt;"PRC_RESID","",IF(AU$7=2005+OFFSET(COM_N_2012!$B$60,$AW378,SUMIF($B$10:$B$16,"NCAP_TLIFE",$AX$10:$AX$16)),0,""))</f>
        <v/>
      </c>
      <c r="AV378" s="304">
        <f>IF(AW377=COM_N_2012!$AK$121,AV377+1,AV377)</f>
        <v>6</v>
      </c>
      <c r="AW378" s="304">
        <f t="shared" si="53"/>
        <v>56</v>
      </c>
    </row>
    <row r="379" spans="1:49">
      <c r="A379" s="304" t="str">
        <f ca="1">IF(LEFT(OFFSET(COM_N_2012!$A$60,AW379,0),2)="\I","*","")</f>
        <v/>
      </c>
      <c r="B379" s="369" t="str">
        <f t="shared" ca="1" si="52"/>
        <v>PRC_RESID</v>
      </c>
      <c r="C379" s="369" t="str">
        <f ca="1">IF($A379="*","",OFFSET(COM_N_2012!$B$60,AW379,0))</f>
        <v>CNOOGS-E</v>
      </c>
      <c r="D379" s="369" t="str">
        <f t="shared" ca="1" si="54"/>
        <v>-</v>
      </c>
      <c r="E379" s="369" t="str">
        <f t="shared" ca="1" si="54"/>
        <v>-</v>
      </c>
      <c r="F379" s="369" t="str">
        <f t="shared" ca="1" si="54"/>
        <v>-</v>
      </c>
      <c r="G379" s="369" t="str">
        <f t="shared" ca="1" si="54"/>
        <v>-</v>
      </c>
      <c r="H379" s="369" t="str">
        <f t="shared" ca="1" si="54"/>
        <v>-</v>
      </c>
      <c r="I379" s="370">
        <f t="shared" ca="1" si="54"/>
        <v>0</v>
      </c>
      <c r="J379" s="391">
        <f ca="1">IF($A379="*","",OFFSET(COM_N_2012!$B$60,AW379,SUMIF($B$10:$B$16,B379,$AX$10:$AX$16)))</f>
        <v>0</v>
      </c>
      <c r="K379" s="369" t="str">
        <f ca="1">IF($B379&lt;&gt;"PRC_RESID","",IF(K$7=2005+OFFSET(COM_N_2012!$B$60,$AW379,SUMIF($B$10:$B$16,"NCAP_TLIFE",$AX$10:$AX$16)),0,""))</f>
        <v/>
      </c>
      <c r="L379" s="369" t="str">
        <f ca="1">IF($B379&lt;&gt;"PRC_RESID","",IF(L$7=2005+OFFSET(COM_N_2012!$B$60,$AW379,SUMIF($B$10:$B$16,"NCAP_TLIFE",$AX$10:$AX$16)),0,""))</f>
        <v/>
      </c>
      <c r="M379" s="369" t="str">
        <f ca="1">IF($B379&lt;&gt;"PRC_RESID","",IF(M$7=2005+OFFSET(COM_N_2012!$B$60,$AW379,SUMIF($B$10:$B$16,"NCAP_TLIFE",$AX$10:$AX$16)),0,""))</f>
        <v/>
      </c>
      <c r="N379" s="369" t="str">
        <f ca="1">IF($B379&lt;&gt;"PRC_RESID","",IF(N$7=2005+OFFSET(COM_N_2012!$B$60,$AW379,SUMIF($B$10:$B$16,"NCAP_TLIFE",$AX$10:$AX$16)),0,""))</f>
        <v/>
      </c>
      <c r="O379" s="369" t="str">
        <f ca="1">IF($B379&lt;&gt;"PRC_RESID","",IF(O$7=2005+OFFSET(COM_N_2012!$B$60,$AW379,SUMIF($B$10:$B$16,"NCAP_TLIFE",$AX$10:$AX$16)),0,""))</f>
        <v/>
      </c>
      <c r="P379" s="369" t="str">
        <f ca="1">IF($B379&lt;&gt;"PRC_RESID","",IF(P$7=2005+OFFSET(COM_N_2012!$B$60,$AW379,SUMIF($B$10:$B$16,"NCAP_TLIFE",$AX$10:$AX$16)),0,""))</f>
        <v/>
      </c>
      <c r="Q379" s="369" t="str">
        <f ca="1">IF($B379&lt;&gt;"PRC_RESID","",IF(Q$7=2005+OFFSET(COM_N_2012!$B$60,$AW379,SUMIF($B$10:$B$16,"NCAP_TLIFE",$AX$10:$AX$16)),0,""))</f>
        <v/>
      </c>
      <c r="R379" s="369">
        <f ca="1">IF($B379&lt;&gt;"PRC_RESID","",IF(R$7=2005+OFFSET(COM_N_2012!$B$60,$AW379,SUMIF($B$10:$B$16,"NCAP_TLIFE",$AX$10:$AX$16)),0,""))</f>
        <v>0</v>
      </c>
      <c r="S379" s="369" t="str">
        <f ca="1">IF($B379&lt;&gt;"PRC_RESID","",IF(S$7=2005+OFFSET(COM_N_2012!$B$60,$AW379,SUMIF($B$10:$B$16,"NCAP_TLIFE",$AX$10:$AX$16)),0,""))</f>
        <v/>
      </c>
      <c r="T379" s="369" t="str">
        <f ca="1">IF($B379&lt;&gt;"PRC_RESID","",IF(T$7=2005+OFFSET(COM_N_2012!$B$60,$AW379,SUMIF($B$10:$B$16,"NCAP_TLIFE",$AX$10:$AX$16)),0,""))</f>
        <v/>
      </c>
      <c r="U379" s="369" t="str">
        <f ca="1">IF($B379&lt;&gt;"PRC_RESID","",IF(U$7=2005+OFFSET(COM_N_2012!$B$60,$AW379,SUMIF($B$10:$B$16,"NCAP_TLIFE",$AX$10:$AX$16)),0,""))</f>
        <v/>
      </c>
      <c r="V379" s="369" t="str">
        <f ca="1">IF($B379&lt;&gt;"PRC_RESID","",IF(V$7=2005+OFFSET(COM_N_2012!$B$60,$AW379,SUMIF($B$10:$B$16,"NCAP_TLIFE",$AX$10:$AX$16)),0,""))</f>
        <v/>
      </c>
      <c r="W379" s="369" t="str">
        <f ca="1">IF($B379&lt;&gt;"PRC_RESID","",IF(W$7=2005+OFFSET(COM_N_2012!$B$60,$AW379,SUMIF($B$10:$B$16,"NCAP_TLIFE",$AX$10:$AX$16)),0,""))</f>
        <v/>
      </c>
      <c r="X379" s="369" t="str">
        <f ca="1">IF($B379&lt;&gt;"PRC_RESID","",IF(X$7=2005+OFFSET(COM_N_2012!$B$60,$AW379,SUMIF($B$10:$B$16,"NCAP_TLIFE",$AX$10:$AX$16)),0,""))</f>
        <v/>
      </c>
      <c r="Y379" s="369" t="str">
        <f ca="1">IF($B379&lt;&gt;"PRC_RESID","",IF(Y$7=2005+OFFSET(COM_N_2012!$B$60,$AW379,SUMIF($B$10:$B$16,"NCAP_TLIFE",$AX$10:$AX$16)),0,""))</f>
        <v/>
      </c>
      <c r="Z379" s="369" t="str">
        <f ca="1">IF($B379&lt;&gt;"PRC_RESID","",IF(Z$7=2005+OFFSET(COM_N_2012!$B$60,$AW379,SUMIF($B$10:$B$16,"NCAP_TLIFE",$AX$10:$AX$16)),0,""))</f>
        <v/>
      </c>
      <c r="AA379" s="369" t="str">
        <f ca="1">IF($B379&lt;&gt;"PRC_RESID","",IF(AA$7=2005+OFFSET(COM_N_2012!$B$60,$AW379,SUMIF($B$10:$B$16,"NCAP_TLIFE",$AX$10:$AX$16)),0,""))</f>
        <v/>
      </c>
      <c r="AB379" s="369" t="str">
        <f ca="1">IF($B379&lt;&gt;"PRC_RESID","",IF(AB$7=2005+OFFSET(COM_N_2012!$B$60,$AW379,SUMIF($B$10:$B$16,"NCAP_TLIFE",$AX$10:$AX$16)),0,""))</f>
        <v/>
      </c>
      <c r="AC379" s="369" t="str">
        <f ca="1">IF($B379&lt;&gt;"PRC_RESID","",IF(AC$7=2005+OFFSET(COM_N_2012!$B$60,$AW379,SUMIF($B$10:$B$16,"NCAP_TLIFE",$AX$10:$AX$16)),0,""))</f>
        <v/>
      </c>
      <c r="AD379" s="369" t="str">
        <f ca="1">IF($B379&lt;&gt;"PRC_RESID","",IF(AD$7=2005+OFFSET(COM_N_2012!$B$60,$AW379,SUMIF($B$10:$B$16,"NCAP_TLIFE",$AX$10:$AX$16)),0,""))</f>
        <v/>
      </c>
      <c r="AE379" s="369" t="str">
        <f ca="1">IF($B379&lt;&gt;"PRC_RESID","",IF(AE$7=2005+OFFSET(COM_N_2012!$B$60,$AW379,SUMIF($B$10:$B$16,"NCAP_TLIFE",$AX$10:$AX$16)),0,""))</f>
        <v/>
      </c>
      <c r="AF379" s="369" t="str">
        <f ca="1">IF($B379&lt;&gt;"PRC_RESID","",IF(AF$7=2005+OFFSET(COM_N_2012!$B$60,$AW379,SUMIF($B$10:$B$16,"NCAP_TLIFE",$AX$10:$AX$16)),0,""))</f>
        <v/>
      </c>
      <c r="AG379" s="369" t="str">
        <f ca="1">IF($B379&lt;&gt;"PRC_RESID","",IF(AG$7=2005+OFFSET(COM_N_2012!$B$60,$AW379,SUMIF($B$10:$B$16,"NCAP_TLIFE",$AX$10:$AX$16)),0,""))</f>
        <v/>
      </c>
      <c r="AH379" s="369" t="str">
        <f ca="1">IF($B379&lt;&gt;"PRC_RESID","",IF(AH$7=2005+OFFSET(COM_N_2012!$B$60,$AW379,SUMIF($B$10:$B$16,"NCAP_TLIFE",$AX$10:$AX$16)),0,""))</f>
        <v/>
      </c>
      <c r="AI379" s="369" t="str">
        <f ca="1">IF($B379&lt;&gt;"PRC_RESID","",IF(AI$7=2005+OFFSET(COM_N_2012!$B$60,$AW379,SUMIF($B$10:$B$16,"NCAP_TLIFE",$AX$10:$AX$16)),0,""))</f>
        <v/>
      </c>
      <c r="AJ379" s="369" t="str">
        <f ca="1">IF($B379&lt;&gt;"PRC_RESID","",IF(AJ$7=2005+OFFSET(COM_N_2012!$B$60,$AW379,SUMIF($B$10:$B$16,"NCAP_TLIFE",$AX$10:$AX$16)),0,""))</f>
        <v/>
      </c>
      <c r="AK379" s="369" t="str">
        <f ca="1">IF($B379&lt;&gt;"PRC_RESID","",IF(AK$7=2005+OFFSET(COM_N_2012!$B$60,$AW379,SUMIF($B$10:$B$16,"NCAP_TLIFE",$AX$10:$AX$16)),0,""))</f>
        <v/>
      </c>
      <c r="AL379" s="369" t="str">
        <f ca="1">IF($B379&lt;&gt;"PRC_RESID","",IF(AL$7=2005+OFFSET(COM_N_2012!$B$60,$AW379,SUMIF($B$10:$B$16,"NCAP_TLIFE",$AX$10:$AX$16)),0,""))</f>
        <v/>
      </c>
      <c r="AM379" s="369" t="str">
        <f ca="1">IF($B379&lt;&gt;"PRC_RESID","",IF(AM$7=2005+OFFSET(COM_N_2012!$B$60,$AW379,SUMIF($B$10:$B$16,"NCAP_TLIFE",$AX$10:$AX$16)),0,""))</f>
        <v/>
      </c>
      <c r="AN379" s="369" t="str">
        <f ca="1">IF($B379&lt;&gt;"PRC_RESID","",IF(AN$7=2005+OFFSET(COM_N_2012!$B$60,$AW379,SUMIF($B$10:$B$16,"NCAP_TLIFE",$AX$10:$AX$16)),0,""))</f>
        <v/>
      </c>
      <c r="AO379" s="369" t="str">
        <f ca="1">IF($B379&lt;&gt;"PRC_RESID","",IF(AO$7=2005+OFFSET(COM_N_2012!$B$60,$AW379,SUMIF($B$10:$B$16,"NCAP_TLIFE",$AX$10:$AX$16)),0,""))</f>
        <v/>
      </c>
      <c r="AP379" s="369" t="str">
        <f ca="1">IF($B379&lt;&gt;"PRC_RESID","",IF(AP$7=2005+OFFSET(COM_N_2012!$B$60,$AW379,SUMIF($B$10:$B$16,"NCAP_TLIFE",$AX$10:$AX$16)),0,""))</f>
        <v/>
      </c>
      <c r="AQ379" s="369" t="str">
        <f ca="1">IF($B379&lt;&gt;"PRC_RESID","",IF(AQ$7=2005+OFFSET(COM_N_2012!$B$60,$AW379,SUMIF($B$10:$B$16,"NCAP_TLIFE",$AX$10:$AX$16)),0,""))</f>
        <v/>
      </c>
      <c r="AR379" s="369" t="str">
        <f ca="1">IF($B379&lt;&gt;"PRC_RESID","",IF(AR$7=2005+OFFSET(COM_N_2012!$B$60,$AW379,SUMIF($B$10:$B$16,"NCAP_TLIFE",$AX$10:$AX$16)),0,""))</f>
        <v/>
      </c>
      <c r="AS379" s="369" t="str">
        <f ca="1">IF($B379&lt;&gt;"PRC_RESID","",IF(AS$7=2005+OFFSET(COM_N_2012!$B$60,$AW379,SUMIF($B$10:$B$16,"NCAP_TLIFE",$AX$10:$AX$16)),0,""))</f>
        <v/>
      </c>
      <c r="AT379" s="369" t="str">
        <f ca="1">IF($B379&lt;&gt;"PRC_RESID","",IF(AT$7=2005+OFFSET(COM_N_2012!$B$60,$AW379,SUMIF($B$10:$B$16,"NCAP_TLIFE",$AX$10:$AX$16)),0,""))</f>
        <v/>
      </c>
      <c r="AU379" s="369" t="str">
        <f ca="1">IF($B379&lt;&gt;"PRC_RESID","",IF(AU$7=2005+OFFSET(COM_N_2012!$B$60,$AW379,SUMIF($B$10:$B$16,"NCAP_TLIFE",$AX$10:$AX$16)),0,""))</f>
        <v/>
      </c>
      <c r="AV379" s="304">
        <f>IF(AW378=COM_N_2012!$AK$121,AV378+1,AV378)</f>
        <v>6</v>
      </c>
      <c r="AW379" s="304">
        <f t="shared" si="53"/>
        <v>57</v>
      </c>
    </row>
    <row r="380" spans="1:49">
      <c r="A380" s="304" t="str">
        <f ca="1">IF(LEFT(OFFSET(COM_N_2012!$A$60,AW380,0),2)="\I","*","")</f>
        <v/>
      </c>
      <c r="B380" s="369" t="str">
        <f t="shared" ca="1" si="52"/>
        <v>PRC_RESID</v>
      </c>
      <c r="C380" s="369" t="str">
        <f ca="1">IF($A380="*","",OFFSET(COM_N_2012!$B$60,AW380,0))</f>
        <v>CNOOHF-E</v>
      </c>
      <c r="D380" s="369" t="str">
        <f t="shared" ca="1" si="54"/>
        <v>-</v>
      </c>
      <c r="E380" s="369" t="str">
        <f t="shared" ca="1" si="54"/>
        <v>-</v>
      </c>
      <c r="F380" s="369" t="str">
        <f t="shared" ca="1" si="54"/>
        <v>-</v>
      </c>
      <c r="G380" s="369" t="str">
        <f t="shared" ca="1" si="54"/>
        <v>-</v>
      </c>
      <c r="H380" s="369" t="str">
        <f t="shared" ca="1" si="54"/>
        <v>-</v>
      </c>
      <c r="I380" s="370">
        <f t="shared" ca="1" si="54"/>
        <v>0</v>
      </c>
      <c r="J380" s="391">
        <f ca="1">IF($A380="*","",OFFSET(COM_N_2012!$B$60,AW380,SUMIF($B$10:$B$16,B380,$AX$10:$AX$16)))</f>
        <v>0</v>
      </c>
      <c r="K380" s="369" t="str">
        <f ca="1">IF($B380&lt;&gt;"PRC_RESID","",IF(K$7=2005+OFFSET(COM_N_2012!$B$60,$AW380,SUMIF($B$10:$B$16,"NCAP_TLIFE",$AX$10:$AX$16)),0,""))</f>
        <v/>
      </c>
      <c r="L380" s="369" t="str">
        <f ca="1">IF($B380&lt;&gt;"PRC_RESID","",IF(L$7=2005+OFFSET(COM_N_2012!$B$60,$AW380,SUMIF($B$10:$B$16,"NCAP_TLIFE",$AX$10:$AX$16)),0,""))</f>
        <v/>
      </c>
      <c r="M380" s="369" t="str">
        <f ca="1">IF($B380&lt;&gt;"PRC_RESID","",IF(M$7=2005+OFFSET(COM_N_2012!$B$60,$AW380,SUMIF($B$10:$B$16,"NCAP_TLIFE",$AX$10:$AX$16)),0,""))</f>
        <v/>
      </c>
      <c r="N380" s="369" t="str">
        <f ca="1">IF($B380&lt;&gt;"PRC_RESID","",IF(N$7=2005+OFFSET(COM_N_2012!$B$60,$AW380,SUMIF($B$10:$B$16,"NCAP_TLIFE",$AX$10:$AX$16)),0,""))</f>
        <v/>
      </c>
      <c r="O380" s="369" t="str">
        <f ca="1">IF($B380&lt;&gt;"PRC_RESID","",IF(O$7=2005+OFFSET(COM_N_2012!$B$60,$AW380,SUMIF($B$10:$B$16,"NCAP_TLIFE",$AX$10:$AX$16)),0,""))</f>
        <v/>
      </c>
      <c r="P380" s="369" t="str">
        <f ca="1">IF($B380&lt;&gt;"PRC_RESID","",IF(P$7=2005+OFFSET(COM_N_2012!$B$60,$AW380,SUMIF($B$10:$B$16,"NCAP_TLIFE",$AX$10:$AX$16)),0,""))</f>
        <v/>
      </c>
      <c r="Q380" s="369" t="str">
        <f ca="1">IF($B380&lt;&gt;"PRC_RESID","",IF(Q$7=2005+OFFSET(COM_N_2012!$B$60,$AW380,SUMIF($B$10:$B$16,"NCAP_TLIFE",$AX$10:$AX$16)),0,""))</f>
        <v/>
      </c>
      <c r="R380" s="369">
        <f ca="1">IF($B380&lt;&gt;"PRC_RESID","",IF(R$7=2005+OFFSET(COM_N_2012!$B$60,$AW380,SUMIF($B$10:$B$16,"NCAP_TLIFE",$AX$10:$AX$16)),0,""))</f>
        <v>0</v>
      </c>
      <c r="S380" s="369" t="str">
        <f ca="1">IF($B380&lt;&gt;"PRC_RESID","",IF(S$7=2005+OFFSET(COM_N_2012!$B$60,$AW380,SUMIF($B$10:$B$16,"NCAP_TLIFE",$AX$10:$AX$16)),0,""))</f>
        <v/>
      </c>
      <c r="T380" s="369" t="str">
        <f ca="1">IF($B380&lt;&gt;"PRC_RESID","",IF(T$7=2005+OFFSET(COM_N_2012!$B$60,$AW380,SUMIF($B$10:$B$16,"NCAP_TLIFE",$AX$10:$AX$16)),0,""))</f>
        <v/>
      </c>
      <c r="U380" s="369" t="str">
        <f ca="1">IF($B380&lt;&gt;"PRC_RESID","",IF(U$7=2005+OFFSET(COM_N_2012!$B$60,$AW380,SUMIF($B$10:$B$16,"NCAP_TLIFE",$AX$10:$AX$16)),0,""))</f>
        <v/>
      </c>
      <c r="V380" s="369" t="str">
        <f ca="1">IF($B380&lt;&gt;"PRC_RESID","",IF(V$7=2005+OFFSET(COM_N_2012!$B$60,$AW380,SUMIF($B$10:$B$16,"NCAP_TLIFE",$AX$10:$AX$16)),0,""))</f>
        <v/>
      </c>
      <c r="W380" s="369" t="str">
        <f ca="1">IF($B380&lt;&gt;"PRC_RESID","",IF(W$7=2005+OFFSET(COM_N_2012!$B$60,$AW380,SUMIF($B$10:$B$16,"NCAP_TLIFE",$AX$10:$AX$16)),0,""))</f>
        <v/>
      </c>
      <c r="X380" s="369" t="str">
        <f ca="1">IF($B380&lt;&gt;"PRC_RESID","",IF(X$7=2005+OFFSET(COM_N_2012!$B$60,$AW380,SUMIF($B$10:$B$16,"NCAP_TLIFE",$AX$10:$AX$16)),0,""))</f>
        <v/>
      </c>
      <c r="Y380" s="369" t="str">
        <f ca="1">IF($B380&lt;&gt;"PRC_RESID","",IF(Y$7=2005+OFFSET(COM_N_2012!$B$60,$AW380,SUMIF($B$10:$B$16,"NCAP_TLIFE",$AX$10:$AX$16)),0,""))</f>
        <v/>
      </c>
      <c r="Z380" s="369" t="str">
        <f ca="1">IF($B380&lt;&gt;"PRC_RESID","",IF(Z$7=2005+OFFSET(COM_N_2012!$B$60,$AW380,SUMIF($B$10:$B$16,"NCAP_TLIFE",$AX$10:$AX$16)),0,""))</f>
        <v/>
      </c>
      <c r="AA380" s="369" t="str">
        <f ca="1">IF($B380&lt;&gt;"PRC_RESID","",IF(AA$7=2005+OFFSET(COM_N_2012!$B$60,$AW380,SUMIF($B$10:$B$16,"NCAP_TLIFE",$AX$10:$AX$16)),0,""))</f>
        <v/>
      </c>
      <c r="AB380" s="369" t="str">
        <f ca="1">IF($B380&lt;&gt;"PRC_RESID","",IF(AB$7=2005+OFFSET(COM_N_2012!$B$60,$AW380,SUMIF($B$10:$B$16,"NCAP_TLIFE",$AX$10:$AX$16)),0,""))</f>
        <v/>
      </c>
      <c r="AC380" s="369" t="str">
        <f ca="1">IF($B380&lt;&gt;"PRC_RESID","",IF(AC$7=2005+OFFSET(COM_N_2012!$B$60,$AW380,SUMIF($B$10:$B$16,"NCAP_TLIFE",$AX$10:$AX$16)),0,""))</f>
        <v/>
      </c>
      <c r="AD380" s="369" t="str">
        <f ca="1">IF($B380&lt;&gt;"PRC_RESID","",IF(AD$7=2005+OFFSET(COM_N_2012!$B$60,$AW380,SUMIF($B$10:$B$16,"NCAP_TLIFE",$AX$10:$AX$16)),0,""))</f>
        <v/>
      </c>
      <c r="AE380" s="369" t="str">
        <f ca="1">IF($B380&lt;&gt;"PRC_RESID","",IF(AE$7=2005+OFFSET(COM_N_2012!$B$60,$AW380,SUMIF($B$10:$B$16,"NCAP_TLIFE",$AX$10:$AX$16)),0,""))</f>
        <v/>
      </c>
      <c r="AF380" s="369" t="str">
        <f ca="1">IF($B380&lt;&gt;"PRC_RESID","",IF(AF$7=2005+OFFSET(COM_N_2012!$B$60,$AW380,SUMIF($B$10:$B$16,"NCAP_TLIFE",$AX$10:$AX$16)),0,""))</f>
        <v/>
      </c>
      <c r="AG380" s="369" t="str">
        <f ca="1">IF($B380&lt;&gt;"PRC_RESID","",IF(AG$7=2005+OFFSET(COM_N_2012!$B$60,$AW380,SUMIF($B$10:$B$16,"NCAP_TLIFE",$AX$10:$AX$16)),0,""))</f>
        <v/>
      </c>
      <c r="AH380" s="369" t="str">
        <f ca="1">IF($B380&lt;&gt;"PRC_RESID","",IF(AH$7=2005+OFFSET(COM_N_2012!$B$60,$AW380,SUMIF($B$10:$B$16,"NCAP_TLIFE",$AX$10:$AX$16)),0,""))</f>
        <v/>
      </c>
      <c r="AI380" s="369" t="str">
        <f ca="1">IF($B380&lt;&gt;"PRC_RESID","",IF(AI$7=2005+OFFSET(COM_N_2012!$B$60,$AW380,SUMIF($B$10:$B$16,"NCAP_TLIFE",$AX$10:$AX$16)),0,""))</f>
        <v/>
      </c>
      <c r="AJ380" s="369" t="str">
        <f ca="1">IF($B380&lt;&gt;"PRC_RESID","",IF(AJ$7=2005+OFFSET(COM_N_2012!$B$60,$AW380,SUMIF($B$10:$B$16,"NCAP_TLIFE",$AX$10:$AX$16)),0,""))</f>
        <v/>
      </c>
      <c r="AK380" s="369" t="str">
        <f ca="1">IF($B380&lt;&gt;"PRC_RESID","",IF(AK$7=2005+OFFSET(COM_N_2012!$B$60,$AW380,SUMIF($B$10:$B$16,"NCAP_TLIFE",$AX$10:$AX$16)),0,""))</f>
        <v/>
      </c>
      <c r="AL380" s="369" t="str">
        <f ca="1">IF($B380&lt;&gt;"PRC_RESID","",IF(AL$7=2005+OFFSET(COM_N_2012!$B$60,$AW380,SUMIF($B$10:$B$16,"NCAP_TLIFE",$AX$10:$AX$16)),0,""))</f>
        <v/>
      </c>
      <c r="AM380" s="369" t="str">
        <f ca="1">IF($B380&lt;&gt;"PRC_RESID","",IF(AM$7=2005+OFFSET(COM_N_2012!$B$60,$AW380,SUMIF($B$10:$B$16,"NCAP_TLIFE",$AX$10:$AX$16)),0,""))</f>
        <v/>
      </c>
      <c r="AN380" s="369" t="str">
        <f ca="1">IF($B380&lt;&gt;"PRC_RESID","",IF(AN$7=2005+OFFSET(COM_N_2012!$B$60,$AW380,SUMIF($B$10:$B$16,"NCAP_TLIFE",$AX$10:$AX$16)),0,""))</f>
        <v/>
      </c>
      <c r="AO380" s="369" t="str">
        <f ca="1">IF($B380&lt;&gt;"PRC_RESID","",IF(AO$7=2005+OFFSET(COM_N_2012!$B$60,$AW380,SUMIF($B$10:$B$16,"NCAP_TLIFE",$AX$10:$AX$16)),0,""))</f>
        <v/>
      </c>
      <c r="AP380" s="369" t="str">
        <f ca="1">IF($B380&lt;&gt;"PRC_RESID","",IF(AP$7=2005+OFFSET(COM_N_2012!$B$60,$AW380,SUMIF($B$10:$B$16,"NCAP_TLIFE",$AX$10:$AX$16)),0,""))</f>
        <v/>
      </c>
      <c r="AQ380" s="369" t="str">
        <f ca="1">IF($B380&lt;&gt;"PRC_RESID","",IF(AQ$7=2005+OFFSET(COM_N_2012!$B$60,$AW380,SUMIF($B$10:$B$16,"NCAP_TLIFE",$AX$10:$AX$16)),0,""))</f>
        <v/>
      </c>
      <c r="AR380" s="369" t="str">
        <f ca="1">IF($B380&lt;&gt;"PRC_RESID","",IF(AR$7=2005+OFFSET(COM_N_2012!$B$60,$AW380,SUMIF($B$10:$B$16,"NCAP_TLIFE",$AX$10:$AX$16)),0,""))</f>
        <v/>
      </c>
      <c r="AS380" s="369" t="str">
        <f ca="1">IF($B380&lt;&gt;"PRC_RESID","",IF(AS$7=2005+OFFSET(COM_N_2012!$B$60,$AW380,SUMIF($B$10:$B$16,"NCAP_TLIFE",$AX$10:$AX$16)),0,""))</f>
        <v/>
      </c>
      <c r="AT380" s="369" t="str">
        <f ca="1">IF($B380&lt;&gt;"PRC_RESID","",IF(AT$7=2005+OFFSET(COM_N_2012!$B$60,$AW380,SUMIF($B$10:$B$16,"NCAP_TLIFE",$AX$10:$AX$16)),0,""))</f>
        <v/>
      </c>
      <c r="AU380" s="369" t="str">
        <f ca="1">IF($B380&lt;&gt;"PRC_RESID","",IF(AU$7=2005+OFFSET(COM_N_2012!$B$60,$AW380,SUMIF($B$10:$B$16,"NCAP_TLIFE",$AX$10:$AX$16)),0,""))</f>
        <v/>
      </c>
      <c r="AV380" s="304">
        <f>IF(AW379=COM_N_2012!$AK$121,AV379+1,AV379)</f>
        <v>6</v>
      </c>
      <c r="AW380" s="304">
        <f t="shared" si="53"/>
        <v>58</v>
      </c>
    </row>
    <row r="381" spans="1:49">
      <c r="A381" s="304" t="str">
        <f ca="1">IF(LEFT(OFFSET(COM_N_2012!$A$60,AW381,0),2)="\I","*","")</f>
        <v/>
      </c>
      <c r="B381" s="369" t="str">
        <f t="shared" ca="1" si="52"/>
        <v>PRC_RESID</v>
      </c>
      <c r="C381" s="369" t="str">
        <f ca="1">IF($A381="*","",OFFSET(COM_N_2012!$B$60,AW381,0))</f>
        <v>CNOOKE-E</v>
      </c>
      <c r="D381" s="369" t="str">
        <f t="shared" ca="1" si="54"/>
        <v>-</v>
      </c>
      <c r="E381" s="369" t="str">
        <f t="shared" ca="1" si="54"/>
        <v>-</v>
      </c>
      <c r="F381" s="369" t="str">
        <f t="shared" ca="1" si="54"/>
        <v>-</v>
      </c>
      <c r="G381" s="369" t="str">
        <f t="shared" ca="1" si="54"/>
        <v>-</v>
      </c>
      <c r="H381" s="369" t="str">
        <f t="shared" ca="1" si="54"/>
        <v>-</v>
      </c>
      <c r="I381" s="370">
        <f t="shared" ca="1" si="54"/>
        <v>0</v>
      </c>
      <c r="J381" s="391">
        <f ca="1">IF($A381="*","",OFFSET(COM_N_2012!$B$60,AW381,SUMIF($B$10:$B$16,B381,$AX$10:$AX$16)))</f>
        <v>0</v>
      </c>
      <c r="K381" s="369" t="str">
        <f ca="1">IF($B381&lt;&gt;"PRC_RESID","",IF(K$7=2005+OFFSET(COM_N_2012!$B$60,$AW381,SUMIF($B$10:$B$16,"NCAP_TLIFE",$AX$10:$AX$16)),0,""))</f>
        <v/>
      </c>
      <c r="L381" s="369" t="str">
        <f ca="1">IF($B381&lt;&gt;"PRC_RESID","",IF(L$7=2005+OFFSET(COM_N_2012!$B$60,$AW381,SUMIF($B$10:$B$16,"NCAP_TLIFE",$AX$10:$AX$16)),0,""))</f>
        <v/>
      </c>
      <c r="M381" s="369" t="str">
        <f ca="1">IF($B381&lt;&gt;"PRC_RESID","",IF(M$7=2005+OFFSET(COM_N_2012!$B$60,$AW381,SUMIF($B$10:$B$16,"NCAP_TLIFE",$AX$10:$AX$16)),0,""))</f>
        <v/>
      </c>
      <c r="N381" s="369" t="str">
        <f ca="1">IF($B381&lt;&gt;"PRC_RESID","",IF(N$7=2005+OFFSET(COM_N_2012!$B$60,$AW381,SUMIF($B$10:$B$16,"NCAP_TLIFE",$AX$10:$AX$16)),0,""))</f>
        <v/>
      </c>
      <c r="O381" s="369" t="str">
        <f ca="1">IF($B381&lt;&gt;"PRC_RESID","",IF(O$7=2005+OFFSET(COM_N_2012!$B$60,$AW381,SUMIF($B$10:$B$16,"NCAP_TLIFE",$AX$10:$AX$16)),0,""))</f>
        <v/>
      </c>
      <c r="P381" s="369" t="str">
        <f ca="1">IF($B381&lt;&gt;"PRC_RESID","",IF(P$7=2005+OFFSET(COM_N_2012!$B$60,$AW381,SUMIF($B$10:$B$16,"NCAP_TLIFE",$AX$10:$AX$16)),0,""))</f>
        <v/>
      </c>
      <c r="Q381" s="369" t="str">
        <f ca="1">IF($B381&lt;&gt;"PRC_RESID","",IF(Q$7=2005+OFFSET(COM_N_2012!$B$60,$AW381,SUMIF($B$10:$B$16,"NCAP_TLIFE",$AX$10:$AX$16)),0,""))</f>
        <v/>
      </c>
      <c r="R381" s="369">
        <f ca="1">IF($B381&lt;&gt;"PRC_RESID","",IF(R$7=2005+OFFSET(COM_N_2012!$B$60,$AW381,SUMIF($B$10:$B$16,"NCAP_TLIFE",$AX$10:$AX$16)),0,""))</f>
        <v>0</v>
      </c>
      <c r="S381" s="369" t="str">
        <f ca="1">IF($B381&lt;&gt;"PRC_RESID","",IF(S$7=2005+OFFSET(COM_N_2012!$B$60,$AW381,SUMIF($B$10:$B$16,"NCAP_TLIFE",$AX$10:$AX$16)),0,""))</f>
        <v/>
      </c>
      <c r="T381" s="369" t="str">
        <f ca="1">IF($B381&lt;&gt;"PRC_RESID","",IF(T$7=2005+OFFSET(COM_N_2012!$B$60,$AW381,SUMIF($B$10:$B$16,"NCAP_TLIFE",$AX$10:$AX$16)),0,""))</f>
        <v/>
      </c>
      <c r="U381" s="369" t="str">
        <f ca="1">IF($B381&lt;&gt;"PRC_RESID","",IF(U$7=2005+OFFSET(COM_N_2012!$B$60,$AW381,SUMIF($B$10:$B$16,"NCAP_TLIFE",$AX$10:$AX$16)),0,""))</f>
        <v/>
      </c>
      <c r="V381" s="369" t="str">
        <f ca="1">IF($B381&lt;&gt;"PRC_RESID","",IF(V$7=2005+OFFSET(COM_N_2012!$B$60,$AW381,SUMIF($B$10:$B$16,"NCAP_TLIFE",$AX$10:$AX$16)),0,""))</f>
        <v/>
      </c>
      <c r="W381" s="369" t="str">
        <f ca="1">IF($B381&lt;&gt;"PRC_RESID","",IF(W$7=2005+OFFSET(COM_N_2012!$B$60,$AW381,SUMIF($B$10:$B$16,"NCAP_TLIFE",$AX$10:$AX$16)),0,""))</f>
        <v/>
      </c>
      <c r="X381" s="369" t="str">
        <f ca="1">IF($B381&lt;&gt;"PRC_RESID","",IF(X$7=2005+OFFSET(COM_N_2012!$B$60,$AW381,SUMIF($B$10:$B$16,"NCAP_TLIFE",$AX$10:$AX$16)),0,""))</f>
        <v/>
      </c>
      <c r="Y381" s="369" t="str">
        <f ca="1">IF($B381&lt;&gt;"PRC_RESID","",IF(Y$7=2005+OFFSET(COM_N_2012!$B$60,$AW381,SUMIF($B$10:$B$16,"NCAP_TLIFE",$AX$10:$AX$16)),0,""))</f>
        <v/>
      </c>
      <c r="Z381" s="369" t="str">
        <f ca="1">IF($B381&lt;&gt;"PRC_RESID","",IF(Z$7=2005+OFFSET(COM_N_2012!$B$60,$AW381,SUMIF($B$10:$B$16,"NCAP_TLIFE",$AX$10:$AX$16)),0,""))</f>
        <v/>
      </c>
      <c r="AA381" s="369" t="str">
        <f ca="1">IF($B381&lt;&gt;"PRC_RESID","",IF(AA$7=2005+OFFSET(COM_N_2012!$B$60,$AW381,SUMIF($B$10:$B$16,"NCAP_TLIFE",$AX$10:$AX$16)),0,""))</f>
        <v/>
      </c>
      <c r="AB381" s="369" t="str">
        <f ca="1">IF($B381&lt;&gt;"PRC_RESID","",IF(AB$7=2005+OFFSET(COM_N_2012!$B$60,$AW381,SUMIF($B$10:$B$16,"NCAP_TLIFE",$AX$10:$AX$16)),0,""))</f>
        <v/>
      </c>
      <c r="AC381" s="369" t="str">
        <f ca="1">IF($B381&lt;&gt;"PRC_RESID","",IF(AC$7=2005+OFFSET(COM_N_2012!$B$60,$AW381,SUMIF($B$10:$B$16,"NCAP_TLIFE",$AX$10:$AX$16)),0,""))</f>
        <v/>
      </c>
      <c r="AD381" s="369" t="str">
        <f ca="1">IF($B381&lt;&gt;"PRC_RESID","",IF(AD$7=2005+OFFSET(COM_N_2012!$B$60,$AW381,SUMIF($B$10:$B$16,"NCAP_TLIFE",$AX$10:$AX$16)),0,""))</f>
        <v/>
      </c>
      <c r="AE381" s="369" t="str">
        <f ca="1">IF($B381&lt;&gt;"PRC_RESID","",IF(AE$7=2005+OFFSET(COM_N_2012!$B$60,$AW381,SUMIF($B$10:$B$16,"NCAP_TLIFE",$AX$10:$AX$16)),0,""))</f>
        <v/>
      </c>
      <c r="AF381" s="369" t="str">
        <f ca="1">IF($B381&lt;&gt;"PRC_RESID","",IF(AF$7=2005+OFFSET(COM_N_2012!$B$60,$AW381,SUMIF($B$10:$B$16,"NCAP_TLIFE",$AX$10:$AX$16)),0,""))</f>
        <v/>
      </c>
      <c r="AG381" s="369" t="str">
        <f ca="1">IF($B381&lt;&gt;"PRC_RESID","",IF(AG$7=2005+OFFSET(COM_N_2012!$B$60,$AW381,SUMIF($B$10:$B$16,"NCAP_TLIFE",$AX$10:$AX$16)),0,""))</f>
        <v/>
      </c>
      <c r="AH381" s="369" t="str">
        <f ca="1">IF($B381&lt;&gt;"PRC_RESID","",IF(AH$7=2005+OFFSET(COM_N_2012!$B$60,$AW381,SUMIF($B$10:$B$16,"NCAP_TLIFE",$AX$10:$AX$16)),0,""))</f>
        <v/>
      </c>
      <c r="AI381" s="369" t="str">
        <f ca="1">IF($B381&lt;&gt;"PRC_RESID","",IF(AI$7=2005+OFFSET(COM_N_2012!$B$60,$AW381,SUMIF($B$10:$B$16,"NCAP_TLIFE",$AX$10:$AX$16)),0,""))</f>
        <v/>
      </c>
      <c r="AJ381" s="369" t="str">
        <f ca="1">IF($B381&lt;&gt;"PRC_RESID","",IF(AJ$7=2005+OFFSET(COM_N_2012!$B$60,$AW381,SUMIF($B$10:$B$16,"NCAP_TLIFE",$AX$10:$AX$16)),0,""))</f>
        <v/>
      </c>
      <c r="AK381" s="369" t="str">
        <f ca="1">IF($B381&lt;&gt;"PRC_RESID","",IF(AK$7=2005+OFFSET(COM_N_2012!$B$60,$AW381,SUMIF($B$10:$B$16,"NCAP_TLIFE",$AX$10:$AX$16)),0,""))</f>
        <v/>
      </c>
      <c r="AL381" s="369" t="str">
        <f ca="1">IF($B381&lt;&gt;"PRC_RESID","",IF(AL$7=2005+OFFSET(COM_N_2012!$B$60,$AW381,SUMIF($B$10:$B$16,"NCAP_TLIFE",$AX$10:$AX$16)),0,""))</f>
        <v/>
      </c>
      <c r="AM381" s="369" t="str">
        <f ca="1">IF($B381&lt;&gt;"PRC_RESID","",IF(AM$7=2005+OFFSET(COM_N_2012!$B$60,$AW381,SUMIF($B$10:$B$16,"NCAP_TLIFE",$AX$10:$AX$16)),0,""))</f>
        <v/>
      </c>
      <c r="AN381" s="369" t="str">
        <f ca="1">IF($B381&lt;&gt;"PRC_RESID","",IF(AN$7=2005+OFFSET(COM_N_2012!$B$60,$AW381,SUMIF($B$10:$B$16,"NCAP_TLIFE",$AX$10:$AX$16)),0,""))</f>
        <v/>
      </c>
      <c r="AO381" s="369" t="str">
        <f ca="1">IF($B381&lt;&gt;"PRC_RESID","",IF(AO$7=2005+OFFSET(COM_N_2012!$B$60,$AW381,SUMIF($B$10:$B$16,"NCAP_TLIFE",$AX$10:$AX$16)),0,""))</f>
        <v/>
      </c>
      <c r="AP381" s="369" t="str">
        <f ca="1">IF($B381&lt;&gt;"PRC_RESID","",IF(AP$7=2005+OFFSET(COM_N_2012!$B$60,$AW381,SUMIF($B$10:$B$16,"NCAP_TLIFE",$AX$10:$AX$16)),0,""))</f>
        <v/>
      </c>
      <c r="AQ381" s="369" t="str">
        <f ca="1">IF($B381&lt;&gt;"PRC_RESID","",IF(AQ$7=2005+OFFSET(COM_N_2012!$B$60,$AW381,SUMIF($B$10:$B$16,"NCAP_TLIFE",$AX$10:$AX$16)),0,""))</f>
        <v/>
      </c>
      <c r="AR381" s="369" t="str">
        <f ca="1">IF($B381&lt;&gt;"PRC_RESID","",IF(AR$7=2005+OFFSET(COM_N_2012!$B$60,$AW381,SUMIF($B$10:$B$16,"NCAP_TLIFE",$AX$10:$AX$16)),0,""))</f>
        <v/>
      </c>
      <c r="AS381" s="369" t="str">
        <f ca="1">IF($B381&lt;&gt;"PRC_RESID","",IF(AS$7=2005+OFFSET(COM_N_2012!$B$60,$AW381,SUMIF($B$10:$B$16,"NCAP_TLIFE",$AX$10:$AX$16)),0,""))</f>
        <v/>
      </c>
      <c r="AT381" s="369" t="str">
        <f ca="1">IF($B381&lt;&gt;"PRC_RESID","",IF(AT$7=2005+OFFSET(COM_N_2012!$B$60,$AW381,SUMIF($B$10:$B$16,"NCAP_TLIFE",$AX$10:$AX$16)),0,""))</f>
        <v/>
      </c>
      <c r="AU381" s="369" t="str">
        <f ca="1">IF($B381&lt;&gt;"PRC_RESID","",IF(AU$7=2005+OFFSET(COM_N_2012!$B$60,$AW381,SUMIF($B$10:$B$16,"NCAP_TLIFE",$AX$10:$AX$16)),0,""))</f>
        <v/>
      </c>
      <c r="AV381" s="304">
        <f>IF(AW380=COM_N_2012!$AK$121,AV380+1,AV380)</f>
        <v>6</v>
      </c>
      <c r="AW381" s="304">
        <f t="shared" si="53"/>
        <v>59</v>
      </c>
    </row>
    <row r="382" spans="1:49">
      <c r="A382" s="304" t="str">
        <f ca="1">IF(LEFT(OFFSET(COM_N_2012!$A$60,AW382,0),2)="\I","*","")</f>
        <v>*</v>
      </c>
      <c r="B382" s="369" t="str">
        <f t="shared" ca="1" si="52"/>
        <v/>
      </c>
      <c r="C382" s="369" t="str">
        <f ca="1">IF($A382="*","",OFFSET(COM_N_2012!$B$60,AW382,0))</f>
        <v/>
      </c>
      <c r="D382" s="369" t="str">
        <f t="shared" ca="1" si="54"/>
        <v/>
      </c>
      <c r="E382" s="369" t="str">
        <f t="shared" ca="1" si="54"/>
        <v/>
      </c>
      <c r="F382" s="369" t="str">
        <f t="shared" ca="1" si="54"/>
        <v/>
      </c>
      <c r="G382" s="369" t="str">
        <f t="shared" ca="1" si="54"/>
        <v/>
      </c>
      <c r="H382" s="369" t="str">
        <f t="shared" ca="1" si="54"/>
        <v/>
      </c>
      <c r="I382" s="370" t="str">
        <f t="shared" ca="1" si="54"/>
        <v/>
      </c>
      <c r="J382" s="391" t="str">
        <f ca="1">IF($A382="*","",OFFSET(COM_N_2012!$B$60,AW382,SUMIF($B$10:$B$16,B382,$AX$10:$AX$16)))</f>
        <v/>
      </c>
      <c r="K382" s="369" t="str">
        <f ca="1">IF($B382&lt;&gt;"PRC_RESID","",IF(K$7=2005+OFFSET(COM_N_2012!$B$60,$AW382,SUMIF($B$10:$B$16,"NCAP_TLIFE",$AX$10:$AX$16)),0,""))</f>
        <v/>
      </c>
      <c r="L382" s="369" t="str">
        <f ca="1">IF($B382&lt;&gt;"PRC_RESID","",IF(L$7=2005+OFFSET(COM_N_2012!$B$60,$AW382,SUMIF($B$10:$B$16,"NCAP_TLIFE",$AX$10:$AX$16)),0,""))</f>
        <v/>
      </c>
      <c r="M382" s="369" t="str">
        <f ca="1">IF($B382&lt;&gt;"PRC_RESID","",IF(M$7=2005+OFFSET(COM_N_2012!$B$60,$AW382,SUMIF($B$10:$B$16,"NCAP_TLIFE",$AX$10:$AX$16)),0,""))</f>
        <v/>
      </c>
      <c r="N382" s="369" t="str">
        <f ca="1">IF($B382&lt;&gt;"PRC_RESID","",IF(N$7=2005+OFFSET(COM_N_2012!$B$60,$AW382,SUMIF($B$10:$B$16,"NCAP_TLIFE",$AX$10:$AX$16)),0,""))</f>
        <v/>
      </c>
      <c r="O382" s="369" t="str">
        <f ca="1">IF($B382&lt;&gt;"PRC_RESID","",IF(O$7=2005+OFFSET(COM_N_2012!$B$60,$AW382,SUMIF($B$10:$B$16,"NCAP_TLIFE",$AX$10:$AX$16)),0,""))</f>
        <v/>
      </c>
      <c r="P382" s="369" t="str">
        <f ca="1">IF($B382&lt;&gt;"PRC_RESID","",IF(P$7=2005+OFFSET(COM_N_2012!$B$60,$AW382,SUMIF($B$10:$B$16,"NCAP_TLIFE",$AX$10:$AX$16)),0,""))</f>
        <v/>
      </c>
      <c r="Q382" s="369" t="str">
        <f ca="1">IF($B382&lt;&gt;"PRC_RESID","",IF(Q$7=2005+OFFSET(COM_N_2012!$B$60,$AW382,SUMIF($B$10:$B$16,"NCAP_TLIFE",$AX$10:$AX$16)),0,""))</f>
        <v/>
      </c>
      <c r="R382" s="369" t="str">
        <f ca="1">IF($B382&lt;&gt;"PRC_RESID","",IF(R$7=2005+OFFSET(COM_N_2012!$B$60,$AW382,SUMIF($B$10:$B$16,"NCAP_TLIFE",$AX$10:$AX$16)),0,""))</f>
        <v/>
      </c>
      <c r="S382" s="369" t="str">
        <f ca="1">IF($B382&lt;&gt;"PRC_RESID","",IF(S$7=2005+OFFSET(COM_N_2012!$B$60,$AW382,SUMIF($B$10:$B$16,"NCAP_TLIFE",$AX$10:$AX$16)),0,""))</f>
        <v/>
      </c>
      <c r="T382" s="369" t="str">
        <f ca="1">IF($B382&lt;&gt;"PRC_RESID","",IF(T$7=2005+OFFSET(COM_N_2012!$B$60,$AW382,SUMIF($B$10:$B$16,"NCAP_TLIFE",$AX$10:$AX$16)),0,""))</f>
        <v/>
      </c>
      <c r="U382" s="369" t="str">
        <f ca="1">IF($B382&lt;&gt;"PRC_RESID","",IF(U$7=2005+OFFSET(COM_N_2012!$B$60,$AW382,SUMIF($B$10:$B$16,"NCAP_TLIFE",$AX$10:$AX$16)),0,""))</f>
        <v/>
      </c>
      <c r="V382" s="369" t="str">
        <f ca="1">IF($B382&lt;&gt;"PRC_RESID","",IF(V$7=2005+OFFSET(COM_N_2012!$B$60,$AW382,SUMIF($B$10:$B$16,"NCAP_TLIFE",$AX$10:$AX$16)),0,""))</f>
        <v/>
      </c>
      <c r="W382" s="369" t="str">
        <f ca="1">IF($B382&lt;&gt;"PRC_RESID","",IF(W$7=2005+OFFSET(COM_N_2012!$B$60,$AW382,SUMIF($B$10:$B$16,"NCAP_TLIFE",$AX$10:$AX$16)),0,""))</f>
        <v/>
      </c>
      <c r="X382" s="369" t="str">
        <f ca="1">IF($B382&lt;&gt;"PRC_RESID","",IF(X$7=2005+OFFSET(COM_N_2012!$B$60,$AW382,SUMIF($B$10:$B$16,"NCAP_TLIFE",$AX$10:$AX$16)),0,""))</f>
        <v/>
      </c>
      <c r="Y382" s="369" t="str">
        <f ca="1">IF($B382&lt;&gt;"PRC_RESID","",IF(Y$7=2005+OFFSET(COM_N_2012!$B$60,$AW382,SUMIF($B$10:$B$16,"NCAP_TLIFE",$AX$10:$AX$16)),0,""))</f>
        <v/>
      </c>
      <c r="Z382" s="369" t="str">
        <f ca="1">IF($B382&lt;&gt;"PRC_RESID","",IF(Z$7=2005+OFFSET(COM_N_2012!$B$60,$AW382,SUMIF($B$10:$B$16,"NCAP_TLIFE",$AX$10:$AX$16)),0,""))</f>
        <v/>
      </c>
      <c r="AA382" s="369" t="str">
        <f ca="1">IF($B382&lt;&gt;"PRC_RESID","",IF(AA$7=2005+OFFSET(COM_N_2012!$B$60,$AW382,SUMIF($B$10:$B$16,"NCAP_TLIFE",$AX$10:$AX$16)),0,""))</f>
        <v/>
      </c>
      <c r="AB382" s="369" t="str">
        <f ca="1">IF($B382&lt;&gt;"PRC_RESID","",IF(AB$7=2005+OFFSET(COM_N_2012!$B$60,$AW382,SUMIF($B$10:$B$16,"NCAP_TLIFE",$AX$10:$AX$16)),0,""))</f>
        <v/>
      </c>
      <c r="AC382" s="369" t="str">
        <f ca="1">IF($B382&lt;&gt;"PRC_RESID","",IF(AC$7=2005+OFFSET(COM_N_2012!$B$60,$AW382,SUMIF($B$10:$B$16,"NCAP_TLIFE",$AX$10:$AX$16)),0,""))</f>
        <v/>
      </c>
      <c r="AD382" s="369" t="str">
        <f ca="1">IF($B382&lt;&gt;"PRC_RESID","",IF(AD$7=2005+OFFSET(COM_N_2012!$B$60,$AW382,SUMIF($B$10:$B$16,"NCAP_TLIFE",$AX$10:$AX$16)),0,""))</f>
        <v/>
      </c>
      <c r="AE382" s="369" t="str">
        <f ca="1">IF($B382&lt;&gt;"PRC_RESID","",IF(AE$7=2005+OFFSET(COM_N_2012!$B$60,$AW382,SUMIF($B$10:$B$16,"NCAP_TLIFE",$AX$10:$AX$16)),0,""))</f>
        <v/>
      </c>
      <c r="AF382" s="369" t="str">
        <f ca="1">IF($B382&lt;&gt;"PRC_RESID","",IF(AF$7=2005+OFFSET(COM_N_2012!$B$60,$AW382,SUMIF($B$10:$B$16,"NCAP_TLIFE",$AX$10:$AX$16)),0,""))</f>
        <v/>
      </c>
      <c r="AG382" s="369" t="str">
        <f ca="1">IF($B382&lt;&gt;"PRC_RESID","",IF(AG$7=2005+OFFSET(COM_N_2012!$B$60,$AW382,SUMIF($B$10:$B$16,"NCAP_TLIFE",$AX$10:$AX$16)),0,""))</f>
        <v/>
      </c>
      <c r="AH382" s="369" t="str">
        <f ca="1">IF($B382&lt;&gt;"PRC_RESID","",IF(AH$7=2005+OFFSET(COM_N_2012!$B$60,$AW382,SUMIF($B$10:$B$16,"NCAP_TLIFE",$AX$10:$AX$16)),0,""))</f>
        <v/>
      </c>
      <c r="AI382" s="369" t="str">
        <f ca="1">IF($B382&lt;&gt;"PRC_RESID","",IF(AI$7=2005+OFFSET(COM_N_2012!$B$60,$AW382,SUMIF($B$10:$B$16,"NCAP_TLIFE",$AX$10:$AX$16)),0,""))</f>
        <v/>
      </c>
      <c r="AJ382" s="369" t="str">
        <f ca="1">IF($B382&lt;&gt;"PRC_RESID","",IF(AJ$7=2005+OFFSET(COM_N_2012!$B$60,$AW382,SUMIF($B$10:$B$16,"NCAP_TLIFE",$AX$10:$AX$16)),0,""))</f>
        <v/>
      </c>
      <c r="AK382" s="369" t="str">
        <f ca="1">IF($B382&lt;&gt;"PRC_RESID","",IF(AK$7=2005+OFFSET(COM_N_2012!$B$60,$AW382,SUMIF($B$10:$B$16,"NCAP_TLIFE",$AX$10:$AX$16)),0,""))</f>
        <v/>
      </c>
      <c r="AL382" s="369" t="str">
        <f ca="1">IF($B382&lt;&gt;"PRC_RESID","",IF(AL$7=2005+OFFSET(COM_N_2012!$B$60,$AW382,SUMIF($B$10:$B$16,"NCAP_TLIFE",$AX$10:$AX$16)),0,""))</f>
        <v/>
      </c>
      <c r="AM382" s="369" t="str">
        <f ca="1">IF($B382&lt;&gt;"PRC_RESID","",IF(AM$7=2005+OFFSET(COM_N_2012!$B$60,$AW382,SUMIF($B$10:$B$16,"NCAP_TLIFE",$AX$10:$AX$16)),0,""))</f>
        <v/>
      </c>
      <c r="AN382" s="369" t="str">
        <f ca="1">IF($B382&lt;&gt;"PRC_RESID","",IF(AN$7=2005+OFFSET(COM_N_2012!$B$60,$AW382,SUMIF($B$10:$B$16,"NCAP_TLIFE",$AX$10:$AX$16)),0,""))</f>
        <v/>
      </c>
      <c r="AO382" s="369" t="str">
        <f ca="1">IF($B382&lt;&gt;"PRC_RESID","",IF(AO$7=2005+OFFSET(COM_N_2012!$B$60,$AW382,SUMIF($B$10:$B$16,"NCAP_TLIFE",$AX$10:$AX$16)),0,""))</f>
        <v/>
      </c>
      <c r="AP382" s="369" t="str">
        <f ca="1">IF($B382&lt;&gt;"PRC_RESID","",IF(AP$7=2005+OFFSET(COM_N_2012!$B$60,$AW382,SUMIF($B$10:$B$16,"NCAP_TLIFE",$AX$10:$AX$16)),0,""))</f>
        <v/>
      </c>
      <c r="AQ382" s="369" t="str">
        <f ca="1">IF($B382&lt;&gt;"PRC_RESID","",IF(AQ$7=2005+OFFSET(COM_N_2012!$B$60,$AW382,SUMIF($B$10:$B$16,"NCAP_TLIFE",$AX$10:$AX$16)),0,""))</f>
        <v/>
      </c>
      <c r="AR382" s="369" t="str">
        <f ca="1">IF($B382&lt;&gt;"PRC_RESID","",IF(AR$7=2005+OFFSET(COM_N_2012!$B$60,$AW382,SUMIF($B$10:$B$16,"NCAP_TLIFE",$AX$10:$AX$16)),0,""))</f>
        <v/>
      </c>
      <c r="AS382" s="369" t="str">
        <f ca="1">IF($B382&lt;&gt;"PRC_RESID","",IF(AS$7=2005+OFFSET(COM_N_2012!$B$60,$AW382,SUMIF($B$10:$B$16,"NCAP_TLIFE",$AX$10:$AX$16)),0,""))</f>
        <v/>
      </c>
      <c r="AT382" s="369" t="str">
        <f ca="1">IF($B382&lt;&gt;"PRC_RESID","",IF(AT$7=2005+OFFSET(COM_N_2012!$B$60,$AW382,SUMIF($B$10:$B$16,"NCAP_TLIFE",$AX$10:$AX$16)),0,""))</f>
        <v/>
      </c>
      <c r="AU382" s="369" t="str">
        <f ca="1">IF($B382&lt;&gt;"PRC_RESID","",IF(AU$7=2005+OFFSET(COM_N_2012!$B$60,$AW382,SUMIF($B$10:$B$16,"NCAP_TLIFE",$AX$10:$AX$16)),0,""))</f>
        <v/>
      </c>
      <c r="AV382" s="304">
        <f>IF(AW381=COM_N_2012!$AK$121,AV381+1,AV381)</f>
        <v>6</v>
      </c>
      <c r="AW382" s="304">
        <f t="shared" si="53"/>
        <v>60</v>
      </c>
    </row>
    <row r="383" spans="1:49">
      <c r="A383" s="304" t="str">
        <f ca="1">IF(LEFT(OFFSET(COM_N_2012!$A$60,AW383,0),2)="\I","*","")</f>
        <v>*</v>
      </c>
      <c r="B383" s="369" t="str">
        <f t="shared" ca="1" si="52"/>
        <v/>
      </c>
      <c r="C383" s="369" t="str">
        <f ca="1">IF($A383="*","",OFFSET(COM_N_2012!$B$60,AW383,0))</f>
        <v/>
      </c>
      <c r="D383" s="369" t="str">
        <f t="shared" ca="1" si="54"/>
        <v/>
      </c>
      <c r="E383" s="369" t="str">
        <f t="shared" ca="1" si="54"/>
        <v/>
      </c>
      <c r="F383" s="369" t="str">
        <f t="shared" ca="1" si="54"/>
        <v/>
      </c>
      <c r="G383" s="369" t="str">
        <f t="shared" ca="1" si="54"/>
        <v/>
      </c>
      <c r="H383" s="369" t="str">
        <f t="shared" ca="1" si="54"/>
        <v/>
      </c>
      <c r="I383" s="370" t="str">
        <f t="shared" ca="1" si="54"/>
        <v/>
      </c>
      <c r="J383" s="391" t="str">
        <f ca="1">IF($A383="*","",OFFSET(COM_N_2012!$B$60,AW383,SUMIF($B$10:$B$16,B383,$AX$10:$AX$16)))</f>
        <v/>
      </c>
      <c r="K383" s="369" t="str">
        <f ca="1">IF($B383&lt;&gt;"PRC_RESID","",IF(K$7=2005+OFFSET(COM_N_2012!$B$60,$AW383,SUMIF($B$10:$B$16,"NCAP_TLIFE",$AX$10:$AX$16)),0,""))</f>
        <v/>
      </c>
      <c r="L383" s="369" t="str">
        <f ca="1">IF($B383&lt;&gt;"PRC_RESID","",IF(L$7=2005+OFFSET(COM_N_2012!$B$60,$AW383,SUMIF($B$10:$B$16,"NCAP_TLIFE",$AX$10:$AX$16)),0,""))</f>
        <v/>
      </c>
      <c r="M383" s="369" t="str">
        <f ca="1">IF($B383&lt;&gt;"PRC_RESID","",IF(M$7=2005+OFFSET(COM_N_2012!$B$60,$AW383,SUMIF($B$10:$B$16,"NCAP_TLIFE",$AX$10:$AX$16)),0,""))</f>
        <v/>
      </c>
      <c r="N383" s="369" t="str">
        <f ca="1">IF($B383&lt;&gt;"PRC_RESID","",IF(N$7=2005+OFFSET(COM_N_2012!$B$60,$AW383,SUMIF($B$10:$B$16,"NCAP_TLIFE",$AX$10:$AX$16)),0,""))</f>
        <v/>
      </c>
      <c r="O383" s="369" t="str">
        <f ca="1">IF($B383&lt;&gt;"PRC_RESID","",IF(O$7=2005+OFFSET(COM_N_2012!$B$60,$AW383,SUMIF($B$10:$B$16,"NCAP_TLIFE",$AX$10:$AX$16)),0,""))</f>
        <v/>
      </c>
      <c r="P383" s="369" t="str">
        <f ca="1">IF($B383&lt;&gt;"PRC_RESID","",IF(P$7=2005+OFFSET(COM_N_2012!$B$60,$AW383,SUMIF($B$10:$B$16,"NCAP_TLIFE",$AX$10:$AX$16)),0,""))</f>
        <v/>
      </c>
      <c r="Q383" s="369" t="str">
        <f ca="1">IF($B383&lt;&gt;"PRC_RESID","",IF(Q$7=2005+OFFSET(COM_N_2012!$B$60,$AW383,SUMIF($B$10:$B$16,"NCAP_TLIFE",$AX$10:$AX$16)),0,""))</f>
        <v/>
      </c>
      <c r="R383" s="369" t="str">
        <f ca="1">IF($B383&lt;&gt;"PRC_RESID","",IF(R$7=2005+OFFSET(COM_N_2012!$B$60,$AW383,SUMIF($B$10:$B$16,"NCAP_TLIFE",$AX$10:$AX$16)),0,""))</f>
        <v/>
      </c>
      <c r="S383" s="369" t="str">
        <f ca="1">IF($B383&lt;&gt;"PRC_RESID","",IF(S$7=2005+OFFSET(COM_N_2012!$B$60,$AW383,SUMIF($B$10:$B$16,"NCAP_TLIFE",$AX$10:$AX$16)),0,""))</f>
        <v/>
      </c>
      <c r="T383" s="369" t="str">
        <f ca="1">IF($B383&lt;&gt;"PRC_RESID","",IF(T$7=2005+OFFSET(COM_N_2012!$B$60,$AW383,SUMIF($B$10:$B$16,"NCAP_TLIFE",$AX$10:$AX$16)),0,""))</f>
        <v/>
      </c>
      <c r="U383" s="369" t="str">
        <f ca="1">IF($B383&lt;&gt;"PRC_RESID","",IF(U$7=2005+OFFSET(COM_N_2012!$B$60,$AW383,SUMIF($B$10:$B$16,"NCAP_TLIFE",$AX$10:$AX$16)),0,""))</f>
        <v/>
      </c>
      <c r="V383" s="369" t="str">
        <f ca="1">IF($B383&lt;&gt;"PRC_RESID","",IF(V$7=2005+OFFSET(COM_N_2012!$B$60,$AW383,SUMIF($B$10:$B$16,"NCAP_TLIFE",$AX$10:$AX$16)),0,""))</f>
        <v/>
      </c>
      <c r="W383" s="369" t="str">
        <f ca="1">IF($B383&lt;&gt;"PRC_RESID","",IF(W$7=2005+OFFSET(COM_N_2012!$B$60,$AW383,SUMIF($B$10:$B$16,"NCAP_TLIFE",$AX$10:$AX$16)),0,""))</f>
        <v/>
      </c>
      <c r="X383" s="369" t="str">
        <f ca="1">IF($B383&lt;&gt;"PRC_RESID","",IF(X$7=2005+OFFSET(COM_N_2012!$B$60,$AW383,SUMIF($B$10:$B$16,"NCAP_TLIFE",$AX$10:$AX$16)),0,""))</f>
        <v/>
      </c>
      <c r="Y383" s="369" t="str">
        <f ca="1">IF($B383&lt;&gt;"PRC_RESID","",IF(Y$7=2005+OFFSET(COM_N_2012!$B$60,$AW383,SUMIF($B$10:$B$16,"NCAP_TLIFE",$AX$10:$AX$16)),0,""))</f>
        <v/>
      </c>
      <c r="Z383" s="369" t="str">
        <f ca="1">IF($B383&lt;&gt;"PRC_RESID","",IF(Z$7=2005+OFFSET(COM_N_2012!$B$60,$AW383,SUMIF($B$10:$B$16,"NCAP_TLIFE",$AX$10:$AX$16)),0,""))</f>
        <v/>
      </c>
      <c r="AA383" s="369" t="str">
        <f ca="1">IF($B383&lt;&gt;"PRC_RESID","",IF(AA$7=2005+OFFSET(COM_N_2012!$B$60,$AW383,SUMIF($B$10:$B$16,"NCAP_TLIFE",$AX$10:$AX$16)),0,""))</f>
        <v/>
      </c>
      <c r="AB383" s="369" t="str">
        <f ca="1">IF($B383&lt;&gt;"PRC_RESID","",IF(AB$7=2005+OFFSET(COM_N_2012!$B$60,$AW383,SUMIF($B$10:$B$16,"NCAP_TLIFE",$AX$10:$AX$16)),0,""))</f>
        <v/>
      </c>
      <c r="AC383" s="369" t="str">
        <f ca="1">IF($B383&lt;&gt;"PRC_RESID","",IF(AC$7=2005+OFFSET(COM_N_2012!$B$60,$AW383,SUMIF($B$10:$B$16,"NCAP_TLIFE",$AX$10:$AX$16)),0,""))</f>
        <v/>
      </c>
      <c r="AD383" s="369" t="str">
        <f ca="1">IF($B383&lt;&gt;"PRC_RESID","",IF(AD$7=2005+OFFSET(COM_N_2012!$B$60,$AW383,SUMIF($B$10:$B$16,"NCAP_TLIFE",$AX$10:$AX$16)),0,""))</f>
        <v/>
      </c>
      <c r="AE383" s="369" t="str">
        <f ca="1">IF($B383&lt;&gt;"PRC_RESID","",IF(AE$7=2005+OFFSET(COM_N_2012!$B$60,$AW383,SUMIF($B$10:$B$16,"NCAP_TLIFE",$AX$10:$AX$16)),0,""))</f>
        <v/>
      </c>
      <c r="AF383" s="369" t="str">
        <f ca="1">IF($B383&lt;&gt;"PRC_RESID","",IF(AF$7=2005+OFFSET(COM_N_2012!$B$60,$AW383,SUMIF($B$10:$B$16,"NCAP_TLIFE",$AX$10:$AX$16)),0,""))</f>
        <v/>
      </c>
      <c r="AG383" s="369" t="str">
        <f ca="1">IF($B383&lt;&gt;"PRC_RESID","",IF(AG$7=2005+OFFSET(COM_N_2012!$B$60,$AW383,SUMIF($B$10:$B$16,"NCAP_TLIFE",$AX$10:$AX$16)),0,""))</f>
        <v/>
      </c>
      <c r="AH383" s="369" t="str">
        <f ca="1">IF($B383&lt;&gt;"PRC_RESID","",IF(AH$7=2005+OFFSET(COM_N_2012!$B$60,$AW383,SUMIF($B$10:$B$16,"NCAP_TLIFE",$AX$10:$AX$16)),0,""))</f>
        <v/>
      </c>
      <c r="AI383" s="369" t="str">
        <f ca="1">IF($B383&lt;&gt;"PRC_RESID","",IF(AI$7=2005+OFFSET(COM_N_2012!$B$60,$AW383,SUMIF($B$10:$B$16,"NCAP_TLIFE",$AX$10:$AX$16)),0,""))</f>
        <v/>
      </c>
      <c r="AJ383" s="369" t="str">
        <f ca="1">IF($B383&lt;&gt;"PRC_RESID","",IF(AJ$7=2005+OFFSET(COM_N_2012!$B$60,$AW383,SUMIF($B$10:$B$16,"NCAP_TLIFE",$AX$10:$AX$16)),0,""))</f>
        <v/>
      </c>
      <c r="AK383" s="369" t="str">
        <f ca="1">IF($B383&lt;&gt;"PRC_RESID","",IF(AK$7=2005+OFFSET(COM_N_2012!$B$60,$AW383,SUMIF($B$10:$B$16,"NCAP_TLIFE",$AX$10:$AX$16)),0,""))</f>
        <v/>
      </c>
      <c r="AL383" s="369" t="str">
        <f ca="1">IF($B383&lt;&gt;"PRC_RESID","",IF(AL$7=2005+OFFSET(COM_N_2012!$B$60,$AW383,SUMIF($B$10:$B$16,"NCAP_TLIFE",$AX$10:$AX$16)),0,""))</f>
        <v/>
      </c>
      <c r="AM383" s="369" t="str">
        <f ca="1">IF($B383&lt;&gt;"PRC_RESID","",IF(AM$7=2005+OFFSET(COM_N_2012!$B$60,$AW383,SUMIF($B$10:$B$16,"NCAP_TLIFE",$AX$10:$AX$16)),0,""))</f>
        <v/>
      </c>
      <c r="AN383" s="369" t="str">
        <f ca="1">IF($B383&lt;&gt;"PRC_RESID","",IF(AN$7=2005+OFFSET(COM_N_2012!$B$60,$AW383,SUMIF($B$10:$B$16,"NCAP_TLIFE",$AX$10:$AX$16)),0,""))</f>
        <v/>
      </c>
      <c r="AO383" s="369" t="str">
        <f ca="1">IF($B383&lt;&gt;"PRC_RESID","",IF(AO$7=2005+OFFSET(COM_N_2012!$B$60,$AW383,SUMIF($B$10:$B$16,"NCAP_TLIFE",$AX$10:$AX$16)),0,""))</f>
        <v/>
      </c>
      <c r="AP383" s="369" t="str">
        <f ca="1">IF($B383&lt;&gt;"PRC_RESID","",IF(AP$7=2005+OFFSET(COM_N_2012!$B$60,$AW383,SUMIF($B$10:$B$16,"NCAP_TLIFE",$AX$10:$AX$16)),0,""))</f>
        <v/>
      </c>
      <c r="AQ383" s="369" t="str">
        <f ca="1">IF($B383&lt;&gt;"PRC_RESID","",IF(AQ$7=2005+OFFSET(COM_N_2012!$B$60,$AW383,SUMIF($B$10:$B$16,"NCAP_TLIFE",$AX$10:$AX$16)),0,""))</f>
        <v/>
      </c>
      <c r="AR383" s="369" t="str">
        <f ca="1">IF($B383&lt;&gt;"PRC_RESID","",IF(AR$7=2005+OFFSET(COM_N_2012!$B$60,$AW383,SUMIF($B$10:$B$16,"NCAP_TLIFE",$AX$10:$AX$16)),0,""))</f>
        <v/>
      </c>
      <c r="AS383" s="369" t="str">
        <f ca="1">IF($B383&lt;&gt;"PRC_RESID","",IF(AS$7=2005+OFFSET(COM_N_2012!$B$60,$AW383,SUMIF($B$10:$B$16,"NCAP_TLIFE",$AX$10:$AX$16)),0,""))</f>
        <v/>
      </c>
      <c r="AT383" s="369" t="str">
        <f ca="1">IF($B383&lt;&gt;"PRC_RESID","",IF(AT$7=2005+OFFSET(COM_N_2012!$B$60,$AW383,SUMIF($B$10:$B$16,"NCAP_TLIFE",$AX$10:$AX$16)),0,""))</f>
        <v/>
      </c>
      <c r="AU383" s="369" t="str">
        <f ca="1">IF($B383&lt;&gt;"PRC_RESID","",IF(AU$7=2005+OFFSET(COM_N_2012!$B$60,$AW383,SUMIF($B$10:$B$16,"NCAP_TLIFE",$AX$10:$AX$16)),0,""))</f>
        <v/>
      </c>
      <c r="AV383" s="304">
        <f>IF(AW382=COM_N_2012!$AK$121,AV382+1,AV382)</f>
        <v>6</v>
      </c>
      <c r="AW383" s="304">
        <f t="shared" si="53"/>
        <v>61</v>
      </c>
    </row>
  </sheetData>
  <autoFilter ref="A7:H339" xr:uid="{00000000-0009-0000-0000-000013000000}"/>
  <pageMargins left="0.75" right="0.75" top="1" bottom="1" header="0.5" footer="0.5"/>
  <headerFooter alignWithMargins="0"/>
  <drawing r:id="rId1"/>
  <legacyDrawing r:id="rId2"/>
  <controls>
    <mc:AlternateContent xmlns:mc="http://schemas.openxmlformats.org/markup-compatibility/2006">
      <mc:Choice Requires="x14">
        <control shapeId="1222665"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1222665" r:id="rId3" name="cmdSpecifyIEOptcode"/>
      </mc:Fallback>
    </mc:AlternateContent>
    <mc:AlternateContent xmlns:mc="http://schemas.openxmlformats.org/markup-compatibility/2006">
      <mc:Choice Requires="x14">
        <control shapeId="1222664"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1222664" r:id="rId5" name="cmdSpecifyArg6"/>
      </mc:Fallback>
    </mc:AlternateContent>
    <mc:AlternateContent xmlns:mc="http://schemas.openxmlformats.org/markup-compatibility/2006">
      <mc:Choice Requires="x14">
        <control shapeId="1222663"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1222663" r:id="rId7" name="cmdSpecifyArg5"/>
      </mc:Fallback>
    </mc:AlternateContent>
    <mc:AlternateContent xmlns:mc="http://schemas.openxmlformats.org/markup-compatibility/2006">
      <mc:Choice Requires="x14">
        <control shapeId="1222662"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1222662" r:id="rId9" name="cmdSpecifyArg4"/>
      </mc:Fallback>
    </mc:AlternateContent>
    <mc:AlternateContent xmlns:mc="http://schemas.openxmlformats.org/markup-compatibility/2006">
      <mc:Choice Requires="x14">
        <control shapeId="122266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2661" r:id="rId11" name="cmdSpecifyArg3"/>
      </mc:Fallback>
    </mc:AlternateContent>
    <mc:AlternateContent xmlns:mc="http://schemas.openxmlformats.org/markup-compatibility/2006">
      <mc:Choice Requires="x14">
        <control shapeId="1222660"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1222660" r:id="rId13" name="cmdSpecifyArg2"/>
      </mc:Fallback>
    </mc:AlternateContent>
    <mc:AlternateContent xmlns:mc="http://schemas.openxmlformats.org/markup-compatibility/2006">
      <mc:Choice Requires="x14">
        <control shapeId="1222659"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222659" r:id="rId15" name="cmdSpecifyArg1"/>
      </mc:Fallback>
    </mc:AlternateContent>
    <mc:AlternateContent xmlns:mc="http://schemas.openxmlformats.org/markup-compatibility/2006">
      <mc:Choice Requires="x14">
        <control shapeId="1222658"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222658" r:id="rId17" name="cmdSpecifyParameter"/>
      </mc:Fallback>
    </mc:AlternateContent>
    <mc:AlternateContent xmlns:mc="http://schemas.openxmlformats.org/markup-compatibility/2006">
      <mc:Choice Requires="x14">
        <control shapeId="1222657"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1222657" r:id="rId19" name="cmdCheckTSandTIDDataSheet"/>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theme="9" tint="-0.249977111117893"/>
  </sheetPr>
  <dimension ref="A1:AZ134"/>
  <sheetViews>
    <sheetView workbookViewId="0"/>
  </sheetViews>
  <sheetFormatPr defaultColWidth="11.42578125" defaultRowHeight="11.25"/>
  <cols>
    <col min="1" max="1" width="12.140625" style="304" customWidth="1"/>
    <col min="2" max="2" width="12" style="304" customWidth="1"/>
    <col min="3" max="3" width="14.42578125" style="304" customWidth="1"/>
    <col min="4" max="8" width="11.42578125" style="304" customWidth="1"/>
    <col min="9" max="9" width="7.42578125" style="304" customWidth="1"/>
    <col min="10" max="10" width="8.85546875" style="304" customWidth="1"/>
    <col min="11" max="49" width="5.42578125" style="304" customWidth="1"/>
    <col min="50" max="16384" width="11.42578125" style="304"/>
  </cols>
  <sheetData>
    <row r="1" spans="1:52">
      <c r="A1" s="303" t="s">
        <v>718</v>
      </c>
      <c r="B1" s="304" t="s">
        <v>707</v>
      </c>
      <c r="C1" s="637" t="s">
        <v>1283</v>
      </c>
      <c r="AX1" s="304" t="s">
        <v>709</v>
      </c>
      <c r="AY1" s="304" t="s">
        <v>709</v>
      </c>
      <c r="AZ1" s="304" t="s">
        <v>709</v>
      </c>
    </row>
    <row r="2" spans="1:52">
      <c r="A2" s="304" t="s">
        <v>709</v>
      </c>
      <c r="AX2" s="304" t="s">
        <v>719</v>
      </c>
      <c r="AY2" s="304" t="s">
        <v>720</v>
      </c>
      <c r="AZ2" s="304" t="s">
        <v>721</v>
      </c>
    </row>
    <row r="3" spans="1:52" ht="15" customHeight="1">
      <c r="A3" s="304" t="s">
        <v>709</v>
      </c>
    </row>
    <row r="4" spans="1:52">
      <c r="A4" s="304" t="s">
        <v>709</v>
      </c>
    </row>
    <row r="5" spans="1:52">
      <c r="A5" s="304" t="s">
        <v>709</v>
      </c>
    </row>
    <row r="6" spans="1:52">
      <c r="A6" s="304" t="s">
        <v>709</v>
      </c>
    </row>
    <row r="7" spans="1:52"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2">
      <c r="A8" s="304" t="s">
        <v>709</v>
      </c>
      <c r="B8" s="303"/>
      <c r="C8" s="303"/>
      <c r="D8" s="303"/>
      <c r="E8" s="303"/>
      <c r="F8" s="303"/>
      <c r="G8" s="303"/>
      <c r="H8" s="303"/>
      <c r="I8" s="365"/>
    </row>
    <row r="9" spans="1:52">
      <c r="A9" s="304" t="s">
        <v>709</v>
      </c>
      <c r="B9" s="366">
        <v>2</v>
      </c>
      <c r="C9" s="366">
        <f>B9+1</f>
        <v>3</v>
      </c>
      <c r="D9" s="366">
        <f t="shared" ref="D9:H9" si="2">C9+1</f>
        <v>4</v>
      </c>
      <c r="E9" s="366">
        <f t="shared" si="2"/>
        <v>5</v>
      </c>
      <c r="F9" s="366">
        <f t="shared" si="2"/>
        <v>6</v>
      </c>
      <c r="G9" s="366">
        <f t="shared" si="2"/>
        <v>7</v>
      </c>
      <c r="H9" s="366">
        <f t="shared" si="2"/>
        <v>8</v>
      </c>
      <c r="I9" s="366">
        <f>H9+1</f>
        <v>9</v>
      </c>
      <c r="J9" s="366">
        <f>I9+1</f>
        <v>10</v>
      </c>
    </row>
    <row r="10" spans="1:52">
      <c r="A10" s="304" t="s">
        <v>730</v>
      </c>
      <c r="B10" s="363" t="s">
        <v>1296</v>
      </c>
      <c r="C10" s="363" t="s">
        <v>732</v>
      </c>
      <c r="D10" s="363" t="s">
        <v>463</v>
      </c>
      <c r="E10" s="363" t="s">
        <v>463</v>
      </c>
      <c r="F10" s="363" t="s">
        <v>463</v>
      </c>
      <c r="G10" s="363" t="s">
        <v>734</v>
      </c>
      <c r="H10" s="363" t="s">
        <v>737</v>
      </c>
      <c r="I10" s="368">
        <v>0</v>
      </c>
      <c r="J10" s="304" t="s">
        <v>796</v>
      </c>
      <c r="AZ10" s="304">
        <f>COM_2012!$E$59</f>
        <v>3</v>
      </c>
    </row>
    <row r="11" spans="1:52">
      <c r="A11" s="304" t="s">
        <v>735</v>
      </c>
      <c r="B11" s="363" t="s">
        <v>1296</v>
      </c>
      <c r="C11" s="363" t="s">
        <v>732</v>
      </c>
      <c r="D11" s="363" t="s">
        <v>463</v>
      </c>
      <c r="E11" s="363" t="s">
        <v>463</v>
      </c>
      <c r="F11" s="363" t="s">
        <v>463</v>
      </c>
      <c r="G11" s="363" t="s">
        <v>734</v>
      </c>
      <c r="H11" s="363" t="s">
        <v>797</v>
      </c>
      <c r="I11" s="368">
        <v>0</v>
      </c>
      <c r="J11" s="304" t="s">
        <v>667</v>
      </c>
      <c r="AZ11" s="304">
        <f>COM_2012!$F$59</f>
        <v>4</v>
      </c>
    </row>
    <row r="12" spans="1:52">
      <c r="A12" s="304" t="s">
        <v>709</v>
      </c>
      <c r="B12" s="363"/>
      <c r="C12" s="363"/>
      <c r="D12" s="363"/>
      <c r="E12" s="363"/>
      <c r="F12" s="363"/>
      <c r="G12" s="363"/>
      <c r="H12" s="363"/>
      <c r="I12" s="368"/>
    </row>
    <row r="13" spans="1:52">
      <c r="A13" s="304" t="str">
        <f ca="1">IF(LEFT(OFFSET(COM_2012!$A$60,AY13,0),2)="\I","*","")</f>
        <v/>
      </c>
      <c r="B13" s="369" t="str">
        <f t="shared" ref="B13:B44" ca="1" si="3">IF(A13="*","",VLOOKUP("*"&amp;AX13,$A$9:$B$11,2,FALSE))</f>
        <v>FLO_MRKPRD</v>
      </c>
      <c r="C13" s="369" t="str">
        <f ca="1">IF($A13="*","",OFFSET(COM_2012!$B$60,AY13,0))</f>
        <v>CECELCCHIL-E</v>
      </c>
      <c r="D13" s="369" t="str">
        <f ca="1">IF($A13="*","",LEFT(C13,3))</f>
        <v>CEC</v>
      </c>
      <c r="E13" s="369" t="str">
        <f t="shared" ref="E13:E32" ca="1" si="4">IF($A13="*","",VLOOKUP($B13,$B$10:$I$11,E$9,FALSE))</f>
        <v>-</v>
      </c>
      <c r="F13" s="370" t="str">
        <f t="shared" ref="F13:I32" ca="1" si="5">IF($A13="*","",VLOOKUP("*"&amp;$AX13,$A$10:$I$11,F$9,FALSE))</f>
        <v>-</v>
      </c>
      <c r="G13" s="370" t="str">
        <f t="shared" ca="1" si="5"/>
        <v>ANNUAL</v>
      </c>
      <c r="H13" s="370" t="str">
        <f t="shared" ca="1" si="5"/>
        <v>UP</v>
      </c>
      <c r="I13" s="370">
        <f t="shared" ca="1" si="5"/>
        <v>0</v>
      </c>
      <c r="J13" s="494" t="str">
        <f>IF(J$7&lt;2020,"",IF(A13="*","",IFERROR(VLOOKUP($C13,COM_2012!$B$61:$AH$120,MATCH(VLOOKUP("*"&amp;$AX13,$A$10:$J$11,$J$9,FALSE)&amp;J$7,COM_2012!$B$58:$AH$58,0),FALSE),"")))</f>
        <v/>
      </c>
      <c r="K13" s="494" t="str">
        <f>IF(K$7&lt;2020,"",IF(B13="*","",IFERROR(VLOOKUP($C13,COM_2012!$B$61:$AH$120,MATCH(VLOOKUP("*"&amp;$AX13,$A$10:$J$11,$J$9,FALSE)&amp;K$7,COM_2012!$B$58:$AH$58,0),FALSE),"")))</f>
        <v/>
      </c>
      <c r="L13" s="494" t="str">
        <f>IF(L$7&lt;2020,"",IF(C13="*","",IFERROR(VLOOKUP($C13,COM_2012!$B$61:$AH$120,MATCH(VLOOKUP("*"&amp;$AX13,$A$10:$J$11,$J$9,FALSE)&amp;L$7,COM_2012!$B$58:$AH$58,0),FALSE),"")))</f>
        <v/>
      </c>
      <c r="M13" s="494" t="str">
        <f>IF(M$7&lt;2020,"",IF(D13="*","",IFERROR(VLOOKUP($C13,COM_2012!$B$61:$AH$120,MATCH(VLOOKUP("*"&amp;$AX13,$A$10:$J$11,$J$9,FALSE)&amp;M$7,COM_2012!$B$58:$AH$58,0),FALSE),"")))</f>
        <v/>
      </c>
      <c r="N13" s="494" t="str">
        <f ca="1">IFERROR(VLOOKUP($C13,COM_2012!$B$61:$AH$120,MATCH(VLOOKUP("*"&amp;$AX13,$A$10:$J$11,$J$9,FALSE)&amp;N$7,COM_2012!$B$58:$AH$58,0),FALSE),"")</f>
        <v/>
      </c>
      <c r="O13" s="494" t="str">
        <f>IF(O$7&lt;2020,"",IF($A13="*","",IFERROR(VLOOKUP($C13,' COM_2017_old'!$B$61:$AJ$120,MATCH(VLOOKUP("*"&amp;$AX13,$A$10:$J$11,$J$9,FALSE)&amp;O$7,' COM_2017_old'!$B$58:$AJ$58,0),FALSE),"")))</f>
        <v/>
      </c>
      <c r="P13" s="494" t="str">
        <f ca="1">IFERROR(VLOOKUP($C13,COM_2012!$B$61:$AH$120,MATCH(VLOOKUP("*"&amp;$AX13,$A$10:$J$11,$J$9,FALSE)&amp;P$7,COM_2012!$B$58:$AH$58,0),FALSE),"")</f>
        <v/>
      </c>
      <c r="Q13" s="494" t="str">
        <f ca="1">IFERROR(VLOOKUP($C13,COM_2012!$B$61:$AH$120,MATCH(VLOOKUP("*"&amp;$AX13,$A$10:$J$11,$J$9,FALSE)&amp;Q$7,COM_2012!$B$58:$AH$58,0),FALSE),"")</f>
        <v/>
      </c>
      <c r="R13" s="494">
        <f ca="1">IF($A13="*","",IFERROR(VLOOKUP($C13,' COM_2017_old'!$B$61:$AJ$120,MATCH(VLOOKUP("*"&amp;$AX13,$A$10:$J$11,$J$9,FALSE)&amp;R$7,' COM_2017_old'!$B$58:$AJ$58,0),FALSE),""))</f>
        <v>6.9257950530035334E-2</v>
      </c>
      <c r="S13" s="494">
        <f t="shared" ref="S13:S51" ca="1" si="6">IF($A13="*","",R13+($W13-$R13)/5)</f>
        <v>8.3257950530035332E-2</v>
      </c>
      <c r="T13" s="494">
        <f t="shared" ref="T13:V51" ca="1" si="7">IF($A13="*","",S13+($W13-$R13)/5)</f>
        <v>9.7257950530035331E-2</v>
      </c>
      <c r="U13" s="494">
        <f t="shared" ca="1" si="7"/>
        <v>0.11125795053003533</v>
      </c>
      <c r="V13" s="494">
        <f t="shared" ca="1" si="7"/>
        <v>0.12525795053003533</v>
      </c>
      <c r="W13" s="494">
        <f ca="1">IF($A13="*","",IFERROR(VLOOKUP($C13,' COM_2017_old'!$B$61:$AJ$120,MATCH(VLOOKUP("*"&amp;$AX13,$A$10:$J$11,$J$9,FALSE)&amp;W$7,' COM_2017_old'!$B$58:$AJ$58,0),FALSE),""))</f>
        <v>0.13925795053003534</v>
      </c>
      <c r="X13" s="494">
        <f t="shared" ref="X13:X51" ca="1" si="8">IF($A13="*","",W13+($AB13-$W13)/5)</f>
        <v>0.17925795053003535</v>
      </c>
      <c r="Y13" s="494">
        <f t="shared" ref="Y13:AA51" ca="1" si="9">IF($A13="*","",X13+($AB13-$W13)/5)</f>
        <v>0.21925795053003533</v>
      </c>
      <c r="Z13" s="494">
        <f t="shared" ca="1" si="9"/>
        <v>0.25925795053003531</v>
      </c>
      <c r="AA13" s="494">
        <f t="shared" ca="1" si="9"/>
        <v>0.29925795053003529</v>
      </c>
      <c r="AB13" s="494">
        <f ca="1">IF($A13="*","",IFERROR(VLOOKUP($C13,' COM_2017_old'!$B$61:$AJ$120,MATCH(VLOOKUP("*"&amp;$AX13,$A$10:$J$11,$J$9,FALSE)&amp;AB$7,' COM_2017_old'!$B$58:$AJ$58,0),FALSE),""))</f>
        <v>0.33925795053003532</v>
      </c>
      <c r="AC13" s="494">
        <f t="shared" ref="AC13:AC51" ca="1" si="10">IF($A13="*","",AB13+($AG13-$AB13)/5)</f>
        <v>0.38925795053003531</v>
      </c>
      <c r="AD13" s="494">
        <f t="shared" ref="AD13:AF51" ca="1" si="11">IF($A13="*","",AC13+($AG13-$AB13)/5)</f>
        <v>0.4392579505300353</v>
      </c>
      <c r="AE13" s="494">
        <f t="shared" ca="1" si="11"/>
        <v>0.48925795053003529</v>
      </c>
      <c r="AF13" s="494">
        <f t="shared" ca="1" si="11"/>
        <v>0.53925795053003533</v>
      </c>
      <c r="AG13" s="494">
        <f ca="1">IF($A13="*","",IFERROR(VLOOKUP($C13,' COM_2017_old'!$B$61:$AJ$120,MATCH(VLOOKUP("*"&amp;$AX13,$A$10:$J$11,$J$9,FALSE)&amp;AG$7,' COM_2017_old'!$B$58:$AJ$58,0),FALSE),""))</f>
        <v>0.58925795053003538</v>
      </c>
      <c r="AH13" s="494">
        <f t="shared" ref="AH13:AH51" ca="1" si="12">IF($A13="*","",AG13+($AL13-$AG13)/5)</f>
        <v>0.64925795053003532</v>
      </c>
      <c r="AI13" s="494">
        <f t="shared" ref="AI13:AK51" ca="1" si="13">IF($A13="*","",AH13+($AL13-$AG13)/5)</f>
        <v>0.70925795053003526</v>
      </c>
      <c r="AJ13" s="494">
        <f t="shared" ca="1" si="13"/>
        <v>0.76925795053003521</v>
      </c>
      <c r="AK13" s="494">
        <f t="shared" ca="1" si="13"/>
        <v>0.82925795053003515</v>
      </c>
      <c r="AL13" s="494">
        <f ca="1">IF($A13="*","",IFERROR(VLOOKUP($C13,' COM_2017_old'!$B$61:$AJ$120,MATCH(VLOOKUP("*"&amp;$AX13,$A$10:$J$11,$J$9,FALSE)&amp;AL$7,' COM_2017_old'!$B$58:$AJ$58,0),FALSE),""))</f>
        <v>0.88925795053003531</v>
      </c>
      <c r="AM13" s="494">
        <f ca="1">IF($A13="*","",IFERROR(VLOOKUP($C13,' COM_2017_old'!$B$61:$AJ$120,MATCH(VLOOKUP("*"&amp;$AX13,$A$10:$J$11,$J$9,FALSE)&amp;AM$7,' COM_2017_old'!$B$58:$AJ$58,0),FALSE),""))</f>
        <v>0.98925795053003529</v>
      </c>
      <c r="AN13" s="494">
        <f ca="1">IF($A13="*","",IFERROR(VLOOKUP($C13,' COM_2017_old'!$B$61:$AJ$120,MATCH(VLOOKUP("*"&amp;$AX13,$A$10:$J$11,$J$9,FALSE)&amp;AN$7,' COM_2017_old'!$B$58:$AJ$58,0),FALSE),""))</f>
        <v>1</v>
      </c>
      <c r="AO13" s="391" t="str">
        <f ca="1">IFERROR(VLOOKUP($C13,COM_2012!$B$61:$AH$120,MATCH(VLOOKUP("*"&amp;$AX13,$A$10:$J$11,$J$9,FALSE)&amp;AO$7,COM_2012!$B$58:$AH$58,0),FALSE),"")</f>
        <v/>
      </c>
      <c r="AP13" s="391" t="str">
        <f ca="1">IFERROR(VLOOKUP($C13,COM_2012!$B$61:$AH$120,MATCH(VLOOKUP("*"&amp;$AX13,$A$10:$J$11,$J$9,FALSE)&amp;AP$7,COM_2012!$B$58:$AH$58,0),FALSE),"")</f>
        <v/>
      </c>
      <c r="AQ13" s="391" t="str">
        <f ca="1">IFERROR(VLOOKUP($C13,COM_2012!$B$61:$AH$120,MATCH(VLOOKUP("*"&amp;$AX13,$A$10:$J$11,$J$9,FALSE)&amp;AQ$7,COM_2012!$B$58:$AH$58,0),FALSE),"")</f>
        <v/>
      </c>
      <c r="AR13" s="391" t="str">
        <f ca="1">IFERROR(VLOOKUP($C13,COM_2012!$B$61:$AH$120,MATCH(VLOOKUP("*"&amp;$AX13,$A$10:$J$11,$J$9,FALSE)&amp;AR$7,COM_2012!$B$58:$AH$58,0),FALSE),"")</f>
        <v/>
      </c>
      <c r="AS13" s="391" t="str">
        <f ca="1">IFERROR(VLOOKUP($C13,COM_2012!$B$61:$AH$120,MATCH(VLOOKUP("*"&amp;$AX13,$A$10:$J$11,$J$9,FALSE)&amp;AS$7,COM_2012!$B$58:$AH$58,0),FALSE),"")</f>
        <v/>
      </c>
      <c r="AT13" s="391" t="str">
        <f ca="1">IFERROR(VLOOKUP($C13,COM_2012!$B$61:$AH$120,MATCH(VLOOKUP("*"&amp;$AX13,$A$10:$J$11,$J$9,FALSE)&amp;AT$7,COM_2012!$B$58:$AH$58,0),FALSE),"")</f>
        <v/>
      </c>
      <c r="AU13" s="391" t="str">
        <f ca="1">IFERROR(VLOOKUP($C13,COM_2012!$B$61:$AH$120,MATCH(VLOOKUP("*"&amp;$AX13,$A$10:$J$11,$J$9,FALSE)&amp;AU$7,COM_2012!$B$58:$AH$58,0),FALSE),"")</f>
        <v/>
      </c>
      <c r="AV13" s="391" t="str">
        <f ca="1">IFERROR(VLOOKUP($C13,COM_2012!$B$61:$AH$120,MATCH(VLOOKUP("*"&amp;$AX13,$A$10:$J$11,$J$9,FALSE)&amp;AV$7,COM_2012!$B$58:$AH$58,0),FALSE),"")</f>
        <v/>
      </c>
      <c r="AW13" s="391" t="str">
        <f ca="1">IFERROR(VLOOKUP($C13,COM_2012!$B$61:$AH$120,MATCH(VLOOKUP("*"&amp;$AX13,$A$10:$J$11,$J$9,FALSE)&amp;AW$7,COM_2012!$B$58:$AH$58,0),FALSE),"")</f>
        <v/>
      </c>
      <c r="AX13" s="304">
        <v>1</v>
      </c>
      <c r="AY13" s="304">
        <v>1</v>
      </c>
    </row>
    <row r="14" spans="1:52">
      <c r="A14" s="304" t="str">
        <f ca="1">IF(LEFT(OFFSET(COM_2012!$A$60,AY14,0),2)="\I","*","")</f>
        <v/>
      </c>
      <c r="B14" s="369" t="str">
        <f t="shared" ca="1" si="3"/>
        <v>FLO_MRKPRD</v>
      </c>
      <c r="C14" s="369" t="str">
        <f ca="1">IF($A14="*","",OFFSET(COM_2012!$B$60,AY14,0))</f>
        <v>CECELCCEN-E</v>
      </c>
      <c r="D14" s="369" t="str">
        <f t="shared" ref="D14:D77" ca="1" si="14">IF($A14="*","",LEFT(C14,3))</f>
        <v>CEC</v>
      </c>
      <c r="E14" s="369" t="str">
        <f t="shared" ca="1" si="4"/>
        <v>-</v>
      </c>
      <c r="F14" s="370" t="str">
        <f t="shared" ca="1" si="5"/>
        <v>-</v>
      </c>
      <c r="G14" s="370" t="str">
        <f t="shared" ca="1" si="5"/>
        <v>ANNUAL</v>
      </c>
      <c r="H14" s="370" t="str">
        <f t="shared" ca="1" si="5"/>
        <v>UP</v>
      </c>
      <c r="I14" s="370">
        <f t="shared" ca="1" si="5"/>
        <v>0</v>
      </c>
      <c r="J14" s="494" t="str">
        <f>IF(J$7&lt;2020,"",IF(A14="*","",IFERROR(VLOOKUP($C14,COM_2012!$B$61:$AH$120,MATCH(VLOOKUP("*"&amp;$AX14,$A$10:$J$11,$J$9,FALSE)&amp;J$7,COM_2012!$B$58:$AH$58,0),FALSE),"")))</f>
        <v/>
      </c>
      <c r="K14" s="494" t="str">
        <f>IF(K$7&lt;2020,"",IF(B14="*","",IFERROR(VLOOKUP($C14,COM_2012!$B$61:$AH$120,MATCH(VLOOKUP("*"&amp;$AX14,$A$10:$J$11,$J$9,FALSE)&amp;K$7,COM_2012!$B$58:$AH$58,0),FALSE),"")))</f>
        <v/>
      </c>
      <c r="L14" s="494" t="str">
        <f>IF(L$7&lt;2020,"",IF(C14="*","",IFERROR(VLOOKUP($C14,COM_2012!$B$61:$AH$120,MATCH(VLOOKUP("*"&amp;$AX14,$A$10:$J$11,$J$9,FALSE)&amp;L$7,COM_2012!$B$58:$AH$58,0),FALSE),"")))</f>
        <v/>
      </c>
      <c r="M14" s="494" t="str">
        <f>IF(M$7&lt;2020,"",IF(D14="*","",IFERROR(VLOOKUP($C14,COM_2012!$B$61:$AH$120,MATCH(VLOOKUP("*"&amp;$AX14,$A$10:$J$11,$J$9,FALSE)&amp;M$7,COM_2012!$B$58:$AH$58,0),FALSE),"")))</f>
        <v/>
      </c>
      <c r="N14" s="494" t="str">
        <f ca="1">IFERROR(VLOOKUP($C14,COM_2012!$B$61:$AH$120,MATCH(VLOOKUP("*"&amp;$AX14,$A$10:$J$11,$J$9,FALSE)&amp;N$7,COM_2012!$B$58:$AH$58,0),FALSE),"")</f>
        <v/>
      </c>
      <c r="O14" s="494" t="str">
        <f>IF(O$7&lt;2020,"",IF($A14="*","",IFERROR(VLOOKUP($C14,' COM_2017_old'!$B$61:$AJ$120,MATCH(VLOOKUP("*"&amp;$AX14,$A$10:$J$11,$J$9,FALSE)&amp;O$7,' COM_2017_old'!$B$58:$AJ$58,0),FALSE),"")))</f>
        <v/>
      </c>
      <c r="P14" s="494" t="str">
        <f ca="1">IFERROR(VLOOKUP($C14,COM_2012!$B$61:$AH$120,MATCH(VLOOKUP("*"&amp;$AX14,$A$10:$J$11,$J$9,FALSE)&amp;P$7,COM_2012!$B$58:$AH$58,0),FALSE),"")</f>
        <v/>
      </c>
      <c r="Q14" s="494" t="str">
        <f ca="1">IFERROR(VLOOKUP($C14,COM_2012!$B$61:$AH$120,MATCH(VLOOKUP("*"&amp;$AX14,$A$10:$J$11,$J$9,FALSE)&amp;Q$7,COM_2012!$B$58:$AH$58,0),FALSE),"")</f>
        <v/>
      </c>
      <c r="R14" s="494">
        <f ca="1">IF($A14="*","",IFERROR(VLOOKUP($C14,' COM_2017_old'!$B$61:$AJ$120,MATCH(VLOOKUP("*"&amp;$AX14,$A$10:$J$11,$J$9,FALSE)&amp;R$7,' COM_2017_old'!$B$58:$AJ$58,0),FALSE),""))</f>
        <v>0.69381625441696126</v>
      </c>
      <c r="S14" s="494">
        <f t="shared" ca="1" si="6"/>
        <v>0.70781625441696128</v>
      </c>
      <c r="T14" s="494">
        <f t="shared" ca="1" si="7"/>
        <v>0.72181625441696129</v>
      </c>
      <c r="U14" s="494">
        <f t="shared" ca="1" si="7"/>
        <v>0.7358162544169613</v>
      </c>
      <c r="V14" s="494">
        <f t="shared" ca="1" si="7"/>
        <v>0.74981625441696131</v>
      </c>
      <c r="W14" s="494">
        <f ca="1">IF($A14="*","",IFERROR(VLOOKUP($C14,' COM_2017_old'!$B$61:$AJ$120,MATCH(VLOOKUP("*"&amp;$AX14,$A$10:$J$11,$J$9,FALSE)&amp;W$7,' COM_2017_old'!$B$58:$AJ$58,0),FALSE),""))</f>
        <v>0.76381625441696122</v>
      </c>
      <c r="X14" s="494">
        <f t="shared" ca="1" si="8"/>
        <v>0.80381625441696125</v>
      </c>
      <c r="Y14" s="494">
        <f t="shared" ca="1" si="9"/>
        <v>0.84381625441696129</v>
      </c>
      <c r="Z14" s="494">
        <f t="shared" ca="1" si="9"/>
        <v>0.88381625441696132</v>
      </c>
      <c r="AA14" s="494">
        <f t="shared" ca="1" si="9"/>
        <v>0.92381625441696136</v>
      </c>
      <c r="AB14" s="494">
        <f ca="1">IF($A14="*","",IFERROR(VLOOKUP($C14,' COM_2017_old'!$B$61:$AJ$120,MATCH(VLOOKUP("*"&amp;$AX14,$A$10:$J$11,$J$9,FALSE)&amp;AB$7,' COM_2017_old'!$B$58:$AJ$58,0),FALSE),""))</f>
        <v>0.96381625441696128</v>
      </c>
      <c r="AC14" s="494">
        <f t="shared" ca="1" si="10"/>
        <v>0.97105300353356905</v>
      </c>
      <c r="AD14" s="494">
        <f t="shared" ca="1" si="11"/>
        <v>0.97828975265017681</v>
      </c>
      <c r="AE14" s="494">
        <f t="shared" ca="1" si="11"/>
        <v>0.98552650176678458</v>
      </c>
      <c r="AF14" s="494">
        <f t="shared" ca="1" si="11"/>
        <v>0.99276325088339235</v>
      </c>
      <c r="AG14" s="494">
        <f ca="1">IF($A14="*","",IFERROR(VLOOKUP($C14,' COM_2017_old'!$B$61:$AJ$120,MATCH(VLOOKUP("*"&amp;$AX14,$A$10:$J$11,$J$9,FALSE)&amp;AG$7,' COM_2017_old'!$B$58:$AJ$58,0),FALSE),""))</f>
        <v>1</v>
      </c>
      <c r="AH14" s="494">
        <f t="shared" ca="1" si="12"/>
        <v>1</v>
      </c>
      <c r="AI14" s="494">
        <f t="shared" ca="1" si="13"/>
        <v>1</v>
      </c>
      <c r="AJ14" s="494">
        <f t="shared" ca="1" si="13"/>
        <v>1</v>
      </c>
      <c r="AK14" s="494">
        <f t="shared" ca="1" si="13"/>
        <v>1</v>
      </c>
      <c r="AL14" s="494">
        <f ca="1">IF($A14="*","",IFERROR(VLOOKUP($C14,' COM_2017_old'!$B$61:$AJ$120,MATCH(VLOOKUP("*"&amp;$AX14,$A$10:$J$11,$J$9,FALSE)&amp;AL$7,' COM_2017_old'!$B$58:$AJ$58,0),FALSE),""))</f>
        <v>1</v>
      </c>
      <c r="AM14" s="494">
        <f ca="1">IF($A14="*","",IFERROR(VLOOKUP($C14,' COM_2017_old'!$B$61:$AJ$120,MATCH(VLOOKUP("*"&amp;$AX14,$A$10:$J$11,$J$9,FALSE)&amp;AM$7,' COM_2017_old'!$B$58:$AJ$58,0),FALSE),""))</f>
        <v>1</v>
      </c>
      <c r="AN14" s="494">
        <f ca="1">IF($A14="*","",IFERROR(VLOOKUP($C14,' COM_2017_old'!$B$61:$AJ$120,MATCH(VLOOKUP("*"&amp;$AX14,$A$10:$J$11,$J$9,FALSE)&amp;AN$7,' COM_2017_old'!$B$58:$AJ$58,0),FALSE),""))</f>
        <v>1</v>
      </c>
      <c r="AO14" s="391" t="str">
        <f ca="1">IFERROR(VLOOKUP($C14,COM_2012!$B$61:$AH$120,MATCH(VLOOKUP("*"&amp;$AX14,$A$10:$J$11,$J$9,FALSE)&amp;AO$7,COM_2012!$B$58:$AH$58,0),FALSE),"")</f>
        <v/>
      </c>
      <c r="AP14" s="391" t="str">
        <f ca="1">IFERROR(VLOOKUP($C14,COM_2012!$B$61:$AH$120,MATCH(VLOOKUP("*"&amp;$AX14,$A$10:$J$11,$J$9,FALSE)&amp;AP$7,COM_2012!$B$58:$AH$58,0),FALSE),"")</f>
        <v/>
      </c>
      <c r="AQ14" s="391" t="str">
        <f ca="1">IFERROR(VLOOKUP($C14,COM_2012!$B$61:$AH$120,MATCH(VLOOKUP("*"&amp;$AX14,$A$10:$J$11,$J$9,FALSE)&amp;AQ$7,COM_2012!$B$58:$AH$58,0),FALSE),"")</f>
        <v/>
      </c>
      <c r="AR14" s="391" t="str">
        <f ca="1">IFERROR(VLOOKUP($C14,COM_2012!$B$61:$AH$120,MATCH(VLOOKUP("*"&amp;$AX14,$A$10:$J$11,$J$9,FALSE)&amp;AR$7,COM_2012!$B$58:$AH$58,0),FALSE),"")</f>
        <v/>
      </c>
      <c r="AS14" s="391" t="str">
        <f ca="1">IFERROR(VLOOKUP($C14,COM_2012!$B$61:$AH$120,MATCH(VLOOKUP("*"&amp;$AX14,$A$10:$J$11,$J$9,FALSE)&amp;AS$7,COM_2012!$B$58:$AH$58,0),FALSE),"")</f>
        <v/>
      </c>
      <c r="AT14" s="391" t="str">
        <f ca="1">IFERROR(VLOOKUP($C14,COM_2012!$B$61:$AH$120,MATCH(VLOOKUP("*"&amp;$AX14,$A$10:$J$11,$J$9,FALSE)&amp;AT$7,COM_2012!$B$58:$AH$58,0),FALSE),"")</f>
        <v/>
      </c>
      <c r="AU14" s="391" t="str">
        <f ca="1">IFERROR(VLOOKUP($C14,COM_2012!$B$61:$AH$120,MATCH(VLOOKUP("*"&amp;$AX14,$A$10:$J$11,$J$9,FALSE)&amp;AU$7,COM_2012!$B$58:$AH$58,0),FALSE),"")</f>
        <v/>
      </c>
      <c r="AV14" s="391" t="str">
        <f ca="1">IFERROR(VLOOKUP($C14,COM_2012!$B$61:$AH$120,MATCH(VLOOKUP("*"&amp;$AX14,$A$10:$J$11,$J$9,FALSE)&amp;AV$7,COM_2012!$B$58:$AH$58,0),FALSE),"")</f>
        <v/>
      </c>
      <c r="AW14" s="391" t="str">
        <f ca="1">IFERROR(VLOOKUP($C14,COM_2012!$B$61:$AH$120,MATCH(VLOOKUP("*"&amp;$AX14,$A$10:$J$11,$J$9,FALSE)&amp;AW$7,COM_2012!$B$58:$AH$58,0),FALSE),"")</f>
        <v/>
      </c>
      <c r="AX14" s="304">
        <f>IF(AY13=COM_2012!$AI$121,AX13+1,AX13)</f>
        <v>1</v>
      </c>
      <c r="AY14" s="304">
        <f>IF(AX14=AX13,AY13+1,1)</f>
        <v>2</v>
      </c>
    </row>
    <row r="15" spans="1:52">
      <c r="A15" s="304" t="str">
        <f ca="1">IF(LEFT(OFFSET(COM_2012!$A$60,AY15,0),2)="\I","*","")</f>
        <v/>
      </c>
      <c r="B15" s="369" t="str">
        <f t="shared" ca="1" si="3"/>
        <v>FLO_MRKPRD</v>
      </c>
      <c r="C15" s="369" t="str">
        <f ca="1">IF($A15="*","",OFFSET(COM_2012!$B$60,AY15,0))</f>
        <v>CECELCHP-E</v>
      </c>
      <c r="D15" s="369" t="str">
        <f t="shared" ca="1" si="14"/>
        <v>CEC</v>
      </c>
      <c r="E15" s="369" t="str">
        <f t="shared" ca="1" si="4"/>
        <v>-</v>
      </c>
      <c r="F15" s="370" t="str">
        <f t="shared" ca="1" si="5"/>
        <v>-</v>
      </c>
      <c r="G15" s="370" t="str">
        <f t="shared" ca="1" si="5"/>
        <v>ANNUAL</v>
      </c>
      <c r="H15" s="370" t="str">
        <f t="shared" ca="1" si="5"/>
        <v>UP</v>
      </c>
      <c r="I15" s="370">
        <f t="shared" ca="1" si="5"/>
        <v>0</v>
      </c>
      <c r="J15" s="494" t="str">
        <f>IF(J$7&lt;2020,"",IF(A15="*","",IFERROR(VLOOKUP($C15,COM_2012!$B$61:$AH$120,MATCH(VLOOKUP("*"&amp;$AX15,$A$10:$J$11,$J$9,FALSE)&amp;J$7,COM_2012!$B$58:$AH$58,0),FALSE),"")))</f>
        <v/>
      </c>
      <c r="K15" s="494" t="str">
        <f>IF(K$7&lt;2020,"",IF(B15="*","",IFERROR(VLOOKUP($C15,COM_2012!$B$61:$AH$120,MATCH(VLOOKUP("*"&amp;$AX15,$A$10:$J$11,$J$9,FALSE)&amp;K$7,COM_2012!$B$58:$AH$58,0),FALSE),"")))</f>
        <v/>
      </c>
      <c r="L15" s="494" t="str">
        <f>IF(L$7&lt;2020,"",IF(C15="*","",IFERROR(VLOOKUP($C15,COM_2012!$B$61:$AH$120,MATCH(VLOOKUP("*"&amp;$AX15,$A$10:$J$11,$J$9,FALSE)&amp;L$7,COM_2012!$B$58:$AH$58,0),FALSE),"")))</f>
        <v/>
      </c>
      <c r="M15" s="494" t="str">
        <f>IF(M$7&lt;2020,"",IF(D15="*","",IFERROR(VLOOKUP($C15,COM_2012!$B$61:$AH$120,MATCH(VLOOKUP("*"&amp;$AX15,$A$10:$J$11,$J$9,FALSE)&amp;M$7,COM_2012!$B$58:$AH$58,0),FALSE),"")))</f>
        <v/>
      </c>
      <c r="N15" s="494" t="str">
        <f ca="1">IFERROR(VLOOKUP($C15,COM_2012!$B$61:$AH$120,MATCH(VLOOKUP("*"&amp;$AX15,$A$10:$J$11,$J$9,FALSE)&amp;N$7,COM_2012!$B$58:$AH$58,0),FALSE),"")</f>
        <v/>
      </c>
      <c r="O15" s="494" t="str">
        <f>IF(O$7&lt;2020,"",IF($A15="*","",IFERROR(VLOOKUP($C15,' COM_2017_old'!$B$61:$AJ$120,MATCH(VLOOKUP("*"&amp;$AX15,$A$10:$J$11,$J$9,FALSE)&amp;O$7,' COM_2017_old'!$B$58:$AJ$58,0),FALSE),"")))</f>
        <v/>
      </c>
      <c r="P15" s="494" t="str">
        <f ca="1">IFERROR(VLOOKUP($C15,COM_2012!$B$61:$AH$120,MATCH(VLOOKUP("*"&amp;$AX15,$A$10:$J$11,$J$9,FALSE)&amp;P$7,COM_2012!$B$58:$AH$58,0),FALSE),"")</f>
        <v/>
      </c>
      <c r="Q15" s="494" t="str">
        <f ca="1">IFERROR(VLOOKUP($C15,COM_2012!$B$61:$AH$120,MATCH(VLOOKUP("*"&amp;$AX15,$A$10:$J$11,$J$9,FALSE)&amp;Q$7,COM_2012!$B$58:$AH$58,0),FALSE),"")</f>
        <v/>
      </c>
      <c r="R15" s="494">
        <f ca="1">IF($A15="*","",IFERROR(VLOOKUP($C15,' COM_2017_old'!$B$61:$AJ$120,MATCH(VLOOKUP("*"&amp;$AX15,$A$10:$J$11,$J$9,FALSE)&amp;R$7,' COM_2017_old'!$B$58:$AJ$58,0),FALSE),""))</f>
        <v>0.20844522968197882</v>
      </c>
      <c r="S15" s="494">
        <f t="shared" ca="1" si="6"/>
        <v>0.22244522968197883</v>
      </c>
      <c r="T15" s="494">
        <f t="shared" ca="1" si="7"/>
        <v>0.23644522968197884</v>
      </c>
      <c r="U15" s="494">
        <f t="shared" ca="1" si="7"/>
        <v>0.25044522968197885</v>
      </c>
      <c r="V15" s="494">
        <f t="shared" ca="1" si="7"/>
        <v>0.26444522968197887</v>
      </c>
      <c r="W15" s="494">
        <f ca="1">IF($A15="*","",IFERROR(VLOOKUP($C15,' COM_2017_old'!$B$61:$AJ$120,MATCH(VLOOKUP("*"&amp;$AX15,$A$10:$J$11,$J$9,FALSE)&amp;W$7,' COM_2017_old'!$B$58:$AJ$58,0),FALSE),""))</f>
        <v>0.27844522968197882</v>
      </c>
      <c r="X15" s="494">
        <f t="shared" ca="1" si="8"/>
        <v>0.3184452296819788</v>
      </c>
      <c r="Y15" s="494">
        <f t="shared" ca="1" si="9"/>
        <v>0.35844522968197878</v>
      </c>
      <c r="Z15" s="494">
        <f t="shared" ca="1" si="9"/>
        <v>0.39844522968197876</v>
      </c>
      <c r="AA15" s="494">
        <f t="shared" ca="1" si="9"/>
        <v>0.43844522968197874</v>
      </c>
      <c r="AB15" s="494">
        <f ca="1">IF($A15="*","",IFERROR(VLOOKUP($C15,' COM_2017_old'!$B$61:$AJ$120,MATCH(VLOOKUP("*"&amp;$AX15,$A$10:$J$11,$J$9,FALSE)&amp;AB$7,' COM_2017_old'!$B$58:$AJ$58,0),FALSE),""))</f>
        <v>0.47844522968197878</v>
      </c>
      <c r="AC15" s="494">
        <f t="shared" ca="1" si="10"/>
        <v>0.52844522968197882</v>
      </c>
      <c r="AD15" s="494">
        <f t="shared" ca="1" si="11"/>
        <v>0.57844522968197887</v>
      </c>
      <c r="AE15" s="494">
        <f t="shared" ca="1" si="11"/>
        <v>0.62844522968197891</v>
      </c>
      <c r="AF15" s="494">
        <f t="shared" ca="1" si="11"/>
        <v>0.67844522968197896</v>
      </c>
      <c r="AG15" s="494">
        <f ca="1">IF($A15="*","",IFERROR(VLOOKUP($C15,' COM_2017_old'!$B$61:$AJ$120,MATCH(VLOOKUP("*"&amp;$AX15,$A$10:$J$11,$J$9,FALSE)&amp;AG$7,' COM_2017_old'!$B$58:$AJ$58,0),FALSE),""))</f>
        <v>0.72844522968197889</v>
      </c>
      <c r="AH15" s="494">
        <f t="shared" ca="1" si="12"/>
        <v>0.78275618374558309</v>
      </c>
      <c r="AI15" s="494">
        <f t="shared" ca="1" si="13"/>
        <v>0.83706713780918729</v>
      </c>
      <c r="AJ15" s="494">
        <f t="shared" ca="1" si="13"/>
        <v>0.89137809187279149</v>
      </c>
      <c r="AK15" s="494">
        <f t="shared" ca="1" si="13"/>
        <v>0.94568904593639569</v>
      </c>
      <c r="AL15" s="494">
        <f ca="1">IF($A15="*","",IFERROR(VLOOKUP($C15,' COM_2017_old'!$B$61:$AJ$120,MATCH(VLOOKUP("*"&amp;$AX15,$A$10:$J$11,$J$9,FALSE)&amp;AL$7,' COM_2017_old'!$B$58:$AJ$58,0),FALSE),""))</f>
        <v>1</v>
      </c>
      <c r="AM15" s="494">
        <f ca="1">IF($A15="*","",IFERROR(VLOOKUP($C15,' COM_2017_old'!$B$61:$AJ$120,MATCH(VLOOKUP("*"&amp;$AX15,$A$10:$J$11,$J$9,FALSE)&amp;AM$7,' COM_2017_old'!$B$58:$AJ$58,0),FALSE),""))</f>
        <v>1</v>
      </c>
      <c r="AN15" s="494">
        <f ca="1">IF($A15="*","",IFERROR(VLOOKUP($C15,' COM_2017_old'!$B$61:$AJ$120,MATCH(VLOOKUP("*"&amp;$AX15,$A$10:$J$11,$J$9,FALSE)&amp;AN$7,' COM_2017_old'!$B$58:$AJ$58,0),FALSE),""))</f>
        <v>1</v>
      </c>
      <c r="AO15" s="391" t="str">
        <f ca="1">IFERROR(VLOOKUP($C15,COM_2012!$B$61:$AH$120,MATCH(VLOOKUP("*"&amp;$AX15,$A$10:$J$11,$J$9,FALSE)&amp;AO$7,COM_2012!$B$58:$AH$58,0),FALSE),"")</f>
        <v/>
      </c>
      <c r="AP15" s="391" t="str">
        <f ca="1">IFERROR(VLOOKUP($C15,COM_2012!$B$61:$AH$120,MATCH(VLOOKUP("*"&amp;$AX15,$A$10:$J$11,$J$9,FALSE)&amp;AP$7,COM_2012!$B$58:$AH$58,0),FALSE),"")</f>
        <v/>
      </c>
      <c r="AQ15" s="391" t="str">
        <f ca="1">IFERROR(VLOOKUP($C15,COM_2012!$B$61:$AH$120,MATCH(VLOOKUP("*"&amp;$AX15,$A$10:$J$11,$J$9,FALSE)&amp;AQ$7,COM_2012!$B$58:$AH$58,0),FALSE),"")</f>
        <v/>
      </c>
      <c r="AR15" s="391" t="str">
        <f ca="1">IFERROR(VLOOKUP($C15,COM_2012!$B$61:$AH$120,MATCH(VLOOKUP("*"&amp;$AX15,$A$10:$J$11,$J$9,FALSE)&amp;AR$7,COM_2012!$B$58:$AH$58,0),FALSE),"")</f>
        <v/>
      </c>
      <c r="AS15" s="391" t="str">
        <f ca="1">IFERROR(VLOOKUP($C15,COM_2012!$B$61:$AH$120,MATCH(VLOOKUP("*"&amp;$AX15,$A$10:$J$11,$J$9,FALSE)&amp;AS$7,COM_2012!$B$58:$AH$58,0),FALSE),"")</f>
        <v/>
      </c>
      <c r="AT15" s="391" t="str">
        <f ca="1">IFERROR(VLOOKUP($C15,COM_2012!$B$61:$AH$120,MATCH(VLOOKUP("*"&amp;$AX15,$A$10:$J$11,$J$9,FALSE)&amp;AT$7,COM_2012!$B$58:$AH$58,0),FALSE),"")</f>
        <v/>
      </c>
      <c r="AU15" s="391" t="str">
        <f ca="1">IFERROR(VLOOKUP($C15,COM_2012!$B$61:$AH$120,MATCH(VLOOKUP("*"&amp;$AX15,$A$10:$J$11,$J$9,FALSE)&amp;AU$7,COM_2012!$B$58:$AH$58,0),FALSE),"")</f>
        <v/>
      </c>
      <c r="AV15" s="391" t="str">
        <f ca="1">IFERROR(VLOOKUP($C15,COM_2012!$B$61:$AH$120,MATCH(VLOOKUP("*"&amp;$AX15,$A$10:$J$11,$J$9,FALSE)&amp;AV$7,COM_2012!$B$58:$AH$58,0),FALSE),"")</f>
        <v/>
      </c>
      <c r="AW15" s="391" t="str">
        <f ca="1">IFERROR(VLOOKUP($C15,COM_2012!$B$61:$AH$120,MATCH(VLOOKUP("*"&amp;$AX15,$A$10:$J$11,$J$9,FALSE)&amp;AW$7,COM_2012!$B$58:$AH$58,0),FALSE),"")</f>
        <v/>
      </c>
      <c r="AX15" s="304">
        <f>IF(AY14=COM_2012!$AI$121,AX14+1,AX14)</f>
        <v>1</v>
      </c>
      <c r="AY15" s="304">
        <f t="shared" ref="AY15:AY78" si="15">IF(AX15=AX14,AY14+1,1)</f>
        <v>3</v>
      </c>
    </row>
    <row r="16" spans="1:52">
      <c r="A16" s="304" t="str">
        <f ca="1">IF(LEFT(OFFSET(COM_2012!$A$60,AY16,0),2)="\I","*","")</f>
        <v/>
      </c>
      <c r="B16" s="369" t="str">
        <f t="shared" ca="1" si="3"/>
        <v>FLO_MRKPRD</v>
      </c>
      <c r="C16" s="369" t="str">
        <f ca="1">IF($A16="*","",OFFSET(COM_2012!$B$60,AY16,0))</f>
        <v>CECELCROOM-E</v>
      </c>
      <c r="D16" s="369" t="str">
        <f t="shared" ca="1" si="14"/>
        <v>CEC</v>
      </c>
      <c r="E16" s="369" t="str">
        <f t="shared" ca="1" si="4"/>
        <v>-</v>
      </c>
      <c r="F16" s="370" t="str">
        <f t="shared" ca="1" si="5"/>
        <v>-</v>
      </c>
      <c r="G16" s="370" t="str">
        <f t="shared" ca="1" si="5"/>
        <v>ANNUAL</v>
      </c>
      <c r="H16" s="370" t="str">
        <f t="shared" ca="1" si="5"/>
        <v>UP</v>
      </c>
      <c r="I16" s="370">
        <f t="shared" ca="1" si="5"/>
        <v>0</v>
      </c>
      <c r="J16" s="494" t="str">
        <f>IF(J$7&lt;2020,"",IF(A16="*","",IFERROR(VLOOKUP($C16,COM_2012!$B$61:$AH$120,MATCH(VLOOKUP("*"&amp;$AX16,$A$10:$J$11,$J$9,FALSE)&amp;J$7,COM_2012!$B$58:$AH$58,0),FALSE),"")))</f>
        <v/>
      </c>
      <c r="K16" s="494" t="str">
        <f>IF(K$7&lt;2020,"",IF(B16="*","",IFERROR(VLOOKUP($C16,COM_2012!$B$61:$AH$120,MATCH(VLOOKUP("*"&amp;$AX16,$A$10:$J$11,$J$9,FALSE)&amp;K$7,COM_2012!$B$58:$AH$58,0),FALSE),"")))</f>
        <v/>
      </c>
      <c r="L16" s="494" t="str">
        <f>IF(L$7&lt;2020,"",IF(C16="*","",IFERROR(VLOOKUP($C16,COM_2012!$B$61:$AH$120,MATCH(VLOOKUP("*"&amp;$AX16,$A$10:$J$11,$J$9,FALSE)&amp;L$7,COM_2012!$B$58:$AH$58,0),FALSE),"")))</f>
        <v/>
      </c>
      <c r="M16" s="494" t="str">
        <f>IF(M$7&lt;2020,"",IF(D16="*","",IFERROR(VLOOKUP($C16,COM_2012!$B$61:$AH$120,MATCH(VLOOKUP("*"&amp;$AX16,$A$10:$J$11,$J$9,FALSE)&amp;M$7,COM_2012!$B$58:$AH$58,0),FALSE),"")))</f>
        <v/>
      </c>
      <c r="N16" s="494" t="str">
        <f ca="1">IFERROR(VLOOKUP($C16,COM_2012!$B$61:$AH$120,MATCH(VLOOKUP("*"&amp;$AX16,$A$10:$J$11,$J$9,FALSE)&amp;N$7,COM_2012!$B$58:$AH$58,0),FALSE),"")</f>
        <v/>
      </c>
      <c r="O16" s="494" t="str">
        <f>IF(O$7&lt;2020,"",IF($A16="*","",IFERROR(VLOOKUP($C16,' COM_2017_old'!$B$61:$AJ$120,MATCH(VLOOKUP("*"&amp;$AX16,$A$10:$J$11,$J$9,FALSE)&amp;O$7,' COM_2017_old'!$B$58:$AJ$58,0),FALSE),"")))</f>
        <v/>
      </c>
      <c r="P16" s="494" t="str">
        <f ca="1">IFERROR(VLOOKUP($C16,COM_2012!$B$61:$AH$120,MATCH(VLOOKUP("*"&amp;$AX16,$A$10:$J$11,$J$9,FALSE)&amp;P$7,COM_2012!$B$58:$AH$58,0),FALSE),"")</f>
        <v/>
      </c>
      <c r="Q16" s="494" t="str">
        <f ca="1">IFERROR(VLOOKUP($C16,COM_2012!$B$61:$AH$120,MATCH(VLOOKUP("*"&amp;$AX16,$A$10:$J$11,$J$9,FALSE)&amp;Q$7,COM_2012!$B$58:$AH$58,0),FALSE),"")</f>
        <v/>
      </c>
      <c r="R16" s="494">
        <f ca="1">IF($A16="*","",IFERROR(VLOOKUP($C16,' COM_2017_old'!$B$61:$AJ$120,MATCH(VLOOKUP("*"&amp;$AX16,$A$10:$J$11,$J$9,FALSE)&amp;R$7,' COM_2017_old'!$B$58:$AJ$58,0),FALSE),""))</f>
        <v>0.1584805653710247</v>
      </c>
      <c r="S16" s="494">
        <f t="shared" ca="1" si="6"/>
        <v>0.17248056537102471</v>
      </c>
      <c r="T16" s="494">
        <f t="shared" ca="1" si="7"/>
        <v>0.18648056537102473</v>
      </c>
      <c r="U16" s="494">
        <f t="shared" ca="1" si="7"/>
        <v>0.20048056537102474</v>
      </c>
      <c r="V16" s="494">
        <f t="shared" ca="1" si="7"/>
        <v>0.21448056537102475</v>
      </c>
      <c r="W16" s="494">
        <f ca="1">IF($A16="*","",IFERROR(VLOOKUP($C16,' COM_2017_old'!$B$61:$AJ$120,MATCH(VLOOKUP("*"&amp;$AX16,$A$10:$J$11,$J$9,FALSE)&amp;W$7,' COM_2017_old'!$B$58:$AJ$58,0),FALSE),""))</f>
        <v>0.22848056537102471</v>
      </c>
      <c r="X16" s="494">
        <f t="shared" ca="1" si="8"/>
        <v>0.26848056537102472</v>
      </c>
      <c r="Y16" s="494">
        <f t="shared" ca="1" si="9"/>
        <v>0.3084805653710247</v>
      </c>
      <c r="Z16" s="494">
        <f t="shared" ca="1" si="9"/>
        <v>0.34848056537102468</v>
      </c>
      <c r="AA16" s="494">
        <f t="shared" ca="1" si="9"/>
        <v>0.38848056537102466</v>
      </c>
      <c r="AB16" s="494">
        <f ca="1">IF($A16="*","",IFERROR(VLOOKUP($C16,' COM_2017_old'!$B$61:$AJ$120,MATCH(VLOOKUP("*"&amp;$AX16,$A$10:$J$11,$J$9,FALSE)&amp;AB$7,' COM_2017_old'!$B$58:$AJ$58,0),FALSE),""))</f>
        <v>0.42848056537102469</v>
      </c>
      <c r="AC16" s="494">
        <f t="shared" ca="1" si="10"/>
        <v>0.47848056537102468</v>
      </c>
      <c r="AD16" s="494">
        <f t="shared" ca="1" si="11"/>
        <v>0.52848056537102472</v>
      </c>
      <c r="AE16" s="494">
        <f t="shared" ca="1" si="11"/>
        <v>0.57848056537102477</v>
      </c>
      <c r="AF16" s="494">
        <f t="shared" ca="1" si="11"/>
        <v>0.62848056537102481</v>
      </c>
      <c r="AG16" s="494">
        <f ca="1">IF($A16="*","",IFERROR(VLOOKUP($C16,' COM_2017_old'!$B$61:$AJ$120,MATCH(VLOOKUP("*"&amp;$AX16,$A$10:$J$11,$J$9,FALSE)&amp;AG$7,' COM_2017_old'!$B$58:$AJ$58,0),FALSE),""))</f>
        <v>0.67848056537102475</v>
      </c>
      <c r="AH16" s="494">
        <f t="shared" ca="1" si="12"/>
        <v>0.73848056537102469</v>
      </c>
      <c r="AI16" s="494">
        <f t="shared" ca="1" si="13"/>
        <v>0.79848056537102463</v>
      </c>
      <c r="AJ16" s="494">
        <f t="shared" ca="1" si="13"/>
        <v>0.85848056537102457</v>
      </c>
      <c r="AK16" s="494">
        <f t="shared" ca="1" si="13"/>
        <v>0.91848056537102452</v>
      </c>
      <c r="AL16" s="494">
        <f ca="1">IF($A16="*","",IFERROR(VLOOKUP($C16,' COM_2017_old'!$B$61:$AJ$120,MATCH(VLOOKUP("*"&amp;$AX16,$A$10:$J$11,$J$9,FALSE)&amp;AL$7,' COM_2017_old'!$B$58:$AJ$58,0),FALSE),""))</f>
        <v>0.97848056537102468</v>
      </c>
      <c r="AM16" s="494">
        <f ca="1">IF($A16="*","",IFERROR(VLOOKUP($C16,' COM_2017_old'!$B$61:$AJ$120,MATCH(VLOOKUP("*"&amp;$AX16,$A$10:$J$11,$J$9,FALSE)&amp;AM$7,' COM_2017_old'!$B$58:$AJ$58,0),FALSE),""))</f>
        <v>1</v>
      </c>
      <c r="AN16" s="494">
        <f ca="1">IF($A16="*","",IFERROR(VLOOKUP($C16,' COM_2017_old'!$B$61:$AJ$120,MATCH(VLOOKUP("*"&amp;$AX16,$A$10:$J$11,$J$9,FALSE)&amp;AN$7,' COM_2017_old'!$B$58:$AJ$58,0),FALSE),""))</f>
        <v>1</v>
      </c>
      <c r="AO16" s="391" t="str">
        <f ca="1">IFERROR(VLOOKUP($C16,COM_2012!$B$61:$AH$120,MATCH(VLOOKUP("*"&amp;$AX16,$A$10:$J$11,$J$9,FALSE)&amp;AO$7,COM_2012!$B$58:$AH$58,0),FALSE),"")</f>
        <v/>
      </c>
      <c r="AP16" s="391" t="str">
        <f ca="1">IFERROR(VLOOKUP($C16,COM_2012!$B$61:$AH$120,MATCH(VLOOKUP("*"&amp;$AX16,$A$10:$J$11,$J$9,FALSE)&amp;AP$7,COM_2012!$B$58:$AH$58,0),FALSE),"")</f>
        <v/>
      </c>
      <c r="AQ16" s="391" t="str">
        <f ca="1">IFERROR(VLOOKUP($C16,COM_2012!$B$61:$AH$120,MATCH(VLOOKUP("*"&amp;$AX16,$A$10:$J$11,$J$9,FALSE)&amp;AQ$7,COM_2012!$B$58:$AH$58,0),FALSE),"")</f>
        <v/>
      </c>
      <c r="AR16" s="391" t="str">
        <f ca="1">IFERROR(VLOOKUP($C16,COM_2012!$B$61:$AH$120,MATCH(VLOOKUP("*"&amp;$AX16,$A$10:$J$11,$J$9,FALSE)&amp;AR$7,COM_2012!$B$58:$AH$58,0),FALSE),"")</f>
        <v/>
      </c>
      <c r="AS16" s="391" t="str">
        <f ca="1">IFERROR(VLOOKUP($C16,COM_2012!$B$61:$AH$120,MATCH(VLOOKUP("*"&amp;$AX16,$A$10:$J$11,$J$9,FALSE)&amp;AS$7,COM_2012!$B$58:$AH$58,0),FALSE),"")</f>
        <v/>
      </c>
      <c r="AT16" s="391" t="str">
        <f ca="1">IFERROR(VLOOKUP($C16,COM_2012!$B$61:$AH$120,MATCH(VLOOKUP("*"&amp;$AX16,$A$10:$J$11,$J$9,FALSE)&amp;AT$7,COM_2012!$B$58:$AH$58,0),FALSE),"")</f>
        <v/>
      </c>
      <c r="AU16" s="391" t="str">
        <f ca="1">IFERROR(VLOOKUP($C16,COM_2012!$B$61:$AH$120,MATCH(VLOOKUP("*"&amp;$AX16,$A$10:$J$11,$J$9,FALSE)&amp;AU$7,COM_2012!$B$58:$AH$58,0),FALSE),"")</f>
        <v/>
      </c>
      <c r="AV16" s="391" t="str">
        <f ca="1">IFERROR(VLOOKUP($C16,COM_2012!$B$61:$AH$120,MATCH(VLOOKUP("*"&amp;$AX16,$A$10:$J$11,$J$9,FALSE)&amp;AV$7,COM_2012!$B$58:$AH$58,0),FALSE),"")</f>
        <v/>
      </c>
      <c r="AW16" s="391" t="str">
        <f ca="1">IFERROR(VLOOKUP($C16,COM_2012!$B$61:$AH$120,MATCH(VLOOKUP("*"&amp;$AX16,$A$10:$J$11,$J$9,FALSE)&amp;AW$7,COM_2012!$B$58:$AH$58,0),FALSE),"")</f>
        <v/>
      </c>
      <c r="AX16" s="304">
        <f>IF(AY15=COM_2012!$AI$121,AX15+1,AX15)</f>
        <v>1</v>
      </c>
      <c r="AY16" s="304">
        <f t="shared" si="15"/>
        <v>4</v>
      </c>
    </row>
    <row r="17" spans="1:51">
      <c r="A17" s="304" t="str">
        <f ca="1">IF(LEFT(OFFSET(COM_2012!$A$60,AY17,0),2)="\I","*","")</f>
        <v/>
      </c>
      <c r="B17" s="369" t="str">
        <f t="shared" ca="1" si="3"/>
        <v>FLO_MRKPRD</v>
      </c>
      <c r="C17" s="369" t="str">
        <f ca="1">IF($A17="*","",OFFSET(COM_2012!$B$60,AY17,0))</f>
        <v>CECELCCEN-N</v>
      </c>
      <c r="D17" s="369" t="str">
        <f t="shared" ca="1" si="14"/>
        <v>CEC</v>
      </c>
      <c r="E17" s="369" t="str">
        <f t="shared" ca="1" si="4"/>
        <v>-</v>
      </c>
      <c r="F17" s="370" t="str">
        <f t="shared" ca="1" si="5"/>
        <v>-</v>
      </c>
      <c r="G17" s="370" t="str">
        <f t="shared" ca="1" si="5"/>
        <v>ANNUAL</v>
      </c>
      <c r="H17" s="370" t="str">
        <f t="shared" ca="1" si="5"/>
        <v>UP</v>
      </c>
      <c r="I17" s="370">
        <f t="shared" ca="1" si="5"/>
        <v>0</v>
      </c>
      <c r="J17" s="494" t="str">
        <f>IF(J$7&lt;2020,"",IF(A17="*","",IFERROR(VLOOKUP($C17,COM_2012!$B$61:$AH$120,MATCH(VLOOKUP("*"&amp;$AX17,$A$10:$J$11,$J$9,FALSE)&amp;J$7,COM_2012!$B$58:$AH$58,0),FALSE),"")))</f>
        <v/>
      </c>
      <c r="K17" s="494" t="str">
        <f>IF(K$7&lt;2020,"",IF(B17="*","",IFERROR(VLOOKUP($C17,COM_2012!$B$61:$AH$120,MATCH(VLOOKUP("*"&amp;$AX17,$A$10:$J$11,$J$9,FALSE)&amp;K$7,COM_2012!$B$58:$AH$58,0),FALSE),"")))</f>
        <v/>
      </c>
      <c r="L17" s="494" t="str">
        <f>IF(L$7&lt;2020,"",IF(C17="*","",IFERROR(VLOOKUP($C17,COM_2012!$B$61:$AH$120,MATCH(VLOOKUP("*"&amp;$AX17,$A$10:$J$11,$J$9,FALSE)&amp;L$7,COM_2012!$B$58:$AH$58,0),FALSE),"")))</f>
        <v/>
      </c>
      <c r="M17" s="494" t="str">
        <f>IF(M$7&lt;2020,"",IF(D17="*","",IFERROR(VLOOKUP($C17,COM_2012!$B$61:$AH$120,MATCH(VLOOKUP("*"&amp;$AX17,$A$10:$J$11,$J$9,FALSE)&amp;M$7,COM_2012!$B$58:$AH$58,0),FALSE),"")))</f>
        <v/>
      </c>
      <c r="N17" s="494" t="str">
        <f ca="1">IFERROR(VLOOKUP($C17,COM_2012!$B$61:$AH$120,MATCH(VLOOKUP("*"&amp;$AX17,$A$10:$J$11,$J$9,FALSE)&amp;N$7,COM_2012!$B$58:$AH$58,0),FALSE),"")</f>
        <v/>
      </c>
      <c r="O17" s="494" t="str">
        <f>IF(O$7&lt;2020,"",IF($A17="*","",IFERROR(VLOOKUP($C17,' COM_2017_old'!$B$61:$AJ$120,MATCH(VLOOKUP("*"&amp;$AX17,$A$10:$J$11,$J$9,FALSE)&amp;O$7,' COM_2017_old'!$B$58:$AJ$58,0),FALSE),"")))</f>
        <v/>
      </c>
      <c r="P17" s="494" t="str">
        <f ca="1">IFERROR(VLOOKUP($C17,COM_2012!$B$61:$AH$120,MATCH(VLOOKUP("*"&amp;$AX17,$A$10:$J$11,$J$9,FALSE)&amp;P$7,COM_2012!$B$58:$AH$58,0),FALSE),"")</f>
        <v/>
      </c>
      <c r="Q17" s="494" t="str">
        <f ca="1">IFERROR(VLOOKUP($C17,COM_2012!$B$61:$AH$120,MATCH(VLOOKUP("*"&amp;$AX17,$A$10:$J$11,$J$9,FALSE)&amp;Q$7,COM_2012!$B$58:$AH$58,0),FALSE),"")</f>
        <v/>
      </c>
      <c r="R17" s="494">
        <f ca="1">IF($A17="*","",IFERROR(VLOOKUP($C17,' COM_2017_old'!$B$61:$AJ$120,MATCH(VLOOKUP("*"&amp;$AX17,$A$10:$J$11,$J$9,FALSE)&amp;R$7,' COM_2017_old'!$B$58:$AJ$58,0),FALSE),""))</f>
        <v>0.03</v>
      </c>
      <c r="S17" s="494">
        <f t="shared" ca="1" si="6"/>
        <v>4.3999999999999997E-2</v>
      </c>
      <c r="T17" s="494">
        <f t="shared" ca="1" si="7"/>
        <v>5.7999999999999996E-2</v>
      </c>
      <c r="U17" s="494">
        <f t="shared" ca="1" si="7"/>
        <v>7.1999999999999995E-2</v>
      </c>
      <c r="V17" s="494">
        <f t="shared" ca="1" si="7"/>
        <v>8.5999999999999993E-2</v>
      </c>
      <c r="W17" s="494">
        <f ca="1">IF($A17="*","",IFERROR(VLOOKUP($C17,' COM_2017_old'!$B$61:$AJ$120,MATCH(VLOOKUP("*"&amp;$AX17,$A$10:$J$11,$J$9,FALSE)&amp;W$7,' COM_2017_old'!$B$58:$AJ$58,0),FALSE),""))</f>
        <v>0.1</v>
      </c>
      <c r="X17" s="494">
        <f t="shared" ca="1" si="8"/>
        <v>0.14000000000000001</v>
      </c>
      <c r="Y17" s="494">
        <f t="shared" ca="1" si="9"/>
        <v>0.18</v>
      </c>
      <c r="Z17" s="494">
        <f t="shared" ca="1" si="9"/>
        <v>0.21999999999999997</v>
      </c>
      <c r="AA17" s="494">
        <f t="shared" ca="1" si="9"/>
        <v>0.25999999999999995</v>
      </c>
      <c r="AB17" s="494">
        <f ca="1">IF($A17="*","",IFERROR(VLOOKUP($C17,' COM_2017_old'!$B$61:$AJ$120,MATCH(VLOOKUP("*"&amp;$AX17,$A$10:$J$11,$J$9,FALSE)&amp;AB$7,' COM_2017_old'!$B$58:$AJ$58,0),FALSE),""))</f>
        <v>0.3</v>
      </c>
      <c r="AC17" s="494">
        <f t="shared" ca="1" si="10"/>
        <v>0.35</v>
      </c>
      <c r="AD17" s="494">
        <f t="shared" ca="1" si="11"/>
        <v>0.39999999999999997</v>
      </c>
      <c r="AE17" s="494">
        <f t="shared" ca="1" si="11"/>
        <v>0.44999999999999996</v>
      </c>
      <c r="AF17" s="494">
        <f t="shared" ca="1" si="11"/>
        <v>0.49999999999999994</v>
      </c>
      <c r="AG17" s="494">
        <f ca="1">IF($A17="*","",IFERROR(VLOOKUP($C17,' COM_2017_old'!$B$61:$AJ$120,MATCH(VLOOKUP("*"&amp;$AX17,$A$10:$J$11,$J$9,FALSE)&amp;AG$7,' COM_2017_old'!$B$58:$AJ$58,0),FALSE),""))</f>
        <v>0.55000000000000004</v>
      </c>
      <c r="AH17" s="494">
        <f t="shared" ca="1" si="12"/>
        <v>0.61</v>
      </c>
      <c r="AI17" s="494">
        <f t="shared" ca="1" si="13"/>
        <v>0.66999999999999993</v>
      </c>
      <c r="AJ17" s="494">
        <f t="shared" ca="1" si="13"/>
        <v>0.72999999999999987</v>
      </c>
      <c r="AK17" s="494">
        <f t="shared" ca="1" si="13"/>
        <v>0.78999999999999981</v>
      </c>
      <c r="AL17" s="494">
        <f ca="1">IF($A17="*","",IFERROR(VLOOKUP($C17,' COM_2017_old'!$B$61:$AJ$120,MATCH(VLOOKUP("*"&amp;$AX17,$A$10:$J$11,$J$9,FALSE)&amp;AL$7,' COM_2017_old'!$B$58:$AJ$58,0),FALSE),""))</f>
        <v>0.85</v>
      </c>
      <c r="AM17" s="494">
        <f ca="1">IF($A17="*","",IFERROR(VLOOKUP($C17,' COM_2017_old'!$B$61:$AJ$120,MATCH(VLOOKUP("*"&amp;$AX17,$A$10:$J$11,$J$9,FALSE)&amp;AM$7,' COM_2017_old'!$B$58:$AJ$58,0),FALSE),""))</f>
        <v>0.95</v>
      </c>
      <c r="AN17" s="494">
        <f ca="1">IF($A17="*","",IFERROR(VLOOKUP($C17,' COM_2017_old'!$B$61:$AJ$120,MATCH(VLOOKUP("*"&amp;$AX17,$A$10:$J$11,$J$9,FALSE)&amp;AN$7,' COM_2017_old'!$B$58:$AJ$58,0),FALSE),""))</f>
        <v>1</v>
      </c>
      <c r="AO17" s="391" t="str">
        <f ca="1">IFERROR(VLOOKUP($C17,COM_2012!$B$61:$AH$120,MATCH(VLOOKUP("*"&amp;$AX17,$A$10:$J$11,$J$9,FALSE)&amp;AO$7,COM_2012!$B$58:$AH$58,0),FALSE),"")</f>
        <v/>
      </c>
      <c r="AP17" s="391" t="str">
        <f ca="1">IFERROR(VLOOKUP($C17,COM_2012!$B$61:$AH$120,MATCH(VLOOKUP("*"&amp;$AX17,$A$10:$J$11,$J$9,FALSE)&amp;AP$7,COM_2012!$B$58:$AH$58,0),FALSE),"")</f>
        <v/>
      </c>
      <c r="AQ17" s="391" t="str">
        <f ca="1">IFERROR(VLOOKUP($C17,COM_2012!$B$61:$AH$120,MATCH(VLOOKUP("*"&amp;$AX17,$A$10:$J$11,$J$9,FALSE)&amp;AQ$7,COM_2012!$B$58:$AH$58,0),FALSE),"")</f>
        <v/>
      </c>
      <c r="AR17" s="391" t="str">
        <f ca="1">IFERROR(VLOOKUP($C17,COM_2012!$B$61:$AH$120,MATCH(VLOOKUP("*"&amp;$AX17,$A$10:$J$11,$J$9,FALSE)&amp;AR$7,COM_2012!$B$58:$AH$58,0),FALSE),"")</f>
        <v/>
      </c>
      <c r="AS17" s="391" t="str">
        <f ca="1">IFERROR(VLOOKUP($C17,COM_2012!$B$61:$AH$120,MATCH(VLOOKUP("*"&amp;$AX17,$A$10:$J$11,$J$9,FALSE)&amp;AS$7,COM_2012!$B$58:$AH$58,0),FALSE),"")</f>
        <v/>
      </c>
      <c r="AT17" s="391" t="str">
        <f ca="1">IFERROR(VLOOKUP($C17,COM_2012!$B$61:$AH$120,MATCH(VLOOKUP("*"&amp;$AX17,$A$10:$J$11,$J$9,FALSE)&amp;AT$7,COM_2012!$B$58:$AH$58,0),FALSE),"")</f>
        <v/>
      </c>
      <c r="AU17" s="391" t="str">
        <f ca="1">IFERROR(VLOOKUP($C17,COM_2012!$B$61:$AH$120,MATCH(VLOOKUP("*"&amp;$AX17,$A$10:$J$11,$J$9,FALSE)&amp;AU$7,COM_2012!$B$58:$AH$58,0),FALSE),"")</f>
        <v/>
      </c>
      <c r="AV17" s="391" t="str">
        <f ca="1">IFERROR(VLOOKUP($C17,COM_2012!$B$61:$AH$120,MATCH(VLOOKUP("*"&amp;$AX17,$A$10:$J$11,$J$9,FALSE)&amp;AV$7,COM_2012!$B$58:$AH$58,0),FALSE),"")</f>
        <v/>
      </c>
      <c r="AW17" s="391" t="str">
        <f ca="1">IFERROR(VLOOKUP($C17,COM_2012!$B$61:$AH$120,MATCH(VLOOKUP("*"&amp;$AX17,$A$10:$J$11,$J$9,FALSE)&amp;AW$7,COM_2012!$B$58:$AH$58,0),FALSE),"")</f>
        <v/>
      </c>
      <c r="AX17" s="304">
        <f>IF(AY16=COM_2012!$AI$121,AX16+1,AX16)</f>
        <v>1</v>
      </c>
      <c r="AY17" s="304">
        <f t="shared" si="15"/>
        <v>5</v>
      </c>
    </row>
    <row r="18" spans="1:51">
      <c r="A18" s="304" t="str">
        <f ca="1">IF(LEFT(OFFSET(COM_2012!$A$60,AY18,0),2)="\I","*","")</f>
        <v/>
      </c>
      <c r="B18" s="369" t="str">
        <f t="shared" ca="1" si="3"/>
        <v>FLO_MRKPRD</v>
      </c>
      <c r="C18" s="369" t="str">
        <f ca="1">IF($A18="*","",OFFSET(COM_2012!$B$60,AY18,0))</f>
        <v>CECELCHP-N</v>
      </c>
      <c r="D18" s="369" t="str">
        <f t="shared" ca="1" si="14"/>
        <v>CEC</v>
      </c>
      <c r="E18" s="369" t="str">
        <f t="shared" ca="1" si="4"/>
        <v>-</v>
      </c>
      <c r="F18" s="370" t="str">
        <f t="shared" ca="1" si="5"/>
        <v>-</v>
      </c>
      <c r="G18" s="370" t="str">
        <f t="shared" ca="1" si="5"/>
        <v>ANNUAL</v>
      </c>
      <c r="H18" s="370" t="str">
        <f t="shared" ca="1" si="5"/>
        <v>UP</v>
      </c>
      <c r="I18" s="370">
        <f t="shared" ca="1" si="5"/>
        <v>0</v>
      </c>
      <c r="J18" s="494" t="str">
        <f>IF(J$7&lt;2020,"",IF(A18="*","",IFERROR(VLOOKUP($C18,COM_2012!$B$61:$AH$120,MATCH(VLOOKUP("*"&amp;$AX18,$A$10:$J$11,$J$9,FALSE)&amp;J$7,COM_2012!$B$58:$AH$58,0),FALSE),"")))</f>
        <v/>
      </c>
      <c r="K18" s="494" t="str">
        <f>IF(K$7&lt;2020,"",IF(B18="*","",IFERROR(VLOOKUP($C18,COM_2012!$B$61:$AH$120,MATCH(VLOOKUP("*"&amp;$AX18,$A$10:$J$11,$J$9,FALSE)&amp;K$7,COM_2012!$B$58:$AH$58,0),FALSE),"")))</f>
        <v/>
      </c>
      <c r="L18" s="494" t="str">
        <f>IF(L$7&lt;2020,"",IF(C18="*","",IFERROR(VLOOKUP($C18,COM_2012!$B$61:$AH$120,MATCH(VLOOKUP("*"&amp;$AX18,$A$10:$J$11,$J$9,FALSE)&amp;L$7,COM_2012!$B$58:$AH$58,0),FALSE),"")))</f>
        <v/>
      </c>
      <c r="M18" s="494" t="str">
        <f>IF(M$7&lt;2020,"",IF(D18="*","",IFERROR(VLOOKUP($C18,COM_2012!$B$61:$AH$120,MATCH(VLOOKUP("*"&amp;$AX18,$A$10:$J$11,$J$9,FALSE)&amp;M$7,COM_2012!$B$58:$AH$58,0),FALSE),"")))</f>
        <v/>
      </c>
      <c r="N18" s="494" t="str">
        <f ca="1">IFERROR(VLOOKUP($C18,COM_2012!$B$61:$AH$120,MATCH(VLOOKUP("*"&amp;$AX18,$A$10:$J$11,$J$9,FALSE)&amp;N$7,COM_2012!$B$58:$AH$58,0),FALSE),"")</f>
        <v/>
      </c>
      <c r="O18" s="494" t="str">
        <f>IF(O$7&lt;2020,"",IF($A18="*","",IFERROR(VLOOKUP($C18,' COM_2017_old'!$B$61:$AJ$120,MATCH(VLOOKUP("*"&amp;$AX18,$A$10:$J$11,$J$9,FALSE)&amp;O$7,' COM_2017_old'!$B$58:$AJ$58,0),FALSE),"")))</f>
        <v/>
      </c>
      <c r="P18" s="494" t="str">
        <f ca="1">IFERROR(VLOOKUP($C18,COM_2012!$B$61:$AH$120,MATCH(VLOOKUP("*"&amp;$AX18,$A$10:$J$11,$J$9,FALSE)&amp;P$7,COM_2012!$B$58:$AH$58,0),FALSE),"")</f>
        <v/>
      </c>
      <c r="Q18" s="494" t="str">
        <f ca="1">IFERROR(VLOOKUP($C18,COM_2012!$B$61:$AH$120,MATCH(VLOOKUP("*"&amp;$AX18,$A$10:$J$11,$J$9,FALSE)&amp;Q$7,COM_2012!$B$58:$AH$58,0),FALSE),"")</f>
        <v/>
      </c>
      <c r="R18" s="494">
        <f ca="1">IF($A18="*","",IFERROR(VLOOKUP($C18,' COM_2017_old'!$B$61:$AJ$120,MATCH(VLOOKUP("*"&amp;$AX18,$A$10:$J$11,$J$9,FALSE)&amp;R$7,' COM_2017_old'!$B$58:$AJ$58,0),FALSE),""))</f>
        <v>0.03</v>
      </c>
      <c r="S18" s="494">
        <f t="shared" ca="1" si="6"/>
        <v>4.3999999999999997E-2</v>
      </c>
      <c r="T18" s="494">
        <f t="shared" ca="1" si="7"/>
        <v>5.7999999999999996E-2</v>
      </c>
      <c r="U18" s="494">
        <f t="shared" ca="1" si="7"/>
        <v>7.1999999999999995E-2</v>
      </c>
      <c r="V18" s="494">
        <f t="shared" ca="1" si="7"/>
        <v>8.5999999999999993E-2</v>
      </c>
      <c r="W18" s="494">
        <f ca="1">IF($A18="*","",IFERROR(VLOOKUP($C18,' COM_2017_old'!$B$61:$AJ$120,MATCH(VLOOKUP("*"&amp;$AX18,$A$10:$J$11,$J$9,FALSE)&amp;W$7,' COM_2017_old'!$B$58:$AJ$58,0),FALSE),""))</f>
        <v>0.1</v>
      </c>
      <c r="X18" s="494">
        <f t="shared" ca="1" si="8"/>
        <v>0.14000000000000001</v>
      </c>
      <c r="Y18" s="494">
        <f t="shared" ca="1" si="9"/>
        <v>0.18</v>
      </c>
      <c r="Z18" s="494">
        <f t="shared" ca="1" si="9"/>
        <v>0.21999999999999997</v>
      </c>
      <c r="AA18" s="494">
        <f t="shared" ca="1" si="9"/>
        <v>0.25999999999999995</v>
      </c>
      <c r="AB18" s="494">
        <f ca="1">IF($A18="*","",IFERROR(VLOOKUP($C18,' COM_2017_old'!$B$61:$AJ$120,MATCH(VLOOKUP("*"&amp;$AX18,$A$10:$J$11,$J$9,FALSE)&amp;AB$7,' COM_2017_old'!$B$58:$AJ$58,0),FALSE),""))</f>
        <v>0.3</v>
      </c>
      <c r="AC18" s="494">
        <f t="shared" ca="1" si="10"/>
        <v>0.35</v>
      </c>
      <c r="AD18" s="494">
        <f t="shared" ca="1" si="11"/>
        <v>0.39999999999999997</v>
      </c>
      <c r="AE18" s="494">
        <f t="shared" ca="1" si="11"/>
        <v>0.44999999999999996</v>
      </c>
      <c r="AF18" s="494">
        <f t="shared" ca="1" si="11"/>
        <v>0.49999999999999994</v>
      </c>
      <c r="AG18" s="494">
        <f ca="1">IF($A18="*","",IFERROR(VLOOKUP($C18,' COM_2017_old'!$B$61:$AJ$120,MATCH(VLOOKUP("*"&amp;$AX18,$A$10:$J$11,$J$9,FALSE)&amp;AG$7,' COM_2017_old'!$B$58:$AJ$58,0),FALSE),""))</f>
        <v>0.55000000000000004</v>
      </c>
      <c r="AH18" s="494">
        <f t="shared" ca="1" si="12"/>
        <v>0.61</v>
      </c>
      <c r="AI18" s="494">
        <f t="shared" ca="1" si="13"/>
        <v>0.66999999999999993</v>
      </c>
      <c r="AJ18" s="494">
        <f t="shared" ca="1" si="13"/>
        <v>0.72999999999999987</v>
      </c>
      <c r="AK18" s="494">
        <f t="shared" ca="1" si="13"/>
        <v>0.78999999999999981</v>
      </c>
      <c r="AL18" s="494">
        <f ca="1">IF($A18="*","",IFERROR(VLOOKUP($C18,' COM_2017_old'!$B$61:$AJ$120,MATCH(VLOOKUP("*"&amp;$AX18,$A$10:$J$11,$J$9,FALSE)&amp;AL$7,' COM_2017_old'!$B$58:$AJ$58,0),FALSE),""))</f>
        <v>0.85</v>
      </c>
      <c r="AM18" s="494">
        <f ca="1">IF($A18="*","",IFERROR(VLOOKUP($C18,' COM_2017_old'!$B$61:$AJ$120,MATCH(VLOOKUP("*"&amp;$AX18,$A$10:$J$11,$J$9,FALSE)&amp;AM$7,' COM_2017_old'!$B$58:$AJ$58,0),FALSE),""))</f>
        <v>0.95</v>
      </c>
      <c r="AN18" s="494">
        <f ca="1">IF($A18="*","",IFERROR(VLOOKUP($C18,' COM_2017_old'!$B$61:$AJ$120,MATCH(VLOOKUP("*"&amp;$AX18,$A$10:$J$11,$J$9,FALSE)&amp;AN$7,' COM_2017_old'!$B$58:$AJ$58,0),FALSE),""))</f>
        <v>1</v>
      </c>
      <c r="AO18" s="391" t="str">
        <f ca="1">IFERROR(VLOOKUP($C18,COM_2012!$B$61:$AH$120,MATCH(VLOOKUP("*"&amp;$AX18,$A$10:$J$11,$J$9,FALSE)&amp;AO$7,COM_2012!$B$58:$AH$58,0),FALSE),"")</f>
        <v/>
      </c>
      <c r="AP18" s="391" t="str">
        <f ca="1">IFERROR(VLOOKUP($C18,COM_2012!$B$61:$AH$120,MATCH(VLOOKUP("*"&amp;$AX18,$A$10:$J$11,$J$9,FALSE)&amp;AP$7,COM_2012!$B$58:$AH$58,0),FALSE),"")</f>
        <v/>
      </c>
      <c r="AQ18" s="391" t="str">
        <f ca="1">IFERROR(VLOOKUP($C18,COM_2012!$B$61:$AH$120,MATCH(VLOOKUP("*"&amp;$AX18,$A$10:$J$11,$J$9,FALSE)&amp;AQ$7,COM_2012!$B$58:$AH$58,0),FALSE),"")</f>
        <v/>
      </c>
      <c r="AR18" s="391" t="str">
        <f ca="1">IFERROR(VLOOKUP($C18,COM_2012!$B$61:$AH$120,MATCH(VLOOKUP("*"&amp;$AX18,$A$10:$J$11,$J$9,FALSE)&amp;AR$7,COM_2012!$B$58:$AH$58,0),FALSE),"")</f>
        <v/>
      </c>
      <c r="AS18" s="391" t="str">
        <f ca="1">IFERROR(VLOOKUP($C18,COM_2012!$B$61:$AH$120,MATCH(VLOOKUP("*"&amp;$AX18,$A$10:$J$11,$J$9,FALSE)&amp;AS$7,COM_2012!$B$58:$AH$58,0),FALSE),"")</f>
        <v/>
      </c>
      <c r="AT18" s="391" t="str">
        <f ca="1">IFERROR(VLOOKUP($C18,COM_2012!$B$61:$AH$120,MATCH(VLOOKUP("*"&amp;$AX18,$A$10:$J$11,$J$9,FALSE)&amp;AT$7,COM_2012!$B$58:$AH$58,0),FALSE),"")</f>
        <v/>
      </c>
      <c r="AU18" s="391" t="str">
        <f ca="1">IFERROR(VLOOKUP($C18,COM_2012!$B$61:$AH$120,MATCH(VLOOKUP("*"&amp;$AX18,$A$10:$J$11,$J$9,FALSE)&amp;AU$7,COM_2012!$B$58:$AH$58,0),FALSE),"")</f>
        <v/>
      </c>
      <c r="AV18" s="391" t="str">
        <f ca="1">IFERROR(VLOOKUP($C18,COM_2012!$B$61:$AH$120,MATCH(VLOOKUP("*"&amp;$AX18,$A$10:$J$11,$J$9,FALSE)&amp;AV$7,COM_2012!$B$58:$AH$58,0),FALSE),"")</f>
        <v/>
      </c>
      <c r="AW18" s="391" t="str">
        <f ca="1">IFERROR(VLOOKUP($C18,COM_2012!$B$61:$AH$120,MATCH(VLOOKUP("*"&amp;$AX18,$A$10:$J$11,$J$9,FALSE)&amp;AW$7,COM_2012!$B$58:$AH$58,0),FALSE),"")</f>
        <v/>
      </c>
      <c r="AX18" s="304">
        <f>IF(AY17=COM_2012!$AI$121,AX17+1,AX17)</f>
        <v>1</v>
      </c>
      <c r="AY18" s="304">
        <f t="shared" si="15"/>
        <v>6</v>
      </c>
    </row>
    <row r="19" spans="1:51">
      <c r="A19" s="304" t="str">
        <f ca="1">IF(LEFT(OFFSET(COM_2012!$A$60,AY19,0),2)="\I","*","")</f>
        <v>*</v>
      </c>
      <c r="B19" s="369" t="str">
        <f t="shared" ca="1" si="3"/>
        <v/>
      </c>
      <c r="C19" s="369" t="str">
        <f ca="1">IF($A19="*","",OFFSET(COM_2012!$B$60,AY19,0))</f>
        <v/>
      </c>
      <c r="D19" s="369" t="str">
        <f t="shared" ca="1" si="14"/>
        <v/>
      </c>
      <c r="E19" s="369" t="str">
        <f t="shared" ca="1" si="4"/>
        <v/>
      </c>
      <c r="F19" s="370" t="str">
        <f t="shared" ca="1" si="5"/>
        <v/>
      </c>
      <c r="G19" s="370" t="str">
        <f t="shared" ca="1" si="5"/>
        <v/>
      </c>
      <c r="H19" s="370" t="str">
        <f t="shared" ca="1" si="5"/>
        <v/>
      </c>
      <c r="I19" s="370" t="str">
        <f t="shared" ca="1" si="5"/>
        <v/>
      </c>
      <c r="J19" s="494" t="str">
        <f>IF(J$7&lt;2020,"",IF(A19="*","",IFERROR(VLOOKUP($C19,COM_2012!$B$61:$AH$120,MATCH(VLOOKUP("*"&amp;$AX19,$A$10:$J$11,$J$9,FALSE)&amp;J$7,COM_2012!$B$58:$AH$58,0),FALSE),"")))</f>
        <v/>
      </c>
      <c r="K19" s="494" t="str">
        <f>IF(K$7&lt;2020,"",IF(B19="*","",IFERROR(VLOOKUP($C19,COM_2012!$B$61:$AH$120,MATCH(VLOOKUP("*"&amp;$AX19,$A$10:$J$11,$J$9,FALSE)&amp;K$7,COM_2012!$B$58:$AH$58,0),FALSE),"")))</f>
        <v/>
      </c>
      <c r="L19" s="494" t="str">
        <f>IF(L$7&lt;2020,"",IF(C19="*","",IFERROR(VLOOKUP($C19,COM_2012!$B$61:$AH$120,MATCH(VLOOKUP("*"&amp;$AX19,$A$10:$J$11,$J$9,FALSE)&amp;L$7,COM_2012!$B$58:$AH$58,0),FALSE),"")))</f>
        <v/>
      </c>
      <c r="M19" s="494" t="str">
        <f>IF(M$7&lt;2020,"",IF(D19="*","",IFERROR(VLOOKUP($C19,COM_2012!$B$61:$AH$120,MATCH(VLOOKUP("*"&amp;$AX19,$A$10:$J$11,$J$9,FALSE)&amp;M$7,COM_2012!$B$58:$AH$58,0),FALSE),"")))</f>
        <v/>
      </c>
      <c r="N19" s="494" t="str">
        <f ca="1">IFERROR(VLOOKUP($C19,COM_2012!$B$61:$AH$120,MATCH(VLOOKUP("*"&amp;$AX19,$A$10:$J$11,$J$9,FALSE)&amp;N$7,COM_2012!$B$58:$AH$58,0),FALSE),"")</f>
        <v/>
      </c>
      <c r="O19" s="494" t="str">
        <f>IF(O$7&lt;2020,"",IF($A19="*","",IFERROR(VLOOKUP($C19,' COM_2017_old'!$B$61:$AJ$120,MATCH(VLOOKUP("*"&amp;$AX19,$A$10:$J$11,$J$9,FALSE)&amp;O$7,' COM_2017_old'!$B$58:$AJ$58,0),FALSE),"")))</f>
        <v/>
      </c>
      <c r="P19" s="494" t="str">
        <f ca="1">IFERROR(VLOOKUP($C19,COM_2012!$B$61:$AH$120,MATCH(VLOOKUP("*"&amp;$AX19,$A$10:$J$11,$J$9,FALSE)&amp;P$7,COM_2012!$B$58:$AH$58,0),FALSE),"")</f>
        <v/>
      </c>
      <c r="Q19" s="494" t="str">
        <f ca="1">IFERROR(VLOOKUP($C19,COM_2012!$B$61:$AH$120,MATCH(VLOOKUP("*"&amp;$AX19,$A$10:$J$11,$J$9,FALSE)&amp;Q$7,COM_2012!$B$58:$AH$58,0),FALSE),"")</f>
        <v/>
      </c>
      <c r="R19" s="494"/>
      <c r="S19" s="494" t="str">
        <f t="shared" ca="1" si="6"/>
        <v/>
      </c>
      <c r="T19" s="494" t="str">
        <f t="shared" ca="1" si="7"/>
        <v/>
      </c>
      <c r="U19" s="494" t="str">
        <f t="shared" ca="1" si="7"/>
        <v/>
      </c>
      <c r="V19" s="494" t="str">
        <f t="shared" ca="1" si="7"/>
        <v/>
      </c>
      <c r="W19" s="494" t="str">
        <f ca="1">IF($A19="*","",IFERROR(VLOOKUP($C19,' COM_2017_old'!$B$61:$AJ$120,MATCH(VLOOKUP("*"&amp;$AX19,$A$10:$J$11,$J$9,FALSE)&amp;W$7,' COM_2017_old'!$B$58:$AJ$58,0),FALSE),""))</f>
        <v/>
      </c>
      <c r="X19" s="494" t="str">
        <f t="shared" ca="1" si="8"/>
        <v/>
      </c>
      <c r="Y19" s="494" t="str">
        <f t="shared" ca="1" si="9"/>
        <v/>
      </c>
      <c r="Z19" s="494" t="str">
        <f t="shared" ca="1" si="9"/>
        <v/>
      </c>
      <c r="AA19" s="494" t="str">
        <f t="shared" ca="1" si="9"/>
        <v/>
      </c>
      <c r="AB19" s="494" t="str">
        <f ca="1">IF($A19="*","",IFERROR(VLOOKUP($C19,' COM_2017_old'!$B$61:$AJ$120,MATCH(VLOOKUP("*"&amp;$AX19,$A$10:$J$11,$J$9,FALSE)&amp;AB$7,' COM_2017_old'!$B$58:$AJ$58,0),FALSE),""))</f>
        <v/>
      </c>
      <c r="AC19" s="494" t="str">
        <f t="shared" ca="1" si="10"/>
        <v/>
      </c>
      <c r="AD19" s="494" t="str">
        <f t="shared" ca="1" si="11"/>
        <v/>
      </c>
      <c r="AE19" s="494" t="str">
        <f t="shared" ca="1" si="11"/>
        <v/>
      </c>
      <c r="AF19" s="494" t="str">
        <f t="shared" ca="1" si="11"/>
        <v/>
      </c>
      <c r="AG19" s="494" t="str">
        <f ca="1">IF($A19="*","",IFERROR(VLOOKUP($C19,' COM_2017_old'!$B$61:$AJ$120,MATCH(VLOOKUP("*"&amp;$AX19,$A$10:$J$11,$J$9,FALSE)&amp;AG$7,' COM_2017_old'!$B$58:$AJ$58,0),FALSE),""))</f>
        <v/>
      </c>
      <c r="AH19" s="494" t="str">
        <f t="shared" ca="1" si="12"/>
        <v/>
      </c>
      <c r="AI19" s="494" t="str">
        <f t="shared" ca="1" si="13"/>
        <v/>
      </c>
      <c r="AJ19" s="494" t="str">
        <f t="shared" ca="1" si="13"/>
        <v/>
      </c>
      <c r="AK19" s="494" t="str">
        <f t="shared" ca="1" si="13"/>
        <v/>
      </c>
      <c r="AL19" s="494" t="str">
        <f ca="1">IF($A19="*","",IFERROR(VLOOKUP($C19,' COM_2017_old'!$B$61:$AJ$120,MATCH(VLOOKUP("*"&amp;$AX19,$A$10:$J$11,$J$9,FALSE)&amp;AL$7,' COM_2017_old'!$B$58:$AJ$58,0),FALSE),""))</f>
        <v/>
      </c>
      <c r="AM19" s="494" t="str">
        <f ca="1">IF($A19="*","",IFERROR(VLOOKUP($C19,' COM_2017_old'!$B$61:$AJ$120,MATCH(VLOOKUP("*"&amp;$AX19,$A$10:$J$11,$J$9,FALSE)&amp;AM$7,' COM_2017_old'!$B$58:$AJ$58,0),FALSE),""))</f>
        <v/>
      </c>
      <c r="AN19" s="494" t="str">
        <f ca="1">IF($A19="*","",IFERROR(VLOOKUP($C19,' COM_2017_old'!$B$61:$AJ$120,MATCH(VLOOKUP("*"&amp;$AX19,$A$10:$J$11,$J$9,FALSE)&amp;AN$7,' COM_2017_old'!$B$58:$AJ$58,0),FALSE),""))</f>
        <v/>
      </c>
      <c r="AO19" s="391" t="str">
        <f ca="1">IFERROR(VLOOKUP($C19,COM_2012!$B$61:$AH$120,MATCH(VLOOKUP("*"&amp;$AX19,$A$10:$J$11,$J$9,FALSE)&amp;AO$7,COM_2012!$B$58:$AH$58,0),FALSE),"")</f>
        <v/>
      </c>
      <c r="AP19" s="391" t="str">
        <f ca="1">IFERROR(VLOOKUP($C19,COM_2012!$B$61:$AH$120,MATCH(VLOOKUP("*"&amp;$AX19,$A$10:$J$11,$J$9,FALSE)&amp;AP$7,COM_2012!$B$58:$AH$58,0),FALSE),"")</f>
        <v/>
      </c>
      <c r="AQ19" s="391" t="str">
        <f ca="1">IFERROR(VLOOKUP($C19,COM_2012!$B$61:$AH$120,MATCH(VLOOKUP("*"&amp;$AX19,$A$10:$J$11,$J$9,FALSE)&amp;AQ$7,COM_2012!$B$58:$AH$58,0),FALSE),"")</f>
        <v/>
      </c>
      <c r="AR19" s="391" t="str">
        <f ca="1">IFERROR(VLOOKUP($C19,COM_2012!$B$61:$AH$120,MATCH(VLOOKUP("*"&amp;$AX19,$A$10:$J$11,$J$9,FALSE)&amp;AR$7,COM_2012!$B$58:$AH$58,0),FALSE),"")</f>
        <v/>
      </c>
      <c r="AS19" s="391" t="str">
        <f ca="1">IFERROR(VLOOKUP($C19,COM_2012!$B$61:$AH$120,MATCH(VLOOKUP("*"&amp;$AX19,$A$10:$J$11,$J$9,FALSE)&amp;AS$7,COM_2012!$B$58:$AH$58,0),FALSE),"")</f>
        <v/>
      </c>
      <c r="AT19" s="391" t="str">
        <f ca="1">IFERROR(VLOOKUP($C19,COM_2012!$B$61:$AH$120,MATCH(VLOOKUP("*"&amp;$AX19,$A$10:$J$11,$J$9,FALSE)&amp;AT$7,COM_2012!$B$58:$AH$58,0),FALSE),"")</f>
        <v/>
      </c>
      <c r="AU19" s="391" t="str">
        <f ca="1">IFERROR(VLOOKUP($C19,COM_2012!$B$61:$AH$120,MATCH(VLOOKUP("*"&amp;$AX19,$A$10:$J$11,$J$9,FALSE)&amp;AU$7,COM_2012!$B$58:$AH$58,0),FALSE),"")</f>
        <v/>
      </c>
      <c r="AV19" s="391" t="str">
        <f ca="1">IFERROR(VLOOKUP($C19,COM_2012!$B$61:$AH$120,MATCH(VLOOKUP("*"&amp;$AX19,$A$10:$J$11,$J$9,FALSE)&amp;AV$7,COM_2012!$B$58:$AH$58,0),FALSE),"")</f>
        <v/>
      </c>
      <c r="AW19" s="391" t="str">
        <f ca="1">IFERROR(VLOOKUP($C19,COM_2012!$B$61:$AH$120,MATCH(VLOOKUP("*"&amp;$AX19,$A$10:$J$11,$J$9,FALSE)&amp;AW$7,COM_2012!$B$58:$AH$58,0),FALSE),"")</f>
        <v/>
      </c>
      <c r="AX19" s="304">
        <f>IF(AY18=COM_2012!$AI$121,AX18+1,AX18)</f>
        <v>1</v>
      </c>
      <c r="AY19" s="304">
        <f t="shared" si="15"/>
        <v>7</v>
      </c>
    </row>
    <row r="20" spans="1:51">
      <c r="A20" s="304" t="str">
        <f ca="1">IF(LEFT(OFFSET(COM_2012!$A$60,AY20,0),2)="\I","*","")</f>
        <v>*</v>
      </c>
      <c r="B20" s="369" t="str">
        <f t="shared" ca="1" si="3"/>
        <v/>
      </c>
      <c r="C20" s="369" t="str">
        <f ca="1">IF($A20="*","",OFFSET(COM_2012!$B$60,AY20,0))</f>
        <v/>
      </c>
      <c r="D20" s="369" t="str">
        <f t="shared" ca="1" si="14"/>
        <v/>
      </c>
      <c r="E20" s="369" t="str">
        <f t="shared" ca="1" si="4"/>
        <v/>
      </c>
      <c r="F20" s="370" t="str">
        <f t="shared" ca="1" si="5"/>
        <v/>
      </c>
      <c r="G20" s="370" t="str">
        <f t="shared" ca="1" si="5"/>
        <v/>
      </c>
      <c r="H20" s="370" t="str">
        <f t="shared" ca="1" si="5"/>
        <v/>
      </c>
      <c r="I20" s="370" t="str">
        <f t="shared" ca="1" si="5"/>
        <v/>
      </c>
      <c r="J20" s="494" t="str">
        <f>IF(J$7&lt;2020,"",IF(A20="*","",IFERROR(VLOOKUP($C20,COM_2012!$B$61:$AH$120,MATCH(VLOOKUP("*"&amp;$AX20,$A$10:$J$11,$J$9,FALSE)&amp;J$7,COM_2012!$B$58:$AH$58,0),FALSE),"")))</f>
        <v/>
      </c>
      <c r="K20" s="494" t="str">
        <f>IF(K$7&lt;2020,"",IF(B20="*","",IFERROR(VLOOKUP($C20,COM_2012!$B$61:$AH$120,MATCH(VLOOKUP("*"&amp;$AX20,$A$10:$J$11,$J$9,FALSE)&amp;K$7,COM_2012!$B$58:$AH$58,0),FALSE),"")))</f>
        <v/>
      </c>
      <c r="L20" s="494" t="str">
        <f>IF(L$7&lt;2020,"",IF(C20="*","",IFERROR(VLOOKUP($C20,COM_2012!$B$61:$AH$120,MATCH(VLOOKUP("*"&amp;$AX20,$A$10:$J$11,$J$9,FALSE)&amp;L$7,COM_2012!$B$58:$AH$58,0),FALSE),"")))</f>
        <v/>
      </c>
      <c r="M20" s="494" t="str">
        <f>IF(M$7&lt;2020,"",IF(D20="*","",IFERROR(VLOOKUP($C20,COM_2012!$B$61:$AH$120,MATCH(VLOOKUP("*"&amp;$AX20,$A$10:$J$11,$J$9,FALSE)&amp;M$7,COM_2012!$B$58:$AH$58,0),FALSE),"")))</f>
        <v/>
      </c>
      <c r="N20" s="494" t="str">
        <f ca="1">IFERROR(VLOOKUP($C20,COM_2012!$B$61:$AH$120,MATCH(VLOOKUP("*"&amp;$AX20,$A$10:$J$11,$J$9,FALSE)&amp;N$7,COM_2012!$B$58:$AH$58,0),FALSE),"")</f>
        <v/>
      </c>
      <c r="O20" s="494" t="str">
        <f>IF(O$7&lt;2020,"",IF($A20="*","",IFERROR(VLOOKUP($C20,' COM_2017_old'!$B$61:$AJ$120,MATCH(VLOOKUP("*"&amp;$AX20,$A$10:$J$11,$J$9,FALSE)&amp;O$7,' COM_2017_old'!$B$58:$AJ$58,0),FALSE),"")))</f>
        <v/>
      </c>
      <c r="P20" s="494" t="str">
        <f ca="1">IFERROR(VLOOKUP($C20,COM_2012!$B$61:$AH$120,MATCH(VLOOKUP("*"&amp;$AX20,$A$10:$J$11,$J$9,FALSE)&amp;P$7,COM_2012!$B$58:$AH$58,0),FALSE),"")</f>
        <v/>
      </c>
      <c r="Q20" s="494" t="str">
        <f ca="1">IFERROR(VLOOKUP($C20,COM_2012!$B$61:$AH$120,MATCH(VLOOKUP("*"&amp;$AX20,$A$10:$J$11,$J$9,FALSE)&amp;Q$7,COM_2012!$B$58:$AH$58,0),FALSE),"")</f>
        <v/>
      </c>
      <c r="R20" s="494" t="str">
        <f ca="1">IF($A20="*","",IFERROR(VLOOKUP($C20,' COM_2017_old'!$B$61:$AJ$120,MATCH(VLOOKUP("*"&amp;$AX20,$A$10:$J$11,$J$9,FALSE)&amp;R$7,' COM_2017_old'!$B$58:$AJ$58,0),FALSE),""))</f>
        <v/>
      </c>
      <c r="S20" s="494" t="str">
        <f t="shared" ca="1" si="6"/>
        <v/>
      </c>
      <c r="T20" s="494" t="str">
        <f t="shared" ca="1" si="7"/>
        <v/>
      </c>
      <c r="U20" s="494" t="str">
        <f t="shared" ca="1" si="7"/>
        <v/>
      </c>
      <c r="V20" s="494" t="str">
        <f t="shared" ca="1" si="7"/>
        <v/>
      </c>
      <c r="W20" s="494" t="str">
        <f ca="1">IF($A20="*","",IFERROR(VLOOKUP($C20,' COM_2017_old'!$B$61:$AJ$120,MATCH(VLOOKUP("*"&amp;$AX20,$A$10:$J$11,$J$9,FALSE)&amp;W$7,' COM_2017_old'!$B$58:$AJ$58,0),FALSE),""))</f>
        <v/>
      </c>
      <c r="X20" s="494" t="str">
        <f t="shared" ca="1" si="8"/>
        <v/>
      </c>
      <c r="Y20" s="494" t="str">
        <f t="shared" ca="1" si="9"/>
        <v/>
      </c>
      <c r="Z20" s="494" t="str">
        <f t="shared" ca="1" si="9"/>
        <v/>
      </c>
      <c r="AA20" s="494" t="str">
        <f t="shared" ca="1" si="9"/>
        <v/>
      </c>
      <c r="AB20" s="494" t="str">
        <f ca="1">IF($A20="*","",IFERROR(VLOOKUP($C20,' COM_2017_old'!$B$61:$AJ$120,MATCH(VLOOKUP("*"&amp;$AX20,$A$10:$J$11,$J$9,FALSE)&amp;AB$7,' COM_2017_old'!$B$58:$AJ$58,0),FALSE),""))</f>
        <v/>
      </c>
      <c r="AC20" s="494" t="str">
        <f t="shared" ca="1" si="10"/>
        <v/>
      </c>
      <c r="AD20" s="494" t="str">
        <f t="shared" ca="1" si="11"/>
        <v/>
      </c>
      <c r="AE20" s="494" t="str">
        <f t="shared" ca="1" si="11"/>
        <v/>
      </c>
      <c r="AF20" s="494" t="str">
        <f t="shared" ca="1" si="11"/>
        <v/>
      </c>
      <c r="AG20" s="494" t="str">
        <f ca="1">IF($A20="*","",IFERROR(VLOOKUP($C20,' COM_2017_old'!$B$61:$AJ$120,MATCH(VLOOKUP("*"&amp;$AX20,$A$10:$J$11,$J$9,FALSE)&amp;AG$7,' COM_2017_old'!$B$58:$AJ$58,0),FALSE),""))</f>
        <v/>
      </c>
      <c r="AH20" s="494" t="str">
        <f t="shared" ca="1" si="12"/>
        <v/>
      </c>
      <c r="AI20" s="494" t="str">
        <f t="shared" ca="1" si="13"/>
        <v/>
      </c>
      <c r="AJ20" s="494" t="str">
        <f t="shared" ca="1" si="13"/>
        <v/>
      </c>
      <c r="AK20" s="494" t="str">
        <f t="shared" ca="1" si="13"/>
        <v/>
      </c>
      <c r="AL20" s="494" t="str">
        <f ca="1">IF($A20="*","",IFERROR(VLOOKUP($C20,' COM_2017_old'!$B$61:$AJ$120,MATCH(VLOOKUP("*"&amp;$AX20,$A$10:$J$11,$J$9,FALSE)&amp;AL$7,' COM_2017_old'!$B$58:$AJ$58,0),FALSE),""))</f>
        <v/>
      </c>
      <c r="AM20" s="494" t="str">
        <f ca="1">IF($A20="*","",IFERROR(VLOOKUP($C20,' COM_2017_old'!$B$61:$AJ$120,MATCH(VLOOKUP("*"&amp;$AX20,$A$10:$J$11,$J$9,FALSE)&amp;AM$7,' COM_2017_old'!$B$58:$AJ$58,0),FALSE),""))</f>
        <v/>
      </c>
      <c r="AN20" s="494" t="str">
        <f ca="1">IF($A20="*","",IFERROR(VLOOKUP($C20,' COM_2017_old'!$B$61:$AJ$120,MATCH(VLOOKUP("*"&amp;$AX20,$A$10:$J$11,$J$9,FALSE)&amp;AN$7,' COM_2017_old'!$B$58:$AJ$58,0),FALSE),""))</f>
        <v/>
      </c>
      <c r="AO20" s="391" t="str">
        <f ca="1">IFERROR(VLOOKUP($C20,COM_2012!$B$61:$AH$120,MATCH(VLOOKUP("*"&amp;$AX20,$A$10:$J$11,$J$9,FALSE)&amp;AO$7,COM_2012!$B$58:$AH$58,0),FALSE),"")</f>
        <v/>
      </c>
      <c r="AP20" s="391" t="str">
        <f ca="1">IFERROR(VLOOKUP($C20,COM_2012!$B$61:$AH$120,MATCH(VLOOKUP("*"&amp;$AX20,$A$10:$J$11,$J$9,FALSE)&amp;AP$7,COM_2012!$B$58:$AH$58,0),FALSE),"")</f>
        <v/>
      </c>
      <c r="AQ20" s="391" t="str">
        <f ca="1">IFERROR(VLOOKUP($C20,COM_2012!$B$61:$AH$120,MATCH(VLOOKUP("*"&amp;$AX20,$A$10:$J$11,$J$9,FALSE)&amp;AQ$7,COM_2012!$B$58:$AH$58,0),FALSE),"")</f>
        <v/>
      </c>
      <c r="AR20" s="391" t="str">
        <f ca="1">IFERROR(VLOOKUP($C20,COM_2012!$B$61:$AH$120,MATCH(VLOOKUP("*"&amp;$AX20,$A$10:$J$11,$J$9,FALSE)&amp;AR$7,COM_2012!$B$58:$AH$58,0),FALSE),"")</f>
        <v/>
      </c>
      <c r="AS20" s="391" t="str">
        <f ca="1">IFERROR(VLOOKUP($C20,COM_2012!$B$61:$AH$120,MATCH(VLOOKUP("*"&amp;$AX20,$A$10:$J$11,$J$9,FALSE)&amp;AS$7,COM_2012!$B$58:$AH$58,0),FALSE),"")</f>
        <v/>
      </c>
      <c r="AT20" s="391" t="str">
        <f ca="1">IFERROR(VLOOKUP($C20,COM_2012!$B$61:$AH$120,MATCH(VLOOKUP("*"&amp;$AX20,$A$10:$J$11,$J$9,FALSE)&amp;AT$7,COM_2012!$B$58:$AH$58,0),FALSE),"")</f>
        <v/>
      </c>
      <c r="AU20" s="391" t="str">
        <f ca="1">IFERROR(VLOOKUP($C20,COM_2012!$B$61:$AH$120,MATCH(VLOOKUP("*"&amp;$AX20,$A$10:$J$11,$J$9,FALSE)&amp;AU$7,COM_2012!$B$58:$AH$58,0),FALSE),"")</f>
        <v/>
      </c>
      <c r="AV20" s="391" t="str">
        <f ca="1">IFERROR(VLOOKUP($C20,COM_2012!$B$61:$AH$120,MATCH(VLOOKUP("*"&amp;$AX20,$A$10:$J$11,$J$9,FALSE)&amp;AV$7,COM_2012!$B$58:$AH$58,0),FALSE),"")</f>
        <v/>
      </c>
      <c r="AW20" s="391" t="str">
        <f ca="1">IFERROR(VLOOKUP($C20,COM_2012!$B$61:$AH$120,MATCH(VLOOKUP("*"&amp;$AX20,$A$10:$J$11,$J$9,FALSE)&amp;AW$7,COM_2012!$B$58:$AH$58,0),FALSE),"")</f>
        <v/>
      </c>
      <c r="AX20" s="304">
        <f>IF(AY19=COM_2012!$AI$121,AX19+1,AX19)</f>
        <v>1</v>
      </c>
      <c r="AY20" s="304">
        <f t="shared" si="15"/>
        <v>8</v>
      </c>
    </row>
    <row r="21" spans="1:51">
      <c r="A21" s="304" t="str">
        <f ca="1">IF(LEFT(OFFSET(COM_2012!$A$60,AY21,0),2)="\I","*","")</f>
        <v/>
      </c>
      <c r="B21" s="369" t="str">
        <f t="shared" ca="1" si="3"/>
        <v>FLO_MRKPRD</v>
      </c>
      <c r="C21" s="369" t="str">
        <f ca="1">IF($A21="*","",OFFSET(COM_2012!$B$60,AY21,0))</f>
        <v>CEHCOA-E</v>
      </c>
      <c r="D21" s="369" t="str">
        <f t="shared" ca="1" si="14"/>
        <v>CEH</v>
      </c>
      <c r="E21" s="369" t="str">
        <f t="shared" ca="1" si="4"/>
        <v>-</v>
      </c>
      <c r="F21" s="370" t="str">
        <f t="shared" ca="1" si="5"/>
        <v>-</v>
      </c>
      <c r="G21" s="370" t="str">
        <f t="shared" ca="1" si="5"/>
        <v>ANNUAL</v>
      </c>
      <c r="H21" s="370" t="str">
        <f t="shared" ca="1" si="5"/>
        <v>UP</v>
      </c>
      <c r="I21" s="370">
        <f t="shared" ca="1" si="5"/>
        <v>0</v>
      </c>
      <c r="J21" s="494" t="str">
        <f>IF(J$7&lt;2020,"",IF(A21="*","",IFERROR(VLOOKUP($C21,COM_2012!$B$61:$AH$120,MATCH(VLOOKUP("*"&amp;$AX21,$A$10:$J$11,$J$9,FALSE)&amp;J$7,COM_2012!$B$58:$AH$58,0),FALSE),"")))</f>
        <v/>
      </c>
      <c r="K21" s="494" t="str">
        <f>IF(K$7&lt;2020,"",IF(B21="*","",IFERROR(VLOOKUP($C21,COM_2012!$B$61:$AH$120,MATCH(VLOOKUP("*"&amp;$AX21,$A$10:$J$11,$J$9,FALSE)&amp;K$7,COM_2012!$B$58:$AH$58,0),FALSE),"")))</f>
        <v/>
      </c>
      <c r="L21" s="494" t="str">
        <f>IF(L$7&lt;2020,"",IF(C21="*","",IFERROR(VLOOKUP($C21,COM_2012!$B$61:$AH$120,MATCH(VLOOKUP("*"&amp;$AX21,$A$10:$J$11,$J$9,FALSE)&amp;L$7,COM_2012!$B$58:$AH$58,0),FALSE),"")))</f>
        <v/>
      </c>
      <c r="M21" s="494" t="str">
        <f>IF(M$7&lt;2020,"",IF(D21="*","",IFERROR(VLOOKUP($C21,COM_2012!$B$61:$AH$120,MATCH(VLOOKUP("*"&amp;$AX21,$A$10:$J$11,$J$9,FALSE)&amp;M$7,COM_2012!$B$58:$AH$58,0),FALSE),"")))</f>
        <v/>
      </c>
      <c r="N21" s="494" t="str">
        <f ca="1">IFERROR(VLOOKUP($C21,COM_2012!$B$61:$AH$120,MATCH(VLOOKUP("*"&amp;$AX21,$A$10:$J$11,$J$9,FALSE)&amp;N$7,COM_2012!$B$58:$AH$58,0),FALSE),"")</f>
        <v/>
      </c>
      <c r="O21" s="494" t="str">
        <f>IF(O$7&lt;2020,"",IF($A21="*","",IFERROR(VLOOKUP($C21,' COM_2017_old'!$B$61:$AJ$120,MATCH(VLOOKUP("*"&amp;$AX21,$A$10:$J$11,$J$9,FALSE)&amp;O$7,' COM_2017_old'!$B$58:$AJ$58,0),FALSE),"")))</f>
        <v/>
      </c>
      <c r="P21" s="494" t="str">
        <f ca="1">IFERROR(VLOOKUP($C21,COM_2012!$B$61:$AH$120,MATCH(VLOOKUP("*"&amp;$AX21,$A$10:$J$11,$J$9,FALSE)&amp;P$7,COM_2012!$B$58:$AH$58,0),FALSE),"")</f>
        <v/>
      </c>
      <c r="Q21" s="494" t="str">
        <f ca="1">IFERROR(VLOOKUP($C21,COM_2012!$B$61:$AH$120,MATCH(VLOOKUP("*"&amp;$AX21,$A$10:$J$11,$J$9,FALSE)&amp;Q$7,COM_2012!$B$58:$AH$58,0),FALSE),"")</f>
        <v/>
      </c>
      <c r="R21" s="494">
        <f ca="1">IF($A21="*","",IFERROR(VLOOKUP($C21,' COM_2017_old'!$B$61:$AJ$120,MATCH(VLOOKUP("*"&amp;$AX21,$A$10:$J$11,$J$9,FALSE)&amp;R$7,' COM_2017_old'!$B$58:$AJ$58,0),FALSE),""))</f>
        <v>0.7948697920967317</v>
      </c>
      <c r="S21" s="494">
        <f t="shared" ca="1" si="6"/>
        <v>0.80886979209673171</v>
      </c>
      <c r="T21" s="494">
        <f t="shared" ca="1" si="7"/>
        <v>0.82286979209673172</v>
      </c>
      <c r="U21" s="494">
        <f t="shared" ca="1" si="7"/>
        <v>0.83686979209673173</v>
      </c>
      <c r="V21" s="494">
        <f t="shared" ca="1" si="7"/>
        <v>0.85086979209673175</v>
      </c>
      <c r="W21" s="494">
        <f ca="1">IF($A21="*","",IFERROR(VLOOKUP($C21,' COM_2017_old'!$B$61:$AJ$120,MATCH(VLOOKUP("*"&amp;$AX21,$A$10:$J$11,$J$9,FALSE)&amp;W$7,' COM_2017_old'!$B$58:$AJ$58,0),FALSE),""))</f>
        <v>0.86486979209673165</v>
      </c>
      <c r="X21" s="494">
        <f t="shared" ca="1" si="8"/>
        <v>0.89189583367738534</v>
      </c>
      <c r="Y21" s="494">
        <f t="shared" ca="1" si="9"/>
        <v>0.91892187525803903</v>
      </c>
      <c r="Z21" s="494">
        <f t="shared" ca="1" si="9"/>
        <v>0.94594791683869273</v>
      </c>
      <c r="AA21" s="494">
        <f t="shared" ca="1" si="9"/>
        <v>0.97297395841934642</v>
      </c>
      <c r="AB21" s="494">
        <f ca="1">IF($A21="*","",IFERROR(VLOOKUP($C21,' COM_2017_old'!$B$61:$AJ$120,MATCH(VLOOKUP("*"&amp;$AX21,$A$10:$J$11,$J$9,FALSE)&amp;AB$7,' COM_2017_old'!$B$58:$AJ$58,0),FALSE),""))</f>
        <v>1</v>
      </c>
      <c r="AC21" s="494">
        <f t="shared" ca="1" si="10"/>
        <v>1</v>
      </c>
      <c r="AD21" s="494">
        <f t="shared" ca="1" si="11"/>
        <v>1</v>
      </c>
      <c r="AE21" s="494">
        <f t="shared" ca="1" si="11"/>
        <v>1</v>
      </c>
      <c r="AF21" s="494">
        <f t="shared" ca="1" si="11"/>
        <v>1</v>
      </c>
      <c r="AG21" s="494">
        <f ca="1">IF($A21="*","",IFERROR(VLOOKUP($C21,' COM_2017_old'!$B$61:$AJ$120,MATCH(VLOOKUP("*"&amp;$AX21,$A$10:$J$11,$J$9,FALSE)&amp;AG$7,' COM_2017_old'!$B$58:$AJ$58,0),FALSE),""))</f>
        <v>1</v>
      </c>
      <c r="AH21" s="494">
        <f t="shared" ca="1" si="12"/>
        <v>1</v>
      </c>
      <c r="AI21" s="494">
        <f t="shared" ca="1" si="13"/>
        <v>1</v>
      </c>
      <c r="AJ21" s="494">
        <f t="shared" ca="1" si="13"/>
        <v>1</v>
      </c>
      <c r="AK21" s="494">
        <f t="shared" ca="1" si="13"/>
        <v>1</v>
      </c>
      <c r="AL21" s="494">
        <f ca="1">IF($A21="*","",IFERROR(VLOOKUP($C21,' COM_2017_old'!$B$61:$AJ$120,MATCH(VLOOKUP("*"&amp;$AX21,$A$10:$J$11,$J$9,FALSE)&amp;AL$7,' COM_2017_old'!$B$58:$AJ$58,0),FALSE),""))</f>
        <v>1</v>
      </c>
      <c r="AM21" s="494">
        <f ca="1">IF($A21="*","",IFERROR(VLOOKUP($C21,' COM_2017_old'!$B$61:$AJ$120,MATCH(VLOOKUP("*"&amp;$AX21,$A$10:$J$11,$J$9,FALSE)&amp;AM$7,' COM_2017_old'!$B$58:$AJ$58,0),FALSE),""))</f>
        <v>1</v>
      </c>
      <c r="AN21" s="494">
        <f ca="1">IF($A21="*","",IFERROR(VLOOKUP($C21,' COM_2017_old'!$B$61:$AJ$120,MATCH(VLOOKUP("*"&amp;$AX21,$A$10:$J$11,$J$9,FALSE)&amp;AN$7,' COM_2017_old'!$B$58:$AJ$58,0),FALSE),""))</f>
        <v>1</v>
      </c>
      <c r="AO21" s="391" t="str">
        <f ca="1">IFERROR(VLOOKUP($C21,COM_2012!$B$61:$AH$120,MATCH(VLOOKUP("*"&amp;$AX21,$A$10:$J$11,$J$9,FALSE)&amp;AO$7,COM_2012!$B$58:$AH$58,0),FALSE),"")</f>
        <v/>
      </c>
      <c r="AP21" s="391" t="str">
        <f ca="1">IFERROR(VLOOKUP($C21,COM_2012!$B$61:$AH$120,MATCH(VLOOKUP("*"&amp;$AX21,$A$10:$J$11,$J$9,FALSE)&amp;AP$7,COM_2012!$B$58:$AH$58,0),FALSE),"")</f>
        <v/>
      </c>
      <c r="AQ21" s="391" t="str">
        <f ca="1">IFERROR(VLOOKUP($C21,COM_2012!$B$61:$AH$120,MATCH(VLOOKUP("*"&amp;$AX21,$A$10:$J$11,$J$9,FALSE)&amp;AQ$7,COM_2012!$B$58:$AH$58,0),FALSE),"")</f>
        <v/>
      </c>
      <c r="AR21" s="391" t="str">
        <f ca="1">IFERROR(VLOOKUP($C21,COM_2012!$B$61:$AH$120,MATCH(VLOOKUP("*"&amp;$AX21,$A$10:$J$11,$J$9,FALSE)&amp;AR$7,COM_2012!$B$58:$AH$58,0),FALSE),"")</f>
        <v/>
      </c>
      <c r="AS21" s="391" t="str">
        <f ca="1">IFERROR(VLOOKUP($C21,COM_2012!$B$61:$AH$120,MATCH(VLOOKUP("*"&amp;$AX21,$A$10:$J$11,$J$9,FALSE)&amp;AS$7,COM_2012!$B$58:$AH$58,0),FALSE),"")</f>
        <v/>
      </c>
      <c r="AT21" s="391" t="str">
        <f ca="1">IFERROR(VLOOKUP($C21,COM_2012!$B$61:$AH$120,MATCH(VLOOKUP("*"&amp;$AX21,$A$10:$J$11,$J$9,FALSE)&amp;AT$7,COM_2012!$B$58:$AH$58,0),FALSE),"")</f>
        <v/>
      </c>
      <c r="AU21" s="391" t="str">
        <f ca="1">IFERROR(VLOOKUP($C21,COM_2012!$B$61:$AH$120,MATCH(VLOOKUP("*"&amp;$AX21,$A$10:$J$11,$J$9,FALSE)&amp;AU$7,COM_2012!$B$58:$AH$58,0),FALSE),"")</f>
        <v/>
      </c>
      <c r="AV21" s="391" t="str">
        <f ca="1">IFERROR(VLOOKUP($C21,COM_2012!$B$61:$AH$120,MATCH(VLOOKUP("*"&amp;$AX21,$A$10:$J$11,$J$9,FALSE)&amp;AV$7,COM_2012!$B$58:$AH$58,0),FALSE),"")</f>
        <v/>
      </c>
      <c r="AW21" s="391" t="str">
        <f ca="1">IFERROR(VLOOKUP($C21,COM_2012!$B$61:$AH$120,MATCH(VLOOKUP("*"&amp;$AX21,$A$10:$J$11,$J$9,FALSE)&amp;AW$7,COM_2012!$B$58:$AH$58,0),FALSE),"")</f>
        <v/>
      </c>
      <c r="AX21" s="304">
        <f>IF(AY20=COM_2012!$AI$121,AX20+1,AX20)</f>
        <v>1</v>
      </c>
      <c r="AY21" s="304">
        <f t="shared" si="15"/>
        <v>9</v>
      </c>
    </row>
    <row r="22" spans="1:51">
      <c r="A22" s="304" t="str">
        <f ca="1">IF(LEFT(OFFSET(COM_2012!$A$60,AY22,0),2)="\I","*","")</f>
        <v/>
      </c>
      <c r="B22" s="369" t="str">
        <f t="shared" ca="1" si="3"/>
        <v>FLO_MRKPRD</v>
      </c>
      <c r="C22" s="369" t="str">
        <f ca="1">IF($A22="*","",OFFSET(COM_2012!$B$60,AY22,0))</f>
        <v>CEHELC-E</v>
      </c>
      <c r="D22" s="369" t="str">
        <f t="shared" ca="1" si="14"/>
        <v>CEH</v>
      </c>
      <c r="E22" s="369" t="str">
        <f t="shared" ca="1" si="4"/>
        <v>-</v>
      </c>
      <c r="F22" s="370" t="str">
        <f t="shared" ca="1" si="5"/>
        <v>-</v>
      </c>
      <c r="G22" s="370" t="str">
        <f t="shared" ca="1" si="5"/>
        <v>ANNUAL</v>
      </c>
      <c r="H22" s="370" t="str">
        <f t="shared" ca="1" si="5"/>
        <v>UP</v>
      </c>
      <c r="I22" s="370">
        <f t="shared" ca="1" si="5"/>
        <v>0</v>
      </c>
      <c r="J22" s="494" t="str">
        <f>IF(J$7&lt;2020,"",IF(A22="*","",IFERROR(VLOOKUP($C22,COM_2012!$B$61:$AH$120,MATCH(VLOOKUP("*"&amp;$AX22,$A$10:$J$11,$J$9,FALSE)&amp;J$7,COM_2012!$B$58:$AH$58,0),FALSE),"")))</f>
        <v/>
      </c>
      <c r="K22" s="494" t="str">
        <f>IF(K$7&lt;2020,"",IF(B22="*","",IFERROR(VLOOKUP($C22,COM_2012!$B$61:$AH$120,MATCH(VLOOKUP("*"&amp;$AX22,$A$10:$J$11,$J$9,FALSE)&amp;K$7,COM_2012!$B$58:$AH$58,0),FALSE),"")))</f>
        <v/>
      </c>
      <c r="L22" s="494" t="str">
        <f>IF(L$7&lt;2020,"",IF(C22="*","",IFERROR(VLOOKUP($C22,COM_2012!$B$61:$AH$120,MATCH(VLOOKUP("*"&amp;$AX22,$A$10:$J$11,$J$9,FALSE)&amp;L$7,COM_2012!$B$58:$AH$58,0),FALSE),"")))</f>
        <v/>
      </c>
      <c r="M22" s="494" t="str">
        <f>IF(M$7&lt;2020,"",IF(D22="*","",IFERROR(VLOOKUP($C22,COM_2012!$B$61:$AH$120,MATCH(VLOOKUP("*"&amp;$AX22,$A$10:$J$11,$J$9,FALSE)&amp;M$7,COM_2012!$B$58:$AH$58,0),FALSE),"")))</f>
        <v/>
      </c>
      <c r="N22" s="494" t="str">
        <f ca="1">IFERROR(VLOOKUP($C22,COM_2012!$B$61:$AH$120,MATCH(VLOOKUP("*"&amp;$AX22,$A$10:$J$11,$J$9,FALSE)&amp;N$7,COM_2012!$B$58:$AH$58,0),FALSE),"")</f>
        <v/>
      </c>
      <c r="O22" s="494" t="str">
        <f>IF(O$7&lt;2020,"",IF($A22="*","",IFERROR(VLOOKUP($C22,' COM_2017_old'!$B$61:$AJ$120,MATCH(VLOOKUP("*"&amp;$AX22,$A$10:$J$11,$J$9,FALSE)&amp;O$7,' COM_2017_old'!$B$58:$AJ$58,0),FALSE),"")))</f>
        <v/>
      </c>
      <c r="P22" s="494" t="str">
        <f ca="1">IFERROR(VLOOKUP($C22,COM_2012!$B$61:$AH$120,MATCH(VLOOKUP("*"&amp;$AX22,$A$10:$J$11,$J$9,FALSE)&amp;P$7,COM_2012!$B$58:$AH$58,0),FALSE),"")</f>
        <v/>
      </c>
      <c r="Q22" s="494" t="str">
        <f ca="1">IFERROR(VLOOKUP($C22,COM_2012!$B$61:$AH$120,MATCH(VLOOKUP("*"&amp;$AX22,$A$10:$J$11,$J$9,FALSE)&amp;Q$7,COM_2012!$B$58:$AH$58,0),FALSE),"")</f>
        <v/>
      </c>
      <c r="R22" s="494">
        <f ca="1">IF($A22="*","",IFERROR(VLOOKUP($C22,' COM_2017_old'!$B$61:$AJ$120,MATCH(VLOOKUP("*"&amp;$AX22,$A$10:$J$11,$J$9,FALSE)&amp;R$7,' COM_2017_old'!$B$58:$AJ$58,0),FALSE),""))</f>
        <v>0.25353038951450357</v>
      </c>
      <c r="S22" s="494">
        <f t="shared" ca="1" si="6"/>
        <v>0.26753038951450359</v>
      </c>
      <c r="T22" s="494">
        <f t="shared" ca="1" si="7"/>
        <v>0.2815303895145036</v>
      </c>
      <c r="U22" s="494">
        <f t="shared" ca="1" si="7"/>
        <v>0.29553038951450361</v>
      </c>
      <c r="V22" s="494">
        <f t="shared" ca="1" si="7"/>
        <v>0.30953038951450362</v>
      </c>
      <c r="W22" s="494">
        <f ca="1">IF($A22="*","",IFERROR(VLOOKUP($C22,' COM_2017_old'!$B$61:$AJ$120,MATCH(VLOOKUP("*"&amp;$AX22,$A$10:$J$11,$J$9,FALSE)&amp;W$7,' COM_2017_old'!$B$58:$AJ$58,0),FALSE),""))</f>
        <v>0.32353038951450352</v>
      </c>
      <c r="X22" s="494">
        <f t="shared" ca="1" si="8"/>
        <v>0.36353038951450356</v>
      </c>
      <c r="Y22" s="494">
        <f t="shared" ca="1" si="9"/>
        <v>0.4035303895145036</v>
      </c>
      <c r="Z22" s="494">
        <f t="shared" ca="1" si="9"/>
        <v>0.44353038951450363</v>
      </c>
      <c r="AA22" s="494">
        <f t="shared" ca="1" si="9"/>
        <v>0.48353038951450367</v>
      </c>
      <c r="AB22" s="494">
        <f ca="1">IF($A22="*","",IFERROR(VLOOKUP($C22,' COM_2017_old'!$B$61:$AJ$120,MATCH(VLOOKUP("*"&amp;$AX22,$A$10:$J$11,$J$9,FALSE)&amp;AB$7,' COM_2017_old'!$B$58:$AJ$58,0),FALSE),""))</f>
        <v>0.52353038951450359</v>
      </c>
      <c r="AC22" s="494">
        <f t="shared" ca="1" si="10"/>
        <v>0.57353038951450364</v>
      </c>
      <c r="AD22" s="494">
        <f t="shared" ca="1" si="11"/>
        <v>0.62353038951450368</v>
      </c>
      <c r="AE22" s="494">
        <f t="shared" ca="1" si="11"/>
        <v>0.67353038951450372</v>
      </c>
      <c r="AF22" s="494">
        <f t="shared" ca="1" si="11"/>
        <v>0.72353038951450377</v>
      </c>
      <c r="AG22" s="494">
        <f ca="1">IF($A22="*","",IFERROR(VLOOKUP($C22,' COM_2017_old'!$B$61:$AJ$120,MATCH(VLOOKUP("*"&amp;$AX22,$A$10:$J$11,$J$9,FALSE)&amp;AG$7,' COM_2017_old'!$B$58:$AJ$58,0),FALSE),""))</f>
        <v>0.77353038951450359</v>
      </c>
      <c r="AH22" s="494">
        <f t="shared" ca="1" si="12"/>
        <v>0.81882431161160285</v>
      </c>
      <c r="AI22" s="494">
        <f t="shared" ca="1" si="13"/>
        <v>0.86411823370870211</v>
      </c>
      <c r="AJ22" s="494">
        <f t="shared" ca="1" si="13"/>
        <v>0.90941215580580137</v>
      </c>
      <c r="AK22" s="494">
        <f t="shared" ca="1" si="13"/>
        <v>0.95470607790290063</v>
      </c>
      <c r="AL22" s="494">
        <f ca="1">IF($A22="*","",IFERROR(VLOOKUP($C22,' COM_2017_old'!$B$61:$AJ$120,MATCH(VLOOKUP("*"&amp;$AX22,$A$10:$J$11,$J$9,FALSE)&amp;AL$7,' COM_2017_old'!$B$58:$AJ$58,0),FALSE),""))</f>
        <v>1</v>
      </c>
      <c r="AM22" s="494">
        <f ca="1">IF($A22="*","",IFERROR(VLOOKUP($C22,' COM_2017_old'!$B$61:$AJ$120,MATCH(VLOOKUP("*"&amp;$AX22,$A$10:$J$11,$J$9,FALSE)&amp;AM$7,' COM_2017_old'!$B$58:$AJ$58,0),FALSE),""))</f>
        <v>1</v>
      </c>
      <c r="AN22" s="494">
        <f ca="1">IF($A22="*","",IFERROR(VLOOKUP($C22,' COM_2017_old'!$B$61:$AJ$120,MATCH(VLOOKUP("*"&amp;$AX22,$A$10:$J$11,$J$9,FALSE)&amp;AN$7,' COM_2017_old'!$B$58:$AJ$58,0),FALSE),""))</f>
        <v>1</v>
      </c>
      <c r="AO22" s="391" t="str">
        <f ca="1">IFERROR(VLOOKUP($C22,COM_2012!$B$61:$AH$120,MATCH(VLOOKUP("*"&amp;$AX22,$A$10:$J$11,$J$9,FALSE)&amp;AO$7,COM_2012!$B$58:$AH$58,0),FALSE),"")</f>
        <v/>
      </c>
      <c r="AP22" s="391" t="str">
        <f ca="1">IFERROR(VLOOKUP($C22,COM_2012!$B$61:$AH$120,MATCH(VLOOKUP("*"&amp;$AX22,$A$10:$J$11,$J$9,FALSE)&amp;AP$7,COM_2012!$B$58:$AH$58,0),FALSE),"")</f>
        <v/>
      </c>
      <c r="AQ22" s="391" t="str">
        <f ca="1">IFERROR(VLOOKUP($C22,COM_2012!$B$61:$AH$120,MATCH(VLOOKUP("*"&amp;$AX22,$A$10:$J$11,$J$9,FALSE)&amp;AQ$7,COM_2012!$B$58:$AH$58,0),FALSE),"")</f>
        <v/>
      </c>
      <c r="AR22" s="391" t="str">
        <f ca="1">IFERROR(VLOOKUP($C22,COM_2012!$B$61:$AH$120,MATCH(VLOOKUP("*"&amp;$AX22,$A$10:$J$11,$J$9,FALSE)&amp;AR$7,COM_2012!$B$58:$AH$58,0),FALSE),"")</f>
        <v/>
      </c>
      <c r="AS22" s="391" t="str">
        <f ca="1">IFERROR(VLOOKUP($C22,COM_2012!$B$61:$AH$120,MATCH(VLOOKUP("*"&amp;$AX22,$A$10:$J$11,$J$9,FALSE)&amp;AS$7,COM_2012!$B$58:$AH$58,0),FALSE),"")</f>
        <v/>
      </c>
      <c r="AT22" s="391" t="str">
        <f ca="1">IFERROR(VLOOKUP($C22,COM_2012!$B$61:$AH$120,MATCH(VLOOKUP("*"&amp;$AX22,$A$10:$J$11,$J$9,FALSE)&amp;AT$7,COM_2012!$B$58:$AH$58,0),FALSE),"")</f>
        <v/>
      </c>
      <c r="AU22" s="391" t="str">
        <f ca="1">IFERROR(VLOOKUP($C22,COM_2012!$B$61:$AH$120,MATCH(VLOOKUP("*"&amp;$AX22,$A$10:$J$11,$J$9,FALSE)&amp;AU$7,COM_2012!$B$58:$AH$58,0),FALSE),"")</f>
        <v/>
      </c>
      <c r="AV22" s="391" t="str">
        <f ca="1">IFERROR(VLOOKUP($C22,COM_2012!$B$61:$AH$120,MATCH(VLOOKUP("*"&amp;$AX22,$A$10:$J$11,$J$9,FALSE)&amp;AV$7,COM_2012!$B$58:$AH$58,0),FALSE),"")</f>
        <v/>
      </c>
      <c r="AW22" s="391" t="str">
        <f ca="1">IFERROR(VLOOKUP($C22,COM_2012!$B$61:$AH$120,MATCH(VLOOKUP("*"&amp;$AX22,$A$10:$J$11,$J$9,FALSE)&amp;AW$7,COM_2012!$B$58:$AH$58,0),FALSE),"")</f>
        <v/>
      </c>
      <c r="AX22" s="304">
        <f>IF(AY21=COM_2012!$AI$121,AX21+1,AX21)</f>
        <v>1</v>
      </c>
      <c r="AY22" s="304">
        <f t="shared" si="15"/>
        <v>10</v>
      </c>
    </row>
    <row r="23" spans="1:51">
      <c r="A23" s="304" t="str">
        <f ca="1">IF(LEFT(OFFSET(COM_2012!$A$60,AY23,0),2)="\I","*","")</f>
        <v/>
      </c>
      <c r="B23" s="369" t="str">
        <f t="shared" ca="1" si="3"/>
        <v>FLO_MRKPRD</v>
      </c>
      <c r="C23" s="369" t="str">
        <f ca="1">IF($A23="*","",OFFSET(COM_2012!$B$60,AY23,0))</f>
        <v>CEHGAS-E</v>
      </c>
      <c r="D23" s="369" t="str">
        <f t="shared" ca="1" si="14"/>
        <v>CEH</v>
      </c>
      <c r="E23" s="369" t="str">
        <f t="shared" ca="1" si="4"/>
        <v>-</v>
      </c>
      <c r="F23" s="370" t="str">
        <f t="shared" ca="1" si="5"/>
        <v>-</v>
      </c>
      <c r="G23" s="370" t="str">
        <f t="shared" ca="1" si="5"/>
        <v>ANNUAL</v>
      </c>
      <c r="H23" s="370" t="str">
        <f t="shared" ca="1" si="5"/>
        <v>UP</v>
      </c>
      <c r="I23" s="370">
        <f t="shared" ca="1" si="5"/>
        <v>0</v>
      </c>
      <c r="J23" s="494" t="str">
        <f>IF(J$7&lt;2020,"",IF(A23="*","",IFERROR(VLOOKUP($C23,COM_2012!$B$61:$AH$120,MATCH(VLOOKUP("*"&amp;$AX23,$A$10:$J$11,$J$9,FALSE)&amp;J$7,COM_2012!$B$58:$AH$58,0),FALSE),"")))</f>
        <v/>
      </c>
      <c r="K23" s="494" t="str">
        <f>IF(K$7&lt;2020,"",IF(B23="*","",IFERROR(VLOOKUP($C23,COM_2012!$B$61:$AH$120,MATCH(VLOOKUP("*"&amp;$AX23,$A$10:$J$11,$J$9,FALSE)&amp;K$7,COM_2012!$B$58:$AH$58,0),FALSE),"")))</f>
        <v/>
      </c>
      <c r="L23" s="494" t="str">
        <f>IF(L$7&lt;2020,"",IF(C23="*","",IFERROR(VLOOKUP($C23,COM_2012!$B$61:$AH$120,MATCH(VLOOKUP("*"&amp;$AX23,$A$10:$J$11,$J$9,FALSE)&amp;L$7,COM_2012!$B$58:$AH$58,0),FALSE),"")))</f>
        <v/>
      </c>
      <c r="M23" s="494" t="str">
        <f>IF(M$7&lt;2020,"",IF(D23="*","",IFERROR(VLOOKUP($C23,COM_2012!$B$61:$AH$120,MATCH(VLOOKUP("*"&amp;$AX23,$A$10:$J$11,$J$9,FALSE)&amp;M$7,COM_2012!$B$58:$AH$58,0),FALSE),"")))</f>
        <v/>
      </c>
      <c r="N23" s="494" t="str">
        <f ca="1">IFERROR(VLOOKUP($C23,COM_2012!$B$61:$AH$120,MATCH(VLOOKUP("*"&amp;$AX23,$A$10:$J$11,$J$9,FALSE)&amp;N$7,COM_2012!$B$58:$AH$58,0),FALSE),"")</f>
        <v/>
      </c>
      <c r="O23" s="494" t="str">
        <f>IF(O$7&lt;2020,"",IF($A23="*","",IFERROR(VLOOKUP($C23,' COM_2017_old'!$B$61:$AJ$120,MATCH(VLOOKUP("*"&amp;$AX23,$A$10:$J$11,$J$9,FALSE)&amp;O$7,' COM_2017_old'!$B$58:$AJ$58,0),FALSE),"")))</f>
        <v/>
      </c>
      <c r="P23" s="494" t="str">
        <f ca="1">IFERROR(VLOOKUP($C23,COM_2012!$B$61:$AH$120,MATCH(VLOOKUP("*"&amp;$AX23,$A$10:$J$11,$J$9,FALSE)&amp;P$7,COM_2012!$B$58:$AH$58,0),FALSE),"")</f>
        <v/>
      </c>
      <c r="Q23" s="494" t="str">
        <f ca="1">IFERROR(VLOOKUP($C23,COM_2012!$B$61:$AH$120,MATCH(VLOOKUP("*"&amp;$AX23,$A$10:$J$11,$J$9,FALSE)&amp;Q$7,COM_2012!$B$58:$AH$58,0),FALSE),"")</f>
        <v/>
      </c>
      <c r="R23" s="494">
        <f ca="1">IF($A23="*","",IFERROR(VLOOKUP($C23,' COM_2017_old'!$B$61:$AJ$120,MATCH(VLOOKUP("*"&amp;$AX23,$A$10:$J$11,$J$9,FALSE)&amp;R$7,' COM_2017_old'!$B$58:$AJ$58,0),FALSE),""))</f>
        <v>5.1599818388764748E-2</v>
      </c>
      <c r="S23" s="494">
        <f t="shared" ca="1" si="6"/>
        <v>6.5599818388764747E-2</v>
      </c>
      <c r="T23" s="494">
        <f t="shared" ca="1" si="7"/>
        <v>7.9599818388764745E-2</v>
      </c>
      <c r="U23" s="494">
        <f t="shared" ca="1" si="7"/>
        <v>9.3599818388764744E-2</v>
      </c>
      <c r="V23" s="494">
        <f t="shared" ca="1" si="7"/>
        <v>0.10759981838876474</v>
      </c>
      <c r="W23" s="494">
        <f ca="1">IF($A23="*","",IFERROR(VLOOKUP($C23,' COM_2017_old'!$B$61:$AJ$120,MATCH(VLOOKUP("*"&amp;$AX23,$A$10:$J$11,$J$9,FALSE)&amp;W$7,' COM_2017_old'!$B$58:$AJ$58,0),FALSE),""))</f>
        <v>0.12159981838876475</v>
      </c>
      <c r="X23" s="494">
        <f t="shared" ca="1" si="8"/>
        <v>0.16159981838876475</v>
      </c>
      <c r="Y23" s="494">
        <f t="shared" ca="1" si="9"/>
        <v>0.20159981838876473</v>
      </c>
      <c r="Z23" s="494">
        <f t="shared" ca="1" si="9"/>
        <v>0.24159981838876471</v>
      </c>
      <c r="AA23" s="494">
        <f t="shared" ca="1" si="9"/>
        <v>0.28159981838876469</v>
      </c>
      <c r="AB23" s="494">
        <f ca="1">IF($A23="*","",IFERROR(VLOOKUP($C23,' COM_2017_old'!$B$61:$AJ$120,MATCH(VLOOKUP("*"&amp;$AX23,$A$10:$J$11,$J$9,FALSE)&amp;AB$7,' COM_2017_old'!$B$58:$AJ$58,0),FALSE),""))</f>
        <v>0.32159981838876472</v>
      </c>
      <c r="AC23" s="494">
        <f t="shared" ca="1" si="10"/>
        <v>0.37159981838876477</v>
      </c>
      <c r="AD23" s="494">
        <f t="shared" ca="1" si="11"/>
        <v>0.42159981838876481</v>
      </c>
      <c r="AE23" s="494">
        <f t="shared" ca="1" si="11"/>
        <v>0.47159981838876486</v>
      </c>
      <c r="AF23" s="494">
        <f t="shared" ca="1" si="11"/>
        <v>0.5215998183887649</v>
      </c>
      <c r="AG23" s="494">
        <f ca="1">IF($A23="*","",IFERROR(VLOOKUP($C23,' COM_2017_old'!$B$61:$AJ$120,MATCH(VLOOKUP("*"&amp;$AX23,$A$10:$J$11,$J$9,FALSE)&amp;AG$7,' COM_2017_old'!$B$58:$AJ$58,0),FALSE),""))</f>
        <v>0.57159981838876484</v>
      </c>
      <c r="AH23" s="494">
        <f t="shared" ca="1" si="12"/>
        <v>0.63159981838876478</v>
      </c>
      <c r="AI23" s="494">
        <f t="shared" ca="1" si="13"/>
        <v>0.69159981838876472</v>
      </c>
      <c r="AJ23" s="494">
        <f t="shared" ca="1" si="13"/>
        <v>0.75159981838876466</v>
      </c>
      <c r="AK23" s="494">
        <f t="shared" ca="1" si="13"/>
        <v>0.8115998183887646</v>
      </c>
      <c r="AL23" s="494">
        <f ca="1">IF($A23="*","",IFERROR(VLOOKUP($C23,' COM_2017_old'!$B$61:$AJ$120,MATCH(VLOOKUP("*"&amp;$AX23,$A$10:$J$11,$J$9,FALSE)&amp;AL$7,' COM_2017_old'!$B$58:$AJ$58,0),FALSE),""))</f>
        <v>0.87159981838876477</v>
      </c>
      <c r="AM23" s="494">
        <f ca="1">IF($A23="*","",IFERROR(VLOOKUP($C23,' COM_2017_old'!$B$61:$AJ$120,MATCH(VLOOKUP("*"&amp;$AX23,$A$10:$J$11,$J$9,FALSE)&amp;AM$7,' COM_2017_old'!$B$58:$AJ$58,0),FALSE),""))</f>
        <v>0.97159981838876475</v>
      </c>
      <c r="AN23" s="494">
        <f ca="1">IF($A23="*","",IFERROR(VLOOKUP($C23,' COM_2017_old'!$B$61:$AJ$120,MATCH(VLOOKUP("*"&amp;$AX23,$A$10:$J$11,$J$9,FALSE)&amp;AN$7,' COM_2017_old'!$B$58:$AJ$58,0),FALSE),""))</f>
        <v>1</v>
      </c>
      <c r="AO23" s="391" t="str">
        <f ca="1">IFERROR(VLOOKUP($C23,COM_2012!$B$61:$AH$120,MATCH(VLOOKUP("*"&amp;$AX23,$A$10:$J$11,$J$9,FALSE)&amp;AO$7,COM_2012!$B$58:$AH$58,0),FALSE),"")</f>
        <v/>
      </c>
      <c r="AP23" s="391" t="str">
        <f ca="1">IFERROR(VLOOKUP($C23,COM_2012!$B$61:$AH$120,MATCH(VLOOKUP("*"&amp;$AX23,$A$10:$J$11,$J$9,FALSE)&amp;AP$7,COM_2012!$B$58:$AH$58,0),FALSE),"")</f>
        <v/>
      </c>
      <c r="AQ23" s="391" t="str">
        <f ca="1">IFERROR(VLOOKUP($C23,COM_2012!$B$61:$AH$120,MATCH(VLOOKUP("*"&amp;$AX23,$A$10:$J$11,$J$9,FALSE)&amp;AQ$7,COM_2012!$B$58:$AH$58,0),FALSE),"")</f>
        <v/>
      </c>
      <c r="AR23" s="391" t="str">
        <f ca="1">IFERROR(VLOOKUP($C23,COM_2012!$B$61:$AH$120,MATCH(VLOOKUP("*"&amp;$AX23,$A$10:$J$11,$J$9,FALSE)&amp;AR$7,COM_2012!$B$58:$AH$58,0),FALSE),"")</f>
        <v/>
      </c>
      <c r="AS23" s="391" t="str">
        <f ca="1">IFERROR(VLOOKUP($C23,COM_2012!$B$61:$AH$120,MATCH(VLOOKUP("*"&amp;$AX23,$A$10:$J$11,$J$9,FALSE)&amp;AS$7,COM_2012!$B$58:$AH$58,0),FALSE),"")</f>
        <v/>
      </c>
      <c r="AT23" s="391" t="str">
        <f ca="1">IFERROR(VLOOKUP($C23,COM_2012!$B$61:$AH$120,MATCH(VLOOKUP("*"&amp;$AX23,$A$10:$J$11,$J$9,FALSE)&amp;AT$7,COM_2012!$B$58:$AH$58,0),FALSE),"")</f>
        <v/>
      </c>
      <c r="AU23" s="391" t="str">
        <f ca="1">IFERROR(VLOOKUP($C23,COM_2012!$B$61:$AH$120,MATCH(VLOOKUP("*"&amp;$AX23,$A$10:$J$11,$J$9,FALSE)&amp;AU$7,COM_2012!$B$58:$AH$58,0),FALSE),"")</f>
        <v/>
      </c>
      <c r="AV23" s="391" t="str">
        <f ca="1">IFERROR(VLOOKUP($C23,COM_2012!$B$61:$AH$120,MATCH(VLOOKUP("*"&amp;$AX23,$A$10:$J$11,$J$9,FALSE)&amp;AV$7,COM_2012!$B$58:$AH$58,0),FALSE),"")</f>
        <v/>
      </c>
      <c r="AW23" s="391" t="str">
        <f ca="1">IFERROR(VLOOKUP($C23,COM_2012!$B$61:$AH$120,MATCH(VLOOKUP("*"&amp;$AX23,$A$10:$J$11,$J$9,FALSE)&amp;AW$7,COM_2012!$B$58:$AH$58,0),FALSE),"")</f>
        <v/>
      </c>
      <c r="AX23" s="304">
        <f>IF(AY22=COM_2012!$AI$121,AX22+1,AX22)</f>
        <v>1</v>
      </c>
      <c r="AY23" s="304">
        <f t="shared" si="15"/>
        <v>11</v>
      </c>
    </row>
    <row r="24" spans="1:51">
      <c r="A24" s="304" t="str">
        <f ca="1">IF(LEFT(OFFSET(COM_2012!$A$60,AY24,0),2)="\I","*","")</f>
        <v/>
      </c>
      <c r="B24" s="369" t="str">
        <f t="shared" ca="1" si="3"/>
        <v>FLO_MRKPRD</v>
      </c>
      <c r="C24" s="369" t="str">
        <f ca="1">IF($A24="*","",OFFSET(COM_2012!$B$60,AY24,0))</f>
        <v>CEHELC-N</v>
      </c>
      <c r="D24" s="369" t="str">
        <f t="shared" ca="1" si="14"/>
        <v>CEH</v>
      </c>
      <c r="E24" s="369" t="str">
        <f t="shared" ca="1" si="4"/>
        <v>-</v>
      </c>
      <c r="F24" s="370" t="str">
        <f t="shared" ca="1" si="5"/>
        <v>-</v>
      </c>
      <c r="G24" s="370" t="str">
        <f t="shared" ca="1" si="5"/>
        <v>ANNUAL</v>
      </c>
      <c r="H24" s="370" t="str">
        <f t="shared" ca="1" si="5"/>
        <v>UP</v>
      </c>
      <c r="I24" s="370">
        <f t="shared" ca="1" si="5"/>
        <v>0</v>
      </c>
      <c r="J24" s="494" t="str">
        <f>IF(J$7&lt;2020,"",IF(A24="*","",IFERROR(VLOOKUP($C24,COM_2012!$B$61:$AH$120,MATCH(VLOOKUP("*"&amp;$AX24,$A$10:$J$11,$J$9,FALSE)&amp;J$7,COM_2012!$B$58:$AH$58,0),FALSE),"")))</f>
        <v/>
      </c>
      <c r="K24" s="494" t="str">
        <f>IF(K$7&lt;2020,"",IF(B24="*","",IFERROR(VLOOKUP($C24,COM_2012!$B$61:$AH$120,MATCH(VLOOKUP("*"&amp;$AX24,$A$10:$J$11,$J$9,FALSE)&amp;K$7,COM_2012!$B$58:$AH$58,0),FALSE),"")))</f>
        <v/>
      </c>
      <c r="L24" s="494" t="str">
        <f>IF(L$7&lt;2020,"",IF(C24="*","",IFERROR(VLOOKUP($C24,COM_2012!$B$61:$AH$120,MATCH(VLOOKUP("*"&amp;$AX24,$A$10:$J$11,$J$9,FALSE)&amp;L$7,COM_2012!$B$58:$AH$58,0),FALSE),"")))</f>
        <v/>
      </c>
      <c r="M24" s="494" t="str">
        <f>IF(M$7&lt;2020,"",IF(D24="*","",IFERROR(VLOOKUP($C24,COM_2012!$B$61:$AH$120,MATCH(VLOOKUP("*"&amp;$AX24,$A$10:$J$11,$J$9,FALSE)&amp;M$7,COM_2012!$B$58:$AH$58,0),FALSE),"")))</f>
        <v/>
      </c>
      <c r="N24" s="494" t="str">
        <f ca="1">IFERROR(VLOOKUP($C24,COM_2012!$B$61:$AH$120,MATCH(VLOOKUP("*"&amp;$AX24,$A$10:$J$11,$J$9,FALSE)&amp;N$7,COM_2012!$B$58:$AH$58,0),FALSE),"")</f>
        <v/>
      </c>
      <c r="O24" s="494" t="str">
        <f>IF(O$7&lt;2020,"",IF($A24="*","",IFERROR(VLOOKUP($C24,' COM_2017_old'!$B$61:$AJ$120,MATCH(VLOOKUP("*"&amp;$AX24,$A$10:$J$11,$J$9,FALSE)&amp;O$7,' COM_2017_old'!$B$58:$AJ$58,0),FALSE),"")))</f>
        <v/>
      </c>
      <c r="P24" s="494" t="str">
        <f ca="1">IFERROR(VLOOKUP($C24,COM_2012!$B$61:$AH$120,MATCH(VLOOKUP("*"&amp;$AX24,$A$10:$J$11,$J$9,FALSE)&amp;P$7,COM_2012!$B$58:$AH$58,0),FALSE),"")</f>
        <v/>
      </c>
      <c r="Q24" s="494" t="str">
        <f ca="1">IFERROR(VLOOKUP($C24,COM_2012!$B$61:$AH$120,MATCH(VLOOKUP("*"&amp;$AX24,$A$10:$J$11,$J$9,FALSE)&amp;Q$7,COM_2012!$B$58:$AH$58,0),FALSE),"")</f>
        <v/>
      </c>
      <c r="R24" s="494">
        <f ca="1">IF($A24="*","",IFERROR(VLOOKUP($C24,' COM_2017_old'!$B$61:$AJ$120,MATCH(VLOOKUP("*"&amp;$AX24,$A$10:$J$11,$J$9,FALSE)&amp;R$7,' COM_2017_old'!$B$58:$AJ$58,0),FALSE),""))</f>
        <v>0.03</v>
      </c>
      <c r="S24" s="494">
        <f t="shared" ca="1" si="6"/>
        <v>4.3999999999999997E-2</v>
      </c>
      <c r="T24" s="494">
        <f t="shared" ca="1" si="7"/>
        <v>5.7999999999999996E-2</v>
      </c>
      <c r="U24" s="494">
        <f t="shared" ca="1" si="7"/>
        <v>7.1999999999999995E-2</v>
      </c>
      <c r="V24" s="494">
        <f t="shared" ca="1" si="7"/>
        <v>8.5999999999999993E-2</v>
      </c>
      <c r="W24" s="494">
        <f ca="1">IF($A24="*","",IFERROR(VLOOKUP($C24,' COM_2017_old'!$B$61:$AJ$120,MATCH(VLOOKUP("*"&amp;$AX24,$A$10:$J$11,$J$9,FALSE)&amp;W$7,' COM_2017_old'!$B$58:$AJ$58,0),FALSE),""))</f>
        <v>0.1</v>
      </c>
      <c r="X24" s="494">
        <f t="shared" ca="1" si="8"/>
        <v>0.14000000000000001</v>
      </c>
      <c r="Y24" s="494">
        <f t="shared" ca="1" si="9"/>
        <v>0.18</v>
      </c>
      <c r="Z24" s="494">
        <f t="shared" ca="1" si="9"/>
        <v>0.21999999999999997</v>
      </c>
      <c r="AA24" s="494">
        <f t="shared" ca="1" si="9"/>
        <v>0.25999999999999995</v>
      </c>
      <c r="AB24" s="494">
        <f ca="1">IF($A24="*","",IFERROR(VLOOKUP($C24,' COM_2017_old'!$B$61:$AJ$120,MATCH(VLOOKUP("*"&amp;$AX24,$A$10:$J$11,$J$9,FALSE)&amp;AB$7,' COM_2017_old'!$B$58:$AJ$58,0),FALSE),""))</f>
        <v>0.3</v>
      </c>
      <c r="AC24" s="494">
        <f t="shared" ca="1" si="10"/>
        <v>0.35</v>
      </c>
      <c r="AD24" s="494">
        <f t="shared" ca="1" si="11"/>
        <v>0.39999999999999997</v>
      </c>
      <c r="AE24" s="494">
        <f t="shared" ca="1" si="11"/>
        <v>0.44999999999999996</v>
      </c>
      <c r="AF24" s="494">
        <f t="shared" ca="1" si="11"/>
        <v>0.49999999999999994</v>
      </c>
      <c r="AG24" s="494">
        <f ca="1">IF($A24="*","",IFERROR(VLOOKUP($C24,' COM_2017_old'!$B$61:$AJ$120,MATCH(VLOOKUP("*"&amp;$AX24,$A$10:$J$11,$J$9,FALSE)&amp;AG$7,' COM_2017_old'!$B$58:$AJ$58,0),FALSE),""))</f>
        <v>0.55000000000000004</v>
      </c>
      <c r="AH24" s="494">
        <f t="shared" ca="1" si="12"/>
        <v>0.61</v>
      </c>
      <c r="AI24" s="494">
        <f t="shared" ca="1" si="13"/>
        <v>0.66999999999999993</v>
      </c>
      <c r="AJ24" s="494">
        <f t="shared" ca="1" si="13"/>
        <v>0.72999999999999987</v>
      </c>
      <c r="AK24" s="494">
        <f t="shared" ca="1" si="13"/>
        <v>0.78999999999999981</v>
      </c>
      <c r="AL24" s="494">
        <f ca="1">IF($A24="*","",IFERROR(VLOOKUP($C24,' COM_2017_old'!$B$61:$AJ$120,MATCH(VLOOKUP("*"&amp;$AX24,$A$10:$J$11,$J$9,FALSE)&amp;AL$7,' COM_2017_old'!$B$58:$AJ$58,0),FALSE),""))</f>
        <v>0.85</v>
      </c>
      <c r="AM24" s="494">
        <f ca="1">IF($A24="*","",IFERROR(VLOOKUP($C24,' COM_2017_old'!$B$61:$AJ$120,MATCH(VLOOKUP("*"&amp;$AX24,$A$10:$J$11,$J$9,FALSE)&amp;AM$7,' COM_2017_old'!$B$58:$AJ$58,0),FALSE),""))</f>
        <v>0.95</v>
      </c>
      <c r="AN24" s="494">
        <f ca="1">IF($A24="*","",IFERROR(VLOOKUP($C24,' COM_2017_old'!$B$61:$AJ$120,MATCH(VLOOKUP("*"&amp;$AX24,$A$10:$J$11,$J$9,FALSE)&amp;AN$7,' COM_2017_old'!$B$58:$AJ$58,0),FALSE),""))</f>
        <v>1</v>
      </c>
      <c r="AO24" s="391" t="str">
        <f ca="1">IFERROR(VLOOKUP($C24,COM_2012!$B$61:$AH$120,MATCH(VLOOKUP("*"&amp;$AX24,$A$10:$J$11,$J$9,FALSE)&amp;AO$7,COM_2012!$B$58:$AH$58,0),FALSE),"")</f>
        <v/>
      </c>
      <c r="AP24" s="391" t="str">
        <f ca="1">IFERROR(VLOOKUP($C24,COM_2012!$B$61:$AH$120,MATCH(VLOOKUP("*"&amp;$AX24,$A$10:$J$11,$J$9,FALSE)&amp;AP$7,COM_2012!$B$58:$AH$58,0),FALSE),"")</f>
        <v/>
      </c>
      <c r="AQ24" s="391" t="str">
        <f ca="1">IFERROR(VLOOKUP($C24,COM_2012!$B$61:$AH$120,MATCH(VLOOKUP("*"&amp;$AX24,$A$10:$J$11,$J$9,FALSE)&amp;AQ$7,COM_2012!$B$58:$AH$58,0),FALSE),"")</f>
        <v/>
      </c>
      <c r="AR24" s="391" t="str">
        <f ca="1">IFERROR(VLOOKUP($C24,COM_2012!$B$61:$AH$120,MATCH(VLOOKUP("*"&amp;$AX24,$A$10:$J$11,$J$9,FALSE)&amp;AR$7,COM_2012!$B$58:$AH$58,0),FALSE),"")</f>
        <v/>
      </c>
      <c r="AS24" s="391" t="str">
        <f ca="1">IFERROR(VLOOKUP($C24,COM_2012!$B$61:$AH$120,MATCH(VLOOKUP("*"&amp;$AX24,$A$10:$J$11,$J$9,FALSE)&amp;AS$7,COM_2012!$B$58:$AH$58,0),FALSE),"")</f>
        <v/>
      </c>
      <c r="AT24" s="391" t="str">
        <f ca="1">IFERROR(VLOOKUP($C24,COM_2012!$B$61:$AH$120,MATCH(VLOOKUP("*"&amp;$AX24,$A$10:$J$11,$J$9,FALSE)&amp;AT$7,COM_2012!$B$58:$AH$58,0),FALSE),"")</f>
        <v/>
      </c>
      <c r="AU24" s="391" t="str">
        <f ca="1">IFERROR(VLOOKUP($C24,COM_2012!$B$61:$AH$120,MATCH(VLOOKUP("*"&amp;$AX24,$A$10:$J$11,$J$9,FALSE)&amp;AU$7,COM_2012!$B$58:$AH$58,0),FALSE),"")</f>
        <v/>
      </c>
      <c r="AV24" s="391" t="str">
        <f ca="1">IFERROR(VLOOKUP($C24,COM_2012!$B$61:$AH$120,MATCH(VLOOKUP("*"&amp;$AX24,$A$10:$J$11,$J$9,FALSE)&amp;AV$7,COM_2012!$B$58:$AH$58,0),FALSE),"")</f>
        <v/>
      </c>
      <c r="AW24" s="391" t="str">
        <f ca="1">IFERROR(VLOOKUP($C24,COM_2012!$B$61:$AH$120,MATCH(VLOOKUP("*"&amp;$AX24,$A$10:$J$11,$J$9,FALSE)&amp;AW$7,COM_2012!$B$58:$AH$58,0),FALSE),"")</f>
        <v/>
      </c>
      <c r="AX24" s="304">
        <f>IF(AY23=COM_2012!$AI$121,AX23+1,AX23)</f>
        <v>1</v>
      </c>
      <c r="AY24" s="304">
        <f t="shared" si="15"/>
        <v>12</v>
      </c>
    </row>
    <row r="25" spans="1:51">
      <c r="A25" s="304" t="str">
        <f ca="1">IF(LEFT(OFFSET(COM_2012!$A$60,AY25,0),2)="\I","*","")</f>
        <v/>
      </c>
      <c r="B25" s="369" t="str">
        <f t="shared" ca="1" si="3"/>
        <v>FLO_MRKPRD</v>
      </c>
      <c r="C25" s="369" t="str">
        <f ca="1">IF($A25="*","",OFFSET(COM_2012!$B$60,AY25,0))</f>
        <v>CEHGAS-N</v>
      </c>
      <c r="D25" s="369" t="str">
        <f t="shared" ca="1" si="14"/>
        <v>CEH</v>
      </c>
      <c r="E25" s="369" t="str">
        <f t="shared" ca="1" si="4"/>
        <v>-</v>
      </c>
      <c r="F25" s="370" t="str">
        <f t="shared" ca="1" si="5"/>
        <v>-</v>
      </c>
      <c r="G25" s="370" t="str">
        <f t="shared" ca="1" si="5"/>
        <v>ANNUAL</v>
      </c>
      <c r="H25" s="370" t="str">
        <f t="shared" ca="1" si="5"/>
        <v>UP</v>
      </c>
      <c r="I25" s="370">
        <f t="shared" ca="1" si="5"/>
        <v>0</v>
      </c>
      <c r="J25" s="494" t="str">
        <f>IF(J$7&lt;2020,"",IF(A25="*","",IFERROR(VLOOKUP($C25,COM_2012!$B$61:$AH$120,MATCH(VLOOKUP("*"&amp;$AX25,$A$10:$J$11,$J$9,FALSE)&amp;J$7,COM_2012!$B$58:$AH$58,0),FALSE),"")))</f>
        <v/>
      </c>
      <c r="K25" s="494" t="str">
        <f>IF(K$7&lt;2020,"",IF(B25="*","",IFERROR(VLOOKUP($C25,COM_2012!$B$61:$AH$120,MATCH(VLOOKUP("*"&amp;$AX25,$A$10:$J$11,$J$9,FALSE)&amp;K$7,COM_2012!$B$58:$AH$58,0),FALSE),"")))</f>
        <v/>
      </c>
      <c r="L25" s="494" t="str">
        <f>IF(L$7&lt;2020,"",IF(C25="*","",IFERROR(VLOOKUP($C25,COM_2012!$B$61:$AH$120,MATCH(VLOOKUP("*"&amp;$AX25,$A$10:$J$11,$J$9,FALSE)&amp;L$7,COM_2012!$B$58:$AH$58,0),FALSE),"")))</f>
        <v/>
      </c>
      <c r="M25" s="494" t="str">
        <f>IF(M$7&lt;2020,"",IF(D25="*","",IFERROR(VLOOKUP($C25,COM_2012!$B$61:$AH$120,MATCH(VLOOKUP("*"&amp;$AX25,$A$10:$J$11,$J$9,FALSE)&amp;M$7,COM_2012!$B$58:$AH$58,0),FALSE),"")))</f>
        <v/>
      </c>
      <c r="N25" s="494" t="str">
        <f ca="1">IFERROR(VLOOKUP($C25,COM_2012!$B$61:$AH$120,MATCH(VLOOKUP("*"&amp;$AX25,$A$10:$J$11,$J$9,FALSE)&amp;N$7,COM_2012!$B$58:$AH$58,0),FALSE),"")</f>
        <v/>
      </c>
      <c r="O25" s="494" t="str">
        <f>IF(O$7&lt;2020,"",IF($A25="*","",IFERROR(VLOOKUP($C25,' COM_2017_old'!$B$61:$AJ$120,MATCH(VLOOKUP("*"&amp;$AX25,$A$10:$J$11,$J$9,FALSE)&amp;O$7,' COM_2017_old'!$B$58:$AJ$58,0),FALSE),"")))</f>
        <v/>
      </c>
      <c r="P25" s="494" t="str">
        <f ca="1">IFERROR(VLOOKUP($C25,COM_2012!$B$61:$AH$120,MATCH(VLOOKUP("*"&amp;$AX25,$A$10:$J$11,$J$9,FALSE)&amp;P$7,COM_2012!$B$58:$AH$58,0),FALSE),"")</f>
        <v/>
      </c>
      <c r="Q25" s="494" t="str">
        <f ca="1">IFERROR(VLOOKUP($C25,COM_2012!$B$61:$AH$120,MATCH(VLOOKUP("*"&amp;$AX25,$A$10:$J$11,$J$9,FALSE)&amp;Q$7,COM_2012!$B$58:$AH$58,0),FALSE),"")</f>
        <v/>
      </c>
      <c r="R25" s="494">
        <f ca="1">IF($A25="*","",IFERROR(VLOOKUP($C25,' COM_2017_old'!$B$61:$AJ$120,MATCH(VLOOKUP("*"&amp;$AX25,$A$10:$J$11,$J$9,FALSE)&amp;R$7,' COM_2017_old'!$B$58:$AJ$58,0),FALSE),""))</f>
        <v>0.03</v>
      </c>
      <c r="S25" s="494">
        <f t="shared" ca="1" si="6"/>
        <v>4.3999999999999997E-2</v>
      </c>
      <c r="T25" s="494">
        <f t="shared" ca="1" si="7"/>
        <v>5.7999999999999996E-2</v>
      </c>
      <c r="U25" s="494">
        <f t="shared" ca="1" si="7"/>
        <v>7.1999999999999995E-2</v>
      </c>
      <c r="V25" s="494">
        <f t="shared" ca="1" si="7"/>
        <v>8.5999999999999993E-2</v>
      </c>
      <c r="W25" s="494">
        <f ca="1">IF($A25="*","",IFERROR(VLOOKUP($C25,' COM_2017_old'!$B$61:$AJ$120,MATCH(VLOOKUP("*"&amp;$AX25,$A$10:$J$11,$J$9,FALSE)&amp;W$7,' COM_2017_old'!$B$58:$AJ$58,0),FALSE),""))</f>
        <v>0.1</v>
      </c>
      <c r="X25" s="494">
        <f t="shared" ca="1" si="8"/>
        <v>0.14000000000000001</v>
      </c>
      <c r="Y25" s="494">
        <f t="shared" ca="1" si="9"/>
        <v>0.18</v>
      </c>
      <c r="Z25" s="494">
        <f t="shared" ca="1" si="9"/>
        <v>0.21999999999999997</v>
      </c>
      <c r="AA25" s="494">
        <f t="shared" ca="1" si="9"/>
        <v>0.25999999999999995</v>
      </c>
      <c r="AB25" s="494">
        <f ca="1">IF($A25="*","",IFERROR(VLOOKUP($C25,' COM_2017_old'!$B$61:$AJ$120,MATCH(VLOOKUP("*"&amp;$AX25,$A$10:$J$11,$J$9,FALSE)&amp;AB$7,' COM_2017_old'!$B$58:$AJ$58,0),FALSE),""))</f>
        <v>0.3</v>
      </c>
      <c r="AC25" s="494">
        <f t="shared" ca="1" si="10"/>
        <v>0.35</v>
      </c>
      <c r="AD25" s="494">
        <f t="shared" ca="1" si="11"/>
        <v>0.39999999999999997</v>
      </c>
      <c r="AE25" s="494">
        <f t="shared" ca="1" si="11"/>
        <v>0.44999999999999996</v>
      </c>
      <c r="AF25" s="494">
        <f t="shared" ca="1" si="11"/>
        <v>0.49999999999999994</v>
      </c>
      <c r="AG25" s="494">
        <f ca="1">IF($A25="*","",IFERROR(VLOOKUP($C25,' COM_2017_old'!$B$61:$AJ$120,MATCH(VLOOKUP("*"&amp;$AX25,$A$10:$J$11,$J$9,FALSE)&amp;AG$7,' COM_2017_old'!$B$58:$AJ$58,0),FALSE),""))</f>
        <v>0.55000000000000004</v>
      </c>
      <c r="AH25" s="494">
        <f t="shared" ca="1" si="12"/>
        <v>0.61</v>
      </c>
      <c r="AI25" s="494">
        <f t="shared" ca="1" si="13"/>
        <v>0.66999999999999993</v>
      </c>
      <c r="AJ25" s="494">
        <f t="shared" ca="1" si="13"/>
        <v>0.72999999999999987</v>
      </c>
      <c r="AK25" s="494">
        <f t="shared" ca="1" si="13"/>
        <v>0.78999999999999981</v>
      </c>
      <c r="AL25" s="494">
        <f ca="1">IF($A25="*","",IFERROR(VLOOKUP($C25,' COM_2017_old'!$B$61:$AJ$120,MATCH(VLOOKUP("*"&amp;$AX25,$A$10:$J$11,$J$9,FALSE)&amp;AL$7,' COM_2017_old'!$B$58:$AJ$58,0),FALSE),""))</f>
        <v>0.85</v>
      </c>
      <c r="AM25" s="494">
        <f ca="1">IF($A25="*","",IFERROR(VLOOKUP($C25,' COM_2017_old'!$B$61:$AJ$120,MATCH(VLOOKUP("*"&amp;$AX25,$A$10:$J$11,$J$9,FALSE)&amp;AM$7,' COM_2017_old'!$B$58:$AJ$58,0),FALSE),""))</f>
        <v>0.95</v>
      </c>
      <c r="AN25" s="494">
        <f ca="1">IF($A25="*","",IFERROR(VLOOKUP($C25,' COM_2017_old'!$B$61:$AJ$120,MATCH(VLOOKUP("*"&amp;$AX25,$A$10:$J$11,$J$9,FALSE)&amp;AN$7,' COM_2017_old'!$B$58:$AJ$58,0),FALSE),""))</f>
        <v>1</v>
      </c>
      <c r="AO25" s="391" t="str">
        <f ca="1">IFERROR(VLOOKUP($C25,COM_2012!$B$61:$AH$120,MATCH(VLOOKUP("*"&amp;$AX25,$A$10:$J$11,$J$9,FALSE)&amp;AO$7,COM_2012!$B$58:$AH$58,0),FALSE),"")</f>
        <v/>
      </c>
      <c r="AP25" s="391" t="str">
        <f ca="1">IFERROR(VLOOKUP($C25,COM_2012!$B$61:$AH$120,MATCH(VLOOKUP("*"&amp;$AX25,$A$10:$J$11,$J$9,FALSE)&amp;AP$7,COM_2012!$B$58:$AH$58,0),FALSE),"")</f>
        <v/>
      </c>
      <c r="AQ25" s="391" t="str">
        <f ca="1">IFERROR(VLOOKUP($C25,COM_2012!$B$61:$AH$120,MATCH(VLOOKUP("*"&amp;$AX25,$A$10:$J$11,$J$9,FALSE)&amp;AQ$7,COM_2012!$B$58:$AH$58,0),FALSE),"")</f>
        <v/>
      </c>
      <c r="AR25" s="391" t="str">
        <f ca="1">IFERROR(VLOOKUP($C25,COM_2012!$B$61:$AH$120,MATCH(VLOOKUP("*"&amp;$AX25,$A$10:$J$11,$J$9,FALSE)&amp;AR$7,COM_2012!$B$58:$AH$58,0),FALSE),"")</f>
        <v/>
      </c>
      <c r="AS25" s="391" t="str">
        <f ca="1">IFERROR(VLOOKUP($C25,COM_2012!$B$61:$AH$120,MATCH(VLOOKUP("*"&amp;$AX25,$A$10:$J$11,$J$9,FALSE)&amp;AS$7,COM_2012!$B$58:$AH$58,0),FALSE),"")</f>
        <v/>
      </c>
      <c r="AT25" s="391" t="str">
        <f ca="1">IFERROR(VLOOKUP($C25,COM_2012!$B$61:$AH$120,MATCH(VLOOKUP("*"&amp;$AX25,$A$10:$J$11,$J$9,FALSE)&amp;AT$7,COM_2012!$B$58:$AH$58,0),FALSE),"")</f>
        <v/>
      </c>
      <c r="AU25" s="391" t="str">
        <f ca="1">IFERROR(VLOOKUP($C25,COM_2012!$B$61:$AH$120,MATCH(VLOOKUP("*"&amp;$AX25,$A$10:$J$11,$J$9,FALSE)&amp;AU$7,COM_2012!$B$58:$AH$58,0),FALSE),"")</f>
        <v/>
      </c>
      <c r="AV25" s="391" t="str">
        <f ca="1">IFERROR(VLOOKUP($C25,COM_2012!$B$61:$AH$120,MATCH(VLOOKUP("*"&amp;$AX25,$A$10:$J$11,$J$9,FALSE)&amp;AV$7,COM_2012!$B$58:$AH$58,0),FALSE),"")</f>
        <v/>
      </c>
      <c r="AW25" s="391" t="str">
        <f ca="1">IFERROR(VLOOKUP($C25,COM_2012!$B$61:$AH$120,MATCH(VLOOKUP("*"&amp;$AX25,$A$10:$J$11,$J$9,FALSE)&amp;AW$7,COM_2012!$B$58:$AH$58,0),FALSE),"")</f>
        <v/>
      </c>
      <c r="AX25" s="304">
        <f>IF(AY24=COM_2012!$AI$121,AX24+1,AX24)</f>
        <v>1</v>
      </c>
      <c r="AY25" s="304">
        <f t="shared" si="15"/>
        <v>13</v>
      </c>
    </row>
    <row r="26" spans="1:51">
      <c r="A26" s="304" t="str">
        <f ca="1">IF(LEFT(OFFSET(COM_2012!$A$60,AY26,0),2)="\I","*","")</f>
        <v>*</v>
      </c>
      <c r="B26" s="369" t="str">
        <f t="shared" ca="1" si="3"/>
        <v/>
      </c>
      <c r="C26" s="369" t="str">
        <f ca="1">IF($A26="*","",OFFSET(COM_2012!$B$60,AY26,0))</f>
        <v/>
      </c>
      <c r="D26" s="369" t="str">
        <f t="shared" ca="1" si="14"/>
        <v/>
      </c>
      <c r="E26" s="369" t="str">
        <f t="shared" ca="1" si="4"/>
        <v/>
      </c>
      <c r="F26" s="370" t="str">
        <f t="shared" ca="1" si="5"/>
        <v/>
      </c>
      <c r="G26" s="370" t="str">
        <f t="shared" ca="1" si="5"/>
        <v/>
      </c>
      <c r="H26" s="370" t="str">
        <f t="shared" ca="1" si="5"/>
        <v/>
      </c>
      <c r="I26" s="370" t="str">
        <f t="shared" ca="1" si="5"/>
        <v/>
      </c>
      <c r="J26" s="494" t="str">
        <f>IF(J$7&lt;2020,"",IF(A26="*","",IFERROR(VLOOKUP($C26,COM_2012!$B$61:$AH$120,MATCH(VLOOKUP("*"&amp;$AX26,$A$10:$J$11,$J$9,FALSE)&amp;J$7,COM_2012!$B$58:$AH$58,0),FALSE),"")))</f>
        <v/>
      </c>
      <c r="K26" s="494" t="str">
        <f>IF(K$7&lt;2020,"",IF(B26="*","",IFERROR(VLOOKUP($C26,COM_2012!$B$61:$AH$120,MATCH(VLOOKUP("*"&amp;$AX26,$A$10:$J$11,$J$9,FALSE)&amp;K$7,COM_2012!$B$58:$AH$58,0),FALSE),"")))</f>
        <v/>
      </c>
      <c r="L26" s="494" t="str">
        <f>IF(L$7&lt;2020,"",IF(C26="*","",IFERROR(VLOOKUP($C26,COM_2012!$B$61:$AH$120,MATCH(VLOOKUP("*"&amp;$AX26,$A$10:$J$11,$J$9,FALSE)&amp;L$7,COM_2012!$B$58:$AH$58,0),FALSE),"")))</f>
        <v/>
      </c>
      <c r="M26" s="494" t="str">
        <f>IF(M$7&lt;2020,"",IF(D26="*","",IFERROR(VLOOKUP($C26,COM_2012!$B$61:$AH$120,MATCH(VLOOKUP("*"&amp;$AX26,$A$10:$J$11,$J$9,FALSE)&amp;M$7,COM_2012!$B$58:$AH$58,0),FALSE),"")))</f>
        <v/>
      </c>
      <c r="N26" s="494" t="str">
        <f ca="1">IFERROR(VLOOKUP($C26,COM_2012!$B$61:$AH$120,MATCH(VLOOKUP("*"&amp;$AX26,$A$10:$J$11,$J$9,FALSE)&amp;N$7,COM_2012!$B$58:$AH$58,0),FALSE),"")</f>
        <v/>
      </c>
      <c r="O26" s="494" t="str">
        <f>IF(O$7&lt;2020,"",IF($A26="*","",IFERROR(VLOOKUP($C26,' COM_2017_old'!$B$61:$AJ$120,MATCH(VLOOKUP("*"&amp;$AX26,$A$10:$J$11,$J$9,FALSE)&amp;O$7,' COM_2017_old'!$B$58:$AJ$58,0),FALSE),"")))</f>
        <v/>
      </c>
      <c r="P26" s="494" t="str">
        <f ca="1">IFERROR(VLOOKUP($C26,COM_2012!$B$61:$AH$120,MATCH(VLOOKUP("*"&amp;$AX26,$A$10:$J$11,$J$9,FALSE)&amp;P$7,COM_2012!$B$58:$AH$58,0),FALSE),"")</f>
        <v/>
      </c>
      <c r="Q26" s="494" t="str">
        <f ca="1">IFERROR(VLOOKUP($C26,COM_2012!$B$61:$AH$120,MATCH(VLOOKUP("*"&amp;$AX26,$A$10:$J$11,$J$9,FALSE)&amp;Q$7,COM_2012!$B$58:$AH$58,0),FALSE),"")</f>
        <v/>
      </c>
      <c r="R26" s="494" t="str">
        <f ca="1">IF($A26="*","",IFERROR(VLOOKUP($C26,' COM_2017_old'!$B$61:$AJ$120,MATCH(VLOOKUP("*"&amp;$AX26,$A$10:$J$11,$J$9,FALSE)&amp;R$7,' COM_2017_old'!$B$58:$AJ$58,0),FALSE),""))</f>
        <v/>
      </c>
      <c r="S26" s="494" t="str">
        <f t="shared" ca="1" si="6"/>
        <v/>
      </c>
      <c r="T26" s="494" t="str">
        <f t="shared" ca="1" si="7"/>
        <v/>
      </c>
      <c r="U26" s="494" t="str">
        <f t="shared" ca="1" si="7"/>
        <v/>
      </c>
      <c r="V26" s="494" t="str">
        <f t="shared" ca="1" si="7"/>
        <v/>
      </c>
      <c r="W26" s="494" t="str">
        <f ca="1">IF($A26="*","",IFERROR(VLOOKUP($C26,' COM_2017_old'!$B$61:$AJ$120,MATCH(VLOOKUP("*"&amp;$AX26,$A$10:$J$11,$J$9,FALSE)&amp;W$7,' COM_2017_old'!$B$58:$AJ$58,0),FALSE),""))</f>
        <v/>
      </c>
      <c r="X26" s="494" t="str">
        <f t="shared" ca="1" si="8"/>
        <v/>
      </c>
      <c r="Y26" s="494" t="str">
        <f t="shared" ca="1" si="9"/>
        <v/>
      </c>
      <c r="Z26" s="494" t="str">
        <f t="shared" ca="1" si="9"/>
        <v/>
      </c>
      <c r="AA26" s="494" t="str">
        <f t="shared" ca="1" si="9"/>
        <v/>
      </c>
      <c r="AB26" s="494" t="str">
        <f ca="1">IF($A26="*","",IFERROR(VLOOKUP($C26,' COM_2017_old'!$B$61:$AJ$120,MATCH(VLOOKUP("*"&amp;$AX26,$A$10:$J$11,$J$9,FALSE)&amp;AB$7,' COM_2017_old'!$B$58:$AJ$58,0),FALSE),""))</f>
        <v/>
      </c>
      <c r="AC26" s="494" t="str">
        <f t="shared" ca="1" si="10"/>
        <v/>
      </c>
      <c r="AD26" s="494" t="str">
        <f t="shared" ca="1" si="11"/>
        <v/>
      </c>
      <c r="AE26" s="494" t="str">
        <f t="shared" ca="1" si="11"/>
        <v/>
      </c>
      <c r="AF26" s="494" t="str">
        <f t="shared" ca="1" si="11"/>
        <v/>
      </c>
      <c r="AG26" s="494" t="str">
        <f ca="1">IF($A26="*","",IFERROR(VLOOKUP($C26,' COM_2017_old'!$B$61:$AJ$120,MATCH(VLOOKUP("*"&amp;$AX26,$A$10:$J$11,$J$9,FALSE)&amp;AG$7,' COM_2017_old'!$B$58:$AJ$58,0),FALSE),""))</f>
        <v/>
      </c>
      <c r="AH26" s="494" t="str">
        <f t="shared" ca="1" si="12"/>
        <v/>
      </c>
      <c r="AI26" s="494" t="str">
        <f t="shared" ca="1" si="13"/>
        <v/>
      </c>
      <c r="AJ26" s="494" t="str">
        <f t="shared" ca="1" si="13"/>
        <v/>
      </c>
      <c r="AK26" s="494" t="str">
        <f t="shared" ca="1" si="13"/>
        <v/>
      </c>
      <c r="AL26" s="494" t="str">
        <f ca="1">IF($A26="*","",IFERROR(VLOOKUP($C26,' COM_2017_old'!$B$61:$AJ$120,MATCH(VLOOKUP("*"&amp;$AX26,$A$10:$J$11,$J$9,FALSE)&amp;AL$7,' COM_2017_old'!$B$58:$AJ$58,0),FALSE),""))</f>
        <v/>
      </c>
      <c r="AM26" s="494" t="str">
        <f ca="1">IF($A26="*","",IFERROR(VLOOKUP($C26,' COM_2017_old'!$B$61:$AJ$120,MATCH(VLOOKUP("*"&amp;$AX26,$A$10:$J$11,$J$9,FALSE)&amp;AM$7,' COM_2017_old'!$B$58:$AJ$58,0),FALSE),""))</f>
        <v/>
      </c>
      <c r="AN26" s="494" t="str">
        <f ca="1">IF($A26="*","",IFERROR(VLOOKUP($C26,' COM_2017_old'!$B$61:$AJ$120,MATCH(VLOOKUP("*"&amp;$AX26,$A$10:$J$11,$J$9,FALSE)&amp;AN$7,' COM_2017_old'!$B$58:$AJ$58,0),FALSE),""))</f>
        <v/>
      </c>
      <c r="AO26" s="391" t="str">
        <f ca="1">IFERROR(VLOOKUP($C26,COM_2012!$B$61:$AH$120,MATCH(VLOOKUP("*"&amp;$AX26,$A$10:$J$11,$J$9,FALSE)&amp;AO$7,COM_2012!$B$58:$AH$58,0),FALSE),"")</f>
        <v/>
      </c>
      <c r="AP26" s="391" t="str">
        <f ca="1">IFERROR(VLOOKUP($C26,COM_2012!$B$61:$AH$120,MATCH(VLOOKUP("*"&amp;$AX26,$A$10:$J$11,$J$9,FALSE)&amp;AP$7,COM_2012!$B$58:$AH$58,0),FALSE),"")</f>
        <v/>
      </c>
      <c r="AQ26" s="391" t="str">
        <f ca="1">IFERROR(VLOOKUP($C26,COM_2012!$B$61:$AH$120,MATCH(VLOOKUP("*"&amp;$AX26,$A$10:$J$11,$J$9,FALSE)&amp;AQ$7,COM_2012!$B$58:$AH$58,0),FALSE),"")</f>
        <v/>
      </c>
      <c r="AR26" s="391" t="str">
        <f ca="1">IFERROR(VLOOKUP($C26,COM_2012!$B$61:$AH$120,MATCH(VLOOKUP("*"&amp;$AX26,$A$10:$J$11,$J$9,FALSE)&amp;AR$7,COM_2012!$B$58:$AH$58,0),FALSE),"")</f>
        <v/>
      </c>
      <c r="AS26" s="391" t="str">
        <f ca="1">IFERROR(VLOOKUP($C26,COM_2012!$B$61:$AH$120,MATCH(VLOOKUP("*"&amp;$AX26,$A$10:$J$11,$J$9,FALSE)&amp;AS$7,COM_2012!$B$58:$AH$58,0),FALSE),"")</f>
        <v/>
      </c>
      <c r="AT26" s="391" t="str">
        <f ca="1">IFERROR(VLOOKUP($C26,COM_2012!$B$61:$AH$120,MATCH(VLOOKUP("*"&amp;$AX26,$A$10:$J$11,$J$9,FALSE)&amp;AT$7,COM_2012!$B$58:$AH$58,0),FALSE),"")</f>
        <v/>
      </c>
      <c r="AU26" s="391" t="str">
        <f ca="1">IFERROR(VLOOKUP($C26,COM_2012!$B$61:$AH$120,MATCH(VLOOKUP("*"&amp;$AX26,$A$10:$J$11,$J$9,FALSE)&amp;AU$7,COM_2012!$B$58:$AH$58,0),FALSE),"")</f>
        <v/>
      </c>
      <c r="AV26" s="391" t="str">
        <f ca="1">IFERROR(VLOOKUP($C26,COM_2012!$B$61:$AH$120,MATCH(VLOOKUP("*"&amp;$AX26,$A$10:$J$11,$J$9,FALSE)&amp;AV$7,COM_2012!$B$58:$AH$58,0),FALSE),"")</f>
        <v/>
      </c>
      <c r="AW26" s="391" t="str">
        <f ca="1">IFERROR(VLOOKUP($C26,COM_2012!$B$61:$AH$120,MATCH(VLOOKUP("*"&amp;$AX26,$A$10:$J$11,$J$9,FALSE)&amp;AW$7,COM_2012!$B$58:$AH$58,0),FALSE),"")</f>
        <v/>
      </c>
      <c r="AX26" s="304">
        <f>IF(AY25=COM_2012!$AI$121,AX25+1,AX25)</f>
        <v>1</v>
      </c>
      <c r="AY26" s="304">
        <f t="shared" si="15"/>
        <v>14</v>
      </c>
    </row>
    <row r="27" spans="1:51">
      <c r="A27" s="304" t="str">
        <f ca="1">IF(LEFT(OFFSET(COM_2012!$A$60,AY27,0),2)="\I","*","")</f>
        <v>*</v>
      </c>
      <c r="B27" s="369" t="str">
        <f t="shared" ca="1" si="3"/>
        <v/>
      </c>
      <c r="C27" s="369" t="str">
        <f ca="1">IF($A27="*","",OFFSET(COM_2012!$B$60,AY27,0))</f>
        <v/>
      </c>
      <c r="D27" s="369" t="str">
        <f t="shared" ca="1" si="14"/>
        <v/>
      </c>
      <c r="E27" s="369" t="str">
        <f t="shared" ca="1" si="4"/>
        <v/>
      </c>
      <c r="F27" s="370" t="str">
        <f t="shared" ca="1" si="5"/>
        <v/>
      </c>
      <c r="G27" s="370" t="str">
        <f t="shared" ca="1" si="5"/>
        <v/>
      </c>
      <c r="H27" s="370" t="str">
        <f t="shared" ca="1" si="5"/>
        <v/>
      </c>
      <c r="I27" s="370" t="str">
        <f t="shared" ca="1" si="5"/>
        <v/>
      </c>
      <c r="J27" s="494" t="str">
        <f>IF(J$7&lt;2020,"",IF(A27="*","",IFERROR(VLOOKUP($C27,COM_2012!$B$61:$AH$120,MATCH(VLOOKUP("*"&amp;$AX27,$A$10:$J$11,$J$9,FALSE)&amp;J$7,COM_2012!$B$58:$AH$58,0),FALSE),"")))</f>
        <v/>
      </c>
      <c r="K27" s="494" t="str">
        <f>IF(K$7&lt;2020,"",IF(B27="*","",IFERROR(VLOOKUP($C27,COM_2012!$B$61:$AH$120,MATCH(VLOOKUP("*"&amp;$AX27,$A$10:$J$11,$J$9,FALSE)&amp;K$7,COM_2012!$B$58:$AH$58,0),FALSE),"")))</f>
        <v/>
      </c>
      <c r="L27" s="494" t="str">
        <f>IF(L$7&lt;2020,"",IF(C27="*","",IFERROR(VLOOKUP($C27,COM_2012!$B$61:$AH$120,MATCH(VLOOKUP("*"&amp;$AX27,$A$10:$J$11,$J$9,FALSE)&amp;L$7,COM_2012!$B$58:$AH$58,0),FALSE),"")))</f>
        <v/>
      </c>
      <c r="M27" s="494" t="str">
        <f>IF(M$7&lt;2020,"",IF(D27="*","",IFERROR(VLOOKUP($C27,COM_2012!$B$61:$AH$120,MATCH(VLOOKUP("*"&amp;$AX27,$A$10:$J$11,$J$9,FALSE)&amp;M$7,COM_2012!$B$58:$AH$58,0),FALSE),"")))</f>
        <v/>
      </c>
      <c r="N27" s="494" t="str">
        <f ca="1">IFERROR(VLOOKUP($C27,COM_2012!$B$61:$AH$120,MATCH(VLOOKUP("*"&amp;$AX27,$A$10:$J$11,$J$9,FALSE)&amp;N$7,COM_2012!$B$58:$AH$58,0),FALSE),"")</f>
        <v/>
      </c>
      <c r="O27" s="494" t="str">
        <f>IF(O$7&lt;2020,"",IF($A27="*","",IFERROR(VLOOKUP($C27,' COM_2017_old'!$B$61:$AJ$120,MATCH(VLOOKUP("*"&amp;$AX27,$A$10:$J$11,$J$9,FALSE)&amp;O$7,' COM_2017_old'!$B$58:$AJ$58,0),FALSE),"")))</f>
        <v/>
      </c>
      <c r="P27" s="494" t="str">
        <f ca="1">IFERROR(VLOOKUP($C27,COM_2012!$B$61:$AH$120,MATCH(VLOOKUP("*"&amp;$AX27,$A$10:$J$11,$J$9,FALSE)&amp;P$7,COM_2012!$B$58:$AH$58,0),FALSE),"")</f>
        <v/>
      </c>
      <c r="Q27" s="494" t="str">
        <f ca="1">IFERROR(VLOOKUP($C27,COM_2012!$B$61:$AH$120,MATCH(VLOOKUP("*"&amp;$AX27,$A$10:$J$11,$J$9,FALSE)&amp;Q$7,COM_2012!$B$58:$AH$58,0),FALSE),"")</f>
        <v/>
      </c>
      <c r="R27" s="494" t="str">
        <f ca="1">IF($A27="*","",IFERROR(VLOOKUP($C27,' COM_2017_old'!$B$61:$AJ$120,MATCH(VLOOKUP("*"&amp;$AX27,$A$10:$J$11,$J$9,FALSE)&amp;R$7,' COM_2017_old'!$B$58:$AJ$58,0),FALSE),""))</f>
        <v/>
      </c>
      <c r="S27" s="494" t="str">
        <f t="shared" ca="1" si="6"/>
        <v/>
      </c>
      <c r="T27" s="494" t="str">
        <f t="shared" ca="1" si="7"/>
        <v/>
      </c>
      <c r="U27" s="494" t="str">
        <f t="shared" ca="1" si="7"/>
        <v/>
      </c>
      <c r="V27" s="494" t="str">
        <f t="shared" ca="1" si="7"/>
        <v/>
      </c>
      <c r="W27" s="494" t="str">
        <f ca="1">IF($A27="*","",IFERROR(VLOOKUP($C27,' COM_2017_old'!$B$61:$AJ$120,MATCH(VLOOKUP("*"&amp;$AX27,$A$10:$J$11,$J$9,FALSE)&amp;W$7,' COM_2017_old'!$B$58:$AJ$58,0),FALSE),""))</f>
        <v/>
      </c>
      <c r="X27" s="494" t="str">
        <f t="shared" ca="1" si="8"/>
        <v/>
      </c>
      <c r="Y27" s="494" t="str">
        <f t="shared" ca="1" si="9"/>
        <v/>
      </c>
      <c r="Z27" s="494" t="str">
        <f t="shared" ca="1" si="9"/>
        <v/>
      </c>
      <c r="AA27" s="494" t="str">
        <f t="shared" ca="1" si="9"/>
        <v/>
      </c>
      <c r="AB27" s="494" t="str">
        <f ca="1">IF($A27="*","",IFERROR(VLOOKUP($C27,' COM_2017_old'!$B$61:$AJ$120,MATCH(VLOOKUP("*"&amp;$AX27,$A$10:$J$11,$J$9,FALSE)&amp;AB$7,' COM_2017_old'!$B$58:$AJ$58,0),FALSE),""))</f>
        <v/>
      </c>
      <c r="AC27" s="494" t="str">
        <f t="shared" ca="1" si="10"/>
        <v/>
      </c>
      <c r="AD27" s="494" t="str">
        <f t="shared" ca="1" si="11"/>
        <v/>
      </c>
      <c r="AE27" s="494" t="str">
        <f t="shared" ca="1" si="11"/>
        <v/>
      </c>
      <c r="AF27" s="494" t="str">
        <f t="shared" ca="1" si="11"/>
        <v/>
      </c>
      <c r="AG27" s="494" t="str">
        <f ca="1">IF($A27="*","",IFERROR(VLOOKUP($C27,' COM_2017_old'!$B$61:$AJ$120,MATCH(VLOOKUP("*"&amp;$AX27,$A$10:$J$11,$J$9,FALSE)&amp;AG$7,' COM_2017_old'!$B$58:$AJ$58,0),FALSE),""))</f>
        <v/>
      </c>
      <c r="AH27" s="494" t="str">
        <f t="shared" ca="1" si="12"/>
        <v/>
      </c>
      <c r="AI27" s="494" t="str">
        <f t="shared" ca="1" si="13"/>
        <v/>
      </c>
      <c r="AJ27" s="494" t="str">
        <f t="shared" ca="1" si="13"/>
        <v/>
      </c>
      <c r="AK27" s="494" t="str">
        <f t="shared" ca="1" si="13"/>
        <v/>
      </c>
      <c r="AL27" s="494" t="str">
        <f ca="1">IF($A27="*","",IFERROR(VLOOKUP($C27,' COM_2017_old'!$B$61:$AJ$120,MATCH(VLOOKUP("*"&amp;$AX27,$A$10:$J$11,$J$9,FALSE)&amp;AL$7,' COM_2017_old'!$B$58:$AJ$58,0),FALSE),""))</f>
        <v/>
      </c>
      <c r="AM27" s="494" t="str">
        <f ca="1">IF($A27="*","",IFERROR(VLOOKUP($C27,' COM_2017_old'!$B$61:$AJ$120,MATCH(VLOOKUP("*"&amp;$AX27,$A$10:$J$11,$J$9,FALSE)&amp;AM$7,' COM_2017_old'!$B$58:$AJ$58,0),FALSE),""))</f>
        <v/>
      </c>
      <c r="AN27" s="494" t="str">
        <f ca="1">IF($A27="*","",IFERROR(VLOOKUP($C27,' COM_2017_old'!$B$61:$AJ$120,MATCH(VLOOKUP("*"&amp;$AX27,$A$10:$J$11,$J$9,FALSE)&amp;AN$7,' COM_2017_old'!$B$58:$AJ$58,0),FALSE),""))</f>
        <v/>
      </c>
      <c r="AO27" s="391" t="str">
        <f ca="1">IFERROR(VLOOKUP($C27,COM_2012!$B$61:$AH$120,MATCH(VLOOKUP("*"&amp;$AX27,$A$10:$J$11,$J$9,FALSE)&amp;AO$7,COM_2012!$B$58:$AH$58,0),FALSE),"")</f>
        <v/>
      </c>
      <c r="AP27" s="391" t="str">
        <f ca="1">IFERROR(VLOOKUP($C27,COM_2012!$B$61:$AH$120,MATCH(VLOOKUP("*"&amp;$AX27,$A$10:$J$11,$J$9,FALSE)&amp;AP$7,COM_2012!$B$58:$AH$58,0),FALSE),"")</f>
        <v/>
      </c>
      <c r="AQ27" s="391" t="str">
        <f ca="1">IFERROR(VLOOKUP($C27,COM_2012!$B$61:$AH$120,MATCH(VLOOKUP("*"&amp;$AX27,$A$10:$J$11,$J$9,FALSE)&amp;AQ$7,COM_2012!$B$58:$AH$58,0),FALSE),"")</f>
        <v/>
      </c>
      <c r="AR27" s="391" t="str">
        <f ca="1">IFERROR(VLOOKUP($C27,COM_2012!$B$61:$AH$120,MATCH(VLOOKUP("*"&amp;$AX27,$A$10:$J$11,$J$9,FALSE)&amp;AR$7,COM_2012!$B$58:$AH$58,0),FALSE),"")</f>
        <v/>
      </c>
      <c r="AS27" s="391" t="str">
        <f ca="1">IFERROR(VLOOKUP($C27,COM_2012!$B$61:$AH$120,MATCH(VLOOKUP("*"&amp;$AX27,$A$10:$J$11,$J$9,FALSE)&amp;AS$7,COM_2012!$B$58:$AH$58,0),FALSE),"")</f>
        <v/>
      </c>
      <c r="AT27" s="391" t="str">
        <f ca="1">IFERROR(VLOOKUP($C27,COM_2012!$B$61:$AH$120,MATCH(VLOOKUP("*"&amp;$AX27,$A$10:$J$11,$J$9,FALSE)&amp;AT$7,COM_2012!$B$58:$AH$58,0),FALSE),"")</f>
        <v/>
      </c>
      <c r="AU27" s="391" t="str">
        <f ca="1">IFERROR(VLOOKUP($C27,COM_2012!$B$61:$AH$120,MATCH(VLOOKUP("*"&amp;$AX27,$A$10:$J$11,$J$9,FALSE)&amp;AU$7,COM_2012!$B$58:$AH$58,0),FALSE),"")</f>
        <v/>
      </c>
      <c r="AV27" s="391" t="str">
        <f ca="1">IFERROR(VLOOKUP($C27,COM_2012!$B$61:$AH$120,MATCH(VLOOKUP("*"&amp;$AX27,$A$10:$J$11,$J$9,FALSE)&amp;AV$7,COM_2012!$B$58:$AH$58,0),FALSE),"")</f>
        <v/>
      </c>
      <c r="AW27" s="391" t="str">
        <f ca="1">IFERROR(VLOOKUP($C27,COM_2012!$B$61:$AH$120,MATCH(VLOOKUP("*"&amp;$AX27,$A$10:$J$11,$J$9,FALSE)&amp;AW$7,COM_2012!$B$58:$AH$58,0),FALSE),"")</f>
        <v/>
      </c>
      <c r="AX27" s="304">
        <f>IF(AY26=COM_2012!$AI$121,AX26+1,AX26)</f>
        <v>1</v>
      </c>
      <c r="AY27" s="304">
        <f t="shared" si="15"/>
        <v>15</v>
      </c>
    </row>
    <row r="28" spans="1:51">
      <c r="A28" s="304" t="str">
        <f ca="1">IF(LEFT(OFFSET(COM_2012!$A$60,AY28,0),2)="\I","*","")</f>
        <v/>
      </c>
      <c r="B28" s="369" t="str">
        <f t="shared" ca="1" si="3"/>
        <v>FLO_MRKPRD</v>
      </c>
      <c r="C28" s="369" t="str">
        <f ca="1">IF($A28="*","",OFFSET(COM_2012!$B$60,AY28,0))</f>
        <v>CEKOLP-E</v>
      </c>
      <c r="D28" s="369" t="str">
        <f t="shared" ca="1" si="14"/>
        <v>CEK</v>
      </c>
      <c r="E28" s="369" t="str">
        <f t="shared" ca="1" si="4"/>
        <v>-</v>
      </c>
      <c r="F28" s="370" t="str">
        <f t="shared" ca="1" si="5"/>
        <v>-</v>
      </c>
      <c r="G28" s="370" t="str">
        <f t="shared" ca="1" si="5"/>
        <v>ANNUAL</v>
      </c>
      <c r="H28" s="370" t="str">
        <f t="shared" ca="1" si="5"/>
        <v>UP</v>
      </c>
      <c r="I28" s="370">
        <f t="shared" ca="1" si="5"/>
        <v>0</v>
      </c>
      <c r="J28" s="494" t="str">
        <f>IF(J$7&lt;2020,"",IF(A28="*","",IFERROR(VLOOKUP($C28,COM_2012!$B$61:$AH$120,MATCH(VLOOKUP("*"&amp;$AX28,$A$10:$J$11,$J$9,FALSE)&amp;J$7,COM_2012!$B$58:$AH$58,0),FALSE),"")))</f>
        <v/>
      </c>
      <c r="K28" s="494" t="str">
        <f>IF(K$7&lt;2020,"",IF(B28="*","",IFERROR(VLOOKUP($C28,COM_2012!$B$61:$AH$120,MATCH(VLOOKUP("*"&amp;$AX28,$A$10:$J$11,$J$9,FALSE)&amp;K$7,COM_2012!$B$58:$AH$58,0),FALSE),"")))</f>
        <v/>
      </c>
      <c r="L28" s="494" t="str">
        <f>IF(L$7&lt;2020,"",IF(C28="*","",IFERROR(VLOOKUP($C28,COM_2012!$B$61:$AH$120,MATCH(VLOOKUP("*"&amp;$AX28,$A$10:$J$11,$J$9,FALSE)&amp;L$7,COM_2012!$B$58:$AH$58,0),FALSE),"")))</f>
        <v/>
      </c>
      <c r="M28" s="494" t="str">
        <f>IF(M$7&lt;2020,"",IF(D28="*","",IFERROR(VLOOKUP($C28,COM_2012!$B$61:$AH$120,MATCH(VLOOKUP("*"&amp;$AX28,$A$10:$J$11,$J$9,FALSE)&amp;M$7,COM_2012!$B$58:$AH$58,0),FALSE),"")))</f>
        <v/>
      </c>
      <c r="N28" s="494" t="str">
        <f ca="1">IFERROR(VLOOKUP($C28,COM_2012!$B$61:$AH$120,MATCH(VLOOKUP("*"&amp;$AX28,$A$10:$J$11,$J$9,FALSE)&amp;N$7,COM_2012!$B$58:$AH$58,0),FALSE),"")</f>
        <v/>
      </c>
      <c r="O28" s="494" t="str">
        <f>IF(O$7&lt;2020,"",IF($A28="*","",IFERROR(VLOOKUP($C28,' COM_2017_old'!$B$61:$AJ$120,MATCH(VLOOKUP("*"&amp;$AX28,$A$10:$J$11,$J$9,FALSE)&amp;O$7,' COM_2017_old'!$B$58:$AJ$58,0),FALSE),"")))</f>
        <v/>
      </c>
      <c r="P28" s="494" t="str">
        <f ca="1">IFERROR(VLOOKUP($C28,COM_2012!$B$61:$AH$120,MATCH(VLOOKUP("*"&amp;$AX28,$A$10:$J$11,$J$9,FALSE)&amp;P$7,COM_2012!$B$58:$AH$58,0),FALSE),"")</f>
        <v/>
      </c>
      <c r="Q28" s="494" t="str">
        <f ca="1">IFERROR(VLOOKUP($C28,COM_2012!$B$61:$AH$120,MATCH(VLOOKUP("*"&amp;$AX28,$A$10:$J$11,$J$9,FALSE)&amp;Q$7,COM_2012!$B$58:$AH$58,0),FALSE),"")</f>
        <v/>
      </c>
      <c r="R28" s="494">
        <f ca="1">IF($A28="*","",IFERROR(VLOOKUP($C28,' COM_2017_old'!$B$61:$AJ$120,MATCH(VLOOKUP("*"&amp;$AX28,$A$10:$J$11,$J$9,FALSE)&amp;R$7,' COM_2017_old'!$B$58:$AJ$58,0),FALSE),""))</f>
        <v>3.4848008358393912E-2</v>
      </c>
      <c r="S28" s="494">
        <f t="shared" ca="1" si="6"/>
        <v>4.884800835839391E-2</v>
      </c>
      <c r="T28" s="494">
        <f t="shared" ca="1" si="7"/>
        <v>6.2848008358393909E-2</v>
      </c>
      <c r="U28" s="494">
        <f t="shared" ca="1" si="7"/>
        <v>7.6848008358393907E-2</v>
      </c>
      <c r="V28" s="494">
        <f t="shared" ca="1" si="7"/>
        <v>9.0848008358393906E-2</v>
      </c>
      <c r="W28" s="494">
        <f ca="1">IF($A28="*","",IFERROR(VLOOKUP($C28,' COM_2017_old'!$B$61:$AJ$120,MATCH(VLOOKUP("*"&amp;$AX28,$A$10:$J$11,$J$9,FALSE)&amp;W$7,' COM_2017_old'!$B$58:$AJ$58,0),FALSE),""))</f>
        <v>0.10484800835839392</v>
      </c>
      <c r="X28" s="494">
        <f t="shared" ca="1" si="8"/>
        <v>0.1448480083583939</v>
      </c>
      <c r="Y28" s="494">
        <f t="shared" ca="1" si="9"/>
        <v>0.18484800835839388</v>
      </c>
      <c r="Z28" s="494">
        <f t="shared" ca="1" si="9"/>
        <v>0.22484800835839386</v>
      </c>
      <c r="AA28" s="494">
        <f t="shared" ca="1" si="9"/>
        <v>0.26484800835839384</v>
      </c>
      <c r="AB28" s="494">
        <f ca="1">IF($A28="*","",IFERROR(VLOOKUP($C28,' COM_2017_old'!$B$61:$AJ$120,MATCH(VLOOKUP("*"&amp;$AX28,$A$10:$J$11,$J$9,FALSE)&amp;AB$7,' COM_2017_old'!$B$58:$AJ$58,0),FALSE),""))</f>
        <v>0.30484800835839387</v>
      </c>
      <c r="AC28" s="494">
        <f t="shared" ca="1" si="10"/>
        <v>0.35484800835839392</v>
      </c>
      <c r="AD28" s="494">
        <f t="shared" ca="1" si="11"/>
        <v>0.40484800835839396</v>
      </c>
      <c r="AE28" s="494">
        <f t="shared" ca="1" si="11"/>
        <v>0.45484800835839401</v>
      </c>
      <c r="AF28" s="494">
        <f t="shared" ca="1" si="11"/>
        <v>0.50484800835839405</v>
      </c>
      <c r="AG28" s="494">
        <f ca="1">IF($A28="*","",IFERROR(VLOOKUP($C28,' COM_2017_old'!$B$61:$AJ$120,MATCH(VLOOKUP("*"&amp;$AX28,$A$10:$J$11,$J$9,FALSE)&amp;AG$7,' COM_2017_old'!$B$58:$AJ$58,0),FALSE),""))</f>
        <v>0.55484800835839398</v>
      </c>
      <c r="AH28" s="494">
        <f t="shared" ca="1" si="12"/>
        <v>0.61484800835839393</v>
      </c>
      <c r="AI28" s="494">
        <f t="shared" ca="1" si="13"/>
        <v>0.67484800835839387</v>
      </c>
      <c r="AJ28" s="494">
        <f t="shared" ca="1" si="13"/>
        <v>0.73484800835839381</v>
      </c>
      <c r="AK28" s="494">
        <f t="shared" ca="1" si="13"/>
        <v>0.79484800835839375</v>
      </c>
      <c r="AL28" s="494">
        <f ca="1">IF($A28="*","",IFERROR(VLOOKUP($C28,' COM_2017_old'!$B$61:$AJ$120,MATCH(VLOOKUP("*"&amp;$AX28,$A$10:$J$11,$J$9,FALSE)&amp;AL$7,' COM_2017_old'!$B$58:$AJ$58,0),FALSE),""))</f>
        <v>0.85484800835839392</v>
      </c>
      <c r="AM28" s="494">
        <f ca="1">IF($A28="*","",IFERROR(VLOOKUP($C28,' COM_2017_old'!$B$61:$AJ$120,MATCH(VLOOKUP("*"&amp;$AX28,$A$10:$J$11,$J$9,FALSE)&amp;AM$7,' COM_2017_old'!$B$58:$AJ$58,0),FALSE),""))</f>
        <v>0.9548480083583939</v>
      </c>
      <c r="AN28" s="494">
        <f ca="1">IF($A28="*","",IFERROR(VLOOKUP($C28,' COM_2017_old'!$B$61:$AJ$120,MATCH(VLOOKUP("*"&amp;$AX28,$A$10:$J$11,$J$9,FALSE)&amp;AN$7,' COM_2017_old'!$B$58:$AJ$58,0),FALSE),""))</f>
        <v>1</v>
      </c>
      <c r="AO28" s="391" t="str">
        <f ca="1">IFERROR(VLOOKUP($C28,COM_2012!$B$61:$AH$120,MATCH(VLOOKUP("*"&amp;$AX28,$A$10:$J$11,$J$9,FALSE)&amp;AO$7,COM_2012!$B$58:$AH$58,0),FALSE),"")</f>
        <v/>
      </c>
      <c r="AP28" s="391" t="str">
        <f ca="1">IFERROR(VLOOKUP($C28,COM_2012!$B$61:$AH$120,MATCH(VLOOKUP("*"&amp;$AX28,$A$10:$J$11,$J$9,FALSE)&amp;AP$7,COM_2012!$B$58:$AH$58,0),FALSE),"")</f>
        <v/>
      </c>
      <c r="AQ28" s="391" t="str">
        <f ca="1">IFERROR(VLOOKUP($C28,COM_2012!$B$61:$AH$120,MATCH(VLOOKUP("*"&amp;$AX28,$A$10:$J$11,$J$9,FALSE)&amp;AQ$7,COM_2012!$B$58:$AH$58,0),FALSE),"")</f>
        <v/>
      </c>
      <c r="AR28" s="391" t="str">
        <f ca="1">IFERROR(VLOOKUP($C28,COM_2012!$B$61:$AH$120,MATCH(VLOOKUP("*"&amp;$AX28,$A$10:$J$11,$J$9,FALSE)&amp;AR$7,COM_2012!$B$58:$AH$58,0),FALSE),"")</f>
        <v/>
      </c>
      <c r="AS28" s="391" t="str">
        <f ca="1">IFERROR(VLOOKUP($C28,COM_2012!$B$61:$AH$120,MATCH(VLOOKUP("*"&amp;$AX28,$A$10:$J$11,$J$9,FALSE)&amp;AS$7,COM_2012!$B$58:$AH$58,0),FALSE),"")</f>
        <v/>
      </c>
      <c r="AT28" s="391" t="str">
        <f ca="1">IFERROR(VLOOKUP($C28,COM_2012!$B$61:$AH$120,MATCH(VLOOKUP("*"&amp;$AX28,$A$10:$J$11,$J$9,FALSE)&amp;AT$7,COM_2012!$B$58:$AH$58,0),FALSE),"")</f>
        <v/>
      </c>
      <c r="AU28" s="391" t="str">
        <f ca="1">IFERROR(VLOOKUP($C28,COM_2012!$B$61:$AH$120,MATCH(VLOOKUP("*"&amp;$AX28,$A$10:$J$11,$J$9,FALSE)&amp;AU$7,COM_2012!$B$58:$AH$58,0),FALSE),"")</f>
        <v/>
      </c>
      <c r="AV28" s="391" t="str">
        <f ca="1">IFERROR(VLOOKUP($C28,COM_2012!$B$61:$AH$120,MATCH(VLOOKUP("*"&amp;$AX28,$A$10:$J$11,$J$9,FALSE)&amp;AV$7,COM_2012!$B$58:$AH$58,0),FALSE),"")</f>
        <v/>
      </c>
      <c r="AW28" s="391" t="str">
        <f ca="1">IFERROR(VLOOKUP($C28,COM_2012!$B$61:$AH$120,MATCH(VLOOKUP("*"&amp;$AX28,$A$10:$J$11,$J$9,FALSE)&amp;AW$7,COM_2012!$B$58:$AH$58,0),FALSE),"")</f>
        <v/>
      </c>
      <c r="AX28" s="304">
        <f>IF(AY27=COM_2012!$AI$121,AX27+1,AX27)</f>
        <v>1</v>
      </c>
      <c r="AY28" s="304">
        <f t="shared" si="15"/>
        <v>16</v>
      </c>
    </row>
    <row r="29" spans="1:51">
      <c r="A29" s="304" t="str">
        <f ca="1">IF(LEFT(OFFSET(COM_2012!$A$60,AY29,0),2)="\I","*","")</f>
        <v/>
      </c>
      <c r="B29" s="369" t="str">
        <f t="shared" ca="1" si="3"/>
        <v>FLO_MRKPRD</v>
      </c>
      <c r="C29" s="369" t="str">
        <f ca="1">IF($A29="*","",OFFSET(COM_2012!$B$60,AY29,0))</f>
        <v>CEKELC-E</v>
      </c>
      <c r="D29" s="369" t="str">
        <f t="shared" ca="1" si="14"/>
        <v>CEK</v>
      </c>
      <c r="E29" s="369" t="str">
        <f t="shared" ca="1" si="4"/>
        <v>-</v>
      </c>
      <c r="F29" s="370" t="str">
        <f t="shared" ca="1" si="5"/>
        <v>-</v>
      </c>
      <c r="G29" s="370" t="str">
        <f t="shared" ca="1" si="5"/>
        <v>ANNUAL</v>
      </c>
      <c r="H29" s="370" t="str">
        <f t="shared" ca="1" si="5"/>
        <v>UP</v>
      </c>
      <c r="I29" s="370">
        <f t="shared" ca="1" si="5"/>
        <v>0</v>
      </c>
      <c r="J29" s="494" t="str">
        <f>IF(J$7&lt;2020,"",IF(A29="*","",IFERROR(VLOOKUP($C29,COM_2012!$B$61:$AH$120,MATCH(VLOOKUP("*"&amp;$AX29,$A$10:$J$11,$J$9,FALSE)&amp;J$7,COM_2012!$B$58:$AH$58,0),FALSE),"")))</f>
        <v/>
      </c>
      <c r="K29" s="494" t="str">
        <f>IF(K$7&lt;2020,"",IF(B29="*","",IFERROR(VLOOKUP($C29,COM_2012!$B$61:$AH$120,MATCH(VLOOKUP("*"&amp;$AX29,$A$10:$J$11,$J$9,FALSE)&amp;K$7,COM_2012!$B$58:$AH$58,0),FALSE),"")))</f>
        <v/>
      </c>
      <c r="L29" s="494" t="str">
        <f>IF(L$7&lt;2020,"",IF(C29="*","",IFERROR(VLOOKUP($C29,COM_2012!$B$61:$AH$120,MATCH(VLOOKUP("*"&amp;$AX29,$A$10:$J$11,$J$9,FALSE)&amp;L$7,COM_2012!$B$58:$AH$58,0),FALSE),"")))</f>
        <v/>
      </c>
      <c r="M29" s="494" t="str">
        <f>IF(M$7&lt;2020,"",IF(D29="*","",IFERROR(VLOOKUP($C29,COM_2012!$B$61:$AH$120,MATCH(VLOOKUP("*"&amp;$AX29,$A$10:$J$11,$J$9,FALSE)&amp;M$7,COM_2012!$B$58:$AH$58,0),FALSE),"")))</f>
        <v/>
      </c>
      <c r="N29" s="494" t="str">
        <f ca="1">IFERROR(VLOOKUP($C29,COM_2012!$B$61:$AH$120,MATCH(VLOOKUP("*"&amp;$AX29,$A$10:$J$11,$J$9,FALSE)&amp;N$7,COM_2012!$B$58:$AH$58,0),FALSE),"")</f>
        <v/>
      </c>
      <c r="O29" s="494" t="str">
        <f>IF(O$7&lt;2020,"",IF($A29="*","",IFERROR(VLOOKUP($C29,' COM_2017_old'!$B$61:$AJ$120,MATCH(VLOOKUP("*"&amp;$AX29,$A$10:$J$11,$J$9,FALSE)&amp;O$7,' COM_2017_old'!$B$58:$AJ$58,0),FALSE),"")))</f>
        <v/>
      </c>
      <c r="P29" s="494" t="str">
        <f ca="1">IFERROR(VLOOKUP($C29,COM_2012!$B$61:$AH$120,MATCH(VLOOKUP("*"&amp;$AX29,$A$10:$J$11,$J$9,FALSE)&amp;P$7,COM_2012!$B$58:$AH$58,0),FALSE),"")</f>
        <v/>
      </c>
      <c r="Q29" s="494" t="str">
        <f ca="1">IFERROR(VLOOKUP($C29,COM_2012!$B$61:$AH$120,MATCH(VLOOKUP("*"&amp;$AX29,$A$10:$J$11,$J$9,FALSE)&amp;Q$7,COM_2012!$B$58:$AH$58,0),FALSE),"")</f>
        <v/>
      </c>
      <c r="R29" s="494">
        <f ca="1">IF($A29="*","",IFERROR(VLOOKUP($C29,' COM_2017_old'!$B$61:$AJ$120,MATCH(VLOOKUP("*"&amp;$AX29,$A$10:$J$11,$J$9,FALSE)&amp;R$7,' COM_2017_old'!$B$58:$AJ$58,0),FALSE),""))</f>
        <v>1</v>
      </c>
      <c r="S29" s="494">
        <f t="shared" ca="1" si="6"/>
        <v>1</v>
      </c>
      <c r="T29" s="494">
        <f t="shared" ca="1" si="7"/>
        <v>1</v>
      </c>
      <c r="U29" s="494">
        <f t="shared" ca="1" si="7"/>
        <v>1</v>
      </c>
      <c r="V29" s="494">
        <f t="shared" ca="1" si="7"/>
        <v>1</v>
      </c>
      <c r="W29" s="494">
        <f ca="1">IF($A29="*","",IFERROR(VLOOKUP($C29,' COM_2017_old'!$B$61:$AJ$120,MATCH(VLOOKUP("*"&amp;$AX29,$A$10:$J$11,$J$9,FALSE)&amp;W$7,' COM_2017_old'!$B$58:$AJ$58,0),FALSE),""))</f>
        <v>1</v>
      </c>
      <c r="X29" s="494">
        <f t="shared" ca="1" si="8"/>
        <v>1</v>
      </c>
      <c r="Y29" s="494">
        <f t="shared" ca="1" si="9"/>
        <v>1</v>
      </c>
      <c r="Z29" s="494">
        <f t="shared" ca="1" si="9"/>
        <v>1</v>
      </c>
      <c r="AA29" s="494">
        <f t="shared" ca="1" si="9"/>
        <v>1</v>
      </c>
      <c r="AB29" s="494">
        <f ca="1">IF($A29="*","",IFERROR(VLOOKUP($C29,' COM_2017_old'!$B$61:$AJ$120,MATCH(VLOOKUP("*"&amp;$AX29,$A$10:$J$11,$J$9,FALSE)&amp;AB$7,' COM_2017_old'!$B$58:$AJ$58,0),FALSE),""))</f>
        <v>1</v>
      </c>
      <c r="AC29" s="494">
        <f t="shared" ca="1" si="10"/>
        <v>1</v>
      </c>
      <c r="AD29" s="494">
        <f t="shared" ca="1" si="11"/>
        <v>1</v>
      </c>
      <c r="AE29" s="494">
        <f t="shared" ca="1" si="11"/>
        <v>1</v>
      </c>
      <c r="AF29" s="494">
        <f t="shared" ca="1" si="11"/>
        <v>1</v>
      </c>
      <c r="AG29" s="494">
        <f ca="1">IF($A29="*","",IFERROR(VLOOKUP($C29,' COM_2017_old'!$B$61:$AJ$120,MATCH(VLOOKUP("*"&amp;$AX29,$A$10:$J$11,$J$9,FALSE)&amp;AG$7,' COM_2017_old'!$B$58:$AJ$58,0),FALSE),""))</f>
        <v>1</v>
      </c>
      <c r="AH29" s="494">
        <f t="shared" ca="1" si="12"/>
        <v>1</v>
      </c>
      <c r="AI29" s="494">
        <f t="shared" ca="1" si="13"/>
        <v>1</v>
      </c>
      <c r="AJ29" s="494">
        <f t="shared" ca="1" si="13"/>
        <v>1</v>
      </c>
      <c r="AK29" s="494">
        <f t="shared" ca="1" si="13"/>
        <v>1</v>
      </c>
      <c r="AL29" s="494">
        <f ca="1">IF($A29="*","",IFERROR(VLOOKUP($C29,' COM_2017_old'!$B$61:$AJ$120,MATCH(VLOOKUP("*"&amp;$AX29,$A$10:$J$11,$J$9,FALSE)&amp;AL$7,' COM_2017_old'!$B$58:$AJ$58,0),FALSE),""))</f>
        <v>1</v>
      </c>
      <c r="AM29" s="494">
        <f ca="1">IF($A29="*","",IFERROR(VLOOKUP($C29,' COM_2017_old'!$B$61:$AJ$120,MATCH(VLOOKUP("*"&amp;$AX29,$A$10:$J$11,$J$9,FALSE)&amp;AM$7,' COM_2017_old'!$B$58:$AJ$58,0),FALSE),""))</f>
        <v>1</v>
      </c>
      <c r="AN29" s="494">
        <f ca="1">IF($A29="*","",IFERROR(VLOOKUP($C29,' COM_2017_old'!$B$61:$AJ$120,MATCH(VLOOKUP("*"&amp;$AX29,$A$10:$J$11,$J$9,FALSE)&amp;AN$7,' COM_2017_old'!$B$58:$AJ$58,0),FALSE),""))</f>
        <v>1</v>
      </c>
      <c r="AO29" s="391" t="str">
        <f ca="1">IFERROR(VLOOKUP($C29,COM_2012!$B$61:$AH$120,MATCH(VLOOKUP("*"&amp;$AX29,$A$10:$J$11,$J$9,FALSE)&amp;AO$7,COM_2012!$B$58:$AH$58,0),FALSE),"")</f>
        <v/>
      </c>
      <c r="AP29" s="391" t="str">
        <f ca="1">IFERROR(VLOOKUP($C29,COM_2012!$B$61:$AH$120,MATCH(VLOOKUP("*"&amp;$AX29,$A$10:$J$11,$J$9,FALSE)&amp;AP$7,COM_2012!$B$58:$AH$58,0),FALSE),"")</f>
        <v/>
      </c>
      <c r="AQ29" s="391" t="str">
        <f ca="1">IFERROR(VLOOKUP($C29,COM_2012!$B$61:$AH$120,MATCH(VLOOKUP("*"&amp;$AX29,$A$10:$J$11,$J$9,FALSE)&amp;AQ$7,COM_2012!$B$58:$AH$58,0),FALSE),"")</f>
        <v/>
      </c>
      <c r="AR29" s="391" t="str">
        <f ca="1">IFERROR(VLOOKUP($C29,COM_2012!$B$61:$AH$120,MATCH(VLOOKUP("*"&amp;$AX29,$A$10:$J$11,$J$9,FALSE)&amp;AR$7,COM_2012!$B$58:$AH$58,0),FALSE),"")</f>
        <v/>
      </c>
      <c r="AS29" s="391" t="str">
        <f ca="1">IFERROR(VLOOKUP($C29,COM_2012!$B$61:$AH$120,MATCH(VLOOKUP("*"&amp;$AX29,$A$10:$J$11,$J$9,FALSE)&amp;AS$7,COM_2012!$B$58:$AH$58,0),FALSE),"")</f>
        <v/>
      </c>
      <c r="AT29" s="391" t="str">
        <f ca="1">IFERROR(VLOOKUP($C29,COM_2012!$B$61:$AH$120,MATCH(VLOOKUP("*"&amp;$AX29,$A$10:$J$11,$J$9,FALSE)&amp;AT$7,COM_2012!$B$58:$AH$58,0),FALSE),"")</f>
        <v/>
      </c>
      <c r="AU29" s="391" t="str">
        <f ca="1">IFERROR(VLOOKUP($C29,COM_2012!$B$61:$AH$120,MATCH(VLOOKUP("*"&amp;$AX29,$A$10:$J$11,$J$9,FALSE)&amp;AU$7,COM_2012!$B$58:$AH$58,0),FALSE),"")</f>
        <v/>
      </c>
      <c r="AV29" s="391" t="str">
        <f ca="1">IFERROR(VLOOKUP($C29,COM_2012!$B$61:$AH$120,MATCH(VLOOKUP("*"&amp;$AX29,$A$10:$J$11,$J$9,FALSE)&amp;AV$7,COM_2012!$B$58:$AH$58,0),FALSE),"")</f>
        <v/>
      </c>
      <c r="AW29" s="391" t="str">
        <f ca="1">IFERROR(VLOOKUP($C29,COM_2012!$B$61:$AH$120,MATCH(VLOOKUP("*"&amp;$AX29,$A$10:$J$11,$J$9,FALSE)&amp;AW$7,COM_2012!$B$58:$AH$58,0),FALSE),"")</f>
        <v/>
      </c>
      <c r="AX29" s="304">
        <f>IF(AY28=COM_2012!$AI$121,AX28+1,AX28)</f>
        <v>1</v>
      </c>
      <c r="AY29" s="304">
        <f t="shared" si="15"/>
        <v>17</v>
      </c>
    </row>
    <row r="30" spans="1:51">
      <c r="A30" s="304" t="str">
        <f ca="1">IF(LEFT(OFFSET(COM_2012!$A$60,AY30,0),2)="\I","*","")</f>
        <v/>
      </c>
      <c r="B30" s="369" t="str">
        <f t="shared" ca="1" si="3"/>
        <v>FLO_MRKPRD</v>
      </c>
      <c r="C30" s="369" t="str">
        <f ca="1">IF($A30="*","",OFFSET(COM_2012!$B$60,AY30,0))</f>
        <v>CEKCOA-E</v>
      </c>
      <c r="D30" s="369" t="str">
        <f t="shared" ca="1" si="14"/>
        <v>CEK</v>
      </c>
      <c r="E30" s="369" t="str">
        <f t="shared" ca="1" si="4"/>
        <v>-</v>
      </c>
      <c r="F30" s="370" t="str">
        <f t="shared" ca="1" si="5"/>
        <v>-</v>
      </c>
      <c r="G30" s="370" t="str">
        <f t="shared" ca="1" si="5"/>
        <v>ANNUAL</v>
      </c>
      <c r="H30" s="370" t="str">
        <f t="shared" ca="1" si="5"/>
        <v>UP</v>
      </c>
      <c r="I30" s="370">
        <f t="shared" ca="1" si="5"/>
        <v>0</v>
      </c>
      <c r="J30" s="494" t="str">
        <f>IF(J$7&lt;2020,"",IF(A30="*","",IFERROR(VLOOKUP($C30,COM_2012!$B$61:$AH$120,MATCH(VLOOKUP("*"&amp;$AX30,$A$10:$J$11,$J$9,FALSE)&amp;J$7,COM_2012!$B$58:$AH$58,0),FALSE),"")))</f>
        <v/>
      </c>
      <c r="K30" s="494" t="str">
        <f>IF(K$7&lt;2020,"",IF(B30="*","",IFERROR(VLOOKUP($C30,COM_2012!$B$61:$AH$120,MATCH(VLOOKUP("*"&amp;$AX30,$A$10:$J$11,$J$9,FALSE)&amp;K$7,COM_2012!$B$58:$AH$58,0),FALSE),"")))</f>
        <v/>
      </c>
      <c r="L30" s="494" t="str">
        <f>IF(L$7&lt;2020,"",IF(C30="*","",IFERROR(VLOOKUP($C30,COM_2012!$B$61:$AH$120,MATCH(VLOOKUP("*"&amp;$AX30,$A$10:$J$11,$J$9,FALSE)&amp;L$7,COM_2012!$B$58:$AH$58,0),FALSE),"")))</f>
        <v/>
      </c>
      <c r="M30" s="494" t="str">
        <f>IF(M$7&lt;2020,"",IF(D30="*","",IFERROR(VLOOKUP($C30,COM_2012!$B$61:$AH$120,MATCH(VLOOKUP("*"&amp;$AX30,$A$10:$J$11,$J$9,FALSE)&amp;M$7,COM_2012!$B$58:$AH$58,0),FALSE),"")))</f>
        <v/>
      </c>
      <c r="N30" s="494" t="str">
        <f ca="1">IFERROR(VLOOKUP($C30,COM_2012!$B$61:$AH$120,MATCH(VLOOKUP("*"&amp;$AX30,$A$10:$J$11,$J$9,FALSE)&amp;N$7,COM_2012!$B$58:$AH$58,0),FALSE),"")</f>
        <v/>
      </c>
      <c r="O30" s="494" t="str">
        <f>IF(O$7&lt;2020,"",IF($A30="*","",IFERROR(VLOOKUP($C30,' COM_2017_old'!$B$61:$AJ$120,MATCH(VLOOKUP("*"&amp;$AX30,$A$10:$J$11,$J$9,FALSE)&amp;O$7,' COM_2017_old'!$B$58:$AJ$58,0),FALSE),"")))</f>
        <v/>
      </c>
      <c r="P30" s="494" t="str">
        <f ca="1">IFERROR(VLOOKUP($C30,COM_2012!$B$61:$AH$120,MATCH(VLOOKUP("*"&amp;$AX30,$A$10:$J$11,$J$9,FALSE)&amp;P$7,COM_2012!$B$58:$AH$58,0),FALSE),"")</f>
        <v/>
      </c>
      <c r="Q30" s="494" t="str">
        <f ca="1">IFERROR(VLOOKUP($C30,COM_2012!$B$61:$AH$120,MATCH(VLOOKUP("*"&amp;$AX30,$A$10:$J$11,$J$9,FALSE)&amp;Q$7,COM_2012!$B$58:$AH$58,0),FALSE),"")</f>
        <v/>
      </c>
      <c r="R30" s="494">
        <f ca="1">IF($A30="*","",IFERROR(VLOOKUP($C30,' COM_2017_old'!$B$61:$AJ$120,MATCH(VLOOKUP("*"&amp;$AX30,$A$10:$J$11,$J$9,FALSE)&amp;R$7,' COM_2017_old'!$B$58:$AJ$58,0),FALSE),""))</f>
        <v>1.7288077828194047E-3</v>
      </c>
      <c r="S30" s="494">
        <f t="shared" ca="1" si="6"/>
        <v>1.7288077828194047E-3</v>
      </c>
      <c r="T30" s="494">
        <f t="shared" ca="1" si="7"/>
        <v>1.7288077828194047E-3</v>
      </c>
      <c r="U30" s="494">
        <f t="shared" ca="1" si="7"/>
        <v>1.7288077828194047E-3</v>
      </c>
      <c r="V30" s="494">
        <f t="shared" ca="1" si="7"/>
        <v>1.7288077828194047E-3</v>
      </c>
      <c r="W30" s="494">
        <f ca="1">IF($A30="*","",IFERROR(VLOOKUP($C30,' COM_2017_old'!$B$61:$AJ$120,MATCH(VLOOKUP("*"&amp;$AX30,$A$10:$J$11,$J$9,FALSE)&amp;W$7,' COM_2017_old'!$B$58:$AJ$58,0),FALSE),""))</f>
        <v>1.7288077828194047E-3</v>
      </c>
      <c r="X30" s="494">
        <f t="shared" ca="1" si="8"/>
        <v>1.7288077828194047E-3</v>
      </c>
      <c r="Y30" s="494">
        <f t="shared" ca="1" si="9"/>
        <v>1.7288077828194047E-3</v>
      </c>
      <c r="Z30" s="494">
        <f t="shared" ca="1" si="9"/>
        <v>1.7288077828194047E-3</v>
      </c>
      <c r="AA30" s="494">
        <f t="shared" ca="1" si="9"/>
        <v>1.7288077828194047E-3</v>
      </c>
      <c r="AB30" s="494">
        <f ca="1">IF($A30="*","",IFERROR(VLOOKUP($C30,' COM_2017_old'!$B$61:$AJ$120,MATCH(VLOOKUP("*"&amp;$AX30,$A$10:$J$11,$J$9,FALSE)&amp;AB$7,' COM_2017_old'!$B$58:$AJ$58,0),FALSE),""))</f>
        <v>1.7288077828194047E-3</v>
      </c>
      <c r="AC30" s="494">
        <f t="shared" ca="1" si="10"/>
        <v>1.7288077828194047E-3</v>
      </c>
      <c r="AD30" s="494">
        <f t="shared" ca="1" si="11"/>
        <v>1.7288077828194047E-3</v>
      </c>
      <c r="AE30" s="494">
        <f t="shared" ca="1" si="11"/>
        <v>1.7288077828194047E-3</v>
      </c>
      <c r="AF30" s="494">
        <f t="shared" ca="1" si="11"/>
        <v>1.7288077828194047E-3</v>
      </c>
      <c r="AG30" s="494">
        <f ca="1">IF($A30="*","",IFERROR(VLOOKUP($C30,' COM_2017_old'!$B$61:$AJ$120,MATCH(VLOOKUP("*"&amp;$AX30,$A$10:$J$11,$J$9,FALSE)&amp;AG$7,' COM_2017_old'!$B$58:$AJ$58,0),FALSE),""))</f>
        <v>1.7288077828194047E-3</v>
      </c>
      <c r="AH30" s="494">
        <f t="shared" ca="1" si="12"/>
        <v>1.7288077828194047E-3</v>
      </c>
      <c r="AI30" s="494">
        <f t="shared" ca="1" si="13"/>
        <v>1.7288077828194047E-3</v>
      </c>
      <c r="AJ30" s="494">
        <f t="shared" ca="1" si="13"/>
        <v>1.7288077828194047E-3</v>
      </c>
      <c r="AK30" s="494">
        <f t="shared" ca="1" si="13"/>
        <v>1.7288077828194047E-3</v>
      </c>
      <c r="AL30" s="494">
        <f ca="1">IF($A30="*","",IFERROR(VLOOKUP($C30,' COM_2017_old'!$B$61:$AJ$120,MATCH(VLOOKUP("*"&amp;$AX30,$A$10:$J$11,$J$9,FALSE)&amp;AL$7,' COM_2017_old'!$B$58:$AJ$58,0),FALSE),""))</f>
        <v>1.7288077828194047E-3</v>
      </c>
      <c r="AM30" s="494">
        <f ca="1">IF($A30="*","",IFERROR(VLOOKUP($C30,' COM_2017_old'!$B$61:$AJ$120,MATCH(VLOOKUP("*"&amp;$AX30,$A$10:$J$11,$J$9,FALSE)&amp;AM$7,' COM_2017_old'!$B$58:$AJ$58,0),FALSE),""))</f>
        <v>1.7288077828194047E-3</v>
      </c>
      <c r="AN30" s="494">
        <f ca="1">IF($A30="*","",IFERROR(VLOOKUP($C30,' COM_2017_old'!$B$61:$AJ$120,MATCH(VLOOKUP("*"&amp;$AX30,$A$10:$J$11,$J$9,FALSE)&amp;AN$7,' COM_2017_old'!$B$58:$AJ$58,0),FALSE),""))</f>
        <v>1.7288077828194047E-3</v>
      </c>
      <c r="AO30" s="391" t="str">
        <f ca="1">IFERROR(VLOOKUP($C30,COM_2012!$B$61:$AH$120,MATCH(VLOOKUP("*"&amp;$AX30,$A$10:$J$11,$J$9,FALSE)&amp;AO$7,COM_2012!$B$58:$AH$58,0),FALSE),"")</f>
        <v/>
      </c>
      <c r="AP30" s="391" t="str">
        <f ca="1">IFERROR(VLOOKUP($C30,COM_2012!$B$61:$AH$120,MATCH(VLOOKUP("*"&amp;$AX30,$A$10:$J$11,$J$9,FALSE)&amp;AP$7,COM_2012!$B$58:$AH$58,0),FALSE),"")</f>
        <v/>
      </c>
      <c r="AQ30" s="391" t="str">
        <f ca="1">IFERROR(VLOOKUP($C30,COM_2012!$B$61:$AH$120,MATCH(VLOOKUP("*"&amp;$AX30,$A$10:$J$11,$J$9,FALSE)&amp;AQ$7,COM_2012!$B$58:$AH$58,0),FALSE),"")</f>
        <v/>
      </c>
      <c r="AR30" s="391" t="str">
        <f ca="1">IFERROR(VLOOKUP($C30,COM_2012!$B$61:$AH$120,MATCH(VLOOKUP("*"&amp;$AX30,$A$10:$J$11,$J$9,FALSE)&amp;AR$7,COM_2012!$B$58:$AH$58,0),FALSE),"")</f>
        <v/>
      </c>
      <c r="AS30" s="391" t="str">
        <f ca="1">IFERROR(VLOOKUP($C30,COM_2012!$B$61:$AH$120,MATCH(VLOOKUP("*"&amp;$AX30,$A$10:$J$11,$J$9,FALSE)&amp;AS$7,COM_2012!$B$58:$AH$58,0),FALSE),"")</f>
        <v/>
      </c>
      <c r="AT30" s="391" t="str">
        <f ca="1">IFERROR(VLOOKUP($C30,COM_2012!$B$61:$AH$120,MATCH(VLOOKUP("*"&amp;$AX30,$A$10:$J$11,$J$9,FALSE)&amp;AT$7,COM_2012!$B$58:$AH$58,0),FALSE),"")</f>
        <v/>
      </c>
      <c r="AU30" s="391" t="str">
        <f ca="1">IFERROR(VLOOKUP($C30,COM_2012!$B$61:$AH$120,MATCH(VLOOKUP("*"&amp;$AX30,$A$10:$J$11,$J$9,FALSE)&amp;AU$7,COM_2012!$B$58:$AH$58,0),FALSE),"")</f>
        <v/>
      </c>
      <c r="AV30" s="391" t="str">
        <f ca="1">IFERROR(VLOOKUP($C30,COM_2012!$B$61:$AH$120,MATCH(VLOOKUP("*"&amp;$AX30,$A$10:$J$11,$J$9,FALSE)&amp;AV$7,COM_2012!$B$58:$AH$58,0),FALSE),"")</f>
        <v/>
      </c>
      <c r="AW30" s="391" t="str">
        <f ca="1">IFERROR(VLOOKUP($C30,COM_2012!$B$61:$AH$120,MATCH(VLOOKUP("*"&amp;$AX30,$A$10:$J$11,$J$9,FALSE)&amp;AW$7,COM_2012!$B$58:$AH$58,0),FALSE),"")</f>
        <v/>
      </c>
      <c r="AX30" s="304">
        <f>IF(AY29=COM_2012!$AI$121,AX29+1,AX29)</f>
        <v>1</v>
      </c>
      <c r="AY30" s="304">
        <f t="shared" si="15"/>
        <v>18</v>
      </c>
    </row>
    <row r="31" spans="1:51">
      <c r="A31" s="304" t="str">
        <f ca="1">IF(LEFT(OFFSET(COM_2012!$A$60,AY31,0),2)="\I","*","")</f>
        <v>*</v>
      </c>
      <c r="B31" s="369" t="str">
        <f t="shared" ca="1" si="3"/>
        <v/>
      </c>
      <c r="C31" s="369" t="str">
        <f ca="1">IF($A31="*","",OFFSET(COM_2012!$B$60,AY31,0))</f>
        <v/>
      </c>
      <c r="D31" s="369" t="str">
        <f t="shared" ca="1" si="14"/>
        <v/>
      </c>
      <c r="E31" s="369" t="str">
        <f t="shared" ca="1" si="4"/>
        <v/>
      </c>
      <c r="F31" s="370" t="str">
        <f t="shared" ca="1" si="5"/>
        <v/>
      </c>
      <c r="G31" s="370" t="str">
        <f t="shared" ca="1" si="5"/>
        <v/>
      </c>
      <c r="H31" s="370" t="str">
        <f t="shared" ca="1" si="5"/>
        <v/>
      </c>
      <c r="I31" s="370" t="str">
        <f t="shared" ca="1" si="5"/>
        <v/>
      </c>
      <c r="J31" s="494" t="str">
        <f>IF(J$7&lt;2020,"",IF(A31="*","",IFERROR(VLOOKUP($C31,COM_2012!$B$61:$AH$120,MATCH(VLOOKUP("*"&amp;$AX31,$A$10:$J$11,$J$9,FALSE)&amp;J$7,COM_2012!$B$58:$AH$58,0),FALSE),"")))</f>
        <v/>
      </c>
      <c r="K31" s="494" t="str">
        <f>IF(K$7&lt;2020,"",IF(B31="*","",IFERROR(VLOOKUP($C31,COM_2012!$B$61:$AH$120,MATCH(VLOOKUP("*"&amp;$AX31,$A$10:$J$11,$J$9,FALSE)&amp;K$7,COM_2012!$B$58:$AH$58,0),FALSE),"")))</f>
        <v/>
      </c>
      <c r="L31" s="494" t="str">
        <f>IF(L$7&lt;2020,"",IF(C31="*","",IFERROR(VLOOKUP($C31,COM_2012!$B$61:$AH$120,MATCH(VLOOKUP("*"&amp;$AX31,$A$10:$J$11,$J$9,FALSE)&amp;L$7,COM_2012!$B$58:$AH$58,0),FALSE),"")))</f>
        <v/>
      </c>
      <c r="M31" s="494" t="str">
        <f>IF(M$7&lt;2020,"",IF(D31="*","",IFERROR(VLOOKUP($C31,COM_2012!$B$61:$AH$120,MATCH(VLOOKUP("*"&amp;$AX31,$A$10:$J$11,$J$9,FALSE)&amp;M$7,COM_2012!$B$58:$AH$58,0),FALSE),"")))</f>
        <v/>
      </c>
      <c r="N31" s="494" t="str">
        <f ca="1">IFERROR(VLOOKUP($C31,COM_2012!$B$61:$AH$120,MATCH(VLOOKUP("*"&amp;$AX31,$A$10:$J$11,$J$9,FALSE)&amp;N$7,COM_2012!$B$58:$AH$58,0),FALSE),"")</f>
        <v/>
      </c>
      <c r="O31" s="494" t="str">
        <f>IF(O$7&lt;2020,"",IF($A31="*","",IFERROR(VLOOKUP($C31,' COM_2017_old'!$B$61:$AJ$120,MATCH(VLOOKUP("*"&amp;$AX31,$A$10:$J$11,$J$9,FALSE)&amp;O$7,' COM_2017_old'!$B$58:$AJ$58,0),FALSE),"")))</f>
        <v/>
      </c>
      <c r="P31" s="494" t="str">
        <f ca="1">IFERROR(VLOOKUP($C31,COM_2012!$B$61:$AH$120,MATCH(VLOOKUP("*"&amp;$AX31,$A$10:$J$11,$J$9,FALSE)&amp;P$7,COM_2012!$B$58:$AH$58,0),FALSE),"")</f>
        <v/>
      </c>
      <c r="Q31" s="494" t="str">
        <f ca="1">IFERROR(VLOOKUP($C31,COM_2012!$B$61:$AH$120,MATCH(VLOOKUP("*"&amp;$AX31,$A$10:$J$11,$J$9,FALSE)&amp;Q$7,COM_2012!$B$58:$AH$58,0),FALSE),"")</f>
        <v/>
      </c>
      <c r="R31" s="494" t="str">
        <f ca="1">IF($A31="*","",IFERROR(VLOOKUP($C31,' COM_2017_old'!$B$61:$AJ$120,MATCH(VLOOKUP("*"&amp;$AX31,$A$10:$J$11,$J$9,FALSE)&amp;R$7,' COM_2017_old'!$B$58:$AJ$58,0),FALSE),""))</f>
        <v/>
      </c>
      <c r="S31" s="494" t="str">
        <f t="shared" ca="1" si="6"/>
        <v/>
      </c>
      <c r="T31" s="494" t="str">
        <f t="shared" ca="1" si="7"/>
        <v/>
      </c>
      <c r="U31" s="494" t="str">
        <f t="shared" ca="1" si="7"/>
        <v/>
      </c>
      <c r="V31" s="494" t="str">
        <f t="shared" ca="1" si="7"/>
        <v/>
      </c>
      <c r="W31" s="494" t="str">
        <f ca="1">IF($A31="*","",IFERROR(VLOOKUP($C31,' COM_2017_old'!$B$61:$AJ$120,MATCH(VLOOKUP("*"&amp;$AX31,$A$10:$J$11,$J$9,FALSE)&amp;W$7,' COM_2017_old'!$B$58:$AJ$58,0),FALSE),""))</f>
        <v/>
      </c>
      <c r="X31" s="494" t="str">
        <f t="shared" ca="1" si="8"/>
        <v/>
      </c>
      <c r="Y31" s="494" t="str">
        <f t="shared" ca="1" si="9"/>
        <v/>
      </c>
      <c r="Z31" s="494" t="str">
        <f t="shared" ca="1" si="9"/>
        <v/>
      </c>
      <c r="AA31" s="494" t="str">
        <f t="shared" ca="1" si="9"/>
        <v/>
      </c>
      <c r="AB31" s="494" t="str">
        <f ca="1">IF($A31="*","",IFERROR(VLOOKUP($C31,' COM_2017_old'!$B$61:$AJ$120,MATCH(VLOOKUP("*"&amp;$AX31,$A$10:$J$11,$J$9,FALSE)&amp;AB$7,' COM_2017_old'!$B$58:$AJ$58,0),FALSE),""))</f>
        <v/>
      </c>
      <c r="AC31" s="494" t="str">
        <f t="shared" ca="1" si="10"/>
        <v/>
      </c>
      <c r="AD31" s="494" t="str">
        <f t="shared" ca="1" si="11"/>
        <v/>
      </c>
      <c r="AE31" s="494" t="str">
        <f t="shared" ca="1" si="11"/>
        <v/>
      </c>
      <c r="AF31" s="494" t="str">
        <f t="shared" ca="1" si="11"/>
        <v/>
      </c>
      <c r="AG31" s="494" t="str">
        <f ca="1">IF($A31="*","",IFERROR(VLOOKUP($C31,' COM_2017_old'!$B$61:$AJ$120,MATCH(VLOOKUP("*"&amp;$AX31,$A$10:$J$11,$J$9,FALSE)&amp;AG$7,' COM_2017_old'!$B$58:$AJ$58,0),FALSE),""))</f>
        <v/>
      </c>
      <c r="AH31" s="494" t="str">
        <f t="shared" ca="1" si="12"/>
        <v/>
      </c>
      <c r="AI31" s="494" t="str">
        <f t="shared" ca="1" si="13"/>
        <v/>
      </c>
      <c r="AJ31" s="494" t="str">
        <f t="shared" ca="1" si="13"/>
        <v/>
      </c>
      <c r="AK31" s="494" t="str">
        <f t="shared" ca="1" si="13"/>
        <v/>
      </c>
      <c r="AL31" s="494" t="str">
        <f ca="1">IF($A31="*","",IFERROR(VLOOKUP($C31,' COM_2017_old'!$B$61:$AJ$120,MATCH(VLOOKUP("*"&amp;$AX31,$A$10:$J$11,$J$9,FALSE)&amp;AL$7,' COM_2017_old'!$B$58:$AJ$58,0),FALSE),""))</f>
        <v/>
      </c>
      <c r="AM31" s="494" t="str">
        <f ca="1">IF($A31="*","",IFERROR(VLOOKUP($C31,' COM_2017_old'!$B$61:$AJ$120,MATCH(VLOOKUP("*"&amp;$AX31,$A$10:$J$11,$J$9,FALSE)&amp;AM$7,' COM_2017_old'!$B$58:$AJ$58,0),FALSE),""))</f>
        <v/>
      </c>
      <c r="AN31" s="494" t="str">
        <f ca="1">IF($A31="*","",IFERROR(VLOOKUP($C31,' COM_2017_old'!$B$61:$AJ$120,MATCH(VLOOKUP("*"&amp;$AX31,$A$10:$J$11,$J$9,FALSE)&amp;AN$7,' COM_2017_old'!$B$58:$AJ$58,0),FALSE),""))</f>
        <v/>
      </c>
      <c r="AO31" s="391" t="str">
        <f ca="1">IFERROR(VLOOKUP($C31,COM_2012!$B$61:$AH$120,MATCH(VLOOKUP("*"&amp;$AX31,$A$10:$J$11,$J$9,FALSE)&amp;AO$7,COM_2012!$B$58:$AH$58,0),FALSE),"")</f>
        <v/>
      </c>
      <c r="AP31" s="391" t="str">
        <f ca="1">IFERROR(VLOOKUP($C31,COM_2012!$B$61:$AH$120,MATCH(VLOOKUP("*"&amp;$AX31,$A$10:$J$11,$J$9,FALSE)&amp;AP$7,COM_2012!$B$58:$AH$58,0),FALSE),"")</f>
        <v/>
      </c>
      <c r="AQ31" s="391" t="str">
        <f ca="1">IFERROR(VLOOKUP($C31,COM_2012!$B$61:$AH$120,MATCH(VLOOKUP("*"&amp;$AX31,$A$10:$J$11,$J$9,FALSE)&amp;AQ$7,COM_2012!$B$58:$AH$58,0),FALSE),"")</f>
        <v/>
      </c>
      <c r="AR31" s="391" t="str">
        <f ca="1">IFERROR(VLOOKUP($C31,COM_2012!$B$61:$AH$120,MATCH(VLOOKUP("*"&amp;$AX31,$A$10:$J$11,$J$9,FALSE)&amp;AR$7,COM_2012!$B$58:$AH$58,0),FALSE),"")</f>
        <v/>
      </c>
      <c r="AS31" s="391" t="str">
        <f ca="1">IFERROR(VLOOKUP($C31,COM_2012!$B$61:$AH$120,MATCH(VLOOKUP("*"&amp;$AX31,$A$10:$J$11,$J$9,FALSE)&amp;AS$7,COM_2012!$B$58:$AH$58,0),FALSE),"")</f>
        <v/>
      </c>
      <c r="AT31" s="391" t="str">
        <f ca="1">IFERROR(VLOOKUP($C31,COM_2012!$B$61:$AH$120,MATCH(VLOOKUP("*"&amp;$AX31,$A$10:$J$11,$J$9,FALSE)&amp;AT$7,COM_2012!$B$58:$AH$58,0),FALSE),"")</f>
        <v/>
      </c>
      <c r="AU31" s="391" t="str">
        <f ca="1">IFERROR(VLOOKUP($C31,COM_2012!$B$61:$AH$120,MATCH(VLOOKUP("*"&amp;$AX31,$A$10:$J$11,$J$9,FALSE)&amp;AU$7,COM_2012!$B$58:$AH$58,0),FALSE),"")</f>
        <v/>
      </c>
      <c r="AV31" s="391" t="str">
        <f ca="1">IFERROR(VLOOKUP($C31,COM_2012!$B$61:$AH$120,MATCH(VLOOKUP("*"&amp;$AX31,$A$10:$J$11,$J$9,FALSE)&amp;AV$7,COM_2012!$B$58:$AH$58,0),FALSE),"")</f>
        <v/>
      </c>
      <c r="AW31" s="391" t="str">
        <f ca="1">IFERROR(VLOOKUP($C31,COM_2012!$B$61:$AH$120,MATCH(VLOOKUP("*"&amp;$AX31,$A$10:$J$11,$J$9,FALSE)&amp;AW$7,COM_2012!$B$58:$AH$58,0),FALSE),"")</f>
        <v/>
      </c>
      <c r="AX31" s="304">
        <f>IF(AY30=COM_2012!$AI$121,AX30+1,AX30)</f>
        <v>1</v>
      </c>
      <c r="AY31" s="304">
        <f t="shared" si="15"/>
        <v>19</v>
      </c>
    </row>
    <row r="32" spans="1:51">
      <c r="A32" s="304" t="str">
        <f ca="1">IF(LEFT(OFFSET(COM_2012!$A$60,AY32,0),2)="\I","*","")</f>
        <v>*</v>
      </c>
      <c r="B32" s="369" t="str">
        <f t="shared" ca="1" si="3"/>
        <v/>
      </c>
      <c r="C32" s="369" t="str">
        <f ca="1">IF($A32="*","",OFFSET(COM_2012!$B$60,AY32,0))</f>
        <v/>
      </c>
      <c r="D32" s="369" t="str">
        <f t="shared" ca="1" si="14"/>
        <v/>
      </c>
      <c r="E32" s="369" t="str">
        <f t="shared" ca="1" si="4"/>
        <v/>
      </c>
      <c r="F32" s="370" t="str">
        <f t="shared" ca="1" si="5"/>
        <v/>
      </c>
      <c r="G32" s="370" t="str">
        <f t="shared" ca="1" si="5"/>
        <v/>
      </c>
      <c r="H32" s="370" t="str">
        <f t="shared" ca="1" si="5"/>
        <v/>
      </c>
      <c r="I32" s="370" t="str">
        <f t="shared" ca="1" si="5"/>
        <v/>
      </c>
      <c r="J32" s="494" t="str">
        <f>IF(J$7&lt;2020,"",IF(A32="*","",IFERROR(VLOOKUP($C32,COM_2012!$B$61:$AH$120,MATCH(VLOOKUP("*"&amp;$AX32,$A$10:$J$11,$J$9,FALSE)&amp;J$7,COM_2012!$B$58:$AH$58,0),FALSE),"")))</f>
        <v/>
      </c>
      <c r="K32" s="494" t="str">
        <f>IF(K$7&lt;2020,"",IF(B32="*","",IFERROR(VLOOKUP($C32,COM_2012!$B$61:$AH$120,MATCH(VLOOKUP("*"&amp;$AX32,$A$10:$J$11,$J$9,FALSE)&amp;K$7,COM_2012!$B$58:$AH$58,0),FALSE),"")))</f>
        <v/>
      </c>
      <c r="L32" s="494" t="str">
        <f>IF(L$7&lt;2020,"",IF(C32="*","",IFERROR(VLOOKUP($C32,COM_2012!$B$61:$AH$120,MATCH(VLOOKUP("*"&amp;$AX32,$A$10:$J$11,$J$9,FALSE)&amp;L$7,COM_2012!$B$58:$AH$58,0),FALSE),"")))</f>
        <v/>
      </c>
      <c r="M32" s="494" t="str">
        <f>IF(M$7&lt;2020,"",IF(D32="*","",IFERROR(VLOOKUP($C32,COM_2012!$B$61:$AH$120,MATCH(VLOOKUP("*"&amp;$AX32,$A$10:$J$11,$J$9,FALSE)&amp;M$7,COM_2012!$B$58:$AH$58,0),FALSE),"")))</f>
        <v/>
      </c>
      <c r="N32" s="494" t="str">
        <f ca="1">IFERROR(VLOOKUP($C32,COM_2012!$B$61:$AH$120,MATCH(VLOOKUP("*"&amp;$AX32,$A$10:$J$11,$J$9,FALSE)&amp;N$7,COM_2012!$B$58:$AH$58,0),FALSE),"")</f>
        <v/>
      </c>
      <c r="O32" s="494" t="str">
        <f>IF(O$7&lt;2020,"",IF($A32="*","",IFERROR(VLOOKUP($C32,' COM_2017_old'!$B$61:$AJ$120,MATCH(VLOOKUP("*"&amp;$AX32,$A$10:$J$11,$J$9,FALSE)&amp;O$7,' COM_2017_old'!$B$58:$AJ$58,0),FALSE),"")))</f>
        <v/>
      </c>
      <c r="P32" s="494" t="str">
        <f ca="1">IFERROR(VLOOKUP($C32,COM_2012!$B$61:$AH$120,MATCH(VLOOKUP("*"&amp;$AX32,$A$10:$J$11,$J$9,FALSE)&amp;P$7,COM_2012!$B$58:$AH$58,0),FALSE),"")</f>
        <v/>
      </c>
      <c r="Q32" s="494" t="str">
        <f ca="1">IFERROR(VLOOKUP($C32,COM_2012!$B$61:$AH$120,MATCH(VLOOKUP("*"&amp;$AX32,$A$10:$J$11,$J$9,FALSE)&amp;Q$7,COM_2012!$B$58:$AH$58,0),FALSE),"")</f>
        <v/>
      </c>
      <c r="R32" s="494" t="str">
        <f ca="1">IF($A32="*","",IFERROR(VLOOKUP($C32,' COM_2017_old'!$B$61:$AJ$120,MATCH(VLOOKUP("*"&amp;$AX32,$A$10:$J$11,$J$9,FALSE)&amp;R$7,' COM_2017_old'!$B$58:$AJ$58,0),FALSE),""))</f>
        <v/>
      </c>
      <c r="S32" s="494" t="str">
        <f t="shared" ca="1" si="6"/>
        <v/>
      </c>
      <c r="T32" s="494" t="str">
        <f t="shared" ca="1" si="7"/>
        <v/>
      </c>
      <c r="U32" s="494" t="str">
        <f t="shared" ca="1" si="7"/>
        <v/>
      </c>
      <c r="V32" s="494" t="str">
        <f t="shared" ca="1" si="7"/>
        <v/>
      </c>
      <c r="W32" s="494" t="str">
        <f ca="1">IF($A32="*","",IFERROR(VLOOKUP($C32,' COM_2017_old'!$B$61:$AJ$120,MATCH(VLOOKUP("*"&amp;$AX32,$A$10:$J$11,$J$9,FALSE)&amp;W$7,' COM_2017_old'!$B$58:$AJ$58,0),FALSE),""))</f>
        <v/>
      </c>
      <c r="X32" s="494" t="str">
        <f t="shared" ca="1" si="8"/>
        <v/>
      </c>
      <c r="Y32" s="494" t="str">
        <f t="shared" ca="1" si="9"/>
        <v/>
      </c>
      <c r="Z32" s="494" t="str">
        <f t="shared" ca="1" si="9"/>
        <v/>
      </c>
      <c r="AA32" s="494" t="str">
        <f t="shared" ca="1" si="9"/>
        <v/>
      </c>
      <c r="AB32" s="494" t="str">
        <f ca="1">IF($A32="*","",IFERROR(VLOOKUP($C32,' COM_2017_old'!$B$61:$AJ$120,MATCH(VLOOKUP("*"&amp;$AX32,$A$10:$J$11,$J$9,FALSE)&amp;AB$7,' COM_2017_old'!$B$58:$AJ$58,0),FALSE),""))</f>
        <v/>
      </c>
      <c r="AC32" s="494" t="str">
        <f t="shared" ca="1" si="10"/>
        <v/>
      </c>
      <c r="AD32" s="494" t="str">
        <f t="shared" ca="1" si="11"/>
        <v/>
      </c>
      <c r="AE32" s="494" t="str">
        <f t="shared" ca="1" si="11"/>
        <v/>
      </c>
      <c r="AF32" s="494" t="str">
        <f t="shared" ca="1" si="11"/>
        <v/>
      </c>
      <c r="AG32" s="494" t="str">
        <f ca="1">IF($A32="*","",IFERROR(VLOOKUP($C32,' COM_2017_old'!$B$61:$AJ$120,MATCH(VLOOKUP("*"&amp;$AX32,$A$10:$J$11,$J$9,FALSE)&amp;AG$7,' COM_2017_old'!$B$58:$AJ$58,0),FALSE),""))</f>
        <v/>
      </c>
      <c r="AH32" s="494" t="str">
        <f t="shared" ca="1" si="12"/>
        <v/>
      </c>
      <c r="AI32" s="494" t="str">
        <f t="shared" ca="1" si="13"/>
        <v/>
      </c>
      <c r="AJ32" s="494" t="str">
        <f t="shared" ca="1" si="13"/>
        <v/>
      </c>
      <c r="AK32" s="494" t="str">
        <f t="shared" ca="1" si="13"/>
        <v/>
      </c>
      <c r="AL32" s="494" t="str">
        <f ca="1">IF($A32="*","",IFERROR(VLOOKUP($C32,' COM_2017_old'!$B$61:$AJ$120,MATCH(VLOOKUP("*"&amp;$AX32,$A$10:$J$11,$J$9,FALSE)&amp;AL$7,' COM_2017_old'!$B$58:$AJ$58,0),FALSE),""))</f>
        <v/>
      </c>
      <c r="AM32" s="494" t="str">
        <f ca="1">IF($A32="*","",IFERROR(VLOOKUP($C32,' COM_2017_old'!$B$61:$AJ$120,MATCH(VLOOKUP("*"&amp;$AX32,$A$10:$J$11,$J$9,FALSE)&amp;AM$7,' COM_2017_old'!$B$58:$AJ$58,0),FALSE),""))</f>
        <v/>
      </c>
      <c r="AN32" s="494" t="str">
        <f ca="1">IF($A32="*","",IFERROR(VLOOKUP($C32,' COM_2017_old'!$B$61:$AJ$120,MATCH(VLOOKUP("*"&amp;$AX32,$A$10:$J$11,$J$9,FALSE)&amp;AN$7,' COM_2017_old'!$B$58:$AJ$58,0),FALSE),""))</f>
        <v/>
      </c>
      <c r="AO32" s="391" t="str">
        <f ca="1">IFERROR(VLOOKUP($C32,COM_2012!$B$61:$AH$120,MATCH(VLOOKUP("*"&amp;$AX32,$A$10:$J$11,$J$9,FALSE)&amp;AO$7,COM_2012!$B$58:$AH$58,0),FALSE),"")</f>
        <v/>
      </c>
      <c r="AP32" s="391" t="str">
        <f ca="1">IFERROR(VLOOKUP($C32,COM_2012!$B$61:$AH$120,MATCH(VLOOKUP("*"&amp;$AX32,$A$10:$J$11,$J$9,FALSE)&amp;AP$7,COM_2012!$B$58:$AH$58,0),FALSE),"")</f>
        <v/>
      </c>
      <c r="AQ32" s="391" t="str">
        <f ca="1">IFERROR(VLOOKUP($C32,COM_2012!$B$61:$AH$120,MATCH(VLOOKUP("*"&amp;$AX32,$A$10:$J$11,$J$9,FALSE)&amp;AQ$7,COM_2012!$B$58:$AH$58,0),FALSE),"")</f>
        <v/>
      </c>
      <c r="AR32" s="391" t="str">
        <f ca="1">IFERROR(VLOOKUP($C32,COM_2012!$B$61:$AH$120,MATCH(VLOOKUP("*"&amp;$AX32,$A$10:$J$11,$J$9,FALSE)&amp;AR$7,COM_2012!$B$58:$AH$58,0),FALSE),"")</f>
        <v/>
      </c>
      <c r="AS32" s="391" t="str">
        <f ca="1">IFERROR(VLOOKUP($C32,COM_2012!$B$61:$AH$120,MATCH(VLOOKUP("*"&amp;$AX32,$A$10:$J$11,$J$9,FALSE)&amp;AS$7,COM_2012!$B$58:$AH$58,0),FALSE),"")</f>
        <v/>
      </c>
      <c r="AT32" s="391" t="str">
        <f ca="1">IFERROR(VLOOKUP($C32,COM_2012!$B$61:$AH$120,MATCH(VLOOKUP("*"&amp;$AX32,$A$10:$J$11,$J$9,FALSE)&amp;AT$7,COM_2012!$B$58:$AH$58,0),FALSE),"")</f>
        <v/>
      </c>
      <c r="AU32" s="391" t="str">
        <f ca="1">IFERROR(VLOOKUP($C32,COM_2012!$B$61:$AH$120,MATCH(VLOOKUP("*"&amp;$AX32,$A$10:$J$11,$J$9,FALSE)&amp;AU$7,COM_2012!$B$58:$AH$58,0),FALSE),"")</f>
        <v/>
      </c>
      <c r="AV32" s="391" t="str">
        <f ca="1">IFERROR(VLOOKUP($C32,COM_2012!$B$61:$AH$120,MATCH(VLOOKUP("*"&amp;$AX32,$A$10:$J$11,$J$9,FALSE)&amp;AV$7,COM_2012!$B$58:$AH$58,0),FALSE),"")</f>
        <v/>
      </c>
      <c r="AW32" s="391" t="str">
        <f ca="1">IFERROR(VLOOKUP($C32,COM_2012!$B$61:$AH$120,MATCH(VLOOKUP("*"&amp;$AX32,$A$10:$J$11,$J$9,FALSE)&amp;AW$7,COM_2012!$B$58:$AH$58,0),FALSE),"")</f>
        <v/>
      </c>
      <c r="AX32" s="304">
        <f>IF(AY31=COM_2012!$AI$121,AX31+1,AX31)</f>
        <v>1</v>
      </c>
      <c r="AY32" s="304">
        <f t="shared" si="15"/>
        <v>20</v>
      </c>
    </row>
    <row r="33" spans="1:51">
      <c r="A33" s="304" t="str">
        <f ca="1">IF(LEFT(OFFSET(COM_2012!$A$60,AY33,0),2)="\I","*","")</f>
        <v/>
      </c>
      <c r="B33" s="369" t="str">
        <f t="shared" ca="1" si="3"/>
        <v>FLO_MRKPRD</v>
      </c>
      <c r="C33" s="369" t="str">
        <f ca="1">IF($A33="*","",OFFSET(COM_2012!$B$60,AY33,0))</f>
        <v>CELELCCFL-E</v>
      </c>
      <c r="D33" s="369" t="str">
        <f t="shared" ca="1" si="14"/>
        <v>CEL</v>
      </c>
      <c r="E33" s="369" t="str">
        <f t="shared" ref="E33:E52" ca="1" si="16">IF($A33="*","",VLOOKUP($B33,$B$10:$I$11,E$9,FALSE))</f>
        <v>-</v>
      </c>
      <c r="F33" s="370" t="str">
        <f t="shared" ref="F33:G96" ca="1" si="17">IF($A33="*","",VLOOKUP("*"&amp;$AX33,$A$10:$I$11,F$9,FALSE))</f>
        <v>-</v>
      </c>
      <c r="G33" s="370" t="str">
        <f t="shared" ca="1" si="17"/>
        <v>ANNUAL</v>
      </c>
      <c r="H33" s="370" t="str">
        <f t="shared" ref="H33:I52" ca="1" si="18">IF($A33="*","",VLOOKUP("*"&amp;$AX33,$A$10:$I$11,H$9,FALSE))</f>
        <v>UP</v>
      </c>
      <c r="I33" s="370">
        <f t="shared" ca="1" si="18"/>
        <v>0</v>
      </c>
      <c r="J33" s="494" t="str">
        <f>IF(J$7&lt;2020,"",IF(A33="*","",IFERROR(VLOOKUP($C33,COM_2012!$B$61:$AH$120,MATCH(VLOOKUP("*"&amp;$AX33,$A$10:$J$11,$J$9,FALSE)&amp;J$7,COM_2012!$B$58:$AH$58,0),FALSE),"")))</f>
        <v/>
      </c>
      <c r="K33" s="494" t="str">
        <f>IF(K$7&lt;2020,"",IF(B33="*","",IFERROR(VLOOKUP($C33,COM_2012!$B$61:$AH$120,MATCH(VLOOKUP("*"&amp;$AX33,$A$10:$J$11,$J$9,FALSE)&amp;K$7,COM_2012!$B$58:$AH$58,0),FALSE),"")))</f>
        <v/>
      </c>
      <c r="L33" s="494" t="str">
        <f>IF(L$7&lt;2020,"",IF(C33="*","",IFERROR(VLOOKUP($C33,COM_2012!$B$61:$AH$120,MATCH(VLOOKUP("*"&amp;$AX33,$A$10:$J$11,$J$9,FALSE)&amp;L$7,COM_2012!$B$58:$AH$58,0),FALSE),"")))</f>
        <v/>
      </c>
      <c r="M33" s="494" t="str">
        <f>IF(M$7&lt;2020,"",IF(D33="*","",IFERROR(VLOOKUP($C33,COM_2012!$B$61:$AH$120,MATCH(VLOOKUP("*"&amp;$AX33,$A$10:$J$11,$J$9,FALSE)&amp;M$7,COM_2012!$B$58:$AH$58,0),FALSE),"")))</f>
        <v/>
      </c>
      <c r="N33" s="494" t="str">
        <f ca="1">IFERROR(VLOOKUP($C33,COM_2012!$B$61:$AH$120,MATCH(VLOOKUP("*"&amp;$AX33,$A$10:$J$11,$J$9,FALSE)&amp;N$7,COM_2012!$B$58:$AH$58,0),FALSE),"")</f>
        <v/>
      </c>
      <c r="O33" s="494" t="str">
        <f>IF(O$7&lt;2020,"",IF($A33="*","",IFERROR(VLOOKUP($C33,' COM_2017_old'!$B$61:$AJ$120,MATCH(VLOOKUP("*"&amp;$AX33,$A$10:$J$11,$J$9,FALSE)&amp;O$7,' COM_2017_old'!$B$58:$AJ$58,0),FALSE),"")))</f>
        <v/>
      </c>
      <c r="P33" s="494" t="str">
        <f ca="1">IFERROR(VLOOKUP($C33,COM_2012!$B$61:$AH$120,MATCH(VLOOKUP("*"&amp;$AX33,$A$10:$J$11,$J$9,FALSE)&amp;P$7,COM_2012!$B$58:$AH$58,0),FALSE),"")</f>
        <v/>
      </c>
      <c r="Q33" s="494" t="str">
        <f ca="1">IFERROR(VLOOKUP($C33,COM_2012!$B$61:$AH$120,MATCH(VLOOKUP("*"&amp;$AX33,$A$10:$J$11,$J$9,FALSE)&amp;Q$7,COM_2012!$B$58:$AH$58,0),FALSE),"")</f>
        <v/>
      </c>
      <c r="R33" s="494">
        <f ca="1">IF($A33="*","",IFERROR(VLOOKUP($C33,' COM_2017_old'!$B$61:$AJ$120,MATCH(VLOOKUP("*"&amp;$AX33,$A$10:$J$11,$J$9,FALSE)&amp;R$7,' COM_2017_old'!$B$58:$AJ$58,0),FALSE),""))</f>
        <v>8.3274725274725264E-2</v>
      </c>
      <c r="S33" s="494">
        <f t="shared" ca="1" si="6"/>
        <v>9.7274725274725263E-2</v>
      </c>
      <c r="T33" s="494">
        <f t="shared" ca="1" si="7"/>
        <v>0.11127472527472526</v>
      </c>
      <c r="U33" s="494">
        <f t="shared" ca="1" si="7"/>
        <v>0.12527472527472527</v>
      </c>
      <c r="V33" s="494">
        <f t="shared" ca="1" si="7"/>
        <v>0.13927472527472529</v>
      </c>
      <c r="W33" s="494">
        <f ca="1">IF($A33="*","",IFERROR(VLOOKUP($C33,' COM_2017_old'!$B$61:$AJ$120,MATCH(VLOOKUP("*"&amp;$AX33,$A$10:$J$11,$J$9,FALSE)&amp;W$7,' COM_2017_old'!$B$58:$AJ$58,0),FALSE),""))</f>
        <v>0.15327472527472527</v>
      </c>
      <c r="X33" s="494">
        <f t="shared" ca="1" si="8"/>
        <v>0.19327472527472528</v>
      </c>
      <c r="Y33" s="494">
        <f t="shared" ca="1" si="9"/>
        <v>0.23327472527472526</v>
      </c>
      <c r="Z33" s="494">
        <f t="shared" ca="1" si="9"/>
        <v>0.27327472527472524</v>
      </c>
      <c r="AA33" s="494">
        <f t="shared" ca="1" si="9"/>
        <v>0.31327472527472522</v>
      </c>
      <c r="AB33" s="494">
        <f ca="1">IF($A33="*","",IFERROR(VLOOKUP($C33,' COM_2017_old'!$B$61:$AJ$120,MATCH(VLOOKUP("*"&amp;$AX33,$A$10:$J$11,$J$9,FALSE)&amp;AB$7,' COM_2017_old'!$B$58:$AJ$58,0),FALSE),""))</f>
        <v>0.35327472527472525</v>
      </c>
      <c r="AC33" s="494">
        <f t="shared" ca="1" si="10"/>
        <v>0.40327472527472524</v>
      </c>
      <c r="AD33" s="494">
        <f t="shared" ca="1" si="11"/>
        <v>0.45327472527472523</v>
      </c>
      <c r="AE33" s="494">
        <f t="shared" ca="1" si="11"/>
        <v>0.50327472527472528</v>
      </c>
      <c r="AF33" s="494">
        <f t="shared" ca="1" si="11"/>
        <v>0.55327472527472532</v>
      </c>
      <c r="AG33" s="494">
        <f ca="1">IF($A33="*","",IFERROR(VLOOKUP($C33,' COM_2017_old'!$B$61:$AJ$120,MATCH(VLOOKUP("*"&amp;$AX33,$A$10:$J$11,$J$9,FALSE)&amp;AG$7,' COM_2017_old'!$B$58:$AJ$58,0),FALSE),""))</f>
        <v>0.60327472527472525</v>
      </c>
      <c r="AH33" s="494">
        <f t="shared" ca="1" si="12"/>
        <v>0.66327472527472531</v>
      </c>
      <c r="AI33" s="494">
        <f t="shared" ca="1" si="13"/>
        <v>0.72327472527472536</v>
      </c>
      <c r="AJ33" s="494">
        <f t="shared" ca="1" si="13"/>
        <v>0.78327472527472541</v>
      </c>
      <c r="AK33" s="494">
        <f t="shared" ca="1" si="13"/>
        <v>0.84327472527472547</v>
      </c>
      <c r="AL33" s="494">
        <f ca="1">IF($A33="*","",IFERROR(VLOOKUP($C33,' COM_2017_old'!$B$61:$AJ$120,MATCH(VLOOKUP("*"&amp;$AX33,$A$10:$J$11,$J$9,FALSE)&amp;AL$7,' COM_2017_old'!$B$58:$AJ$58,0),FALSE),""))</f>
        <v>0.9032747252747253</v>
      </c>
      <c r="AM33" s="494">
        <f ca="1">IF($A33="*","",IFERROR(VLOOKUP($C33,' COM_2017_old'!$B$61:$AJ$120,MATCH(VLOOKUP("*"&amp;$AX33,$A$10:$J$11,$J$9,FALSE)&amp;AM$7,' COM_2017_old'!$B$58:$AJ$58,0),FALSE),""))</f>
        <v>1</v>
      </c>
      <c r="AN33" s="494">
        <f ca="1">IF($A33="*","",IFERROR(VLOOKUP($C33,' COM_2017_old'!$B$61:$AJ$120,MATCH(VLOOKUP("*"&amp;$AX33,$A$10:$J$11,$J$9,FALSE)&amp;AN$7,' COM_2017_old'!$B$58:$AJ$58,0),FALSE),""))</f>
        <v>1</v>
      </c>
      <c r="AO33" s="391" t="str">
        <f ca="1">IFERROR(VLOOKUP($C33,COM_2012!$B$61:$AH$120,MATCH(VLOOKUP("*"&amp;$AX33,$A$10:$J$11,$J$9,FALSE)&amp;AO$7,COM_2012!$B$58:$AH$58,0),FALSE),"")</f>
        <v/>
      </c>
      <c r="AP33" s="391" t="str">
        <f ca="1">IFERROR(VLOOKUP($C33,COM_2012!$B$61:$AH$120,MATCH(VLOOKUP("*"&amp;$AX33,$A$10:$J$11,$J$9,FALSE)&amp;AP$7,COM_2012!$B$58:$AH$58,0),FALSE),"")</f>
        <v/>
      </c>
      <c r="AQ33" s="391" t="str">
        <f ca="1">IFERROR(VLOOKUP($C33,COM_2012!$B$61:$AH$120,MATCH(VLOOKUP("*"&amp;$AX33,$A$10:$J$11,$J$9,FALSE)&amp;AQ$7,COM_2012!$B$58:$AH$58,0),FALSE),"")</f>
        <v/>
      </c>
      <c r="AR33" s="391" t="str">
        <f ca="1">IFERROR(VLOOKUP($C33,COM_2012!$B$61:$AH$120,MATCH(VLOOKUP("*"&amp;$AX33,$A$10:$J$11,$J$9,FALSE)&amp;AR$7,COM_2012!$B$58:$AH$58,0),FALSE),"")</f>
        <v/>
      </c>
      <c r="AS33" s="391" t="str">
        <f ca="1">IFERROR(VLOOKUP($C33,COM_2012!$B$61:$AH$120,MATCH(VLOOKUP("*"&amp;$AX33,$A$10:$J$11,$J$9,FALSE)&amp;AS$7,COM_2012!$B$58:$AH$58,0),FALSE),"")</f>
        <v/>
      </c>
      <c r="AT33" s="391" t="str">
        <f ca="1">IFERROR(VLOOKUP($C33,COM_2012!$B$61:$AH$120,MATCH(VLOOKUP("*"&amp;$AX33,$A$10:$J$11,$J$9,FALSE)&amp;AT$7,COM_2012!$B$58:$AH$58,0),FALSE),"")</f>
        <v/>
      </c>
      <c r="AU33" s="391" t="str">
        <f ca="1">IFERROR(VLOOKUP($C33,COM_2012!$B$61:$AH$120,MATCH(VLOOKUP("*"&amp;$AX33,$A$10:$J$11,$J$9,FALSE)&amp;AU$7,COM_2012!$B$58:$AH$58,0),FALSE),"")</f>
        <v/>
      </c>
      <c r="AV33" s="391" t="str">
        <f ca="1">IFERROR(VLOOKUP($C33,COM_2012!$B$61:$AH$120,MATCH(VLOOKUP("*"&amp;$AX33,$A$10:$J$11,$J$9,FALSE)&amp;AV$7,COM_2012!$B$58:$AH$58,0),FALSE),"")</f>
        <v/>
      </c>
      <c r="AW33" s="391" t="str">
        <f ca="1">IFERROR(VLOOKUP($C33,COM_2012!$B$61:$AH$120,MATCH(VLOOKUP("*"&amp;$AX33,$A$10:$J$11,$J$9,FALSE)&amp;AW$7,COM_2012!$B$58:$AH$58,0),FALSE),"")</f>
        <v/>
      </c>
      <c r="AX33" s="304">
        <f>IF(AY32=COM_2012!$AI$121,AX32+1,AX32)</f>
        <v>1</v>
      </c>
      <c r="AY33" s="304">
        <f t="shared" si="15"/>
        <v>21</v>
      </c>
    </row>
    <row r="34" spans="1:51">
      <c r="A34" s="304" t="str">
        <f ca="1">IF(LEFT(OFFSET(COM_2012!$A$60,AY34,0),2)="\I","*","")</f>
        <v/>
      </c>
      <c r="B34" s="369" t="str">
        <f t="shared" ca="1" si="3"/>
        <v>FLO_MRKPRD</v>
      </c>
      <c r="C34" s="369" t="str">
        <f ca="1">IF($A34="*","",OFFSET(COM_2012!$B$60,AY34,0))</f>
        <v>CELELCFLU-E</v>
      </c>
      <c r="D34" s="369" t="str">
        <f t="shared" ca="1" si="14"/>
        <v>CEL</v>
      </c>
      <c r="E34" s="369" t="str">
        <f t="shared" ca="1" si="16"/>
        <v>-</v>
      </c>
      <c r="F34" s="370" t="str">
        <f t="shared" ca="1" si="17"/>
        <v>-</v>
      </c>
      <c r="G34" s="370" t="str">
        <f t="shared" ca="1" si="17"/>
        <v>ANNUAL</v>
      </c>
      <c r="H34" s="370" t="str">
        <f t="shared" ca="1" si="18"/>
        <v>UP</v>
      </c>
      <c r="I34" s="370">
        <f t="shared" ca="1" si="18"/>
        <v>0</v>
      </c>
      <c r="J34" s="494" t="str">
        <f>IF(J$7&lt;2020,"",IF(A34="*","",IFERROR(VLOOKUP($C34,COM_2012!$B$61:$AH$120,MATCH(VLOOKUP("*"&amp;$AX34,$A$10:$J$11,$J$9,FALSE)&amp;J$7,COM_2012!$B$58:$AH$58,0),FALSE),"")))</f>
        <v/>
      </c>
      <c r="K34" s="494" t="str">
        <f>IF(K$7&lt;2020,"",IF(B34="*","",IFERROR(VLOOKUP($C34,COM_2012!$B$61:$AH$120,MATCH(VLOOKUP("*"&amp;$AX34,$A$10:$J$11,$J$9,FALSE)&amp;K$7,COM_2012!$B$58:$AH$58,0),FALSE),"")))</f>
        <v/>
      </c>
      <c r="L34" s="494" t="str">
        <f>IF(L$7&lt;2020,"",IF(C34="*","",IFERROR(VLOOKUP($C34,COM_2012!$B$61:$AH$120,MATCH(VLOOKUP("*"&amp;$AX34,$A$10:$J$11,$J$9,FALSE)&amp;L$7,COM_2012!$B$58:$AH$58,0),FALSE),"")))</f>
        <v/>
      </c>
      <c r="M34" s="494" t="str">
        <f>IF(M$7&lt;2020,"",IF(D34="*","",IFERROR(VLOOKUP($C34,COM_2012!$B$61:$AH$120,MATCH(VLOOKUP("*"&amp;$AX34,$A$10:$J$11,$J$9,FALSE)&amp;M$7,COM_2012!$B$58:$AH$58,0),FALSE),"")))</f>
        <v/>
      </c>
      <c r="N34" s="494" t="str">
        <f ca="1">IFERROR(VLOOKUP($C34,COM_2012!$B$61:$AH$120,MATCH(VLOOKUP("*"&amp;$AX34,$A$10:$J$11,$J$9,FALSE)&amp;N$7,COM_2012!$B$58:$AH$58,0),FALSE),"")</f>
        <v/>
      </c>
      <c r="O34" s="494" t="str">
        <f>IF(O$7&lt;2020,"",IF($A34="*","",IFERROR(VLOOKUP($C34,' COM_2017_old'!$B$61:$AJ$120,MATCH(VLOOKUP("*"&amp;$AX34,$A$10:$J$11,$J$9,FALSE)&amp;O$7,' COM_2017_old'!$B$58:$AJ$58,0),FALSE),"")))</f>
        <v/>
      </c>
      <c r="P34" s="494" t="str">
        <f ca="1">IFERROR(VLOOKUP($C34,COM_2012!$B$61:$AH$120,MATCH(VLOOKUP("*"&amp;$AX34,$A$10:$J$11,$J$9,FALSE)&amp;P$7,COM_2012!$B$58:$AH$58,0),FALSE),"")</f>
        <v/>
      </c>
      <c r="Q34" s="494" t="str">
        <f ca="1">IFERROR(VLOOKUP($C34,COM_2012!$B$61:$AH$120,MATCH(VLOOKUP("*"&amp;$AX34,$A$10:$J$11,$J$9,FALSE)&amp;Q$7,COM_2012!$B$58:$AH$58,0),FALSE),"")</f>
        <v/>
      </c>
      <c r="R34" s="494">
        <f ca="1">IF($A34="*","",IFERROR(VLOOKUP($C34,' COM_2017_old'!$B$61:$AJ$120,MATCH(VLOOKUP("*"&amp;$AX34,$A$10:$J$11,$J$9,FALSE)&amp;R$7,' COM_2017_old'!$B$58:$AJ$58,0),FALSE),""))</f>
        <v>0.72923076923076924</v>
      </c>
      <c r="S34" s="494">
        <f t="shared" ca="1" si="6"/>
        <v>0.74323076923076925</v>
      </c>
      <c r="T34" s="494">
        <f t="shared" ca="1" si="7"/>
        <v>0.75723076923076926</v>
      </c>
      <c r="U34" s="494">
        <f t="shared" ca="1" si="7"/>
        <v>0.77123076923076928</v>
      </c>
      <c r="V34" s="494">
        <f t="shared" ca="1" si="7"/>
        <v>0.78523076923076929</v>
      </c>
      <c r="W34" s="494">
        <f ca="1">IF($A34="*","",IFERROR(VLOOKUP($C34,' COM_2017_old'!$B$61:$AJ$120,MATCH(VLOOKUP("*"&amp;$AX34,$A$10:$J$11,$J$9,FALSE)&amp;W$7,' COM_2017_old'!$B$58:$AJ$58,0),FALSE),""))</f>
        <v>0.79923076923076919</v>
      </c>
      <c r="X34" s="494">
        <f t="shared" ca="1" si="8"/>
        <v>0.83923076923076922</v>
      </c>
      <c r="Y34" s="494">
        <f t="shared" ca="1" si="9"/>
        <v>0.87923076923076926</v>
      </c>
      <c r="Z34" s="494">
        <f t="shared" ca="1" si="9"/>
        <v>0.9192307692307693</v>
      </c>
      <c r="AA34" s="494">
        <f t="shared" ca="1" si="9"/>
        <v>0.95923076923076933</v>
      </c>
      <c r="AB34" s="494">
        <f ca="1">IF($A34="*","",IFERROR(VLOOKUP($C34,' COM_2017_old'!$B$61:$AJ$120,MATCH(VLOOKUP("*"&amp;$AX34,$A$10:$J$11,$J$9,FALSE)&amp;AB$7,' COM_2017_old'!$B$58:$AJ$58,0),FALSE),""))</f>
        <v>0.99923076923076914</v>
      </c>
      <c r="AC34" s="494">
        <f t="shared" ca="1" si="10"/>
        <v>0.99938461538461532</v>
      </c>
      <c r="AD34" s="494">
        <f t="shared" ca="1" si="11"/>
        <v>0.99953846153846149</v>
      </c>
      <c r="AE34" s="494">
        <f t="shared" ca="1" si="11"/>
        <v>0.99969230769230766</v>
      </c>
      <c r="AF34" s="494">
        <f t="shared" ca="1" si="11"/>
        <v>0.99984615384615383</v>
      </c>
      <c r="AG34" s="494">
        <f ca="1">IF($A34="*","",IFERROR(VLOOKUP($C34,' COM_2017_old'!$B$61:$AJ$120,MATCH(VLOOKUP("*"&amp;$AX34,$A$10:$J$11,$J$9,FALSE)&amp;AG$7,' COM_2017_old'!$B$58:$AJ$58,0),FALSE),""))</f>
        <v>1</v>
      </c>
      <c r="AH34" s="494">
        <f t="shared" ca="1" si="12"/>
        <v>1</v>
      </c>
      <c r="AI34" s="494">
        <f t="shared" ca="1" si="13"/>
        <v>1</v>
      </c>
      <c r="AJ34" s="494">
        <f t="shared" ca="1" si="13"/>
        <v>1</v>
      </c>
      <c r="AK34" s="494">
        <f t="shared" ca="1" si="13"/>
        <v>1</v>
      </c>
      <c r="AL34" s="494">
        <f ca="1">IF($A34="*","",IFERROR(VLOOKUP($C34,' COM_2017_old'!$B$61:$AJ$120,MATCH(VLOOKUP("*"&amp;$AX34,$A$10:$J$11,$J$9,FALSE)&amp;AL$7,' COM_2017_old'!$B$58:$AJ$58,0),FALSE),""))</f>
        <v>1</v>
      </c>
      <c r="AM34" s="494">
        <f ca="1">IF($A34="*","",IFERROR(VLOOKUP($C34,' COM_2017_old'!$B$61:$AJ$120,MATCH(VLOOKUP("*"&amp;$AX34,$A$10:$J$11,$J$9,FALSE)&amp;AM$7,' COM_2017_old'!$B$58:$AJ$58,0),FALSE),""))</f>
        <v>1</v>
      </c>
      <c r="AN34" s="494">
        <f ca="1">IF($A34="*","",IFERROR(VLOOKUP($C34,' COM_2017_old'!$B$61:$AJ$120,MATCH(VLOOKUP("*"&amp;$AX34,$A$10:$J$11,$J$9,FALSE)&amp;AN$7,' COM_2017_old'!$B$58:$AJ$58,0),FALSE),""))</f>
        <v>1</v>
      </c>
      <c r="AO34" s="391" t="str">
        <f ca="1">IFERROR(VLOOKUP($C34,COM_2012!$B$61:$AH$120,MATCH(VLOOKUP("*"&amp;$AX34,$A$10:$J$11,$J$9,FALSE)&amp;AO$7,COM_2012!$B$58:$AH$58,0),FALSE),"")</f>
        <v/>
      </c>
      <c r="AP34" s="391" t="str">
        <f ca="1">IFERROR(VLOOKUP($C34,COM_2012!$B$61:$AH$120,MATCH(VLOOKUP("*"&amp;$AX34,$A$10:$J$11,$J$9,FALSE)&amp;AP$7,COM_2012!$B$58:$AH$58,0),FALSE),"")</f>
        <v/>
      </c>
      <c r="AQ34" s="391" t="str">
        <f ca="1">IFERROR(VLOOKUP($C34,COM_2012!$B$61:$AH$120,MATCH(VLOOKUP("*"&amp;$AX34,$A$10:$J$11,$J$9,FALSE)&amp;AQ$7,COM_2012!$B$58:$AH$58,0),FALSE),"")</f>
        <v/>
      </c>
      <c r="AR34" s="391" t="str">
        <f ca="1">IFERROR(VLOOKUP($C34,COM_2012!$B$61:$AH$120,MATCH(VLOOKUP("*"&amp;$AX34,$A$10:$J$11,$J$9,FALSE)&amp;AR$7,COM_2012!$B$58:$AH$58,0),FALSE),"")</f>
        <v/>
      </c>
      <c r="AS34" s="391" t="str">
        <f ca="1">IFERROR(VLOOKUP($C34,COM_2012!$B$61:$AH$120,MATCH(VLOOKUP("*"&amp;$AX34,$A$10:$J$11,$J$9,FALSE)&amp;AS$7,COM_2012!$B$58:$AH$58,0),FALSE),"")</f>
        <v/>
      </c>
      <c r="AT34" s="391" t="str">
        <f ca="1">IFERROR(VLOOKUP($C34,COM_2012!$B$61:$AH$120,MATCH(VLOOKUP("*"&amp;$AX34,$A$10:$J$11,$J$9,FALSE)&amp;AT$7,COM_2012!$B$58:$AH$58,0),FALSE),"")</f>
        <v/>
      </c>
      <c r="AU34" s="391" t="str">
        <f ca="1">IFERROR(VLOOKUP($C34,COM_2012!$B$61:$AH$120,MATCH(VLOOKUP("*"&amp;$AX34,$A$10:$J$11,$J$9,FALSE)&amp;AU$7,COM_2012!$B$58:$AH$58,0),FALSE),"")</f>
        <v/>
      </c>
      <c r="AV34" s="391" t="str">
        <f ca="1">IFERROR(VLOOKUP($C34,COM_2012!$B$61:$AH$120,MATCH(VLOOKUP("*"&amp;$AX34,$A$10:$J$11,$J$9,FALSE)&amp;AV$7,COM_2012!$B$58:$AH$58,0),FALSE),"")</f>
        <v/>
      </c>
      <c r="AW34" s="391" t="str">
        <f ca="1">IFERROR(VLOOKUP($C34,COM_2012!$B$61:$AH$120,MATCH(VLOOKUP("*"&amp;$AX34,$A$10:$J$11,$J$9,FALSE)&amp;AW$7,COM_2012!$B$58:$AH$58,0),FALSE),"")</f>
        <v/>
      </c>
      <c r="AX34" s="304">
        <f>IF(AY33=COM_2012!$AI$121,AX33+1,AX33)</f>
        <v>1</v>
      </c>
      <c r="AY34" s="304">
        <f t="shared" si="15"/>
        <v>22</v>
      </c>
    </row>
    <row r="35" spans="1:51">
      <c r="A35" s="304" t="str">
        <f ca="1">IF(LEFT(OFFSET(COM_2012!$A$60,AY35,0),2)="\I","*","")</f>
        <v/>
      </c>
      <c r="B35" s="369" t="str">
        <f t="shared" ca="1" si="3"/>
        <v>FLO_MRKPRD</v>
      </c>
      <c r="C35" s="369" t="str">
        <f ca="1">IF($A35="*","",OFFSET(COM_2012!$B$60,AY35,0))</f>
        <v>CELELCHAL-E</v>
      </c>
      <c r="D35" s="369" t="str">
        <f t="shared" ca="1" si="14"/>
        <v>CEL</v>
      </c>
      <c r="E35" s="369" t="str">
        <f t="shared" ca="1" si="16"/>
        <v>-</v>
      </c>
      <c r="F35" s="370" t="str">
        <f t="shared" ca="1" si="17"/>
        <v>-</v>
      </c>
      <c r="G35" s="370" t="str">
        <f t="shared" ca="1" si="17"/>
        <v>ANNUAL</v>
      </c>
      <c r="H35" s="370" t="str">
        <f t="shared" ca="1" si="18"/>
        <v>UP</v>
      </c>
      <c r="I35" s="370">
        <f t="shared" ca="1" si="18"/>
        <v>0</v>
      </c>
      <c r="J35" s="494" t="str">
        <f>IF(J$7&lt;2020,"",IF(A35="*","",IFERROR(VLOOKUP($C35,COM_2012!$B$61:$AH$120,MATCH(VLOOKUP("*"&amp;$AX35,$A$10:$J$11,$J$9,FALSE)&amp;J$7,COM_2012!$B$58:$AH$58,0),FALSE),"")))</f>
        <v/>
      </c>
      <c r="K35" s="494" t="str">
        <f>IF(K$7&lt;2020,"",IF(B35="*","",IFERROR(VLOOKUP($C35,COM_2012!$B$61:$AH$120,MATCH(VLOOKUP("*"&amp;$AX35,$A$10:$J$11,$J$9,FALSE)&amp;K$7,COM_2012!$B$58:$AH$58,0),FALSE),"")))</f>
        <v/>
      </c>
      <c r="L35" s="494" t="str">
        <f>IF(L$7&lt;2020,"",IF(C35="*","",IFERROR(VLOOKUP($C35,COM_2012!$B$61:$AH$120,MATCH(VLOOKUP("*"&amp;$AX35,$A$10:$J$11,$J$9,FALSE)&amp;L$7,COM_2012!$B$58:$AH$58,0),FALSE),"")))</f>
        <v/>
      </c>
      <c r="M35" s="494" t="str">
        <f>IF(M$7&lt;2020,"",IF(D35="*","",IFERROR(VLOOKUP($C35,COM_2012!$B$61:$AH$120,MATCH(VLOOKUP("*"&amp;$AX35,$A$10:$J$11,$J$9,FALSE)&amp;M$7,COM_2012!$B$58:$AH$58,0),FALSE),"")))</f>
        <v/>
      </c>
      <c r="N35" s="494" t="str">
        <f ca="1">IFERROR(VLOOKUP($C35,COM_2012!$B$61:$AH$120,MATCH(VLOOKUP("*"&amp;$AX35,$A$10:$J$11,$J$9,FALSE)&amp;N$7,COM_2012!$B$58:$AH$58,0),FALSE),"")</f>
        <v/>
      </c>
      <c r="O35" s="494" t="str">
        <f>IF(O$7&lt;2020,"",IF($A35="*","",IFERROR(VLOOKUP($C35,' COM_2017_old'!$B$61:$AJ$120,MATCH(VLOOKUP("*"&amp;$AX35,$A$10:$J$11,$J$9,FALSE)&amp;O$7,' COM_2017_old'!$B$58:$AJ$58,0),FALSE),"")))</f>
        <v/>
      </c>
      <c r="P35" s="494" t="str">
        <f ca="1">IFERROR(VLOOKUP($C35,COM_2012!$B$61:$AH$120,MATCH(VLOOKUP("*"&amp;$AX35,$A$10:$J$11,$J$9,FALSE)&amp;P$7,COM_2012!$B$58:$AH$58,0),FALSE),"")</f>
        <v/>
      </c>
      <c r="Q35" s="494" t="str">
        <f ca="1">IFERROR(VLOOKUP($C35,COM_2012!$B$61:$AH$120,MATCH(VLOOKUP("*"&amp;$AX35,$A$10:$J$11,$J$9,FALSE)&amp;Q$7,COM_2012!$B$58:$AH$58,0),FALSE),"")</f>
        <v/>
      </c>
      <c r="R35" s="494">
        <f ca="1">IF($A35="*","",IFERROR(VLOOKUP($C35,' COM_2017_old'!$B$61:$AJ$120,MATCH(VLOOKUP("*"&amp;$AX35,$A$10:$J$11,$J$9,FALSE)&amp;R$7,' COM_2017_old'!$B$58:$AJ$58,0),FALSE),""))</f>
        <v>3.8879120879120876E-2</v>
      </c>
      <c r="S35" s="494">
        <f t="shared" ca="1" si="6"/>
        <v>5.2879120879120875E-2</v>
      </c>
      <c r="T35" s="494">
        <f t="shared" ca="1" si="7"/>
        <v>6.6879120879120874E-2</v>
      </c>
      <c r="U35" s="494">
        <f t="shared" ca="1" si="7"/>
        <v>8.0879120879120872E-2</v>
      </c>
      <c r="V35" s="494">
        <f t="shared" ca="1" si="7"/>
        <v>9.4879120879120871E-2</v>
      </c>
      <c r="W35" s="494">
        <f ca="1">IF($A35="*","",IFERROR(VLOOKUP($C35,' COM_2017_old'!$B$61:$AJ$120,MATCH(VLOOKUP("*"&amp;$AX35,$A$10:$J$11,$J$9,FALSE)&amp;W$7,' COM_2017_old'!$B$58:$AJ$58,0),FALSE),""))</f>
        <v>0.10887912087912088</v>
      </c>
      <c r="X35" s="494">
        <f t="shared" ca="1" si="8"/>
        <v>0.14887912087912089</v>
      </c>
      <c r="Y35" s="494">
        <f t="shared" ca="1" si="9"/>
        <v>0.1888791208791209</v>
      </c>
      <c r="Z35" s="494">
        <f t="shared" ca="1" si="9"/>
        <v>0.22887912087912091</v>
      </c>
      <c r="AA35" s="494">
        <f t="shared" ca="1" si="9"/>
        <v>0.26887912087912091</v>
      </c>
      <c r="AB35" s="494">
        <f ca="1">IF($A35="*","",IFERROR(VLOOKUP($C35,' COM_2017_old'!$B$61:$AJ$120,MATCH(VLOOKUP("*"&amp;$AX35,$A$10:$J$11,$J$9,FALSE)&amp;AB$7,' COM_2017_old'!$B$58:$AJ$58,0),FALSE),""))</f>
        <v>0.30887912087912089</v>
      </c>
      <c r="AC35" s="494">
        <f t="shared" ca="1" si="10"/>
        <v>0.35887912087912088</v>
      </c>
      <c r="AD35" s="494">
        <f t="shared" ca="1" si="11"/>
        <v>0.40887912087912087</v>
      </c>
      <c r="AE35" s="494">
        <f t="shared" ca="1" si="11"/>
        <v>0.45887912087912086</v>
      </c>
      <c r="AF35" s="494">
        <f t="shared" ca="1" si="11"/>
        <v>0.50887912087912091</v>
      </c>
      <c r="AG35" s="494">
        <f ca="1">IF($A35="*","",IFERROR(VLOOKUP($C35,' COM_2017_old'!$B$61:$AJ$120,MATCH(VLOOKUP("*"&amp;$AX35,$A$10:$J$11,$J$9,FALSE)&amp;AG$7,' COM_2017_old'!$B$58:$AJ$58,0),FALSE),""))</f>
        <v>0.55887912087912095</v>
      </c>
      <c r="AH35" s="494">
        <f t="shared" ca="1" si="12"/>
        <v>0.61887912087912089</v>
      </c>
      <c r="AI35" s="494">
        <f t="shared" ca="1" si="13"/>
        <v>0.67887912087912083</v>
      </c>
      <c r="AJ35" s="494">
        <f t="shared" ca="1" si="13"/>
        <v>0.73887912087912078</v>
      </c>
      <c r="AK35" s="494">
        <f t="shared" ca="1" si="13"/>
        <v>0.79887912087912072</v>
      </c>
      <c r="AL35" s="494">
        <f ca="1">IF($A35="*","",IFERROR(VLOOKUP($C35,' COM_2017_old'!$B$61:$AJ$120,MATCH(VLOOKUP("*"&amp;$AX35,$A$10:$J$11,$J$9,FALSE)&amp;AL$7,' COM_2017_old'!$B$58:$AJ$58,0),FALSE),""))</f>
        <v>0.85887912087912088</v>
      </c>
      <c r="AM35" s="494">
        <f ca="1">IF($A35="*","",IFERROR(VLOOKUP($C35,' COM_2017_old'!$B$61:$AJ$120,MATCH(VLOOKUP("*"&amp;$AX35,$A$10:$J$11,$J$9,FALSE)&amp;AM$7,' COM_2017_old'!$B$58:$AJ$58,0),FALSE),""))</f>
        <v>0.95887912087912086</v>
      </c>
      <c r="AN35" s="494">
        <f ca="1">IF($A35="*","",IFERROR(VLOOKUP($C35,' COM_2017_old'!$B$61:$AJ$120,MATCH(VLOOKUP("*"&amp;$AX35,$A$10:$J$11,$J$9,FALSE)&amp;AN$7,' COM_2017_old'!$B$58:$AJ$58,0),FALSE),""))</f>
        <v>1</v>
      </c>
      <c r="AO35" s="391" t="str">
        <f ca="1">IFERROR(VLOOKUP($C35,COM_2012!$B$61:$AH$120,MATCH(VLOOKUP("*"&amp;$AX35,$A$10:$J$11,$J$9,FALSE)&amp;AO$7,COM_2012!$B$58:$AH$58,0),FALSE),"")</f>
        <v/>
      </c>
      <c r="AP35" s="391" t="str">
        <f ca="1">IFERROR(VLOOKUP($C35,COM_2012!$B$61:$AH$120,MATCH(VLOOKUP("*"&amp;$AX35,$A$10:$J$11,$J$9,FALSE)&amp;AP$7,COM_2012!$B$58:$AH$58,0),FALSE),"")</f>
        <v/>
      </c>
      <c r="AQ35" s="391" t="str">
        <f ca="1">IFERROR(VLOOKUP($C35,COM_2012!$B$61:$AH$120,MATCH(VLOOKUP("*"&amp;$AX35,$A$10:$J$11,$J$9,FALSE)&amp;AQ$7,COM_2012!$B$58:$AH$58,0),FALSE),"")</f>
        <v/>
      </c>
      <c r="AR35" s="391" t="str">
        <f ca="1">IFERROR(VLOOKUP($C35,COM_2012!$B$61:$AH$120,MATCH(VLOOKUP("*"&amp;$AX35,$A$10:$J$11,$J$9,FALSE)&amp;AR$7,COM_2012!$B$58:$AH$58,0),FALSE),"")</f>
        <v/>
      </c>
      <c r="AS35" s="391" t="str">
        <f ca="1">IFERROR(VLOOKUP($C35,COM_2012!$B$61:$AH$120,MATCH(VLOOKUP("*"&amp;$AX35,$A$10:$J$11,$J$9,FALSE)&amp;AS$7,COM_2012!$B$58:$AH$58,0),FALSE),"")</f>
        <v/>
      </c>
      <c r="AT35" s="391" t="str">
        <f ca="1">IFERROR(VLOOKUP($C35,COM_2012!$B$61:$AH$120,MATCH(VLOOKUP("*"&amp;$AX35,$A$10:$J$11,$J$9,FALSE)&amp;AT$7,COM_2012!$B$58:$AH$58,0),FALSE),"")</f>
        <v/>
      </c>
      <c r="AU35" s="391" t="str">
        <f ca="1">IFERROR(VLOOKUP($C35,COM_2012!$B$61:$AH$120,MATCH(VLOOKUP("*"&amp;$AX35,$A$10:$J$11,$J$9,FALSE)&amp;AU$7,COM_2012!$B$58:$AH$58,0),FALSE),"")</f>
        <v/>
      </c>
      <c r="AV35" s="391" t="str">
        <f ca="1">IFERROR(VLOOKUP($C35,COM_2012!$B$61:$AH$120,MATCH(VLOOKUP("*"&amp;$AX35,$A$10:$J$11,$J$9,FALSE)&amp;AV$7,COM_2012!$B$58:$AH$58,0),FALSE),"")</f>
        <v/>
      </c>
      <c r="AW35" s="391" t="str">
        <f ca="1">IFERROR(VLOOKUP($C35,COM_2012!$B$61:$AH$120,MATCH(VLOOKUP("*"&amp;$AX35,$A$10:$J$11,$J$9,FALSE)&amp;AW$7,COM_2012!$B$58:$AH$58,0),FALSE),"")</f>
        <v/>
      </c>
      <c r="AX35" s="304">
        <f>IF(AY34=COM_2012!$AI$121,AX34+1,AX34)</f>
        <v>1</v>
      </c>
      <c r="AY35" s="304">
        <f t="shared" si="15"/>
        <v>23</v>
      </c>
    </row>
    <row r="36" spans="1:51">
      <c r="A36" s="304" t="str">
        <f ca="1">IF(LEFT(OFFSET(COM_2012!$A$60,AY36,0),2)="\I","*","")</f>
        <v/>
      </c>
      <c r="B36" s="369" t="str">
        <f t="shared" ca="1" si="3"/>
        <v>FLO_MRKPRD</v>
      </c>
      <c r="C36" s="369" t="str">
        <f ca="1">IF($A36="*","",OFFSET(COM_2012!$B$60,AY36,0))</f>
        <v>CELELCHID-E</v>
      </c>
      <c r="D36" s="369" t="str">
        <f t="shared" ca="1" si="14"/>
        <v>CEL</v>
      </c>
      <c r="E36" s="369" t="str">
        <f t="shared" ca="1" si="16"/>
        <v>-</v>
      </c>
      <c r="F36" s="370" t="str">
        <f t="shared" ca="1" si="17"/>
        <v>-</v>
      </c>
      <c r="G36" s="370" t="str">
        <f t="shared" ca="1" si="17"/>
        <v>ANNUAL</v>
      </c>
      <c r="H36" s="370" t="str">
        <f t="shared" ca="1" si="18"/>
        <v>UP</v>
      </c>
      <c r="I36" s="370">
        <f t="shared" ca="1" si="18"/>
        <v>0</v>
      </c>
      <c r="J36" s="494" t="str">
        <f>IF(J$7&lt;2020,"",IF(A36="*","",IFERROR(VLOOKUP($C36,COM_2012!$B$61:$AH$120,MATCH(VLOOKUP("*"&amp;$AX36,$A$10:$J$11,$J$9,FALSE)&amp;J$7,COM_2012!$B$58:$AH$58,0),FALSE),"")))</f>
        <v/>
      </c>
      <c r="K36" s="494" t="str">
        <f>IF(K$7&lt;2020,"",IF(B36="*","",IFERROR(VLOOKUP($C36,COM_2012!$B$61:$AH$120,MATCH(VLOOKUP("*"&amp;$AX36,$A$10:$J$11,$J$9,FALSE)&amp;K$7,COM_2012!$B$58:$AH$58,0),FALSE),"")))</f>
        <v/>
      </c>
      <c r="L36" s="494" t="str">
        <f>IF(L$7&lt;2020,"",IF(C36="*","",IFERROR(VLOOKUP($C36,COM_2012!$B$61:$AH$120,MATCH(VLOOKUP("*"&amp;$AX36,$A$10:$J$11,$J$9,FALSE)&amp;L$7,COM_2012!$B$58:$AH$58,0),FALSE),"")))</f>
        <v/>
      </c>
      <c r="M36" s="494" t="str">
        <f>IF(M$7&lt;2020,"",IF(D36="*","",IFERROR(VLOOKUP($C36,COM_2012!$B$61:$AH$120,MATCH(VLOOKUP("*"&amp;$AX36,$A$10:$J$11,$J$9,FALSE)&amp;M$7,COM_2012!$B$58:$AH$58,0),FALSE),"")))</f>
        <v/>
      </c>
      <c r="N36" s="494" t="str">
        <f ca="1">IFERROR(VLOOKUP($C36,COM_2012!$B$61:$AH$120,MATCH(VLOOKUP("*"&amp;$AX36,$A$10:$J$11,$J$9,FALSE)&amp;N$7,COM_2012!$B$58:$AH$58,0),FALSE),"")</f>
        <v/>
      </c>
      <c r="O36" s="494" t="str">
        <f>IF(O$7&lt;2020,"",IF($A36="*","",IFERROR(VLOOKUP($C36,' COM_2017_old'!$B$61:$AJ$120,MATCH(VLOOKUP("*"&amp;$AX36,$A$10:$J$11,$J$9,FALSE)&amp;O$7,' COM_2017_old'!$B$58:$AJ$58,0),FALSE),"")))</f>
        <v/>
      </c>
      <c r="P36" s="494" t="str">
        <f ca="1">IFERROR(VLOOKUP($C36,COM_2012!$B$61:$AH$120,MATCH(VLOOKUP("*"&amp;$AX36,$A$10:$J$11,$J$9,FALSE)&amp;P$7,COM_2012!$B$58:$AH$58,0),FALSE),"")</f>
        <v/>
      </c>
      <c r="Q36" s="494" t="str">
        <f ca="1">IFERROR(VLOOKUP($C36,COM_2012!$B$61:$AH$120,MATCH(VLOOKUP("*"&amp;$AX36,$A$10:$J$11,$J$9,FALSE)&amp;Q$7,COM_2012!$B$58:$AH$58,0),FALSE),"")</f>
        <v/>
      </c>
      <c r="R36" s="494">
        <f ca="1">IF($A36="*","",IFERROR(VLOOKUP($C36,' COM_2017_old'!$B$61:$AJ$120,MATCH(VLOOKUP("*"&amp;$AX36,$A$10:$J$11,$J$9,FALSE)&amp;R$7,' COM_2017_old'!$B$58:$AJ$58,0),FALSE),""))</f>
        <v>0.2630769230769231</v>
      </c>
      <c r="S36" s="494">
        <f t="shared" ca="1" si="6"/>
        <v>0.27707692307692311</v>
      </c>
      <c r="T36" s="494">
        <f t="shared" ca="1" si="7"/>
        <v>0.29107692307692312</v>
      </c>
      <c r="U36" s="494">
        <f t="shared" ca="1" si="7"/>
        <v>0.30507692307692313</v>
      </c>
      <c r="V36" s="494">
        <f t="shared" ca="1" si="7"/>
        <v>0.31907692307692315</v>
      </c>
      <c r="W36" s="494">
        <f ca="1">IF($A36="*","",IFERROR(VLOOKUP($C36,' COM_2017_old'!$B$61:$AJ$120,MATCH(VLOOKUP("*"&amp;$AX36,$A$10:$J$11,$J$9,FALSE)&amp;W$7,' COM_2017_old'!$B$58:$AJ$58,0),FALSE),""))</f>
        <v>0.33307692307692305</v>
      </c>
      <c r="X36" s="494">
        <f t="shared" ca="1" si="8"/>
        <v>0.37307692307692303</v>
      </c>
      <c r="Y36" s="494">
        <f t="shared" ca="1" si="9"/>
        <v>0.41307692307692301</v>
      </c>
      <c r="Z36" s="494">
        <f t="shared" ca="1" si="9"/>
        <v>0.45307692307692299</v>
      </c>
      <c r="AA36" s="494">
        <f t="shared" ca="1" si="9"/>
        <v>0.49307692307692297</v>
      </c>
      <c r="AB36" s="494">
        <f ca="1">IF($A36="*","",IFERROR(VLOOKUP($C36,' COM_2017_old'!$B$61:$AJ$120,MATCH(VLOOKUP("*"&amp;$AX36,$A$10:$J$11,$J$9,FALSE)&amp;AB$7,' COM_2017_old'!$B$58:$AJ$58,0),FALSE),""))</f>
        <v>0.533076923076923</v>
      </c>
      <c r="AC36" s="494">
        <f t="shared" ca="1" si="10"/>
        <v>0.58307692307692305</v>
      </c>
      <c r="AD36" s="494">
        <f t="shared" ca="1" si="11"/>
        <v>0.63307692307692309</v>
      </c>
      <c r="AE36" s="494">
        <f t="shared" ca="1" si="11"/>
        <v>0.68307692307692314</v>
      </c>
      <c r="AF36" s="494">
        <f t="shared" ca="1" si="11"/>
        <v>0.73307692307692318</v>
      </c>
      <c r="AG36" s="494">
        <f ca="1">IF($A36="*","",IFERROR(VLOOKUP($C36,' COM_2017_old'!$B$61:$AJ$120,MATCH(VLOOKUP("*"&amp;$AX36,$A$10:$J$11,$J$9,FALSE)&amp;AG$7,' COM_2017_old'!$B$58:$AJ$58,0),FALSE),""))</f>
        <v>0.78307692307692311</v>
      </c>
      <c r="AH36" s="494">
        <f t="shared" ca="1" si="12"/>
        <v>0.82646153846153847</v>
      </c>
      <c r="AI36" s="494">
        <f t="shared" ca="1" si="13"/>
        <v>0.86984615384615382</v>
      </c>
      <c r="AJ36" s="494">
        <f t="shared" ca="1" si="13"/>
        <v>0.91323076923076918</v>
      </c>
      <c r="AK36" s="494">
        <f t="shared" ca="1" si="13"/>
        <v>0.95661538461538453</v>
      </c>
      <c r="AL36" s="494">
        <f ca="1">IF($A36="*","",IFERROR(VLOOKUP($C36,' COM_2017_old'!$B$61:$AJ$120,MATCH(VLOOKUP("*"&amp;$AX36,$A$10:$J$11,$J$9,FALSE)&amp;AL$7,' COM_2017_old'!$B$58:$AJ$58,0),FALSE),""))</f>
        <v>1</v>
      </c>
      <c r="AM36" s="494">
        <f ca="1">IF($A36="*","",IFERROR(VLOOKUP($C36,' COM_2017_old'!$B$61:$AJ$120,MATCH(VLOOKUP("*"&amp;$AX36,$A$10:$J$11,$J$9,FALSE)&amp;AM$7,' COM_2017_old'!$B$58:$AJ$58,0),FALSE),""))</f>
        <v>1</v>
      </c>
      <c r="AN36" s="494">
        <f ca="1">IF($A36="*","",IFERROR(VLOOKUP($C36,' COM_2017_old'!$B$61:$AJ$120,MATCH(VLOOKUP("*"&amp;$AX36,$A$10:$J$11,$J$9,FALSE)&amp;AN$7,' COM_2017_old'!$B$58:$AJ$58,0),FALSE),""))</f>
        <v>1</v>
      </c>
      <c r="AO36" s="391" t="str">
        <f ca="1">IFERROR(VLOOKUP($C36,COM_2012!$B$61:$AH$120,MATCH(VLOOKUP("*"&amp;$AX36,$A$10:$J$11,$J$9,FALSE)&amp;AO$7,COM_2012!$B$58:$AH$58,0),FALSE),"")</f>
        <v/>
      </c>
      <c r="AP36" s="391" t="str">
        <f ca="1">IFERROR(VLOOKUP($C36,COM_2012!$B$61:$AH$120,MATCH(VLOOKUP("*"&amp;$AX36,$A$10:$J$11,$J$9,FALSE)&amp;AP$7,COM_2012!$B$58:$AH$58,0),FALSE),"")</f>
        <v/>
      </c>
      <c r="AQ36" s="391" t="str">
        <f ca="1">IFERROR(VLOOKUP($C36,COM_2012!$B$61:$AH$120,MATCH(VLOOKUP("*"&amp;$AX36,$A$10:$J$11,$J$9,FALSE)&amp;AQ$7,COM_2012!$B$58:$AH$58,0),FALSE),"")</f>
        <v/>
      </c>
      <c r="AR36" s="391" t="str">
        <f ca="1">IFERROR(VLOOKUP($C36,COM_2012!$B$61:$AH$120,MATCH(VLOOKUP("*"&amp;$AX36,$A$10:$J$11,$J$9,FALSE)&amp;AR$7,COM_2012!$B$58:$AH$58,0),FALSE),"")</f>
        <v/>
      </c>
      <c r="AS36" s="391" t="str">
        <f ca="1">IFERROR(VLOOKUP($C36,COM_2012!$B$61:$AH$120,MATCH(VLOOKUP("*"&amp;$AX36,$A$10:$J$11,$J$9,FALSE)&amp;AS$7,COM_2012!$B$58:$AH$58,0),FALSE),"")</f>
        <v/>
      </c>
      <c r="AT36" s="391" t="str">
        <f ca="1">IFERROR(VLOOKUP($C36,COM_2012!$B$61:$AH$120,MATCH(VLOOKUP("*"&amp;$AX36,$A$10:$J$11,$J$9,FALSE)&amp;AT$7,COM_2012!$B$58:$AH$58,0),FALSE),"")</f>
        <v/>
      </c>
      <c r="AU36" s="391" t="str">
        <f ca="1">IFERROR(VLOOKUP($C36,COM_2012!$B$61:$AH$120,MATCH(VLOOKUP("*"&amp;$AX36,$A$10:$J$11,$J$9,FALSE)&amp;AU$7,COM_2012!$B$58:$AH$58,0),FALSE),"")</f>
        <v/>
      </c>
      <c r="AV36" s="391" t="str">
        <f ca="1">IFERROR(VLOOKUP($C36,COM_2012!$B$61:$AH$120,MATCH(VLOOKUP("*"&amp;$AX36,$A$10:$J$11,$J$9,FALSE)&amp;AV$7,COM_2012!$B$58:$AH$58,0),FALSE),"")</f>
        <v/>
      </c>
      <c r="AW36" s="391" t="str">
        <f ca="1">IFERROR(VLOOKUP($C36,COM_2012!$B$61:$AH$120,MATCH(VLOOKUP("*"&amp;$AX36,$A$10:$J$11,$J$9,FALSE)&amp;AW$7,COM_2012!$B$58:$AH$58,0),FALSE),"")</f>
        <v/>
      </c>
      <c r="AX36" s="304">
        <f>IF(AY35=COM_2012!$AI$121,AX35+1,AX35)</f>
        <v>1</v>
      </c>
      <c r="AY36" s="304">
        <f t="shared" si="15"/>
        <v>24</v>
      </c>
    </row>
    <row r="37" spans="1:51">
      <c r="A37" s="304" t="str">
        <f ca="1">IF(LEFT(OFFSET(COM_2012!$A$60,AY37,0),2)="\I","*","")</f>
        <v/>
      </c>
      <c r="B37" s="369" t="str">
        <f t="shared" ca="1" si="3"/>
        <v>FLO_MRKPRD</v>
      </c>
      <c r="C37" s="369" t="str">
        <f ca="1">IF($A37="*","",OFFSET(COM_2012!$B$60,AY37,0))</f>
        <v>CELELCINC-E</v>
      </c>
      <c r="D37" s="369" t="str">
        <f t="shared" ca="1" si="14"/>
        <v>CEL</v>
      </c>
      <c r="E37" s="369" t="str">
        <f t="shared" ca="1" si="16"/>
        <v>-</v>
      </c>
      <c r="F37" s="370" t="str">
        <f t="shared" ca="1" si="17"/>
        <v>-</v>
      </c>
      <c r="G37" s="370" t="str">
        <f t="shared" ca="1" si="17"/>
        <v>ANNUAL</v>
      </c>
      <c r="H37" s="370" t="str">
        <f t="shared" ca="1" si="18"/>
        <v>UP</v>
      </c>
      <c r="I37" s="370">
        <f t="shared" ca="1" si="18"/>
        <v>0</v>
      </c>
      <c r="J37" s="494" t="str">
        <f>IF(J$7&lt;2020,"",IF(A37="*","",IFERROR(VLOOKUP($C37,COM_2012!$B$61:$AH$120,MATCH(VLOOKUP("*"&amp;$AX37,$A$10:$J$11,$J$9,FALSE)&amp;J$7,COM_2012!$B$58:$AH$58,0),FALSE),"")))</f>
        <v/>
      </c>
      <c r="K37" s="494" t="str">
        <f>IF(K$7&lt;2020,"",IF(B37="*","",IFERROR(VLOOKUP($C37,COM_2012!$B$61:$AH$120,MATCH(VLOOKUP("*"&amp;$AX37,$A$10:$J$11,$J$9,FALSE)&amp;K$7,COM_2012!$B$58:$AH$58,0),FALSE),"")))</f>
        <v/>
      </c>
      <c r="L37" s="494" t="str">
        <f>IF(L$7&lt;2020,"",IF(C37="*","",IFERROR(VLOOKUP($C37,COM_2012!$B$61:$AH$120,MATCH(VLOOKUP("*"&amp;$AX37,$A$10:$J$11,$J$9,FALSE)&amp;L$7,COM_2012!$B$58:$AH$58,0),FALSE),"")))</f>
        <v/>
      </c>
      <c r="M37" s="494" t="str">
        <f>IF(M$7&lt;2020,"",IF(D37="*","",IFERROR(VLOOKUP($C37,COM_2012!$B$61:$AH$120,MATCH(VLOOKUP("*"&amp;$AX37,$A$10:$J$11,$J$9,FALSE)&amp;M$7,COM_2012!$B$58:$AH$58,0),FALSE),"")))</f>
        <v/>
      </c>
      <c r="N37" s="494" t="str">
        <f ca="1">IFERROR(VLOOKUP($C37,COM_2012!$B$61:$AH$120,MATCH(VLOOKUP("*"&amp;$AX37,$A$10:$J$11,$J$9,FALSE)&amp;N$7,COM_2012!$B$58:$AH$58,0),FALSE),"")</f>
        <v/>
      </c>
      <c r="O37" s="494" t="str">
        <f>IF(O$7&lt;2020,"",IF($A37="*","",IFERROR(VLOOKUP($C37,' COM_2017_old'!$B$61:$AJ$120,MATCH(VLOOKUP("*"&amp;$AX37,$A$10:$J$11,$J$9,FALSE)&amp;O$7,' COM_2017_old'!$B$58:$AJ$58,0),FALSE),"")))</f>
        <v/>
      </c>
      <c r="P37" s="494" t="str">
        <f ca="1">IFERROR(VLOOKUP($C37,COM_2012!$B$61:$AH$120,MATCH(VLOOKUP("*"&amp;$AX37,$A$10:$J$11,$J$9,FALSE)&amp;P$7,COM_2012!$B$58:$AH$58,0),FALSE),"")</f>
        <v/>
      </c>
      <c r="Q37" s="494" t="str">
        <f ca="1">IFERROR(VLOOKUP($C37,COM_2012!$B$61:$AH$120,MATCH(VLOOKUP("*"&amp;$AX37,$A$10:$J$11,$J$9,FALSE)&amp;Q$7,COM_2012!$B$58:$AH$58,0),FALSE),"")</f>
        <v/>
      </c>
      <c r="R37" s="494">
        <f ca="1">IF($A37="*","",IFERROR(VLOOKUP($C37,' COM_2017_old'!$B$61:$AJ$120,MATCH(VLOOKUP("*"&amp;$AX37,$A$10:$J$11,$J$9,FALSE)&amp;R$7,' COM_2017_old'!$B$58:$AJ$58,0),FALSE),""))</f>
        <v>1.5538461538461539E-2</v>
      </c>
      <c r="S37" s="494">
        <f t="shared" ca="1" si="6"/>
        <v>1.4430769230769231E-2</v>
      </c>
      <c r="T37" s="494">
        <f t="shared" ca="1" si="7"/>
        <v>1.3323076923076924E-2</v>
      </c>
      <c r="U37" s="494">
        <f t="shared" ca="1" si="7"/>
        <v>1.2215384615384616E-2</v>
      </c>
      <c r="V37" s="494">
        <f t="shared" ca="1" si="7"/>
        <v>1.1107692307692308E-2</v>
      </c>
      <c r="W37" s="494">
        <f ca="1">IF($A37="*","",IFERROR(VLOOKUP($C37,' COM_2017_old'!$B$61:$AJ$120,MATCH(VLOOKUP("*"&amp;$AX37,$A$10:$J$11,$J$9,FALSE)&amp;W$7,' COM_2017_old'!$B$58:$AJ$58,0),FALSE),""))</f>
        <v>0.01</v>
      </c>
      <c r="X37" s="494">
        <f t="shared" ca="1" si="8"/>
        <v>0.01</v>
      </c>
      <c r="Y37" s="494">
        <f t="shared" ca="1" si="9"/>
        <v>0.01</v>
      </c>
      <c r="Z37" s="494">
        <f t="shared" ca="1" si="9"/>
        <v>0.01</v>
      </c>
      <c r="AA37" s="494">
        <f t="shared" ca="1" si="9"/>
        <v>0.01</v>
      </c>
      <c r="AB37" s="494">
        <f ca="1">IF($A37="*","",IFERROR(VLOOKUP($C37,' COM_2017_old'!$B$61:$AJ$120,MATCH(VLOOKUP("*"&amp;$AX37,$A$10:$J$11,$J$9,FALSE)&amp;AB$7,' COM_2017_old'!$B$58:$AJ$58,0),FALSE),""))</f>
        <v>0.01</v>
      </c>
      <c r="AC37" s="494">
        <f t="shared" ca="1" si="10"/>
        <v>0.01</v>
      </c>
      <c r="AD37" s="494">
        <f t="shared" ca="1" si="11"/>
        <v>0.01</v>
      </c>
      <c r="AE37" s="494">
        <f t="shared" ca="1" si="11"/>
        <v>0.01</v>
      </c>
      <c r="AF37" s="494">
        <f t="shared" ca="1" si="11"/>
        <v>0.01</v>
      </c>
      <c r="AG37" s="494">
        <f ca="1">IF($A37="*","",IFERROR(VLOOKUP($C37,' COM_2017_old'!$B$61:$AJ$120,MATCH(VLOOKUP("*"&amp;$AX37,$A$10:$J$11,$J$9,FALSE)&amp;AG$7,' COM_2017_old'!$B$58:$AJ$58,0),FALSE),""))</f>
        <v>0.01</v>
      </c>
      <c r="AH37" s="494">
        <f t="shared" ca="1" si="12"/>
        <v>0.01</v>
      </c>
      <c r="AI37" s="494">
        <f t="shared" ca="1" si="13"/>
        <v>0.01</v>
      </c>
      <c r="AJ37" s="494">
        <f t="shared" ca="1" si="13"/>
        <v>0.01</v>
      </c>
      <c r="AK37" s="494">
        <f t="shared" ca="1" si="13"/>
        <v>0.01</v>
      </c>
      <c r="AL37" s="494">
        <f ca="1">IF($A37="*","",IFERROR(VLOOKUP($C37,' COM_2017_old'!$B$61:$AJ$120,MATCH(VLOOKUP("*"&amp;$AX37,$A$10:$J$11,$J$9,FALSE)&amp;AL$7,' COM_2017_old'!$B$58:$AJ$58,0),FALSE),""))</f>
        <v>0.01</v>
      </c>
      <c r="AM37" s="494">
        <f ca="1">IF($A37="*","",IFERROR(VLOOKUP($C37,' COM_2017_old'!$B$61:$AJ$120,MATCH(VLOOKUP("*"&amp;$AX37,$A$10:$J$11,$J$9,FALSE)&amp;AM$7,' COM_2017_old'!$B$58:$AJ$58,0),FALSE),""))</f>
        <v>0.01</v>
      </c>
      <c r="AN37" s="494">
        <f ca="1">IF($A37="*","",IFERROR(VLOOKUP($C37,' COM_2017_old'!$B$61:$AJ$120,MATCH(VLOOKUP("*"&amp;$AX37,$A$10:$J$11,$J$9,FALSE)&amp;AN$7,' COM_2017_old'!$B$58:$AJ$58,0),FALSE),""))</f>
        <v>0.01</v>
      </c>
      <c r="AO37" s="391" t="str">
        <f ca="1">IFERROR(VLOOKUP($C37,COM_2012!$B$61:$AH$120,MATCH(VLOOKUP("*"&amp;$AX37,$A$10:$J$11,$J$9,FALSE)&amp;AO$7,COM_2012!$B$58:$AH$58,0),FALSE),"")</f>
        <v/>
      </c>
      <c r="AP37" s="391" t="str">
        <f ca="1">IFERROR(VLOOKUP($C37,COM_2012!$B$61:$AH$120,MATCH(VLOOKUP("*"&amp;$AX37,$A$10:$J$11,$J$9,FALSE)&amp;AP$7,COM_2012!$B$58:$AH$58,0),FALSE),"")</f>
        <v/>
      </c>
      <c r="AQ37" s="391" t="str">
        <f ca="1">IFERROR(VLOOKUP($C37,COM_2012!$B$61:$AH$120,MATCH(VLOOKUP("*"&amp;$AX37,$A$10:$J$11,$J$9,FALSE)&amp;AQ$7,COM_2012!$B$58:$AH$58,0),FALSE),"")</f>
        <v/>
      </c>
      <c r="AR37" s="391" t="str">
        <f ca="1">IFERROR(VLOOKUP($C37,COM_2012!$B$61:$AH$120,MATCH(VLOOKUP("*"&amp;$AX37,$A$10:$J$11,$J$9,FALSE)&amp;AR$7,COM_2012!$B$58:$AH$58,0),FALSE),"")</f>
        <v/>
      </c>
      <c r="AS37" s="391" t="str">
        <f ca="1">IFERROR(VLOOKUP($C37,COM_2012!$B$61:$AH$120,MATCH(VLOOKUP("*"&amp;$AX37,$A$10:$J$11,$J$9,FALSE)&amp;AS$7,COM_2012!$B$58:$AH$58,0),FALSE),"")</f>
        <v/>
      </c>
      <c r="AT37" s="391" t="str">
        <f ca="1">IFERROR(VLOOKUP($C37,COM_2012!$B$61:$AH$120,MATCH(VLOOKUP("*"&amp;$AX37,$A$10:$J$11,$J$9,FALSE)&amp;AT$7,COM_2012!$B$58:$AH$58,0),FALSE),"")</f>
        <v/>
      </c>
      <c r="AU37" s="391" t="str">
        <f ca="1">IFERROR(VLOOKUP($C37,COM_2012!$B$61:$AH$120,MATCH(VLOOKUP("*"&amp;$AX37,$A$10:$J$11,$J$9,FALSE)&amp;AU$7,COM_2012!$B$58:$AH$58,0),FALSE),"")</f>
        <v/>
      </c>
      <c r="AV37" s="391" t="str">
        <f ca="1">IFERROR(VLOOKUP($C37,COM_2012!$B$61:$AH$120,MATCH(VLOOKUP("*"&amp;$AX37,$A$10:$J$11,$J$9,FALSE)&amp;AV$7,COM_2012!$B$58:$AH$58,0),FALSE),"")</f>
        <v/>
      </c>
      <c r="AW37" s="391" t="str">
        <f ca="1">IFERROR(VLOOKUP($C37,COM_2012!$B$61:$AH$120,MATCH(VLOOKUP("*"&amp;$AX37,$A$10:$J$11,$J$9,FALSE)&amp;AW$7,COM_2012!$B$58:$AH$58,0),FALSE),"")</f>
        <v/>
      </c>
      <c r="AX37" s="304">
        <f>IF(AY36=COM_2012!$AI$121,AX36+1,AX36)</f>
        <v>1</v>
      </c>
      <c r="AY37" s="304">
        <f t="shared" si="15"/>
        <v>25</v>
      </c>
    </row>
    <row r="38" spans="1:51">
      <c r="A38" s="304" t="str">
        <f ca="1">IF(LEFT(OFFSET(COM_2012!$A$60,AY38,0),2)="\I","*","")</f>
        <v/>
      </c>
      <c r="B38" s="369" t="str">
        <f t="shared" ca="1" si="3"/>
        <v>FLO_MRKPRD</v>
      </c>
      <c r="C38" s="369" t="str">
        <f ca="1">IF($A38="*","",OFFSET(COM_2012!$B$60,AY38,0))</f>
        <v>CELELCLED-N</v>
      </c>
      <c r="D38" s="369" t="str">
        <f t="shared" ca="1" si="14"/>
        <v>CEL</v>
      </c>
      <c r="E38" s="369" t="str">
        <f t="shared" ca="1" si="16"/>
        <v>-</v>
      </c>
      <c r="F38" s="370" t="str">
        <f t="shared" ca="1" si="17"/>
        <v>-</v>
      </c>
      <c r="G38" s="370" t="str">
        <f t="shared" ca="1" si="17"/>
        <v>ANNUAL</v>
      </c>
      <c r="H38" s="370" t="str">
        <f t="shared" ca="1" si="18"/>
        <v>UP</v>
      </c>
      <c r="I38" s="370">
        <f t="shared" ca="1" si="18"/>
        <v>0</v>
      </c>
      <c r="J38" s="494" t="str">
        <f>IF(J$7&lt;2020,"",IF(A38="*","",IFERROR(VLOOKUP($C38,COM_2012!$B$61:$AH$120,MATCH(VLOOKUP("*"&amp;$AX38,$A$10:$J$11,$J$9,FALSE)&amp;J$7,COM_2012!$B$58:$AH$58,0),FALSE),"")))</f>
        <v/>
      </c>
      <c r="K38" s="494" t="str">
        <f>IF(K$7&lt;2020,"",IF(B38="*","",IFERROR(VLOOKUP($C38,COM_2012!$B$61:$AH$120,MATCH(VLOOKUP("*"&amp;$AX38,$A$10:$J$11,$J$9,FALSE)&amp;K$7,COM_2012!$B$58:$AH$58,0),FALSE),"")))</f>
        <v/>
      </c>
      <c r="L38" s="494" t="str">
        <f>IF(L$7&lt;2020,"",IF(C38="*","",IFERROR(VLOOKUP($C38,COM_2012!$B$61:$AH$120,MATCH(VLOOKUP("*"&amp;$AX38,$A$10:$J$11,$J$9,FALSE)&amp;L$7,COM_2012!$B$58:$AH$58,0),FALSE),"")))</f>
        <v/>
      </c>
      <c r="M38" s="494" t="str">
        <f>IF(M$7&lt;2020,"",IF(D38="*","",IFERROR(VLOOKUP($C38,COM_2012!$B$61:$AH$120,MATCH(VLOOKUP("*"&amp;$AX38,$A$10:$J$11,$J$9,FALSE)&amp;M$7,COM_2012!$B$58:$AH$58,0),FALSE),"")))</f>
        <v/>
      </c>
      <c r="N38" s="494" t="str">
        <f ca="1">IFERROR(VLOOKUP($C38,COM_2012!$B$61:$AH$120,MATCH(VLOOKUP("*"&amp;$AX38,$A$10:$J$11,$J$9,FALSE)&amp;N$7,COM_2012!$B$58:$AH$58,0),FALSE),"")</f>
        <v/>
      </c>
      <c r="O38" s="494" t="str">
        <f>IF(O$7&lt;2020,"",IF($A38="*","",IFERROR(VLOOKUP($C38,' COM_2017_old'!$B$61:$AJ$120,MATCH(VLOOKUP("*"&amp;$AX38,$A$10:$J$11,$J$9,FALSE)&amp;O$7,' COM_2017_old'!$B$58:$AJ$58,0),FALSE),"")))</f>
        <v/>
      </c>
      <c r="P38" s="494" t="str">
        <f ca="1">IFERROR(VLOOKUP($C38,COM_2012!$B$61:$AH$120,MATCH(VLOOKUP("*"&amp;$AX38,$A$10:$J$11,$J$9,FALSE)&amp;P$7,COM_2012!$B$58:$AH$58,0),FALSE),"")</f>
        <v/>
      </c>
      <c r="Q38" s="494" t="str">
        <f ca="1">IFERROR(VLOOKUP($C38,COM_2012!$B$61:$AH$120,MATCH(VLOOKUP("*"&amp;$AX38,$A$10:$J$11,$J$9,FALSE)&amp;Q$7,COM_2012!$B$58:$AH$58,0),FALSE),"")</f>
        <v/>
      </c>
      <c r="R38" s="494">
        <f ca="1">IF($A38="*","",IFERROR(VLOOKUP($C38,' COM_2017_old'!$B$61:$AJ$120,MATCH(VLOOKUP("*"&amp;$AX38,$A$10:$J$11,$J$9,FALSE)&amp;R$7,' COM_2017_old'!$B$58:$AJ$58,0),FALSE),""))</f>
        <v>0.03</v>
      </c>
      <c r="S38" s="494">
        <f t="shared" ca="1" si="6"/>
        <v>4.3999999999999997E-2</v>
      </c>
      <c r="T38" s="494">
        <f t="shared" ca="1" si="7"/>
        <v>5.7999999999999996E-2</v>
      </c>
      <c r="U38" s="494">
        <f t="shared" ca="1" si="7"/>
        <v>7.1999999999999995E-2</v>
      </c>
      <c r="V38" s="494">
        <f t="shared" ca="1" si="7"/>
        <v>8.5999999999999993E-2</v>
      </c>
      <c r="W38" s="494">
        <f ca="1">IF($A38="*","",IFERROR(VLOOKUP($C38,' COM_2017_old'!$B$61:$AJ$120,MATCH(VLOOKUP("*"&amp;$AX38,$A$10:$J$11,$J$9,FALSE)&amp;W$7,' COM_2017_old'!$B$58:$AJ$58,0),FALSE),""))</f>
        <v>0.1</v>
      </c>
      <c r="X38" s="494">
        <f t="shared" ca="1" si="8"/>
        <v>0.14000000000000001</v>
      </c>
      <c r="Y38" s="494">
        <f t="shared" ca="1" si="9"/>
        <v>0.18</v>
      </c>
      <c r="Z38" s="494">
        <f t="shared" ca="1" si="9"/>
        <v>0.21999999999999997</v>
      </c>
      <c r="AA38" s="494">
        <f t="shared" ca="1" si="9"/>
        <v>0.25999999999999995</v>
      </c>
      <c r="AB38" s="494">
        <f ca="1">IF($A38="*","",IFERROR(VLOOKUP($C38,' COM_2017_old'!$B$61:$AJ$120,MATCH(VLOOKUP("*"&amp;$AX38,$A$10:$J$11,$J$9,FALSE)&amp;AB$7,' COM_2017_old'!$B$58:$AJ$58,0),FALSE),""))</f>
        <v>0.3</v>
      </c>
      <c r="AC38" s="494">
        <f t="shared" ca="1" si="10"/>
        <v>0.35</v>
      </c>
      <c r="AD38" s="494">
        <f t="shared" ca="1" si="11"/>
        <v>0.39999999999999997</v>
      </c>
      <c r="AE38" s="494">
        <f t="shared" ca="1" si="11"/>
        <v>0.44999999999999996</v>
      </c>
      <c r="AF38" s="494">
        <f t="shared" ca="1" si="11"/>
        <v>0.49999999999999994</v>
      </c>
      <c r="AG38" s="494">
        <f ca="1">IF($A38="*","",IFERROR(VLOOKUP($C38,' COM_2017_old'!$B$61:$AJ$120,MATCH(VLOOKUP("*"&amp;$AX38,$A$10:$J$11,$J$9,FALSE)&amp;AG$7,' COM_2017_old'!$B$58:$AJ$58,0),FALSE),""))</f>
        <v>0.55000000000000004</v>
      </c>
      <c r="AH38" s="494">
        <f t="shared" ca="1" si="12"/>
        <v>0.61</v>
      </c>
      <c r="AI38" s="494">
        <f t="shared" ca="1" si="13"/>
        <v>0.66999999999999993</v>
      </c>
      <c r="AJ38" s="494">
        <f t="shared" ca="1" si="13"/>
        <v>0.72999999999999987</v>
      </c>
      <c r="AK38" s="494">
        <f t="shared" ca="1" si="13"/>
        <v>0.78999999999999981</v>
      </c>
      <c r="AL38" s="494">
        <f ca="1">IF($A38="*","",IFERROR(VLOOKUP($C38,' COM_2017_old'!$B$61:$AJ$120,MATCH(VLOOKUP("*"&amp;$AX38,$A$10:$J$11,$J$9,FALSE)&amp;AL$7,' COM_2017_old'!$B$58:$AJ$58,0),FALSE),""))</f>
        <v>0.85</v>
      </c>
      <c r="AM38" s="494">
        <f ca="1">IF($A38="*","",IFERROR(VLOOKUP($C38,' COM_2017_old'!$B$61:$AJ$120,MATCH(VLOOKUP("*"&amp;$AX38,$A$10:$J$11,$J$9,FALSE)&amp;AM$7,' COM_2017_old'!$B$58:$AJ$58,0),FALSE),""))</f>
        <v>0.95</v>
      </c>
      <c r="AN38" s="494">
        <f ca="1">IF($A38="*","",IFERROR(VLOOKUP($C38,' COM_2017_old'!$B$61:$AJ$120,MATCH(VLOOKUP("*"&amp;$AX38,$A$10:$J$11,$J$9,FALSE)&amp;AN$7,' COM_2017_old'!$B$58:$AJ$58,0),FALSE),""))</f>
        <v>1</v>
      </c>
      <c r="AO38" s="391" t="str">
        <f ca="1">IFERROR(VLOOKUP($C38,COM_2012!$B$61:$AH$120,MATCH(VLOOKUP("*"&amp;$AX38,$A$10:$J$11,$J$9,FALSE)&amp;AO$7,COM_2012!$B$58:$AH$58,0),FALSE),"")</f>
        <v/>
      </c>
      <c r="AP38" s="391" t="str">
        <f ca="1">IFERROR(VLOOKUP($C38,COM_2012!$B$61:$AH$120,MATCH(VLOOKUP("*"&amp;$AX38,$A$10:$J$11,$J$9,FALSE)&amp;AP$7,COM_2012!$B$58:$AH$58,0),FALSE),"")</f>
        <v/>
      </c>
      <c r="AQ38" s="391" t="str">
        <f ca="1">IFERROR(VLOOKUP($C38,COM_2012!$B$61:$AH$120,MATCH(VLOOKUP("*"&amp;$AX38,$A$10:$J$11,$J$9,FALSE)&amp;AQ$7,COM_2012!$B$58:$AH$58,0),FALSE),"")</f>
        <v/>
      </c>
      <c r="AR38" s="391" t="str">
        <f ca="1">IFERROR(VLOOKUP($C38,COM_2012!$B$61:$AH$120,MATCH(VLOOKUP("*"&amp;$AX38,$A$10:$J$11,$J$9,FALSE)&amp;AR$7,COM_2012!$B$58:$AH$58,0),FALSE),"")</f>
        <v/>
      </c>
      <c r="AS38" s="391" t="str">
        <f ca="1">IFERROR(VLOOKUP($C38,COM_2012!$B$61:$AH$120,MATCH(VLOOKUP("*"&amp;$AX38,$A$10:$J$11,$J$9,FALSE)&amp;AS$7,COM_2012!$B$58:$AH$58,0),FALSE),"")</f>
        <v/>
      </c>
      <c r="AT38" s="391" t="str">
        <f ca="1">IFERROR(VLOOKUP($C38,COM_2012!$B$61:$AH$120,MATCH(VLOOKUP("*"&amp;$AX38,$A$10:$J$11,$J$9,FALSE)&amp;AT$7,COM_2012!$B$58:$AH$58,0),FALSE),"")</f>
        <v/>
      </c>
      <c r="AU38" s="391" t="str">
        <f ca="1">IFERROR(VLOOKUP($C38,COM_2012!$B$61:$AH$120,MATCH(VLOOKUP("*"&amp;$AX38,$A$10:$J$11,$J$9,FALSE)&amp;AU$7,COM_2012!$B$58:$AH$58,0),FALSE),"")</f>
        <v/>
      </c>
      <c r="AV38" s="391" t="str">
        <f ca="1">IFERROR(VLOOKUP($C38,COM_2012!$B$61:$AH$120,MATCH(VLOOKUP("*"&amp;$AX38,$A$10:$J$11,$J$9,FALSE)&amp;AV$7,COM_2012!$B$58:$AH$58,0),FALSE),"")</f>
        <v/>
      </c>
      <c r="AW38" s="391" t="str">
        <f ca="1">IFERROR(VLOOKUP($C38,COM_2012!$B$61:$AH$120,MATCH(VLOOKUP("*"&amp;$AX38,$A$10:$J$11,$J$9,FALSE)&amp;AW$7,COM_2012!$B$58:$AH$58,0),FALSE),"")</f>
        <v/>
      </c>
      <c r="AX38" s="304">
        <f>IF(AY37=COM_2012!$AI$121,AX37+1,AX37)</f>
        <v>1</v>
      </c>
      <c r="AY38" s="304">
        <f t="shared" si="15"/>
        <v>26</v>
      </c>
    </row>
    <row r="39" spans="1:51">
      <c r="A39" s="304" t="str">
        <f ca="1">IF(LEFT(OFFSET(COM_2012!$A$60,AY39,0),2)="\I","*","")</f>
        <v>*</v>
      </c>
      <c r="B39" s="369" t="str">
        <f t="shared" ca="1" si="3"/>
        <v/>
      </c>
      <c r="C39" s="369" t="str">
        <f ca="1">IF($A39="*","",OFFSET(COM_2012!$B$60,AY39,0))</f>
        <v/>
      </c>
      <c r="D39" s="369" t="str">
        <f t="shared" ca="1" si="14"/>
        <v/>
      </c>
      <c r="E39" s="369" t="str">
        <f t="shared" ca="1" si="16"/>
        <v/>
      </c>
      <c r="F39" s="370" t="str">
        <f t="shared" ca="1" si="17"/>
        <v/>
      </c>
      <c r="G39" s="370" t="str">
        <f t="shared" ca="1" si="17"/>
        <v/>
      </c>
      <c r="H39" s="370" t="str">
        <f t="shared" ca="1" si="18"/>
        <v/>
      </c>
      <c r="I39" s="370" t="str">
        <f t="shared" ca="1" si="18"/>
        <v/>
      </c>
      <c r="J39" s="494" t="str">
        <f>IF(J$7&lt;2020,"",IF(A39="*","",IFERROR(VLOOKUP($C39,COM_2012!$B$61:$AH$120,MATCH(VLOOKUP("*"&amp;$AX39,$A$10:$J$11,$J$9,FALSE)&amp;J$7,COM_2012!$B$58:$AH$58,0),FALSE),"")))</f>
        <v/>
      </c>
      <c r="K39" s="494" t="str">
        <f>IF(K$7&lt;2020,"",IF(B39="*","",IFERROR(VLOOKUP($C39,COM_2012!$B$61:$AH$120,MATCH(VLOOKUP("*"&amp;$AX39,$A$10:$J$11,$J$9,FALSE)&amp;K$7,COM_2012!$B$58:$AH$58,0),FALSE),"")))</f>
        <v/>
      </c>
      <c r="L39" s="494" t="str">
        <f>IF(L$7&lt;2020,"",IF(C39="*","",IFERROR(VLOOKUP($C39,COM_2012!$B$61:$AH$120,MATCH(VLOOKUP("*"&amp;$AX39,$A$10:$J$11,$J$9,FALSE)&amp;L$7,COM_2012!$B$58:$AH$58,0),FALSE),"")))</f>
        <v/>
      </c>
      <c r="M39" s="494" t="str">
        <f>IF(M$7&lt;2020,"",IF(D39="*","",IFERROR(VLOOKUP($C39,COM_2012!$B$61:$AH$120,MATCH(VLOOKUP("*"&amp;$AX39,$A$10:$J$11,$J$9,FALSE)&amp;M$7,COM_2012!$B$58:$AH$58,0),FALSE),"")))</f>
        <v/>
      </c>
      <c r="N39" s="494" t="str">
        <f ca="1">IFERROR(VLOOKUP($C39,COM_2012!$B$61:$AH$120,MATCH(VLOOKUP("*"&amp;$AX39,$A$10:$J$11,$J$9,FALSE)&amp;N$7,COM_2012!$B$58:$AH$58,0),FALSE),"")</f>
        <v/>
      </c>
      <c r="O39" s="494" t="str">
        <f>IF(O$7&lt;2020,"",IF($A39="*","",IFERROR(VLOOKUP($C39,' COM_2017_old'!$B$61:$AJ$120,MATCH(VLOOKUP("*"&amp;$AX39,$A$10:$J$11,$J$9,FALSE)&amp;O$7,' COM_2017_old'!$B$58:$AJ$58,0),FALSE),"")))</f>
        <v/>
      </c>
      <c r="P39" s="494" t="str">
        <f ca="1">IFERROR(VLOOKUP($C39,COM_2012!$B$61:$AH$120,MATCH(VLOOKUP("*"&amp;$AX39,$A$10:$J$11,$J$9,FALSE)&amp;P$7,COM_2012!$B$58:$AH$58,0),FALSE),"")</f>
        <v/>
      </c>
      <c r="Q39" s="494" t="str">
        <f ca="1">IFERROR(VLOOKUP($C39,COM_2012!$B$61:$AH$120,MATCH(VLOOKUP("*"&amp;$AX39,$A$10:$J$11,$J$9,FALSE)&amp;Q$7,COM_2012!$B$58:$AH$58,0),FALSE),"")</f>
        <v/>
      </c>
      <c r="R39" s="494" t="str">
        <f ca="1">IF($A39="*","",IFERROR(VLOOKUP($C39,' COM_2017_old'!$B$61:$AJ$120,MATCH(VLOOKUP("*"&amp;$AX39,$A$10:$J$11,$J$9,FALSE)&amp;R$7,' COM_2017_old'!$B$58:$AJ$58,0),FALSE),""))</f>
        <v/>
      </c>
      <c r="S39" s="494" t="str">
        <f t="shared" ca="1" si="6"/>
        <v/>
      </c>
      <c r="T39" s="494" t="str">
        <f t="shared" ca="1" si="7"/>
        <v/>
      </c>
      <c r="U39" s="494" t="str">
        <f t="shared" ca="1" si="7"/>
        <v/>
      </c>
      <c r="V39" s="494" t="str">
        <f t="shared" ca="1" si="7"/>
        <v/>
      </c>
      <c r="W39" s="494" t="str">
        <f ca="1">IF($A39="*","",IFERROR(VLOOKUP($C39,' COM_2017_old'!$B$61:$AJ$120,MATCH(VLOOKUP("*"&amp;$AX39,$A$10:$J$11,$J$9,FALSE)&amp;W$7,' COM_2017_old'!$B$58:$AJ$58,0),FALSE),""))</f>
        <v/>
      </c>
      <c r="X39" s="494" t="str">
        <f t="shared" ca="1" si="8"/>
        <v/>
      </c>
      <c r="Y39" s="494" t="str">
        <f t="shared" ca="1" si="9"/>
        <v/>
      </c>
      <c r="Z39" s="494" t="str">
        <f t="shared" ca="1" si="9"/>
        <v/>
      </c>
      <c r="AA39" s="494" t="str">
        <f t="shared" ca="1" si="9"/>
        <v/>
      </c>
      <c r="AB39" s="494" t="str">
        <f ca="1">IF($A39="*","",IFERROR(VLOOKUP($C39,' COM_2017_old'!$B$61:$AJ$120,MATCH(VLOOKUP("*"&amp;$AX39,$A$10:$J$11,$J$9,FALSE)&amp;AB$7,' COM_2017_old'!$B$58:$AJ$58,0),FALSE),""))</f>
        <v/>
      </c>
      <c r="AC39" s="494" t="str">
        <f t="shared" ca="1" si="10"/>
        <v/>
      </c>
      <c r="AD39" s="494" t="str">
        <f t="shared" ca="1" si="11"/>
        <v/>
      </c>
      <c r="AE39" s="494" t="str">
        <f t="shared" ca="1" si="11"/>
        <v/>
      </c>
      <c r="AF39" s="494" t="str">
        <f t="shared" ca="1" si="11"/>
        <v/>
      </c>
      <c r="AG39" s="494" t="str">
        <f ca="1">IF($A39="*","",IFERROR(VLOOKUP($C39,' COM_2017_old'!$B$61:$AJ$120,MATCH(VLOOKUP("*"&amp;$AX39,$A$10:$J$11,$J$9,FALSE)&amp;AG$7,' COM_2017_old'!$B$58:$AJ$58,0),FALSE),""))</f>
        <v/>
      </c>
      <c r="AH39" s="494" t="str">
        <f t="shared" ca="1" si="12"/>
        <v/>
      </c>
      <c r="AI39" s="494" t="str">
        <f t="shared" ca="1" si="13"/>
        <v/>
      </c>
      <c r="AJ39" s="494" t="str">
        <f t="shared" ca="1" si="13"/>
        <v/>
      </c>
      <c r="AK39" s="494" t="str">
        <f t="shared" ca="1" si="13"/>
        <v/>
      </c>
      <c r="AL39" s="494" t="str">
        <f ca="1">IF($A39="*","",IFERROR(VLOOKUP($C39,' COM_2017_old'!$B$61:$AJ$120,MATCH(VLOOKUP("*"&amp;$AX39,$A$10:$J$11,$J$9,FALSE)&amp;AL$7,' COM_2017_old'!$B$58:$AJ$58,0),FALSE),""))</f>
        <v/>
      </c>
      <c r="AM39" s="494" t="str">
        <f ca="1">IF($A39="*","",IFERROR(VLOOKUP($C39,' COM_2017_old'!$B$61:$AJ$120,MATCH(VLOOKUP("*"&amp;$AX39,$A$10:$J$11,$J$9,FALSE)&amp;AM$7,' COM_2017_old'!$B$58:$AJ$58,0),FALSE),""))</f>
        <v/>
      </c>
      <c r="AN39" s="494" t="str">
        <f ca="1">IF($A39="*","",IFERROR(VLOOKUP($C39,' COM_2017_old'!$B$61:$AJ$120,MATCH(VLOOKUP("*"&amp;$AX39,$A$10:$J$11,$J$9,FALSE)&amp;AN$7,' COM_2017_old'!$B$58:$AJ$58,0),FALSE),""))</f>
        <v/>
      </c>
      <c r="AO39" s="391" t="str">
        <f ca="1">IFERROR(VLOOKUP($C39,COM_2012!$B$61:$AH$120,MATCH(VLOOKUP("*"&amp;$AX39,$A$10:$J$11,$J$9,FALSE)&amp;AO$7,COM_2012!$B$58:$AH$58,0),FALSE),"")</f>
        <v/>
      </c>
      <c r="AP39" s="391" t="str">
        <f ca="1">IFERROR(VLOOKUP($C39,COM_2012!$B$61:$AH$120,MATCH(VLOOKUP("*"&amp;$AX39,$A$10:$J$11,$J$9,FALSE)&amp;AP$7,COM_2012!$B$58:$AH$58,0),FALSE),"")</f>
        <v/>
      </c>
      <c r="AQ39" s="391" t="str">
        <f ca="1">IFERROR(VLOOKUP($C39,COM_2012!$B$61:$AH$120,MATCH(VLOOKUP("*"&amp;$AX39,$A$10:$J$11,$J$9,FALSE)&amp;AQ$7,COM_2012!$B$58:$AH$58,0),FALSE),"")</f>
        <v/>
      </c>
      <c r="AR39" s="391" t="str">
        <f ca="1">IFERROR(VLOOKUP($C39,COM_2012!$B$61:$AH$120,MATCH(VLOOKUP("*"&amp;$AX39,$A$10:$J$11,$J$9,FALSE)&amp;AR$7,COM_2012!$B$58:$AH$58,0),FALSE),"")</f>
        <v/>
      </c>
      <c r="AS39" s="391" t="str">
        <f ca="1">IFERROR(VLOOKUP($C39,COM_2012!$B$61:$AH$120,MATCH(VLOOKUP("*"&amp;$AX39,$A$10:$J$11,$J$9,FALSE)&amp;AS$7,COM_2012!$B$58:$AH$58,0),FALSE),"")</f>
        <v/>
      </c>
      <c r="AT39" s="391" t="str">
        <f ca="1">IFERROR(VLOOKUP($C39,COM_2012!$B$61:$AH$120,MATCH(VLOOKUP("*"&amp;$AX39,$A$10:$J$11,$J$9,FALSE)&amp;AT$7,COM_2012!$B$58:$AH$58,0),FALSE),"")</f>
        <v/>
      </c>
      <c r="AU39" s="391" t="str">
        <f ca="1">IFERROR(VLOOKUP($C39,COM_2012!$B$61:$AH$120,MATCH(VLOOKUP("*"&amp;$AX39,$A$10:$J$11,$J$9,FALSE)&amp;AU$7,COM_2012!$B$58:$AH$58,0),FALSE),"")</f>
        <v/>
      </c>
      <c r="AV39" s="391" t="str">
        <f ca="1">IFERROR(VLOOKUP($C39,COM_2012!$B$61:$AH$120,MATCH(VLOOKUP("*"&amp;$AX39,$A$10:$J$11,$J$9,FALSE)&amp;AV$7,COM_2012!$B$58:$AH$58,0),FALSE),"")</f>
        <v/>
      </c>
      <c r="AW39" s="391" t="str">
        <f ca="1">IFERROR(VLOOKUP($C39,COM_2012!$B$61:$AH$120,MATCH(VLOOKUP("*"&amp;$AX39,$A$10:$J$11,$J$9,FALSE)&amp;AW$7,COM_2012!$B$58:$AH$58,0),FALSE),"")</f>
        <v/>
      </c>
      <c r="AX39" s="304">
        <f>IF(AY38=COM_2012!$AI$121,AX38+1,AX38)</f>
        <v>1</v>
      </c>
      <c r="AY39" s="304">
        <f t="shared" si="15"/>
        <v>27</v>
      </c>
    </row>
    <row r="40" spans="1:51">
      <c r="A40" s="304" t="str">
        <f ca="1">IF(LEFT(OFFSET(COM_2012!$A$60,AY40,0),2)="\I","*","")</f>
        <v>*</v>
      </c>
      <c r="B40" s="369" t="str">
        <f t="shared" ca="1" si="3"/>
        <v/>
      </c>
      <c r="C40" s="369" t="str">
        <f ca="1">IF($A40="*","",OFFSET(COM_2012!$B$60,AY40,0))</f>
        <v/>
      </c>
      <c r="D40" s="369" t="str">
        <f t="shared" ca="1" si="14"/>
        <v/>
      </c>
      <c r="E40" s="369" t="str">
        <f t="shared" ca="1" si="16"/>
        <v/>
      </c>
      <c r="F40" s="370" t="str">
        <f t="shared" ca="1" si="17"/>
        <v/>
      </c>
      <c r="G40" s="370" t="str">
        <f t="shared" ca="1" si="17"/>
        <v/>
      </c>
      <c r="H40" s="370" t="str">
        <f t="shared" ca="1" si="18"/>
        <v/>
      </c>
      <c r="I40" s="370" t="str">
        <f t="shared" ca="1" si="18"/>
        <v/>
      </c>
      <c r="J40" s="494" t="str">
        <f>IF(J$7&lt;2020,"",IF(A40="*","",IFERROR(VLOOKUP($C40,COM_2012!$B$61:$AH$120,MATCH(VLOOKUP("*"&amp;$AX40,$A$10:$J$11,$J$9,FALSE)&amp;J$7,COM_2012!$B$58:$AH$58,0),FALSE),"")))</f>
        <v/>
      </c>
      <c r="K40" s="494" t="str">
        <f>IF(K$7&lt;2020,"",IF(B40="*","",IFERROR(VLOOKUP($C40,COM_2012!$B$61:$AH$120,MATCH(VLOOKUP("*"&amp;$AX40,$A$10:$J$11,$J$9,FALSE)&amp;K$7,COM_2012!$B$58:$AH$58,0),FALSE),"")))</f>
        <v/>
      </c>
      <c r="L40" s="494" t="str">
        <f>IF(L$7&lt;2020,"",IF(C40="*","",IFERROR(VLOOKUP($C40,COM_2012!$B$61:$AH$120,MATCH(VLOOKUP("*"&amp;$AX40,$A$10:$J$11,$J$9,FALSE)&amp;L$7,COM_2012!$B$58:$AH$58,0),FALSE),"")))</f>
        <v/>
      </c>
      <c r="M40" s="494" t="str">
        <f>IF(M$7&lt;2020,"",IF(D40="*","",IFERROR(VLOOKUP($C40,COM_2012!$B$61:$AH$120,MATCH(VLOOKUP("*"&amp;$AX40,$A$10:$J$11,$J$9,FALSE)&amp;M$7,COM_2012!$B$58:$AH$58,0),FALSE),"")))</f>
        <v/>
      </c>
      <c r="N40" s="494" t="str">
        <f ca="1">IFERROR(VLOOKUP($C40,COM_2012!$B$61:$AH$120,MATCH(VLOOKUP("*"&amp;$AX40,$A$10:$J$11,$J$9,FALSE)&amp;N$7,COM_2012!$B$58:$AH$58,0),FALSE),"")</f>
        <v/>
      </c>
      <c r="O40" s="494" t="str">
        <f>IF(O$7&lt;2020,"",IF($A40="*","",IFERROR(VLOOKUP($C40,' COM_2017_old'!$B$61:$AJ$120,MATCH(VLOOKUP("*"&amp;$AX40,$A$10:$J$11,$J$9,FALSE)&amp;O$7,' COM_2017_old'!$B$58:$AJ$58,0),FALSE),"")))</f>
        <v/>
      </c>
      <c r="P40" s="494" t="str">
        <f ca="1">IFERROR(VLOOKUP($C40,COM_2012!$B$61:$AH$120,MATCH(VLOOKUP("*"&amp;$AX40,$A$10:$J$11,$J$9,FALSE)&amp;P$7,COM_2012!$B$58:$AH$58,0),FALSE),"")</f>
        <v/>
      </c>
      <c r="Q40" s="494" t="str">
        <f ca="1">IFERROR(VLOOKUP($C40,COM_2012!$B$61:$AH$120,MATCH(VLOOKUP("*"&amp;$AX40,$A$10:$J$11,$J$9,FALSE)&amp;Q$7,COM_2012!$B$58:$AH$58,0),FALSE),"")</f>
        <v/>
      </c>
      <c r="R40" s="494" t="str">
        <f ca="1">IF($A40="*","",IFERROR(VLOOKUP($C40,' COM_2017_old'!$B$61:$AJ$120,MATCH(VLOOKUP("*"&amp;$AX40,$A$10:$J$11,$J$9,FALSE)&amp;R$7,' COM_2017_old'!$B$58:$AJ$58,0),FALSE),""))</f>
        <v/>
      </c>
      <c r="S40" s="494" t="str">
        <f t="shared" ca="1" si="6"/>
        <v/>
      </c>
      <c r="T40" s="494" t="str">
        <f t="shared" ca="1" si="7"/>
        <v/>
      </c>
      <c r="U40" s="494" t="str">
        <f t="shared" ca="1" si="7"/>
        <v/>
      </c>
      <c r="V40" s="494" t="str">
        <f t="shared" ca="1" si="7"/>
        <v/>
      </c>
      <c r="W40" s="494" t="str">
        <f ca="1">IF($A40="*","",IFERROR(VLOOKUP($C40,' COM_2017_old'!$B$61:$AJ$120,MATCH(VLOOKUP("*"&amp;$AX40,$A$10:$J$11,$J$9,FALSE)&amp;W$7,' COM_2017_old'!$B$58:$AJ$58,0),FALSE),""))</f>
        <v/>
      </c>
      <c r="X40" s="494" t="str">
        <f t="shared" ca="1" si="8"/>
        <v/>
      </c>
      <c r="Y40" s="494" t="str">
        <f t="shared" ca="1" si="9"/>
        <v/>
      </c>
      <c r="Z40" s="494" t="str">
        <f t="shared" ca="1" si="9"/>
        <v/>
      </c>
      <c r="AA40" s="494" t="str">
        <f t="shared" ca="1" si="9"/>
        <v/>
      </c>
      <c r="AB40" s="494" t="str">
        <f ca="1">IF($A40="*","",IFERROR(VLOOKUP($C40,' COM_2017_old'!$B$61:$AJ$120,MATCH(VLOOKUP("*"&amp;$AX40,$A$10:$J$11,$J$9,FALSE)&amp;AB$7,' COM_2017_old'!$B$58:$AJ$58,0),FALSE),""))</f>
        <v/>
      </c>
      <c r="AC40" s="494" t="str">
        <f t="shared" ca="1" si="10"/>
        <v/>
      </c>
      <c r="AD40" s="494" t="str">
        <f t="shared" ca="1" si="11"/>
        <v/>
      </c>
      <c r="AE40" s="494" t="str">
        <f t="shared" ca="1" si="11"/>
        <v/>
      </c>
      <c r="AF40" s="494" t="str">
        <f t="shared" ca="1" si="11"/>
        <v/>
      </c>
      <c r="AG40" s="494" t="str">
        <f ca="1">IF($A40="*","",IFERROR(VLOOKUP($C40,' COM_2017_old'!$B$61:$AJ$120,MATCH(VLOOKUP("*"&amp;$AX40,$A$10:$J$11,$J$9,FALSE)&amp;AG$7,' COM_2017_old'!$B$58:$AJ$58,0),FALSE),""))</f>
        <v/>
      </c>
      <c r="AH40" s="494" t="str">
        <f t="shared" ca="1" si="12"/>
        <v/>
      </c>
      <c r="AI40" s="494" t="str">
        <f t="shared" ca="1" si="13"/>
        <v/>
      </c>
      <c r="AJ40" s="494" t="str">
        <f t="shared" ca="1" si="13"/>
        <v/>
      </c>
      <c r="AK40" s="494" t="str">
        <f t="shared" ca="1" si="13"/>
        <v/>
      </c>
      <c r="AL40" s="494" t="str">
        <f ca="1">IF($A40="*","",IFERROR(VLOOKUP($C40,' COM_2017_old'!$B$61:$AJ$120,MATCH(VLOOKUP("*"&amp;$AX40,$A$10:$J$11,$J$9,FALSE)&amp;AL$7,' COM_2017_old'!$B$58:$AJ$58,0),FALSE),""))</f>
        <v/>
      </c>
      <c r="AM40" s="494" t="str">
        <f ca="1">IF($A40="*","",IFERROR(VLOOKUP($C40,' COM_2017_old'!$B$61:$AJ$120,MATCH(VLOOKUP("*"&amp;$AX40,$A$10:$J$11,$J$9,FALSE)&amp;AM$7,' COM_2017_old'!$B$58:$AJ$58,0),FALSE),""))</f>
        <v/>
      </c>
      <c r="AN40" s="494" t="str">
        <f ca="1">IF($A40="*","",IFERROR(VLOOKUP($C40,' COM_2017_old'!$B$61:$AJ$120,MATCH(VLOOKUP("*"&amp;$AX40,$A$10:$J$11,$J$9,FALSE)&amp;AN$7,' COM_2017_old'!$B$58:$AJ$58,0),FALSE),""))</f>
        <v/>
      </c>
      <c r="AO40" s="391" t="str">
        <f ca="1">IFERROR(VLOOKUP($C40,COM_2012!$B$61:$AH$120,MATCH(VLOOKUP("*"&amp;$AX40,$A$10:$J$11,$J$9,FALSE)&amp;AO$7,COM_2012!$B$58:$AH$58,0),FALSE),"")</f>
        <v/>
      </c>
      <c r="AP40" s="391" t="str">
        <f ca="1">IFERROR(VLOOKUP($C40,COM_2012!$B$61:$AH$120,MATCH(VLOOKUP("*"&amp;$AX40,$A$10:$J$11,$J$9,FALSE)&amp;AP$7,COM_2012!$B$58:$AH$58,0),FALSE),"")</f>
        <v/>
      </c>
      <c r="AQ40" s="391" t="str">
        <f ca="1">IFERROR(VLOOKUP($C40,COM_2012!$B$61:$AH$120,MATCH(VLOOKUP("*"&amp;$AX40,$A$10:$J$11,$J$9,FALSE)&amp;AQ$7,COM_2012!$B$58:$AH$58,0),FALSE),"")</f>
        <v/>
      </c>
      <c r="AR40" s="391" t="str">
        <f ca="1">IFERROR(VLOOKUP($C40,COM_2012!$B$61:$AH$120,MATCH(VLOOKUP("*"&amp;$AX40,$A$10:$J$11,$J$9,FALSE)&amp;AR$7,COM_2012!$B$58:$AH$58,0),FALSE),"")</f>
        <v/>
      </c>
      <c r="AS40" s="391" t="str">
        <f ca="1">IFERROR(VLOOKUP($C40,COM_2012!$B$61:$AH$120,MATCH(VLOOKUP("*"&amp;$AX40,$A$10:$J$11,$J$9,FALSE)&amp;AS$7,COM_2012!$B$58:$AH$58,0),FALSE),"")</f>
        <v/>
      </c>
      <c r="AT40" s="391" t="str">
        <f ca="1">IFERROR(VLOOKUP($C40,COM_2012!$B$61:$AH$120,MATCH(VLOOKUP("*"&amp;$AX40,$A$10:$J$11,$J$9,FALSE)&amp;AT$7,COM_2012!$B$58:$AH$58,0),FALSE),"")</f>
        <v/>
      </c>
      <c r="AU40" s="391" t="str">
        <f ca="1">IFERROR(VLOOKUP($C40,COM_2012!$B$61:$AH$120,MATCH(VLOOKUP("*"&amp;$AX40,$A$10:$J$11,$J$9,FALSE)&amp;AU$7,COM_2012!$B$58:$AH$58,0),FALSE),"")</f>
        <v/>
      </c>
      <c r="AV40" s="391" t="str">
        <f ca="1">IFERROR(VLOOKUP($C40,COM_2012!$B$61:$AH$120,MATCH(VLOOKUP("*"&amp;$AX40,$A$10:$J$11,$J$9,FALSE)&amp;AV$7,COM_2012!$B$58:$AH$58,0),FALSE),"")</f>
        <v/>
      </c>
      <c r="AW40" s="391" t="str">
        <f ca="1">IFERROR(VLOOKUP($C40,COM_2012!$B$61:$AH$120,MATCH(VLOOKUP("*"&amp;$AX40,$A$10:$J$11,$J$9,FALSE)&amp;AW$7,COM_2012!$B$58:$AH$58,0),FALSE),"")</f>
        <v/>
      </c>
      <c r="AX40" s="304">
        <f>IF(AY39=COM_2012!$AI$121,AX39+1,AX39)</f>
        <v>1</v>
      </c>
      <c r="AY40" s="304">
        <f t="shared" si="15"/>
        <v>28</v>
      </c>
    </row>
    <row r="41" spans="1:51">
      <c r="A41" s="304" t="str">
        <f ca="1">IF(LEFT(OFFSET(COM_2012!$A$60,AY41,0),2)="\I","*","")</f>
        <v/>
      </c>
      <c r="B41" s="369" t="str">
        <f t="shared" ca="1" si="3"/>
        <v>FLO_MRKPRD</v>
      </c>
      <c r="C41" s="369" t="str">
        <f ca="1">IF($A41="*","",OFFSET(COM_2012!$B$60,AY41,0))</f>
        <v>CERELC-E</v>
      </c>
      <c r="D41" s="369" t="str">
        <f t="shared" ca="1" si="14"/>
        <v>CER</v>
      </c>
      <c r="E41" s="369" t="str">
        <f t="shared" ca="1" si="16"/>
        <v>-</v>
      </c>
      <c r="F41" s="370" t="str">
        <f t="shared" ca="1" si="17"/>
        <v>-</v>
      </c>
      <c r="G41" s="370" t="str">
        <f t="shared" ca="1" si="17"/>
        <v>ANNUAL</v>
      </c>
      <c r="H41" s="370" t="str">
        <f t="shared" ca="1" si="18"/>
        <v>UP</v>
      </c>
      <c r="I41" s="370">
        <f t="shared" ca="1" si="18"/>
        <v>0</v>
      </c>
      <c r="J41" s="494" t="str">
        <f>IF(J$7&lt;2020,"",IF(A41="*","",IFERROR(VLOOKUP($C41,COM_2012!$B$61:$AH$120,MATCH(VLOOKUP("*"&amp;$AX41,$A$10:$J$11,$J$9,FALSE)&amp;J$7,COM_2012!$B$58:$AH$58,0),FALSE),"")))</f>
        <v/>
      </c>
      <c r="K41" s="494" t="str">
        <f>IF(K$7&lt;2020,"",IF(B41="*","",IFERROR(VLOOKUP($C41,COM_2012!$B$61:$AH$120,MATCH(VLOOKUP("*"&amp;$AX41,$A$10:$J$11,$J$9,FALSE)&amp;K$7,COM_2012!$B$58:$AH$58,0),FALSE),"")))</f>
        <v/>
      </c>
      <c r="L41" s="494" t="str">
        <f>IF(L$7&lt;2020,"",IF(C41="*","",IFERROR(VLOOKUP($C41,COM_2012!$B$61:$AH$120,MATCH(VLOOKUP("*"&amp;$AX41,$A$10:$J$11,$J$9,FALSE)&amp;L$7,COM_2012!$B$58:$AH$58,0),FALSE),"")))</f>
        <v/>
      </c>
      <c r="M41" s="494" t="str">
        <f>IF(M$7&lt;2020,"",IF(D41="*","",IFERROR(VLOOKUP($C41,COM_2012!$B$61:$AH$120,MATCH(VLOOKUP("*"&amp;$AX41,$A$10:$J$11,$J$9,FALSE)&amp;M$7,COM_2012!$B$58:$AH$58,0),FALSE),"")))</f>
        <v/>
      </c>
      <c r="N41" s="494" t="str">
        <f ca="1">IFERROR(VLOOKUP($C41,COM_2012!$B$61:$AH$120,MATCH(VLOOKUP("*"&amp;$AX41,$A$10:$J$11,$J$9,FALSE)&amp;N$7,COM_2012!$B$58:$AH$58,0),FALSE),"")</f>
        <v/>
      </c>
      <c r="O41" s="494" t="str">
        <f>IF(O$7&lt;2020,"",IF($A41="*","",IFERROR(VLOOKUP($C41,' COM_2017_old'!$B$61:$AJ$120,MATCH(VLOOKUP("*"&amp;$AX41,$A$10:$J$11,$J$9,FALSE)&amp;O$7,' COM_2017_old'!$B$58:$AJ$58,0),FALSE),"")))</f>
        <v/>
      </c>
      <c r="P41" s="494" t="str">
        <f ca="1">IFERROR(VLOOKUP($C41,COM_2012!$B$61:$AH$120,MATCH(VLOOKUP("*"&amp;$AX41,$A$10:$J$11,$J$9,FALSE)&amp;P$7,COM_2012!$B$58:$AH$58,0),FALSE),"")</f>
        <v/>
      </c>
      <c r="Q41" s="494" t="str">
        <f ca="1">IFERROR(VLOOKUP($C41,COM_2012!$B$61:$AH$120,MATCH(VLOOKUP("*"&amp;$AX41,$A$10:$J$11,$J$9,FALSE)&amp;Q$7,COM_2012!$B$58:$AH$58,0),FALSE),"")</f>
        <v/>
      </c>
      <c r="R41" s="494">
        <f ca="1">IF($A41="*","",IFERROR(VLOOKUP($C41,' COM_2017_old'!$B$61:$AJ$120,MATCH(VLOOKUP("*"&amp;$AX41,$A$10:$J$11,$J$9,FALSE)&amp;R$7,' COM_2017_old'!$B$58:$AJ$58,0),FALSE),""))</f>
        <v>1</v>
      </c>
      <c r="S41" s="494">
        <f t="shared" ca="1" si="6"/>
        <v>1</v>
      </c>
      <c r="T41" s="494">
        <f t="shared" ca="1" si="7"/>
        <v>1</v>
      </c>
      <c r="U41" s="494">
        <f t="shared" ca="1" si="7"/>
        <v>1</v>
      </c>
      <c r="V41" s="494">
        <f t="shared" ca="1" si="7"/>
        <v>1</v>
      </c>
      <c r="W41" s="494">
        <f ca="1">IF($A41="*","",IFERROR(VLOOKUP($C41,' COM_2017_old'!$B$61:$AJ$120,MATCH(VLOOKUP("*"&amp;$AX41,$A$10:$J$11,$J$9,FALSE)&amp;W$7,' COM_2017_old'!$B$58:$AJ$58,0),FALSE),""))</f>
        <v>1</v>
      </c>
      <c r="X41" s="494">
        <f t="shared" ca="1" si="8"/>
        <v>1</v>
      </c>
      <c r="Y41" s="494">
        <f t="shared" ca="1" si="9"/>
        <v>1</v>
      </c>
      <c r="Z41" s="494">
        <f t="shared" ca="1" si="9"/>
        <v>1</v>
      </c>
      <c r="AA41" s="494">
        <f t="shared" ca="1" si="9"/>
        <v>1</v>
      </c>
      <c r="AB41" s="494">
        <f ca="1">IF($A41="*","",IFERROR(VLOOKUP($C41,' COM_2017_old'!$B$61:$AJ$120,MATCH(VLOOKUP("*"&amp;$AX41,$A$10:$J$11,$J$9,FALSE)&amp;AB$7,' COM_2017_old'!$B$58:$AJ$58,0),FALSE),""))</f>
        <v>1</v>
      </c>
      <c r="AC41" s="494">
        <f t="shared" ca="1" si="10"/>
        <v>1</v>
      </c>
      <c r="AD41" s="494">
        <f t="shared" ca="1" si="11"/>
        <v>1</v>
      </c>
      <c r="AE41" s="494">
        <f t="shared" ca="1" si="11"/>
        <v>1</v>
      </c>
      <c r="AF41" s="494">
        <f t="shared" ca="1" si="11"/>
        <v>1</v>
      </c>
      <c r="AG41" s="494">
        <f ca="1">IF($A41="*","",IFERROR(VLOOKUP($C41,' COM_2017_old'!$B$61:$AJ$120,MATCH(VLOOKUP("*"&amp;$AX41,$A$10:$J$11,$J$9,FALSE)&amp;AG$7,' COM_2017_old'!$B$58:$AJ$58,0),FALSE),""))</f>
        <v>1</v>
      </c>
      <c r="AH41" s="494">
        <f t="shared" ca="1" si="12"/>
        <v>1</v>
      </c>
      <c r="AI41" s="494">
        <f t="shared" ca="1" si="13"/>
        <v>1</v>
      </c>
      <c r="AJ41" s="494">
        <f t="shared" ca="1" si="13"/>
        <v>1</v>
      </c>
      <c r="AK41" s="494">
        <f t="shared" ca="1" si="13"/>
        <v>1</v>
      </c>
      <c r="AL41" s="494">
        <f ca="1">IF($A41="*","",IFERROR(VLOOKUP($C41,' COM_2017_old'!$B$61:$AJ$120,MATCH(VLOOKUP("*"&amp;$AX41,$A$10:$J$11,$J$9,FALSE)&amp;AL$7,' COM_2017_old'!$B$58:$AJ$58,0),FALSE),""))</f>
        <v>1</v>
      </c>
      <c r="AM41" s="494">
        <f ca="1">IF($A41="*","",IFERROR(VLOOKUP($C41,' COM_2017_old'!$B$61:$AJ$120,MATCH(VLOOKUP("*"&amp;$AX41,$A$10:$J$11,$J$9,FALSE)&amp;AM$7,' COM_2017_old'!$B$58:$AJ$58,0),FALSE),""))</f>
        <v>1</v>
      </c>
      <c r="AN41" s="494">
        <f ca="1">IF($A41="*","",IFERROR(VLOOKUP($C41,' COM_2017_old'!$B$61:$AJ$120,MATCH(VLOOKUP("*"&amp;$AX41,$A$10:$J$11,$J$9,FALSE)&amp;AN$7,' COM_2017_old'!$B$58:$AJ$58,0),FALSE),""))</f>
        <v>1</v>
      </c>
      <c r="AO41" s="391" t="str">
        <f ca="1">IFERROR(VLOOKUP($C41,COM_2012!$B$61:$AH$120,MATCH(VLOOKUP("*"&amp;$AX41,$A$10:$J$11,$J$9,FALSE)&amp;AO$7,COM_2012!$B$58:$AH$58,0),FALSE),"")</f>
        <v/>
      </c>
      <c r="AP41" s="391" t="str">
        <f ca="1">IFERROR(VLOOKUP($C41,COM_2012!$B$61:$AH$120,MATCH(VLOOKUP("*"&amp;$AX41,$A$10:$J$11,$J$9,FALSE)&amp;AP$7,COM_2012!$B$58:$AH$58,0),FALSE),"")</f>
        <v/>
      </c>
      <c r="AQ41" s="391" t="str">
        <f ca="1">IFERROR(VLOOKUP($C41,COM_2012!$B$61:$AH$120,MATCH(VLOOKUP("*"&amp;$AX41,$A$10:$J$11,$J$9,FALSE)&amp;AQ$7,COM_2012!$B$58:$AH$58,0),FALSE),"")</f>
        <v/>
      </c>
      <c r="AR41" s="391" t="str">
        <f ca="1">IFERROR(VLOOKUP($C41,COM_2012!$B$61:$AH$120,MATCH(VLOOKUP("*"&amp;$AX41,$A$10:$J$11,$J$9,FALSE)&amp;AR$7,COM_2012!$B$58:$AH$58,0),FALSE),"")</f>
        <v/>
      </c>
      <c r="AS41" s="391" t="str">
        <f ca="1">IFERROR(VLOOKUP($C41,COM_2012!$B$61:$AH$120,MATCH(VLOOKUP("*"&amp;$AX41,$A$10:$J$11,$J$9,FALSE)&amp;AS$7,COM_2012!$B$58:$AH$58,0),FALSE),"")</f>
        <v/>
      </c>
      <c r="AT41" s="391" t="str">
        <f ca="1">IFERROR(VLOOKUP($C41,COM_2012!$B$61:$AH$120,MATCH(VLOOKUP("*"&amp;$AX41,$A$10:$J$11,$J$9,FALSE)&amp;AT$7,COM_2012!$B$58:$AH$58,0),FALSE),"")</f>
        <v/>
      </c>
      <c r="AU41" s="391" t="str">
        <f ca="1">IFERROR(VLOOKUP($C41,COM_2012!$B$61:$AH$120,MATCH(VLOOKUP("*"&amp;$AX41,$A$10:$J$11,$J$9,FALSE)&amp;AU$7,COM_2012!$B$58:$AH$58,0),FALSE),"")</f>
        <v/>
      </c>
      <c r="AV41" s="391" t="str">
        <f ca="1">IFERROR(VLOOKUP($C41,COM_2012!$B$61:$AH$120,MATCH(VLOOKUP("*"&amp;$AX41,$A$10:$J$11,$J$9,FALSE)&amp;AV$7,COM_2012!$B$58:$AH$58,0),FALSE),"")</f>
        <v/>
      </c>
      <c r="AW41" s="391" t="str">
        <f ca="1">IFERROR(VLOOKUP($C41,COM_2012!$B$61:$AH$120,MATCH(VLOOKUP("*"&amp;$AX41,$A$10:$J$11,$J$9,FALSE)&amp;AW$7,COM_2012!$B$58:$AH$58,0),FALSE),"")</f>
        <v/>
      </c>
      <c r="AX41" s="304">
        <f>IF(AY40=COM_2012!$AI$121,AX40+1,AX40)</f>
        <v>1</v>
      </c>
      <c r="AY41" s="304">
        <f t="shared" si="15"/>
        <v>29</v>
      </c>
    </row>
    <row r="42" spans="1:51">
      <c r="A42" s="304" t="str">
        <f ca="1">IF(LEFT(OFFSET(COM_2012!$A$60,AY42,0),2)="\I","*","")</f>
        <v/>
      </c>
      <c r="B42" s="369" t="str">
        <f t="shared" ca="1" si="3"/>
        <v>FLO_MRKPRD</v>
      </c>
      <c r="C42" s="369" t="str">
        <f ca="1">IF($A42="*","",OFFSET(COM_2012!$B$60,AY42,0))</f>
        <v>CERELC-N</v>
      </c>
      <c r="D42" s="369" t="str">
        <f t="shared" ca="1" si="14"/>
        <v>CER</v>
      </c>
      <c r="E42" s="369" t="str">
        <f t="shared" ca="1" si="16"/>
        <v>-</v>
      </c>
      <c r="F42" s="370" t="str">
        <f t="shared" ca="1" si="17"/>
        <v>-</v>
      </c>
      <c r="G42" s="370" t="str">
        <f t="shared" ca="1" si="17"/>
        <v>ANNUAL</v>
      </c>
      <c r="H42" s="370" t="str">
        <f t="shared" ca="1" si="18"/>
        <v>UP</v>
      </c>
      <c r="I42" s="370">
        <f t="shared" ca="1" si="18"/>
        <v>0</v>
      </c>
      <c r="J42" s="494" t="str">
        <f>IF(J$7&lt;2020,"",IF(A42="*","",IFERROR(VLOOKUP($C42,COM_2012!$B$61:$AH$120,MATCH(VLOOKUP("*"&amp;$AX42,$A$10:$J$11,$J$9,FALSE)&amp;J$7,COM_2012!$B$58:$AH$58,0),FALSE),"")))</f>
        <v/>
      </c>
      <c r="K42" s="494" t="str">
        <f>IF(K$7&lt;2020,"",IF(B42="*","",IFERROR(VLOOKUP($C42,COM_2012!$B$61:$AH$120,MATCH(VLOOKUP("*"&amp;$AX42,$A$10:$J$11,$J$9,FALSE)&amp;K$7,COM_2012!$B$58:$AH$58,0),FALSE),"")))</f>
        <v/>
      </c>
      <c r="L42" s="494" t="str">
        <f>IF(L$7&lt;2020,"",IF(C42="*","",IFERROR(VLOOKUP($C42,COM_2012!$B$61:$AH$120,MATCH(VLOOKUP("*"&amp;$AX42,$A$10:$J$11,$J$9,FALSE)&amp;L$7,COM_2012!$B$58:$AH$58,0),FALSE),"")))</f>
        <v/>
      </c>
      <c r="M42" s="494" t="str">
        <f>IF(M$7&lt;2020,"",IF(D42="*","",IFERROR(VLOOKUP($C42,COM_2012!$B$61:$AH$120,MATCH(VLOOKUP("*"&amp;$AX42,$A$10:$J$11,$J$9,FALSE)&amp;M$7,COM_2012!$B$58:$AH$58,0),FALSE),"")))</f>
        <v/>
      </c>
      <c r="N42" s="494" t="str">
        <f ca="1">IFERROR(VLOOKUP($C42,COM_2012!$B$61:$AH$120,MATCH(VLOOKUP("*"&amp;$AX42,$A$10:$J$11,$J$9,FALSE)&amp;N$7,COM_2012!$B$58:$AH$58,0),FALSE),"")</f>
        <v/>
      </c>
      <c r="O42" s="494" t="str">
        <f>IF(O$7&lt;2020,"",IF($A42="*","",IFERROR(VLOOKUP($C42,' COM_2017_old'!$B$61:$AJ$120,MATCH(VLOOKUP("*"&amp;$AX42,$A$10:$J$11,$J$9,FALSE)&amp;O$7,' COM_2017_old'!$B$58:$AJ$58,0),FALSE),"")))</f>
        <v/>
      </c>
      <c r="P42" s="494" t="str">
        <f ca="1">IFERROR(VLOOKUP($C42,COM_2012!$B$61:$AH$120,MATCH(VLOOKUP("*"&amp;$AX42,$A$10:$J$11,$J$9,FALSE)&amp;P$7,COM_2012!$B$58:$AH$58,0),FALSE),"")</f>
        <v/>
      </c>
      <c r="Q42" s="494" t="str">
        <f ca="1">IFERROR(VLOOKUP($C42,COM_2012!$B$61:$AH$120,MATCH(VLOOKUP("*"&amp;$AX42,$A$10:$J$11,$J$9,FALSE)&amp;Q$7,COM_2012!$B$58:$AH$58,0),FALSE),"")</f>
        <v/>
      </c>
      <c r="R42" s="494">
        <f ca="1">IF($A42="*","",IFERROR(VLOOKUP($C42,' COM_2017_old'!$B$61:$AJ$120,MATCH(VLOOKUP("*"&amp;$AX42,$A$10:$J$11,$J$9,FALSE)&amp;R$7,' COM_2017_old'!$B$58:$AJ$58,0),FALSE),""))</f>
        <v>0.03</v>
      </c>
      <c r="S42" s="494">
        <f t="shared" ca="1" si="6"/>
        <v>4.3999999999999997E-2</v>
      </c>
      <c r="T42" s="494">
        <f t="shared" ca="1" si="7"/>
        <v>5.7999999999999996E-2</v>
      </c>
      <c r="U42" s="494">
        <f t="shared" ca="1" si="7"/>
        <v>7.1999999999999995E-2</v>
      </c>
      <c r="V42" s="494">
        <f t="shared" ca="1" si="7"/>
        <v>8.5999999999999993E-2</v>
      </c>
      <c r="W42" s="494">
        <f ca="1">IF($A42="*","",IFERROR(VLOOKUP($C42,' COM_2017_old'!$B$61:$AJ$120,MATCH(VLOOKUP("*"&amp;$AX42,$A$10:$J$11,$J$9,FALSE)&amp;W$7,' COM_2017_old'!$B$58:$AJ$58,0),FALSE),""))</f>
        <v>0.1</v>
      </c>
      <c r="X42" s="494">
        <f t="shared" ca="1" si="8"/>
        <v>0.14000000000000001</v>
      </c>
      <c r="Y42" s="494">
        <f t="shared" ca="1" si="9"/>
        <v>0.18</v>
      </c>
      <c r="Z42" s="494">
        <f t="shared" ca="1" si="9"/>
        <v>0.21999999999999997</v>
      </c>
      <c r="AA42" s="494">
        <f t="shared" ca="1" si="9"/>
        <v>0.25999999999999995</v>
      </c>
      <c r="AB42" s="494">
        <f ca="1">IF($A42="*","",IFERROR(VLOOKUP($C42,' COM_2017_old'!$B$61:$AJ$120,MATCH(VLOOKUP("*"&amp;$AX42,$A$10:$J$11,$J$9,FALSE)&amp;AB$7,' COM_2017_old'!$B$58:$AJ$58,0),FALSE),""))</f>
        <v>0.3</v>
      </c>
      <c r="AC42" s="494">
        <f t="shared" ca="1" si="10"/>
        <v>0.35</v>
      </c>
      <c r="AD42" s="494">
        <f t="shared" ca="1" si="11"/>
        <v>0.39999999999999997</v>
      </c>
      <c r="AE42" s="494">
        <f t="shared" ca="1" si="11"/>
        <v>0.44999999999999996</v>
      </c>
      <c r="AF42" s="494">
        <f t="shared" ca="1" si="11"/>
        <v>0.49999999999999994</v>
      </c>
      <c r="AG42" s="494">
        <f ca="1">IF($A42="*","",IFERROR(VLOOKUP($C42,' COM_2017_old'!$B$61:$AJ$120,MATCH(VLOOKUP("*"&amp;$AX42,$A$10:$J$11,$J$9,FALSE)&amp;AG$7,' COM_2017_old'!$B$58:$AJ$58,0),FALSE),""))</f>
        <v>0.55000000000000004</v>
      </c>
      <c r="AH42" s="494">
        <f t="shared" ca="1" si="12"/>
        <v>0.61</v>
      </c>
      <c r="AI42" s="494">
        <f t="shared" ca="1" si="13"/>
        <v>0.66999999999999993</v>
      </c>
      <c r="AJ42" s="494">
        <f t="shared" ca="1" si="13"/>
        <v>0.72999999999999987</v>
      </c>
      <c r="AK42" s="494">
        <f t="shared" ca="1" si="13"/>
        <v>0.78999999999999981</v>
      </c>
      <c r="AL42" s="494">
        <f ca="1">IF($A42="*","",IFERROR(VLOOKUP($C42,' COM_2017_old'!$B$61:$AJ$120,MATCH(VLOOKUP("*"&amp;$AX42,$A$10:$J$11,$J$9,FALSE)&amp;AL$7,' COM_2017_old'!$B$58:$AJ$58,0),FALSE),""))</f>
        <v>0.85</v>
      </c>
      <c r="AM42" s="494">
        <f ca="1">IF($A42="*","",IFERROR(VLOOKUP($C42,' COM_2017_old'!$B$61:$AJ$120,MATCH(VLOOKUP("*"&amp;$AX42,$A$10:$J$11,$J$9,FALSE)&amp;AM$7,' COM_2017_old'!$B$58:$AJ$58,0),FALSE),""))</f>
        <v>0.95</v>
      </c>
      <c r="AN42" s="494">
        <f ca="1">IF($A42="*","",IFERROR(VLOOKUP($C42,' COM_2017_old'!$B$61:$AJ$120,MATCH(VLOOKUP("*"&amp;$AX42,$A$10:$J$11,$J$9,FALSE)&amp;AN$7,' COM_2017_old'!$B$58:$AJ$58,0),FALSE),""))</f>
        <v>1</v>
      </c>
      <c r="AO42" s="391" t="str">
        <f ca="1">IFERROR(VLOOKUP($C42,COM_2012!$B$61:$AH$120,MATCH(VLOOKUP("*"&amp;$AX42,$A$10:$J$11,$J$9,FALSE)&amp;AO$7,COM_2012!$B$58:$AH$58,0),FALSE),"")</f>
        <v/>
      </c>
      <c r="AP42" s="391" t="str">
        <f ca="1">IFERROR(VLOOKUP($C42,COM_2012!$B$61:$AH$120,MATCH(VLOOKUP("*"&amp;$AX42,$A$10:$J$11,$J$9,FALSE)&amp;AP$7,COM_2012!$B$58:$AH$58,0),FALSE),"")</f>
        <v/>
      </c>
      <c r="AQ42" s="391" t="str">
        <f ca="1">IFERROR(VLOOKUP($C42,COM_2012!$B$61:$AH$120,MATCH(VLOOKUP("*"&amp;$AX42,$A$10:$J$11,$J$9,FALSE)&amp;AQ$7,COM_2012!$B$58:$AH$58,0),FALSE),"")</f>
        <v/>
      </c>
      <c r="AR42" s="391" t="str">
        <f ca="1">IFERROR(VLOOKUP($C42,COM_2012!$B$61:$AH$120,MATCH(VLOOKUP("*"&amp;$AX42,$A$10:$J$11,$J$9,FALSE)&amp;AR$7,COM_2012!$B$58:$AH$58,0),FALSE),"")</f>
        <v/>
      </c>
      <c r="AS42" s="391" t="str">
        <f ca="1">IFERROR(VLOOKUP($C42,COM_2012!$B$61:$AH$120,MATCH(VLOOKUP("*"&amp;$AX42,$A$10:$J$11,$J$9,FALSE)&amp;AS$7,COM_2012!$B$58:$AH$58,0),FALSE),"")</f>
        <v/>
      </c>
      <c r="AT42" s="391" t="str">
        <f ca="1">IFERROR(VLOOKUP($C42,COM_2012!$B$61:$AH$120,MATCH(VLOOKUP("*"&amp;$AX42,$A$10:$J$11,$J$9,FALSE)&amp;AT$7,COM_2012!$B$58:$AH$58,0),FALSE),"")</f>
        <v/>
      </c>
      <c r="AU42" s="391" t="str">
        <f ca="1">IFERROR(VLOOKUP($C42,COM_2012!$B$61:$AH$120,MATCH(VLOOKUP("*"&amp;$AX42,$A$10:$J$11,$J$9,FALSE)&amp;AU$7,COM_2012!$B$58:$AH$58,0),FALSE),"")</f>
        <v/>
      </c>
      <c r="AV42" s="391" t="str">
        <f ca="1">IFERROR(VLOOKUP($C42,COM_2012!$B$61:$AH$120,MATCH(VLOOKUP("*"&amp;$AX42,$A$10:$J$11,$J$9,FALSE)&amp;AV$7,COM_2012!$B$58:$AH$58,0),FALSE),"")</f>
        <v/>
      </c>
      <c r="AW42" s="391" t="str">
        <f ca="1">IFERROR(VLOOKUP($C42,COM_2012!$B$61:$AH$120,MATCH(VLOOKUP("*"&amp;$AX42,$A$10:$J$11,$J$9,FALSE)&amp;AW$7,COM_2012!$B$58:$AH$58,0),FALSE),"")</f>
        <v/>
      </c>
      <c r="AX42" s="304">
        <f>IF(AY41=COM_2012!$AI$121,AX41+1,AX41)</f>
        <v>1</v>
      </c>
      <c r="AY42" s="304">
        <f t="shared" si="15"/>
        <v>30</v>
      </c>
    </row>
    <row r="43" spans="1:51">
      <c r="A43" s="304" t="str">
        <f ca="1">IF(LEFT(OFFSET(COM_2012!$A$60,AY43,0),2)="\I","*","")</f>
        <v>*</v>
      </c>
      <c r="B43" s="369" t="str">
        <f t="shared" ca="1" si="3"/>
        <v/>
      </c>
      <c r="C43" s="369" t="str">
        <f ca="1">IF($A43="*","",OFFSET(COM_2012!$B$60,AY43,0))</f>
        <v/>
      </c>
      <c r="D43" s="369" t="str">
        <f t="shared" ca="1" si="14"/>
        <v/>
      </c>
      <c r="E43" s="369" t="str">
        <f t="shared" ca="1" si="16"/>
        <v/>
      </c>
      <c r="F43" s="370" t="str">
        <f t="shared" ca="1" si="17"/>
        <v/>
      </c>
      <c r="G43" s="370" t="str">
        <f t="shared" ca="1" si="17"/>
        <v/>
      </c>
      <c r="H43" s="370" t="str">
        <f t="shared" ca="1" si="18"/>
        <v/>
      </c>
      <c r="I43" s="370" t="str">
        <f t="shared" ca="1" si="18"/>
        <v/>
      </c>
      <c r="J43" s="494" t="str">
        <f>IF(J$7&lt;2020,"",IF(A43="*","",IFERROR(VLOOKUP($C43,COM_2012!$B$61:$AH$120,MATCH(VLOOKUP("*"&amp;$AX43,$A$10:$J$11,$J$9,FALSE)&amp;J$7,COM_2012!$B$58:$AH$58,0),FALSE),"")))</f>
        <v/>
      </c>
      <c r="K43" s="494" t="str">
        <f>IF(K$7&lt;2020,"",IF(B43="*","",IFERROR(VLOOKUP($C43,COM_2012!$B$61:$AH$120,MATCH(VLOOKUP("*"&amp;$AX43,$A$10:$J$11,$J$9,FALSE)&amp;K$7,COM_2012!$B$58:$AH$58,0),FALSE),"")))</f>
        <v/>
      </c>
      <c r="L43" s="494" t="str">
        <f>IF(L$7&lt;2020,"",IF(C43="*","",IFERROR(VLOOKUP($C43,COM_2012!$B$61:$AH$120,MATCH(VLOOKUP("*"&amp;$AX43,$A$10:$J$11,$J$9,FALSE)&amp;L$7,COM_2012!$B$58:$AH$58,0),FALSE),"")))</f>
        <v/>
      </c>
      <c r="M43" s="494" t="str">
        <f>IF(M$7&lt;2020,"",IF(D43="*","",IFERROR(VLOOKUP($C43,COM_2012!$B$61:$AH$120,MATCH(VLOOKUP("*"&amp;$AX43,$A$10:$J$11,$J$9,FALSE)&amp;M$7,COM_2012!$B$58:$AH$58,0),FALSE),"")))</f>
        <v/>
      </c>
      <c r="N43" s="494" t="str">
        <f ca="1">IFERROR(VLOOKUP($C43,COM_2012!$B$61:$AH$120,MATCH(VLOOKUP("*"&amp;$AX43,$A$10:$J$11,$J$9,FALSE)&amp;N$7,COM_2012!$B$58:$AH$58,0),FALSE),"")</f>
        <v/>
      </c>
      <c r="O43" s="494" t="str">
        <f>IF(O$7&lt;2020,"",IF($A43="*","",IFERROR(VLOOKUP($C43,' COM_2017_old'!$B$61:$AJ$120,MATCH(VLOOKUP("*"&amp;$AX43,$A$10:$J$11,$J$9,FALSE)&amp;O$7,' COM_2017_old'!$B$58:$AJ$58,0),FALSE),"")))</f>
        <v/>
      </c>
      <c r="P43" s="494" t="str">
        <f ca="1">IFERROR(VLOOKUP($C43,COM_2012!$B$61:$AH$120,MATCH(VLOOKUP("*"&amp;$AX43,$A$10:$J$11,$J$9,FALSE)&amp;P$7,COM_2012!$B$58:$AH$58,0),FALSE),"")</f>
        <v/>
      </c>
      <c r="Q43" s="494" t="str">
        <f ca="1">IFERROR(VLOOKUP($C43,COM_2012!$B$61:$AH$120,MATCH(VLOOKUP("*"&amp;$AX43,$A$10:$J$11,$J$9,FALSE)&amp;Q$7,COM_2012!$B$58:$AH$58,0),FALSE),"")</f>
        <v/>
      </c>
      <c r="R43" s="494" t="str">
        <f ca="1">IF($A43="*","",IFERROR(VLOOKUP($C43,' COM_2017_old'!$B$61:$AJ$120,MATCH(VLOOKUP("*"&amp;$AX43,$A$10:$J$11,$J$9,FALSE)&amp;R$7,' COM_2017_old'!$B$58:$AJ$58,0),FALSE),""))</f>
        <v/>
      </c>
      <c r="S43" s="494" t="str">
        <f t="shared" ca="1" si="6"/>
        <v/>
      </c>
      <c r="T43" s="494" t="str">
        <f t="shared" ca="1" si="7"/>
        <v/>
      </c>
      <c r="U43" s="494" t="str">
        <f t="shared" ca="1" si="7"/>
        <v/>
      </c>
      <c r="V43" s="494" t="str">
        <f t="shared" ca="1" si="7"/>
        <v/>
      </c>
      <c r="W43" s="494" t="str">
        <f ca="1">IF($A43="*","",IFERROR(VLOOKUP($C43,' COM_2017_old'!$B$61:$AJ$120,MATCH(VLOOKUP("*"&amp;$AX43,$A$10:$J$11,$J$9,FALSE)&amp;W$7,' COM_2017_old'!$B$58:$AJ$58,0),FALSE),""))</f>
        <v/>
      </c>
      <c r="X43" s="494" t="str">
        <f t="shared" ca="1" si="8"/>
        <v/>
      </c>
      <c r="Y43" s="494" t="str">
        <f t="shared" ca="1" si="9"/>
        <v/>
      </c>
      <c r="Z43" s="494" t="str">
        <f t="shared" ca="1" si="9"/>
        <v/>
      </c>
      <c r="AA43" s="494" t="str">
        <f t="shared" ca="1" si="9"/>
        <v/>
      </c>
      <c r="AB43" s="494" t="str">
        <f ca="1">IF($A43="*","",IFERROR(VLOOKUP($C43,' COM_2017_old'!$B$61:$AJ$120,MATCH(VLOOKUP("*"&amp;$AX43,$A$10:$J$11,$J$9,FALSE)&amp;AB$7,' COM_2017_old'!$B$58:$AJ$58,0),FALSE),""))</f>
        <v/>
      </c>
      <c r="AC43" s="494" t="str">
        <f t="shared" ca="1" si="10"/>
        <v/>
      </c>
      <c r="AD43" s="494" t="str">
        <f t="shared" ca="1" si="11"/>
        <v/>
      </c>
      <c r="AE43" s="494" t="str">
        <f t="shared" ca="1" si="11"/>
        <v/>
      </c>
      <c r="AF43" s="494" t="str">
        <f t="shared" ca="1" si="11"/>
        <v/>
      </c>
      <c r="AG43" s="494" t="str">
        <f ca="1">IF($A43="*","",IFERROR(VLOOKUP($C43,' COM_2017_old'!$B$61:$AJ$120,MATCH(VLOOKUP("*"&amp;$AX43,$A$10:$J$11,$J$9,FALSE)&amp;AG$7,' COM_2017_old'!$B$58:$AJ$58,0),FALSE),""))</f>
        <v/>
      </c>
      <c r="AH43" s="494" t="str">
        <f t="shared" ca="1" si="12"/>
        <v/>
      </c>
      <c r="AI43" s="494" t="str">
        <f t="shared" ca="1" si="13"/>
        <v/>
      </c>
      <c r="AJ43" s="494" t="str">
        <f t="shared" ca="1" si="13"/>
        <v/>
      </c>
      <c r="AK43" s="494" t="str">
        <f t="shared" ca="1" si="13"/>
        <v/>
      </c>
      <c r="AL43" s="494" t="str">
        <f ca="1">IF($A43="*","",IFERROR(VLOOKUP($C43,' COM_2017_old'!$B$61:$AJ$120,MATCH(VLOOKUP("*"&amp;$AX43,$A$10:$J$11,$J$9,FALSE)&amp;AL$7,' COM_2017_old'!$B$58:$AJ$58,0),FALSE),""))</f>
        <v/>
      </c>
      <c r="AM43" s="494" t="str">
        <f ca="1">IF($A43="*","",IFERROR(VLOOKUP($C43,' COM_2017_old'!$B$61:$AJ$120,MATCH(VLOOKUP("*"&amp;$AX43,$A$10:$J$11,$J$9,FALSE)&amp;AM$7,' COM_2017_old'!$B$58:$AJ$58,0),FALSE),""))</f>
        <v/>
      </c>
      <c r="AN43" s="494" t="str">
        <f ca="1">IF($A43="*","",IFERROR(VLOOKUP($C43,' COM_2017_old'!$B$61:$AJ$120,MATCH(VLOOKUP("*"&amp;$AX43,$A$10:$J$11,$J$9,FALSE)&amp;AN$7,' COM_2017_old'!$B$58:$AJ$58,0),FALSE),""))</f>
        <v/>
      </c>
      <c r="AO43" s="391" t="str">
        <f ca="1">IFERROR(VLOOKUP($C43,COM_2012!$B$61:$AH$120,MATCH(VLOOKUP("*"&amp;$AX43,$A$10:$J$11,$J$9,FALSE)&amp;AO$7,COM_2012!$B$58:$AH$58,0),FALSE),"")</f>
        <v/>
      </c>
      <c r="AP43" s="391" t="str">
        <f ca="1">IFERROR(VLOOKUP($C43,COM_2012!$B$61:$AH$120,MATCH(VLOOKUP("*"&amp;$AX43,$A$10:$J$11,$J$9,FALSE)&amp;AP$7,COM_2012!$B$58:$AH$58,0),FALSE),"")</f>
        <v/>
      </c>
      <c r="AQ43" s="391" t="str">
        <f ca="1">IFERROR(VLOOKUP($C43,COM_2012!$B$61:$AH$120,MATCH(VLOOKUP("*"&amp;$AX43,$A$10:$J$11,$J$9,FALSE)&amp;AQ$7,COM_2012!$B$58:$AH$58,0),FALSE),"")</f>
        <v/>
      </c>
      <c r="AR43" s="391" t="str">
        <f ca="1">IFERROR(VLOOKUP($C43,COM_2012!$B$61:$AH$120,MATCH(VLOOKUP("*"&amp;$AX43,$A$10:$J$11,$J$9,FALSE)&amp;AR$7,COM_2012!$B$58:$AH$58,0),FALSE),"")</f>
        <v/>
      </c>
      <c r="AS43" s="391" t="str">
        <f ca="1">IFERROR(VLOOKUP($C43,COM_2012!$B$61:$AH$120,MATCH(VLOOKUP("*"&amp;$AX43,$A$10:$J$11,$J$9,FALSE)&amp;AS$7,COM_2012!$B$58:$AH$58,0),FALSE),"")</f>
        <v/>
      </c>
      <c r="AT43" s="391" t="str">
        <f ca="1">IFERROR(VLOOKUP($C43,COM_2012!$B$61:$AH$120,MATCH(VLOOKUP("*"&amp;$AX43,$A$10:$J$11,$J$9,FALSE)&amp;AT$7,COM_2012!$B$58:$AH$58,0),FALSE),"")</f>
        <v/>
      </c>
      <c r="AU43" s="391" t="str">
        <f ca="1">IFERROR(VLOOKUP($C43,COM_2012!$B$61:$AH$120,MATCH(VLOOKUP("*"&amp;$AX43,$A$10:$J$11,$J$9,FALSE)&amp;AU$7,COM_2012!$B$58:$AH$58,0),FALSE),"")</f>
        <v/>
      </c>
      <c r="AV43" s="391" t="str">
        <f ca="1">IFERROR(VLOOKUP($C43,COM_2012!$B$61:$AH$120,MATCH(VLOOKUP("*"&amp;$AX43,$A$10:$J$11,$J$9,FALSE)&amp;AV$7,COM_2012!$B$58:$AH$58,0),FALSE),"")</f>
        <v/>
      </c>
      <c r="AW43" s="391" t="str">
        <f ca="1">IFERROR(VLOOKUP($C43,COM_2012!$B$61:$AH$120,MATCH(VLOOKUP("*"&amp;$AX43,$A$10:$J$11,$J$9,FALSE)&amp;AW$7,COM_2012!$B$58:$AH$58,0),FALSE),"")</f>
        <v/>
      </c>
      <c r="AX43" s="304">
        <f>IF(AY42=COM_2012!$AI$121,AX42+1,AX42)</f>
        <v>1</v>
      </c>
      <c r="AY43" s="304">
        <f t="shared" si="15"/>
        <v>31</v>
      </c>
    </row>
    <row r="44" spans="1:51">
      <c r="A44" s="304" t="str">
        <f ca="1">IF(LEFT(OFFSET(COM_2012!$A$60,AY44,0),2)="\I","*","")</f>
        <v>*</v>
      </c>
      <c r="B44" s="369" t="str">
        <f t="shared" ca="1" si="3"/>
        <v/>
      </c>
      <c r="C44" s="369" t="str">
        <f ca="1">IF($A44="*","",OFFSET(COM_2012!$B$60,AY44,0))</f>
        <v/>
      </c>
      <c r="D44" s="369" t="str">
        <f t="shared" ca="1" si="14"/>
        <v/>
      </c>
      <c r="E44" s="369" t="str">
        <f t="shared" ca="1" si="16"/>
        <v/>
      </c>
      <c r="F44" s="370" t="str">
        <f t="shared" ca="1" si="17"/>
        <v/>
      </c>
      <c r="G44" s="370" t="str">
        <f t="shared" ca="1" si="17"/>
        <v/>
      </c>
      <c r="H44" s="370" t="str">
        <f t="shared" ca="1" si="18"/>
        <v/>
      </c>
      <c r="I44" s="370" t="str">
        <f t="shared" ca="1" si="18"/>
        <v/>
      </c>
      <c r="J44" s="494" t="str">
        <f>IF(J$7&lt;2020,"",IF(A44="*","",IFERROR(VLOOKUP($C44,COM_2012!$B$61:$AH$120,MATCH(VLOOKUP("*"&amp;$AX44,$A$10:$J$11,$J$9,FALSE)&amp;J$7,COM_2012!$B$58:$AH$58,0),FALSE),"")))</f>
        <v/>
      </c>
      <c r="K44" s="494" t="str">
        <f>IF(K$7&lt;2020,"",IF(B44="*","",IFERROR(VLOOKUP($C44,COM_2012!$B$61:$AH$120,MATCH(VLOOKUP("*"&amp;$AX44,$A$10:$J$11,$J$9,FALSE)&amp;K$7,COM_2012!$B$58:$AH$58,0),FALSE),"")))</f>
        <v/>
      </c>
      <c r="L44" s="494" t="str">
        <f>IF(L$7&lt;2020,"",IF(C44="*","",IFERROR(VLOOKUP($C44,COM_2012!$B$61:$AH$120,MATCH(VLOOKUP("*"&amp;$AX44,$A$10:$J$11,$J$9,FALSE)&amp;L$7,COM_2012!$B$58:$AH$58,0),FALSE),"")))</f>
        <v/>
      </c>
      <c r="M44" s="494" t="str">
        <f>IF(M$7&lt;2020,"",IF(D44="*","",IFERROR(VLOOKUP($C44,COM_2012!$B$61:$AH$120,MATCH(VLOOKUP("*"&amp;$AX44,$A$10:$J$11,$J$9,FALSE)&amp;M$7,COM_2012!$B$58:$AH$58,0),FALSE),"")))</f>
        <v/>
      </c>
      <c r="N44" s="494" t="str">
        <f ca="1">IFERROR(VLOOKUP($C44,COM_2012!$B$61:$AH$120,MATCH(VLOOKUP("*"&amp;$AX44,$A$10:$J$11,$J$9,FALSE)&amp;N$7,COM_2012!$B$58:$AH$58,0),FALSE),"")</f>
        <v/>
      </c>
      <c r="O44" s="494" t="str">
        <f>IF(O$7&lt;2020,"",IF($A44="*","",IFERROR(VLOOKUP($C44,' COM_2017_old'!$B$61:$AJ$120,MATCH(VLOOKUP("*"&amp;$AX44,$A$10:$J$11,$J$9,FALSE)&amp;O$7,' COM_2017_old'!$B$58:$AJ$58,0),FALSE),"")))</f>
        <v/>
      </c>
      <c r="P44" s="494" t="str">
        <f ca="1">IFERROR(VLOOKUP($C44,COM_2012!$B$61:$AH$120,MATCH(VLOOKUP("*"&amp;$AX44,$A$10:$J$11,$J$9,FALSE)&amp;P$7,COM_2012!$B$58:$AH$58,0),FALSE),"")</f>
        <v/>
      </c>
      <c r="Q44" s="494" t="str">
        <f ca="1">IFERROR(VLOOKUP($C44,COM_2012!$B$61:$AH$120,MATCH(VLOOKUP("*"&amp;$AX44,$A$10:$J$11,$J$9,FALSE)&amp;Q$7,COM_2012!$B$58:$AH$58,0),FALSE),"")</f>
        <v/>
      </c>
      <c r="R44" s="494" t="str">
        <f ca="1">IF($A44="*","",IFERROR(VLOOKUP($C44,' COM_2017_old'!$B$61:$AJ$120,MATCH(VLOOKUP("*"&amp;$AX44,$A$10:$J$11,$J$9,FALSE)&amp;R$7,' COM_2017_old'!$B$58:$AJ$58,0),FALSE),""))</f>
        <v/>
      </c>
      <c r="S44" s="494" t="str">
        <f t="shared" ca="1" si="6"/>
        <v/>
      </c>
      <c r="T44" s="494" t="str">
        <f t="shared" ca="1" si="7"/>
        <v/>
      </c>
      <c r="U44" s="494" t="str">
        <f t="shared" ca="1" si="7"/>
        <v/>
      </c>
      <c r="V44" s="494" t="str">
        <f t="shared" ca="1" si="7"/>
        <v/>
      </c>
      <c r="W44" s="494" t="str">
        <f ca="1">IF($A44="*","",IFERROR(VLOOKUP($C44,' COM_2017_old'!$B$61:$AJ$120,MATCH(VLOOKUP("*"&amp;$AX44,$A$10:$J$11,$J$9,FALSE)&amp;W$7,' COM_2017_old'!$B$58:$AJ$58,0),FALSE),""))</f>
        <v/>
      </c>
      <c r="X44" s="494" t="str">
        <f t="shared" ca="1" si="8"/>
        <v/>
      </c>
      <c r="Y44" s="494" t="str">
        <f t="shared" ca="1" si="9"/>
        <v/>
      </c>
      <c r="Z44" s="494" t="str">
        <f t="shared" ca="1" si="9"/>
        <v/>
      </c>
      <c r="AA44" s="494" t="str">
        <f t="shared" ca="1" si="9"/>
        <v/>
      </c>
      <c r="AB44" s="494" t="str">
        <f ca="1">IF($A44="*","",IFERROR(VLOOKUP($C44,' COM_2017_old'!$B$61:$AJ$120,MATCH(VLOOKUP("*"&amp;$AX44,$A$10:$J$11,$J$9,FALSE)&amp;AB$7,' COM_2017_old'!$B$58:$AJ$58,0),FALSE),""))</f>
        <v/>
      </c>
      <c r="AC44" s="494" t="str">
        <f t="shared" ca="1" si="10"/>
        <v/>
      </c>
      <c r="AD44" s="494" t="str">
        <f t="shared" ca="1" si="11"/>
        <v/>
      </c>
      <c r="AE44" s="494" t="str">
        <f t="shared" ca="1" si="11"/>
        <v/>
      </c>
      <c r="AF44" s="494" t="str">
        <f t="shared" ca="1" si="11"/>
        <v/>
      </c>
      <c r="AG44" s="494" t="str">
        <f ca="1">IF($A44="*","",IFERROR(VLOOKUP($C44,' COM_2017_old'!$B$61:$AJ$120,MATCH(VLOOKUP("*"&amp;$AX44,$A$10:$J$11,$J$9,FALSE)&amp;AG$7,' COM_2017_old'!$B$58:$AJ$58,0),FALSE),""))</f>
        <v/>
      </c>
      <c r="AH44" s="494" t="str">
        <f t="shared" ca="1" si="12"/>
        <v/>
      </c>
      <c r="AI44" s="494" t="str">
        <f t="shared" ca="1" si="13"/>
        <v/>
      </c>
      <c r="AJ44" s="494" t="str">
        <f t="shared" ca="1" si="13"/>
        <v/>
      </c>
      <c r="AK44" s="494" t="str">
        <f t="shared" ca="1" si="13"/>
        <v/>
      </c>
      <c r="AL44" s="494" t="str">
        <f ca="1">IF($A44="*","",IFERROR(VLOOKUP($C44,' COM_2017_old'!$B$61:$AJ$120,MATCH(VLOOKUP("*"&amp;$AX44,$A$10:$J$11,$J$9,FALSE)&amp;AL$7,' COM_2017_old'!$B$58:$AJ$58,0),FALSE),""))</f>
        <v/>
      </c>
      <c r="AM44" s="494" t="str">
        <f ca="1">IF($A44="*","",IFERROR(VLOOKUP($C44,' COM_2017_old'!$B$61:$AJ$120,MATCH(VLOOKUP("*"&amp;$AX44,$A$10:$J$11,$J$9,FALSE)&amp;AM$7,' COM_2017_old'!$B$58:$AJ$58,0),FALSE),""))</f>
        <v/>
      </c>
      <c r="AN44" s="494" t="str">
        <f ca="1">IF($A44="*","",IFERROR(VLOOKUP($C44,' COM_2017_old'!$B$61:$AJ$120,MATCH(VLOOKUP("*"&amp;$AX44,$A$10:$J$11,$J$9,FALSE)&amp;AN$7,' COM_2017_old'!$B$58:$AJ$58,0),FALSE),""))</f>
        <v/>
      </c>
      <c r="AO44" s="391" t="str">
        <f ca="1">IFERROR(VLOOKUP($C44,COM_2012!$B$61:$AH$120,MATCH(VLOOKUP("*"&amp;$AX44,$A$10:$J$11,$J$9,FALSE)&amp;AO$7,COM_2012!$B$58:$AH$58,0),FALSE),"")</f>
        <v/>
      </c>
      <c r="AP44" s="391" t="str">
        <f ca="1">IFERROR(VLOOKUP($C44,COM_2012!$B$61:$AH$120,MATCH(VLOOKUP("*"&amp;$AX44,$A$10:$J$11,$J$9,FALSE)&amp;AP$7,COM_2012!$B$58:$AH$58,0),FALSE),"")</f>
        <v/>
      </c>
      <c r="AQ44" s="391" t="str">
        <f ca="1">IFERROR(VLOOKUP($C44,COM_2012!$B$61:$AH$120,MATCH(VLOOKUP("*"&amp;$AX44,$A$10:$J$11,$J$9,FALSE)&amp;AQ$7,COM_2012!$B$58:$AH$58,0),FALSE),"")</f>
        <v/>
      </c>
      <c r="AR44" s="391" t="str">
        <f ca="1">IFERROR(VLOOKUP($C44,COM_2012!$B$61:$AH$120,MATCH(VLOOKUP("*"&amp;$AX44,$A$10:$J$11,$J$9,FALSE)&amp;AR$7,COM_2012!$B$58:$AH$58,0),FALSE),"")</f>
        <v/>
      </c>
      <c r="AS44" s="391" t="str">
        <f ca="1">IFERROR(VLOOKUP($C44,COM_2012!$B$61:$AH$120,MATCH(VLOOKUP("*"&amp;$AX44,$A$10:$J$11,$J$9,FALSE)&amp;AS$7,COM_2012!$B$58:$AH$58,0),FALSE),"")</f>
        <v/>
      </c>
      <c r="AT44" s="391" t="str">
        <f ca="1">IFERROR(VLOOKUP($C44,COM_2012!$B$61:$AH$120,MATCH(VLOOKUP("*"&amp;$AX44,$A$10:$J$11,$J$9,FALSE)&amp;AT$7,COM_2012!$B$58:$AH$58,0),FALSE),"")</f>
        <v/>
      </c>
      <c r="AU44" s="391" t="str">
        <f ca="1">IFERROR(VLOOKUP($C44,COM_2012!$B$61:$AH$120,MATCH(VLOOKUP("*"&amp;$AX44,$A$10:$J$11,$J$9,FALSE)&amp;AU$7,COM_2012!$B$58:$AH$58,0),FALSE),"")</f>
        <v/>
      </c>
      <c r="AV44" s="391" t="str">
        <f ca="1">IFERROR(VLOOKUP($C44,COM_2012!$B$61:$AH$120,MATCH(VLOOKUP("*"&amp;$AX44,$A$10:$J$11,$J$9,FALSE)&amp;AV$7,COM_2012!$B$58:$AH$58,0),FALSE),"")</f>
        <v/>
      </c>
      <c r="AW44" s="391" t="str">
        <f ca="1">IFERROR(VLOOKUP($C44,COM_2012!$B$61:$AH$120,MATCH(VLOOKUP("*"&amp;$AX44,$A$10:$J$11,$J$9,FALSE)&amp;AW$7,COM_2012!$B$58:$AH$58,0),FALSE),"")</f>
        <v/>
      </c>
      <c r="AX44" s="304">
        <f>IF(AY43=COM_2012!$AI$121,AX43+1,AX43)</f>
        <v>1</v>
      </c>
      <c r="AY44" s="304">
        <f t="shared" si="15"/>
        <v>32</v>
      </c>
    </row>
    <row r="45" spans="1:51">
      <c r="A45" s="304" t="str">
        <f ca="1">IF(LEFT(OFFSET(COM_2012!$A$60,AY45,0),2)="\I","*","")</f>
        <v/>
      </c>
      <c r="B45" s="369" t="str">
        <f t="shared" ref="B45:B76" ca="1" si="19">IF(A45="*","",VLOOKUP("*"&amp;AX45,$A$9:$B$11,2,FALSE))</f>
        <v>FLO_MRKPRD</v>
      </c>
      <c r="C45" s="369" t="str">
        <f ca="1">IF($A45="*","",OFFSET(COM_2012!$B$60,AY45,0))</f>
        <v>CEWELC-E</v>
      </c>
      <c r="D45" s="369" t="str">
        <f t="shared" ca="1" si="14"/>
        <v>CEW</v>
      </c>
      <c r="E45" s="369" t="str">
        <f t="shared" ca="1" si="16"/>
        <v>-</v>
      </c>
      <c r="F45" s="370" t="str">
        <f t="shared" ca="1" si="17"/>
        <v>-</v>
      </c>
      <c r="G45" s="370" t="str">
        <f t="shared" ca="1" si="17"/>
        <v>ANNUAL</v>
      </c>
      <c r="H45" s="370" t="str">
        <f t="shared" ca="1" si="18"/>
        <v>UP</v>
      </c>
      <c r="I45" s="370">
        <f t="shared" ca="1" si="18"/>
        <v>0</v>
      </c>
      <c r="J45" s="494" t="str">
        <f>IF(J$7&lt;2020,"",IF(A45="*","",IFERROR(VLOOKUP($C45,COM_2012!$B$61:$AH$120,MATCH(VLOOKUP("*"&amp;$AX45,$A$10:$J$11,$J$9,FALSE)&amp;J$7,COM_2012!$B$58:$AH$58,0),FALSE),"")))</f>
        <v/>
      </c>
      <c r="K45" s="494" t="str">
        <f>IF(K$7&lt;2020,"",IF(B45="*","",IFERROR(VLOOKUP($C45,COM_2012!$B$61:$AH$120,MATCH(VLOOKUP("*"&amp;$AX45,$A$10:$J$11,$J$9,FALSE)&amp;K$7,COM_2012!$B$58:$AH$58,0),FALSE),"")))</f>
        <v/>
      </c>
      <c r="L45" s="494" t="str">
        <f>IF(L$7&lt;2020,"",IF(C45="*","",IFERROR(VLOOKUP($C45,COM_2012!$B$61:$AH$120,MATCH(VLOOKUP("*"&amp;$AX45,$A$10:$J$11,$J$9,FALSE)&amp;L$7,COM_2012!$B$58:$AH$58,0),FALSE),"")))</f>
        <v/>
      </c>
      <c r="M45" s="494" t="str">
        <f>IF(M$7&lt;2020,"",IF(D45="*","",IFERROR(VLOOKUP($C45,COM_2012!$B$61:$AH$120,MATCH(VLOOKUP("*"&amp;$AX45,$A$10:$J$11,$J$9,FALSE)&amp;M$7,COM_2012!$B$58:$AH$58,0),FALSE),"")))</f>
        <v/>
      </c>
      <c r="N45" s="494" t="str">
        <f ca="1">IFERROR(VLOOKUP($C45,COM_2012!$B$61:$AH$120,MATCH(VLOOKUP("*"&amp;$AX45,$A$10:$J$11,$J$9,FALSE)&amp;N$7,COM_2012!$B$58:$AH$58,0),FALSE),"")</f>
        <v/>
      </c>
      <c r="O45" s="494" t="str">
        <f>IF(O$7&lt;2020,"",IF($A45="*","",IFERROR(VLOOKUP($C45,' COM_2017_old'!$B$61:$AJ$120,MATCH(VLOOKUP("*"&amp;$AX45,$A$10:$J$11,$J$9,FALSE)&amp;O$7,' COM_2017_old'!$B$58:$AJ$58,0),FALSE),"")))</f>
        <v/>
      </c>
      <c r="P45" s="494" t="str">
        <f ca="1">IFERROR(VLOOKUP($C45,COM_2012!$B$61:$AH$120,MATCH(VLOOKUP("*"&amp;$AX45,$A$10:$J$11,$J$9,FALSE)&amp;P$7,COM_2012!$B$58:$AH$58,0),FALSE),"")</f>
        <v/>
      </c>
      <c r="Q45" s="494" t="str">
        <f ca="1">IFERROR(VLOOKUP($C45,COM_2012!$B$61:$AH$120,MATCH(VLOOKUP("*"&amp;$AX45,$A$10:$J$11,$J$9,FALSE)&amp;Q$7,COM_2012!$B$58:$AH$58,0),FALSE),"")</f>
        <v/>
      </c>
      <c r="R45" s="494">
        <f ca="1">IF($A45="*","",IFERROR(VLOOKUP($C45,' COM_2017_old'!$B$61:$AJ$120,MATCH(VLOOKUP("*"&amp;$AX45,$A$10:$J$11,$J$9,FALSE)&amp;R$7,' COM_2017_old'!$B$58:$AJ$58,0),FALSE),""))</f>
        <v>0.14649695170636573</v>
      </c>
      <c r="S45" s="494">
        <f t="shared" ca="1" si="6"/>
        <v>0.16049695170636574</v>
      </c>
      <c r="T45" s="494">
        <f t="shared" ca="1" si="7"/>
        <v>0.17449695170636575</v>
      </c>
      <c r="U45" s="494">
        <f t="shared" ca="1" si="7"/>
        <v>0.18849695170636577</v>
      </c>
      <c r="V45" s="494">
        <f t="shared" ca="1" si="7"/>
        <v>0.20249695170636578</v>
      </c>
      <c r="W45" s="494">
        <f ca="1">IF($A45="*","",IFERROR(VLOOKUP($C45,' COM_2017_old'!$B$61:$AJ$120,MATCH(VLOOKUP("*"&amp;$AX45,$A$10:$J$11,$J$9,FALSE)&amp;W$7,' COM_2017_old'!$B$58:$AJ$58,0),FALSE),""))</f>
        <v>0.21649695170636574</v>
      </c>
      <c r="X45" s="494">
        <f t="shared" ca="1" si="8"/>
        <v>0.25649695170636572</v>
      </c>
      <c r="Y45" s="494">
        <f t="shared" ca="1" si="9"/>
        <v>0.2964969517063657</v>
      </c>
      <c r="Z45" s="494">
        <f t="shared" ca="1" si="9"/>
        <v>0.33649695170636568</v>
      </c>
      <c r="AA45" s="494">
        <f t="shared" ca="1" si="9"/>
        <v>0.37649695170636566</v>
      </c>
      <c r="AB45" s="494">
        <f ca="1">IF($A45="*","",IFERROR(VLOOKUP($C45,' COM_2017_old'!$B$61:$AJ$120,MATCH(VLOOKUP("*"&amp;$AX45,$A$10:$J$11,$J$9,FALSE)&amp;AB$7,' COM_2017_old'!$B$58:$AJ$58,0),FALSE),""))</f>
        <v>0.41649695170636569</v>
      </c>
      <c r="AC45" s="494">
        <f t="shared" ca="1" si="10"/>
        <v>0.46649695170636574</v>
      </c>
      <c r="AD45" s="494">
        <f t="shared" ca="1" si="11"/>
        <v>0.51649695170636578</v>
      </c>
      <c r="AE45" s="494">
        <f t="shared" ca="1" si="11"/>
        <v>0.56649695170636583</v>
      </c>
      <c r="AF45" s="494">
        <f t="shared" ca="1" si="11"/>
        <v>0.61649695170636587</v>
      </c>
      <c r="AG45" s="494">
        <f ca="1">IF($A45="*","",IFERROR(VLOOKUP($C45,' COM_2017_old'!$B$61:$AJ$120,MATCH(VLOOKUP("*"&amp;$AX45,$A$10:$J$11,$J$9,FALSE)&amp;AG$7,' COM_2017_old'!$B$58:$AJ$58,0),FALSE),""))</f>
        <v>0.6664969517063658</v>
      </c>
      <c r="AH45" s="494">
        <f t="shared" ca="1" si="12"/>
        <v>0.72649695170636575</v>
      </c>
      <c r="AI45" s="494">
        <f t="shared" ca="1" si="13"/>
        <v>0.78649695170636569</v>
      </c>
      <c r="AJ45" s="494">
        <f t="shared" ca="1" si="13"/>
        <v>0.84649695170636563</v>
      </c>
      <c r="AK45" s="494">
        <f t="shared" ca="1" si="13"/>
        <v>0.90649695170636557</v>
      </c>
      <c r="AL45" s="494">
        <f ca="1">IF($A45="*","",IFERROR(VLOOKUP($C45,' COM_2017_old'!$B$61:$AJ$120,MATCH(VLOOKUP("*"&amp;$AX45,$A$10:$J$11,$J$9,FALSE)&amp;AL$7,' COM_2017_old'!$B$58:$AJ$58,0),FALSE),""))</f>
        <v>0.96649695170636574</v>
      </c>
      <c r="AM45" s="494">
        <f ca="1">IF($A45="*","",IFERROR(VLOOKUP($C45,' COM_2017_old'!$B$61:$AJ$120,MATCH(VLOOKUP("*"&amp;$AX45,$A$10:$J$11,$J$9,FALSE)&amp;AM$7,' COM_2017_old'!$B$58:$AJ$58,0),FALSE),""))</f>
        <v>1</v>
      </c>
      <c r="AN45" s="494">
        <f ca="1">IF($A45="*","",IFERROR(VLOOKUP($C45,' COM_2017_old'!$B$61:$AJ$120,MATCH(VLOOKUP("*"&amp;$AX45,$A$10:$J$11,$J$9,FALSE)&amp;AN$7,' COM_2017_old'!$B$58:$AJ$58,0),FALSE),""))</f>
        <v>1</v>
      </c>
      <c r="AO45" s="391" t="str">
        <f ca="1">IFERROR(VLOOKUP($C45,COM_2012!$B$61:$AH$120,MATCH(VLOOKUP("*"&amp;$AX45,$A$10:$J$11,$J$9,FALSE)&amp;AO$7,COM_2012!$B$58:$AH$58,0),FALSE),"")</f>
        <v/>
      </c>
      <c r="AP45" s="391" t="str">
        <f ca="1">IFERROR(VLOOKUP($C45,COM_2012!$B$61:$AH$120,MATCH(VLOOKUP("*"&amp;$AX45,$A$10:$J$11,$J$9,FALSE)&amp;AP$7,COM_2012!$B$58:$AH$58,0),FALSE),"")</f>
        <v/>
      </c>
      <c r="AQ45" s="391" t="str">
        <f ca="1">IFERROR(VLOOKUP($C45,COM_2012!$B$61:$AH$120,MATCH(VLOOKUP("*"&amp;$AX45,$A$10:$J$11,$J$9,FALSE)&amp;AQ$7,COM_2012!$B$58:$AH$58,0),FALSE),"")</f>
        <v/>
      </c>
      <c r="AR45" s="391" t="str">
        <f ca="1">IFERROR(VLOOKUP($C45,COM_2012!$B$61:$AH$120,MATCH(VLOOKUP("*"&amp;$AX45,$A$10:$J$11,$J$9,FALSE)&amp;AR$7,COM_2012!$B$58:$AH$58,0),FALSE),"")</f>
        <v/>
      </c>
      <c r="AS45" s="391" t="str">
        <f ca="1">IFERROR(VLOOKUP($C45,COM_2012!$B$61:$AH$120,MATCH(VLOOKUP("*"&amp;$AX45,$A$10:$J$11,$J$9,FALSE)&amp;AS$7,COM_2012!$B$58:$AH$58,0),FALSE),"")</f>
        <v/>
      </c>
      <c r="AT45" s="391" t="str">
        <f ca="1">IFERROR(VLOOKUP($C45,COM_2012!$B$61:$AH$120,MATCH(VLOOKUP("*"&amp;$AX45,$A$10:$J$11,$J$9,FALSE)&amp;AT$7,COM_2012!$B$58:$AH$58,0),FALSE),"")</f>
        <v/>
      </c>
      <c r="AU45" s="391" t="str">
        <f ca="1">IFERROR(VLOOKUP($C45,COM_2012!$B$61:$AH$120,MATCH(VLOOKUP("*"&amp;$AX45,$A$10:$J$11,$J$9,FALSE)&amp;AU$7,COM_2012!$B$58:$AH$58,0),FALSE),"")</f>
        <v/>
      </c>
      <c r="AV45" s="391" t="str">
        <f ca="1">IFERROR(VLOOKUP($C45,COM_2012!$B$61:$AH$120,MATCH(VLOOKUP("*"&amp;$AX45,$A$10:$J$11,$J$9,FALSE)&amp;AV$7,COM_2012!$B$58:$AH$58,0),FALSE),"")</f>
        <v/>
      </c>
      <c r="AW45" s="391" t="str">
        <f ca="1">IFERROR(VLOOKUP($C45,COM_2012!$B$61:$AH$120,MATCH(VLOOKUP("*"&amp;$AX45,$A$10:$J$11,$J$9,FALSE)&amp;AW$7,COM_2012!$B$58:$AH$58,0),FALSE),"")</f>
        <v/>
      </c>
      <c r="AX45" s="304">
        <f>IF(AY44=COM_2012!$AI$121,AX44+1,AX44)</f>
        <v>1</v>
      </c>
      <c r="AY45" s="304">
        <f t="shared" si="15"/>
        <v>33</v>
      </c>
    </row>
    <row r="46" spans="1:51">
      <c r="A46" s="304" t="str">
        <f ca="1">IF(LEFT(OFFSET(COM_2012!$A$60,AY46,0),2)="\I","*","")</f>
        <v/>
      </c>
      <c r="B46" s="369" t="str">
        <f t="shared" ca="1" si="19"/>
        <v>FLO_MRKPRD</v>
      </c>
      <c r="C46" s="369" t="str">
        <f ca="1">IF($A46="*","",OFFSET(COM_2012!$B$60,AY46,0))</f>
        <v>CEWCOA-E</v>
      </c>
      <c r="D46" s="369" t="str">
        <f t="shared" ca="1" si="14"/>
        <v>CEW</v>
      </c>
      <c r="E46" s="369" t="str">
        <f t="shared" ca="1" si="16"/>
        <v>-</v>
      </c>
      <c r="F46" s="370" t="str">
        <f t="shared" ca="1" si="17"/>
        <v>-</v>
      </c>
      <c r="G46" s="370" t="str">
        <f t="shared" ca="1" si="17"/>
        <v>ANNUAL</v>
      </c>
      <c r="H46" s="370" t="str">
        <f t="shared" ca="1" si="18"/>
        <v>UP</v>
      </c>
      <c r="I46" s="370">
        <f t="shared" ca="1" si="18"/>
        <v>0</v>
      </c>
      <c r="J46" s="494" t="str">
        <f>IF(J$7&lt;2020,"",IF(A46="*","",IFERROR(VLOOKUP($C46,COM_2012!$B$61:$AH$120,MATCH(VLOOKUP("*"&amp;$AX46,$A$10:$J$11,$J$9,FALSE)&amp;J$7,COM_2012!$B$58:$AH$58,0),FALSE),"")))</f>
        <v/>
      </c>
      <c r="K46" s="494" t="str">
        <f>IF(K$7&lt;2020,"",IF(B46="*","",IFERROR(VLOOKUP($C46,COM_2012!$B$61:$AH$120,MATCH(VLOOKUP("*"&amp;$AX46,$A$10:$J$11,$J$9,FALSE)&amp;K$7,COM_2012!$B$58:$AH$58,0),FALSE),"")))</f>
        <v/>
      </c>
      <c r="L46" s="494" t="str">
        <f>IF(L$7&lt;2020,"",IF(C46="*","",IFERROR(VLOOKUP($C46,COM_2012!$B$61:$AH$120,MATCH(VLOOKUP("*"&amp;$AX46,$A$10:$J$11,$J$9,FALSE)&amp;L$7,COM_2012!$B$58:$AH$58,0),FALSE),"")))</f>
        <v/>
      </c>
      <c r="M46" s="494" t="str">
        <f>IF(M$7&lt;2020,"",IF(D46="*","",IFERROR(VLOOKUP($C46,COM_2012!$B$61:$AH$120,MATCH(VLOOKUP("*"&amp;$AX46,$A$10:$J$11,$J$9,FALSE)&amp;M$7,COM_2012!$B$58:$AH$58,0),FALSE),"")))</f>
        <v/>
      </c>
      <c r="N46" s="494" t="str">
        <f ca="1">IFERROR(VLOOKUP($C46,COM_2012!$B$61:$AH$120,MATCH(VLOOKUP("*"&amp;$AX46,$A$10:$J$11,$J$9,FALSE)&amp;N$7,COM_2012!$B$58:$AH$58,0),FALSE),"")</f>
        <v/>
      </c>
      <c r="O46" s="494" t="str">
        <f>IF(O$7&lt;2020,"",IF($A46="*","",IFERROR(VLOOKUP($C46,' COM_2017_old'!$B$61:$AJ$120,MATCH(VLOOKUP("*"&amp;$AX46,$A$10:$J$11,$J$9,FALSE)&amp;O$7,' COM_2017_old'!$B$58:$AJ$58,0),FALSE),"")))</f>
        <v/>
      </c>
      <c r="P46" s="494" t="str">
        <f ca="1">IFERROR(VLOOKUP($C46,COM_2012!$B$61:$AH$120,MATCH(VLOOKUP("*"&amp;$AX46,$A$10:$J$11,$J$9,FALSE)&amp;P$7,COM_2012!$B$58:$AH$58,0),FALSE),"")</f>
        <v/>
      </c>
      <c r="Q46" s="494" t="str">
        <f ca="1">IFERROR(VLOOKUP($C46,COM_2012!$B$61:$AH$120,MATCH(VLOOKUP("*"&amp;$AX46,$A$10:$J$11,$J$9,FALSE)&amp;Q$7,COM_2012!$B$58:$AH$58,0),FALSE),"")</f>
        <v/>
      </c>
      <c r="R46" s="494">
        <f ca="1">IF($A46="*","",IFERROR(VLOOKUP($C46,' COM_2017_old'!$B$61:$AJ$120,MATCH(VLOOKUP("*"&amp;$AX46,$A$10:$J$11,$J$9,FALSE)&amp;R$7,' COM_2017_old'!$B$58:$AJ$58,0),FALSE),""))</f>
        <v>0.7635130059510683</v>
      </c>
      <c r="S46" s="494">
        <f t="shared" ca="1" si="6"/>
        <v>0.7635130059510683</v>
      </c>
      <c r="T46" s="494">
        <f t="shared" ca="1" si="7"/>
        <v>0.7635130059510683</v>
      </c>
      <c r="U46" s="494">
        <f t="shared" ca="1" si="7"/>
        <v>0.7635130059510683</v>
      </c>
      <c r="V46" s="494">
        <f t="shared" ca="1" si="7"/>
        <v>0.7635130059510683</v>
      </c>
      <c r="W46" s="494">
        <f ca="1">IF($A46="*","",IFERROR(VLOOKUP($C46,' COM_2017_old'!$B$61:$AJ$120,MATCH(VLOOKUP("*"&amp;$AX46,$A$10:$J$11,$J$9,FALSE)&amp;W$7,' COM_2017_old'!$B$58:$AJ$58,0),FALSE),""))</f>
        <v>0.7635130059510683</v>
      </c>
      <c r="X46" s="494">
        <f t="shared" ca="1" si="8"/>
        <v>0.7635130059510683</v>
      </c>
      <c r="Y46" s="494">
        <f t="shared" ca="1" si="9"/>
        <v>0.7635130059510683</v>
      </c>
      <c r="Z46" s="494">
        <f t="shared" ca="1" si="9"/>
        <v>0.7635130059510683</v>
      </c>
      <c r="AA46" s="494">
        <f t="shared" ca="1" si="9"/>
        <v>0.7635130059510683</v>
      </c>
      <c r="AB46" s="494">
        <f ca="1">IF($A46="*","",IFERROR(VLOOKUP($C46,' COM_2017_old'!$B$61:$AJ$120,MATCH(VLOOKUP("*"&amp;$AX46,$A$10:$J$11,$J$9,FALSE)&amp;AB$7,' COM_2017_old'!$B$58:$AJ$58,0),FALSE),""))</f>
        <v>0.7635130059510683</v>
      </c>
      <c r="AC46" s="494">
        <f t="shared" ca="1" si="10"/>
        <v>0.7635130059510683</v>
      </c>
      <c r="AD46" s="494">
        <f t="shared" ca="1" si="11"/>
        <v>0.7635130059510683</v>
      </c>
      <c r="AE46" s="494">
        <f t="shared" ca="1" si="11"/>
        <v>0.7635130059510683</v>
      </c>
      <c r="AF46" s="494">
        <f t="shared" ca="1" si="11"/>
        <v>0.7635130059510683</v>
      </c>
      <c r="AG46" s="494">
        <f ca="1">IF($A46="*","",IFERROR(VLOOKUP($C46,' COM_2017_old'!$B$61:$AJ$120,MATCH(VLOOKUP("*"&amp;$AX46,$A$10:$J$11,$J$9,FALSE)&amp;AG$7,' COM_2017_old'!$B$58:$AJ$58,0),FALSE),""))</f>
        <v>0.7635130059510683</v>
      </c>
      <c r="AH46" s="494">
        <f t="shared" ca="1" si="12"/>
        <v>0.7635130059510683</v>
      </c>
      <c r="AI46" s="494">
        <f t="shared" ca="1" si="13"/>
        <v>0.7635130059510683</v>
      </c>
      <c r="AJ46" s="494">
        <f t="shared" ca="1" si="13"/>
        <v>0.7635130059510683</v>
      </c>
      <c r="AK46" s="494">
        <f t="shared" ca="1" si="13"/>
        <v>0.7635130059510683</v>
      </c>
      <c r="AL46" s="494">
        <f ca="1">IF($A46="*","",IFERROR(VLOOKUP($C46,' COM_2017_old'!$B$61:$AJ$120,MATCH(VLOOKUP("*"&amp;$AX46,$A$10:$J$11,$J$9,FALSE)&amp;AL$7,' COM_2017_old'!$B$58:$AJ$58,0),FALSE),""))</f>
        <v>0.7635130059510683</v>
      </c>
      <c r="AM46" s="494">
        <f ca="1">IF($A46="*","",IFERROR(VLOOKUP($C46,' COM_2017_old'!$B$61:$AJ$120,MATCH(VLOOKUP("*"&amp;$AX46,$A$10:$J$11,$J$9,FALSE)&amp;AM$7,' COM_2017_old'!$B$58:$AJ$58,0),FALSE),""))</f>
        <v>0.7635130059510683</v>
      </c>
      <c r="AN46" s="494">
        <f ca="1">IF($A46="*","",IFERROR(VLOOKUP($C46,' COM_2017_old'!$B$61:$AJ$120,MATCH(VLOOKUP("*"&amp;$AX46,$A$10:$J$11,$J$9,FALSE)&amp;AN$7,' COM_2017_old'!$B$58:$AJ$58,0),FALSE),""))</f>
        <v>0.7635130059510683</v>
      </c>
      <c r="AO46" s="391" t="str">
        <f ca="1">IFERROR(VLOOKUP($C46,COM_2012!$B$61:$AH$120,MATCH(VLOOKUP("*"&amp;$AX46,$A$10:$J$11,$J$9,FALSE)&amp;AO$7,COM_2012!$B$58:$AH$58,0),FALSE),"")</f>
        <v/>
      </c>
      <c r="AP46" s="391" t="str">
        <f ca="1">IFERROR(VLOOKUP($C46,COM_2012!$B$61:$AH$120,MATCH(VLOOKUP("*"&amp;$AX46,$A$10:$J$11,$J$9,FALSE)&amp;AP$7,COM_2012!$B$58:$AH$58,0),FALSE),"")</f>
        <v/>
      </c>
      <c r="AQ46" s="391" t="str">
        <f ca="1">IFERROR(VLOOKUP($C46,COM_2012!$B$61:$AH$120,MATCH(VLOOKUP("*"&amp;$AX46,$A$10:$J$11,$J$9,FALSE)&amp;AQ$7,COM_2012!$B$58:$AH$58,0),FALSE),"")</f>
        <v/>
      </c>
      <c r="AR46" s="391" t="str">
        <f ca="1">IFERROR(VLOOKUP($C46,COM_2012!$B$61:$AH$120,MATCH(VLOOKUP("*"&amp;$AX46,$A$10:$J$11,$J$9,FALSE)&amp;AR$7,COM_2012!$B$58:$AH$58,0),FALSE),"")</f>
        <v/>
      </c>
      <c r="AS46" s="391" t="str">
        <f ca="1">IFERROR(VLOOKUP($C46,COM_2012!$B$61:$AH$120,MATCH(VLOOKUP("*"&amp;$AX46,$A$10:$J$11,$J$9,FALSE)&amp;AS$7,COM_2012!$B$58:$AH$58,0),FALSE),"")</f>
        <v/>
      </c>
      <c r="AT46" s="391" t="str">
        <f ca="1">IFERROR(VLOOKUP($C46,COM_2012!$B$61:$AH$120,MATCH(VLOOKUP("*"&amp;$AX46,$A$10:$J$11,$J$9,FALSE)&amp;AT$7,COM_2012!$B$58:$AH$58,0),FALSE),"")</f>
        <v/>
      </c>
      <c r="AU46" s="391" t="str">
        <f ca="1">IFERROR(VLOOKUP($C46,COM_2012!$B$61:$AH$120,MATCH(VLOOKUP("*"&amp;$AX46,$A$10:$J$11,$J$9,FALSE)&amp;AU$7,COM_2012!$B$58:$AH$58,0),FALSE),"")</f>
        <v/>
      </c>
      <c r="AV46" s="391" t="str">
        <f ca="1">IFERROR(VLOOKUP($C46,COM_2012!$B$61:$AH$120,MATCH(VLOOKUP("*"&amp;$AX46,$A$10:$J$11,$J$9,FALSE)&amp;AV$7,COM_2012!$B$58:$AH$58,0),FALSE),"")</f>
        <v/>
      </c>
      <c r="AW46" s="391" t="str">
        <f ca="1">IFERROR(VLOOKUP($C46,COM_2012!$B$61:$AH$120,MATCH(VLOOKUP("*"&amp;$AX46,$A$10:$J$11,$J$9,FALSE)&amp;AW$7,COM_2012!$B$58:$AH$58,0),FALSE),"")</f>
        <v/>
      </c>
      <c r="AX46" s="304">
        <f>IF(AY45=COM_2012!$AI$121,AX45+1,AX45)</f>
        <v>1</v>
      </c>
      <c r="AY46" s="304">
        <f t="shared" si="15"/>
        <v>34</v>
      </c>
    </row>
    <row r="47" spans="1:51">
      <c r="A47" s="304" t="str">
        <f ca="1">IF(LEFT(OFFSET(COM_2012!$A$60,AY47,0),2)="\I","*","")</f>
        <v/>
      </c>
      <c r="B47" s="369" t="str">
        <f t="shared" ca="1" si="19"/>
        <v>FLO_MRKPRD</v>
      </c>
      <c r="C47" s="369" t="str">
        <f ca="1">IF($A47="*","",OFFSET(COM_2012!$B$60,AY47,0))</f>
        <v>CEWOLP-E</v>
      </c>
      <c r="D47" s="369" t="str">
        <f t="shared" ca="1" si="14"/>
        <v>CEW</v>
      </c>
      <c r="E47" s="369" t="str">
        <f t="shared" ca="1" si="16"/>
        <v>-</v>
      </c>
      <c r="F47" s="370" t="str">
        <f t="shared" ca="1" si="17"/>
        <v>-</v>
      </c>
      <c r="G47" s="370" t="str">
        <f t="shared" ca="1" si="17"/>
        <v>ANNUAL</v>
      </c>
      <c r="H47" s="370" t="str">
        <f t="shared" ca="1" si="18"/>
        <v>UP</v>
      </c>
      <c r="I47" s="370">
        <f t="shared" ca="1" si="18"/>
        <v>0</v>
      </c>
      <c r="J47" s="494" t="str">
        <f>IF(J$7&lt;2020,"",IF(A47="*","",IFERROR(VLOOKUP($C47,COM_2012!$B$61:$AH$120,MATCH(VLOOKUP("*"&amp;$AX47,$A$10:$J$11,$J$9,FALSE)&amp;J$7,COM_2012!$B$58:$AH$58,0),FALSE),"")))</f>
        <v/>
      </c>
      <c r="K47" s="494" t="str">
        <f>IF(K$7&lt;2020,"",IF(B47="*","",IFERROR(VLOOKUP($C47,COM_2012!$B$61:$AH$120,MATCH(VLOOKUP("*"&amp;$AX47,$A$10:$J$11,$J$9,FALSE)&amp;K$7,COM_2012!$B$58:$AH$58,0),FALSE),"")))</f>
        <v/>
      </c>
      <c r="L47" s="494" t="str">
        <f>IF(L$7&lt;2020,"",IF(C47="*","",IFERROR(VLOOKUP($C47,COM_2012!$B$61:$AH$120,MATCH(VLOOKUP("*"&amp;$AX47,$A$10:$J$11,$J$9,FALSE)&amp;L$7,COM_2012!$B$58:$AH$58,0),FALSE),"")))</f>
        <v/>
      </c>
      <c r="M47" s="494" t="str">
        <f>IF(M$7&lt;2020,"",IF(D47="*","",IFERROR(VLOOKUP($C47,COM_2012!$B$61:$AH$120,MATCH(VLOOKUP("*"&amp;$AX47,$A$10:$J$11,$J$9,FALSE)&amp;M$7,COM_2012!$B$58:$AH$58,0),FALSE),"")))</f>
        <v/>
      </c>
      <c r="N47" s="494" t="str">
        <f ca="1">IFERROR(VLOOKUP($C47,COM_2012!$B$61:$AH$120,MATCH(VLOOKUP("*"&amp;$AX47,$A$10:$J$11,$J$9,FALSE)&amp;N$7,COM_2012!$B$58:$AH$58,0),FALSE),"")</f>
        <v/>
      </c>
      <c r="O47" s="494" t="str">
        <f>IF(O$7&lt;2020,"",IF($A47="*","",IFERROR(VLOOKUP($C47,' COM_2017_old'!$B$61:$AJ$120,MATCH(VLOOKUP("*"&amp;$AX47,$A$10:$J$11,$J$9,FALSE)&amp;O$7,' COM_2017_old'!$B$58:$AJ$58,0),FALSE),"")))</f>
        <v/>
      </c>
      <c r="P47" s="494" t="str">
        <f ca="1">IFERROR(VLOOKUP($C47,COM_2012!$B$61:$AH$120,MATCH(VLOOKUP("*"&amp;$AX47,$A$10:$J$11,$J$9,FALSE)&amp;P$7,COM_2012!$B$58:$AH$58,0),FALSE),"")</f>
        <v/>
      </c>
      <c r="Q47" s="494" t="str">
        <f ca="1">IFERROR(VLOOKUP($C47,COM_2012!$B$61:$AH$120,MATCH(VLOOKUP("*"&amp;$AX47,$A$10:$J$11,$J$9,FALSE)&amp;Q$7,COM_2012!$B$58:$AH$58,0),FALSE),"")</f>
        <v/>
      </c>
      <c r="R47" s="494">
        <f ca="1">IF($A47="*","",IFERROR(VLOOKUP($C47,' COM_2017_old'!$B$61:$AJ$120,MATCH(VLOOKUP("*"&amp;$AX47,$A$10:$J$11,$J$9,FALSE)&amp;R$7,' COM_2017_old'!$B$58:$AJ$58,0),FALSE),""))</f>
        <v>5.8152477272266218E-2</v>
      </c>
      <c r="S47" s="494">
        <f t="shared" ca="1" si="6"/>
        <v>7.2152477272266216E-2</v>
      </c>
      <c r="T47" s="494">
        <f t="shared" ca="1" si="7"/>
        <v>8.6152477272266215E-2</v>
      </c>
      <c r="U47" s="494">
        <f t="shared" ca="1" si="7"/>
        <v>0.10015247727226621</v>
      </c>
      <c r="V47" s="494">
        <f t="shared" ca="1" si="7"/>
        <v>0.11415247727226621</v>
      </c>
      <c r="W47" s="494">
        <f ca="1">IF($A47="*","",IFERROR(VLOOKUP($C47,' COM_2017_old'!$B$61:$AJ$120,MATCH(VLOOKUP("*"&amp;$AX47,$A$10:$J$11,$J$9,FALSE)&amp;W$7,' COM_2017_old'!$B$58:$AJ$58,0),FALSE),""))</f>
        <v>0.12815247727226622</v>
      </c>
      <c r="X47" s="494">
        <f t="shared" ca="1" si="8"/>
        <v>0.16815247727226623</v>
      </c>
      <c r="Y47" s="494">
        <f t="shared" ca="1" si="9"/>
        <v>0.20815247727226621</v>
      </c>
      <c r="Z47" s="494">
        <f t="shared" ca="1" si="9"/>
        <v>0.24815247727226619</v>
      </c>
      <c r="AA47" s="494">
        <f t="shared" ca="1" si="9"/>
        <v>0.28815247727226617</v>
      </c>
      <c r="AB47" s="494">
        <f ca="1">IF($A47="*","",IFERROR(VLOOKUP($C47,' COM_2017_old'!$B$61:$AJ$120,MATCH(VLOOKUP("*"&amp;$AX47,$A$10:$J$11,$J$9,FALSE)&amp;AB$7,' COM_2017_old'!$B$58:$AJ$58,0),FALSE),""))</f>
        <v>0.32815247727226621</v>
      </c>
      <c r="AC47" s="494">
        <f t="shared" ca="1" si="10"/>
        <v>0.3781524772722662</v>
      </c>
      <c r="AD47" s="494">
        <f t="shared" ca="1" si="11"/>
        <v>0.42815247727226619</v>
      </c>
      <c r="AE47" s="494">
        <f t="shared" ca="1" si="11"/>
        <v>0.47815247727226617</v>
      </c>
      <c r="AF47" s="494">
        <f t="shared" ca="1" si="11"/>
        <v>0.52815247727226622</v>
      </c>
      <c r="AG47" s="494">
        <f ca="1">IF($A47="*","",IFERROR(VLOOKUP($C47,' COM_2017_old'!$B$61:$AJ$120,MATCH(VLOOKUP("*"&amp;$AX47,$A$10:$J$11,$J$9,FALSE)&amp;AG$7,' COM_2017_old'!$B$58:$AJ$58,0),FALSE),""))</f>
        <v>0.57815247727226626</v>
      </c>
      <c r="AH47" s="494">
        <f t="shared" ca="1" si="12"/>
        <v>0.63815247727226621</v>
      </c>
      <c r="AI47" s="494">
        <f t="shared" ca="1" si="13"/>
        <v>0.69815247727226615</v>
      </c>
      <c r="AJ47" s="494">
        <f t="shared" ca="1" si="13"/>
        <v>0.75815247727226609</v>
      </c>
      <c r="AK47" s="494">
        <f t="shared" ca="1" si="13"/>
        <v>0.81815247727226603</v>
      </c>
      <c r="AL47" s="494">
        <f ca="1">IF($A47="*","",IFERROR(VLOOKUP($C47,' COM_2017_old'!$B$61:$AJ$120,MATCH(VLOOKUP("*"&amp;$AX47,$A$10:$J$11,$J$9,FALSE)&amp;AL$7,' COM_2017_old'!$B$58:$AJ$58,0),FALSE),""))</f>
        <v>0.8781524772722662</v>
      </c>
      <c r="AM47" s="494">
        <f ca="1">IF($A47="*","",IFERROR(VLOOKUP($C47,' COM_2017_old'!$B$61:$AJ$120,MATCH(VLOOKUP("*"&amp;$AX47,$A$10:$J$11,$J$9,FALSE)&amp;AM$7,' COM_2017_old'!$B$58:$AJ$58,0),FALSE),""))</f>
        <v>0.97815247727226617</v>
      </c>
      <c r="AN47" s="494">
        <f ca="1">IF($A47="*","",IFERROR(VLOOKUP($C47,' COM_2017_old'!$B$61:$AJ$120,MATCH(VLOOKUP("*"&amp;$AX47,$A$10:$J$11,$J$9,FALSE)&amp;AN$7,' COM_2017_old'!$B$58:$AJ$58,0),FALSE),""))</f>
        <v>1</v>
      </c>
      <c r="AO47" s="391" t="str">
        <f ca="1">IFERROR(VLOOKUP($C47,COM_2012!$B$61:$AH$120,MATCH(VLOOKUP("*"&amp;$AX47,$A$10:$J$11,$J$9,FALSE)&amp;AO$7,COM_2012!$B$58:$AH$58,0),FALSE),"")</f>
        <v/>
      </c>
      <c r="AP47" s="391" t="str">
        <f ca="1">IFERROR(VLOOKUP($C47,COM_2012!$B$61:$AH$120,MATCH(VLOOKUP("*"&amp;$AX47,$A$10:$J$11,$J$9,FALSE)&amp;AP$7,COM_2012!$B$58:$AH$58,0),FALSE),"")</f>
        <v/>
      </c>
      <c r="AQ47" s="391" t="str">
        <f ca="1">IFERROR(VLOOKUP($C47,COM_2012!$B$61:$AH$120,MATCH(VLOOKUP("*"&amp;$AX47,$A$10:$J$11,$J$9,FALSE)&amp;AQ$7,COM_2012!$B$58:$AH$58,0),FALSE),"")</f>
        <v/>
      </c>
      <c r="AR47" s="391" t="str">
        <f ca="1">IFERROR(VLOOKUP($C47,COM_2012!$B$61:$AH$120,MATCH(VLOOKUP("*"&amp;$AX47,$A$10:$J$11,$J$9,FALSE)&amp;AR$7,COM_2012!$B$58:$AH$58,0),FALSE),"")</f>
        <v/>
      </c>
      <c r="AS47" s="391" t="str">
        <f ca="1">IFERROR(VLOOKUP($C47,COM_2012!$B$61:$AH$120,MATCH(VLOOKUP("*"&amp;$AX47,$A$10:$J$11,$J$9,FALSE)&amp;AS$7,COM_2012!$B$58:$AH$58,0),FALSE),"")</f>
        <v/>
      </c>
      <c r="AT47" s="391" t="str">
        <f ca="1">IFERROR(VLOOKUP($C47,COM_2012!$B$61:$AH$120,MATCH(VLOOKUP("*"&amp;$AX47,$A$10:$J$11,$J$9,FALSE)&amp;AT$7,COM_2012!$B$58:$AH$58,0),FALSE),"")</f>
        <v/>
      </c>
      <c r="AU47" s="391" t="str">
        <f ca="1">IFERROR(VLOOKUP($C47,COM_2012!$B$61:$AH$120,MATCH(VLOOKUP("*"&amp;$AX47,$A$10:$J$11,$J$9,FALSE)&amp;AU$7,COM_2012!$B$58:$AH$58,0),FALSE),"")</f>
        <v/>
      </c>
      <c r="AV47" s="391" t="str">
        <f ca="1">IFERROR(VLOOKUP($C47,COM_2012!$B$61:$AH$120,MATCH(VLOOKUP("*"&amp;$AX47,$A$10:$J$11,$J$9,FALSE)&amp;AV$7,COM_2012!$B$58:$AH$58,0),FALSE),"")</f>
        <v/>
      </c>
      <c r="AW47" s="391" t="str">
        <f ca="1">IFERROR(VLOOKUP($C47,COM_2012!$B$61:$AH$120,MATCH(VLOOKUP("*"&amp;$AX47,$A$10:$J$11,$J$9,FALSE)&amp;AW$7,COM_2012!$B$58:$AH$58,0),FALSE),"")</f>
        <v/>
      </c>
      <c r="AX47" s="304">
        <f>IF(AY46=COM_2012!$AI$121,AX46+1,AX46)</f>
        <v>1</v>
      </c>
      <c r="AY47" s="304">
        <f t="shared" si="15"/>
        <v>35</v>
      </c>
    </row>
    <row r="48" spans="1:51">
      <c r="A48" s="304" t="str">
        <f ca="1">IF(LEFT(OFFSET(COM_2012!$A$60,AY48,0),2)="\I","*","")</f>
        <v/>
      </c>
      <c r="B48" s="369" t="str">
        <f t="shared" ca="1" si="19"/>
        <v>FLO_MRKPRD</v>
      </c>
      <c r="C48" s="369" t="str">
        <f ca="1">IF($A48="*","",OFFSET(COM_2012!$B$60,AY48,0))</f>
        <v>CEWGAS-E</v>
      </c>
      <c r="D48" s="369" t="str">
        <f t="shared" ca="1" si="14"/>
        <v>CEW</v>
      </c>
      <c r="E48" s="369" t="str">
        <f t="shared" ca="1" si="16"/>
        <v>-</v>
      </c>
      <c r="F48" s="370" t="str">
        <f t="shared" ca="1" si="17"/>
        <v>-</v>
      </c>
      <c r="G48" s="370" t="str">
        <f t="shared" ca="1" si="17"/>
        <v>ANNUAL</v>
      </c>
      <c r="H48" s="370" t="str">
        <f t="shared" ca="1" si="18"/>
        <v>UP</v>
      </c>
      <c r="I48" s="370">
        <f t="shared" ca="1" si="18"/>
        <v>0</v>
      </c>
      <c r="J48" s="494" t="str">
        <f>IF(J$7&lt;2020,"",IF(A48="*","",IFERROR(VLOOKUP($C48,COM_2012!$B$61:$AH$120,MATCH(VLOOKUP("*"&amp;$AX48,$A$10:$J$11,$J$9,FALSE)&amp;J$7,COM_2012!$B$58:$AH$58,0),FALSE),"")))</f>
        <v/>
      </c>
      <c r="K48" s="494" t="str">
        <f>IF(K$7&lt;2020,"",IF(B48="*","",IFERROR(VLOOKUP($C48,COM_2012!$B$61:$AH$120,MATCH(VLOOKUP("*"&amp;$AX48,$A$10:$J$11,$J$9,FALSE)&amp;K$7,COM_2012!$B$58:$AH$58,0),FALSE),"")))</f>
        <v/>
      </c>
      <c r="L48" s="494" t="str">
        <f>IF(L$7&lt;2020,"",IF(C48="*","",IFERROR(VLOOKUP($C48,COM_2012!$B$61:$AH$120,MATCH(VLOOKUP("*"&amp;$AX48,$A$10:$J$11,$J$9,FALSE)&amp;L$7,COM_2012!$B$58:$AH$58,0),FALSE),"")))</f>
        <v/>
      </c>
      <c r="M48" s="494" t="str">
        <f>IF(M$7&lt;2020,"",IF(D48="*","",IFERROR(VLOOKUP($C48,COM_2012!$B$61:$AH$120,MATCH(VLOOKUP("*"&amp;$AX48,$A$10:$J$11,$J$9,FALSE)&amp;M$7,COM_2012!$B$58:$AH$58,0),FALSE),"")))</f>
        <v/>
      </c>
      <c r="N48" s="494" t="str">
        <f ca="1">IFERROR(VLOOKUP($C48,COM_2012!$B$61:$AH$120,MATCH(VLOOKUP("*"&amp;$AX48,$A$10:$J$11,$J$9,FALSE)&amp;N$7,COM_2012!$B$58:$AH$58,0),FALSE),"")</f>
        <v/>
      </c>
      <c r="O48" s="494" t="str">
        <f>IF(O$7&lt;2020,"",IF($A48="*","",IFERROR(VLOOKUP($C48,' COM_2017_old'!$B$61:$AJ$120,MATCH(VLOOKUP("*"&amp;$AX48,$A$10:$J$11,$J$9,FALSE)&amp;O$7,' COM_2017_old'!$B$58:$AJ$58,0),FALSE),"")))</f>
        <v/>
      </c>
      <c r="P48" s="494" t="str">
        <f ca="1">IFERROR(VLOOKUP($C48,COM_2012!$B$61:$AH$120,MATCH(VLOOKUP("*"&amp;$AX48,$A$10:$J$11,$J$9,FALSE)&amp;P$7,COM_2012!$B$58:$AH$58,0),FALSE),"")</f>
        <v/>
      </c>
      <c r="Q48" s="494" t="str">
        <f ca="1">IFERROR(VLOOKUP($C48,COM_2012!$B$61:$AH$120,MATCH(VLOOKUP("*"&amp;$AX48,$A$10:$J$11,$J$9,FALSE)&amp;Q$7,COM_2012!$B$58:$AH$58,0),FALSE),"")</f>
        <v/>
      </c>
      <c r="R48" s="494">
        <f ca="1">IF($A48="*","",IFERROR(VLOOKUP($C48,' COM_2017_old'!$B$61:$AJ$120,MATCH(VLOOKUP("*"&amp;$AX48,$A$10:$J$11,$J$9,FALSE)&amp;R$7,' COM_2017_old'!$B$58:$AJ$58,0),FALSE),""))</f>
        <v>9.3298969282823982E-2</v>
      </c>
      <c r="S48" s="494">
        <f t="shared" ca="1" si="6"/>
        <v>0.10729896928282398</v>
      </c>
      <c r="T48" s="494">
        <f t="shared" ca="1" si="7"/>
        <v>0.12129896928282398</v>
      </c>
      <c r="U48" s="494">
        <f t="shared" ca="1" si="7"/>
        <v>0.13529896928282398</v>
      </c>
      <c r="V48" s="494">
        <f t="shared" ca="1" si="7"/>
        <v>0.14929896928282399</v>
      </c>
      <c r="W48" s="494">
        <f ca="1">IF($A48="*","",IFERROR(VLOOKUP($C48,' COM_2017_old'!$B$61:$AJ$120,MATCH(VLOOKUP("*"&amp;$AX48,$A$10:$J$11,$J$9,FALSE)&amp;W$7,' COM_2017_old'!$B$58:$AJ$58,0),FALSE),""))</f>
        <v>0.163298969282824</v>
      </c>
      <c r="X48" s="494">
        <f t="shared" ca="1" si="8"/>
        <v>0.20329896928282398</v>
      </c>
      <c r="Y48" s="494">
        <f t="shared" ca="1" si="9"/>
        <v>0.24329896928282396</v>
      </c>
      <c r="Z48" s="494">
        <f t="shared" ca="1" si="9"/>
        <v>0.28329896928282394</v>
      </c>
      <c r="AA48" s="494">
        <f t="shared" ca="1" si="9"/>
        <v>0.32329896928282392</v>
      </c>
      <c r="AB48" s="494">
        <f ca="1">IF($A48="*","",IFERROR(VLOOKUP($C48,' COM_2017_old'!$B$61:$AJ$120,MATCH(VLOOKUP("*"&amp;$AX48,$A$10:$J$11,$J$9,FALSE)&amp;AB$7,' COM_2017_old'!$B$58:$AJ$58,0),FALSE),""))</f>
        <v>0.36329896928282396</v>
      </c>
      <c r="AC48" s="494">
        <f t="shared" ca="1" si="10"/>
        <v>0.41329896928282395</v>
      </c>
      <c r="AD48" s="494">
        <f t="shared" ca="1" si="11"/>
        <v>0.46329896928282394</v>
      </c>
      <c r="AE48" s="494">
        <f t="shared" ca="1" si="11"/>
        <v>0.51329896928282392</v>
      </c>
      <c r="AF48" s="494">
        <f t="shared" ca="1" si="11"/>
        <v>0.56329896928282397</v>
      </c>
      <c r="AG48" s="494">
        <f ca="1">IF($A48="*","",IFERROR(VLOOKUP($C48,' COM_2017_old'!$B$61:$AJ$120,MATCH(VLOOKUP("*"&amp;$AX48,$A$10:$J$11,$J$9,FALSE)&amp;AG$7,' COM_2017_old'!$B$58:$AJ$58,0),FALSE),""))</f>
        <v>0.61329896928282401</v>
      </c>
      <c r="AH48" s="494">
        <f t="shared" ca="1" si="12"/>
        <v>0.67329896928282396</v>
      </c>
      <c r="AI48" s="494">
        <f t="shared" ca="1" si="13"/>
        <v>0.7332989692828239</v>
      </c>
      <c r="AJ48" s="494">
        <f t="shared" ca="1" si="13"/>
        <v>0.79329896928282384</v>
      </c>
      <c r="AK48" s="494">
        <f t="shared" ca="1" si="13"/>
        <v>0.85329896928282378</v>
      </c>
      <c r="AL48" s="494">
        <f ca="1">IF($A48="*","",IFERROR(VLOOKUP($C48,' COM_2017_old'!$B$61:$AJ$120,MATCH(VLOOKUP("*"&amp;$AX48,$A$10:$J$11,$J$9,FALSE)&amp;AL$7,' COM_2017_old'!$B$58:$AJ$58,0),FALSE),""))</f>
        <v>0.91329896928282395</v>
      </c>
      <c r="AM48" s="494">
        <f ca="1">IF($A48="*","",IFERROR(VLOOKUP($C48,' COM_2017_old'!$B$61:$AJ$120,MATCH(VLOOKUP("*"&amp;$AX48,$A$10:$J$11,$J$9,FALSE)&amp;AM$7,' COM_2017_old'!$B$58:$AJ$58,0),FALSE),""))</f>
        <v>1</v>
      </c>
      <c r="AN48" s="494">
        <f ca="1">IF($A48="*","",IFERROR(VLOOKUP($C48,' COM_2017_old'!$B$61:$AJ$120,MATCH(VLOOKUP("*"&amp;$AX48,$A$10:$J$11,$J$9,FALSE)&amp;AN$7,' COM_2017_old'!$B$58:$AJ$58,0),FALSE),""))</f>
        <v>1</v>
      </c>
      <c r="AO48" s="391" t="str">
        <f ca="1">IFERROR(VLOOKUP($C48,COM_2012!$B$61:$AH$120,MATCH(VLOOKUP("*"&amp;$AX48,$A$10:$J$11,$J$9,FALSE)&amp;AO$7,COM_2012!$B$58:$AH$58,0),FALSE),"")</f>
        <v/>
      </c>
      <c r="AP48" s="391" t="str">
        <f ca="1">IFERROR(VLOOKUP($C48,COM_2012!$B$61:$AH$120,MATCH(VLOOKUP("*"&amp;$AX48,$A$10:$J$11,$J$9,FALSE)&amp;AP$7,COM_2012!$B$58:$AH$58,0),FALSE),"")</f>
        <v/>
      </c>
      <c r="AQ48" s="391" t="str">
        <f ca="1">IFERROR(VLOOKUP($C48,COM_2012!$B$61:$AH$120,MATCH(VLOOKUP("*"&amp;$AX48,$A$10:$J$11,$J$9,FALSE)&amp;AQ$7,COM_2012!$B$58:$AH$58,0),FALSE),"")</f>
        <v/>
      </c>
      <c r="AR48" s="391" t="str">
        <f ca="1">IFERROR(VLOOKUP($C48,COM_2012!$B$61:$AH$120,MATCH(VLOOKUP("*"&amp;$AX48,$A$10:$J$11,$J$9,FALSE)&amp;AR$7,COM_2012!$B$58:$AH$58,0),FALSE),"")</f>
        <v/>
      </c>
      <c r="AS48" s="391" t="str">
        <f ca="1">IFERROR(VLOOKUP($C48,COM_2012!$B$61:$AH$120,MATCH(VLOOKUP("*"&amp;$AX48,$A$10:$J$11,$J$9,FALSE)&amp;AS$7,COM_2012!$B$58:$AH$58,0),FALSE),"")</f>
        <v/>
      </c>
      <c r="AT48" s="391" t="str">
        <f ca="1">IFERROR(VLOOKUP($C48,COM_2012!$B$61:$AH$120,MATCH(VLOOKUP("*"&amp;$AX48,$A$10:$J$11,$J$9,FALSE)&amp;AT$7,COM_2012!$B$58:$AH$58,0),FALSE),"")</f>
        <v/>
      </c>
      <c r="AU48" s="391" t="str">
        <f ca="1">IFERROR(VLOOKUP($C48,COM_2012!$B$61:$AH$120,MATCH(VLOOKUP("*"&amp;$AX48,$A$10:$J$11,$J$9,FALSE)&amp;AU$7,COM_2012!$B$58:$AH$58,0),FALSE),"")</f>
        <v/>
      </c>
      <c r="AV48" s="391" t="str">
        <f ca="1">IFERROR(VLOOKUP($C48,COM_2012!$B$61:$AH$120,MATCH(VLOOKUP("*"&amp;$AX48,$A$10:$J$11,$J$9,FALSE)&amp;AV$7,COM_2012!$B$58:$AH$58,0),FALSE),"")</f>
        <v/>
      </c>
      <c r="AW48" s="391" t="str">
        <f ca="1">IFERROR(VLOOKUP($C48,COM_2012!$B$61:$AH$120,MATCH(VLOOKUP("*"&amp;$AX48,$A$10:$J$11,$J$9,FALSE)&amp;AW$7,COM_2012!$B$58:$AH$58,0),FALSE),"")</f>
        <v/>
      </c>
      <c r="AX48" s="304">
        <f>IF(AY47=COM_2012!$AI$121,AX47+1,AX47)</f>
        <v>1</v>
      </c>
      <c r="AY48" s="304">
        <f t="shared" si="15"/>
        <v>36</v>
      </c>
    </row>
    <row r="49" spans="1:51">
      <c r="A49" s="304" t="str">
        <f ca="1">IF(LEFT(OFFSET(COM_2012!$A$60,AY49,0),2)="\I","*","")</f>
        <v/>
      </c>
      <c r="B49" s="369" t="str">
        <f t="shared" ca="1" si="19"/>
        <v>FLO_MRKPRD</v>
      </c>
      <c r="C49" s="369" t="str">
        <f ca="1">IF($A49="*","",OFFSET(COM_2012!$B$60,AY49,0))</f>
        <v>CEWOKE-E</v>
      </c>
      <c r="D49" s="369" t="str">
        <f t="shared" ca="1" si="14"/>
        <v>CEW</v>
      </c>
      <c r="E49" s="369" t="str">
        <f t="shared" ca="1" si="16"/>
        <v>-</v>
      </c>
      <c r="F49" s="370" t="str">
        <f t="shared" ca="1" si="17"/>
        <v>-</v>
      </c>
      <c r="G49" s="370" t="str">
        <f t="shared" ca="1" si="17"/>
        <v>ANNUAL</v>
      </c>
      <c r="H49" s="370" t="str">
        <f t="shared" ca="1" si="18"/>
        <v>UP</v>
      </c>
      <c r="I49" s="370">
        <f t="shared" ca="1" si="18"/>
        <v>0</v>
      </c>
      <c r="J49" s="494" t="str">
        <f>IF(J$7&lt;2020,"",IF(A49="*","",IFERROR(VLOOKUP($C49,COM_2012!$B$61:$AH$120,MATCH(VLOOKUP("*"&amp;$AX49,$A$10:$J$11,$J$9,FALSE)&amp;J$7,COM_2012!$B$58:$AH$58,0),FALSE),"")))</f>
        <v/>
      </c>
      <c r="K49" s="494" t="str">
        <f>IF(K$7&lt;2020,"",IF(B49="*","",IFERROR(VLOOKUP($C49,COM_2012!$B$61:$AH$120,MATCH(VLOOKUP("*"&amp;$AX49,$A$10:$J$11,$J$9,FALSE)&amp;K$7,COM_2012!$B$58:$AH$58,0),FALSE),"")))</f>
        <v/>
      </c>
      <c r="L49" s="494" t="str">
        <f>IF(L$7&lt;2020,"",IF(C49="*","",IFERROR(VLOOKUP($C49,COM_2012!$B$61:$AH$120,MATCH(VLOOKUP("*"&amp;$AX49,$A$10:$J$11,$J$9,FALSE)&amp;L$7,COM_2012!$B$58:$AH$58,0),FALSE),"")))</f>
        <v/>
      </c>
      <c r="M49" s="494" t="str">
        <f>IF(M$7&lt;2020,"",IF(D49="*","",IFERROR(VLOOKUP($C49,COM_2012!$B$61:$AH$120,MATCH(VLOOKUP("*"&amp;$AX49,$A$10:$J$11,$J$9,FALSE)&amp;M$7,COM_2012!$B$58:$AH$58,0),FALSE),"")))</f>
        <v/>
      </c>
      <c r="N49" s="494" t="str">
        <f ca="1">IFERROR(VLOOKUP($C49,COM_2012!$B$61:$AH$120,MATCH(VLOOKUP("*"&amp;$AX49,$A$10:$J$11,$J$9,FALSE)&amp;N$7,COM_2012!$B$58:$AH$58,0),FALSE),"")</f>
        <v/>
      </c>
      <c r="O49" s="494" t="str">
        <f>IF(O$7&lt;2020,"",IF($A49="*","",IFERROR(VLOOKUP($C49,' COM_2017_old'!$B$61:$AJ$120,MATCH(VLOOKUP("*"&amp;$AX49,$A$10:$J$11,$J$9,FALSE)&amp;O$7,' COM_2017_old'!$B$58:$AJ$58,0),FALSE),"")))</f>
        <v/>
      </c>
      <c r="P49" s="494" t="str">
        <f ca="1">IFERROR(VLOOKUP($C49,COM_2012!$B$61:$AH$120,MATCH(VLOOKUP("*"&amp;$AX49,$A$10:$J$11,$J$9,FALSE)&amp;P$7,COM_2012!$B$58:$AH$58,0),FALSE),"")</f>
        <v/>
      </c>
      <c r="Q49" s="494" t="str">
        <f ca="1">IFERROR(VLOOKUP($C49,COM_2012!$B$61:$AH$120,MATCH(VLOOKUP("*"&amp;$AX49,$A$10:$J$11,$J$9,FALSE)&amp;Q$7,COM_2012!$B$58:$AH$58,0),FALSE),"")</f>
        <v/>
      </c>
      <c r="R49" s="494">
        <f ca="1">IF($A49="*","",IFERROR(VLOOKUP($C49,' COM_2017_old'!$B$61:$AJ$120,MATCH(VLOOKUP("*"&amp;$AX49,$A$10:$J$11,$J$9,FALSE)&amp;R$7,' COM_2017_old'!$B$58:$AJ$58,0),FALSE),""))</f>
        <v>3.8538595787475684E-2</v>
      </c>
      <c r="S49" s="494">
        <f t="shared" ca="1" si="6"/>
        <v>3.8538595787475684E-2</v>
      </c>
      <c r="T49" s="494">
        <f t="shared" ca="1" si="7"/>
        <v>3.8538595787475684E-2</v>
      </c>
      <c r="U49" s="494">
        <f t="shared" ca="1" si="7"/>
        <v>3.8538595787475684E-2</v>
      </c>
      <c r="V49" s="494">
        <f t="shared" ca="1" si="7"/>
        <v>3.8538595787475684E-2</v>
      </c>
      <c r="W49" s="494">
        <f ca="1">IF($A49="*","",IFERROR(VLOOKUP($C49,' COM_2017_old'!$B$61:$AJ$120,MATCH(VLOOKUP("*"&amp;$AX49,$A$10:$J$11,$J$9,FALSE)&amp;W$7,' COM_2017_old'!$B$58:$AJ$58,0),FALSE),""))</f>
        <v>3.8538595787475684E-2</v>
      </c>
      <c r="X49" s="494">
        <f t="shared" ca="1" si="8"/>
        <v>3.8538595787475684E-2</v>
      </c>
      <c r="Y49" s="494">
        <f t="shared" ca="1" si="9"/>
        <v>3.8538595787475684E-2</v>
      </c>
      <c r="Z49" s="494">
        <f t="shared" ca="1" si="9"/>
        <v>3.8538595787475684E-2</v>
      </c>
      <c r="AA49" s="494">
        <f t="shared" ca="1" si="9"/>
        <v>3.8538595787475684E-2</v>
      </c>
      <c r="AB49" s="494">
        <f ca="1">IF($A49="*","",IFERROR(VLOOKUP($C49,' COM_2017_old'!$B$61:$AJ$120,MATCH(VLOOKUP("*"&amp;$AX49,$A$10:$J$11,$J$9,FALSE)&amp;AB$7,' COM_2017_old'!$B$58:$AJ$58,0),FALSE),""))</f>
        <v>3.8538595787475684E-2</v>
      </c>
      <c r="AC49" s="494">
        <f t="shared" ca="1" si="10"/>
        <v>3.8538595787475684E-2</v>
      </c>
      <c r="AD49" s="494">
        <f t="shared" ca="1" si="11"/>
        <v>3.8538595787475684E-2</v>
      </c>
      <c r="AE49" s="494">
        <f t="shared" ca="1" si="11"/>
        <v>3.8538595787475684E-2</v>
      </c>
      <c r="AF49" s="494">
        <f t="shared" ca="1" si="11"/>
        <v>3.8538595787475684E-2</v>
      </c>
      <c r="AG49" s="494">
        <f ca="1">IF($A49="*","",IFERROR(VLOOKUP($C49,' COM_2017_old'!$B$61:$AJ$120,MATCH(VLOOKUP("*"&amp;$AX49,$A$10:$J$11,$J$9,FALSE)&amp;AG$7,' COM_2017_old'!$B$58:$AJ$58,0),FALSE),""))</f>
        <v>3.8538595787475684E-2</v>
      </c>
      <c r="AH49" s="494">
        <f t="shared" ca="1" si="12"/>
        <v>3.8538595787475684E-2</v>
      </c>
      <c r="AI49" s="494">
        <f t="shared" ca="1" si="13"/>
        <v>3.8538595787475684E-2</v>
      </c>
      <c r="AJ49" s="494">
        <f t="shared" ca="1" si="13"/>
        <v>3.8538595787475684E-2</v>
      </c>
      <c r="AK49" s="494">
        <f t="shared" ca="1" si="13"/>
        <v>3.8538595787475684E-2</v>
      </c>
      <c r="AL49" s="494">
        <f ca="1">IF($A49="*","",IFERROR(VLOOKUP($C49,' COM_2017_old'!$B$61:$AJ$120,MATCH(VLOOKUP("*"&amp;$AX49,$A$10:$J$11,$J$9,FALSE)&amp;AL$7,' COM_2017_old'!$B$58:$AJ$58,0),FALSE),""))</f>
        <v>3.8538595787475684E-2</v>
      </c>
      <c r="AM49" s="494">
        <f ca="1">IF($A49="*","",IFERROR(VLOOKUP($C49,' COM_2017_old'!$B$61:$AJ$120,MATCH(VLOOKUP("*"&amp;$AX49,$A$10:$J$11,$J$9,FALSE)&amp;AM$7,' COM_2017_old'!$B$58:$AJ$58,0),FALSE),""))</f>
        <v>3.8538595787475684E-2</v>
      </c>
      <c r="AN49" s="494">
        <f ca="1">IF($A49="*","",IFERROR(VLOOKUP($C49,' COM_2017_old'!$B$61:$AJ$120,MATCH(VLOOKUP("*"&amp;$AX49,$A$10:$J$11,$J$9,FALSE)&amp;AN$7,' COM_2017_old'!$B$58:$AJ$58,0),FALSE),""))</f>
        <v>3.8538595787475684E-2</v>
      </c>
      <c r="AO49" s="391" t="str">
        <f ca="1">IFERROR(VLOOKUP($C49,COM_2012!$B$61:$AH$120,MATCH(VLOOKUP("*"&amp;$AX49,$A$10:$J$11,$J$9,FALSE)&amp;AO$7,COM_2012!$B$58:$AH$58,0),FALSE),"")</f>
        <v/>
      </c>
      <c r="AP49" s="391" t="str">
        <f ca="1">IFERROR(VLOOKUP($C49,COM_2012!$B$61:$AH$120,MATCH(VLOOKUP("*"&amp;$AX49,$A$10:$J$11,$J$9,FALSE)&amp;AP$7,COM_2012!$B$58:$AH$58,0),FALSE),"")</f>
        <v/>
      </c>
      <c r="AQ49" s="391" t="str">
        <f ca="1">IFERROR(VLOOKUP($C49,COM_2012!$B$61:$AH$120,MATCH(VLOOKUP("*"&amp;$AX49,$A$10:$J$11,$J$9,FALSE)&amp;AQ$7,COM_2012!$B$58:$AH$58,0),FALSE),"")</f>
        <v/>
      </c>
      <c r="AR49" s="391" t="str">
        <f ca="1">IFERROR(VLOOKUP($C49,COM_2012!$B$61:$AH$120,MATCH(VLOOKUP("*"&amp;$AX49,$A$10:$J$11,$J$9,FALSE)&amp;AR$7,COM_2012!$B$58:$AH$58,0),FALSE),"")</f>
        <v/>
      </c>
      <c r="AS49" s="391" t="str">
        <f ca="1">IFERROR(VLOOKUP($C49,COM_2012!$B$61:$AH$120,MATCH(VLOOKUP("*"&amp;$AX49,$A$10:$J$11,$J$9,FALSE)&amp;AS$7,COM_2012!$B$58:$AH$58,0),FALSE),"")</f>
        <v/>
      </c>
      <c r="AT49" s="391" t="str">
        <f ca="1">IFERROR(VLOOKUP($C49,COM_2012!$B$61:$AH$120,MATCH(VLOOKUP("*"&amp;$AX49,$A$10:$J$11,$J$9,FALSE)&amp;AT$7,COM_2012!$B$58:$AH$58,0),FALSE),"")</f>
        <v/>
      </c>
      <c r="AU49" s="391" t="str">
        <f ca="1">IFERROR(VLOOKUP($C49,COM_2012!$B$61:$AH$120,MATCH(VLOOKUP("*"&amp;$AX49,$A$10:$J$11,$J$9,FALSE)&amp;AU$7,COM_2012!$B$58:$AH$58,0),FALSE),"")</f>
        <v/>
      </c>
      <c r="AV49" s="391" t="str">
        <f ca="1">IFERROR(VLOOKUP($C49,COM_2012!$B$61:$AH$120,MATCH(VLOOKUP("*"&amp;$AX49,$A$10:$J$11,$J$9,FALSE)&amp;AV$7,COM_2012!$B$58:$AH$58,0),FALSE),"")</f>
        <v/>
      </c>
      <c r="AW49" s="391" t="str">
        <f ca="1">IFERROR(VLOOKUP($C49,COM_2012!$B$61:$AH$120,MATCH(VLOOKUP("*"&amp;$AX49,$A$10:$J$11,$J$9,FALSE)&amp;AW$7,COM_2012!$B$58:$AH$58,0),FALSE),"")</f>
        <v/>
      </c>
      <c r="AX49" s="304">
        <f>IF(AY48=COM_2012!$AI$121,AX48+1,AX48)</f>
        <v>1</v>
      </c>
      <c r="AY49" s="304">
        <f t="shared" si="15"/>
        <v>37</v>
      </c>
    </row>
    <row r="50" spans="1:51">
      <c r="A50" s="304" t="str">
        <f ca="1">IF(LEFT(OFFSET(COM_2012!$A$60,AY50,0),2)="\I","*","")</f>
        <v/>
      </c>
      <c r="B50" s="369" t="str">
        <f t="shared" ca="1" si="19"/>
        <v>FLO_MRKPRD</v>
      </c>
      <c r="C50" s="369" t="str">
        <f ca="1">IF($A50="*","",OFFSET(COM_2012!$B$60,AY50,0))</f>
        <v>CEWELC-N</v>
      </c>
      <c r="D50" s="369" t="str">
        <f t="shared" ca="1" si="14"/>
        <v>CEW</v>
      </c>
      <c r="E50" s="369" t="str">
        <f t="shared" ca="1" si="16"/>
        <v>-</v>
      </c>
      <c r="F50" s="370" t="str">
        <f t="shared" ca="1" si="17"/>
        <v>-</v>
      </c>
      <c r="G50" s="370" t="str">
        <f t="shared" ca="1" si="17"/>
        <v>ANNUAL</v>
      </c>
      <c r="H50" s="370" t="str">
        <f t="shared" ca="1" si="18"/>
        <v>UP</v>
      </c>
      <c r="I50" s="370">
        <f t="shared" ca="1" si="18"/>
        <v>0</v>
      </c>
      <c r="J50" s="494" t="str">
        <f>IF(J$7&lt;2020,"",IF(A50="*","",IFERROR(VLOOKUP($C50,COM_2012!$B$61:$AH$120,MATCH(VLOOKUP("*"&amp;$AX50,$A$10:$J$11,$J$9,FALSE)&amp;J$7,COM_2012!$B$58:$AH$58,0),FALSE),"")))</f>
        <v/>
      </c>
      <c r="K50" s="494" t="str">
        <f>IF(K$7&lt;2020,"",IF(B50="*","",IFERROR(VLOOKUP($C50,COM_2012!$B$61:$AH$120,MATCH(VLOOKUP("*"&amp;$AX50,$A$10:$J$11,$J$9,FALSE)&amp;K$7,COM_2012!$B$58:$AH$58,0),FALSE),"")))</f>
        <v/>
      </c>
      <c r="L50" s="494" t="str">
        <f>IF(L$7&lt;2020,"",IF(C50="*","",IFERROR(VLOOKUP($C50,COM_2012!$B$61:$AH$120,MATCH(VLOOKUP("*"&amp;$AX50,$A$10:$J$11,$J$9,FALSE)&amp;L$7,COM_2012!$B$58:$AH$58,0),FALSE),"")))</f>
        <v/>
      </c>
      <c r="M50" s="494" t="str">
        <f>IF(M$7&lt;2020,"",IF(D50="*","",IFERROR(VLOOKUP($C50,COM_2012!$B$61:$AH$120,MATCH(VLOOKUP("*"&amp;$AX50,$A$10:$J$11,$J$9,FALSE)&amp;M$7,COM_2012!$B$58:$AH$58,0),FALSE),"")))</f>
        <v/>
      </c>
      <c r="N50" s="494" t="str">
        <f ca="1">IFERROR(VLOOKUP($C50,COM_2012!$B$61:$AH$120,MATCH(VLOOKUP("*"&amp;$AX50,$A$10:$J$11,$J$9,FALSE)&amp;N$7,COM_2012!$B$58:$AH$58,0),FALSE),"")</f>
        <v/>
      </c>
      <c r="O50" s="494" t="str">
        <f>IF(O$7&lt;2020,"",IF($A50="*","",IFERROR(VLOOKUP($C50,' COM_2017_old'!$B$61:$AJ$120,MATCH(VLOOKUP("*"&amp;$AX50,$A$10:$J$11,$J$9,FALSE)&amp;O$7,' COM_2017_old'!$B$58:$AJ$58,0),FALSE),"")))</f>
        <v/>
      </c>
      <c r="P50" s="494" t="str">
        <f ca="1">IFERROR(VLOOKUP($C50,COM_2012!$B$61:$AH$120,MATCH(VLOOKUP("*"&amp;$AX50,$A$10:$J$11,$J$9,FALSE)&amp;P$7,COM_2012!$B$58:$AH$58,0),FALSE),"")</f>
        <v/>
      </c>
      <c r="Q50" s="494" t="str">
        <f ca="1">IFERROR(VLOOKUP($C50,COM_2012!$B$61:$AH$120,MATCH(VLOOKUP("*"&amp;$AX50,$A$10:$J$11,$J$9,FALSE)&amp;Q$7,COM_2012!$B$58:$AH$58,0),FALSE),"")</f>
        <v/>
      </c>
      <c r="R50" s="494">
        <f ca="1">IF($A50="*","",IFERROR(VLOOKUP($C50,' COM_2017_old'!$B$61:$AJ$120,MATCH(VLOOKUP("*"&amp;$AX50,$A$10:$J$11,$J$9,FALSE)&amp;R$7,' COM_2017_old'!$B$58:$AJ$58,0),FALSE),""))</f>
        <v>0.03</v>
      </c>
      <c r="S50" s="494">
        <f t="shared" ca="1" si="6"/>
        <v>4.3999999999999997E-2</v>
      </c>
      <c r="T50" s="494">
        <f t="shared" ca="1" si="7"/>
        <v>5.7999999999999996E-2</v>
      </c>
      <c r="U50" s="494">
        <f t="shared" ca="1" si="7"/>
        <v>7.1999999999999995E-2</v>
      </c>
      <c r="V50" s="494">
        <f t="shared" ca="1" si="7"/>
        <v>8.5999999999999993E-2</v>
      </c>
      <c r="W50" s="494">
        <f ca="1">IF($A50="*","",IFERROR(VLOOKUP($C50,' COM_2017_old'!$B$61:$AJ$120,MATCH(VLOOKUP("*"&amp;$AX50,$A$10:$J$11,$J$9,FALSE)&amp;W$7,' COM_2017_old'!$B$58:$AJ$58,0),FALSE),""))</f>
        <v>0.1</v>
      </c>
      <c r="X50" s="494">
        <f t="shared" ca="1" si="8"/>
        <v>0.14000000000000001</v>
      </c>
      <c r="Y50" s="494">
        <f t="shared" ca="1" si="9"/>
        <v>0.18</v>
      </c>
      <c r="Z50" s="494">
        <f t="shared" ca="1" si="9"/>
        <v>0.21999999999999997</v>
      </c>
      <c r="AA50" s="494">
        <f t="shared" ca="1" si="9"/>
        <v>0.25999999999999995</v>
      </c>
      <c r="AB50" s="494">
        <f ca="1">IF($A50="*","",IFERROR(VLOOKUP($C50,' COM_2017_old'!$B$61:$AJ$120,MATCH(VLOOKUP("*"&amp;$AX50,$A$10:$J$11,$J$9,FALSE)&amp;AB$7,' COM_2017_old'!$B$58:$AJ$58,0),FALSE),""))</f>
        <v>0.3</v>
      </c>
      <c r="AC50" s="494">
        <f t="shared" ca="1" si="10"/>
        <v>0.35</v>
      </c>
      <c r="AD50" s="494">
        <f t="shared" ca="1" si="11"/>
        <v>0.39999999999999997</v>
      </c>
      <c r="AE50" s="494">
        <f t="shared" ca="1" si="11"/>
        <v>0.44999999999999996</v>
      </c>
      <c r="AF50" s="494">
        <f t="shared" ca="1" si="11"/>
        <v>0.49999999999999994</v>
      </c>
      <c r="AG50" s="494">
        <f ca="1">IF($A50="*","",IFERROR(VLOOKUP($C50,' COM_2017_old'!$B$61:$AJ$120,MATCH(VLOOKUP("*"&amp;$AX50,$A$10:$J$11,$J$9,FALSE)&amp;AG$7,' COM_2017_old'!$B$58:$AJ$58,0),FALSE),""))</f>
        <v>0.55000000000000004</v>
      </c>
      <c r="AH50" s="494">
        <f t="shared" ca="1" si="12"/>
        <v>0.61</v>
      </c>
      <c r="AI50" s="494">
        <f t="shared" ca="1" si="13"/>
        <v>0.66999999999999993</v>
      </c>
      <c r="AJ50" s="494">
        <f t="shared" ca="1" si="13"/>
        <v>0.72999999999999987</v>
      </c>
      <c r="AK50" s="494">
        <f t="shared" ca="1" si="13"/>
        <v>0.78999999999999981</v>
      </c>
      <c r="AL50" s="494">
        <f ca="1">IF($A50="*","",IFERROR(VLOOKUP($C50,' COM_2017_old'!$B$61:$AJ$120,MATCH(VLOOKUP("*"&amp;$AX50,$A$10:$J$11,$J$9,FALSE)&amp;AL$7,' COM_2017_old'!$B$58:$AJ$58,0),FALSE),""))</f>
        <v>0.85</v>
      </c>
      <c r="AM50" s="494">
        <f ca="1">IF($A50="*","",IFERROR(VLOOKUP($C50,' COM_2017_old'!$B$61:$AJ$120,MATCH(VLOOKUP("*"&amp;$AX50,$A$10:$J$11,$J$9,FALSE)&amp;AM$7,' COM_2017_old'!$B$58:$AJ$58,0),FALSE),""))</f>
        <v>0.95</v>
      </c>
      <c r="AN50" s="494">
        <f ca="1">IF($A50="*","",IFERROR(VLOOKUP($C50,' COM_2017_old'!$B$61:$AJ$120,MATCH(VLOOKUP("*"&amp;$AX50,$A$10:$J$11,$J$9,FALSE)&amp;AN$7,' COM_2017_old'!$B$58:$AJ$58,0),FALSE),""))</f>
        <v>1</v>
      </c>
      <c r="AO50" s="391" t="str">
        <f ca="1">IFERROR(VLOOKUP($C50,COM_2012!$B$61:$AH$120,MATCH(VLOOKUP("*"&amp;$AX50,$A$10:$J$11,$J$9,FALSE)&amp;AO$7,COM_2012!$B$58:$AH$58,0),FALSE),"")</f>
        <v/>
      </c>
      <c r="AP50" s="391" t="str">
        <f ca="1">IFERROR(VLOOKUP($C50,COM_2012!$B$61:$AH$120,MATCH(VLOOKUP("*"&amp;$AX50,$A$10:$J$11,$J$9,FALSE)&amp;AP$7,COM_2012!$B$58:$AH$58,0),FALSE),"")</f>
        <v/>
      </c>
      <c r="AQ50" s="391" t="str">
        <f ca="1">IFERROR(VLOOKUP($C50,COM_2012!$B$61:$AH$120,MATCH(VLOOKUP("*"&amp;$AX50,$A$10:$J$11,$J$9,FALSE)&amp;AQ$7,COM_2012!$B$58:$AH$58,0),FALSE),"")</f>
        <v/>
      </c>
      <c r="AR50" s="391" t="str">
        <f ca="1">IFERROR(VLOOKUP($C50,COM_2012!$B$61:$AH$120,MATCH(VLOOKUP("*"&amp;$AX50,$A$10:$J$11,$J$9,FALSE)&amp;AR$7,COM_2012!$B$58:$AH$58,0),FALSE),"")</f>
        <v/>
      </c>
      <c r="AS50" s="391" t="str">
        <f ca="1">IFERROR(VLOOKUP($C50,COM_2012!$B$61:$AH$120,MATCH(VLOOKUP("*"&amp;$AX50,$A$10:$J$11,$J$9,FALSE)&amp;AS$7,COM_2012!$B$58:$AH$58,0),FALSE),"")</f>
        <v/>
      </c>
      <c r="AT50" s="391" t="str">
        <f ca="1">IFERROR(VLOOKUP($C50,COM_2012!$B$61:$AH$120,MATCH(VLOOKUP("*"&amp;$AX50,$A$10:$J$11,$J$9,FALSE)&amp;AT$7,COM_2012!$B$58:$AH$58,0),FALSE),"")</f>
        <v/>
      </c>
      <c r="AU50" s="391" t="str">
        <f ca="1">IFERROR(VLOOKUP($C50,COM_2012!$B$61:$AH$120,MATCH(VLOOKUP("*"&amp;$AX50,$A$10:$J$11,$J$9,FALSE)&amp;AU$7,COM_2012!$B$58:$AH$58,0),FALSE),"")</f>
        <v/>
      </c>
      <c r="AV50" s="391" t="str">
        <f ca="1">IFERROR(VLOOKUP($C50,COM_2012!$B$61:$AH$120,MATCH(VLOOKUP("*"&amp;$AX50,$A$10:$J$11,$J$9,FALSE)&amp;AV$7,COM_2012!$B$58:$AH$58,0),FALSE),"")</f>
        <v/>
      </c>
      <c r="AW50" s="391" t="str">
        <f ca="1">IFERROR(VLOOKUP($C50,COM_2012!$B$61:$AH$120,MATCH(VLOOKUP("*"&amp;$AX50,$A$10:$J$11,$J$9,FALSE)&amp;AW$7,COM_2012!$B$58:$AH$58,0),FALSE),"")</f>
        <v/>
      </c>
      <c r="AX50" s="304">
        <f>IF(AY49=COM_2012!$AI$121,AX49+1,AX49)</f>
        <v>1</v>
      </c>
      <c r="AY50" s="304">
        <f t="shared" si="15"/>
        <v>38</v>
      </c>
    </row>
    <row r="51" spans="1:51">
      <c r="A51" s="304" t="str">
        <f ca="1">IF(LEFT(OFFSET(COM_2012!$A$60,AY51,0),2)="\I","*","")</f>
        <v/>
      </c>
      <c r="B51" s="369" t="str">
        <f t="shared" ca="1" si="19"/>
        <v>FLO_MRKPRD</v>
      </c>
      <c r="C51" s="369" t="str">
        <f ca="1">IF($A51="*","",OFFSET(COM_2012!$B$60,AY51,0))</f>
        <v>CEWELCHP-N</v>
      </c>
      <c r="D51" s="369" t="str">
        <f t="shared" ca="1" si="14"/>
        <v>CEW</v>
      </c>
      <c r="E51" s="369" t="str">
        <f t="shared" ca="1" si="16"/>
        <v>-</v>
      </c>
      <c r="F51" s="370" t="str">
        <f t="shared" ca="1" si="17"/>
        <v>-</v>
      </c>
      <c r="G51" s="370" t="str">
        <f t="shared" ca="1" si="17"/>
        <v>ANNUAL</v>
      </c>
      <c r="H51" s="370" t="str">
        <f t="shared" ca="1" si="18"/>
        <v>UP</v>
      </c>
      <c r="I51" s="370">
        <f t="shared" ca="1" si="18"/>
        <v>0</v>
      </c>
      <c r="J51" s="494" t="str">
        <f>IF(J$7&lt;2020,"",IF(A51="*","",IFERROR(VLOOKUP($C51,COM_2012!$B$61:$AH$120,MATCH(VLOOKUP("*"&amp;$AX51,$A$10:$J$11,$J$9,FALSE)&amp;J$7,COM_2012!$B$58:$AH$58,0),FALSE),"")))</f>
        <v/>
      </c>
      <c r="K51" s="494" t="str">
        <f>IF(K$7&lt;2020,"",IF(B51="*","",IFERROR(VLOOKUP($C51,COM_2012!$B$61:$AH$120,MATCH(VLOOKUP("*"&amp;$AX51,$A$10:$J$11,$J$9,FALSE)&amp;K$7,COM_2012!$B$58:$AH$58,0),FALSE),"")))</f>
        <v/>
      </c>
      <c r="L51" s="494" t="str">
        <f>IF(L$7&lt;2020,"",IF(C51="*","",IFERROR(VLOOKUP($C51,COM_2012!$B$61:$AH$120,MATCH(VLOOKUP("*"&amp;$AX51,$A$10:$J$11,$J$9,FALSE)&amp;L$7,COM_2012!$B$58:$AH$58,0),FALSE),"")))</f>
        <v/>
      </c>
      <c r="M51" s="494" t="str">
        <f>IF(M$7&lt;2020,"",IF(D51="*","",IFERROR(VLOOKUP($C51,COM_2012!$B$61:$AH$120,MATCH(VLOOKUP("*"&amp;$AX51,$A$10:$J$11,$J$9,FALSE)&amp;M$7,COM_2012!$B$58:$AH$58,0),FALSE),"")))</f>
        <v/>
      </c>
      <c r="N51" s="494" t="str">
        <f ca="1">IFERROR(VLOOKUP($C51,COM_2012!$B$61:$AH$120,MATCH(VLOOKUP("*"&amp;$AX51,$A$10:$J$11,$J$9,FALSE)&amp;N$7,COM_2012!$B$58:$AH$58,0),FALSE),"")</f>
        <v/>
      </c>
      <c r="O51" s="494" t="str">
        <f>IF(O$7&lt;2020,"",IF($A51="*","",IFERROR(VLOOKUP($C51,' COM_2017_old'!$B$61:$AJ$120,MATCH(VLOOKUP("*"&amp;$AX51,$A$10:$J$11,$J$9,FALSE)&amp;O$7,' COM_2017_old'!$B$58:$AJ$58,0),FALSE),"")))</f>
        <v/>
      </c>
      <c r="P51" s="494" t="str">
        <f ca="1">IFERROR(VLOOKUP($C51,COM_2012!$B$61:$AH$120,MATCH(VLOOKUP("*"&amp;$AX51,$A$10:$J$11,$J$9,FALSE)&amp;P$7,COM_2012!$B$58:$AH$58,0),FALSE),"")</f>
        <v/>
      </c>
      <c r="Q51" s="494" t="str">
        <f ca="1">IFERROR(VLOOKUP($C51,COM_2012!$B$61:$AH$120,MATCH(VLOOKUP("*"&amp;$AX51,$A$10:$J$11,$J$9,FALSE)&amp;Q$7,COM_2012!$B$58:$AH$58,0),FALSE),"")</f>
        <v/>
      </c>
      <c r="R51" s="494">
        <f ca="1">IF($A51="*","",IFERROR(VLOOKUP($C51,' COM_2017_old'!$B$61:$AJ$120,MATCH(VLOOKUP("*"&amp;$AX51,$A$10:$J$11,$J$9,FALSE)&amp;R$7,' COM_2017_old'!$B$58:$AJ$58,0),FALSE),""))</f>
        <v>0.03</v>
      </c>
      <c r="S51" s="494">
        <f t="shared" ca="1" si="6"/>
        <v>4.3999999999999997E-2</v>
      </c>
      <c r="T51" s="494">
        <f t="shared" ca="1" si="7"/>
        <v>5.7999999999999996E-2</v>
      </c>
      <c r="U51" s="494">
        <f t="shared" ca="1" si="7"/>
        <v>7.1999999999999995E-2</v>
      </c>
      <c r="V51" s="494">
        <f t="shared" ca="1" si="7"/>
        <v>8.5999999999999993E-2</v>
      </c>
      <c r="W51" s="494">
        <f ca="1">IF($A51="*","",IFERROR(VLOOKUP($C51,' COM_2017_old'!$B$61:$AJ$120,MATCH(VLOOKUP("*"&amp;$AX51,$A$10:$J$11,$J$9,FALSE)&amp;W$7,' COM_2017_old'!$B$58:$AJ$58,0),FALSE),""))</f>
        <v>0.1</v>
      </c>
      <c r="X51" s="494">
        <f t="shared" ca="1" si="8"/>
        <v>0.14000000000000001</v>
      </c>
      <c r="Y51" s="494">
        <f t="shared" ca="1" si="9"/>
        <v>0.18</v>
      </c>
      <c r="Z51" s="494">
        <f t="shared" ca="1" si="9"/>
        <v>0.21999999999999997</v>
      </c>
      <c r="AA51" s="494">
        <f t="shared" ca="1" si="9"/>
        <v>0.25999999999999995</v>
      </c>
      <c r="AB51" s="494">
        <f ca="1">IF($A51="*","",IFERROR(VLOOKUP($C51,' COM_2017_old'!$B$61:$AJ$120,MATCH(VLOOKUP("*"&amp;$AX51,$A$10:$J$11,$J$9,FALSE)&amp;AB$7,' COM_2017_old'!$B$58:$AJ$58,0),FALSE),""))</f>
        <v>0.3</v>
      </c>
      <c r="AC51" s="494">
        <f t="shared" ca="1" si="10"/>
        <v>0.35</v>
      </c>
      <c r="AD51" s="494">
        <f t="shared" ca="1" si="11"/>
        <v>0.39999999999999997</v>
      </c>
      <c r="AE51" s="494">
        <f t="shared" ca="1" si="11"/>
        <v>0.44999999999999996</v>
      </c>
      <c r="AF51" s="494">
        <f t="shared" ca="1" si="11"/>
        <v>0.49999999999999994</v>
      </c>
      <c r="AG51" s="494">
        <f ca="1">IF($A51="*","",IFERROR(VLOOKUP($C51,' COM_2017_old'!$B$61:$AJ$120,MATCH(VLOOKUP("*"&amp;$AX51,$A$10:$J$11,$J$9,FALSE)&amp;AG$7,' COM_2017_old'!$B$58:$AJ$58,0),FALSE),""))</f>
        <v>0.55000000000000004</v>
      </c>
      <c r="AH51" s="494">
        <f t="shared" ca="1" si="12"/>
        <v>0.61</v>
      </c>
      <c r="AI51" s="494">
        <f t="shared" ca="1" si="13"/>
        <v>0.66999999999999993</v>
      </c>
      <c r="AJ51" s="494">
        <f t="shared" ca="1" si="13"/>
        <v>0.72999999999999987</v>
      </c>
      <c r="AK51" s="494">
        <f t="shared" ca="1" si="13"/>
        <v>0.78999999999999981</v>
      </c>
      <c r="AL51" s="494">
        <f ca="1">IF($A51="*","",IFERROR(VLOOKUP($C51,' COM_2017_old'!$B$61:$AJ$120,MATCH(VLOOKUP("*"&amp;$AX51,$A$10:$J$11,$J$9,FALSE)&amp;AL$7,' COM_2017_old'!$B$58:$AJ$58,0),FALSE),""))</f>
        <v>0.85</v>
      </c>
      <c r="AM51" s="494">
        <f ca="1">IF($A51="*","",IFERROR(VLOOKUP($C51,' COM_2017_old'!$B$61:$AJ$120,MATCH(VLOOKUP("*"&amp;$AX51,$A$10:$J$11,$J$9,FALSE)&amp;AM$7,' COM_2017_old'!$B$58:$AJ$58,0),FALSE),""))</f>
        <v>0.95</v>
      </c>
      <c r="AN51" s="494">
        <f ca="1">IF($A51="*","",IFERROR(VLOOKUP($C51,' COM_2017_old'!$B$61:$AJ$120,MATCH(VLOOKUP("*"&amp;$AX51,$A$10:$J$11,$J$9,FALSE)&amp;AN$7,' COM_2017_old'!$B$58:$AJ$58,0),FALSE),""))</f>
        <v>1</v>
      </c>
      <c r="AO51" s="391" t="str">
        <f ca="1">IFERROR(VLOOKUP($C51,COM_2012!$B$61:$AH$120,MATCH(VLOOKUP("*"&amp;$AX51,$A$10:$J$11,$J$9,FALSE)&amp;AO$7,COM_2012!$B$58:$AH$58,0),FALSE),"")</f>
        <v/>
      </c>
      <c r="AP51" s="391" t="str">
        <f ca="1">IFERROR(VLOOKUP($C51,COM_2012!$B$61:$AH$120,MATCH(VLOOKUP("*"&amp;$AX51,$A$10:$J$11,$J$9,FALSE)&amp;AP$7,COM_2012!$B$58:$AH$58,0),FALSE),"")</f>
        <v/>
      </c>
      <c r="AQ51" s="391" t="str">
        <f ca="1">IFERROR(VLOOKUP($C51,COM_2012!$B$61:$AH$120,MATCH(VLOOKUP("*"&amp;$AX51,$A$10:$J$11,$J$9,FALSE)&amp;AQ$7,COM_2012!$B$58:$AH$58,0),FALSE),"")</f>
        <v/>
      </c>
      <c r="AR51" s="391" t="str">
        <f ca="1">IFERROR(VLOOKUP($C51,COM_2012!$B$61:$AH$120,MATCH(VLOOKUP("*"&amp;$AX51,$A$10:$J$11,$J$9,FALSE)&amp;AR$7,COM_2012!$B$58:$AH$58,0),FALSE),"")</f>
        <v/>
      </c>
      <c r="AS51" s="391" t="str">
        <f ca="1">IFERROR(VLOOKUP($C51,COM_2012!$B$61:$AH$120,MATCH(VLOOKUP("*"&amp;$AX51,$A$10:$J$11,$J$9,FALSE)&amp;AS$7,COM_2012!$B$58:$AH$58,0),FALSE),"")</f>
        <v/>
      </c>
      <c r="AT51" s="391" t="str">
        <f ca="1">IFERROR(VLOOKUP($C51,COM_2012!$B$61:$AH$120,MATCH(VLOOKUP("*"&amp;$AX51,$A$10:$J$11,$J$9,FALSE)&amp;AT$7,COM_2012!$B$58:$AH$58,0),FALSE),"")</f>
        <v/>
      </c>
      <c r="AU51" s="391" t="str">
        <f ca="1">IFERROR(VLOOKUP($C51,COM_2012!$B$61:$AH$120,MATCH(VLOOKUP("*"&amp;$AX51,$A$10:$J$11,$J$9,FALSE)&amp;AU$7,COM_2012!$B$58:$AH$58,0),FALSE),"")</f>
        <v/>
      </c>
      <c r="AV51" s="391" t="str">
        <f ca="1">IFERROR(VLOOKUP($C51,COM_2012!$B$61:$AH$120,MATCH(VLOOKUP("*"&amp;$AX51,$A$10:$J$11,$J$9,FALSE)&amp;AV$7,COM_2012!$B$58:$AH$58,0),FALSE),"")</f>
        <v/>
      </c>
      <c r="AW51" s="391" t="str">
        <f ca="1">IFERROR(VLOOKUP($C51,COM_2012!$B$61:$AH$120,MATCH(VLOOKUP("*"&amp;$AX51,$A$10:$J$11,$J$9,FALSE)&amp;AW$7,COM_2012!$B$58:$AH$58,0),FALSE),"")</f>
        <v/>
      </c>
      <c r="AX51" s="304">
        <f>IF(AY50=COM_2012!$AI$121,AX50+1,AX50)</f>
        <v>1</v>
      </c>
      <c r="AY51" s="304">
        <f t="shared" si="15"/>
        <v>39</v>
      </c>
    </row>
    <row r="52" spans="1:51">
      <c r="A52" s="304" t="str">
        <f ca="1">IF(LEFT(OFFSET(COM_2012!$A$60,AY52,0),2)="\I","*","")</f>
        <v>*</v>
      </c>
      <c r="B52" s="369" t="str">
        <f t="shared" ca="1" si="19"/>
        <v/>
      </c>
      <c r="C52" s="369" t="str">
        <f ca="1">IF($A52="*","",OFFSET(COM_2012!$B$60,AY52,0))</f>
        <v/>
      </c>
      <c r="D52" s="369" t="str">
        <f t="shared" ca="1" si="14"/>
        <v/>
      </c>
      <c r="E52" s="369" t="str">
        <f t="shared" ca="1" si="16"/>
        <v/>
      </c>
      <c r="F52" s="370" t="str">
        <f t="shared" ca="1" si="17"/>
        <v/>
      </c>
      <c r="G52" s="370" t="str">
        <f t="shared" ca="1" si="17"/>
        <v/>
      </c>
      <c r="H52" s="370" t="str">
        <f t="shared" ca="1" si="18"/>
        <v/>
      </c>
      <c r="I52" s="370" t="str">
        <f t="shared" ca="1" si="18"/>
        <v/>
      </c>
      <c r="J52" s="494" t="str">
        <f>IF(J$7&lt;2020,"",IF(A52="*","",IFERROR(VLOOKUP($C52,COM_2012!$B$61:$AH$120,MATCH(VLOOKUP("*"&amp;$AX52,$A$10:$J$11,$J$9,FALSE)&amp;J$7,COM_2012!$B$58:$AH$58,0),FALSE),"")))</f>
        <v/>
      </c>
      <c r="K52" s="494" t="str">
        <f>IF(K$7&lt;2020,"",IF(B52="*","",IFERROR(VLOOKUP($C52,COM_2012!$B$61:$AH$120,MATCH(VLOOKUP("*"&amp;$AX52,$A$10:$J$11,$J$9,FALSE)&amp;K$7,COM_2012!$B$58:$AH$58,0),FALSE),"")))</f>
        <v/>
      </c>
      <c r="L52" s="494" t="str">
        <f>IF(L$7&lt;2020,"",IF(C52="*","",IFERROR(VLOOKUP($C52,COM_2012!$B$61:$AH$120,MATCH(VLOOKUP("*"&amp;$AX52,$A$10:$J$11,$J$9,FALSE)&amp;L$7,COM_2012!$B$58:$AH$58,0),FALSE),"")))</f>
        <v/>
      </c>
      <c r="M52" s="494" t="str">
        <f>IF(M$7&lt;2020,"",IF(D52="*","",IFERROR(VLOOKUP($C52,COM_2012!$B$61:$AH$120,MATCH(VLOOKUP("*"&amp;$AX52,$A$10:$J$11,$J$9,FALSE)&amp;M$7,COM_2012!$B$58:$AH$58,0),FALSE),"")))</f>
        <v/>
      </c>
      <c r="N52" s="494" t="str">
        <f ca="1">IFERROR(VLOOKUP($C52,COM_2012!$B$61:$AH$120,MATCH(VLOOKUP("*"&amp;$AX52,$A$10:$J$11,$J$9,FALSE)&amp;N$7,COM_2012!$B$58:$AH$58,0),FALSE),"")</f>
        <v/>
      </c>
      <c r="O52" s="494" t="str">
        <f>IF(O$7&lt;2020,"",IF($A52="*","",IFERROR(VLOOKUP($C52,' COM_2017_old'!$B$61:$AJ$120,MATCH(VLOOKUP("*"&amp;$AX52,$A$10:$J$11,$J$9,FALSE)&amp;O$7,' COM_2017_old'!$B$58:$AJ$58,0),FALSE),"")))</f>
        <v/>
      </c>
      <c r="P52" s="494" t="str">
        <f ca="1">IFERROR(VLOOKUP($C52,COM_2012!$B$61:$AH$120,MATCH(VLOOKUP("*"&amp;$AX52,$A$10:$J$11,$J$9,FALSE)&amp;P$7,COM_2012!$B$58:$AH$58,0),FALSE),"")</f>
        <v/>
      </c>
      <c r="Q52" s="494" t="str">
        <f ca="1">IFERROR(VLOOKUP($C52,COM_2012!$B$61:$AH$120,MATCH(VLOOKUP("*"&amp;$AX52,$A$10:$J$11,$J$9,FALSE)&amp;Q$7,COM_2012!$B$58:$AH$58,0),FALSE),"")</f>
        <v/>
      </c>
      <c r="R52" s="494" t="str">
        <f ca="1">IF($A52="*","",IFERROR(VLOOKUP($C52,' COM_2017_old'!$B$61:$AJ$120,MATCH(VLOOKUP("*"&amp;$AX52,$A$10:$J$11,$J$9,FALSE)&amp;R$7,' COM_2017_old'!$B$58:$AJ$58,0),FALSE),""))</f>
        <v/>
      </c>
      <c r="S52" s="494" t="str">
        <f ca="1">IFERROR(VLOOKUP($C52,COM_2012!$B$61:$AH$120,MATCH(VLOOKUP("*"&amp;$AX52,$A$10:$J$11,$J$9,FALSE)&amp;S$7,COM_2012!$B$58:$AH$58,0),FALSE),"")</f>
        <v/>
      </c>
      <c r="T52" s="494" t="str">
        <f ca="1">IFERROR(VLOOKUP($C52,COM_2012!$B$61:$AH$120,MATCH(VLOOKUP("*"&amp;$AX52,$A$10:$J$11,$J$9,FALSE)&amp;T$7,COM_2012!$B$58:$AH$58,0),FALSE),"")</f>
        <v/>
      </c>
      <c r="U52" s="494" t="str">
        <f ca="1">IFERROR(VLOOKUP($C52,COM_2012!$B$61:$AH$120,MATCH(VLOOKUP("*"&amp;$AX52,$A$10:$J$11,$J$9,FALSE)&amp;U$7,COM_2012!$B$58:$AH$58,0),FALSE),"")</f>
        <v/>
      </c>
      <c r="V52" s="494" t="str">
        <f ca="1">IFERROR(VLOOKUP($C52,COM_2012!$B$61:$AH$120,MATCH(VLOOKUP("*"&amp;$AX52,$A$10:$J$11,$J$9,FALSE)&amp;V$7,COM_2012!$B$58:$AH$58,0),FALSE),"")</f>
        <v/>
      </c>
      <c r="W52" s="494" t="str">
        <f ca="1">IF($A52="*","",IFERROR(VLOOKUP($C52,' COM_2017_old'!$B$61:$AJ$120,MATCH(VLOOKUP("*"&amp;$AX52,$A$10:$J$11,$J$9,FALSE)&amp;W$7,' COM_2017_old'!$B$58:$AJ$58,0),FALSE),""))</f>
        <v/>
      </c>
      <c r="X52" s="494" t="str">
        <f ca="1">IFERROR(VLOOKUP($C52,COM_2012!$B$61:$AH$120,MATCH(VLOOKUP("*"&amp;$AX52,$A$10:$J$11,$J$9,FALSE)&amp;X$7,COM_2012!$B$58:$AH$58,0),FALSE),"")</f>
        <v/>
      </c>
      <c r="Y52" s="494" t="str">
        <f ca="1">IFERROR(VLOOKUP($C52,COM_2012!$B$61:$AH$120,MATCH(VLOOKUP("*"&amp;$AX52,$A$10:$J$11,$J$9,FALSE)&amp;Y$7,COM_2012!$B$58:$AH$58,0),FALSE),"")</f>
        <v/>
      </c>
      <c r="Z52" s="494" t="str">
        <f ca="1">IFERROR(VLOOKUP($C52,COM_2012!$B$61:$AH$120,MATCH(VLOOKUP("*"&amp;$AX52,$A$10:$J$11,$J$9,FALSE)&amp;Z$7,COM_2012!$B$58:$AH$58,0),FALSE),"")</f>
        <v/>
      </c>
      <c r="AA52" s="494" t="str">
        <f ca="1">IFERROR(VLOOKUP($C52,COM_2012!$B$61:$AH$120,MATCH(VLOOKUP("*"&amp;$AX52,$A$10:$J$11,$J$9,FALSE)&amp;AA$7,COM_2012!$B$58:$AH$58,0),FALSE),"")</f>
        <v/>
      </c>
      <c r="AB52" s="494" t="str">
        <f ca="1">IF($A52="*","",IFERROR(VLOOKUP($C52,' COM_2017_old'!$B$61:$AJ$120,MATCH(VLOOKUP("*"&amp;$AX52,$A$10:$J$11,$J$9,FALSE)&amp;AB$7,' COM_2017_old'!$B$58:$AJ$58,0),FALSE),""))</f>
        <v/>
      </c>
      <c r="AC52" s="494" t="str">
        <f ca="1">IFERROR(VLOOKUP($C52,COM_2012!$B$61:$AH$120,MATCH(VLOOKUP("*"&amp;$AX52,$A$10:$J$11,$J$9,FALSE)&amp;AC$7,COM_2012!$B$58:$AH$58,0),FALSE),"")</f>
        <v/>
      </c>
      <c r="AD52" s="391" t="str">
        <f ca="1">IFERROR(VLOOKUP($C52,COM_2012!$B$61:$AH$120,MATCH(VLOOKUP("*"&amp;$AX52,$A$10:$J$11,$J$9,FALSE)&amp;AD$7,COM_2012!$B$58:$AH$58,0),FALSE),"")</f>
        <v/>
      </c>
      <c r="AE52" s="391" t="str">
        <f ca="1">IFERROR(VLOOKUP($C52,COM_2012!$B$61:$AH$120,MATCH(VLOOKUP("*"&amp;$AX52,$A$10:$J$11,$J$9,FALSE)&amp;AE$7,COM_2012!$B$58:$AH$58,0),FALSE),"")</f>
        <v/>
      </c>
      <c r="AF52" s="391" t="str">
        <f ca="1">IFERROR(VLOOKUP($C52,COM_2012!$B$61:$AH$120,MATCH(VLOOKUP("*"&amp;$AX52,$A$10:$J$11,$J$9,FALSE)&amp;AF$7,COM_2012!$B$58:$AH$58,0),FALSE),"")</f>
        <v/>
      </c>
      <c r="AG52" s="494" t="str">
        <f ca="1">IF($A52="*","",IFERROR(VLOOKUP($C52,' COM_2017_old'!$B$61:$AJ$120,MATCH(VLOOKUP("*"&amp;$AX52,$A$10:$J$11,$J$9,FALSE)&amp;AG$7,' COM_2017_old'!$B$58:$AJ$58,0),FALSE),""))</f>
        <v/>
      </c>
      <c r="AH52" s="391" t="str">
        <f ca="1">IFERROR(VLOOKUP($C52,COM_2012!$B$61:$AH$120,MATCH(VLOOKUP("*"&amp;$AX52,$A$10:$J$11,$J$9,FALSE)&amp;AH$7,COM_2012!$B$58:$AH$58,0),FALSE),"")</f>
        <v/>
      </c>
      <c r="AI52" s="391" t="str">
        <f ca="1">IFERROR(VLOOKUP($C52,COM_2012!$B$61:$AH$120,MATCH(VLOOKUP("*"&amp;$AX52,$A$10:$J$11,$J$9,FALSE)&amp;AI$7,COM_2012!$B$58:$AH$58,0),FALSE),"")</f>
        <v/>
      </c>
      <c r="AJ52" s="391" t="str">
        <f ca="1">IFERROR(VLOOKUP($C52,COM_2012!$B$61:$AH$120,MATCH(VLOOKUP("*"&amp;$AX52,$A$10:$J$11,$J$9,FALSE)&amp;AJ$7,COM_2012!$B$58:$AH$58,0),FALSE),"")</f>
        <v/>
      </c>
      <c r="AK52" s="391" t="str">
        <f ca="1">IFERROR(VLOOKUP($C52,COM_2012!$B$61:$AH$120,MATCH(VLOOKUP("*"&amp;$AX52,$A$10:$J$11,$J$9,FALSE)&amp;AK$7,COM_2012!$B$58:$AH$58,0),FALSE),"")</f>
        <v/>
      </c>
      <c r="AL52" s="494" t="str">
        <f ca="1">IF($A52="*","",IFERROR(VLOOKUP($C52,' COM_2017_old'!$B$61:$AJ$120,MATCH(VLOOKUP("*"&amp;$AX52,$A$10:$J$11,$J$9,FALSE)&amp;AL$7,' COM_2017_old'!$B$58:$AJ$58,0),FALSE),""))</f>
        <v/>
      </c>
      <c r="AM52" s="494" t="str">
        <f ca="1">IF($A52="*","",IFERROR(VLOOKUP($C52,' COM_2017_old'!$B$61:$AJ$120,MATCH(VLOOKUP("*"&amp;$AX52,$A$10:$J$11,$J$9,FALSE)&amp;AM$7,' COM_2017_old'!$B$58:$AJ$58,0),FALSE),""))</f>
        <v/>
      </c>
      <c r="AN52" s="494" t="str">
        <f ca="1">IF($A52="*","",IFERROR(VLOOKUP($C52,' COM_2017_old'!$B$61:$AJ$120,MATCH(VLOOKUP("*"&amp;$AX52,$A$10:$J$11,$J$9,FALSE)&amp;AN$7,' COM_2017_old'!$B$58:$AJ$58,0),FALSE),""))</f>
        <v/>
      </c>
      <c r="AO52" s="391" t="str">
        <f ca="1">IFERROR(VLOOKUP($C52,COM_2012!$B$61:$AH$120,MATCH(VLOOKUP("*"&amp;$AX52,$A$10:$J$11,$J$9,FALSE)&amp;AO$7,COM_2012!$B$58:$AH$58,0),FALSE),"")</f>
        <v/>
      </c>
      <c r="AP52" s="391" t="str">
        <f ca="1">IFERROR(VLOOKUP($C52,COM_2012!$B$61:$AH$120,MATCH(VLOOKUP("*"&amp;$AX52,$A$10:$J$11,$J$9,FALSE)&amp;AP$7,COM_2012!$B$58:$AH$58,0),FALSE),"")</f>
        <v/>
      </c>
      <c r="AQ52" s="391" t="str">
        <f ca="1">IFERROR(VLOOKUP($C52,COM_2012!$B$61:$AH$120,MATCH(VLOOKUP("*"&amp;$AX52,$A$10:$J$11,$J$9,FALSE)&amp;AQ$7,COM_2012!$B$58:$AH$58,0),FALSE),"")</f>
        <v/>
      </c>
      <c r="AR52" s="391" t="str">
        <f ca="1">IFERROR(VLOOKUP($C52,COM_2012!$B$61:$AH$120,MATCH(VLOOKUP("*"&amp;$AX52,$A$10:$J$11,$J$9,FALSE)&amp;AR$7,COM_2012!$B$58:$AH$58,0),FALSE),"")</f>
        <v/>
      </c>
      <c r="AS52" s="391" t="str">
        <f ca="1">IFERROR(VLOOKUP($C52,COM_2012!$B$61:$AH$120,MATCH(VLOOKUP("*"&amp;$AX52,$A$10:$J$11,$J$9,FALSE)&amp;AS$7,COM_2012!$B$58:$AH$58,0),FALSE),"")</f>
        <v/>
      </c>
      <c r="AT52" s="391" t="str">
        <f ca="1">IFERROR(VLOOKUP($C52,COM_2012!$B$61:$AH$120,MATCH(VLOOKUP("*"&amp;$AX52,$A$10:$J$11,$J$9,FALSE)&amp;AT$7,COM_2012!$B$58:$AH$58,0),FALSE),"")</f>
        <v/>
      </c>
      <c r="AU52" s="391" t="str">
        <f ca="1">IFERROR(VLOOKUP($C52,COM_2012!$B$61:$AH$120,MATCH(VLOOKUP("*"&amp;$AX52,$A$10:$J$11,$J$9,FALSE)&amp;AU$7,COM_2012!$B$58:$AH$58,0),FALSE),"")</f>
        <v/>
      </c>
      <c r="AV52" s="391" t="str">
        <f ca="1">IFERROR(VLOOKUP($C52,COM_2012!$B$61:$AH$120,MATCH(VLOOKUP("*"&amp;$AX52,$A$10:$J$11,$J$9,FALSE)&amp;AV$7,COM_2012!$B$58:$AH$58,0),FALSE),"")</f>
        <v/>
      </c>
      <c r="AW52" s="391" t="str">
        <f ca="1">IFERROR(VLOOKUP($C52,COM_2012!$B$61:$AH$120,MATCH(VLOOKUP("*"&amp;$AX52,$A$10:$J$11,$J$9,FALSE)&amp;AW$7,COM_2012!$B$58:$AH$58,0),FALSE),"")</f>
        <v/>
      </c>
      <c r="AX52" s="304">
        <f>IF(AY51=COM_2012!$AI$121,AX51+1,AX51)</f>
        <v>1</v>
      </c>
      <c r="AY52" s="304">
        <f t="shared" si="15"/>
        <v>40</v>
      </c>
    </row>
    <row r="53" spans="1:51">
      <c r="A53" s="304" t="str">
        <f ca="1">IF(LEFT(OFFSET(COM_2012!$A$60,AY53,0),2)="\I","*","")</f>
        <v>*</v>
      </c>
      <c r="B53" s="369" t="str">
        <f t="shared" ca="1" si="19"/>
        <v/>
      </c>
      <c r="C53" s="369" t="str">
        <f ca="1">IF($A53="*","",OFFSET(COM_2012!$B$60,AY53,0))</f>
        <v/>
      </c>
      <c r="D53" s="369" t="str">
        <f t="shared" ca="1" si="14"/>
        <v/>
      </c>
      <c r="E53" s="369" t="str">
        <f t="shared" ref="E53:E72" ca="1" si="20">IF($A53="*","",VLOOKUP($B53,$B$10:$I$11,E$9,FALSE))</f>
        <v/>
      </c>
      <c r="F53" s="370" t="str">
        <f t="shared" ca="1" si="17"/>
        <v/>
      </c>
      <c r="G53" s="370" t="str">
        <f t="shared" ca="1" si="17"/>
        <v/>
      </c>
      <c r="H53" s="370" t="str">
        <f t="shared" ref="H53:I72" ca="1" si="21">IF($A53="*","",VLOOKUP("*"&amp;$AX53,$A$10:$I$11,H$9,FALSE))</f>
        <v/>
      </c>
      <c r="I53" s="370" t="str">
        <f t="shared" ca="1" si="21"/>
        <v/>
      </c>
      <c r="J53" s="494" t="str">
        <f>IF(J$7&lt;2020,"",IF(A53="*","",IFERROR(VLOOKUP($C53,COM_2012!$B$61:$AH$120,MATCH(VLOOKUP("*"&amp;$AX53,$A$10:$J$11,$J$9,FALSE)&amp;J$7,COM_2012!$B$58:$AH$58,0),FALSE),"")))</f>
        <v/>
      </c>
      <c r="K53" s="494" t="str">
        <f>IF(K$7&lt;2020,"",IF(B53="*","",IFERROR(VLOOKUP($C53,COM_2012!$B$61:$AH$120,MATCH(VLOOKUP("*"&amp;$AX53,$A$10:$J$11,$J$9,FALSE)&amp;K$7,COM_2012!$B$58:$AH$58,0),FALSE),"")))</f>
        <v/>
      </c>
      <c r="L53" s="494" t="str">
        <f>IF(L$7&lt;2020,"",IF(C53="*","",IFERROR(VLOOKUP($C53,COM_2012!$B$61:$AH$120,MATCH(VLOOKUP("*"&amp;$AX53,$A$10:$J$11,$J$9,FALSE)&amp;L$7,COM_2012!$B$58:$AH$58,0),FALSE),"")))</f>
        <v/>
      </c>
      <c r="M53" s="494" t="str">
        <f>IF(M$7&lt;2020,"",IF(D53="*","",IFERROR(VLOOKUP($C53,COM_2012!$B$61:$AH$120,MATCH(VLOOKUP("*"&amp;$AX53,$A$10:$J$11,$J$9,FALSE)&amp;M$7,COM_2012!$B$58:$AH$58,0),FALSE),"")))</f>
        <v/>
      </c>
      <c r="N53" s="494" t="str">
        <f ca="1">IFERROR(VLOOKUP($C53,COM_2012!$B$61:$AH$120,MATCH(VLOOKUP("*"&amp;$AX53,$A$10:$J$11,$J$9,FALSE)&amp;N$7,COM_2012!$B$58:$AH$58,0),FALSE),"")</f>
        <v/>
      </c>
      <c r="O53" s="494" t="str">
        <f>IF(O$7&lt;2020,"",IF($A53="*","",IFERROR(VLOOKUP($C53,' COM_2017_old'!$B$61:$AJ$120,MATCH(VLOOKUP("*"&amp;$AX53,$A$10:$J$11,$J$9,FALSE)&amp;O$7,' COM_2017_old'!$B$58:$AJ$58,0),FALSE),"")))</f>
        <v/>
      </c>
      <c r="P53" s="494" t="str">
        <f ca="1">IFERROR(VLOOKUP($C53,COM_2012!$B$61:$AH$120,MATCH(VLOOKUP("*"&amp;$AX53,$A$10:$J$11,$J$9,FALSE)&amp;P$7,COM_2012!$B$58:$AH$58,0),FALSE),"")</f>
        <v/>
      </c>
      <c r="Q53" s="494" t="str">
        <f ca="1">IFERROR(VLOOKUP($C53,COM_2012!$B$61:$AH$120,MATCH(VLOOKUP("*"&amp;$AX53,$A$10:$J$11,$J$9,FALSE)&amp;Q$7,COM_2012!$B$58:$AH$58,0),FALSE),"")</f>
        <v/>
      </c>
      <c r="R53" s="494" t="str">
        <f ca="1">IF($A53="*","",IFERROR(VLOOKUP($C53,' COM_2017_old'!$B$61:$AJ$120,MATCH(VLOOKUP("*"&amp;$AX53,$A$10:$J$11,$J$9,FALSE)&amp;R$7,' COM_2017_old'!$B$58:$AJ$58,0),FALSE),""))</f>
        <v/>
      </c>
      <c r="S53" s="494" t="str">
        <f ca="1">IFERROR(VLOOKUP($C53,COM_2012!$B$61:$AH$120,MATCH(VLOOKUP("*"&amp;$AX53,$A$10:$J$11,$J$9,FALSE)&amp;S$7,COM_2012!$B$58:$AH$58,0),FALSE),"")</f>
        <v/>
      </c>
      <c r="T53" s="494" t="str">
        <f ca="1">IFERROR(VLOOKUP($C53,COM_2012!$B$61:$AH$120,MATCH(VLOOKUP("*"&amp;$AX53,$A$10:$J$11,$J$9,FALSE)&amp;T$7,COM_2012!$B$58:$AH$58,0),FALSE),"")</f>
        <v/>
      </c>
      <c r="U53" s="494" t="str">
        <f ca="1">IFERROR(VLOOKUP($C53,COM_2012!$B$61:$AH$120,MATCH(VLOOKUP("*"&amp;$AX53,$A$10:$J$11,$J$9,FALSE)&amp;U$7,COM_2012!$B$58:$AH$58,0),FALSE),"")</f>
        <v/>
      </c>
      <c r="V53" s="494" t="str">
        <f ca="1">IFERROR(VLOOKUP($C53,COM_2012!$B$61:$AH$120,MATCH(VLOOKUP("*"&amp;$AX53,$A$10:$J$11,$J$9,FALSE)&amp;V$7,COM_2012!$B$58:$AH$58,0),FALSE),"")</f>
        <v/>
      </c>
      <c r="W53" s="494" t="str">
        <f ca="1">IF($A53="*","",IFERROR(VLOOKUP($C53,' COM_2017_old'!$B$61:$AJ$120,MATCH(VLOOKUP("*"&amp;$AX53,$A$10:$J$11,$J$9,FALSE)&amp;W$7,' COM_2017_old'!$B$58:$AJ$58,0),FALSE),""))</f>
        <v/>
      </c>
      <c r="X53" s="494" t="str">
        <f ca="1">IFERROR(VLOOKUP($C53,COM_2012!$B$61:$AH$120,MATCH(VLOOKUP("*"&amp;$AX53,$A$10:$J$11,$J$9,FALSE)&amp;X$7,COM_2012!$B$58:$AH$58,0),FALSE),"")</f>
        <v/>
      </c>
      <c r="Y53" s="494" t="str">
        <f ca="1">IFERROR(VLOOKUP($C53,COM_2012!$B$61:$AH$120,MATCH(VLOOKUP("*"&amp;$AX53,$A$10:$J$11,$J$9,FALSE)&amp;Y$7,COM_2012!$B$58:$AH$58,0),FALSE),"")</f>
        <v/>
      </c>
      <c r="Z53" s="494" t="str">
        <f ca="1">IFERROR(VLOOKUP($C53,COM_2012!$B$61:$AH$120,MATCH(VLOOKUP("*"&amp;$AX53,$A$10:$J$11,$J$9,FALSE)&amp;Z$7,COM_2012!$B$58:$AH$58,0),FALSE),"")</f>
        <v/>
      </c>
      <c r="AA53" s="494" t="str">
        <f ca="1">IFERROR(VLOOKUP($C53,COM_2012!$B$61:$AH$120,MATCH(VLOOKUP("*"&amp;$AX53,$A$10:$J$11,$J$9,FALSE)&amp;AA$7,COM_2012!$B$58:$AH$58,0),FALSE),"")</f>
        <v/>
      </c>
      <c r="AB53" s="494" t="str">
        <f ca="1">IF($A53="*","",IFERROR(VLOOKUP($C53,' COM_2017_old'!$B$61:$AJ$120,MATCH(VLOOKUP("*"&amp;$AX53,$A$10:$J$11,$J$9,FALSE)&amp;AB$7,' COM_2017_old'!$B$58:$AJ$58,0),FALSE),""))</f>
        <v/>
      </c>
      <c r="AC53" s="494" t="str">
        <f ca="1">IFERROR(VLOOKUP($C53,COM_2012!$B$61:$AH$120,MATCH(VLOOKUP("*"&amp;$AX53,$A$10:$J$11,$J$9,FALSE)&amp;AC$7,COM_2012!$B$58:$AH$58,0),FALSE),"")</f>
        <v/>
      </c>
      <c r="AD53" s="391" t="str">
        <f ca="1">IFERROR(VLOOKUP($C53,COM_2012!$B$61:$AH$120,MATCH(VLOOKUP("*"&amp;$AX53,$A$10:$J$11,$J$9,FALSE)&amp;AD$7,COM_2012!$B$58:$AH$58,0),FALSE),"")</f>
        <v/>
      </c>
      <c r="AE53" s="391" t="str">
        <f ca="1">IFERROR(VLOOKUP($C53,COM_2012!$B$61:$AH$120,MATCH(VLOOKUP("*"&amp;$AX53,$A$10:$J$11,$J$9,FALSE)&amp;AE$7,COM_2012!$B$58:$AH$58,0),FALSE),"")</f>
        <v/>
      </c>
      <c r="AF53" s="391" t="str">
        <f ca="1">IFERROR(VLOOKUP($C53,COM_2012!$B$61:$AH$120,MATCH(VLOOKUP("*"&amp;$AX53,$A$10:$J$11,$J$9,FALSE)&amp;AF$7,COM_2012!$B$58:$AH$58,0),FALSE),"")</f>
        <v/>
      </c>
      <c r="AG53" s="494" t="str">
        <f ca="1">IF($A53="*","",IFERROR(VLOOKUP($C53,' COM_2017_old'!$B$61:$AJ$120,MATCH(VLOOKUP("*"&amp;$AX53,$A$10:$J$11,$J$9,FALSE)&amp;AG$7,' COM_2017_old'!$B$58:$AJ$58,0),FALSE),""))</f>
        <v/>
      </c>
      <c r="AH53" s="391" t="str">
        <f ca="1">IFERROR(VLOOKUP($C53,COM_2012!$B$61:$AH$120,MATCH(VLOOKUP("*"&amp;$AX53,$A$10:$J$11,$J$9,FALSE)&amp;AH$7,COM_2012!$B$58:$AH$58,0),FALSE),"")</f>
        <v/>
      </c>
      <c r="AI53" s="391" t="str">
        <f ca="1">IFERROR(VLOOKUP($C53,COM_2012!$B$61:$AH$120,MATCH(VLOOKUP("*"&amp;$AX53,$A$10:$J$11,$J$9,FALSE)&amp;AI$7,COM_2012!$B$58:$AH$58,0),FALSE),"")</f>
        <v/>
      </c>
      <c r="AJ53" s="391" t="str">
        <f ca="1">IFERROR(VLOOKUP($C53,COM_2012!$B$61:$AH$120,MATCH(VLOOKUP("*"&amp;$AX53,$A$10:$J$11,$J$9,FALSE)&amp;AJ$7,COM_2012!$B$58:$AH$58,0),FALSE),"")</f>
        <v/>
      </c>
      <c r="AK53" s="391" t="str">
        <f ca="1">IFERROR(VLOOKUP($C53,COM_2012!$B$61:$AH$120,MATCH(VLOOKUP("*"&amp;$AX53,$A$10:$J$11,$J$9,FALSE)&amp;AK$7,COM_2012!$B$58:$AH$58,0),FALSE),"")</f>
        <v/>
      </c>
      <c r="AL53" s="494" t="str">
        <f ca="1">IF($A53="*","",IFERROR(VLOOKUP($C53,' COM_2017_old'!$B$61:$AJ$120,MATCH(VLOOKUP("*"&amp;$AX53,$A$10:$J$11,$J$9,FALSE)&amp;AL$7,' COM_2017_old'!$B$58:$AJ$58,0),FALSE),""))</f>
        <v/>
      </c>
      <c r="AM53" s="494" t="str">
        <f ca="1">IF($A53="*","",IFERROR(VLOOKUP($C53,' COM_2017_old'!$B$61:$AJ$120,MATCH(VLOOKUP("*"&amp;$AX53,$A$10:$J$11,$J$9,FALSE)&amp;AM$7,' COM_2017_old'!$B$58:$AJ$58,0),FALSE),""))</f>
        <v/>
      </c>
      <c r="AN53" s="494" t="str">
        <f ca="1">IF($A53="*","",IFERROR(VLOOKUP($C53,' COM_2017_old'!$B$61:$AJ$120,MATCH(VLOOKUP("*"&amp;$AX53,$A$10:$J$11,$J$9,FALSE)&amp;AN$7,' COM_2017_old'!$B$58:$AJ$58,0),FALSE),""))</f>
        <v/>
      </c>
      <c r="AO53" s="391" t="str">
        <f ca="1">IFERROR(VLOOKUP($C53,COM_2012!$B$61:$AH$120,MATCH(VLOOKUP("*"&amp;$AX53,$A$10:$J$11,$J$9,FALSE)&amp;AO$7,COM_2012!$B$58:$AH$58,0),FALSE),"")</f>
        <v/>
      </c>
      <c r="AP53" s="391" t="str">
        <f ca="1">IFERROR(VLOOKUP($C53,COM_2012!$B$61:$AH$120,MATCH(VLOOKUP("*"&amp;$AX53,$A$10:$J$11,$J$9,FALSE)&amp;AP$7,COM_2012!$B$58:$AH$58,0),FALSE),"")</f>
        <v/>
      </c>
      <c r="AQ53" s="391" t="str">
        <f ca="1">IFERROR(VLOOKUP($C53,COM_2012!$B$61:$AH$120,MATCH(VLOOKUP("*"&amp;$AX53,$A$10:$J$11,$J$9,FALSE)&amp;AQ$7,COM_2012!$B$58:$AH$58,0),FALSE),"")</f>
        <v/>
      </c>
      <c r="AR53" s="391" t="str">
        <f ca="1">IFERROR(VLOOKUP($C53,COM_2012!$B$61:$AH$120,MATCH(VLOOKUP("*"&amp;$AX53,$A$10:$J$11,$J$9,FALSE)&amp;AR$7,COM_2012!$B$58:$AH$58,0),FALSE),"")</f>
        <v/>
      </c>
      <c r="AS53" s="391" t="str">
        <f ca="1">IFERROR(VLOOKUP($C53,COM_2012!$B$61:$AH$120,MATCH(VLOOKUP("*"&amp;$AX53,$A$10:$J$11,$J$9,FALSE)&amp;AS$7,COM_2012!$B$58:$AH$58,0),FALSE),"")</f>
        <v/>
      </c>
      <c r="AT53" s="391" t="str">
        <f ca="1">IFERROR(VLOOKUP($C53,COM_2012!$B$61:$AH$120,MATCH(VLOOKUP("*"&amp;$AX53,$A$10:$J$11,$J$9,FALSE)&amp;AT$7,COM_2012!$B$58:$AH$58,0),FALSE),"")</f>
        <v/>
      </c>
      <c r="AU53" s="391" t="str">
        <f ca="1">IFERROR(VLOOKUP($C53,COM_2012!$B$61:$AH$120,MATCH(VLOOKUP("*"&amp;$AX53,$A$10:$J$11,$J$9,FALSE)&amp;AU$7,COM_2012!$B$58:$AH$58,0),FALSE),"")</f>
        <v/>
      </c>
      <c r="AV53" s="391" t="str">
        <f ca="1">IFERROR(VLOOKUP($C53,COM_2012!$B$61:$AH$120,MATCH(VLOOKUP("*"&amp;$AX53,$A$10:$J$11,$J$9,FALSE)&amp;AV$7,COM_2012!$B$58:$AH$58,0),FALSE),"")</f>
        <v/>
      </c>
      <c r="AW53" s="391" t="str">
        <f ca="1">IFERROR(VLOOKUP($C53,COM_2012!$B$61:$AH$120,MATCH(VLOOKUP("*"&amp;$AX53,$A$10:$J$11,$J$9,FALSE)&amp;AW$7,COM_2012!$B$58:$AH$58,0),FALSE),"")</f>
        <v/>
      </c>
      <c r="AX53" s="304">
        <f>IF(AY52=COM_2012!$AI$121,AX52+1,AX52)</f>
        <v>1</v>
      </c>
      <c r="AY53" s="304">
        <f t="shared" si="15"/>
        <v>41</v>
      </c>
    </row>
    <row r="54" spans="1:51">
      <c r="A54" s="304" t="str">
        <f ca="1">IF(LEFT(OFFSET(COM_2012!$A$60,AY54,0),2)="\I","*","")</f>
        <v/>
      </c>
      <c r="B54" s="369" t="str">
        <f t="shared" ca="1" si="19"/>
        <v>FLO_MRKPRD</v>
      </c>
      <c r="C54" s="369" t="str">
        <f ca="1">IF($A54="*","",OFFSET(COM_2012!$B$60,AY54,0))</f>
        <v>CEGELCINC-E</v>
      </c>
      <c r="D54" s="369" t="str">
        <f t="shared" ca="1" si="14"/>
        <v>CEG</v>
      </c>
      <c r="E54" s="369" t="str">
        <f t="shared" ca="1" si="20"/>
        <v>-</v>
      </c>
      <c r="F54" s="370" t="str">
        <f t="shared" ca="1" si="17"/>
        <v>-</v>
      </c>
      <c r="G54" s="370" t="str">
        <f t="shared" ca="1" si="17"/>
        <v>ANNUAL</v>
      </c>
      <c r="H54" s="370" t="str">
        <f t="shared" ca="1" si="21"/>
        <v>UP</v>
      </c>
      <c r="I54" s="370">
        <f t="shared" ca="1" si="21"/>
        <v>0</v>
      </c>
      <c r="J54" s="494" t="str">
        <f>IF(J$7&lt;2020,"",IF(A54="*","",IFERROR(VLOOKUP($C54,COM_2012!$B$61:$AH$120,MATCH(VLOOKUP("*"&amp;$AX54,$A$10:$J$11,$J$9,FALSE)&amp;J$7,COM_2012!$B$58:$AH$58,0),FALSE),"")))</f>
        <v/>
      </c>
      <c r="K54" s="494" t="str">
        <f>IF(K$7&lt;2020,"",IF(B54="*","",IFERROR(VLOOKUP($C54,COM_2012!$B$61:$AH$120,MATCH(VLOOKUP("*"&amp;$AX54,$A$10:$J$11,$J$9,FALSE)&amp;K$7,COM_2012!$B$58:$AH$58,0),FALSE),"")))</f>
        <v/>
      </c>
      <c r="L54" s="494" t="str">
        <f>IF(L$7&lt;2020,"",IF(C54="*","",IFERROR(VLOOKUP($C54,COM_2012!$B$61:$AH$120,MATCH(VLOOKUP("*"&amp;$AX54,$A$10:$J$11,$J$9,FALSE)&amp;L$7,COM_2012!$B$58:$AH$58,0),FALSE),"")))</f>
        <v/>
      </c>
      <c r="M54" s="494" t="str">
        <f>IF(M$7&lt;2020,"",IF(D54="*","",IFERROR(VLOOKUP($C54,COM_2012!$B$61:$AH$120,MATCH(VLOOKUP("*"&amp;$AX54,$A$10:$J$11,$J$9,FALSE)&amp;M$7,COM_2012!$B$58:$AH$58,0),FALSE),"")))</f>
        <v/>
      </c>
      <c r="N54" s="494" t="str">
        <f ca="1">IFERROR(VLOOKUP($C54,COM_2012!$B$61:$AH$120,MATCH(VLOOKUP("*"&amp;$AX54,$A$10:$J$11,$J$9,FALSE)&amp;N$7,COM_2012!$B$58:$AH$58,0),FALSE),"")</f>
        <v/>
      </c>
      <c r="O54" s="494" t="str">
        <f>IF(O$7&lt;2020,"",IF($A54="*","",IFERROR(VLOOKUP($C54,' COM_2017_old'!$B$61:$AJ$120,MATCH(VLOOKUP("*"&amp;$AX54,$A$10:$J$11,$J$9,FALSE)&amp;O$7,' COM_2017_old'!$B$58:$AJ$58,0),FALSE),"")))</f>
        <v/>
      </c>
      <c r="P54" s="494" t="str">
        <f ca="1">IFERROR(VLOOKUP($C54,COM_2012!$B$61:$AH$120,MATCH(VLOOKUP("*"&amp;$AX54,$A$10:$J$11,$J$9,FALSE)&amp;P$7,COM_2012!$B$58:$AH$58,0),FALSE),"")</f>
        <v/>
      </c>
      <c r="Q54" s="494" t="str">
        <f ca="1">IFERROR(VLOOKUP($C54,COM_2012!$B$61:$AH$120,MATCH(VLOOKUP("*"&amp;$AX54,$A$10:$J$11,$J$9,FALSE)&amp;Q$7,COM_2012!$B$58:$AH$58,0),FALSE),"")</f>
        <v/>
      </c>
      <c r="R54" s="494">
        <f ca="1">IF($A54="*","",IFERROR(VLOOKUP($C54,' COM_2017_old'!$B$61:$AJ$120,MATCH(VLOOKUP("*"&amp;$AX54,$A$10:$J$11,$J$9,FALSE)&amp;R$7,' COM_2017_old'!$B$58:$AJ$58,0),FALSE),""))</f>
        <v>1.4671510186260122E-2</v>
      </c>
      <c r="S54" s="494">
        <f t="shared" ref="S54:S59" ca="1" si="22">IF($A54="*","",R54+($W54-$R54)/5)</f>
        <v>1.4671510186260122E-2</v>
      </c>
      <c r="T54" s="494">
        <f t="shared" ref="T54:V59" ca="1" si="23">IF($A54="*","",S54+($W54-$R54)/5)</f>
        <v>1.4671510186260122E-2</v>
      </c>
      <c r="U54" s="494">
        <f t="shared" ca="1" si="23"/>
        <v>1.4671510186260122E-2</v>
      </c>
      <c r="V54" s="494">
        <f t="shared" ca="1" si="23"/>
        <v>1.4671510186260122E-2</v>
      </c>
      <c r="W54" s="494">
        <f ca="1">IF($A54="*","",IFERROR(VLOOKUP($C54,' COM_2017_old'!$B$61:$AJ$120,MATCH(VLOOKUP("*"&amp;$AX54,$A$10:$J$11,$J$9,FALSE)&amp;W$7,' COM_2017_old'!$B$58:$AJ$58,0),FALSE),""))</f>
        <v>1.4671510186260122E-2</v>
      </c>
      <c r="X54" s="494">
        <f t="shared" ref="X54:X59" ca="1" si="24">IF($A54="*","",W54+($AB54-$W54)/5)</f>
        <v>1.4671510186260122E-2</v>
      </c>
      <c r="Y54" s="494">
        <f t="shared" ref="Y54:AA59" ca="1" si="25">IF($A54="*","",X54+($AB54-$W54)/5)</f>
        <v>1.4671510186260122E-2</v>
      </c>
      <c r="Z54" s="494">
        <f t="shared" ca="1" si="25"/>
        <v>1.4671510186260122E-2</v>
      </c>
      <c r="AA54" s="494">
        <f t="shared" ca="1" si="25"/>
        <v>1.4671510186260122E-2</v>
      </c>
      <c r="AB54" s="494">
        <f ca="1">IF($A54="*","",IFERROR(VLOOKUP($C54,' COM_2017_old'!$B$61:$AJ$120,MATCH(VLOOKUP("*"&amp;$AX54,$A$10:$J$11,$J$9,FALSE)&amp;AB$7,' COM_2017_old'!$B$58:$AJ$58,0),FALSE),""))</f>
        <v>1.4671510186260122E-2</v>
      </c>
      <c r="AC54" s="494">
        <f t="shared" ref="AC54:AC59" ca="1" si="26">IF($A54="*","",AB54+($AG54-$AB54)/5)</f>
        <v>1.4671510186260122E-2</v>
      </c>
      <c r="AD54" s="494">
        <f t="shared" ref="AD54:AF59" ca="1" si="27">IF($A54="*","",AC54+($AG54-$AB54)/5)</f>
        <v>1.4671510186260122E-2</v>
      </c>
      <c r="AE54" s="494">
        <f t="shared" ca="1" si="27"/>
        <v>1.4671510186260122E-2</v>
      </c>
      <c r="AF54" s="494">
        <f t="shared" ca="1" si="27"/>
        <v>1.4671510186260122E-2</v>
      </c>
      <c r="AG54" s="494">
        <f ca="1">IF($A54="*","",IFERROR(VLOOKUP($C54,' COM_2017_old'!$B$61:$AJ$120,MATCH(VLOOKUP("*"&amp;$AX54,$A$10:$J$11,$J$9,FALSE)&amp;AG$7,' COM_2017_old'!$B$58:$AJ$58,0),FALSE),""))</f>
        <v>1.4671510186260122E-2</v>
      </c>
      <c r="AH54" s="494">
        <f t="shared" ref="AH54:AH59" ca="1" si="28">IF($A54="*","",AG54+($AL54-$AG54)/5)</f>
        <v>1.4671510186260122E-2</v>
      </c>
      <c r="AI54" s="494">
        <f t="shared" ref="AI54:AK59" ca="1" si="29">IF($A54="*","",AH54+($AL54-$AG54)/5)</f>
        <v>1.4671510186260122E-2</v>
      </c>
      <c r="AJ54" s="494">
        <f t="shared" ca="1" si="29"/>
        <v>1.4671510186260122E-2</v>
      </c>
      <c r="AK54" s="494">
        <f t="shared" ca="1" si="29"/>
        <v>1.4671510186260122E-2</v>
      </c>
      <c r="AL54" s="494">
        <f ca="1">IF($A54="*","",IFERROR(VLOOKUP($C54,' COM_2017_old'!$B$61:$AJ$120,MATCH(VLOOKUP("*"&amp;$AX54,$A$10:$J$11,$J$9,FALSE)&amp;AL$7,' COM_2017_old'!$B$58:$AJ$58,0),FALSE),""))</f>
        <v>1.4671510186260122E-2</v>
      </c>
      <c r="AM54" s="494">
        <f ca="1">IF($A54="*","",IFERROR(VLOOKUP($C54,' COM_2017_old'!$B$61:$AJ$120,MATCH(VLOOKUP("*"&amp;$AX54,$A$10:$J$11,$J$9,FALSE)&amp;AM$7,' COM_2017_old'!$B$58:$AJ$58,0),FALSE),""))</f>
        <v>1.4671510186260122E-2</v>
      </c>
      <c r="AN54" s="494">
        <f ca="1">IF($A54="*","",IFERROR(VLOOKUP($C54,' COM_2017_old'!$B$61:$AJ$120,MATCH(VLOOKUP("*"&amp;$AX54,$A$10:$J$11,$J$9,FALSE)&amp;AN$7,' COM_2017_old'!$B$58:$AJ$58,0),FALSE),""))</f>
        <v>1.4671510186260122E-2</v>
      </c>
      <c r="AO54" s="391" t="str">
        <f ca="1">IFERROR(VLOOKUP($C54,COM_2012!$B$61:$AH$120,MATCH(VLOOKUP("*"&amp;$AX54,$A$10:$J$11,$J$9,FALSE)&amp;AO$7,COM_2012!$B$58:$AH$58,0),FALSE),"")</f>
        <v/>
      </c>
      <c r="AP54" s="391" t="str">
        <f ca="1">IFERROR(VLOOKUP($C54,COM_2012!$B$61:$AH$120,MATCH(VLOOKUP("*"&amp;$AX54,$A$10:$J$11,$J$9,FALSE)&amp;AP$7,COM_2012!$B$58:$AH$58,0),FALSE),"")</f>
        <v/>
      </c>
      <c r="AQ54" s="391" t="str">
        <f ca="1">IFERROR(VLOOKUP($C54,COM_2012!$B$61:$AH$120,MATCH(VLOOKUP("*"&amp;$AX54,$A$10:$J$11,$J$9,FALSE)&amp;AQ$7,COM_2012!$B$58:$AH$58,0),FALSE),"")</f>
        <v/>
      </c>
      <c r="AR54" s="391" t="str">
        <f ca="1">IFERROR(VLOOKUP($C54,COM_2012!$B$61:$AH$120,MATCH(VLOOKUP("*"&amp;$AX54,$A$10:$J$11,$J$9,FALSE)&amp;AR$7,COM_2012!$B$58:$AH$58,0),FALSE),"")</f>
        <v/>
      </c>
      <c r="AS54" s="391" t="str">
        <f ca="1">IFERROR(VLOOKUP($C54,COM_2012!$B$61:$AH$120,MATCH(VLOOKUP("*"&amp;$AX54,$A$10:$J$11,$J$9,FALSE)&amp;AS$7,COM_2012!$B$58:$AH$58,0),FALSE),"")</f>
        <v/>
      </c>
      <c r="AT54" s="391" t="str">
        <f ca="1">IFERROR(VLOOKUP($C54,COM_2012!$B$61:$AH$120,MATCH(VLOOKUP("*"&amp;$AX54,$A$10:$J$11,$J$9,FALSE)&amp;AT$7,COM_2012!$B$58:$AH$58,0),FALSE),"")</f>
        <v/>
      </c>
      <c r="AU54" s="391" t="str">
        <f ca="1">IFERROR(VLOOKUP($C54,COM_2012!$B$61:$AH$120,MATCH(VLOOKUP("*"&amp;$AX54,$A$10:$J$11,$J$9,FALSE)&amp;AU$7,COM_2012!$B$58:$AH$58,0),FALSE),"")</f>
        <v/>
      </c>
      <c r="AV54" s="391" t="str">
        <f ca="1">IFERROR(VLOOKUP($C54,COM_2012!$B$61:$AH$120,MATCH(VLOOKUP("*"&amp;$AX54,$A$10:$J$11,$J$9,FALSE)&amp;AV$7,COM_2012!$B$58:$AH$58,0),FALSE),"")</f>
        <v/>
      </c>
      <c r="AW54" s="391" t="str">
        <f ca="1">IFERROR(VLOOKUP($C54,COM_2012!$B$61:$AH$120,MATCH(VLOOKUP("*"&amp;$AX54,$A$10:$J$11,$J$9,FALSE)&amp;AW$7,COM_2012!$B$58:$AH$58,0),FALSE),"")</f>
        <v/>
      </c>
      <c r="AX54" s="304">
        <f>IF(AY53=COM_2012!$AI$121,AX53+1,AX53)</f>
        <v>1</v>
      </c>
      <c r="AY54" s="304">
        <f t="shared" si="15"/>
        <v>42</v>
      </c>
    </row>
    <row r="55" spans="1:51">
      <c r="A55" s="304" t="str">
        <f ca="1">IF(LEFT(OFFSET(COM_2012!$A$60,AY55,0),2)="\I","*","")</f>
        <v/>
      </c>
      <c r="B55" s="369" t="str">
        <f t="shared" ca="1" si="19"/>
        <v>FLO_MRKPRD</v>
      </c>
      <c r="C55" s="369" t="str">
        <f ca="1">IF($A55="*","",OFFSET(COM_2012!$B$60,AY55,0))</f>
        <v>CEGELCHAL-E</v>
      </c>
      <c r="D55" s="369" t="str">
        <f t="shared" ca="1" si="14"/>
        <v>CEG</v>
      </c>
      <c r="E55" s="369" t="str">
        <f t="shared" ca="1" si="20"/>
        <v>-</v>
      </c>
      <c r="F55" s="370" t="str">
        <f t="shared" ca="1" si="17"/>
        <v>-</v>
      </c>
      <c r="G55" s="370" t="str">
        <f t="shared" ca="1" si="17"/>
        <v>ANNUAL</v>
      </c>
      <c r="H55" s="370" t="str">
        <f t="shared" ca="1" si="21"/>
        <v>UP</v>
      </c>
      <c r="I55" s="370">
        <f t="shared" ca="1" si="21"/>
        <v>0</v>
      </c>
      <c r="J55" s="494" t="str">
        <f>IF(J$7&lt;2020,"",IF(A55="*","",IFERROR(VLOOKUP($C55,COM_2012!$B$61:$AH$120,MATCH(VLOOKUP("*"&amp;$AX55,$A$10:$J$11,$J$9,FALSE)&amp;J$7,COM_2012!$B$58:$AH$58,0),FALSE),"")))</f>
        <v/>
      </c>
      <c r="K55" s="494" t="str">
        <f>IF(K$7&lt;2020,"",IF(B55="*","",IFERROR(VLOOKUP($C55,COM_2012!$B$61:$AH$120,MATCH(VLOOKUP("*"&amp;$AX55,$A$10:$J$11,$J$9,FALSE)&amp;K$7,COM_2012!$B$58:$AH$58,0),FALSE),"")))</f>
        <v/>
      </c>
      <c r="L55" s="494" t="str">
        <f>IF(L$7&lt;2020,"",IF(C55="*","",IFERROR(VLOOKUP($C55,COM_2012!$B$61:$AH$120,MATCH(VLOOKUP("*"&amp;$AX55,$A$10:$J$11,$J$9,FALSE)&amp;L$7,COM_2012!$B$58:$AH$58,0),FALSE),"")))</f>
        <v/>
      </c>
      <c r="M55" s="494" t="str">
        <f>IF(M$7&lt;2020,"",IF(D55="*","",IFERROR(VLOOKUP($C55,COM_2012!$B$61:$AH$120,MATCH(VLOOKUP("*"&amp;$AX55,$A$10:$J$11,$J$9,FALSE)&amp;M$7,COM_2012!$B$58:$AH$58,0),FALSE),"")))</f>
        <v/>
      </c>
      <c r="N55" s="494" t="str">
        <f ca="1">IFERROR(VLOOKUP($C55,COM_2012!$B$61:$AH$120,MATCH(VLOOKUP("*"&amp;$AX55,$A$10:$J$11,$J$9,FALSE)&amp;N$7,COM_2012!$B$58:$AH$58,0),FALSE),"")</f>
        <v/>
      </c>
      <c r="O55" s="494" t="str">
        <f>IF(O$7&lt;2020,"",IF($A55="*","",IFERROR(VLOOKUP($C55,' COM_2017_old'!$B$61:$AJ$120,MATCH(VLOOKUP("*"&amp;$AX55,$A$10:$J$11,$J$9,FALSE)&amp;O$7,' COM_2017_old'!$B$58:$AJ$58,0),FALSE),"")))</f>
        <v/>
      </c>
      <c r="P55" s="494" t="str">
        <f ca="1">IFERROR(VLOOKUP($C55,COM_2012!$B$61:$AH$120,MATCH(VLOOKUP("*"&amp;$AX55,$A$10:$J$11,$J$9,FALSE)&amp;P$7,COM_2012!$B$58:$AH$58,0),FALSE),"")</f>
        <v/>
      </c>
      <c r="Q55" s="494" t="str">
        <f ca="1">IFERROR(VLOOKUP($C55,COM_2012!$B$61:$AH$120,MATCH(VLOOKUP("*"&amp;$AX55,$A$10:$J$11,$J$9,FALSE)&amp;Q$7,COM_2012!$B$58:$AH$58,0),FALSE),"")</f>
        <v/>
      </c>
      <c r="R55" s="494">
        <f ca="1">IF($A55="*","",IFERROR(VLOOKUP($C55,' COM_2017_old'!$B$61:$AJ$120,MATCH(VLOOKUP("*"&amp;$AX55,$A$10:$J$11,$J$9,FALSE)&amp;R$7,' COM_2017_old'!$B$58:$AJ$58,0),FALSE),""))</f>
        <v>5.9343020372520247E-2</v>
      </c>
      <c r="S55" s="494">
        <f t="shared" ca="1" si="22"/>
        <v>7.3343020372520246E-2</v>
      </c>
      <c r="T55" s="494">
        <f t="shared" ca="1" si="23"/>
        <v>8.7343020372520244E-2</v>
      </c>
      <c r="U55" s="494">
        <f t="shared" ca="1" si="23"/>
        <v>0.10134302037252024</v>
      </c>
      <c r="V55" s="494">
        <f t="shared" ca="1" si="23"/>
        <v>0.11534302037252024</v>
      </c>
      <c r="W55" s="494">
        <f ca="1">IF($A55="*","",IFERROR(VLOOKUP($C55,' COM_2017_old'!$B$61:$AJ$120,MATCH(VLOOKUP("*"&amp;$AX55,$A$10:$J$11,$J$9,FALSE)&amp;W$7,' COM_2017_old'!$B$58:$AJ$58,0),FALSE),""))</f>
        <v>0.12934302037252024</v>
      </c>
      <c r="X55" s="494">
        <f t="shared" ca="1" si="24"/>
        <v>0.16934302037252025</v>
      </c>
      <c r="Y55" s="494">
        <f t="shared" ca="1" si="25"/>
        <v>0.20934302037252023</v>
      </c>
      <c r="Z55" s="494">
        <f t="shared" ca="1" si="25"/>
        <v>0.24934302037252021</v>
      </c>
      <c r="AA55" s="494">
        <f t="shared" ca="1" si="25"/>
        <v>0.28934302037252019</v>
      </c>
      <c r="AB55" s="494">
        <f ca="1">IF($A55="*","",IFERROR(VLOOKUP($C55,' COM_2017_old'!$B$61:$AJ$120,MATCH(VLOOKUP("*"&amp;$AX55,$A$10:$J$11,$J$9,FALSE)&amp;AB$7,' COM_2017_old'!$B$58:$AJ$58,0),FALSE),""))</f>
        <v>0.32934302037252022</v>
      </c>
      <c r="AC55" s="494">
        <f t="shared" ca="1" si="26"/>
        <v>0.37934302037252021</v>
      </c>
      <c r="AD55" s="494">
        <f t="shared" ca="1" si="27"/>
        <v>0.4293430203725202</v>
      </c>
      <c r="AE55" s="494">
        <f t="shared" ca="1" si="27"/>
        <v>0.47934302037252019</v>
      </c>
      <c r="AF55" s="494">
        <f t="shared" ca="1" si="27"/>
        <v>0.52934302037252023</v>
      </c>
      <c r="AG55" s="494">
        <f ca="1">IF($A55="*","",IFERROR(VLOOKUP($C55,' COM_2017_old'!$B$61:$AJ$120,MATCH(VLOOKUP("*"&amp;$AX55,$A$10:$J$11,$J$9,FALSE)&amp;AG$7,' COM_2017_old'!$B$58:$AJ$58,0),FALSE),""))</f>
        <v>0.57934302037252028</v>
      </c>
      <c r="AH55" s="494">
        <f t="shared" ca="1" si="28"/>
        <v>0.63934302037252022</v>
      </c>
      <c r="AI55" s="494">
        <f t="shared" ca="1" si="29"/>
        <v>0.69934302037252016</v>
      </c>
      <c r="AJ55" s="494">
        <f t="shared" ca="1" si="29"/>
        <v>0.75934302037252011</v>
      </c>
      <c r="AK55" s="494">
        <f t="shared" ca="1" si="29"/>
        <v>0.81934302037252005</v>
      </c>
      <c r="AL55" s="494">
        <f ca="1">IF($A55="*","",IFERROR(VLOOKUP($C55,' COM_2017_old'!$B$61:$AJ$120,MATCH(VLOOKUP("*"&amp;$AX55,$A$10:$J$11,$J$9,FALSE)&amp;AL$7,' COM_2017_old'!$B$58:$AJ$58,0),FALSE),""))</f>
        <v>0.87934302037252021</v>
      </c>
      <c r="AM55" s="494">
        <f ca="1">IF($A55="*","",IFERROR(VLOOKUP($C55,' COM_2017_old'!$B$61:$AJ$120,MATCH(VLOOKUP("*"&amp;$AX55,$A$10:$J$11,$J$9,FALSE)&amp;AM$7,' COM_2017_old'!$B$58:$AJ$58,0),FALSE),""))</f>
        <v>0.97934302037252019</v>
      </c>
      <c r="AN55" s="494">
        <f ca="1">IF($A55="*","",IFERROR(VLOOKUP($C55,' COM_2017_old'!$B$61:$AJ$120,MATCH(VLOOKUP("*"&amp;$AX55,$A$10:$J$11,$J$9,FALSE)&amp;AN$7,' COM_2017_old'!$B$58:$AJ$58,0),FALSE),""))</f>
        <v>1</v>
      </c>
      <c r="AO55" s="391" t="str">
        <f ca="1">IFERROR(VLOOKUP($C55,COM_2012!$B$61:$AH$120,MATCH(VLOOKUP("*"&amp;$AX55,$A$10:$J$11,$J$9,FALSE)&amp;AO$7,COM_2012!$B$58:$AH$58,0),FALSE),"")</f>
        <v/>
      </c>
      <c r="AP55" s="391" t="str">
        <f ca="1">IFERROR(VLOOKUP($C55,COM_2012!$B$61:$AH$120,MATCH(VLOOKUP("*"&amp;$AX55,$A$10:$J$11,$J$9,FALSE)&amp;AP$7,COM_2012!$B$58:$AH$58,0),FALSE),"")</f>
        <v/>
      </c>
      <c r="AQ55" s="391" t="str">
        <f ca="1">IFERROR(VLOOKUP($C55,COM_2012!$B$61:$AH$120,MATCH(VLOOKUP("*"&amp;$AX55,$A$10:$J$11,$J$9,FALSE)&amp;AQ$7,COM_2012!$B$58:$AH$58,0),FALSE),"")</f>
        <v/>
      </c>
      <c r="AR55" s="391" t="str">
        <f ca="1">IFERROR(VLOOKUP($C55,COM_2012!$B$61:$AH$120,MATCH(VLOOKUP("*"&amp;$AX55,$A$10:$J$11,$J$9,FALSE)&amp;AR$7,COM_2012!$B$58:$AH$58,0),FALSE),"")</f>
        <v/>
      </c>
      <c r="AS55" s="391" t="str">
        <f ca="1">IFERROR(VLOOKUP($C55,COM_2012!$B$61:$AH$120,MATCH(VLOOKUP("*"&amp;$AX55,$A$10:$J$11,$J$9,FALSE)&amp;AS$7,COM_2012!$B$58:$AH$58,0),FALSE),"")</f>
        <v/>
      </c>
      <c r="AT55" s="391" t="str">
        <f ca="1">IFERROR(VLOOKUP($C55,COM_2012!$B$61:$AH$120,MATCH(VLOOKUP("*"&amp;$AX55,$A$10:$J$11,$J$9,FALSE)&amp;AT$7,COM_2012!$B$58:$AH$58,0),FALSE),"")</f>
        <v/>
      </c>
      <c r="AU55" s="391" t="str">
        <f ca="1">IFERROR(VLOOKUP($C55,COM_2012!$B$61:$AH$120,MATCH(VLOOKUP("*"&amp;$AX55,$A$10:$J$11,$J$9,FALSE)&amp;AU$7,COM_2012!$B$58:$AH$58,0),FALSE),"")</f>
        <v/>
      </c>
      <c r="AV55" s="391" t="str">
        <f ca="1">IFERROR(VLOOKUP($C55,COM_2012!$B$61:$AH$120,MATCH(VLOOKUP("*"&amp;$AX55,$A$10:$J$11,$J$9,FALSE)&amp;AV$7,COM_2012!$B$58:$AH$58,0),FALSE),"")</f>
        <v/>
      </c>
      <c r="AW55" s="391" t="str">
        <f ca="1">IFERROR(VLOOKUP($C55,COM_2012!$B$61:$AH$120,MATCH(VLOOKUP("*"&amp;$AX55,$A$10:$J$11,$J$9,FALSE)&amp;AW$7,COM_2012!$B$58:$AH$58,0),FALSE),"")</f>
        <v/>
      </c>
      <c r="AX55" s="304">
        <f>IF(AY54=COM_2012!$AI$121,AX54+1,AX54)</f>
        <v>1</v>
      </c>
      <c r="AY55" s="304">
        <f t="shared" si="15"/>
        <v>43</v>
      </c>
    </row>
    <row r="56" spans="1:51">
      <c r="A56" s="304" t="str">
        <f ca="1">IF(LEFT(OFFSET(COM_2012!$A$60,AY56,0),2)="\I","*","")</f>
        <v/>
      </c>
      <c r="B56" s="369" t="str">
        <f t="shared" ca="1" si="19"/>
        <v>FLO_MRKPRD</v>
      </c>
      <c r="C56" s="369" t="str">
        <f ca="1">IF($A56="*","",OFFSET(COM_2012!$B$60,AY56,0))</f>
        <v>CEGELCHPM-E</v>
      </c>
      <c r="D56" s="369" t="str">
        <f t="shared" ca="1" si="14"/>
        <v>CEG</v>
      </c>
      <c r="E56" s="369" t="str">
        <f t="shared" ca="1" si="20"/>
        <v>-</v>
      </c>
      <c r="F56" s="370" t="str">
        <f t="shared" ca="1" si="17"/>
        <v>-</v>
      </c>
      <c r="G56" s="370" t="str">
        <f t="shared" ca="1" si="17"/>
        <v>ANNUAL</v>
      </c>
      <c r="H56" s="370" t="str">
        <f t="shared" ca="1" si="21"/>
        <v>UP</v>
      </c>
      <c r="I56" s="370">
        <f t="shared" ca="1" si="21"/>
        <v>0</v>
      </c>
      <c r="J56" s="494" t="str">
        <f>IF(J$7&lt;2020,"",IF(A56="*","",IFERROR(VLOOKUP($C56,COM_2012!$B$61:$AH$120,MATCH(VLOOKUP("*"&amp;$AX56,$A$10:$J$11,$J$9,FALSE)&amp;J$7,COM_2012!$B$58:$AH$58,0),FALSE),"")))</f>
        <v/>
      </c>
      <c r="K56" s="494" t="str">
        <f>IF(K$7&lt;2020,"",IF(B56="*","",IFERROR(VLOOKUP($C56,COM_2012!$B$61:$AH$120,MATCH(VLOOKUP("*"&amp;$AX56,$A$10:$J$11,$J$9,FALSE)&amp;K$7,COM_2012!$B$58:$AH$58,0),FALSE),"")))</f>
        <v/>
      </c>
      <c r="L56" s="494" t="str">
        <f>IF(L$7&lt;2020,"",IF(C56="*","",IFERROR(VLOOKUP($C56,COM_2012!$B$61:$AH$120,MATCH(VLOOKUP("*"&amp;$AX56,$A$10:$J$11,$J$9,FALSE)&amp;L$7,COM_2012!$B$58:$AH$58,0),FALSE),"")))</f>
        <v/>
      </c>
      <c r="M56" s="494" t="str">
        <f>IF(M$7&lt;2020,"",IF(D56="*","",IFERROR(VLOOKUP($C56,COM_2012!$B$61:$AH$120,MATCH(VLOOKUP("*"&amp;$AX56,$A$10:$J$11,$J$9,FALSE)&amp;M$7,COM_2012!$B$58:$AH$58,0),FALSE),"")))</f>
        <v/>
      </c>
      <c r="N56" s="494" t="str">
        <f ca="1">IFERROR(VLOOKUP($C56,COM_2012!$B$61:$AH$120,MATCH(VLOOKUP("*"&amp;$AX56,$A$10:$J$11,$J$9,FALSE)&amp;N$7,COM_2012!$B$58:$AH$58,0),FALSE),"")</f>
        <v/>
      </c>
      <c r="O56" s="494" t="str">
        <f>IF(O$7&lt;2020,"",IF($A56="*","",IFERROR(VLOOKUP($C56,' COM_2017_old'!$B$61:$AJ$120,MATCH(VLOOKUP("*"&amp;$AX56,$A$10:$J$11,$J$9,FALSE)&amp;O$7,' COM_2017_old'!$B$58:$AJ$58,0),FALSE),"")))</f>
        <v/>
      </c>
      <c r="P56" s="494" t="str">
        <f ca="1">IFERROR(VLOOKUP($C56,COM_2012!$B$61:$AH$120,MATCH(VLOOKUP("*"&amp;$AX56,$A$10:$J$11,$J$9,FALSE)&amp;P$7,COM_2012!$B$58:$AH$58,0),FALSE),"")</f>
        <v/>
      </c>
      <c r="Q56" s="494" t="str">
        <f ca="1">IFERROR(VLOOKUP($C56,COM_2012!$B$61:$AH$120,MATCH(VLOOKUP("*"&amp;$AX56,$A$10:$J$11,$J$9,FALSE)&amp;Q$7,COM_2012!$B$58:$AH$58,0),FALSE),"")</f>
        <v/>
      </c>
      <c r="R56" s="494">
        <f ca="1">IF($A56="*","",IFERROR(VLOOKUP($C56,' COM_2017_old'!$B$61:$AJ$120,MATCH(VLOOKUP("*"&amp;$AX56,$A$10:$J$11,$J$9,FALSE)&amp;R$7,' COM_2017_old'!$B$58:$AJ$58,0),FALSE),""))</f>
        <v>0.47527677967670323</v>
      </c>
      <c r="S56" s="494">
        <f t="shared" ca="1" si="22"/>
        <v>0.48927677967670324</v>
      </c>
      <c r="T56" s="494">
        <f t="shared" ca="1" si="23"/>
        <v>0.50327677967670326</v>
      </c>
      <c r="U56" s="494">
        <f t="shared" ca="1" si="23"/>
        <v>0.51727677967670327</v>
      </c>
      <c r="V56" s="494">
        <f t="shared" ca="1" si="23"/>
        <v>0.53127677967670328</v>
      </c>
      <c r="W56" s="494">
        <f ca="1">IF($A56="*","",IFERROR(VLOOKUP($C56,' COM_2017_old'!$B$61:$AJ$120,MATCH(VLOOKUP("*"&amp;$AX56,$A$10:$J$11,$J$9,FALSE)&amp;W$7,' COM_2017_old'!$B$58:$AJ$58,0),FALSE),""))</f>
        <v>0.54527677967670318</v>
      </c>
      <c r="X56" s="494">
        <f t="shared" ca="1" si="24"/>
        <v>0.58527677967670322</v>
      </c>
      <c r="Y56" s="494">
        <f t="shared" ca="1" si="25"/>
        <v>0.62527677967670325</v>
      </c>
      <c r="Z56" s="494">
        <f t="shared" ca="1" si="25"/>
        <v>0.66527677967670329</v>
      </c>
      <c r="AA56" s="494">
        <f t="shared" ca="1" si="25"/>
        <v>0.70527677967670332</v>
      </c>
      <c r="AB56" s="494">
        <f ca="1">IF($A56="*","",IFERROR(VLOOKUP($C56,' COM_2017_old'!$B$61:$AJ$120,MATCH(VLOOKUP("*"&amp;$AX56,$A$10:$J$11,$J$9,FALSE)&amp;AB$7,' COM_2017_old'!$B$58:$AJ$58,0),FALSE),""))</f>
        <v>0.74527677967670325</v>
      </c>
      <c r="AC56" s="494">
        <f t="shared" ca="1" si="26"/>
        <v>0.79527677967670329</v>
      </c>
      <c r="AD56" s="494">
        <f t="shared" ca="1" si="27"/>
        <v>0.84527677967670334</v>
      </c>
      <c r="AE56" s="494">
        <f t="shared" ca="1" si="27"/>
        <v>0.89527677967670338</v>
      </c>
      <c r="AF56" s="494">
        <f t="shared" ca="1" si="27"/>
        <v>0.94527677967670343</v>
      </c>
      <c r="AG56" s="494">
        <f ca="1">IF($A56="*","",IFERROR(VLOOKUP($C56,' COM_2017_old'!$B$61:$AJ$120,MATCH(VLOOKUP("*"&amp;$AX56,$A$10:$J$11,$J$9,FALSE)&amp;AG$7,' COM_2017_old'!$B$58:$AJ$58,0),FALSE),""))</f>
        <v>0.99527677967670325</v>
      </c>
      <c r="AH56" s="494">
        <f t="shared" ca="1" si="28"/>
        <v>0.99622142374136258</v>
      </c>
      <c r="AI56" s="494">
        <f t="shared" ca="1" si="29"/>
        <v>0.99716606780602191</v>
      </c>
      <c r="AJ56" s="494">
        <f t="shared" ca="1" si="29"/>
        <v>0.99811071187068123</v>
      </c>
      <c r="AK56" s="494">
        <f t="shared" ca="1" si="29"/>
        <v>0.99905535593534056</v>
      </c>
      <c r="AL56" s="494">
        <f ca="1">IF($A56="*","",IFERROR(VLOOKUP($C56,' COM_2017_old'!$B$61:$AJ$120,MATCH(VLOOKUP("*"&amp;$AX56,$A$10:$J$11,$J$9,FALSE)&amp;AL$7,' COM_2017_old'!$B$58:$AJ$58,0),FALSE),""))</f>
        <v>1</v>
      </c>
      <c r="AM56" s="494">
        <f ca="1">IF($A56="*","",IFERROR(VLOOKUP($C56,' COM_2017_old'!$B$61:$AJ$120,MATCH(VLOOKUP("*"&amp;$AX56,$A$10:$J$11,$J$9,FALSE)&amp;AM$7,' COM_2017_old'!$B$58:$AJ$58,0),FALSE),""))</f>
        <v>1</v>
      </c>
      <c r="AN56" s="494">
        <f ca="1">IF($A56="*","",IFERROR(VLOOKUP($C56,' COM_2017_old'!$B$61:$AJ$120,MATCH(VLOOKUP("*"&amp;$AX56,$A$10:$J$11,$J$9,FALSE)&amp;AN$7,' COM_2017_old'!$B$58:$AJ$58,0),FALSE),""))</f>
        <v>1</v>
      </c>
      <c r="AO56" s="391" t="str">
        <f ca="1">IFERROR(VLOOKUP($C56,COM_2012!$B$61:$AH$120,MATCH(VLOOKUP("*"&amp;$AX56,$A$10:$J$11,$J$9,FALSE)&amp;AO$7,COM_2012!$B$58:$AH$58,0),FALSE),"")</f>
        <v/>
      </c>
      <c r="AP56" s="391" t="str">
        <f ca="1">IFERROR(VLOOKUP($C56,COM_2012!$B$61:$AH$120,MATCH(VLOOKUP("*"&amp;$AX56,$A$10:$J$11,$J$9,FALSE)&amp;AP$7,COM_2012!$B$58:$AH$58,0),FALSE),"")</f>
        <v/>
      </c>
      <c r="AQ56" s="391" t="str">
        <f ca="1">IFERROR(VLOOKUP($C56,COM_2012!$B$61:$AH$120,MATCH(VLOOKUP("*"&amp;$AX56,$A$10:$J$11,$J$9,FALSE)&amp;AQ$7,COM_2012!$B$58:$AH$58,0),FALSE),"")</f>
        <v/>
      </c>
      <c r="AR56" s="391" t="str">
        <f ca="1">IFERROR(VLOOKUP($C56,COM_2012!$B$61:$AH$120,MATCH(VLOOKUP("*"&amp;$AX56,$A$10:$J$11,$J$9,FALSE)&amp;AR$7,COM_2012!$B$58:$AH$58,0),FALSE),"")</f>
        <v/>
      </c>
      <c r="AS56" s="391" t="str">
        <f ca="1">IFERROR(VLOOKUP($C56,COM_2012!$B$61:$AH$120,MATCH(VLOOKUP("*"&amp;$AX56,$A$10:$J$11,$J$9,FALSE)&amp;AS$7,COM_2012!$B$58:$AH$58,0),FALSE),"")</f>
        <v/>
      </c>
      <c r="AT56" s="391" t="str">
        <f ca="1">IFERROR(VLOOKUP($C56,COM_2012!$B$61:$AH$120,MATCH(VLOOKUP("*"&amp;$AX56,$A$10:$J$11,$J$9,FALSE)&amp;AT$7,COM_2012!$B$58:$AH$58,0),FALSE),"")</f>
        <v/>
      </c>
      <c r="AU56" s="391" t="str">
        <f ca="1">IFERROR(VLOOKUP($C56,COM_2012!$B$61:$AH$120,MATCH(VLOOKUP("*"&amp;$AX56,$A$10:$J$11,$J$9,FALSE)&amp;AU$7,COM_2012!$B$58:$AH$58,0),FALSE),"")</f>
        <v/>
      </c>
      <c r="AV56" s="391" t="str">
        <f ca="1">IFERROR(VLOOKUP($C56,COM_2012!$B$61:$AH$120,MATCH(VLOOKUP("*"&amp;$AX56,$A$10:$J$11,$J$9,FALSE)&amp;AV$7,COM_2012!$B$58:$AH$58,0),FALSE),"")</f>
        <v/>
      </c>
      <c r="AW56" s="391" t="str">
        <f ca="1">IFERROR(VLOOKUP($C56,COM_2012!$B$61:$AH$120,MATCH(VLOOKUP("*"&amp;$AX56,$A$10:$J$11,$J$9,FALSE)&amp;AW$7,COM_2012!$B$58:$AH$58,0),FALSE),"")</f>
        <v/>
      </c>
      <c r="AX56" s="304">
        <f>IF(AY55=COM_2012!$AI$121,AX55+1,AX55)</f>
        <v>1</v>
      </c>
      <c r="AY56" s="304">
        <f t="shared" si="15"/>
        <v>44</v>
      </c>
    </row>
    <row r="57" spans="1:51">
      <c r="A57" s="304" t="str">
        <f ca="1">IF(LEFT(OFFSET(COM_2012!$A$60,AY57,0),2)="\I","*","")</f>
        <v/>
      </c>
      <c r="B57" s="369" t="str">
        <f t="shared" ca="1" si="19"/>
        <v>FLO_MRKPRD</v>
      </c>
      <c r="C57" s="369" t="str">
        <f ca="1">IF($A57="*","",OFFSET(COM_2012!$B$60,AY57,0))</f>
        <v>CEGELCHPS-E</v>
      </c>
      <c r="D57" s="369" t="str">
        <f t="shared" ca="1" si="14"/>
        <v>CEG</v>
      </c>
      <c r="E57" s="369" t="str">
        <f t="shared" ca="1" si="20"/>
        <v>-</v>
      </c>
      <c r="F57" s="370" t="str">
        <f t="shared" ca="1" si="17"/>
        <v>-</v>
      </c>
      <c r="G57" s="370" t="str">
        <f t="shared" ca="1" si="17"/>
        <v>ANNUAL</v>
      </c>
      <c r="H57" s="370" t="str">
        <f t="shared" ca="1" si="21"/>
        <v>UP</v>
      </c>
      <c r="I57" s="370">
        <f t="shared" ca="1" si="21"/>
        <v>0</v>
      </c>
      <c r="J57" s="494" t="str">
        <f>IF(J$7&lt;2020,"",IF(A57="*","",IFERROR(VLOOKUP($C57,COM_2012!$B$61:$AH$120,MATCH(VLOOKUP("*"&amp;$AX57,$A$10:$J$11,$J$9,FALSE)&amp;J$7,COM_2012!$B$58:$AH$58,0),FALSE),"")))</f>
        <v/>
      </c>
      <c r="K57" s="494" t="str">
        <f>IF(K$7&lt;2020,"",IF(B57="*","",IFERROR(VLOOKUP($C57,COM_2012!$B$61:$AH$120,MATCH(VLOOKUP("*"&amp;$AX57,$A$10:$J$11,$J$9,FALSE)&amp;K$7,COM_2012!$B$58:$AH$58,0),FALSE),"")))</f>
        <v/>
      </c>
      <c r="L57" s="494" t="str">
        <f>IF(L$7&lt;2020,"",IF(C57="*","",IFERROR(VLOOKUP($C57,COM_2012!$B$61:$AH$120,MATCH(VLOOKUP("*"&amp;$AX57,$A$10:$J$11,$J$9,FALSE)&amp;L$7,COM_2012!$B$58:$AH$58,0),FALSE),"")))</f>
        <v/>
      </c>
      <c r="M57" s="494" t="str">
        <f>IF(M$7&lt;2020,"",IF(D57="*","",IFERROR(VLOOKUP($C57,COM_2012!$B$61:$AH$120,MATCH(VLOOKUP("*"&amp;$AX57,$A$10:$J$11,$J$9,FALSE)&amp;M$7,COM_2012!$B$58:$AH$58,0),FALSE),"")))</f>
        <v/>
      </c>
      <c r="N57" s="494" t="str">
        <f ca="1">IFERROR(VLOOKUP($C57,COM_2012!$B$61:$AH$120,MATCH(VLOOKUP("*"&amp;$AX57,$A$10:$J$11,$J$9,FALSE)&amp;N$7,COM_2012!$B$58:$AH$58,0),FALSE),"")</f>
        <v/>
      </c>
      <c r="O57" s="494" t="str">
        <f>IF(O$7&lt;2020,"",IF($A57="*","",IFERROR(VLOOKUP($C57,' COM_2017_old'!$B$61:$AJ$120,MATCH(VLOOKUP("*"&amp;$AX57,$A$10:$J$11,$J$9,FALSE)&amp;O$7,' COM_2017_old'!$B$58:$AJ$58,0),FALSE),"")))</f>
        <v/>
      </c>
      <c r="P57" s="494" t="str">
        <f ca="1">IFERROR(VLOOKUP($C57,COM_2012!$B$61:$AH$120,MATCH(VLOOKUP("*"&amp;$AX57,$A$10:$J$11,$J$9,FALSE)&amp;P$7,COM_2012!$B$58:$AH$58,0),FALSE),"")</f>
        <v/>
      </c>
      <c r="Q57" s="494" t="str">
        <f ca="1">IFERROR(VLOOKUP($C57,COM_2012!$B$61:$AH$120,MATCH(VLOOKUP("*"&amp;$AX57,$A$10:$J$11,$J$9,FALSE)&amp;Q$7,COM_2012!$B$58:$AH$58,0),FALSE),"")</f>
        <v/>
      </c>
      <c r="R57" s="494">
        <f ca="1">IF($A57="*","",IFERROR(VLOOKUP($C57,' COM_2017_old'!$B$61:$AJ$120,MATCH(VLOOKUP("*"&amp;$AX57,$A$10:$J$11,$J$9,FALSE)&amp;R$7,' COM_2017_old'!$B$58:$AJ$58,0),FALSE),""))</f>
        <v>0.53697893957774145</v>
      </c>
      <c r="S57" s="494">
        <f t="shared" ca="1" si="22"/>
        <v>0.55097893957774147</v>
      </c>
      <c r="T57" s="494">
        <f t="shared" ca="1" si="23"/>
        <v>0.56497893957774148</v>
      </c>
      <c r="U57" s="494">
        <f t="shared" ca="1" si="23"/>
        <v>0.57897893957774149</v>
      </c>
      <c r="V57" s="494">
        <f t="shared" ca="1" si="23"/>
        <v>0.5929789395777415</v>
      </c>
      <c r="W57" s="494">
        <f ca="1">IF($A57="*","",IFERROR(VLOOKUP($C57,' COM_2017_old'!$B$61:$AJ$120,MATCH(VLOOKUP("*"&amp;$AX57,$A$10:$J$11,$J$9,FALSE)&amp;W$7,' COM_2017_old'!$B$58:$AJ$58,0),FALSE),""))</f>
        <v>0.60697893957774141</v>
      </c>
      <c r="X57" s="494">
        <f t="shared" ca="1" si="24"/>
        <v>0.64697893957774144</v>
      </c>
      <c r="Y57" s="494">
        <f t="shared" ca="1" si="25"/>
        <v>0.68697893957774148</v>
      </c>
      <c r="Z57" s="494">
        <f t="shared" ca="1" si="25"/>
        <v>0.72697893957774151</v>
      </c>
      <c r="AA57" s="494">
        <f t="shared" ca="1" si="25"/>
        <v>0.76697893957774155</v>
      </c>
      <c r="AB57" s="494">
        <f ca="1">IF($A57="*","",IFERROR(VLOOKUP($C57,' COM_2017_old'!$B$61:$AJ$120,MATCH(VLOOKUP("*"&amp;$AX57,$A$10:$J$11,$J$9,FALSE)&amp;AB$7,' COM_2017_old'!$B$58:$AJ$58,0),FALSE),""))</f>
        <v>0.80697893957774136</v>
      </c>
      <c r="AC57" s="494">
        <f t="shared" ca="1" si="26"/>
        <v>0.84558315166219311</v>
      </c>
      <c r="AD57" s="494">
        <f t="shared" ca="1" si="27"/>
        <v>0.88418736374664486</v>
      </c>
      <c r="AE57" s="494">
        <f t="shared" ca="1" si="27"/>
        <v>0.92279157583109661</v>
      </c>
      <c r="AF57" s="494">
        <f t="shared" ca="1" si="27"/>
        <v>0.96139578791554836</v>
      </c>
      <c r="AG57" s="494">
        <f ca="1">IF($A57="*","",IFERROR(VLOOKUP($C57,' COM_2017_old'!$B$61:$AJ$120,MATCH(VLOOKUP("*"&amp;$AX57,$A$10:$J$11,$J$9,FALSE)&amp;AG$7,' COM_2017_old'!$B$58:$AJ$58,0),FALSE),""))</f>
        <v>1</v>
      </c>
      <c r="AH57" s="494">
        <f t="shared" ca="1" si="28"/>
        <v>1</v>
      </c>
      <c r="AI57" s="494">
        <f t="shared" ca="1" si="29"/>
        <v>1</v>
      </c>
      <c r="AJ57" s="494">
        <f t="shared" ca="1" si="29"/>
        <v>1</v>
      </c>
      <c r="AK57" s="494">
        <f t="shared" ca="1" si="29"/>
        <v>1</v>
      </c>
      <c r="AL57" s="494">
        <f ca="1">IF($A57="*","",IFERROR(VLOOKUP($C57,' COM_2017_old'!$B$61:$AJ$120,MATCH(VLOOKUP("*"&amp;$AX57,$A$10:$J$11,$J$9,FALSE)&amp;AL$7,' COM_2017_old'!$B$58:$AJ$58,0),FALSE),""))</f>
        <v>1</v>
      </c>
      <c r="AM57" s="494">
        <f ca="1">IF($A57="*","",IFERROR(VLOOKUP($C57,' COM_2017_old'!$B$61:$AJ$120,MATCH(VLOOKUP("*"&amp;$AX57,$A$10:$J$11,$J$9,FALSE)&amp;AM$7,' COM_2017_old'!$B$58:$AJ$58,0),FALSE),""))</f>
        <v>1</v>
      </c>
      <c r="AN57" s="494">
        <f ca="1">IF($A57="*","",IFERROR(VLOOKUP($C57,' COM_2017_old'!$B$61:$AJ$120,MATCH(VLOOKUP("*"&amp;$AX57,$A$10:$J$11,$J$9,FALSE)&amp;AN$7,' COM_2017_old'!$B$58:$AJ$58,0),FALSE),""))</f>
        <v>1</v>
      </c>
      <c r="AO57" s="391" t="str">
        <f ca="1">IFERROR(VLOOKUP($C57,COM_2012!$B$61:$AH$120,MATCH(VLOOKUP("*"&amp;$AX57,$A$10:$J$11,$J$9,FALSE)&amp;AO$7,COM_2012!$B$58:$AH$58,0),FALSE),"")</f>
        <v/>
      </c>
      <c r="AP57" s="391" t="str">
        <f ca="1">IFERROR(VLOOKUP($C57,COM_2012!$B$61:$AH$120,MATCH(VLOOKUP("*"&amp;$AX57,$A$10:$J$11,$J$9,FALSE)&amp;AP$7,COM_2012!$B$58:$AH$58,0),FALSE),"")</f>
        <v/>
      </c>
      <c r="AQ57" s="391" t="str">
        <f ca="1">IFERROR(VLOOKUP($C57,COM_2012!$B$61:$AH$120,MATCH(VLOOKUP("*"&amp;$AX57,$A$10:$J$11,$J$9,FALSE)&amp;AQ$7,COM_2012!$B$58:$AH$58,0),FALSE),"")</f>
        <v/>
      </c>
      <c r="AR57" s="391" t="str">
        <f ca="1">IFERROR(VLOOKUP($C57,COM_2012!$B$61:$AH$120,MATCH(VLOOKUP("*"&amp;$AX57,$A$10:$J$11,$J$9,FALSE)&amp;AR$7,COM_2012!$B$58:$AH$58,0),FALSE),"")</f>
        <v/>
      </c>
      <c r="AS57" s="391" t="str">
        <f ca="1">IFERROR(VLOOKUP($C57,COM_2012!$B$61:$AH$120,MATCH(VLOOKUP("*"&amp;$AX57,$A$10:$J$11,$J$9,FALSE)&amp;AS$7,COM_2012!$B$58:$AH$58,0),FALSE),"")</f>
        <v/>
      </c>
      <c r="AT57" s="391" t="str">
        <f ca="1">IFERROR(VLOOKUP($C57,COM_2012!$B$61:$AH$120,MATCH(VLOOKUP("*"&amp;$AX57,$A$10:$J$11,$J$9,FALSE)&amp;AT$7,COM_2012!$B$58:$AH$58,0),FALSE),"")</f>
        <v/>
      </c>
      <c r="AU57" s="391" t="str">
        <f ca="1">IFERROR(VLOOKUP($C57,COM_2012!$B$61:$AH$120,MATCH(VLOOKUP("*"&amp;$AX57,$A$10:$J$11,$J$9,FALSE)&amp;AU$7,COM_2012!$B$58:$AH$58,0),FALSE),"")</f>
        <v/>
      </c>
      <c r="AV57" s="391" t="str">
        <f ca="1">IFERROR(VLOOKUP($C57,COM_2012!$B$61:$AH$120,MATCH(VLOOKUP("*"&amp;$AX57,$A$10:$J$11,$J$9,FALSE)&amp;AV$7,COM_2012!$B$58:$AH$58,0),FALSE),"")</f>
        <v/>
      </c>
      <c r="AW57" s="391" t="str">
        <f ca="1">IFERROR(VLOOKUP($C57,COM_2012!$B$61:$AH$120,MATCH(VLOOKUP("*"&amp;$AX57,$A$10:$J$11,$J$9,FALSE)&amp;AW$7,COM_2012!$B$58:$AH$58,0),FALSE),"")</f>
        <v/>
      </c>
      <c r="AX57" s="304">
        <f>IF(AY56=COM_2012!$AI$121,AX56+1,AX56)</f>
        <v>1</v>
      </c>
      <c r="AY57" s="304">
        <f t="shared" si="15"/>
        <v>45</v>
      </c>
    </row>
    <row r="58" spans="1:51">
      <c r="A58" s="304" t="str">
        <f ca="1">IF(LEFT(OFFSET(COM_2012!$A$60,AY58,0),2)="\I","*","")</f>
        <v/>
      </c>
      <c r="B58" s="369" t="str">
        <f t="shared" ca="1" si="19"/>
        <v>FLO_MRKPRD</v>
      </c>
      <c r="C58" s="369" t="str">
        <f ca="1">IF($A58="*","",OFFSET(COM_2012!$B$60,AY58,0))</f>
        <v>CEGELCMHL-E</v>
      </c>
      <c r="D58" s="369" t="str">
        <f t="shared" ca="1" si="14"/>
        <v>CEG</v>
      </c>
      <c r="E58" s="369" t="str">
        <f t="shared" ca="1" si="20"/>
        <v>-</v>
      </c>
      <c r="F58" s="370" t="str">
        <f t="shared" ca="1" si="17"/>
        <v>-</v>
      </c>
      <c r="G58" s="370" t="str">
        <f t="shared" ca="1" si="17"/>
        <v>ANNUAL</v>
      </c>
      <c r="H58" s="370" t="str">
        <f t="shared" ca="1" si="21"/>
        <v>UP</v>
      </c>
      <c r="I58" s="370">
        <f t="shared" ca="1" si="21"/>
        <v>0</v>
      </c>
      <c r="J58" s="494" t="str">
        <f>IF(J$7&lt;2020,"",IF(A58="*","",IFERROR(VLOOKUP($C58,COM_2012!$B$61:$AH$120,MATCH(VLOOKUP("*"&amp;$AX58,$A$10:$J$11,$J$9,FALSE)&amp;J$7,COM_2012!$B$58:$AH$58,0),FALSE),"")))</f>
        <v/>
      </c>
      <c r="K58" s="494" t="str">
        <f>IF(K$7&lt;2020,"",IF(B58="*","",IFERROR(VLOOKUP($C58,COM_2012!$B$61:$AH$120,MATCH(VLOOKUP("*"&amp;$AX58,$A$10:$J$11,$J$9,FALSE)&amp;K$7,COM_2012!$B$58:$AH$58,0),FALSE),"")))</f>
        <v/>
      </c>
      <c r="L58" s="494" t="str">
        <f>IF(L$7&lt;2020,"",IF(C58="*","",IFERROR(VLOOKUP($C58,COM_2012!$B$61:$AH$120,MATCH(VLOOKUP("*"&amp;$AX58,$A$10:$J$11,$J$9,FALSE)&amp;L$7,COM_2012!$B$58:$AH$58,0),FALSE),"")))</f>
        <v/>
      </c>
      <c r="M58" s="494" t="str">
        <f>IF(M$7&lt;2020,"",IF(D58="*","",IFERROR(VLOOKUP($C58,COM_2012!$B$61:$AH$120,MATCH(VLOOKUP("*"&amp;$AX58,$A$10:$J$11,$J$9,FALSE)&amp;M$7,COM_2012!$B$58:$AH$58,0),FALSE),"")))</f>
        <v/>
      </c>
      <c r="N58" s="494" t="str">
        <f ca="1">IFERROR(VLOOKUP($C58,COM_2012!$B$61:$AH$120,MATCH(VLOOKUP("*"&amp;$AX58,$A$10:$J$11,$J$9,FALSE)&amp;N$7,COM_2012!$B$58:$AH$58,0),FALSE),"")</f>
        <v/>
      </c>
      <c r="O58" s="494" t="str">
        <f>IF(O$7&lt;2020,"",IF($A58="*","",IFERROR(VLOOKUP($C58,' COM_2017_old'!$B$61:$AJ$120,MATCH(VLOOKUP("*"&amp;$AX58,$A$10:$J$11,$J$9,FALSE)&amp;O$7,' COM_2017_old'!$B$58:$AJ$58,0),FALSE),"")))</f>
        <v/>
      </c>
      <c r="P58" s="494" t="str">
        <f ca="1">IFERROR(VLOOKUP($C58,COM_2012!$B$61:$AH$120,MATCH(VLOOKUP("*"&amp;$AX58,$A$10:$J$11,$J$9,FALSE)&amp;P$7,COM_2012!$B$58:$AH$58,0),FALSE),"")</f>
        <v/>
      </c>
      <c r="Q58" s="494" t="str">
        <f ca="1">IFERROR(VLOOKUP($C58,COM_2012!$B$61:$AH$120,MATCH(VLOOKUP("*"&amp;$AX58,$A$10:$J$11,$J$9,FALSE)&amp;Q$7,COM_2012!$B$58:$AH$58,0),FALSE),"")</f>
        <v/>
      </c>
      <c r="R58" s="494">
        <f ca="1">IF($A58="*","",IFERROR(VLOOKUP($C58,' COM_2017_old'!$B$61:$AJ$120,MATCH(VLOOKUP("*"&amp;$AX58,$A$10:$J$11,$J$9,FALSE)&amp;R$7,' COM_2017_old'!$B$58:$AJ$58,0),FALSE),""))</f>
        <v>4.3729750186775052E-2</v>
      </c>
      <c r="S58" s="494">
        <f t="shared" ca="1" si="22"/>
        <v>5.772975018677505E-2</v>
      </c>
      <c r="T58" s="494">
        <f t="shared" ca="1" si="23"/>
        <v>7.1729750186775049E-2</v>
      </c>
      <c r="U58" s="494">
        <f t="shared" ca="1" si="23"/>
        <v>8.5729750186775047E-2</v>
      </c>
      <c r="V58" s="494">
        <f t="shared" ca="1" si="23"/>
        <v>9.9729750186775046E-2</v>
      </c>
      <c r="W58" s="494">
        <f ca="1">IF($A58="*","",IFERROR(VLOOKUP($C58,' COM_2017_old'!$B$61:$AJ$120,MATCH(VLOOKUP("*"&amp;$AX58,$A$10:$J$11,$J$9,FALSE)&amp;W$7,' COM_2017_old'!$B$58:$AJ$58,0),FALSE),""))</f>
        <v>0.11372975018677506</v>
      </c>
      <c r="X58" s="494">
        <f t="shared" ca="1" si="24"/>
        <v>0.15372975018677504</v>
      </c>
      <c r="Y58" s="494">
        <f t="shared" ca="1" si="25"/>
        <v>0.19372975018677502</v>
      </c>
      <c r="Z58" s="494">
        <f t="shared" ca="1" si="25"/>
        <v>0.233729750186775</v>
      </c>
      <c r="AA58" s="494">
        <f t="shared" ca="1" si="25"/>
        <v>0.27372975018677498</v>
      </c>
      <c r="AB58" s="494">
        <f ca="1">IF($A58="*","",IFERROR(VLOOKUP($C58,' COM_2017_old'!$B$61:$AJ$120,MATCH(VLOOKUP("*"&amp;$AX58,$A$10:$J$11,$J$9,FALSE)&amp;AB$7,' COM_2017_old'!$B$58:$AJ$58,0),FALSE),""))</f>
        <v>0.31372975018677501</v>
      </c>
      <c r="AC58" s="494">
        <f t="shared" ca="1" si="26"/>
        <v>0.363729750186775</v>
      </c>
      <c r="AD58" s="494">
        <f t="shared" ca="1" si="27"/>
        <v>0.41372975018677499</v>
      </c>
      <c r="AE58" s="494">
        <f t="shared" ca="1" si="27"/>
        <v>0.46372975018677498</v>
      </c>
      <c r="AF58" s="494">
        <f t="shared" ca="1" si="27"/>
        <v>0.51372975018677502</v>
      </c>
      <c r="AG58" s="494">
        <f ca="1">IF($A58="*","",IFERROR(VLOOKUP($C58,' COM_2017_old'!$B$61:$AJ$120,MATCH(VLOOKUP("*"&amp;$AX58,$A$10:$J$11,$J$9,FALSE)&amp;AG$7,' COM_2017_old'!$B$58:$AJ$58,0),FALSE),""))</f>
        <v>0.56372975018677507</v>
      </c>
      <c r="AH58" s="494">
        <f t="shared" ca="1" si="28"/>
        <v>0.62372975018677501</v>
      </c>
      <c r="AI58" s="494">
        <f t="shared" ca="1" si="29"/>
        <v>0.68372975018677495</v>
      </c>
      <c r="AJ58" s="494">
        <f t="shared" ca="1" si="29"/>
        <v>0.7437297501867749</v>
      </c>
      <c r="AK58" s="494">
        <f t="shared" ca="1" si="29"/>
        <v>0.80372975018677484</v>
      </c>
      <c r="AL58" s="494">
        <f ca="1">IF($A58="*","",IFERROR(VLOOKUP($C58,' COM_2017_old'!$B$61:$AJ$120,MATCH(VLOOKUP("*"&amp;$AX58,$A$10:$J$11,$J$9,FALSE)&amp;AL$7,' COM_2017_old'!$B$58:$AJ$58,0),FALSE),""))</f>
        <v>0.863729750186775</v>
      </c>
      <c r="AM58" s="494">
        <f ca="1">IF($A58="*","",IFERROR(VLOOKUP($C58,' COM_2017_old'!$B$61:$AJ$120,MATCH(VLOOKUP("*"&amp;$AX58,$A$10:$J$11,$J$9,FALSE)&amp;AM$7,' COM_2017_old'!$B$58:$AJ$58,0),FALSE),""))</f>
        <v>0.96372975018677498</v>
      </c>
      <c r="AN58" s="494">
        <f ca="1">IF($A58="*","",IFERROR(VLOOKUP($C58,' COM_2017_old'!$B$61:$AJ$120,MATCH(VLOOKUP("*"&amp;$AX58,$A$10:$J$11,$J$9,FALSE)&amp;AN$7,' COM_2017_old'!$B$58:$AJ$58,0),FALSE),""))</f>
        <v>1</v>
      </c>
      <c r="AO58" s="391" t="str">
        <f ca="1">IFERROR(VLOOKUP($C58,COM_2012!$B$61:$AH$120,MATCH(VLOOKUP("*"&amp;$AX58,$A$10:$J$11,$J$9,FALSE)&amp;AO$7,COM_2012!$B$58:$AH$58,0),FALSE),"")</f>
        <v/>
      </c>
      <c r="AP58" s="391" t="str">
        <f ca="1">IFERROR(VLOOKUP($C58,COM_2012!$B$61:$AH$120,MATCH(VLOOKUP("*"&amp;$AX58,$A$10:$J$11,$J$9,FALSE)&amp;AP$7,COM_2012!$B$58:$AH$58,0),FALSE),"")</f>
        <v/>
      </c>
      <c r="AQ58" s="391" t="str">
        <f ca="1">IFERROR(VLOOKUP($C58,COM_2012!$B$61:$AH$120,MATCH(VLOOKUP("*"&amp;$AX58,$A$10:$J$11,$J$9,FALSE)&amp;AQ$7,COM_2012!$B$58:$AH$58,0),FALSE),"")</f>
        <v/>
      </c>
      <c r="AR58" s="391" t="str">
        <f ca="1">IFERROR(VLOOKUP($C58,COM_2012!$B$61:$AH$120,MATCH(VLOOKUP("*"&amp;$AX58,$A$10:$J$11,$J$9,FALSE)&amp;AR$7,COM_2012!$B$58:$AH$58,0),FALSE),"")</f>
        <v/>
      </c>
      <c r="AS58" s="391" t="str">
        <f ca="1">IFERROR(VLOOKUP($C58,COM_2012!$B$61:$AH$120,MATCH(VLOOKUP("*"&amp;$AX58,$A$10:$J$11,$J$9,FALSE)&amp;AS$7,COM_2012!$B$58:$AH$58,0),FALSE),"")</f>
        <v/>
      </c>
      <c r="AT58" s="391" t="str">
        <f ca="1">IFERROR(VLOOKUP($C58,COM_2012!$B$61:$AH$120,MATCH(VLOOKUP("*"&amp;$AX58,$A$10:$J$11,$J$9,FALSE)&amp;AT$7,COM_2012!$B$58:$AH$58,0),FALSE),"")</f>
        <v/>
      </c>
      <c r="AU58" s="391" t="str">
        <f ca="1">IFERROR(VLOOKUP($C58,COM_2012!$B$61:$AH$120,MATCH(VLOOKUP("*"&amp;$AX58,$A$10:$J$11,$J$9,FALSE)&amp;AU$7,COM_2012!$B$58:$AH$58,0),FALSE),"")</f>
        <v/>
      </c>
      <c r="AV58" s="391" t="str">
        <f ca="1">IFERROR(VLOOKUP($C58,COM_2012!$B$61:$AH$120,MATCH(VLOOKUP("*"&amp;$AX58,$A$10:$J$11,$J$9,FALSE)&amp;AV$7,COM_2012!$B$58:$AH$58,0),FALSE),"")</f>
        <v/>
      </c>
      <c r="AW58" s="391" t="str">
        <f ca="1">IFERROR(VLOOKUP($C58,COM_2012!$B$61:$AH$120,MATCH(VLOOKUP("*"&amp;$AX58,$A$10:$J$11,$J$9,FALSE)&amp;AW$7,COM_2012!$B$58:$AH$58,0),FALSE),"")</f>
        <v/>
      </c>
      <c r="AX58" s="304">
        <f>IF(AY57=COM_2012!$AI$121,AX57+1,AX57)</f>
        <v>1</v>
      </c>
      <c r="AY58" s="304">
        <f t="shared" si="15"/>
        <v>46</v>
      </c>
    </row>
    <row r="59" spans="1:51">
      <c r="A59" s="304" t="str">
        <f ca="1">IF(LEFT(OFFSET(COM_2012!$A$60,AY59,0),2)="\I","*","")</f>
        <v/>
      </c>
      <c r="B59" s="369" t="str">
        <f t="shared" ca="1" si="19"/>
        <v>FLO_MRKPRD</v>
      </c>
      <c r="C59" s="369" t="str">
        <f ca="1">IF($A59="*","",OFFSET(COM_2012!$B$60,AY59,0))</f>
        <v>CEGELCLED-N</v>
      </c>
      <c r="D59" s="369" t="str">
        <f t="shared" ca="1" si="14"/>
        <v>CEG</v>
      </c>
      <c r="E59" s="369" t="str">
        <f t="shared" ca="1" si="20"/>
        <v>-</v>
      </c>
      <c r="F59" s="370" t="str">
        <f t="shared" ca="1" si="17"/>
        <v>-</v>
      </c>
      <c r="G59" s="370" t="str">
        <f t="shared" ca="1" si="17"/>
        <v>ANNUAL</v>
      </c>
      <c r="H59" s="370" t="str">
        <f t="shared" ca="1" si="21"/>
        <v>UP</v>
      </c>
      <c r="I59" s="370">
        <f t="shared" ca="1" si="21"/>
        <v>0</v>
      </c>
      <c r="J59" s="494" t="str">
        <f>IF(J$7&lt;2020,"",IF(A59="*","",IFERROR(VLOOKUP($C59,COM_2012!$B$61:$AH$120,MATCH(VLOOKUP("*"&amp;$AX59,$A$10:$J$11,$J$9,FALSE)&amp;J$7,COM_2012!$B$58:$AH$58,0),FALSE),"")))</f>
        <v/>
      </c>
      <c r="K59" s="494" t="str">
        <f>IF(K$7&lt;2020,"",IF(B59="*","",IFERROR(VLOOKUP($C59,COM_2012!$B$61:$AH$120,MATCH(VLOOKUP("*"&amp;$AX59,$A$10:$J$11,$J$9,FALSE)&amp;K$7,COM_2012!$B$58:$AH$58,0),FALSE),"")))</f>
        <v/>
      </c>
      <c r="L59" s="494" t="str">
        <f>IF(L$7&lt;2020,"",IF(C59="*","",IFERROR(VLOOKUP($C59,COM_2012!$B$61:$AH$120,MATCH(VLOOKUP("*"&amp;$AX59,$A$10:$J$11,$J$9,FALSE)&amp;L$7,COM_2012!$B$58:$AH$58,0),FALSE),"")))</f>
        <v/>
      </c>
      <c r="M59" s="494" t="str">
        <f>IF(M$7&lt;2020,"",IF(D59="*","",IFERROR(VLOOKUP($C59,COM_2012!$B$61:$AH$120,MATCH(VLOOKUP("*"&amp;$AX59,$A$10:$J$11,$J$9,FALSE)&amp;M$7,COM_2012!$B$58:$AH$58,0),FALSE),"")))</f>
        <v/>
      </c>
      <c r="N59" s="494" t="str">
        <f ca="1">IFERROR(VLOOKUP($C59,COM_2012!$B$61:$AH$120,MATCH(VLOOKUP("*"&amp;$AX59,$A$10:$J$11,$J$9,FALSE)&amp;N$7,COM_2012!$B$58:$AH$58,0),FALSE),"")</f>
        <v/>
      </c>
      <c r="O59" s="494" t="str">
        <f>IF(O$7&lt;2020,"",IF($A59="*","",IFERROR(VLOOKUP($C59,' COM_2017_old'!$B$61:$AJ$120,MATCH(VLOOKUP("*"&amp;$AX59,$A$10:$J$11,$J$9,FALSE)&amp;O$7,' COM_2017_old'!$B$58:$AJ$58,0),FALSE),"")))</f>
        <v/>
      </c>
      <c r="P59" s="494" t="str">
        <f ca="1">IFERROR(VLOOKUP($C59,COM_2012!$B$61:$AH$120,MATCH(VLOOKUP("*"&amp;$AX59,$A$10:$J$11,$J$9,FALSE)&amp;P$7,COM_2012!$B$58:$AH$58,0),FALSE),"")</f>
        <v/>
      </c>
      <c r="Q59" s="494" t="str">
        <f ca="1">IFERROR(VLOOKUP($C59,COM_2012!$B$61:$AH$120,MATCH(VLOOKUP("*"&amp;$AX59,$A$10:$J$11,$J$9,FALSE)&amp;Q$7,COM_2012!$B$58:$AH$58,0),FALSE),"")</f>
        <v/>
      </c>
      <c r="R59" s="494">
        <f ca="1">IF($A59="*","",IFERROR(VLOOKUP($C59,' COM_2017_old'!$B$61:$AJ$120,MATCH(VLOOKUP("*"&amp;$AX59,$A$10:$J$11,$J$9,FALSE)&amp;R$7,' COM_2017_old'!$B$58:$AJ$58,0),FALSE),""))</f>
        <v>0.03</v>
      </c>
      <c r="S59" s="494">
        <f t="shared" ca="1" si="22"/>
        <v>4.3999999999999997E-2</v>
      </c>
      <c r="T59" s="494">
        <f t="shared" ca="1" si="23"/>
        <v>5.7999999999999996E-2</v>
      </c>
      <c r="U59" s="494">
        <f t="shared" ca="1" si="23"/>
        <v>7.1999999999999995E-2</v>
      </c>
      <c r="V59" s="494">
        <f t="shared" ca="1" si="23"/>
        <v>8.5999999999999993E-2</v>
      </c>
      <c r="W59" s="494">
        <f ca="1">IF($A59="*","",IFERROR(VLOOKUP($C59,' COM_2017_old'!$B$61:$AJ$120,MATCH(VLOOKUP("*"&amp;$AX59,$A$10:$J$11,$J$9,FALSE)&amp;W$7,' COM_2017_old'!$B$58:$AJ$58,0),FALSE),""))</f>
        <v>0.1</v>
      </c>
      <c r="X59" s="494">
        <f t="shared" ca="1" si="24"/>
        <v>0.14000000000000001</v>
      </c>
      <c r="Y59" s="494">
        <f t="shared" ca="1" si="25"/>
        <v>0.18</v>
      </c>
      <c r="Z59" s="494">
        <f t="shared" ca="1" si="25"/>
        <v>0.21999999999999997</v>
      </c>
      <c r="AA59" s="494">
        <f t="shared" ca="1" si="25"/>
        <v>0.25999999999999995</v>
      </c>
      <c r="AB59" s="494">
        <f ca="1">IF($A59="*","",IFERROR(VLOOKUP($C59,' COM_2017_old'!$B$61:$AJ$120,MATCH(VLOOKUP("*"&amp;$AX59,$A$10:$J$11,$J$9,FALSE)&amp;AB$7,' COM_2017_old'!$B$58:$AJ$58,0),FALSE),""))</f>
        <v>0.3</v>
      </c>
      <c r="AC59" s="494">
        <f t="shared" ca="1" si="26"/>
        <v>0.35</v>
      </c>
      <c r="AD59" s="494">
        <f t="shared" ca="1" si="27"/>
        <v>0.39999999999999997</v>
      </c>
      <c r="AE59" s="494">
        <f t="shared" ca="1" si="27"/>
        <v>0.44999999999999996</v>
      </c>
      <c r="AF59" s="494">
        <f t="shared" ca="1" si="27"/>
        <v>0.49999999999999994</v>
      </c>
      <c r="AG59" s="494">
        <f ca="1">IF($A59="*","",IFERROR(VLOOKUP($C59,' COM_2017_old'!$B$61:$AJ$120,MATCH(VLOOKUP("*"&amp;$AX59,$A$10:$J$11,$J$9,FALSE)&amp;AG$7,' COM_2017_old'!$B$58:$AJ$58,0),FALSE),""))</f>
        <v>0.55000000000000004</v>
      </c>
      <c r="AH59" s="494">
        <f t="shared" ca="1" si="28"/>
        <v>0.61</v>
      </c>
      <c r="AI59" s="494">
        <f t="shared" ca="1" si="29"/>
        <v>0.66999999999999993</v>
      </c>
      <c r="AJ59" s="494">
        <f t="shared" ca="1" si="29"/>
        <v>0.72999999999999987</v>
      </c>
      <c r="AK59" s="494">
        <f t="shared" ca="1" si="29"/>
        <v>0.78999999999999981</v>
      </c>
      <c r="AL59" s="494">
        <f ca="1">IF($A59="*","",IFERROR(VLOOKUP($C59,' COM_2017_old'!$B$61:$AJ$120,MATCH(VLOOKUP("*"&amp;$AX59,$A$10:$J$11,$J$9,FALSE)&amp;AL$7,' COM_2017_old'!$B$58:$AJ$58,0),FALSE),""))</f>
        <v>0.85</v>
      </c>
      <c r="AM59" s="494">
        <f ca="1">IF($A59="*","",IFERROR(VLOOKUP($C59,' COM_2017_old'!$B$61:$AJ$120,MATCH(VLOOKUP("*"&amp;$AX59,$A$10:$J$11,$J$9,FALSE)&amp;AM$7,' COM_2017_old'!$B$58:$AJ$58,0),FALSE),""))</f>
        <v>0.95</v>
      </c>
      <c r="AN59" s="494">
        <f ca="1">IF($A59="*","",IFERROR(VLOOKUP($C59,' COM_2017_old'!$B$61:$AJ$120,MATCH(VLOOKUP("*"&amp;$AX59,$A$10:$J$11,$J$9,FALSE)&amp;AN$7,' COM_2017_old'!$B$58:$AJ$58,0),FALSE),""))</f>
        <v>1</v>
      </c>
      <c r="AO59" s="391" t="str">
        <f ca="1">IFERROR(VLOOKUP($C59,COM_2012!$B$61:$AH$120,MATCH(VLOOKUP("*"&amp;$AX59,$A$10:$J$11,$J$9,FALSE)&amp;AO$7,COM_2012!$B$58:$AH$58,0),FALSE),"")</f>
        <v/>
      </c>
      <c r="AP59" s="391" t="str">
        <f ca="1">IFERROR(VLOOKUP($C59,COM_2012!$B$61:$AH$120,MATCH(VLOOKUP("*"&amp;$AX59,$A$10:$J$11,$J$9,FALSE)&amp;AP$7,COM_2012!$B$58:$AH$58,0),FALSE),"")</f>
        <v/>
      </c>
      <c r="AQ59" s="391" t="str">
        <f ca="1">IFERROR(VLOOKUP($C59,COM_2012!$B$61:$AH$120,MATCH(VLOOKUP("*"&amp;$AX59,$A$10:$J$11,$J$9,FALSE)&amp;AQ$7,COM_2012!$B$58:$AH$58,0),FALSE),"")</f>
        <v/>
      </c>
      <c r="AR59" s="391" t="str">
        <f ca="1">IFERROR(VLOOKUP($C59,COM_2012!$B$61:$AH$120,MATCH(VLOOKUP("*"&amp;$AX59,$A$10:$J$11,$J$9,FALSE)&amp;AR$7,COM_2012!$B$58:$AH$58,0),FALSE),"")</f>
        <v/>
      </c>
      <c r="AS59" s="391" t="str">
        <f ca="1">IFERROR(VLOOKUP($C59,COM_2012!$B$61:$AH$120,MATCH(VLOOKUP("*"&amp;$AX59,$A$10:$J$11,$J$9,FALSE)&amp;AS$7,COM_2012!$B$58:$AH$58,0),FALSE),"")</f>
        <v/>
      </c>
      <c r="AT59" s="391" t="str">
        <f ca="1">IFERROR(VLOOKUP($C59,COM_2012!$B$61:$AH$120,MATCH(VLOOKUP("*"&amp;$AX59,$A$10:$J$11,$J$9,FALSE)&amp;AT$7,COM_2012!$B$58:$AH$58,0),FALSE),"")</f>
        <v/>
      </c>
      <c r="AU59" s="391" t="str">
        <f ca="1">IFERROR(VLOOKUP($C59,COM_2012!$B$61:$AH$120,MATCH(VLOOKUP("*"&amp;$AX59,$A$10:$J$11,$J$9,FALSE)&amp;AU$7,COM_2012!$B$58:$AH$58,0),FALSE),"")</f>
        <v/>
      </c>
      <c r="AV59" s="391" t="str">
        <f ca="1">IFERROR(VLOOKUP($C59,COM_2012!$B$61:$AH$120,MATCH(VLOOKUP("*"&amp;$AX59,$A$10:$J$11,$J$9,FALSE)&amp;AV$7,COM_2012!$B$58:$AH$58,0),FALSE),"")</f>
        <v/>
      </c>
      <c r="AW59" s="391" t="str">
        <f ca="1">IFERROR(VLOOKUP($C59,COM_2012!$B$61:$AH$120,MATCH(VLOOKUP("*"&amp;$AX59,$A$10:$J$11,$J$9,FALSE)&amp;AW$7,COM_2012!$B$58:$AH$58,0),FALSE),"")</f>
        <v/>
      </c>
      <c r="AX59" s="304">
        <f>IF(AY58=COM_2012!$AI$121,AX58+1,AX58)</f>
        <v>1</v>
      </c>
      <c r="AY59" s="304">
        <f t="shared" si="15"/>
        <v>47</v>
      </c>
    </row>
    <row r="60" spans="1:51">
      <c r="A60" s="304" t="str">
        <f ca="1">IF(LEFT(OFFSET(COM_2012!$A$60,AY60,0),2)="\I","*","")</f>
        <v>*</v>
      </c>
      <c r="B60" s="369" t="str">
        <f t="shared" ca="1" si="19"/>
        <v/>
      </c>
      <c r="C60" s="369" t="str">
        <f ca="1">IF($A60="*","",OFFSET(COM_2012!$B$60,AY60,0))</f>
        <v/>
      </c>
      <c r="D60" s="369" t="str">
        <f t="shared" ca="1" si="14"/>
        <v/>
      </c>
      <c r="E60" s="369" t="str">
        <f t="shared" ca="1" si="20"/>
        <v/>
      </c>
      <c r="F60" s="370" t="str">
        <f t="shared" ca="1" si="17"/>
        <v/>
      </c>
      <c r="G60" s="370" t="str">
        <f t="shared" ca="1" si="17"/>
        <v/>
      </c>
      <c r="H60" s="370" t="str">
        <f t="shared" ca="1" si="21"/>
        <v/>
      </c>
      <c r="I60" s="370" t="str">
        <f t="shared" ca="1" si="21"/>
        <v/>
      </c>
      <c r="J60" s="494" t="str">
        <f>IF(J$7&lt;2020,"",IF(A60="*","",IFERROR(VLOOKUP($C60,COM_2012!$B$61:$AH$120,MATCH(VLOOKUP("*"&amp;$AX60,$A$10:$J$11,$J$9,FALSE)&amp;J$7,COM_2012!$B$58:$AH$58,0),FALSE),"")))</f>
        <v/>
      </c>
      <c r="K60" s="494" t="str">
        <f>IF(K$7&lt;2020,"",IF(B60="*","",IFERROR(VLOOKUP($C60,COM_2012!$B$61:$AH$120,MATCH(VLOOKUP("*"&amp;$AX60,$A$10:$J$11,$J$9,FALSE)&amp;K$7,COM_2012!$B$58:$AH$58,0),FALSE),"")))</f>
        <v/>
      </c>
      <c r="L60" s="494" t="str">
        <f>IF(L$7&lt;2020,"",IF(C60="*","",IFERROR(VLOOKUP($C60,COM_2012!$B$61:$AH$120,MATCH(VLOOKUP("*"&amp;$AX60,$A$10:$J$11,$J$9,FALSE)&amp;L$7,COM_2012!$B$58:$AH$58,0),FALSE),"")))</f>
        <v/>
      </c>
      <c r="M60" s="494" t="str">
        <f>IF(M$7&lt;2020,"",IF(D60="*","",IFERROR(VLOOKUP($C60,COM_2012!$B$61:$AH$120,MATCH(VLOOKUP("*"&amp;$AX60,$A$10:$J$11,$J$9,FALSE)&amp;M$7,COM_2012!$B$58:$AH$58,0),FALSE),"")))</f>
        <v/>
      </c>
      <c r="N60" s="494" t="str">
        <f ca="1">IFERROR(VLOOKUP($C60,COM_2012!$B$61:$AH$120,MATCH(VLOOKUP("*"&amp;$AX60,$A$10:$J$11,$J$9,FALSE)&amp;N$7,COM_2012!$B$58:$AH$58,0),FALSE),"")</f>
        <v/>
      </c>
      <c r="O60" s="494" t="str">
        <f>IF(O$7&lt;2020,"",IF($A60="*","",IFERROR(VLOOKUP($C60,' COM_2017_old'!$B$61:$AJ$120,MATCH(VLOOKUP("*"&amp;$AX60,$A$10:$J$11,$J$9,FALSE)&amp;O$7,' COM_2017_old'!$B$58:$AJ$58,0),FALSE),"")))</f>
        <v/>
      </c>
      <c r="P60" s="494" t="str">
        <f ca="1">IFERROR(VLOOKUP($C60,COM_2012!$B$61:$AH$120,MATCH(VLOOKUP("*"&amp;$AX60,$A$10:$J$11,$J$9,FALSE)&amp;P$7,COM_2012!$B$58:$AH$58,0),FALSE),"")</f>
        <v/>
      </c>
      <c r="Q60" s="494" t="str">
        <f ca="1">IFERROR(VLOOKUP($C60,COM_2012!$B$61:$AH$120,MATCH(VLOOKUP("*"&amp;$AX60,$A$10:$J$11,$J$9,FALSE)&amp;Q$7,COM_2012!$B$58:$AH$58,0),FALSE),"")</f>
        <v/>
      </c>
      <c r="R60" s="494" t="str">
        <f ca="1">IF($A60="*","",IFERROR(VLOOKUP($C60,' COM_2017_old'!$B$61:$AJ$120,MATCH(VLOOKUP("*"&amp;$AX60,$A$10:$J$11,$J$9,FALSE)&amp;R$7,' COM_2017_old'!$B$58:$AJ$58,0),FALSE),""))</f>
        <v/>
      </c>
      <c r="S60" s="494" t="str">
        <f ca="1">IFERROR(VLOOKUP($C60,COM_2012!$B$61:$AH$120,MATCH(VLOOKUP("*"&amp;$AX60,$A$10:$J$11,$J$9,FALSE)&amp;S$7,COM_2012!$B$58:$AH$58,0),FALSE),"")</f>
        <v/>
      </c>
      <c r="T60" s="494" t="str">
        <f ca="1">IFERROR(VLOOKUP($C60,COM_2012!$B$61:$AH$120,MATCH(VLOOKUP("*"&amp;$AX60,$A$10:$J$11,$J$9,FALSE)&amp;T$7,COM_2012!$B$58:$AH$58,0),FALSE),"")</f>
        <v/>
      </c>
      <c r="U60" s="494" t="str">
        <f ca="1">IFERROR(VLOOKUP($C60,COM_2012!$B$61:$AH$120,MATCH(VLOOKUP("*"&amp;$AX60,$A$10:$J$11,$J$9,FALSE)&amp;U$7,COM_2012!$B$58:$AH$58,0),FALSE),"")</f>
        <v/>
      </c>
      <c r="V60" s="494" t="str">
        <f ca="1">IFERROR(VLOOKUP($C60,COM_2012!$B$61:$AH$120,MATCH(VLOOKUP("*"&amp;$AX60,$A$10:$J$11,$J$9,FALSE)&amp;V$7,COM_2012!$B$58:$AH$58,0),FALSE),"")</f>
        <v/>
      </c>
      <c r="W60" s="494" t="str">
        <f ca="1">IF($A60="*","",IFERROR(VLOOKUP($C60,' COM_2017_old'!$B$61:$AJ$120,MATCH(VLOOKUP("*"&amp;$AX60,$A$10:$J$11,$J$9,FALSE)&amp;W$7,' COM_2017_old'!$B$58:$AJ$58,0),FALSE),""))</f>
        <v/>
      </c>
      <c r="X60" s="494" t="str">
        <f ca="1">IFERROR(VLOOKUP($C60,COM_2012!$B$61:$AH$120,MATCH(VLOOKUP("*"&amp;$AX60,$A$10:$J$11,$J$9,FALSE)&amp;X$7,COM_2012!$B$58:$AH$58,0),FALSE),"")</f>
        <v/>
      </c>
      <c r="Y60" s="494" t="str">
        <f ca="1">IFERROR(VLOOKUP($C60,COM_2012!$B$61:$AH$120,MATCH(VLOOKUP("*"&amp;$AX60,$A$10:$J$11,$J$9,FALSE)&amp;Y$7,COM_2012!$B$58:$AH$58,0),FALSE),"")</f>
        <v/>
      </c>
      <c r="Z60" s="494" t="str">
        <f ca="1">IFERROR(VLOOKUP($C60,COM_2012!$B$61:$AH$120,MATCH(VLOOKUP("*"&amp;$AX60,$A$10:$J$11,$J$9,FALSE)&amp;Z$7,COM_2012!$B$58:$AH$58,0),FALSE),"")</f>
        <v/>
      </c>
      <c r="AA60" s="494" t="str">
        <f ca="1">IFERROR(VLOOKUP($C60,COM_2012!$B$61:$AH$120,MATCH(VLOOKUP("*"&amp;$AX60,$A$10:$J$11,$J$9,FALSE)&amp;AA$7,COM_2012!$B$58:$AH$58,0),FALSE),"")</f>
        <v/>
      </c>
      <c r="AB60" s="494" t="str">
        <f ca="1">IF($A60="*","",IFERROR(VLOOKUP($C60,' COM_2017_old'!$B$61:$AJ$120,MATCH(VLOOKUP("*"&amp;$AX60,$A$10:$J$11,$J$9,FALSE)&amp;AB$7,' COM_2017_old'!$B$58:$AJ$58,0),FALSE),""))</f>
        <v/>
      </c>
      <c r="AC60" s="494" t="str">
        <f ca="1">IFERROR(VLOOKUP($C60,COM_2012!$B$61:$AH$120,MATCH(VLOOKUP("*"&amp;$AX60,$A$10:$J$11,$J$9,FALSE)&amp;AC$7,COM_2012!$B$58:$AH$58,0),FALSE),"")</f>
        <v/>
      </c>
      <c r="AD60" s="391" t="str">
        <f ca="1">IFERROR(VLOOKUP($C60,COM_2012!$B$61:$AH$120,MATCH(VLOOKUP("*"&amp;$AX60,$A$10:$J$11,$J$9,FALSE)&amp;AD$7,COM_2012!$B$58:$AH$58,0),FALSE),"")</f>
        <v/>
      </c>
      <c r="AE60" s="391" t="str">
        <f ca="1">IFERROR(VLOOKUP($C60,COM_2012!$B$61:$AH$120,MATCH(VLOOKUP("*"&amp;$AX60,$A$10:$J$11,$J$9,FALSE)&amp;AE$7,COM_2012!$B$58:$AH$58,0),FALSE),"")</f>
        <v/>
      </c>
      <c r="AF60" s="391" t="str">
        <f ca="1">IFERROR(VLOOKUP($C60,COM_2012!$B$61:$AH$120,MATCH(VLOOKUP("*"&amp;$AX60,$A$10:$J$11,$J$9,FALSE)&amp;AF$7,COM_2012!$B$58:$AH$58,0),FALSE),"")</f>
        <v/>
      </c>
      <c r="AG60" s="494" t="str">
        <f ca="1">IF($A60="*","",IFERROR(VLOOKUP($C60,' COM_2017_old'!$B$61:$AJ$120,MATCH(VLOOKUP("*"&amp;$AX60,$A$10:$J$11,$J$9,FALSE)&amp;AG$7,' COM_2017_old'!$B$58:$AJ$58,0),FALSE),""))</f>
        <v/>
      </c>
      <c r="AH60" s="391" t="str">
        <f ca="1">IFERROR(VLOOKUP($C60,COM_2012!$B$61:$AH$120,MATCH(VLOOKUP("*"&amp;$AX60,$A$10:$J$11,$J$9,FALSE)&amp;AH$7,COM_2012!$B$58:$AH$58,0),FALSE),"")</f>
        <v/>
      </c>
      <c r="AI60" s="391" t="str">
        <f ca="1">IFERROR(VLOOKUP($C60,COM_2012!$B$61:$AH$120,MATCH(VLOOKUP("*"&amp;$AX60,$A$10:$J$11,$J$9,FALSE)&amp;AI$7,COM_2012!$B$58:$AH$58,0),FALSE),"")</f>
        <v/>
      </c>
      <c r="AJ60" s="391" t="str">
        <f ca="1">IFERROR(VLOOKUP($C60,COM_2012!$B$61:$AH$120,MATCH(VLOOKUP("*"&amp;$AX60,$A$10:$J$11,$J$9,FALSE)&amp;AJ$7,COM_2012!$B$58:$AH$58,0),FALSE),"")</f>
        <v/>
      </c>
      <c r="AK60" s="391" t="str">
        <f ca="1">IFERROR(VLOOKUP($C60,COM_2012!$B$61:$AH$120,MATCH(VLOOKUP("*"&amp;$AX60,$A$10:$J$11,$J$9,FALSE)&amp;AK$7,COM_2012!$B$58:$AH$58,0),FALSE),"")</f>
        <v/>
      </c>
      <c r="AL60" s="494" t="str">
        <f ca="1">IF($A60="*","",IFERROR(VLOOKUP($C60,' COM_2017_old'!$B$61:$AJ$120,MATCH(VLOOKUP("*"&amp;$AX60,$A$10:$J$11,$J$9,FALSE)&amp;AL$7,' COM_2017_old'!$B$58:$AJ$58,0),FALSE),""))</f>
        <v/>
      </c>
      <c r="AM60" s="494" t="str">
        <f ca="1">IF($A60="*","",IFERROR(VLOOKUP($C60,' COM_2017_old'!$B$61:$AJ$120,MATCH(VLOOKUP("*"&amp;$AX60,$A$10:$J$11,$J$9,FALSE)&amp;AM$7,' COM_2017_old'!$B$58:$AJ$58,0),FALSE),""))</f>
        <v/>
      </c>
      <c r="AN60" s="494" t="str">
        <f ca="1">IF($A60="*","",IFERROR(VLOOKUP($C60,' COM_2017_old'!$B$61:$AJ$120,MATCH(VLOOKUP("*"&amp;$AX60,$A$10:$J$11,$J$9,FALSE)&amp;AN$7,' COM_2017_old'!$B$58:$AJ$58,0),FALSE),""))</f>
        <v/>
      </c>
      <c r="AO60" s="391" t="str">
        <f ca="1">IFERROR(VLOOKUP($C60,COM_2012!$B$61:$AH$120,MATCH(VLOOKUP("*"&amp;$AX60,$A$10:$J$11,$J$9,FALSE)&amp;AO$7,COM_2012!$B$58:$AH$58,0),FALSE),"")</f>
        <v/>
      </c>
      <c r="AP60" s="391" t="str">
        <f ca="1">IFERROR(VLOOKUP($C60,COM_2012!$B$61:$AH$120,MATCH(VLOOKUP("*"&amp;$AX60,$A$10:$J$11,$J$9,FALSE)&amp;AP$7,COM_2012!$B$58:$AH$58,0),FALSE),"")</f>
        <v/>
      </c>
      <c r="AQ60" s="391" t="str">
        <f ca="1">IFERROR(VLOOKUP($C60,COM_2012!$B$61:$AH$120,MATCH(VLOOKUP("*"&amp;$AX60,$A$10:$J$11,$J$9,FALSE)&amp;AQ$7,COM_2012!$B$58:$AH$58,0),FALSE),"")</f>
        <v/>
      </c>
      <c r="AR60" s="391" t="str">
        <f ca="1">IFERROR(VLOOKUP($C60,COM_2012!$B$61:$AH$120,MATCH(VLOOKUP("*"&amp;$AX60,$A$10:$J$11,$J$9,FALSE)&amp;AR$7,COM_2012!$B$58:$AH$58,0),FALSE),"")</f>
        <v/>
      </c>
      <c r="AS60" s="391" t="str">
        <f ca="1">IFERROR(VLOOKUP($C60,COM_2012!$B$61:$AH$120,MATCH(VLOOKUP("*"&amp;$AX60,$A$10:$J$11,$J$9,FALSE)&amp;AS$7,COM_2012!$B$58:$AH$58,0),FALSE),"")</f>
        <v/>
      </c>
      <c r="AT60" s="391" t="str">
        <f ca="1">IFERROR(VLOOKUP($C60,COM_2012!$B$61:$AH$120,MATCH(VLOOKUP("*"&amp;$AX60,$A$10:$J$11,$J$9,FALSE)&amp;AT$7,COM_2012!$B$58:$AH$58,0),FALSE),"")</f>
        <v/>
      </c>
      <c r="AU60" s="391" t="str">
        <f ca="1">IFERROR(VLOOKUP($C60,COM_2012!$B$61:$AH$120,MATCH(VLOOKUP("*"&amp;$AX60,$A$10:$J$11,$J$9,FALSE)&amp;AU$7,COM_2012!$B$58:$AH$58,0),FALSE),"")</f>
        <v/>
      </c>
      <c r="AV60" s="391" t="str">
        <f ca="1">IFERROR(VLOOKUP($C60,COM_2012!$B$61:$AH$120,MATCH(VLOOKUP("*"&amp;$AX60,$A$10:$J$11,$J$9,FALSE)&amp;AV$7,COM_2012!$B$58:$AH$58,0),FALSE),"")</f>
        <v/>
      </c>
      <c r="AW60" s="391" t="str">
        <f ca="1">IFERROR(VLOOKUP($C60,COM_2012!$B$61:$AH$120,MATCH(VLOOKUP("*"&amp;$AX60,$A$10:$J$11,$J$9,FALSE)&amp;AW$7,COM_2012!$B$58:$AH$58,0),FALSE),"")</f>
        <v/>
      </c>
      <c r="AX60" s="304">
        <f>IF(AY59=COM_2012!$AI$121,AX59+1,AX59)</f>
        <v>1</v>
      </c>
      <c r="AY60" s="304">
        <f t="shared" si="15"/>
        <v>48</v>
      </c>
    </row>
    <row r="61" spans="1:51">
      <c r="A61" s="304" t="str">
        <f ca="1">IF(LEFT(OFFSET(COM_2012!$A$60,AY61,0),2)="\I","*","")</f>
        <v>*</v>
      </c>
      <c r="B61" s="369" t="str">
        <f t="shared" ca="1" si="19"/>
        <v/>
      </c>
      <c r="C61" s="369" t="str">
        <f ca="1">IF($A61="*","",OFFSET(COM_2012!$B$60,AY61,0))</f>
        <v/>
      </c>
      <c r="D61" s="369" t="str">
        <f t="shared" ca="1" si="14"/>
        <v/>
      </c>
      <c r="E61" s="369" t="str">
        <f t="shared" ca="1" si="20"/>
        <v/>
      </c>
      <c r="F61" s="370" t="str">
        <f t="shared" ca="1" si="17"/>
        <v/>
      </c>
      <c r="G61" s="370" t="str">
        <f t="shared" ca="1" si="17"/>
        <v/>
      </c>
      <c r="H61" s="370" t="str">
        <f t="shared" ca="1" si="21"/>
        <v/>
      </c>
      <c r="I61" s="370" t="str">
        <f t="shared" ca="1" si="21"/>
        <v/>
      </c>
      <c r="J61" s="494" t="str">
        <f>IF(J$7&lt;2020,"",IF(A61="*","",IFERROR(VLOOKUP($C61,COM_2012!$B$61:$AH$120,MATCH(VLOOKUP("*"&amp;$AX61,$A$10:$J$11,$J$9,FALSE)&amp;J$7,COM_2012!$B$58:$AH$58,0),FALSE),"")))</f>
        <v/>
      </c>
      <c r="K61" s="494" t="str">
        <f>IF(K$7&lt;2020,"",IF(B61="*","",IFERROR(VLOOKUP($C61,COM_2012!$B$61:$AH$120,MATCH(VLOOKUP("*"&amp;$AX61,$A$10:$J$11,$J$9,FALSE)&amp;K$7,COM_2012!$B$58:$AH$58,0),FALSE),"")))</f>
        <v/>
      </c>
      <c r="L61" s="494" t="str">
        <f>IF(L$7&lt;2020,"",IF(C61="*","",IFERROR(VLOOKUP($C61,COM_2012!$B$61:$AH$120,MATCH(VLOOKUP("*"&amp;$AX61,$A$10:$J$11,$J$9,FALSE)&amp;L$7,COM_2012!$B$58:$AH$58,0),FALSE),"")))</f>
        <v/>
      </c>
      <c r="M61" s="494" t="str">
        <f>IF(M$7&lt;2020,"",IF(D61="*","",IFERROR(VLOOKUP($C61,COM_2012!$B$61:$AH$120,MATCH(VLOOKUP("*"&amp;$AX61,$A$10:$J$11,$J$9,FALSE)&amp;M$7,COM_2012!$B$58:$AH$58,0),FALSE),"")))</f>
        <v/>
      </c>
      <c r="N61" s="494" t="str">
        <f ca="1">IFERROR(VLOOKUP($C61,COM_2012!$B$61:$AH$120,MATCH(VLOOKUP("*"&amp;$AX61,$A$10:$J$11,$J$9,FALSE)&amp;N$7,COM_2012!$B$58:$AH$58,0),FALSE),"")</f>
        <v/>
      </c>
      <c r="O61" s="494" t="str">
        <f>IF(O$7&lt;2020,"",IF($A61="*","",IFERROR(VLOOKUP($C61,' COM_2017_old'!$B$61:$AJ$120,MATCH(VLOOKUP("*"&amp;$AX61,$A$10:$J$11,$J$9,FALSE)&amp;O$7,' COM_2017_old'!$B$58:$AJ$58,0),FALSE),"")))</f>
        <v/>
      </c>
      <c r="P61" s="494" t="str">
        <f ca="1">IFERROR(VLOOKUP($C61,COM_2012!$B$61:$AH$120,MATCH(VLOOKUP("*"&amp;$AX61,$A$10:$J$11,$J$9,FALSE)&amp;P$7,COM_2012!$B$58:$AH$58,0),FALSE),"")</f>
        <v/>
      </c>
      <c r="Q61" s="494" t="str">
        <f ca="1">IFERROR(VLOOKUP($C61,COM_2012!$B$61:$AH$120,MATCH(VLOOKUP("*"&amp;$AX61,$A$10:$J$11,$J$9,FALSE)&amp;Q$7,COM_2012!$B$58:$AH$58,0),FALSE),"")</f>
        <v/>
      </c>
      <c r="R61" s="494" t="str">
        <f ca="1">IF($A61="*","",IFERROR(VLOOKUP($C61,' COM_2017_old'!$B$61:$AJ$120,MATCH(VLOOKUP("*"&amp;$AX61,$A$10:$J$11,$J$9,FALSE)&amp;R$7,' COM_2017_old'!$B$58:$AJ$58,0),FALSE),""))</f>
        <v/>
      </c>
      <c r="S61" s="494" t="str">
        <f ca="1">IFERROR(VLOOKUP($C61,COM_2012!$B$61:$AH$120,MATCH(VLOOKUP("*"&amp;$AX61,$A$10:$J$11,$J$9,FALSE)&amp;S$7,COM_2012!$B$58:$AH$58,0),FALSE),"")</f>
        <v/>
      </c>
      <c r="T61" s="494" t="str">
        <f ca="1">IFERROR(VLOOKUP($C61,COM_2012!$B$61:$AH$120,MATCH(VLOOKUP("*"&amp;$AX61,$A$10:$J$11,$J$9,FALSE)&amp;T$7,COM_2012!$B$58:$AH$58,0),FALSE),"")</f>
        <v/>
      </c>
      <c r="U61" s="494" t="str">
        <f ca="1">IFERROR(VLOOKUP($C61,COM_2012!$B$61:$AH$120,MATCH(VLOOKUP("*"&amp;$AX61,$A$10:$J$11,$J$9,FALSE)&amp;U$7,COM_2012!$B$58:$AH$58,0),FALSE),"")</f>
        <v/>
      </c>
      <c r="V61" s="494" t="str">
        <f ca="1">IFERROR(VLOOKUP($C61,COM_2012!$B$61:$AH$120,MATCH(VLOOKUP("*"&amp;$AX61,$A$10:$J$11,$J$9,FALSE)&amp;V$7,COM_2012!$B$58:$AH$58,0),FALSE),"")</f>
        <v/>
      </c>
      <c r="W61" s="494" t="str">
        <f ca="1">IF($A61="*","",IFERROR(VLOOKUP($C61,' COM_2017_old'!$B$61:$AJ$120,MATCH(VLOOKUP("*"&amp;$AX61,$A$10:$J$11,$J$9,FALSE)&amp;W$7,' COM_2017_old'!$B$58:$AJ$58,0),FALSE),""))</f>
        <v/>
      </c>
      <c r="X61" s="494" t="str">
        <f ca="1">IFERROR(VLOOKUP($C61,COM_2012!$B$61:$AH$120,MATCH(VLOOKUP("*"&amp;$AX61,$A$10:$J$11,$J$9,FALSE)&amp;X$7,COM_2012!$B$58:$AH$58,0),FALSE),"")</f>
        <v/>
      </c>
      <c r="Y61" s="494" t="str">
        <f ca="1">IFERROR(VLOOKUP($C61,COM_2012!$B$61:$AH$120,MATCH(VLOOKUP("*"&amp;$AX61,$A$10:$J$11,$J$9,FALSE)&amp;Y$7,COM_2012!$B$58:$AH$58,0),FALSE),"")</f>
        <v/>
      </c>
      <c r="Z61" s="494" t="str">
        <f ca="1">IFERROR(VLOOKUP($C61,COM_2012!$B$61:$AH$120,MATCH(VLOOKUP("*"&amp;$AX61,$A$10:$J$11,$J$9,FALSE)&amp;Z$7,COM_2012!$B$58:$AH$58,0),FALSE),"")</f>
        <v/>
      </c>
      <c r="AA61" s="494" t="str">
        <f ca="1">IFERROR(VLOOKUP($C61,COM_2012!$B$61:$AH$120,MATCH(VLOOKUP("*"&amp;$AX61,$A$10:$J$11,$J$9,FALSE)&amp;AA$7,COM_2012!$B$58:$AH$58,0),FALSE),"")</f>
        <v/>
      </c>
      <c r="AB61" s="494" t="str">
        <f ca="1">IF($A61="*","",IFERROR(VLOOKUP($C61,' COM_2017_old'!$B$61:$AJ$120,MATCH(VLOOKUP("*"&amp;$AX61,$A$10:$J$11,$J$9,FALSE)&amp;AB$7,' COM_2017_old'!$B$58:$AJ$58,0),FALSE),""))</f>
        <v/>
      </c>
      <c r="AC61" s="494" t="str">
        <f ca="1">IFERROR(VLOOKUP($C61,COM_2012!$B$61:$AH$120,MATCH(VLOOKUP("*"&amp;$AX61,$A$10:$J$11,$J$9,FALSE)&amp;AC$7,COM_2012!$B$58:$AH$58,0),FALSE),"")</f>
        <v/>
      </c>
      <c r="AD61" s="391" t="str">
        <f ca="1">IFERROR(VLOOKUP($C61,COM_2012!$B$61:$AH$120,MATCH(VLOOKUP("*"&amp;$AX61,$A$10:$J$11,$J$9,FALSE)&amp;AD$7,COM_2012!$B$58:$AH$58,0),FALSE),"")</f>
        <v/>
      </c>
      <c r="AE61" s="391" t="str">
        <f ca="1">IFERROR(VLOOKUP($C61,COM_2012!$B$61:$AH$120,MATCH(VLOOKUP("*"&amp;$AX61,$A$10:$J$11,$J$9,FALSE)&amp;AE$7,COM_2012!$B$58:$AH$58,0),FALSE),"")</f>
        <v/>
      </c>
      <c r="AF61" s="391" t="str">
        <f ca="1">IFERROR(VLOOKUP($C61,COM_2012!$B$61:$AH$120,MATCH(VLOOKUP("*"&amp;$AX61,$A$10:$J$11,$J$9,FALSE)&amp;AF$7,COM_2012!$B$58:$AH$58,0),FALSE),"")</f>
        <v/>
      </c>
      <c r="AG61" s="494" t="str">
        <f ca="1">IF($A61="*","",IFERROR(VLOOKUP($C61,' COM_2017_old'!$B$61:$AJ$120,MATCH(VLOOKUP("*"&amp;$AX61,$A$10:$J$11,$J$9,FALSE)&amp;AG$7,' COM_2017_old'!$B$58:$AJ$58,0),FALSE),""))</f>
        <v/>
      </c>
      <c r="AH61" s="391" t="str">
        <f ca="1">IFERROR(VLOOKUP($C61,COM_2012!$B$61:$AH$120,MATCH(VLOOKUP("*"&amp;$AX61,$A$10:$J$11,$J$9,FALSE)&amp;AH$7,COM_2012!$B$58:$AH$58,0),FALSE),"")</f>
        <v/>
      </c>
      <c r="AI61" s="391" t="str">
        <f ca="1">IFERROR(VLOOKUP($C61,COM_2012!$B$61:$AH$120,MATCH(VLOOKUP("*"&amp;$AX61,$A$10:$J$11,$J$9,FALSE)&amp;AI$7,COM_2012!$B$58:$AH$58,0),FALSE),"")</f>
        <v/>
      </c>
      <c r="AJ61" s="391" t="str">
        <f ca="1">IFERROR(VLOOKUP($C61,COM_2012!$B$61:$AH$120,MATCH(VLOOKUP("*"&amp;$AX61,$A$10:$J$11,$J$9,FALSE)&amp;AJ$7,COM_2012!$B$58:$AH$58,0),FALSE),"")</f>
        <v/>
      </c>
      <c r="AK61" s="391" t="str">
        <f ca="1">IFERROR(VLOOKUP($C61,COM_2012!$B$61:$AH$120,MATCH(VLOOKUP("*"&amp;$AX61,$A$10:$J$11,$J$9,FALSE)&amp;AK$7,COM_2012!$B$58:$AH$58,0),FALSE),"")</f>
        <v/>
      </c>
      <c r="AL61" s="494" t="str">
        <f ca="1">IF($A61="*","",IFERROR(VLOOKUP($C61,' COM_2017_old'!$B$61:$AJ$120,MATCH(VLOOKUP("*"&amp;$AX61,$A$10:$J$11,$J$9,FALSE)&amp;AL$7,' COM_2017_old'!$B$58:$AJ$58,0),FALSE),""))</f>
        <v/>
      </c>
      <c r="AM61" s="494" t="str">
        <f ca="1">IF($A61="*","",IFERROR(VLOOKUP($C61,' COM_2017_old'!$B$61:$AJ$120,MATCH(VLOOKUP("*"&amp;$AX61,$A$10:$J$11,$J$9,FALSE)&amp;AM$7,' COM_2017_old'!$B$58:$AJ$58,0),FALSE),""))</f>
        <v/>
      </c>
      <c r="AN61" s="494" t="str">
        <f ca="1">IF($A61="*","",IFERROR(VLOOKUP($C61,' COM_2017_old'!$B$61:$AJ$120,MATCH(VLOOKUP("*"&amp;$AX61,$A$10:$J$11,$J$9,FALSE)&amp;AN$7,' COM_2017_old'!$B$58:$AJ$58,0),FALSE),""))</f>
        <v/>
      </c>
      <c r="AO61" s="391" t="str">
        <f ca="1">IFERROR(VLOOKUP($C61,COM_2012!$B$61:$AH$120,MATCH(VLOOKUP("*"&amp;$AX61,$A$10:$J$11,$J$9,FALSE)&amp;AO$7,COM_2012!$B$58:$AH$58,0),FALSE),"")</f>
        <v/>
      </c>
      <c r="AP61" s="391" t="str">
        <f ca="1">IFERROR(VLOOKUP($C61,COM_2012!$B$61:$AH$120,MATCH(VLOOKUP("*"&amp;$AX61,$A$10:$J$11,$J$9,FALSE)&amp;AP$7,COM_2012!$B$58:$AH$58,0),FALSE),"")</f>
        <v/>
      </c>
      <c r="AQ61" s="391" t="str">
        <f ca="1">IFERROR(VLOOKUP($C61,COM_2012!$B$61:$AH$120,MATCH(VLOOKUP("*"&amp;$AX61,$A$10:$J$11,$J$9,FALSE)&amp;AQ$7,COM_2012!$B$58:$AH$58,0),FALSE),"")</f>
        <v/>
      </c>
      <c r="AR61" s="391" t="str">
        <f ca="1">IFERROR(VLOOKUP($C61,COM_2012!$B$61:$AH$120,MATCH(VLOOKUP("*"&amp;$AX61,$A$10:$J$11,$J$9,FALSE)&amp;AR$7,COM_2012!$B$58:$AH$58,0),FALSE),"")</f>
        <v/>
      </c>
      <c r="AS61" s="391" t="str">
        <f ca="1">IFERROR(VLOOKUP($C61,COM_2012!$B$61:$AH$120,MATCH(VLOOKUP("*"&amp;$AX61,$A$10:$J$11,$J$9,FALSE)&amp;AS$7,COM_2012!$B$58:$AH$58,0),FALSE),"")</f>
        <v/>
      </c>
      <c r="AT61" s="391" t="str">
        <f ca="1">IFERROR(VLOOKUP($C61,COM_2012!$B$61:$AH$120,MATCH(VLOOKUP("*"&amp;$AX61,$A$10:$J$11,$J$9,FALSE)&amp;AT$7,COM_2012!$B$58:$AH$58,0),FALSE),"")</f>
        <v/>
      </c>
      <c r="AU61" s="391" t="str">
        <f ca="1">IFERROR(VLOOKUP($C61,COM_2012!$B$61:$AH$120,MATCH(VLOOKUP("*"&amp;$AX61,$A$10:$J$11,$J$9,FALSE)&amp;AU$7,COM_2012!$B$58:$AH$58,0),FALSE),"")</f>
        <v/>
      </c>
      <c r="AV61" s="391" t="str">
        <f ca="1">IFERROR(VLOOKUP($C61,COM_2012!$B$61:$AH$120,MATCH(VLOOKUP("*"&amp;$AX61,$A$10:$J$11,$J$9,FALSE)&amp;AV$7,COM_2012!$B$58:$AH$58,0),FALSE),"")</f>
        <v/>
      </c>
      <c r="AW61" s="391" t="str">
        <f ca="1">IFERROR(VLOOKUP($C61,COM_2012!$B$61:$AH$120,MATCH(VLOOKUP("*"&amp;$AX61,$A$10:$J$11,$J$9,FALSE)&amp;AW$7,COM_2012!$B$58:$AH$58,0),FALSE),"")</f>
        <v/>
      </c>
      <c r="AX61" s="304">
        <f>IF(AY60=COM_2012!$AI$121,AX60+1,AX60)</f>
        <v>1</v>
      </c>
      <c r="AY61" s="304">
        <f t="shared" si="15"/>
        <v>49</v>
      </c>
    </row>
    <row r="62" spans="1:51">
      <c r="A62" s="304" t="str">
        <f ca="1">IF(LEFT(OFFSET(COM_2012!$A$60,AY62,0),2)="\I","*","")</f>
        <v/>
      </c>
      <c r="B62" s="369" t="str">
        <f t="shared" ca="1" si="19"/>
        <v>FLO_MRKPRD</v>
      </c>
      <c r="C62" s="369" t="str">
        <f ca="1">IF($A62="*","",OFFSET(COM_2012!$B$60,AY62,0))</f>
        <v>CETELC-E</v>
      </c>
      <c r="D62" s="369" t="str">
        <f t="shared" ca="1" si="14"/>
        <v>CET</v>
      </c>
      <c r="E62" s="369" t="str">
        <f t="shared" ca="1" si="20"/>
        <v>-</v>
      </c>
      <c r="F62" s="370" t="str">
        <f t="shared" ca="1" si="17"/>
        <v>-</v>
      </c>
      <c r="G62" s="370" t="str">
        <f t="shared" ca="1" si="17"/>
        <v>ANNUAL</v>
      </c>
      <c r="H62" s="370" t="str">
        <f t="shared" ca="1" si="21"/>
        <v>UP</v>
      </c>
      <c r="I62" s="370">
        <f t="shared" ca="1" si="21"/>
        <v>0</v>
      </c>
      <c r="J62" s="494" t="str">
        <f>IF(J$7&lt;2020,"",IF(A62="*","",IFERROR(VLOOKUP($C62,COM_2012!$B$61:$AH$120,MATCH(VLOOKUP("*"&amp;$AX62,$A$10:$J$11,$J$9,FALSE)&amp;J$7,COM_2012!$B$58:$AH$58,0),FALSE),"")))</f>
        <v/>
      </c>
      <c r="K62" s="494" t="str">
        <f>IF(K$7&lt;2020,"",IF(B62="*","",IFERROR(VLOOKUP($C62,COM_2012!$B$61:$AH$120,MATCH(VLOOKUP("*"&amp;$AX62,$A$10:$J$11,$J$9,FALSE)&amp;K$7,COM_2012!$B$58:$AH$58,0),FALSE),"")))</f>
        <v/>
      </c>
      <c r="L62" s="494" t="str">
        <f>IF(L$7&lt;2020,"",IF(C62="*","",IFERROR(VLOOKUP($C62,COM_2012!$B$61:$AH$120,MATCH(VLOOKUP("*"&amp;$AX62,$A$10:$J$11,$J$9,FALSE)&amp;L$7,COM_2012!$B$58:$AH$58,0),FALSE),"")))</f>
        <v/>
      </c>
      <c r="M62" s="494" t="str">
        <f>IF(M$7&lt;2020,"",IF(D62="*","",IFERROR(VLOOKUP($C62,COM_2012!$B$61:$AH$120,MATCH(VLOOKUP("*"&amp;$AX62,$A$10:$J$11,$J$9,FALSE)&amp;M$7,COM_2012!$B$58:$AH$58,0),FALSE),"")))</f>
        <v/>
      </c>
      <c r="N62" s="494" t="str">
        <f ca="1">IFERROR(VLOOKUP($C62,COM_2012!$B$61:$AH$120,MATCH(VLOOKUP("*"&amp;$AX62,$A$10:$J$11,$J$9,FALSE)&amp;N$7,COM_2012!$B$58:$AH$58,0),FALSE),"")</f>
        <v/>
      </c>
      <c r="O62" s="494" t="str">
        <f>IF(O$7&lt;2020,"",IF($A62="*","",IFERROR(VLOOKUP($C62,' COM_2017_old'!$B$61:$AJ$120,MATCH(VLOOKUP("*"&amp;$AX62,$A$10:$J$11,$J$9,FALSE)&amp;O$7,' COM_2017_old'!$B$58:$AJ$58,0),FALSE),"")))</f>
        <v/>
      </c>
      <c r="P62" s="494" t="str">
        <f ca="1">IFERROR(VLOOKUP($C62,COM_2012!$B$61:$AH$120,MATCH(VLOOKUP("*"&amp;$AX62,$A$10:$J$11,$J$9,FALSE)&amp;P$7,COM_2012!$B$58:$AH$58,0),FALSE),"")</f>
        <v/>
      </c>
      <c r="Q62" s="494" t="str">
        <f ca="1">IFERROR(VLOOKUP($C62,COM_2012!$B$61:$AH$120,MATCH(VLOOKUP("*"&amp;$AX62,$A$10:$J$11,$J$9,FALSE)&amp;Q$7,COM_2012!$B$58:$AH$58,0),FALSE),"")</f>
        <v/>
      </c>
      <c r="R62" s="494">
        <f ca="1">IF($A62="*","",IFERROR(VLOOKUP($C62,' COM_2017_old'!$B$61:$AJ$120,MATCH(VLOOKUP("*"&amp;$AX62,$A$10:$J$11,$J$9,FALSE)&amp;R$7,' COM_2017_old'!$B$58:$AJ$58,0),FALSE),""))</f>
        <v>1</v>
      </c>
      <c r="S62" s="494">
        <f ca="1">IF($A62="*","",R62+($W62-$R62)/5)</f>
        <v>1</v>
      </c>
      <c r="T62" s="494">
        <f t="shared" ref="T62:V62" ca="1" si="30">IF($A62="*","",S62+($W62-$R62)/5)</f>
        <v>1</v>
      </c>
      <c r="U62" s="494">
        <f t="shared" ca="1" si="30"/>
        <v>1</v>
      </c>
      <c r="V62" s="494">
        <f t="shared" ca="1" si="30"/>
        <v>1</v>
      </c>
      <c r="W62" s="494">
        <f ca="1">IF($A62="*","",IFERROR(VLOOKUP($C62,' COM_2017_old'!$B$61:$AJ$120,MATCH(VLOOKUP("*"&amp;$AX62,$A$10:$J$11,$J$9,FALSE)&amp;W$7,' COM_2017_old'!$B$58:$AJ$58,0),FALSE),""))</f>
        <v>1</v>
      </c>
      <c r="X62" s="494">
        <f ca="1">IF($A62="*","",W62+($AB62-$W62)/5)</f>
        <v>1</v>
      </c>
      <c r="Y62" s="494">
        <f t="shared" ref="Y62:AA62" ca="1" si="31">IF($A62="*","",X62+($AB62-$W62)/5)</f>
        <v>1</v>
      </c>
      <c r="Z62" s="494">
        <f t="shared" ca="1" si="31"/>
        <v>1</v>
      </c>
      <c r="AA62" s="494">
        <f t="shared" ca="1" si="31"/>
        <v>1</v>
      </c>
      <c r="AB62" s="494">
        <f ca="1">IF($A62="*","",IFERROR(VLOOKUP($C62,' COM_2017_old'!$B$61:$AJ$120,MATCH(VLOOKUP("*"&amp;$AX62,$A$10:$J$11,$J$9,FALSE)&amp;AB$7,' COM_2017_old'!$B$58:$AJ$58,0),FALSE),""))</f>
        <v>1</v>
      </c>
      <c r="AC62" s="494">
        <f ca="1">IF($A62="*","",AB62+($AG62-$AB62)/5)</f>
        <v>1</v>
      </c>
      <c r="AD62" s="494">
        <f t="shared" ref="AD62:AF62" ca="1" si="32">IF($A62="*","",AC62+($AG62-$AB62)/5)</f>
        <v>1</v>
      </c>
      <c r="AE62" s="494">
        <f t="shared" ca="1" si="32"/>
        <v>1</v>
      </c>
      <c r="AF62" s="494">
        <f t="shared" ca="1" si="32"/>
        <v>1</v>
      </c>
      <c r="AG62" s="494">
        <f ca="1">IF($A62="*","",IFERROR(VLOOKUP($C62,' COM_2017_old'!$B$61:$AJ$120,MATCH(VLOOKUP("*"&amp;$AX62,$A$10:$J$11,$J$9,FALSE)&amp;AG$7,' COM_2017_old'!$B$58:$AJ$58,0),FALSE),""))</f>
        <v>1</v>
      </c>
      <c r="AH62" s="494">
        <f ca="1">IF($A62="*","",AG62+($AL62-$AG62)/5)</f>
        <v>1</v>
      </c>
      <c r="AI62" s="494">
        <f t="shared" ref="AI62:AK62" ca="1" si="33">IF($A62="*","",AH62+($AL62-$AG62)/5)</f>
        <v>1</v>
      </c>
      <c r="AJ62" s="494">
        <f t="shared" ca="1" si="33"/>
        <v>1</v>
      </c>
      <c r="AK62" s="494">
        <f t="shared" ca="1" si="33"/>
        <v>1</v>
      </c>
      <c r="AL62" s="494">
        <f ca="1">IF($A62="*","",IFERROR(VLOOKUP($C62,' COM_2017_old'!$B$61:$AJ$120,MATCH(VLOOKUP("*"&amp;$AX62,$A$10:$J$11,$J$9,FALSE)&amp;AL$7,' COM_2017_old'!$B$58:$AJ$58,0),FALSE),""))</f>
        <v>1</v>
      </c>
      <c r="AM62" s="494">
        <f ca="1">IF($A62="*","",IFERROR(VLOOKUP($C62,' COM_2017_old'!$B$61:$AJ$120,MATCH(VLOOKUP("*"&amp;$AX62,$A$10:$J$11,$J$9,FALSE)&amp;AM$7,' COM_2017_old'!$B$58:$AJ$58,0),FALSE),""))</f>
        <v>1</v>
      </c>
      <c r="AN62" s="494">
        <f ca="1">IF($A62="*","",IFERROR(VLOOKUP($C62,' COM_2017_old'!$B$61:$AJ$120,MATCH(VLOOKUP("*"&amp;$AX62,$A$10:$J$11,$J$9,FALSE)&amp;AN$7,' COM_2017_old'!$B$58:$AJ$58,0),FALSE),""))</f>
        <v>1</v>
      </c>
      <c r="AO62" s="391" t="str">
        <f ca="1">IFERROR(VLOOKUP($C62,COM_2012!$B$61:$AH$120,MATCH(VLOOKUP("*"&amp;$AX62,$A$10:$J$11,$J$9,FALSE)&amp;AO$7,COM_2012!$B$58:$AH$58,0),FALSE),"")</f>
        <v/>
      </c>
      <c r="AP62" s="391" t="str">
        <f ca="1">IFERROR(VLOOKUP($C62,COM_2012!$B$61:$AH$120,MATCH(VLOOKUP("*"&amp;$AX62,$A$10:$J$11,$J$9,FALSE)&amp;AP$7,COM_2012!$B$58:$AH$58,0),FALSE),"")</f>
        <v/>
      </c>
      <c r="AQ62" s="391" t="str">
        <f ca="1">IFERROR(VLOOKUP($C62,COM_2012!$B$61:$AH$120,MATCH(VLOOKUP("*"&amp;$AX62,$A$10:$J$11,$J$9,FALSE)&amp;AQ$7,COM_2012!$B$58:$AH$58,0),FALSE),"")</f>
        <v/>
      </c>
      <c r="AR62" s="391" t="str">
        <f ca="1">IFERROR(VLOOKUP($C62,COM_2012!$B$61:$AH$120,MATCH(VLOOKUP("*"&amp;$AX62,$A$10:$J$11,$J$9,FALSE)&amp;AR$7,COM_2012!$B$58:$AH$58,0),FALSE),"")</f>
        <v/>
      </c>
      <c r="AS62" s="391" t="str">
        <f ca="1">IFERROR(VLOOKUP($C62,COM_2012!$B$61:$AH$120,MATCH(VLOOKUP("*"&amp;$AX62,$A$10:$J$11,$J$9,FALSE)&amp;AS$7,COM_2012!$B$58:$AH$58,0),FALSE),"")</f>
        <v/>
      </c>
      <c r="AT62" s="391" t="str">
        <f ca="1">IFERROR(VLOOKUP($C62,COM_2012!$B$61:$AH$120,MATCH(VLOOKUP("*"&amp;$AX62,$A$10:$J$11,$J$9,FALSE)&amp;AT$7,COM_2012!$B$58:$AH$58,0),FALSE),"")</f>
        <v/>
      </c>
      <c r="AU62" s="391" t="str">
        <f ca="1">IFERROR(VLOOKUP($C62,COM_2012!$B$61:$AH$120,MATCH(VLOOKUP("*"&amp;$AX62,$A$10:$J$11,$J$9,FALSE)&amp;AU$7,COM_2012!$B$58:$AH$58,0),FALSE),"")</f>
        <v/>
      </c>
      <c r="AV62" s="391" t="str">
        <f ca="1">IFERROR(VLOOKUP($C62,COM_2012!$B$61:$AH$120,MATCH(VLOOKUP("*"&amp;$AX62,$A$10:$J$11,$J$9,FALSE)&amp;AV$7,COM_2012!$B$58:$AH$58,0),FALSE),"")</f>
        <v/>
      </c>
      <c r="AW62" s="391" t="str">
        <f ca="1">IFERROR(VLOOKUP($C62,COM_2012!$B$61:$AH$120,MATCH(VLOOKUP("*"&amp;$AX62,$A$10:$J$11,$J$9,FALSE)&amp;AW$7,COM_2012!$B$58:$AH$58,0),FALSE),"")</f>
        <v/>
      </c>
      <c r="AX62" s="304">
        <f>IF(AY61=COM_2012!$AI$121,AX61+1,AX61)</f>
        <v>1</v>
      </c>
      <c r="AY62" s="304">
        <f t="shared" si="15"/>
        <v>50</v>
      </c>
    </row>
    <row r="63" spans="1:51">
      <c r="A63" s="304" t="str">
        <f ca="1">IF(LEFT(OFFSET(COM_2012!$A$60,AY63,0),2)="\I","*","")</f>
        <v>*</v>
      </c>
      <c r="B63" s="369" t="str">
        <f t="shared" ca="1" si="19"/>
        <v/>
      </c>
      <c r="C63" s="369" t="str">
        <f ca="1">IF($A63="*","",OFFSET(COM_2012!$B$60,AY63,0))</f>
        <v/>
      </c>
      <c r="D63" s="369" t="str">
        <f t="shared" ca="1" si="14"/>
        <v/>
      </c>
      <c r="E63" s="369" t="str">
        <f t="shared" ca="1" si="20"/>
        <v/>
      </c>
      <c r="F63" s="370" t="str">
        <f t="shared" ca="1" si="17"/>
        <v/>
      </c>
      <c r="G63" s="370" t="str">
        <f t="shared" ca="1" si="17"/>
        <v/>
      </c>
      <c r="H63" s="370" t="str">
        <f t="shared" ca="1" si="21"/>
        <v/>
      </c>
      <c r="I63" s="370" t="str">
        <f t="shared" ca="1" si="21"/>
        <v/>
      </c>
      <c r="J63" s="494" t="str">
        <f>IF(J$7&lt;2020,"",IF(A63="*","",IFERROR(VLOOKUP($C63,COM_2012!$B$61:$AH$120,MATCH(VLOOKUP("*"&amp;$AX63,$A$10:$J$11,$J$9,FALSE)&amp;J$7,COM_2012!$B$58:$AH$58,0),FALSE),"")))</f>
        <v/>
      </c>
      <c r="K63" s="494" t="str">
        <f>IF(K$7&lt;2020,"",IF(B63="*","",IFERROR(VLOOKUP($C63,COM_2012!$B$61:$AH$120,MATCH(VLOOKUP("*"&amp;$AX63,$A$10:$J$11,$J$9,FALSE)&amp;K$7,COM_2012!$B$58:$AH$58,0),FALSE),"")))</f>
        <v/>
      </c>
      <c r="L63" s="494" t="str">
        <f>IF(L$7&lt;2020,"",IF(C63="*","",IFERROR(VLOOKUP($C63,COM_2012!$B$61:$AH$120,MATCH(VLOOKUP("*"&amp;$AX63,$A$10:$J$11,$J$9,FALSE)&amp;L$7,COM_2012!$B$58:$AH$58,0),FALSE),"")))</f>
        <v/>
      </c>
      <c r="M63" s="494" t="str">
        <f>IF(M$7&lt;2020,"",IF(D63="*","",IFERROR(VLOOKUP($C63,COM_2012!$B$61:$AH$120,MATCH(VLOOKUP("*"&amp;$AX63,$A$10:$J$11,$J$9,FALSE)&amp;M$7,COM_2012!$B$58:$AH$58,0),FALSE),"")))</f>
        <v/>
      </c>
      <c r="N63" s="494" t="str">
        <f ca="1">IFERROR(VLOOKUP($C63,COM_2012!$B$61:$AH$120,MATCH(VLOOKUP("*"&amp;$AX63,$A$10:$J$11,$J$9,FALSE)&amp;N$7,COM_2012!$B$58:$AH$58,0),FALSE),"")</f>
        <v/>
      </c>
      <c r="O63" s="494" t="str">
        <f>IF(O$7&lt;2020,"",IF($A63="*","",IFERROR(VLOOKUP($C63,' COM_2017_old'!$B$61:$AJ$120,MATCH(VLOOKUP("*"&amp;$AX63,$A$10:$J$11,$J$9,FALSE)&amp;O$7,' COM_2017_old'!$B$58:$AJ$58,0),FALSE),"")))</f>
        <v/>
      </c>
      <c r="P63" s="494" t="str">
        <f ca="1">IFERROR(VLOOKUP($C63,COM_2012!$B$61:$AH$120,MATCH(VLOOKUP("*"&amp;$AX63,$A$10:$J$11,$J$9,FALSE)&amp;P$7,COM_2012!$B$58:$AH$58,0),FALSE),"")</f>
        <v/>
      </c>
      <c r="Q63" s="494" t="str">
        <f ca="1">IFERROR(VLOOKUP($C63,COM_2012!$B$61:$AH$120,MATCH(VLOOKUP("*"&amp;$AX63,$A$10:$J$11,$J$9,FALSE)&amp;Q$7,COM_2012!$B$58:$AH$58,0),FALSE),"")</f>
        <v/>
      </c>
      <c r="R63" s="494" t="str">
        <f ca="1">IF($A63="*","",IFERROR(VLOOKUP($C63,' COM_2017_old'!$B$61:$AJ$120,MATCH(VLOOKUP("*"&amp;$AX63,$A$10:$J$11,$J$9,FALSE)&amp;R$7,' COM_2017_old'!$B$58:$AJ$58,0),FALSE),""))</f>
        <v/>
      </c>
      <c r="S63" s="494" t="str">
        <f ca="1">IFERROR(VLOOKUP($C63,COM_2012!$B$61:$AH$120,MATCH(VLOOKUP("*"&amp;$AX63,$A$10:$J$11,$J$9,FALSE)&amp;S$7,COM_2012!$B$58:$AH$58,0),FALSE),"")</f>
        <v/>
      </c>
      <c r="T63" s="494" t="str">
        <f ca="1">IFERROR(VLOOKUP($C63,COM_2012!$B$61:$AH$120,MATCH(VLOOKUP("*"&amp;$AX63,$A$10:$J$11,$J$9,FALSE)&amp;T$7,COM_2012!$B$58:$AH$58,0),FALSE),"")</f>
        <v/>
      </c>
      <c r="U63" s="494" t="str">
        <f ca="1">IFERROR(VLOOKUP($C63,COM_2012!$B$61:$AH$120,MATCH(VLOOKUP("*"&amp;$AX63,$A$10:$J$11,$J$9,FALSE)&amp;U$7,COM_2012!$B$58:$AH$58,0),FALSE),"")</f>
        <v/>
      </c>
      <c r="V63" s="494" t="str">
        <f ca="1">IFERROR(VLOOKUP($C63,COM_2012!$B$61:$AH$120,MATCH(VLOOKUP("*"&amp;$AX63,$A$10:$J$11,$J$9,FALSE)&amp;V$7,COM_2012!$B$58:$AH$58,0),FALSE),"")</f>
        <v/>
      </c>
      <c r="W63" s="494" t="str">
        <f ca="1">IF($A63="*","",IFERROR(VLOOKUP($C63,' COM_2017_old'!$B$61:$AJ$120,MATCH(VLOOKUP("*"&amp;$AX63,$A$10:$J$11,$J$9,FALSE)&amp;W$7,' COM_2017_old'!$B$58:$AJ$58,0),FALSE),""))</f>
        <v/>
      </c>
      <c r="X63" s="494" t="str">
        <f ca="1">IFERROR(VLOOKUP($C63,COM_2012!$B$61:$AH$120,MATCH(VLOOKUP("*"&amp;$AX63,$A$10:$J$11,$J$9,FALSE)&amp;X$7,COM_2012!$B$58:$AH$58,0),FALSE),"")</f>
        <v/>
      </c>
      <c r="Y63" s="494" t="str">
        <f ca="1">IFERROR(VLOOKUP($C63,COM_2012!$B$61:$AH$120,MATCH(VLOOKUP("*"&amp;$AX63,$A$10:$J$11,$J$9,FALSE)&amp;Y$7,COM_2012!$B$58:$AH$58,0),FALSE),"")</f>
        <v/>
      </c>
      <c r="Z63" s="494" t="str">
        <f ca="1">IFERROR(VLOOKUP($C63,COM_2012!$B$61:$AH$120,MATCH(VLOOKUP("*"&amp;$AX63,$A$10:$J$11,$J$9,FALSE)&amp;Z$7,COM_2012!$B$58:$AH$58,0),FALSE),"")</f>
        <v/>
      </c>
      <c r="AA63" s="494" t="str">
        <f ca="1">IFERROR(VLOOKUP($C63,COM_2012!$B$61:$AH$120,MATCH(VLOOKUP("*"&amp;$AX63,$A$10:$J$11,$J$9,FALSE)&amp;AA$7,COM_2012!$B$58:$AH$58,0),FALSE),"")</f>
        <v/>
      </c>
      <c r="AB63" s="494" t="str">
        <f ca="1">IF($A63="*","",IFERROR(VLOOKUP($C63,' COM_2017_old'!$B$61:$AJ$120,MATCH(VLOOKUP("*"&amp;$AX63,$A$10:$J$11,$J$9,FALSE)&amp;AB$7,' COM_2017_old'!$B$58:$AJ$58,0),FALSE),""))</f>
        <v/>
      </c>
      <c r="AC63" s="494" t="str">
        <f ca="1">IFERROR(VLOOKUP($C63,COM_2012!$B$61:$AH$120,MATCH(VLOOKUP("*"&amp;$AX63,$A$10:$J$11,$J$9,FALSE)&amp;AC$7,COM_2012!$B$58:$AH$58,0),FALSE),"")</f>
        <v/>
      </c>
      <c r="AD63" s="391" t="str">
        <f ca="1">IFERROR(VLOOKUP($C63,COM_2012!$B$61:$AH$120,MATCH(VLOOKUP("*"&amp;$AX63,$A$10:$J$11,$J$9,FALSE)&amp;AD$7,COM_2012!$B$58:$AH$58,0),FALSE),"")</f>
        <v/>
      </c>
      <c r="AE63" s="391" t="str">
        <f ca="1">IFERROR(VLOOKUP($C63,COM_2012!$B$61:$AH$120,MATCH(VLOOKUP("*"&amp;$AX63,$A$10:$J$11,$J$9,FALSE)&amp;AE$7,COM_2012!$B$58:$AH$58,0),FALSE),"")</f>
        <v/>
      </c>
      <c r="AF63" s="391" t="str">
        <f ca="1">IFERROR(VLOOKUP($C63,COM_2012!$B$61:$AH$120,MATCH(VLOOKUP("*"&amp;$AX63,$A$10:$J$11,$J$9,FALSE)&amp;AF$7,COM_2012!$B$58:$AH$58,0),FALSE),"")</f>
        <v/>
      </c>
      <c r="AG63" s="494" t="str">
        <f ca="1">IF($A63="*","",IFERROR(VLOOKUP($C63,' COM_2017_old'!$B$61:$AJ$120,MATCH(VLOOKUP("*"&amp;$AX63,$A$10:$J$11,$J$9,FALSE)&amp;AG$7,' COM_2017_old'!$B$58:$AJ$58,0),FALSE),""))</f>
        <v/>
      </c>
      <c r="AH63" s="391" t="str">
        <f ca="1">IFERROR(VLOOKUP($C63,COM_2012!$B$61:$AH$120,MATCH(VLOOKUP("*"&amp;$AX63,$A$10:$J$11,$J$9,FALSE)&amp;AH$7,COM_2012!$B$58:$AH$58,0),FALSE),"")</f>
        <v/>
      </c>
      <c r="AI63" s="391" t="str">
        <f ca="1">IFERROR(VLOOKUP($C63,COM_2012!$B$61:$AH$120,MATCH(VLOOKUP("*"&amp;$AX63,$A$10:$J$11,$J$9,FALSE)&amp;AI$7,COM_2012!$B$58:$AH$58,0),FALSE),"")</f>
        <v/>
      </c>
      <c r="AJ63" s="391" t="str">
        <f ca="1">IFERROR(VLOOKUP($C63,COM_2012!$B$61:$AH$120,MATCH(VLOOKUP("*"&amp;$AX63,$A$10:$J$11,$J$9,FALSE)&amp;AJ$7,COM_2012!$B$58:$AH$58,0),FALSE),"")</f>
        <v/>
      </c>
      <c r="AK63" s="391" t="str">
        <f ca="1">IFERROR(VLOOKUP($C63,COM_2012!$B$61:$AH$120,MATCH(VLOOKUP("*"&amp;$AX63,$A$10:$J$11,$J$9,FALSE)&amp;AK$7,COM_2012!$B$58:$AH$58,0),FALSE),"")</f>
        <v/>
      </c>
      <c r="AL63" s="494" t="str">
        <f ca="1">IF($A63="*","",IFERROR(VLOOKUP($C63,' COM_2017_old'!$B$61:$AJ$120,MATCH(VLOOKUP("*"&amp;$AX63,$A$10:$J$11,$J$9,FALSE)&amp;AL$7,' COM_2017_old'!$B$58:$AJ$58,0),FALSE),""))</f>
        <v/>
      </c>
      <c r="AM63" s="494" t="str">
        <f ca="1">IF($A63="*","",IFERROR(VLOOKUP($C63,' COM_2017_old'!$B$61:$AJ$120,MATCH(VLOOKUP("*"&amp;$AX63,$A$10:$J$11,$J$9,FALSE)&amp;AM$7,' COM_2017_old'!$B$58:$AJ$58,0),FALSE),""))</f>
        <v/>
      </c>
      <c r="AN63" s="494" t="str">
        <f ca="1">IF($A63="*","",IFERROR(VLOOKUP($C63,' COM_2017_old'!$B$61:$AJ$120,MATCH(VLOOKUP("*"&amp;$AX63,$A$10:$J$11,$J$9,FALSE)&amp;AN$7,' COM_2017_old'!$B$58:$AJ$58,0),FALSE),""))</f>
        <v/>
      </c>
      <c r="AO63" s="391" t="str">
        <f ca="1">IFERROR(VLOOKUP($C63,COM_2012!$B$61:$AH$120,MATCH(VLOOKUP("*"&amp;$AX63,$A$10:$J$11,$J$9,FALSE)&amp;AO$7,COM_2012!$B$58:$AH$58,0),FALSE),"")</f>
        <v/>
      </c>
      <c r="AP63" s="391" t="str">
        <f ca="1">IFERROR(VLOOKUP($C63,COM_2012!$B$61:$AH$120,MATCH(VLOOKUP("*"&amp;$AX63,$A$10:$J$11,$J$9,FALSE)&amp;AP$7,COM_2012!$B$58:$AH$58,0),FALSE),"")</f>
        <v/>
      </c>
      <c r="AQ63" s="391" t="str">
        <f ca="1">IFERROR(VLOOKUP($C63,COM_2012!$B$61:$AH$120,MATCH(VLOOKUP("*"&amp;$AX63,$A$10:$J$11,$J$9,FALSE)&amp;AQ$7,COM_2012!$B$58:$AH$58,0),FALSE),"")</f>
        <v/>
      </c>
      <c r="AR63" s="391" t="str">
        <f ca="1">IFERROR(VLOOKUP($C63,COM_2012!$B$61:$AH$120,MATCH(VLOOKUP("*"&amp;$AX63,$A$10:$J$11,$J$9,FALSE)&amp;AR$7,COM_2012!$B$58:$AH$58,0),FALSE),"")</f>
        <v/>
      </c>
      <c r="AS63" s="391" t="str">
        <f ca="1">IFERROR(VLOOKUP($C63,COM_2012!$B$61:$AH$120,MATCH(VLOOKUP("*"&amp;$AX63,$A$10:$J$11,$J$9,FALSE)&amp;AS$7,COM_2012!$B$58:$AH$58,0),FALSE),"")</f>
        <v/>
      </c>
      <c r="AT63" s="391" t="str">
        <f ca="1">IFERROR(VLOOKUP($C63,COM_2012!$B$61:$AH$120,MATCH(VLOOKUP("*"&amp;$AX63,$A$10:$J$11,$J$9,FALSE)&amp;AT$7,COM_2012!$B$58:$AH$58,0),FALSE),"")</f>
        <v/>
      </c>
      <c r="AU63" s="391" t="str">
        <f ca="1">IFERROR(VLOOKUP($C63,COM_2012!$B$61:$AH$120,MATCH(VLOOKUP("*"&amp;$AX63,$A$10:$J$11,$J$9,FALSE)&amp;AU$7,COM_2012!$B$58:$AH$58,0),FALSE),"")</f>
        <v/>
      </c>
      <c r="AV63" s="391" t="str">
        <f ca="1">IFERROR(VLOOKUP($C63,COM_2012!$B$61:$AH$120,MATCH(VLOOKUP("*"&amp;$AX63,$A$10:$J$11,$J$9,FALSE)&amp;AV$7,COM_2012!$B$58:$AH$58,0),FALSE),"")</f>
        <v/>
      </c>
      <c r="AW63" s="391" t="str">
        <f ca="1">IFERROR(VLOOKUP($C63,COM_2012!$B$61:$AH$120,MATCH(VLOOKUP("*"&amp;$AX63,$A$10:$J$11,$J$9,FALSE)&amp;AW$7,COM_2012!$B$58:$AH$58,0),FALSE),"")</f>
        <v/>
      </c>
      <c r="AX63" s="304">
        <f>IF(AY62=COM_2012!$AI$121,AX62+1,AX62)</f>
        <v>1</v>
      </c>
      <c r="AY63" s="304">
        <f t="shared" si="15"/>
        <v>51</v>
      </c>
    </row>
    <row r="64" spans="1:51">
      <c r="A64" s="304" t="str">
        <f ca="1">IF(LEFT(OFFSET(COM_2012!$A$60,AY64,0),2)="\I","*","")</f>
        <v>*</v>
      </c>
      <c r="B64" s="369" t="str">
        <f t="shared" ca="1" si="19"/>
        <v/>
      </c>
      <c r="C64" s="369" t="str">
        <f ca="1">IF($A64="*","",OFFSET(COM_2012!$B$60,AY64,0))</f>
        <v/>
      </c>
      <c r="D64" s="369" t="str">
        <f t="shared" ca="1" si="14"/>
        <v/>
      </c>
      <c r="E64" s="369" t="str">
        <f t="shared" ca="1" si="20"/>
        <v/>
      </c>
      <c r="F64" s="370" t="str">
        <f t="shared" ca="1" si="17"/>
        <v/>
      </c>
      <c r="G64" s="370" t="str">
        <f t="shared" ca="1" si="17"/>
        <v/>
      </c>
      <c r="H64" s="370" t="str">
        <f t="shared" ca="1" si="21"/>
        <v/>
      </c>
      <c r="I64" s="370" t="str">
        <f t="shared" ca="1" si="21"/>
        <v/>
      </c>
      <c r="J64" s="494" t="str">
        <f>IF(J$7&lt;2020,"",IF(A64="*","",IFERROR(VLOOKUP($C64,COM_2012!$B$61:$AH$120,MATCH(VLOOKUP("*"&amp;$AX64,$A$10:$J$11,$J$9,FALSE)&amp;J$7,COM_2012!$B$58:$AH$58,0),FALSE),"")))</f>
        <v/>
      </c>
      <c r="K64" s="494" t="str">
        <f>IF(K$7&lt;2020,"",IF(B64="*","",IFERROR(VLOOKUP($C64,COM_2012!$B$61:$AH$120,MATCH(VLOOKUP("*"&amp;$AX64,$A$10:$J$11,$J$9,FALSE)&amp;K$7,COM_2012!$B$58:$AH$58,0),FALSE),"")))</f>
        <v/>
      </c>
      <c r="L64" s="494" t="str">
        <f>IF(L$7&lt;2020,"",IF(C64="*","",IFERROR(VLOOKUP($C64,COM_2012!$B$61:$AH$120,MATCH(VLOOKUP("*"&amp;$AX64,$A$10:$J$11,$J$9,FALSE)&amp;L$7,COM_2012!$B$58:$AH$58,0),FALSE),"")))</f>
        <v/>
      </c>
      <c r="M64" s="494" t="str">
        <f>IF(M$7&lt;2020,"",IF(D64="*","",IFERROR(VLOOKUP($C64,COM_2012!$B$61:$AH$120,MATCH(VLOOKUP("*"&amp;$AX64,$A$10:$J$11,$J$9,FALSE)&amp;M$7,COM_2012!$B$58:$AH$58,0),FALSE),"")))</f>
        <v/>
      </c>
      <c r="N64" s="494" t="str">
        <f ca="1">IFERROR(VLOOKUP($C64,COM_2012!$B$61:$AH$120,MATCH(VLOOKUP("*"&amp;$AX64,$A$10:$J$11,$J$9,FALSE)&amp;N$7,COM_2012!$B$58:$AH$58,0),FALSE),"")</f>
        <v/>
      </c>
      <c r="O64" s="494" t="str">
        <f>IF(O$7&lt;2020,"",IF($A64="*","",IFERROR(VLOOKUP($C64,' COM_2017_old'!$B$61:$AJ$120,MATCH(VLOOKUP("*"&amp;$AX64,$A$10:$J$11,$J$9,FALSE)&amp;O$7,' COM_2017_old'!$B$58:$AJ$58,0),FALSE),"")))</f>
        <v/>
      </c>
      <c r="P64" s="494" t="str">
        <f ca="1">IFERROR(VLOOKUP($C64,COM_2012!$B$61:$AH$120,MATCH(VLOOKUP("*"&amp;$AX64,$A$10:$J$11,$J$9,FALSE)&amp;P$7,COM_2012!$B$58:$AH$58,0),FALSE),"")</f>
        <v/>
      </c>
      <c r="Q64" s="494" t="str">
        <f ca="1">IFERROR(VLOOKUP($C64,COM_2012!$B$61:$AH$120,MATCH(VLOOKUP("*"&amp;$AX64,$A$10:$J$11,$J$9,FALSE)&amp;Q$7,COM_2012!$B$58:$AH$58,0),FALSE),"")</f>
        <v/>
      </c>
      <c r="R64" s="494" t="str">
        <f ca="1">IF($A64="*","",IFERROR(VLOOKUP($C64,' COM_2017_old'!$B$61:$AJ$120,MATCH(VLOOKUP("*"&amp;$AX64,$A$10:$J$11,$J$9,FALSE)&amp;R$7,' COM_2017_old'!$B$58:$AJ$58,0),FALSE),""))</f>
        <v/>
      </c>
      <c r="S64" s="494" t="str">
        <f ca="1">IFERROR(VLOOKUP($C64,COM_2012!$B$61:$AH$120,MATCH(VLOOKUP("*"&amp;$AX64,$A$10:$J$11,$J$9,FALSE)&amp;S$7,COM_2012!$B$58:$AH$58,0),FALSE),"")</f>
        <v/>
      </c>
      <c r="T64" s="494" t="str">
        <f ca="1">IFERROR(VLOOKUP($C64,COM_2012!$B$61:$AH$120,MATCH(VLOOKUP("*"&amp;$AX64,$A$10:$J$11,$J$9,FALSE)&amp;T$7,COM_2012!$B$58:$AH$58,0),FALSE),"")</f>
        <v/>
      </c>
      <c r="U64" s="494" t="str">
        <f ca="1">IFERROR(VLOOKUP($C64,COM_2012!$B$61:$AH$120,MATCH(VLOOKUP("*"&amp;$AX64,$A$10:$J$11,$J$9,FALSE)&amp;U$7,COM_2012!$B$58:$AH$58,0),FALSE),"")</f>
        <v/>
      </c>
      <c r="V64" s="494" t="str">
        <f ca="1">IFERROR(VLOOKUP($C64,COM_2012!$B$61:$AH$120,MATCH(VLOOKUP("*"&amp;$AX64,$A$10:$J$11,$J$9,FALSE)&amp;V$7,COM_2012!$B$58:$AH$58,0),FALSE),"")</f>
        <v/>
      </c>
      <c r="W64" s="494" t="str">
        <f ca="1">IF($A64="*","",IFERROR(VLOOKUP($C64,' COM_2017_old'!$B$61:$AJ$120,MATCH(VLOOKUP("*"&amp;$AX64,$A$10:$J$11,$J$9,FALSE)&amp;W$7,' COM_2017_old'!$B$58:$AJ$58,0),FALSE),""))</f>
        <v/>
      </c>
      <c r="X64" s="494" t="str">
        <f ca="1">IFERROR(VLOOKUP($C64,COM_2012!$B$61:$AH$120,MATCH(VLOOKUP("*"&amp;$AX64,$A$10:$J$11,$J$9,FALSE)&amp;X$7,COM_2012!$B$58:$AH$58,0),FALSE),"")</f>
        <v/>
      </c>
      <c r="Y64" s="494" t="str">
        <f ca="1">IFERROR(VLOOKUP($C64,COM_2012!$B$61:$AH$120,MATCH(VLOOKUP("*"&amp;$AX64,$A$10:$J$11,$J$9,FALSE)&amp;Y$7,COM_2012!$B$58:$AH$58,0),FALSE),"")</f>
        <v/>
      </c>
      <c r="Z64" s="494" t="str">
        <f ca="1">IFERROR(VLOOKUP($C64,COM_2012!$B$61:$AH$120,MATCH(VLOOKUP("*"&amp;$AX64,$A$10:$J$11,$J$9,FALSE)&amp;Z$7,COM_2012!$B$58:$AH$58,0),FALSE),"")</f>
        <v/>
      </c>
      <c r="AA64" s="494" t="str">
        <f ca="1">IFERROR(VLOOKUP($C64,COM_2012!$B$61:$AH$120,MATCH(VLOOKUP("*"&amp;$AX64,$A$10:$J$11,$J$9,FALSE)&amp;AA$7,COM_2012!$B$58:$AH$58,0),FALSE),"")</f>
        <v/>
      </c>
      <c r="AB64" s="494" t="str">
        <f ca="1">IF($A64="*","",IFERROR(VLOOKUP($C64,' COM_2017_old'!$B$61:$AJ$120,MATCH(VLOOKUP("*"&amp;$AX64,$A$10:$J$11,$J$9,FALSE)&amp;AB$7,' COM_2017_old'!$B$58:$AJ$58,0),FALSE),""))</f>
        <v/>
      </c>
      <c r="AC64" s="494" t="str">
        <f ca="1">IFERROR(VLOOKUP($C64,COM_2012!$B$61:$AH$120,MATCH(VLOOKUP("*"&amp;$AX64,$A$10:$J$11,$J$9,FALSE)&amp;AC$7,COM_2012!$B$58:$AH$58,0),FALSE),"")</f>
        <v/>
      </c>
      <c r="AD64" s="391" t="str">
        <f ca="1">IFERROR(VLOOKUP($C64,COM_2012!$B$61:$AH$120,MATCH(VLOOKUP("*"&amp;$AX64,$A$10:$J$11,$J$9,FALSE)&amp;AD$7,COM_2012!$B$58:$AH$58,0),FALSE),"")</f>
        <v/>
      </c>
      <c r="AE64" s="391" t="str">
        <f ca="1">IFERROR(VLOOKUP($C64,COM_2012!$B$61:$AH$120,MATCH(VLOOKUP("*"&amp;$AX64,$A$10:$J$11,$J$9,FALSE)&amp;AE$7,COM_2012!$B$58:$AH$58,0),FALSE),"")</f>
        <v/>
      </c>
      <c r="AF64" s="391" t="str">
        <f ca="1">IFERROR(VLOOKUP($C64,COM_2012!$B$61:$AH$120,MATCH(VLOOKUP("*"&amp;$AX64,$A$10:$J$11,$J$9,FALSE)&amp;AF$7,COM_2012!$B$58:$AH$58,0),FALSE),"")</f>
        <v/>
      </c>
      <c r="AG64" s="494" t="str">
        <f ca="1">IF($A64="*","",IFERROR(VLOOKUP($C64,' COM_2017_old'!$B$61:$AJ$120,MATCH(VLOOKUP("*"&amp;$AX64,$A$10:$J$11,$J$9,FALSE)&amp;AG$7,' COM_2017_old'!$B$58:$AJ$58,0),FALSE),""))</f>
        <v/>
      </c>
      <c r="AH64" s="391" t="str">
        <f ca="1">IFERROR(VLOOKUP($C64,COM_2012!$B$61:$AH$120,MATCH(VLOOKUP("*"&amp;$AX64,$A$10:$J$11,$J$9,FALSE)&amp;AH$7,COM_2012!$B$58:$AH$58,0),FALSE),"")</f>
        <v/>
      </c>
      <c r="AI64" s="391" t="str">
        <f ca="1">IFERROR(VLOOKUP($C64,COM_2012!$B$61:$AH$120,MATCH(VLOOKUP("*"&amp;$AX64,$A$10:$J$11,$J$9,FALSE)&amp;AI$7,COM_2012!$B$58:$AH$58,0),FALSE),"")</f>
        <v/>
      </c>
      <c r="AJ64" s="391" t="str">
        <f ca="1">IFERROR(VLOOKUP($C64,COM_2012!$B$61:$AH$120,MATCH(VLOOKUP("*"&amp;$AX64,$A$10:$J$11,$J$9,FALSE)&amp;AJ$7,COM_2012!$B$58:$AH$58,0),FALSE),"")</f>
        <v/>
      </c>
      <c r="AK64" s="391" t="str">
        <f ca="1">IFERROR(VLOOKUP($C64,COM_2012!$B$61:$AH$120,MATCH(VLOOKUP("*"&amp;$AX64,$A$10:$J$11,$J$9,FALSE)&amp;AK$7,COM_2012!$B$58:$AH$58,0),FALSE),"")</f>
        <v/>
      </c>
      <c r="AL64" s="494" t="str">
        <f ca="1">IF($A64="*","",IFERROR(VLOOKUP($C64,' COM_2017_old'!$B$61:$AJ$120,MATCH(VLOOKUP("*"&amp;$AX64,$A$10:$J$11,$J$9,FALSE)&amp;AL$7,' COM_2017_old'!$B$58:$AJ$58,0),FALSE),""))</f>
        <v/>
      </c>
      <c r="AM64" s="494" t="str">
        <f ca="1">IF($A64="*","",IFERROR(VLOOKUP($C64,' COM_2017_old'!$B$61:$AJ$120,MATCH(VLOOKUP("*"&amp;$AX64,$A$10:$J$11,$J$9,FALSE)&amp;AM$7,' COM_2017_old'!$B$58:$AJ$58,0),FALSE),""))</f>
        <v/>
      </c>
      <c r="AN64" s="494" t="str">
        <f ca="1">IF($A64="*","",IFERROR(VLOOKUP($C64,' COM_2017_old'!$B$61:$AJ$120,MATCH(VLOOKUP("*"&amp;$AX64,$A$10:$J$11,$J$9,FALSE)&amp;AN$7,' COM_2017_old'!$B$58:$AJ$58,0),FALSE),""))</f>
        <v/>
      </c>
      <c r="AO64" s="391" t="str">
        <f ca="1">IFERROR(VLOOKUP($C64,COM_2012!$B$61:$AH$120,MATCH(VLOOKUP("*"&amp;$AX64,$A$10:$J$11,$J$9,FALSE)&amp;AO$7,COM_2012!$B$58:$AH$58,0),FALSE),"")</f>
        <v/>
      </c>
      <c r="AP64" s="391" t="str">
        <f ca="1">IFERROR(VLOOKUP($C64,COM_2012!$B$61:$AH$120,MATCH(VLOOKUP("*"&amp;$AX64,$A$10:$J$11,$J$9,FALSE)&amp;AP$7,COM_2012!$B$58:$AH$58,0),FALSE),"")</f>
        <v/>
      </c>
      <c r="AQ64" s="391" t="str">
        <f ca="1">IFERROR(VLOOKUP($C64,COM_2012!$B$61:$AH$120,MATCH(VLOOKUP("*"&amp;$AX64,$A$10:$J$11,$J$9,FALSE)&amp;AQ$7,COM_2012!$B$58:$AH$58,0),FALSE),"")</f>
        <v/>
      </c>
      <c r="AR64" s="391" t="str">
        <f ca="1">IFERROR(VLOOKUP($C64,COM_2012!$B$61:$AH$120,MATCH(VLOOKUP("*"&amp;$AX64,$A$10:$J$11,$J$9,FALSE)&amp;AR$7,COM_2012!$B$58:$AH$58,0),FALSE),"")</f>
        <v/>
      </c>
      <c r="AS64" s="391" t="str">
        <f ca="1">IFERROR(VLOOKUP($C64,COM_2012!$B$61:$AH$120,MATCH(VLOOKUP("*"&amp;$AX64,$A$10:$J$11,$J$9,FALSE)&amp;AS$7,COM_2012!$B$58:$AH$58,0),FALSE),"")</f>
        <v/>
      </c>
      <c r="AT64" s="391" t="str">
        <f ca="1">IFERROR(VLOOKUP($C64,COM_2012!$B$61:$AH$120,MATCH(VLOOKUP("*"&amp;$AX64,$A$10:$J$11,$J$9,FALSE)&amp;AT$7,COM_2012!$B$58:$AH$58,0),FALSE),"")</f>
        <v/>
      </c>
      <c r="AU64" s="391" t="str">
        <f ca="1">IFERROR(VLOOKUP($C64,COM_2012!$B$61:$AH$120,MATCH(VLOOKUP("*"&amp;$AX64,$A$10:$J$11,$J$9,FALSE)&amp;AU$7,COM_2012!$B$58:$AH$58,0),FALSE),"")</f>
        <v/>
      </c>
      <c r="AV64" s="391" t="str">
        <f ca="1">IFERROR(VLOOKUP($C64,COM_2012!$B$61:$AH$120,MATCH(VLOOKUP("*"&amp;$AX64,$A$10:$J$11,$J$9,FALSE)&amp;AV$7,COM_2012!$B$58:$AH$58,0),FALSE),"")</f>
        <v/>
      </c>
      <c r="AW64" s="391" t="str">
        <f ca="1">IFERROR(VLOOKUP($C64,COM_2012!$B$61:$AH$120,MATCH(VLOOKUP("*"&amp;$AX64,$A$10:$J$11,$J$9,FALSE)&amp;AW$7,COM_2012!$B$58:$AH$58,0),FALSE),"")</f>
        <v/>
      </c>
      <c r="AX64" s="304">
        <f>IF(AY63=COM_2012!$AI$121,AX63+1,AX63)</f>
        <v>1</v>
      </c>
      <c r="AY64" s="304">
        <f t="shared" si="15"/>
        <v>52</v>
      </c>
    </row>
    <row r="65" spans="1:51">
      <c r="A65" s="304" t="str">
        <f ca="1">IF(LEFT(OFFSET(COM_2012!$A$60,AY65,0),2)="\I","*","")</f>
        <v/>
      </c>
      <c r="B65" s="369" t="str">
        <f t="shared" ca="1" si="19"/>
        <v>FLO_MRKPRD</v>
      </c>
      <c r="C65" s="369" t="str">
        <f ca="1">IF($A65="*","",OFFSET(COM_2012!$B$60,AY65,0))</f>
        <v>CEOCOA-E</v>
      </c>
      <c r="D65" s="369" t="str">
        <f t="shared" ca="1" si="14"/>
        <v>CEO</v>
      </c>
      <c r="E65" s="369" t="str">
        <f t="shared" ca="1" si="20"/>
        <v>-</v>
      </c>
      <c r="F65" s="370" t="str">
        <f t="shared" ca="1" si="17"/>
        <v>-</v>
      </c>
      <c r="G65" s="370" t="str">
        <f t="shared" ca="1" si="17"/>
        <v>ANNUAL</v>
      </c>
      <c r="H65" s="370" t="str">
        <f t="shared" ca="1" si="21"/>
        <v>UP</v>
      </c>
      <c r="I65" s="370">
        <f t="shared" ca="1" si="21"/>
        <v>0</v>
      </c>
      <c r="J65" s="494" t="str">
        <f>IF(J$7&lt;2020,"",IF(A65="*","",IFERROR(VLOOKUP($C65,COM_2012!$B$61:$AH$120,MATCH(VLOOKUP("*"&amp;$AX65,$A$10:$J$11,$J$9,FALSE)&amp;J$7,COM_2012!$B$58:$AH$58,0),FALSE),"")))</f>
        <v/>
      </c>
      <c r="K65" s="494" t="str">
        <f>IF(K$7&lt;2020,"",IF(B65="*","",IFERROR(VLOOKUP($C65,COM_2012!$B$61:$AH$120,MATCH(VLOOKUP("*"&amp;$AX65,$A$10:$J$11,$J$9,FALSE)&amp;K$7,COM_2012!$B$58:$AH$58,0),FALSE),"")))</f>
        <v/>
      </c>
      <c r="L65" s="494" t="str">
        <f>IF(L$7&lt;2020,"",IF(C65="*","",IFERROR(VLOOKUP($C65,COM_2012!$B$61:$AH$120,MATCH(VLOOKUP("*"&amp;$AX65,$A$10:$J$11,$J$9,FALSE)&amp;L$7,COM_2012!$B$58:$AH$58,0),FALSE),"")))</f>
        <v/>
      </c>
      <c r="M65" s="494" t="str">
        <f>IF(M$7&lt;2020,"",IF(D65="*","",IFERROR(VLOOKUP($C65,COM_2012!$B$61:$AH$120,MATCH(VLOOKUP("*"&amp;$AX65,$A$10:$J$11,$J$9,FALSE)&amp;M$7,COM_2012!$B$58:$AH$58,0),FALSE),"")))</f>
        <v/>
      </c>
      <c r="N65" s="494" t="str">
        <f ca="1">IFERROR(VLOOKUP($C65,COM_2012!$B$61:$AH$120,MATCH(VLOOKUP("*"&amp;$AX65,$A$10:$J$11,$J$9,FALSE)&amp;N$7,COM_2012!$B$58:$AH$58,0),FALSE),"")</f>
        <v/>
      </c>
      <c r="O65" s="494" t="str">
        <f>IF(O$7&lt;2020,"",IF($A65="*","",IFERROR(VLOOKUP($C65,' COM_2017_old'!$B$61:$AJ$120,MATCH(VLOOKUP("*"&amp;$AX65,$A$10:$J$11,$J$9,FALSE)&amp;O$7,' COM_2017_old'!$B$58:$AJ$58,0),FALSE),"")))</f>
        <v/>
      </c>
      <c r="P65" s="494" t="str">
        <f ca="1">IFERROR(VLOOKUP($C65,COM_2012!$B$61:$AH$120,MATCH(VLOOKUP("*"&amp;$AX65,$A$10:$J$11,$J$9,FALSE)&amp;P$7,COM_2012!$B$58:$AH$58,0),FALSE),"")</f>
        <v/>
      </c>
      <c r="Q65" s="494" t="str">
        <f ca="1">IFERROR(VLOOKUP($C65,COM_2012!$B$61:$AH$120,MATCH(VLOOKUP("*"&amp;$AX65,$A$10:$J$11,$J$9,FALSE)&amp;Q$7,COM_2012!$B$58:$AH$58,0),FALSE),"")</f>
        <v/>
      </c>
      <c r="R65" s="494">
        <f ca="1">IF($A65="*","",IFERROR(VLOOKUP($C65,' COM_2017_old'!$B$61:$AJ$120,MATCH(VLOOKUP("*"&amp;$AX65,$A$10:$J$11,$J$9,FALSE)&amp;R$7,' COM_2017_old'!$B$58:$AJ$58,0),FALSE),""))</f>
        <v>0.03</v>
      </c>
      <c r="S65" s="494">
        <f t="shared" ref="S65:S71" ca="1" si="34">IF($A65="*","",R65+($W65-$R65)/5)</f>
        <v>4.3999999999999997E-2</v>
      </c>
      <c r="T65" s="494">
        <f t="shared" ref="T65:V71" ca="1" si="35">IF($A65="*","",S65+($W65-$R65)/5)</f>
        <v>5.7999999999999996E-2</v>
      </c>
      <c r="U65" s="494">
        <f t="shared" ca="1" si="35"/>
        <v>7.1999999999999995E-2</v>
      </c>
      <c r="V65" s="494">
        <f t="shared" ca="1" si="35"/>
        <v>8.5999999999999993E-2</v>
      </c>
      <c r="W65" s="494">
        <f ca="1">IF($A65="*","",IFERROR(VLOOKUP($C65,' COM_2017_old'!$B$61:$AJ$120,MATCH(VLOOKUP("*"&amp;$AX65,$A$10:$J$11,$J$9,FALSE)&amp;W$7,' COM_2017_old'!$B$58:$AJ$58,0),FALSE),""))</f>
        <v>0.1</v>
      </c>
      <c r="X65" s="494">
        <f t="shared" ref="X65:X71" ca="1" si="36">IF($A65="*","",W65+($AB65-$W65)/5)</f>
        <v>0.14000000000000001</v>
      </c>
      <c r="Y65" s="494">
        <f t="shared" ref="Y65:AA71" ca="1" si="37">IF($A65="*","",X65+($AB65-$W65)/5)</f>
        <v>0.18</v>
      </c>
      <c r="Z65" s="494">
        <f t="shared" ca="1" si="37"/>
        <v>0.21999999999999997</v>
      </c>
      <c r="AA65" s="494">
        <f t="shared" ca="1" si="37"/>
        <v>0.25999999999999995</v>
      </c>
      <c r="AB65" s="494">
        <f ca="1">IF($A65="*","",IFERROR(VLOOKUP($C65,' COM_2017_old'!$B$61:$AJ$120,MATCH(VLOOKUP("*"&amp;$AX65,$A$10:$J$11,$J$9,FALSE)&amp;AB$7,' COM_2017_old'!$B$58:$AJ$58,0),FALSE),""))</f>
        <v>0.3</v>
      </c>
      <c r="AC65" s="494">
        <f t="shared" ref="AC65:AC71" ca="1" si="38">IF($A65="*","",AB65+($AG65-$AB65)/5)</f>
        <v>0.35</v>
      </c>
      <c r="AD65" s="494">
        <f t="shared" ref="AD65:AF71" ca="1" si="39">IF($A65="*","",AC65+($AG65-$AB65)/5)</f>
        <v>0.39999999999999997</v>
      </c>
      <c r="AE65" s="494">
        <f t="shared" ca="1" si="39"/>
        <v>0.44999999999999996</v>
      </c>
      <c r="AF65" s="494">
        <f t="shared" ca="1" si="39"/>
        <v>0.49999999999999994</v>
      </c>
      <c r="AG65" s="494">
        <f ca="1">IF($A65="*","",IFERROR(VLOOKUP($C65,' COM_2017_old'!$B$61:$AJ$120,MATCH(VLOOKUP("*"&amp;$AX65,$A$10:$J$11,$J$9,FALSE)&amp;AG$7,' COM_2017_old'!$B$58:$AJ$58,0),FALSE),""))</f>
        <v>0.55000000000000004</v>
      </c>
      <c r="AH65" s="494">
        <f t="shared" ref="AH65:AH71" ca="1" si="40">IF($A65="*","",AG65+($AL65-$AG65)/5)</f>
        <v>0.61</v>
      </c>
      <c r="AI65" s="494">
        <f t="shared" ref="AI65:AK71" ca="1" si="41">IF($A65="*","",AH65+($AL65-$AG65)/5)</f>
        <v>0.66999999999999993</v>
      </c>
      <c r="AJ65" s="494">
        <f t="shared" ca="1" si="41"/>
        <v>0.72999999999999987</v>
      </c>
      <c r="AK65" s="494">
        <f t="shared" ca="1" si="41"/>
        <v>0.78999999999999981</v>
      </c>
      <c r="AL65" s="494">
        <f ca="1">IF($A65="*","",IFERROR(VLOOKUP($C65,' COM_2017_old'!$B$61:$AJ$120,MATCH(VLOOKUP("*"&amp;$AX65,$A$10:$J$11,$J$9,FALSE)&amp;AL$7,' COM_2017_old'!$B$58:$AJ$58,0),FALSE),""))</f>
        <v>0.85</v>
      </c>
      <c r="AM65" s="494">
        <f ca="1">IF($A65="*","",IFERROR(VLOOKUP($C65,' COM_2017_old'!$B$61:$AJ$120,MATCH(VLOOKUP("*"&amp;$AX65,$A$10:$J$11,$J$9,FALSE)&amp;AM$7,' COM_2017_old'!$B$58:$AJ$58,0),FALSE),""))</f>
        <v>0.95</v>
      </c>
      <c r="AN65" s="494">
        <f ca="1">IF($A65="*","",IFERROR(VLOOKUP($C65,' COM_2017_old'!$B$61:$AJ$120,MATCH(VLOOKUP("*"&amp;$AX65,$A$10:$J$11,$J$9,FALSE)&amp;AN$7,' COM_2017_old'!$B$58:$AJ$58,0),FALSE),""))</f>
        <v>1</v>
      </c>
      <c r="AO65" s="391" t="str">
        <f ca="1">IFERROR(VLOOKUP($C65,COM_2012!$B$61:$AH$120,MATCH(VLOOKUP("*"&amp;$AX65,$A$10:$J$11,$J$9,FALSE)&amp;AO$7,COM_2012!$B$58:$AH$58,0),FALSE),"")</f>
        <v/>
      </c>
      <c r="AP65" s="391" t="str">
        <f ca="1">IFERROR(VLOOKUP($C65,COM_2012!$B$61:$AH$120,MATCH(VLOOKUP("*"&amp;$AX65,$A$10:$J$11,$J$9,FALSE)&amp;AP$7,COM_2012!$B$58:$AH$58,0),FALSE),"")</f>
        <v/>
      </c>
      <c r="AQ65" s="391" t="str">
        <f ca="1">IFERROR(VLOOKUP($C65,COM_2012!$B$61:$AH$120,MATCH(VLOOKUP("*"&amp;$AX65,$A$10:$J$11,$J$9,FALSE)&amp;AQ$7,COM_2012!$B$58:$AH$58,0),FALSE),"")</f>
        <v/>
      </c>
      <c r="AR65" s="391" t="str">
        <f ca="1">IFERROR(VLOOKUP($C65,COM_2012!$B$61:$AH$120,MATCH(VLOOKUP("*"&amp;$AX65,$A$10:$J$11,$J$9,FALSE)&amp;AR$7,COM_2012!$B$58:$AH$58,0),FALSE),"")</f>
        <v/>
      </c>
      <c r="AS65" s="391" t="str">
        <f ca="1">IFERROR(VLOOKUP($C65,COM_2012!$B$61:$AH$120,MATCH(VLOOKUP("*"&amp;$AX65,$A$10:$J$11,$J$9,FALSE)&amp;AS$7,COM_2012!$B$58:$AH$58,0),FALSE),"")</f>
        <v/>
      </c>
      <c r="AT65" s="391" t="str">
        <f ca="1">IFERROR(VLOOKUP($C65,COM_2012!$B$61:$AH$120,MATCH(VLOOKUP("*"&amp;$AX65,$A$10:$J$11,$J$9,FALSE)&amp;AT$7,COM_2012!$B$58:$AH$58,0),FALSE),"")</f>
        <v/>
      </c>
      <c r="AU65" s="391" t="str">
        <f ca="1">IFERROR(VLOOKUP($C65,COM_2012!$B$61:$AH$120,MATCH(VLOOKUP("*"&amp;$AX65,$A$10:$J$11,$J$9,FALSE)&amp;AU$7,COM_2012!$B$58:$AH$58,0),FALSE),"")</f>
        <v/>
      </c>
      <c r="AV65" s="391" t="str">
        <f ca="1">IFERROR(VLOOKUP($C65,COM_2012!$B$61:$AH$120,MATCH(VLOOKUP("*"&amp;$AX65,$A$10:$J$11,$J$9,FALSE)&amp;AV$7,COM_2012!$B$58:$AH$58,0),FALSE),"")</f>
        <v/>
      </c>
      <c r="AW65" s="391" t="str">
        <f ca="1">IFERROR(VLOOKUP($C65,COM_2012!$B$61:$AH$120,MATCH(VLOOKUP("*"&amp;$AX65,$A$10:$J$11,$J$9,FALSE)&amp;AW$7,COM_2012!$B$58:$AH$58,0),FALSE),"")</f>
        <v/>
      </c>
      <c r="AX65" s="304">
        <f>IF(AY64=COM_2012!$AI$121,AX64+1,AX64)</f>
        <v>1</v>
      </c>
      <c r="AY65" s="304">
        <f t="shared" si="15"/>
        <v>53</v>
      </c>
    </row>
    <row r="66" spans="1:51">
      <c r="A66" s="304" t="str">
        <f ca="1">IF(LEFT(OFFSET(COM_2012!$A$60,AY66,0),2)="\I","*","")</f>
        <v/>
      </c>
      <c r="B66" s="369" t="str">
        <f t="shared" ca="1" si="19"/>
        <v>FLO_MRKPRD</v>
      </c>
      <c r="C66" s="369" t="str">
        <f ca="1">IF($A66="*","",OFFSET(COM_2012!$B$60,AY66,0))</f>
        <v>CEOODS-E</v>
      </c>
      <c r="D66" s="369" t="str">
        <f t="shared" ca="1" si="14"/>
        <v>CEO</v>
      </c>
      <c r="E66" s="369" t="str">
        <f t="shared" ca="1" si="20"/>
        <v>-</v>
      </c>
      <c r="F66" s="370" t="str">
        <f t="shared" ca="1" si="17"/>
        <v>-</v>
      </c>
      <c r="G66" s="370" t="str">
        <f t="shared" ca="1" si="17"/>
        <v>ANNUAL</v>
      </c>
      <c r="H66" s="370" t="str">
        <f t="shared" ca="1" si="21"/>
        <v>UP</v>
      </c>
      <c r="I66" s="370">
        <f t="shared" ca="1" si="21"/>
        <v>0</v>
      </c>
      <c r="J66" s="494" t="str">
        <f>IF(J$7&lt;2020,"",IF(A66="*","",IFERROR(VLOOKUP($C66,COM_2012!$B$61:$AH$120,MATCH(VLOOKUP("*"&amp;$AX66,$A$10:$J$11,$J$9,FALSE)&amp;J$7,COM_2012!$B$58:$AH$58,0),FALSE),"")))</f>
        <v/>
      </c>
      <c r="K66" s="494" t="str">
        <f>IF(K$7&lt;2020,"",IF(B66="*","",IFERROR(VLOOKUP($C66,COM_2012!$B$61:$AH$120,MATCH(VLOOKUP("*"&amp;$AX66,$A$10:$J$11,$J$9,FALSE)&amp;K$7,COM_2012!$B$58:$AH$58,0),FALSE),"")))</f>
        <v/>
      </c>
      <c r="L66" s="494" t="str">
        <f>IF(L$7&lt;2020,"",IF(C66="*","",IFERROR(VLOOKUP($C66,COM_2012!$B$61:$AH$120,MATCH(VLOOKUP("*"&amp;$AX66,$A$10:$J$11,$J$9,FALSE)&amp;L$7,COM_2012!$B$58:$AH$58,0),FALSE),"")))</f>
        <v/>
      </c>
      <c r="M66" s="494" t="str">
        <f>IF(M$7&lt;2020,"",IF(D66="*","",IFERROR(VLOOKUP($C66,COM_2012!$B$61:$AH$120,MATCH(VLOOKUP("*"&amp;$AX66,$A$10:$J$11,$J$9,FALSE)&amp;M$7,COM_2012!$B$58:$AH$58,0),FALSE),"")))</f>
        <v/>
      </c>
      <c r="N66" s="494" t="str">
        <f ca="1">IFERROR(VLOOKUP($C66,COM_2012!$B$61:$AH$120,MATCH(VLOOKUP("*"&amp;$AX66,$A$10:$J$11,$J$9,FALSE)&amp;N$7,COM_2012!$B$58:$AH$58,0),FALSE),"")</f>
        <v/>
      </c>
      <c r="O66" s="494" t="str">
        <f>IF(O$7&lt;2020,"",IF($A66="*","",IFERROR(VLOOKUP($C66,' COM_2017_old'!$B$61:$AJ$120,MATCH(VLOOKUP("*"&amp;$AX66,$A$10:$J$11,$J$9,FALSE)&amp;O$7,' COM_2017_old'!$B$58:$AJ$58,0),FALSE),"")))</f>
        <v/>
      </c>
      <c r="P66" s="494" t="str">
        <f ca="1">IFERROR(VLOOKUP($C66,COM_2012!$B$61:$AH$120,MATCH(VLOOKUP("*"&amp;$AX66,$A$10:$J$11,$J$9,FALSE)&amp;P$7,COM_2012!$B$58:$AH$58,0),FALSE),"")</f>
        <v/>
      </c>
      <c r="Q66" s="494" t="str">
        <f ca="1">IFERROR(VLOOKUP($C66,COM_2012!$B$61:$AH$120,MATCH(VLOOKUP("*"&amp;$AX66,$A$10:$J$11,$J$9,FALSE)&amp;Q$7,COM_2012!$B$58:$AH$58,0),FALSE),"")</f>
        <v/>
      </c>
      <c r="R66" s="494">
        <f ca="1">IF($A66="*","",IFERROR(VLOOKUP($C66,' COM_2017_old'!$B$61:$AJ$120,MATCH(VLOOKUP("*"&amp;$AX66,$A$10:$J$11,$J$9,FALSE)&amp;R$7,' COM_2017_old'!$B$58:$AJ$58,0),FALSE),""))</f>
        <v>0.11015598697730933</v>
      </c>
      <c r="S66" s="494">
        <f t="shared" ca="1" si="34"/>
        <v>0.12415598697730933</v>
      </c>
      <c r="T66" s="494">
        <f t="shared" ca="1" si="35"/>
        <v>0.13815598697730933</v>
      </c>
      <c r="U66" s="494">
        <f t="shared" ca="1" si="35"/>
        <v>0.15215598697730934</v>
      </c>
      <c r="V66" s="494">
        <f t="shared" ca="1" si="35"/>
        <v>0.16615598697730935</v>
      </c>
      <c r="W66" s="494">
        <f ca="1">IF($A66="*","",IFERROR(VLOOKUP($C66,' COM_2017_old'!$B$61:$AJ$120,MATCH(VLOOKUP("*"&amp;$AX66,$A$10:$J$11,$J$9,FALSE)&amp;W$7,' COM_2017_old'!$B$58:$AJ$58,0),FALSE),""))</f>
        <v>0.18015598697730933</v>
      </c>
      <c r="X66" s="494">
        <f t="shared" ca="1" si="36"/>
        <v>0.22015598697730934</v>
      </c>
      <c r="Y66" s="494">
        <f t="shared" ca="1" si="37"/>
        <v>0.26015598697730935</v>
      </c>
      <c r="Z66" s="494">
        <f t="shared" ca="1" si="37"/>
        <v>0.30015598697730933</v>
      </c>
      <c r="AA66" s="494">
        <f t="shared" ca="1" si="37"/>
        <v>0.34015598697730931</v>
      </c>
      <c r="AB66" s="494">
        <f ca="1">IF($A66="*","",IFERROR(VLOOKUP($C66,' COM_2017_old'!$B$61:$AJ$120,MATCH(VLOOKUP("*"&amp;$AX66,$A$10:$J$11,$J$9,FALSE)&amp;AB$7,' COM_2017_old'!$B$58:$AJ$58,0),FALSE),""))</f>
        <v>0.38015598697730935</v>
      </c>
      <c r="AC66" s="494">
        <f t="shared" ca="1" si="38"/>
        <v>0.43015598697730933</v>
      </c>
      <c r="AD66" s="494">
        <f t="shared" ca="1" si="39"/>
        <v>0.48015598697730932</v>
      </c>
      <c r="AE66" s="494">
        <f t="shared" ca="1" si="39"/>
        <v>0.53015598697730937</v>
      </c>
      <c r="AF66" s="494">
        <f t="shared" ca="1" si="39"/>
        <v>0.58015598697730941</v>
      </c>
      <c r="AG66" s="494">
        <f ca="1">IF($A66="*","",IFERROR(VLOOKUP($C66,' COM_2017_old'!$B$61:$AJ$120,MATCH(VLOOKUP("*"&amp;$AX66,$A$10:$J$11,$J$9,FALSE)&amp;AG$7,' COM_2017_old'!$B$58:$AJ$58,0),FALSE),""))</f>
        <v>0.63015598697730935</v>
      </c>
      <c r="AH66" s="494">
        <f t="shared" ca="1" si="40"/>
        <v>0.69015598697730929</v>
      </c>
      <c r="AI66" s="494">
        <f t="shared" ca="1" si="41"/>
        <v>0.75015598697730923</v>
      </c>
      <c r="AJ66" s="494">
        <f t="shared" ca="1" si="41"/>
        <v>0.81015598697730917</v>
      </c>
      <c r="AK66" s="494">
        <f t="shared" ca="1" si="41"/>
        <v>0.87015598697730911</v>
      </c>
      <c r="AL66" s="494">
        <f ca="1">IF($A66="*","",IFERROR(VLOOKUP($C66,' COM_2017_old'!$B$61:$AJ$120,MATCH(VLOOKUP("*"&amp;$AX66,$A$10:$J$11,$J$9,FALSE)&amp;AL$7,' COM_2017_old'!$B$58:$AJ$58,0),FALSE),""))</f>
        <v>0.93015598697730928</v>
      </c>
      <c r="AM66" s="494">
        <f ca="1">IF($A66="*","",IFERROR(VLOOKUP($C66,' COM_2017_old'!$B$61:$AJ$120,MATCH(VLOOKUP("*"&amp;$AX66,$A$10:$J$11,$J$9,FALSE)&amp;AM$7,' COM_2017_old'!$B$58:$AJ$58,0),FALSE),""))</f>
        <v>1</v>
      </c>
      <c r="AN66" s="494">
        <f ca="1">IF($A66="*","",IFERROR(VLOOKUP($C66,' COM_2017_old'!$B$61:$AJ$120,MATCH(VLOOKUP("*"&amp;$AX66,$A$10:$J$11,$J$9,FALSE)&amp;AN$7,' COM_2017_old'!$B$58:$AJ$58,0),FALSE),""))</f>
        <v>1</v>
      </c>
      <c r="AO66" s="391" t="str">
        <f ca="1">IFERROR(VLOOKUP($C66,COM_2012!$B$61:$AH$120,MATCH(VLOOKUP("*"&amp;$AX66,$A$10:$J$11,$J$9,FALSE)&amp;AO$7,COM_2012!$B$58:$AH$58,0),FALSE),"")</f>
        <v/>
      </c>
      <c r="AP66" s="391" t="str">
        <f ca="1">IFERROR(VLOOKUP($C66,COM_2012!$B$61:$AH$120,MATCH(VLOOKUP("*"&amp;$AX66,$A$10:$J$11,$J$9,FALSE)&amp;AP$7,COM_2012!$B$58:$AH$58,0),FALSE),"")</f>
        <v/>
      </c>
      <c r="AQ66" s="391" t="str">
        <f ca="1">IFERROR(VLOOKUP($C66,COM_2012!$B$61:$AH$120,MATCH(VLOOKUP("*"&amp;$AX66,$A$10:$J$11,$J$9,FALSE)&amp;AQ$7,COM_2012!$B$58:$AH$58,0),FALSE),"")</f>
        <v/>
      </c>
      <c r="AR66" s="391" t="str">
        <f ca="1">IFERROR(VLOOKUP($C66,COM_2012!$B$61:$AH$120,MATCH(VLOOKUP("*"&amp;$AX66,$A$10:$J$11,$J$9,FALSE)&amp;AR$7,COM_2012!$B$58:$AH$58,0),FALSE),"")</f>
        <v/>
      </c>
      <c r="AS66" s="391" t="str">
        <f ca="1">IFERROR(VLOOKUP($C66,COM_2012!$B$61:$AH$120,MATCH(VLOOKUP("*"&amp;$AX66,$A$10:$J$11,$J$9,FALSE)&amp;AS$7,COM_2012!$B$58:$AH$58,0),FALSE),"")</f>
        <v/>
      </c>
      <c r="AT66" s="391" t="str">
        <f ca="1">IFERROR(VLOOKUP($C66,COM_2012!$B$61:$AH$120,MATCH(VLOOKUP("*"&amp;$AX66,$A$10:$J$11,$J$9,FALSE)&amp;AT$7,COM_2012!$B$58:$AH$58,0),FALSE),"")</f>
        <v/>
      </c>
      <c r="AU66" s="391" t="str">
        <f ca="1">IFERROR(VLOOKUP($C66,COM_2012!$B$61:$AH$120,MATCH(VLOOKUP("*"&amp;$AX66,$A$10:$J$11,$J$9,FALSE)&amp;AU$7,COM_2012!$B$58:$AH$58,0),FALSE),"")</f>
        <v/>
      </c>
      <c r="AV66" s="391" t="str">
        <f ca="1">IFERROR(VLOOKUP($C66,COM_2012!$B$61:$AH$120,MATCH(VLOOKUP("*"&amp;$AX66,$A$10:$J$11,$J$9,FALSE)&amp;AV$7,COM_2012!$B$58:$AH$58,0),FALSE),"")</f>
        <v/>
      </c>
      <c r="AW66" s="391" t="str">
        <f ca="1">IFERROR(VLOOKUP($C66,COM_2012!$B$61:$AH$120,MATCH(VLOOKUP("*"&amp;$AX66,$A$10:$J$11,$J$9,FALSE)&amp;AW$7,COM_2012!$B$58:$AH$58,0),FALSE),"")</f>
        <v/>
      </c>
      <c r="AX66" s="304">
        <f>IF(AY65=COM_2012!$AI$121,AX65+1,AX65)</f>
        <v>1</v>
      </c>
      <c r="AY66" s="304">
        <f t="shared" si="15"/>
        <v>54</v>
      </c>
    </row>
    <row r="67" spans="1:51">
      <c r="A67" s="304" t="str">
        <f ca="1">IF(LEFT(OFFSET(COM_2012!$A$60,AY67,0),2)="\I","*","")</f>
        <v/>
      </c>
      <c r="B67" s="369" t="str">
        <f t="shared" ca="1" si="19"/>
        <v>FLO_MRKPRD</v>
      </c>
      <c r="C67" s="369" t="str">
        <f ca="1">IF($A67="*","",OFFSET(COM_2012!$B$60,AY67,0))</f>
        <v>CEOELC-E</v>
      </c>
      <c r="D67" s="369" t="str">
        <f t="shared" ca="1" si="14"/>
        <v>CEO</v>
      </c>
      <c r="E67" s="369" t="str">
        <f t="shared" ca="1" si="20"/>
        <v>-</v>
      </c>
      <c r="F67" s="370" t="str">
        <f t="shared" ca="1" si="17"/>
        <v>-</v>
      </c>
      <c r="G67" s="370" t="str">
        <f t="shared" ca="1" si="17"/>
        <v>ANNUAL</v>
      </c>
      <c r="H67" s="370" t="str">
        <f t="shared" ca="1" si="21"/>
        <v>UP</v>
      </c>
      <c r="I67" s="370">
        <f t="shared" ca="1" si="21"/>
        <v>0</v>
      </c>
      <c r="J67" s="494" t="str">
        <f>IF(J$7&lt;2020,"",IF(A67="*","",IFERROR(VLOOKUP($C67,COM_2012!$B$61:$AH$120,MATCH(VLOOKUP("*"&amp;$AX67,$A$10:$J$11,$J$9,FALSE)&amp;J$7,COM_2012!$B$58:$AH$58,0),FALSE),"")))</f>
        <v/>
      </c>
      <c r="K67" s="494" t="str">
        <f>IF(K$7&lt;2020,"",IF(B67="*","",IFERROR(VLOOKUP($C67,COM_2012!$B$61:$AH$120,MATCH(VLOOKUP("*"&amp;$AX67,$A$10:$J$11,$J$9,FALSE)&amp;K$7,COM_2012!$B$58:$AH$58,0),FALSE),"")))</f>
        <v/>
      </c>
      <c r="L67" s="494" t="str">
        <f>IF(L$7&lt;2020,"",IF(C67="*","",IFERROR(VLOOKUP($C67,COM_2012!$B$61:$AH$120,MATCH(VLOOKUP("*"&amp;$AX67,$A$10:$J$11,$J$9,FALSE)&amp;L$7,COM_2012!$B$58:$AH$58,0),FALSE),"")))</f>
        <v/>
      </c>
      <c r="M67" s="494" t="str">
        <f>IF(M$7&lt;2020,"",IF(D67="*","",IFERROR(VLOOKUP($C67,COM_2012!$B$61:$AH$120,MATCH(VLOOKUP("*"&amp;$AX67,$A$10:$J$11,$J$9,FALSE)&amp;M$7,COM_2012!$B$58:$AH$58,0),FALSE),"")))</f>
        <v/>
      </c>
      <c r="N67" s="494" t="str">
        <f ca="1">IFERROR(VLOOKUP($C67,COM_2012!$B$61:$AH$120,MATCH(VLOOKUP("*"&amp;$AX67,$A$10:$J$11,$J$9,FALSE)&amp;N$7,COM_2012!$B$58:$AH$58,0),FALSE),"")</f>
        <v/>
      </c>
      <c r="O67" s="494" t="str">
        <f>IF(O$7&lt;2020,"",IF($A67="*","",IFERROR(VLOOKUP($C67,' COM_2017_old'!$B$61:$AJ$120,MATCH(VLOOKUP("*"&amp;$AX67,$A$10:$J$11,$J$9,FALSE)&amp;O$7,' COM_2017_old'!$B$58:$AJ$58,0),FALSE),"")))</f>
        <v/>
      </c>
      <c r="P67" s="494" t="str">
        <f ca="1">IFERROR(VLOOKUP($C67,COM_2012!$B$61:$AH$120,MATCH(VLOOKUP("*"&amp;$AX67,$A$10:$J$11,$J$9,FALSE)&amp;P$7,COM_2012!$B$58:$AH$58,0),FALSE),"")</f>
        <v/>
      </c>
      <c r="Q67" s="494" t="str">
        <f ca="1">IFERROR(VLOOKUP($C67,COM_2012!$B$61:$AH$120,MATCH(VLOOKUP("*"&amp;$AX67,$A$10:$J$11,$J$9,FALSE)&amp;Q$7,COM_2012!$B$58:$AH$58,0),FALSE),"")</f>
        <v/>
      </c>
      <c r="R67" s="494">
        <f ca="1">IF($A67="*","",IFERROR(VLOOKUP($C67,' COM_2017_old'!$B$61:$AJ$120,MATCH(VLOOKUP("*"&amp;$AX67,$A$10:$J$11,$J$9,FALSE)&amp;R$7,' COM_2017_old'!$B$58:$AJ$58,0),FALSE),""))</f>
        <v>0.94599197105171762</v>
      </c>
      <c r="S67" s="494">
        <f t="shared" ca="1" si="34"/>
        <v>0.95679357684137412</v>
      </c>
      <c r="T67" s="494">
        <f t="shared" ca="1" si="35"/>
        <v>0.96759518263103061</v>
      </c>
      <c r="U67" s="494">
        <f t="shared" ca="1" si="35"/>
        <v>0.97839678842068711</v>
      </c>
      <c r="V67" s="494">
        <f t="shared" ca="1" si="35"/>
        <v>0.98919839421034361</v>
      </c>
      <c r="W67" s="494">
        <f ca="1">IF($A67="*","",IFERROR(VLOOKUP($C67,' COM_2017_old'!$B$61:$AJ$120,MATCH(VLOOKUP("*"&amp;$AX67,$A$10:$J$11,$J$9,FALSE)&amp;W$7,' COM_2017_old'!$B$58:$AJ$58,0),FALSE),""))</f>
        <v>1</v>
      </c>
      <c r="X67" s="494">
        <f t="shared" ca="1" si="36"/>
        <v>1</v>
      </c>
      <c r="Y67" s="494">
        <f t="shared" ca="1" si="37"/>
        <v>1</v>
      </c>
      <c r="Z67" s="494">
        <f t="shared" ca="1" si="37"/>
        <v>1</v>
      </c>
      <c r="AA67" s="494">
        <f t="shared" ca="1" si="37"/>
        <v>1</v>
      </c>
      <c r="AB67" s="494">
        <f ca="1">IF($A67="*","",IFERROR(VLOOKUP($C67,' COM_2017_old'!$B$61:$AJ$120,MATCH(VLOOKUP("*"&amp;$AX67,$A$10:$J$11,$J$9,FALSE)&amp;AB$7,' COM_2017_old'!$B$58:$AJ$58,0),FALSE),""))</f>
        <v>1</v>
      </c>
      <c r="AC67" s="494">
        <f t="shared" ca="1" si="38"/>
        <v>1</v>
      </c>
      <c r="AD67" s="494">
        <f t="shared" ca="1" si="39"/>
        <v>1</v>
      </c>
      <c r="AE67" s="494">
        <f t="shared" ca="1" si="39"/>
        <v>1</v>
      </c>
      <c r="AF67" s="494">
        <f t="shared" ca="1" si="39"/>
        <v>1</v>
      </c>
      <c r="AG67" s="494">
        <f ca="1">IF($A67="*","",IFERROR(VLOOKUP($C67,' COM_2017_old'!$B$61:$AJ$120,MATCH(VLOOKUP("*"&amp;$AX67,$A$10:$J$11,$J$9,FALSE)&amp;AG$7,' COM_2017_old'!$B$58:$AJ$58,0),FALSE),""))</f>
        <v>1</v>
      </c>
      <c r="AH67" s="494">
        <f t="shared" ca="1" si="40"/>
        <v>1</v>
      </c>
      <c r="AI67" s="494">
        <f t="shared" ca="1" si="41"/>
        <v>1</v>
      </c>
      <c r="AJ67" s="494">
        <f t="shared" ca="1" si="41"/>
        <v>1</v>
      </c>
      <c r="AK67" s="494">
        <f t="shared" ca="1" si="41"/>
        <v>1</v>
      </c>
      <c r="AL67" s="494">
        <f ca="1">IF($A67="*","",IFERROR(VLOOKUP($C67,' COM_2017_old'!$B$61:$AJ$120,MATCH(VLOOKUP("*"&amp;$AX67,$A$10:$J$11,$J$9,FALSE)&amp;AL$7,' COM_2017_old'!$B$58:$AJ$58,0),FALSE),""))</f>
        <v>1</v>
      </c>
      <c r="AM67" s="494">
        <f ca="1">IF($A67="*","",IFERROR(VLOOKUP($C67,' COM_2017_old'!$B$61:$AJ$120,MATCH(VLOOKUP("*"&amp;$AX67,$A$10:$J$11,$J$9,FALSE)&amp;AM$7,' COM_2017_old'!$B$58:$AJ$58,0),FALSE),""))</f>
        <v>1</v>
      </c>
      <c r="AN67" s="494">
        <f ca="1">IF($A67="*","",IFERROR(VLOOKUP($C67,' COM_2017_old'!$B$61:$AJ$120,MATCH(VLOOKUP("*"&amp;$AX67,$A$10:$J$11,$J$9,FALSE)&amp;AN$7,' COM_2017_old'!$B$58:$AJ$58,0),FALSE),""))</f>
        <v>1</v>
      </c>
      <c r="AO67" s="391" t="str">
        <f ca="1">IFERROR(VLOOKUP($C67,COM_2012!$B$61:$AH$120,MATCH(VLOOKUP("*"&amp;$AX67,$A$10:$J$11,$J$9,FALSE)&amp;AO$7,COM_2012!$B$58:$AH$58,0),FALSE),"")</f>
        <v/>
      </c>
      <c r="AP67" s="391" t="str">
        <f ca="1">IFERROR(VLOOKUP($C67,COM_2012!$B$61:$AH$120,MATCH(VLOOKUP("*"&amp;$AX67,$A$10:$J$11,$J$9,FALSE)&amp;AP$7,COM_2012!$B$58:$AH$58,0),FALSE),"")</f>
        <v/>
      </c>
      <c r="AQ67" s="391" t="str">
        <f ca="1">IFERROR(VLOOKUP($C67,COM_2012!$B$61:$AH$120,MATCH(VLOOKUP("*"&amp;$AX67,$A$10:$J$11,$J$9,FALSE)&amp;AQ$7,COM_2012!$B$58:$AH$58,0),FALSE),"")</f>
        <v/>
      </c>
      <c r="AR67" s="391" t="str">
        <f ca="1">IFERROR(VLOOKUP($C67,COM_2012!$B$61:$AH$120,MATCH(VLOOKUP("*"&amp;$AX67,$A$10:$J$11,$J$9,FALSE)&amp;AR$7,COM_2012!$B$58:$AH$58,0),FALSE),"")</f>
        <v/>
      </c>
      <c r="AS67" s="391" t="str">
        <f ca="1">IFERROR(VLOOKUP($C67,COM_2012!$B$61:$AH$120,MATCH(VLOOKUP("*"&amp;$AX67,$A$10:$J$11,$J$9,FALSE)&amp;AS$7,COM_2012!$B$58:$AH$58,0),FALSE),"")</f>
        <v/>
      </c>
      <c r="AT67" s="391" t="str">
        <f ca="1">IFERROR(VLOOKUP($C67,COM_2012!$B$61:$AH$120,MATCH(VLOOKUP("*"&amp;$AX67,$A$10:$J$11,$J$9,FALSE)&amp;AT$7,COM_2012!$B$58:$AH$58,0),FALSE),"")</f>
        <v/>
      </c>
      <c r="AU67" s="391" t="str">
        <f ca="1">IFERROR(VLOOKUP($C67,COM_2012!$B$61:$AH$120,MATCH(VLOOKUP("*"&amp;$AX67,$A$10:$J$11,$J$9,FALSE)&amp;AU$7,COM_2012!$B$58:$AH$58,0),FALSE),"")</f>
        <v/>
      </c>
      <c r="AV67" s="391" t="str">
        <f ca="1">IFERROR(VLOOKUP($C67,COM_2012!$B$61:$AH$120,MATCH(VLOOKUP("*"&amp;$AX67,$A$10:$J$11,$J$9,FALSE)&amp;AV$7,COM_2012!$B$58:$AH$58,0),FALSE),"")</f>
        <v/>
      </c>
      <c r="AW67" s="391" t="str">
        <f ca="1">IFERROR(VLOOKUP($C67,COM_2012!$B$61:$AH$120,MATCH(VLOOKUP("*"&amp;$AX67,$A$10:$J$11,$J$9,FALSE)&amp;AW$7,COM_2012!$B$58:$AH$58,0),FALSE),"")</f>
        <v/>
      </c>
      <c r="AX67" s="304">
        <f>IF(AY66=COM_2012!$AI$121,AX66+1,AX66)</f>
        <v>1</v>
      </c>
      <c r="AY67" s="304">
        <f t="shared" si="15"/>
        <v>55</v>
      </c>
    </row>
    <row r="68" spans="1:51">
      <c r="A68" s="304" t="str">
        <f ca="1">IF(LEFT(OFFSET(COM_2012!$A$60,AY68,0),2)="\I","*","")</f>
        <v/>
      </c>
      <c r="B68" s="369" t="str">
        <f t="shared" ca="1" si="19"/>
        <v>FLO_MRKPRD</v>
      </c>
      <c r="C68" s="369" t="str">
        <f ca="1">IF($A68="*","",OFFSET(COM_2012!$B$60,AY68,0))</f>
        <v>CEOGAS-E</v>
      </c>
      <c r="D68" s="369" t="str">
        <f t="shared" ca="1" si="14"/>
        <v>CEO</v>
      </c>
      <c r="E68" s="369" t="str">
        <f t="shared" ca="1" si="20"/>
        <v>-</v>
      </c>
      <c r="F68" s="370" t="str">
        <f t="shared" ca="1" si="17"/>
        <v>-</v>
      </c>
      <c r="G68" s="370" t="str">
        <f t="shared" ca="1" si="17"/>
        <v>ANNUAL</v>
      </c>
      <c r="H68" s="370" t="str">
        <f t="shared" ca="1" si="21"/>
        <v>UP</v>
      </c>
      <c r="I68" s="370">
        <f t="shared" ca="1" si="21"/>
        <v>0</v>
      </c>
      <c r="J68" s="494" t="str">
        <f>IF(J$7&lt;2020,"",IF(A68="*","",IFERROR(VLOOKUP($C68,COM_2012!$B$61:$AH$120,MATCH(VLOOKUP("*"&amp;$AX68,$A$10:$J$11,$J$9,FALSE)&amp;J$7,COM_2012!$B$58:$AH$58,0),FALSE),"")))</f>
        <v/>
      </c>
      <c r="K68" s="494" t="str">
        <f>IF(K$7&lt;2020,"",IF(B68="*","",IFERROR(VLOOKUP($C68,COM_2012!$B$61:$AH$120,MATCH(VLOOKUP("*"&amp;$AX68,$A$10:$J$11,$J$9,FALSE)&amp;K$7,COM_2012!$B$58:$AH$58,0),FALSE),"")))</f>
        <v/>
      </c>
      <c r="L68" s="494" t="str">
        <f>IF(L$7&lt;2020,"",IF(C68="*","",IFERROR(VLOOKUP($C68,COM_2012!$B$61:$AH$120,MATCH(VLOOKUP("*"&amp;$AX68,$A$10:$J$11,$J$9,FALSE)&amp;L$7,COM_2012!$B$58:$AH$58,0),FALSE),"")))</f>
        <v/>
      </c>
      <c r="M68" s="494" t="str">
        <f>IF(M$7&lt;2020,"",IF(D68="*","",IFERROR(VLOOKUP($C68,COM_2012!$B$61:$AH$120,MATCH(VLOOKUP("*"&amp;$AX68,$A$10:$J$11,$J$9,FALSE)&amp;M$7,COM_2012!$B$58:$AH$58,0),FALSE),"")))</f>
        <v/>
      </c>
      <c r="N68" s="494" t="str">
        <f ca="1">IFERROR(VLOOKUP($C68,COM_2012!$B$61:$AH$120,MATCH(VLOOKUP("*"&amp;$AX68,$A$10:$J$11,$J$9,FALSE)&amp;N$7,COM_2012!$B$58:$AH$58,0),FALSE),"")</f>
        <v/>
      </c>
      <c r="O68" s="494" t="str">
        <f>IF(O$7&lt;2020,"",IF($A68="*","",IFERROR(VLOOKUP($C68,' COM_2017_old'!$B$61:$AJ$120,MATCH(VLOOKUP("*"&amp;$AX68,$A$10:$J$11,$J$9,FALSE)&amp;O$7,' COM_2017_old'!$B$58:$AJ$58,0),FALSE),"")))</f>
        <v/>
      </c>
      <c r="P68" s="494" t="str">
        <f ca="1">IFERROR(VLOOKUP($C68,COM_2012!$B$61:$AH$120,MATCH(VLOOKUP("*"&amp;$AX68,$A$10:$J$11,$J$9,FALSE)&amp;P$7,COM_2012!$B$58:$AH$58,0),FALSE),"")</f>
        <v/>
      </c>
      <c r="Q68" s="494" t="str">
        <f ca="1">IFERROR(VLOOKUP($C68,COM_2012!$B$61:$AH$120,MATCH(VLOOKUP("*"&amp;$AX68,$A$10:$J$11,$J$9,FALSE)&amp;Q$7,COM_2012!$B$58:$AH$58,0),FALSE),"")</f>
        <v/>
      </c>
      <c r="R68" s="494">
        <f ca="1">IF($A68="*","",IFERROR(VLOOKUP($C68,' COM_2017_old'!$B$61:$AJ$120,MATCH(VLOOKUP("*"&amp;$AX68,$A$10:$J$11,$J$9,FALSE)&amp;R$7,' COM_2017_old'!$B$58:$AJ$58,0),FALSE),""))</f>
        <v>0.03</v>
      </c>
      <c r="S68" s="494">
        <f t="shared" ca="1" si="34"/>
        <v>4.3999999999999997E-2</v>
      </c>
      <c r="T68" s="494">
        <f t="shared" ca="1" si="35"/>
        <v>5.7999999999999996E-2</v>
      </c>
      <c r="U68" s="494">
        <f t="shared" ca="1" si="35"/>
        <v>7.1999999999999995E-2</v>
      </c>
      <c r="V68" s="494">
        <f t="shared" ca="1" si="35"/>
        <v>8.5999999999999993E-2</v>
      </c>
      <c r="W68" s="494">
        <f ca="1">IF($A68="*","",IFERROR(VLOOKUP($C68,' COM_2017_old'!$B$61:$AJ$120,MATCH(VLOOKUP("*"&amp;$AX68,$A$10:$J$11,$J$9,FALSE)&amp;W$7,' COM_2017_old'!$B$58:$AJ$58,0),FALSE),""))</f>
        <v>0.1</v>
      </c>
      <c r="X68" s="494">
        <f t="shared" ca="1" si="36"/>
        <v>0.14000000000000001</v>
      </c>
      <c r="Y68" s="494">
        <f t="shared" ca="1" si="37"/>
        <v>0.18</v>
      </c>
      <c r="Z68" s="494">
        <f t="shared" ca="1" si="37"/>
        <v>0.21999999999999997</v>
      </c>
      <c r="AA68" s="494">
        <f t="shared" ca="1" si="37"/>
        <v>0.25999999999999995</v>
      </c>
      <c r="AB68" s="494">
        <f ca="1">IF($A68="*","",IFERROR(VLOOKUP($C68,' COM_2017_old'!$B$61:$AJ$120,MATCH(VLOOKUP("*"&amp;$AX68,$A$10:$J$11,$J$9,FALSE)&amp;AB$7,' COM_2017_old'!$B$58:$AJ$58,0),FALSE),""))</f>
        <v>0.3</v>
      </c>
      <c r="AC68" s="494">
        <f t="shared" ca="1" si="38"/>
        <v>0.35</v>
      </c>
      <c r="AD68" s="494">
        <f t="shared" ca="1" si="39"/>
        <v>0.39999999999999997</v>
      </c>
      <c r="AE68" s="494">
        <f t="shared" ca="1" si="39"/>
        <v>0.44999999999999996</v>
      </c>
      <c r="AF68" s="494">
        <f t="shared" ca="1" si="39"/>
        <v>0.49999999999999994</v>
      </c>
      <c r="AG68" s="494">
        <f ca="1">IF($A68="*","",IFERROR(VLOOKUP($C68,' COM_2017_old'!$B$61:$AJ$120,MATCH(VLOOKUP("*"&amp;$AX68,$A$10:$J$11,$J$9,FALSE)&amp;AG$7,' COM_2017_old'!$B$58:$AJ$58,0),FALSE),""))</f>
        <v>0.55000000000000004</v>
      </c>
      <c r="AH68" s="494">
        <f t="shared" ca="1" si="40"/>
        <v>0.61</v>
      </c>
      <c r="AI68" s="494">
        <f t="shared" ca="1" si="41"/>
        <v>0.66999999999999993</v>
      </c>
      <c r="AJ68" s="494">
        <f t="shared" ca="1" si="41"/>
        <v>0.72999999999999987</v>
      </c>
      <c r="AK68" s="494">
        <f t="shared" ca="1" si="41"/>
        <v>0.78999999999999981</v>
      </c>
      <c r="AL68" s="494">
        <f ca="1">IF($A68="*","",IFERROR(VLOOKUP($C68,' COM_2017_old'!$B$61:$AJ$120,MATCH(VLOOKUP("*"&amp;$AX68,$A$10:$J$11,$J$9,FALSE)&amp;AL$7,' COM_2017_old'!$B$58:$AJ$58,0),FALSE),""))</f>
        <v>0.85</v>
      </c>
      <c r="AM68" s="494">
        <f ca="1">IF($A68="*","",IFERROR(VLOOKUP($C68,' COM_2017_old'!$B$61:$AJ$120,MATCH(VLOOKUP("*"&amp;$AX68,$A$10:$J$11,$J$9,FALSE)&amp;AM$7,' COM_2017_old'!$B$58:$AJ$58,0),FALSE),""))</f>
        <v>0.95</v>
      </c>
      <c r="AN68" s="494">
        <f ca="1">IF($A68="*","",IFERROR(VLOOKUP($C68,' COM_2017_old'!$B$61:$AJ$120,MATCH(VLOOKUP("*"&amp;$AX68,$A$10:$J$11,$J$9,FALSE)&amp;AN$7,' COM_2017_old'!$B$58:$AJ$58,0),FALSE),""))</f>
        <v>1</v>
      </c>
      <c r="AO68" s="391" t="str">
        <f ca="1">IFERROR(VLOOKUP($C68,COM_2012!$B$61:$AH$120,MATCH(VLOOKUP("*"&amp;$AX68,$A$10:$J$11,$J$9,FALSE)&amp;AO$7,COM_2012!$B$58:$AH$58,0),FALSE),"")</f>
        <v/>
      </c>
      <c r="AP68" s="391" t="str">
        <f ca="1">IFERROR(VLOOKUP($C68,COM_2012!$B$61:$AH$120,MATCH(VLOOKUP("*"&amp;$AX68,$A$10:$J$11,$J$9,FALSE)&amp;AP$7,COM_2012!$B$58:$AH$58,0),FALSE),"")</f>
        <v/>
      </c>
      <c r="AQ68" s="391" t="str">
        <f ca="1">IFERROR(VLOOKUP($C68,COM_2012!$B$61:$AH$120,MATCH(VLOOKUP("*"&amp;$AX68,$A$10:$J$11,$J$9,FALSE)&amp;AQ$7,COM_2012!$B$58:$AH$58,0),FALSE),"")</f>
        <v/>
      </c>
      <c r="AR68" s="391" t="str">
        <f ca="1">IFERROR(VLOOKUP($C68,COM_2012!$B$61:$AH$120,MATCH(VLOOKUP("*"&amp;$AX68,$A$10:$J$11,$J$9,FALSE)&amp;AR$7,COM_2012!$B$58:$AH$58,0),FALSE),"")</f>
        <v/>
      </c>
      <c r="AS68" s="391" t="str">
        <f ca="1">IFERROR(VLOOKUP($C68,COM_2012!$B$61:$AH$120,MATCH(VLOOKUP("*"&amp;$AX68,$A$10:$J$11,$J$9,FALSE)&amp;AS$7,COM_2012!$B$58:$AH$58,0),FALSE),"")</f>
        <v/>
      </c>
      <c r="AT68" s="391" t="str">
        <f ca="1">IFERROR(VLOOKUP($C68,COM_2012!$B$61:$AH$120,MATCH(VLOOKUP("*"&amp;$AX68,$A$10:$J$11,$J$9,FALSE)&amp;AT$7,COM_2012!$B$58:$AH$58,0),FALSE),"")</f>
        <v/>
      </c>
      <c r="AU68" s="391" t="str">
        <f ca="1">IFERROR(VLOOKUP($C68,COM_2012!$B$61:$AH$120,MATCH(VLOOKUP("*"&amp;$AX68,$A$10:$J$11,$J$9,FALSE)&amp;AU$7,COM_2012!$B$58:$AH$58,0),FALSE),"")</f>
        <v/>
      </c>
      <c r="AV68" s="391" t="str">
        <f ca="1">IFERROR(VLOOKUP($C68,COM_2012!$B$61:$AH$120,MATCH(VLOOKUP("*"&amp;$AX68,$A$10:$J$11,$J$9,FALSE)&amp;AV$7,COM_2012!$B$58:$AH$58,0),FALSE),"")</f>
        <v/>
      </c>
      <c r="AW68" s="391" t="str">
        <f ca="1">IFERROR(VLOOKUP($C68,COM_2012!$B$61:$AH$120,MATCH(VLOOKUP("*"&amp;$AX68,$A$10:$J$11,$J$9,FALSE)&amp;AW$7,COM_2012!$B$58:$AH$58,0),FALSE),"")</f>
        <v/>
      </c>
      <c r="AX68" s="304">
        <f>IF(AY67=COM_2012!$AI$121,AX67+1,AX67)</f>
        <v>1</v>
      </c>
      <c r="AY68" s="304">
        <f t="shared" si="15"/>
        <v>56</v>
      </c>
    </row>
    <row r="69" spans="1:51">
      <c r="A69" s="304" t="str">
        <f ca="1">IF(LEFT(OFFSET(COM_2012!$A$60,AY69,0),2)="\I","*","")</f>
        <v/>
      </c>
      <c r="B69" s="369" t="str">
        <f t="shared" ca="1" si="19"/>
        <v>FLO_MRKPRD</v>
      </c>
      <c r="C69" s="369" t="str">
        <f ca="1">IF($A69="*","",OFFSET(COM_2012!$B$60,AY69,0))</f>
        <v>CEOOGS-E</v>
      </c>
      <c r="D69" s="369" t="str">
        <f t="shared" ca="1" si="14"/>
        <v>CEO</v>
      </c>
      <c r="E69" s="369" t="str">
        <f t="shared" ca="1" si="20"/>
        <v>-</v>
      </c>
      <c r="F69" s="370" t="str">
        <f t="shared" ca="1" si="17"/>
        <v>-</v>
      </c>
      <c r="G69" s="370" t="str">
        <f t="shared" ca="1" si="17"/>
        <v>ANNUAL</v>
      </c>
      <c r="H69" s="370" t="str">
        <f t="shared" ca="1" si="21"/>
        <v>UP</v>
      </c>
      <c r="I69" s="370">
        <f t="shared" ca="1" si="21"/>
        <v>0</v>
      </c>
      <c r="J69" s="494" t="str">
        <f>IF(J$7&lt;2020,"",IF(A69="*","",IFERROR(VLOOKUP($C69,COM_2012!$B$61:$AH$120,MATCH(VLOOKUP("*"&amp;$AX69,$A$10:$J$11,$J$9,FALSE)&amp;J$7,COM_2012!$B$58:$AH$58,0),FALSE),"")))</f>
        <v/>
      </c>
      <c r="K69" s="494" t="str">
        <f>IF(K$7&lt;2020,"",IF(B69="*","",IFERROR(VLOOKUP($C69,COM_2012!$B$61:$AH$120,MATCH(VLOOKUP("*"&amp;$AX69,$A$10:$J$11,$J$9,FALSE)&amp;K$7,COM_2012!$B$58:$AH$58,0),FALSE),"")))</f>
        <v/>
      </c>
      <c r="L69" s="494" t="str">
        <f>IF(L$7&lt;2020,"",IF(C69="*","",IFERROR(VLOOKUP($C69,COM_2012!$B$61:$AH$120,MATCH(VLOOKUP("*"&amp;$AX69,$A$10:$J$11,$J$9,FALSE)&amp;L$7,COM_2012!$B$58:$AH$58,0),FALSE),"")))</f>
        <v/>
      </c>
      <c r="M69" s="494" t="str">
        <f>IF(M$7&lt;2020,"",IF(D69="*","",IFERROR(VLOOKUP($C69,COM_2012!$B$61:$AH$120,MATCH(VLOOKUP("*"&amp;$AX69,$A$10:$J$11,$J$9,FALSE)&amp;M$7,COM_2012!$B$58:$AH$58,0),FALSE),"")))</f>
        <v/>
      </c>
      <c r="N69" s="494" t="str">
        <f ca="1">IFERROR(VLOOKUP($C69,COM_2012!$B$61:$AH$120,MATCH(VLOOKUP("*"&amp;$AX69,$A$10:$J$11,$J$9,FALSE)&amp;N$7,COM_2012!$B$58:$AH$58,0),FALSE),"")</f>
        <v/>
      </c>
      <c r="O69" s="494" t="str">
        <f>IF(O$7&lt;2020,"",IF($A69="*","",IFERROR(VLOOKUP($C69,' COM_2017_old'!$B$61:$AJ$120,MATCH(VLOOKUP("*"&amp;$AX69,$A$10:$J$11,$J$9,FALSE)&amp;O$7,' COM_2017_old'!$B$58:$AJ$58,0),FALSE),"")))</f>
        <v/>
      </c>
      <c r="P69" s="494" t="str">
        <f ca="1">IFERROR(VLOOKUP($C69,COM_2012!$B$61:$AH$120,MATCH(VLOOKUP("*"&amp;$AX69,$A$10:$J$11,$J$9,FALSE)&amp;P$7,COM_2012!$B$58:$AH$58,0),FALSE),"")</f>
        <v/>
      </c>
      <c r="Q69" s="494" t="str">
        <f ca="1">IFERROR(VLOOKUP($C69,COM_2012!$B$61:$AH$120,MATCH(VLOOKUP("*"&amp;$AX69,$A$10:$J$11,$J$9,FALSE)&amp;Q$7,COM_2012!$B$58:$AH$58,0),FALSE),"")</f>
        <v/>
      </c>
      <c r="R69" s="494">
        <f ca="1">IF($A69="*","",IFERROR(VLOOKUP($C69,' COM_2017_old'!$B$61:$AJ$120,MATCH(VLOOKUP("*"&amp;$AX69,$A$10:$J$11,$J$9,FALSE)&amp;R$7,' COM_2017_old'!$B$58:$AJ$58,0),FALSE),""))</f>
        <v>0.03</v>
      </c>
      <c r="S69" s="494">
        <f t="shared" ca="1" si="34"/>
        <v>4.3999999999999997E-2</v>
      </c>
      <c r="T69" s="494">
        <f t="shared" ca="1" si="35"/>
        <v>5.7999999999999996E-2</v>
      </c>
      <c r="U69" s="494">
        <f t="shared" ca="1" si="35"/>
        <v>7.1999999999999995E-2</v>
      </c>
      <c r="V69" s="494">
        <f t="shared" ca="1" si="35"/>
        <v>8.5999999999999993E-2</v>
      </c>
      <c r="W69" s="494">
        <f ca="1">IF($A69="*","",IFERROR(VLOOKUP($C69,' COM_2017_old'!$B$61:$AJ$120,MATCH(VLOOKUP("*"&amp;$AX69,$A$10:$J$11,$J$9,FALSE)&amp;W$7,' COM_2017_old'!$B$58:$AJ$58,0),FALSE),""))</f>
        <v>0.1</v>
      </c>
      <c r="X69" s="494">
        <f t="shared" ca="1" si="36"/>
        <v>0.14000000000000001</v>
      </c>
      <c r="Y69" s="494">
        <f t="shared" ca="1" si="37"/>
        <v>0.18</v>
      </c>
      <c r="Z69" s="494">
        <f t="shared" ca="1" si="37"/>
        <v>0.21999999999999997</v>
      </c>
      <c r="AA69" s="494">
        <f t="shared" ca="1" si="37"/>
        <v>0.25999999999999995</v>
      </c>
      <c r="AB69" s="494">
        <f ca="1">IF($A69="*","",IFERROR(VLOOKUP($C69,' COM_2017_old'!$B$61:$AJ$120,MATCH(VLOOKUP("*"&amp;$AX69,$A$10:$J$11,$J$9,FALSE)&amp;AB$7,' COM_2017_old'!$B$58:$AJ$58,0),FALSE),""))</f>
        <v>0.3</v>
      </c>
      <c r="AC69" s="494">
        <f t="shared" ca="1" si="38"/>
        <v>0.35</v>
      </c>
      <c r="AD69" s="494">
        <f t="shared" ca="1" si="39"/>
        <v>0.39999999999999997</v>
      </c>
      <c r="AE69" s="494">
        <f t="shared" ca="1" si="39"/>
        <v>0.44999999999999996</v>
      </c>
      <c r="AF69" s="494">
        <f t="shared" ca="1" si="39"/>
        <v>0.49999999999999994</v>
      </c>
      <c r="AG69" s="494">
        <f ca="1">IF($A69="*","",IFERROR(VLOOKUP($C69,' COM_2017_old'!$B$61:$AJ$120,MATCH(VLOOKUP("*"&amp;$AX69,$A$10:$J$11,$J$9,FALSE)&amp;AG$7,' COM_2017_old'!$B$58:$AJ$58,0),FALSE),""))</f>
        <v>0.55000000000000004</v>
      </c>
      <c r="AH69" s="494">
        <f t="shared" ca="1" si="40"/>
        <v>0.61</v>
      </c>
      <c r="AI69" s="494">
        <f t="shared" ca="1" si="41"/>
        <v>0.66999999999999993</v>
      </c>
      <c r="AJ69" s="494">
        <f t="shared" ca="1" si="41"/>
        <v>0.72999999999999987</v>
      </c>
      <c r="AK69" s="494">
        <f t="shared" ca="1" si="41"/>
        <v>0.78999999999999981</v>
      </c>
      <c r="AL69" s="494">
        <f ca="1">IF($A69="*","",IFERROR(VLOOKUP($C69,' COM_2017_old'!$B$61:$AJ$120,MATCH(VLOOKUP("*"&amp;$AX69,$A$10:$J$11,$J$9,FALSE)&amp;AL$7,' COM_2017_old'!$B$58:$AJ$58,0),FALSE),""))</f>
        <v>0.85</v>
      </c>
      <c r="AM69" s="494">
        <f ca="1">IF($A69="*","",IFERROR(VLOOKUP($C69,' COM_2017_old'!$B$61:$AJ$120,MATCH(VLOOKUP("*"&amp;$AX69,$A$10:$J$11,$J$9,FALSE)&amp;AM$7,' COM_2017_old'!$B$58:$AJ$58,0),FALSE),""))</f>
        <v>0.95</v>
      </c>
      <c r="AN69" s="494">
        <f ca="1">IF($A69="*","",IFERROR(VLOOKUP($C69,' COM_2017_old'!$B$61:$AJ$120,MATCH(VLOOKUP("*"&amp;$AX69,$A$10:$J$11,$J$9,FALSE)&amp;AN$7,' COM_2017_old'!$B$58:$AJ$58,0),FALSE),""))</f>
        <v>1</v>
      </c>
      <c r="AO69" s="391" t="str">
        <f ca="1">IFERROR(VLOOKUP($C69,COM_2012!$B$61:$AH$120,MATCH(VLOOKUP("*"&amp;$AX69,$A$10:$J$11,$J$9,FALSE)&amp;AO$7,COM_2012!$B$58:$AH$58,0),FALSE),"")</f>
        <v/>
      </c>
      <c r="AP69" s="391" t="str">
        <f ca="1">IFERROR(VLOOKUP($C69,COM_2012!$B$61:$AH$120,MATCH(VLOOKUP("*"&amp;$AX69,$A$10:$J$11,$J$9,FALSE)&amp;AP$7,COM_2012!$B$58:$AH$58,0),FALSE),"")</f>
        <v/>
      </c>
      <c r="AQ69" s="391" t="str">
        <f ca="1">IFERROR(VLOOKUP($C69,COM_2012!$B$61:$AH$120,MATCH(VLOOKUP("*"&amp;$AX69,$A$10:$J$11,$J$9,FALSE)&amp;AQ$7,COM_2012!$B$58:$AH$58,0),FALSE),"")</f>
        <v/>
      </c>
      <c r="AR69" s="391" t="str">
        <f ca="1">IFERROR(VLOOKUP($C69,COM_2012!$B$61:$AH$120,MATCH(VLOOKUP("*"&amp;$AX69,$A$10:$J$11,$J$9,FALSE)&amp;AR$7,COM_2012!$B$58:$AH$58,0),FALSE),"")</f>
        <v/>
      </c>
      <c r="AS69" s="391" t="str">
        <f ca="1">IFERROR(VLOOKUP($C69,COM_2012!$B$61:$AH$120,MATCH(VLOOKUP("*"&amp;$AX69,$A$10:$J$11,$J$9,FALSE)&amp;AS$7,COM_2012!$B$58:$AH$58,0),FALSE),"")</f>
        <v/>
      </c>
      <c r="AT69" s="391" t="str">
        <f ca="1">IFERROR(VLOOKUP($C69,COM_2012!$B$61:$AH$120,MATCH(VLOOKUP("*"&amp;$AX69,$A$10:$J$11,$J$9,FALSE)&amp;AT$7,COM_2012!$B$58:$AH$58,0),FALSE),"")</f>
        <v/>
      </c>
      <c r="AU69" s="391" t="str">
        <f ca="1">IFERROR(VLOOKUP($C69,COM_2012!$B$61:$AH$120,MATCH(VLOOKUP("*"&amp;$AX69,$A$10:$J$11,$J$9,FALSE)&amp;AU$7,COM_2012!$B$58:$AH$58,0),FALSE),"")</f>
        <v/>
      </c>
      <c r="AV69" s="391" t="str">
        <f ca="1">IFERROR(VLOOKUP($C69,COM_2012!$B$61:$AH$120,MATCH(VLOOKUP("*"&amp;$AX69,$A$10:$J$11,$J$9,FALSE)&amp;AV$7,COM_2012!$B$58:$AH$58,0),FALSE),"")</f>
        <v/>
      </c>
      <c r="AW69" s="391" t="str">
        <f ca="1">IFERROR(VLOOKUP($C69,COM_2012!$B$61:$AH$120,MATCH(VLOOKUP("*"&amp;$AX69,$A$10:$J$11,$J$9,FALSE)&amp;AW$7,COM_2012!$B$58:$AH$58,0),FALSE),"")</f>
        <v/>
      </c>
      <c r="AX69" s="304">
        <f>IF(AY68=COM_2012!$AI$121,AX68+1,AX68)</f>
        <v>1</v>
      </c>
      <c r="AY69" s="304">
        <f t="shared" si="15"/>
        <v>57</v>
      </c>
    </row>
    <row r="70" spans="1:51">
      <c r="A70" s="304" t="str">
        <f ca="1">IF(LEFT(OFFSET(COM_2012!$A$60,AY70,0),2)="\I","*","")</f>
        <v/>
      </c>
      <c r="B70" s="369" t="str">
        <f t="shared" ca="1" si="19"/>
        <v>FLO_MRKPRD</v>
      </c>
      <c r="C70" s="369" t="str">
        <f ca="1">IF($A70="*","",OFFSET(COM_2012!$B$60,AY70,0))</f>
        <v>CEOOHF-E</v>
      </c>
      <c r="D70" s="369" t="str">
        <f t="shared" ca="1" si="14"/>
        <v>CEO</v>
      </c>
      <c r="E70" s="369" t="str">
        <f t="shared" ca="1" si="20"/>
        <v>-</v>
      </c>
      <c r="F70" s="370" t="str">
        <f t="shared" ca="1" si="17"/>
        <v>-</v>
      </c>
      <c r="G70" s="370" t="str">
        <f t="shared" ca="1" si="17"/>
        <v>ANNUAL</v>
      </c>
      <c r="H70" s="370" t="str">
        <f t="shared" ca="1" si="21"/>
        <v>UP</v>
      </c>
      <c r="I70" s="370">
        <f t="shared" ca="1" si="21"/>
        <v>0</v>
      </c>
      <c r="J70" s="494" t="str">
        <f>IF(J$7&lt;2020,"",IF(A70="*","",IFERROR(VLOOKUP($C70,COM_2012!$B$61:$AH$120,MATCH(VLOOKUP("*"&amp;$AX70,$A$10:$J$11,$J$9,FALSE)&amp;J$7,COM_2012!$B$58:$AH$58,0),FALSE),"")))</f>
        <v/>
      </c>
      <c r="K70" s="494" t="str">
        <f>IF(K$7&lt;2020,"",IF(B70="*","",IFERROR(VLOOKUP($C70,COM_2012!$B$61:$AH$120,MATCH(VLOOKUP("*"&amp;$AX70,$A$10:$J$11,$J$9,FALSE)&amp;K$7,COM_2012!$B$58:$AH$58,0),FALSE),"")))</f>
        <v/>
      </c>
      <c r="L70" s="494" t="str">
        <f>IF(L$7&lt;2020,"",IF(C70="*","",IFERROR(VLOOKUP($C70,COM_2012!$B$61:$AH$120,MATCH(VLOOKUP("*"&amp;$AX70,$A$10:$J$11,$J$9,FALSE)&amp;L$7,COM_2012!$B$58:$AH$58,0),FALSE),"")))</f>
        <v/>
      </c>
      <c r="M70" s="494" t="str">
        <f>IF(M$7&lt;2020,"",IF(D70="*","",IFERROR(VLOOKUP($C70,COM_2012!$B$61:$AH$120,MATCH(VLOOKUP("*"&amp;$AX70,$A$10:$J$11,$J$9,FALSE)&amp;M$7,COM_2012!$B$58:$AH$58,0),FALSE),"")))</f>
        <v/>
      </c>
      <c r="N70" s="494" t="str">
        <f ca="1">IFERROR(VLOOKUP($C70,COM_2012!$B$61:$AH$120,MATCH(VLOOKUP("*"&amp;$AX70,$A$10:$J$11,$J$9,FALSE)&amp;N$7,COM_2012!$B$58:$AH$58,0),FALSE),"")</f>
        <v/>
      </c>
      <c r="O70" s="494" t="str">
        <f>IF(O$7&lt;2020,"",IF($A70="*","",IFERROR(VLOOKUP($C70,' COM_2017_old'!$B$61:$AJ$120,MATCH(VLOOKUP("*"&amp;$AX70,$A$10:$J$11,$J$9,FALSE)&amp;O$7,' COM_2017_old'!$B$58:$AJ$58,0),FALSE),"")))</f>
        <v/>
      </c>
      <c r="P70" s="494" t="str">
        <f ca="1">IFERROR(VLOOKUP($C70,COM_2012!$B$61:$AH$120,MATCH(VLOOKUP("*"&amp;$AX70,$A$10:$J$11,$J$9,FALSE)&amp;P$7,COM_2012!$B$58:$AH$58,0),FALSE),"")</f>
        <v/>
      </c>
      <c r="Q70" s="494" t="str">
        <f ca="1">IFERROR(VLOOKUP($C70,COM_2012!$B$61:$AH$120,MATCH(VLOOKUP("*"&amp;$AX70,$A$10:$J$11,$J$9,FALSE)&amp;Q$7,COM_2012!$B$58:$AH$58,0),FALSE),"")</f>
        <v/>
      </c>
      <c r="R70" s="494">
        <f ca="1">IF($A70="*","",IFERROR(VLOOKUP($C70,' COM_2017_old'!$B$61:$AJ$120,MATCH(VLOOKUP("*"&amp;$AX70,$A$10:$J$11,$J$9,FALSE)&amp;R$7,' COM_2017_old'!$B$58:$AJ$58,0),FALSE),""))</f>
        <v>4.3852041970973019E-2</v>
      </c>
      <c r="S70" s="494">
        <f t="shared" ca="1" si="34"/>
        <v>5.7852041970973017E-2</v>
      </c>
      <c r="T70" s="494">
        <f t="shared" ca="1" si="35"/>
        <v>7.1852041970973016E-2</v>
      </c>
      <c r="U70" s="494">
        <f t="shared" ca="1" si="35"/>
        <v>8.5852041970973014E-2</v>
      </c>
      <c r="V70" s="494">
        <f t="shared" ca="1" si="35"/>
        <v>9.9852041970973013E-2</v>
      </c>
      <c r="W70" s="494">
        <f ca="1">IF($A70="*","",IFERROR(VLOOKUP($C70,' COM_2017_old'!$B$61:$AJ$120,MATCH(VLOOKUP("*"&amp;$AX70,$A$10:$J$11,$J$9,FALSE)&amp;W$7,' COM_2017_old'!$B$58:$AJ$58,0),FALSE),""))</f>
        <v>0.11385204197097303</v>
      </c>
      <c r="X70" s="494">
        <f t="shared" ca="1" si="36"/>
        <v>0.15385204197097302</v>
      </c>
      <c r="Y70" s="494">
        <f t="shared" ca="1" si="37"/>
        <v>0.193852041970973</v>
      </c>
      <c r="Z70" s="494">
        <f t="shared" ca="1" si="37"/>
        <v>0.23385204197097298</v>
      </c>
      <c r="AA70" s="494">
        <f t="shared" ca="1" si="37"/>
        <v>0.27385204197097296</v>
      </c>
      <c r="AB70" s="494">
        <f ca="1">IF($A70="*","",IFERROR(VLOOKUP($C70,' COM_2017_old'!$B$61:$AJ$120,MATCH(VLOOKUP("*"&amp;$AX70,$A$10:$J$11,$J$9,FALSE)&amp;AB$7,' COM_2017_old'!$B$58:$AJ$58,0),FALSE),""))</f>
        <v>0.31385204197097299</v>
      </c>
      <c r="AC70" s="494">
        <f t="shared" ca="1" si="38"/>
        <v>0.36385204197097298</v>
      </c>
      <c r="AD70" s="494">
        <f t="shared" ca="1" si="39"/>
        <v>0.41385204197097297</v>
      </c>
      <c r="AE70" s="494">
        <f t="shared" ca="1" si="39"/>
        <v>0.46385204197097296</v>
      </c>
      <c r="AF70" s="494">
        <f t="shared" ca="1" si="39"/>
        <v>0.51385204197097301</v>
      </c>
      <c r="AG70" s="494">
        <f ca="1">IF($A70="*","",IFERROR(VLOOKUP($C70,' COM_2017_old'!$B$61:$AJ$120,MATCH(VLOOKUP("*"&amp;$AX70,$A$10:$J$11,$J$9,FALSE)&amp;AG$7,' COM_2017_old'!$B$58:$AJ$58,0),FALSE),""))</f>
        <v>0.56385204197097305</v>
      </c>
      <c r="AH70" s="494">
        <f t="shared" ca="1" si="40"/>
        <v>0.62385204197097299</v>
      </c>
      <c r="AI70" s="494">
        <f t="shared" ca="1" si="41"/>
        <v>0.68385204197097293</v>
      </c>
      <c r="AJ70" s="494">
        <f t="shared" ca="1" si="41"/>
        <v>0.74385204197097288</v>
      </c>
      <c r="AK70" s="494">
        <f t="shared" ca="1" si="41"/>
        <v>0.80385204197097282</v>
      </c>
      <c r="AL70" s="494">
        <f ca="1">IF($A70="*","",IFERROR(VLOOKUP($C70,' COM_2017_old'!$B$61:$AJ$120,MATCH(VLOOKUP("*"&amp;$AX70,$A$10:$J$11,$J$9,FALSE)&amp;AL$7,' COM_2017_old'!$B$58:$AJ$58,0),FALSE),""))</f>
        <v>0.86385204197097298</v>
      </c>
      <c r="AM70" s="494">
        <f ca="1">IF($A70="*","",IFERROR(VLOOKUP($C70,' COM_2017_old'!$B$61:$AJ$120,MATCH(VLOOKUP("*"&amp;$AX70,$A$10:$J$11,$J$9,FALSE)&amp;AM$7,' COM_2017_old'!$B$58:$AJ$58,0),FALSE),""))</f>
        <v>0.96385204197097296</v>
      </c>
      <c r="AN70" s="494">
        <f ca="1">IF($A70="*","",IFERROR(VLOOKUP($C70,' COM_2017_old'!$B$61:$AJ$120,MATCH(VLOOKUP("*"&amp;$AX70,$A$10:$J$11,$J$9,FALSE)&amp;AN$7,' COM_2017_old'!$B$58:$AJ$58,0),FALSE),""))</f>
        <v>1</v>
      </c>
      <c r="AO70" s="391" t="str">
        <f ca="1">IFERROR(VLOOKUP($C70,COM_2012!$B$61:$AH$120,MATCH(VLOOKUP("*"&amp;$AX70,$A$10:$J$11,$J$9,FALSE)&amp;AO$7,COM_2012!$B$58:$AH$58,0),FALSE),"")</f>
        <v/>
      </c>
      <c r="AP70" s="391" t="str">
        <f ca="1">IFERROR(VLOOKUP($C70,COM_2012!$B$61:$AH$120,MATCH(VLOOKUP("*"&amp;$AX70,$A$10:$J$11,$J$9,FALSE)&amp;AP$7,COM_2012!$B$58:$AH$58,0),FALSE),"")</f>
        <v/>
      </c>
      <c r="AQ70" s="391" t="str">
        <f ca="1">IFERROR(VLOOKUP($C70,COM_2012!$B$61:$AH$120,MATCH(VLOOKUP("*"&amp;$AX70,$A$10:$J$11,$J$9,FALSE)&amp;AQ$7,COM_2012!$B$58:$AH$58,0),FALSE),"")</f>
        <v/>
      </c>
      <c r="AR70" s="391" t="str">
        <f ca="1">IFERROR(VLOOKUP($C70,COM_2012!$B$61:$AH$120,MATCH(VLOOKUP("*"&amp;$AX70,$A$10:$J$11,$J$9,FALSE)&amp;AR$7,COM_2012!$B$58:$AH$58,0),FALSE),"")</f>
        <v/>
      </c>
      <c r="AS70" s="391" t="str">
        <f ca="1">IFERROR(VLOOKUP($C70,COM_2012!$B$61:$AH$120,MATCH(VLOOKUP("*"&amp;$AX70,$A$10:$J$11,$J$9,FALSE)&amp;AS$7,COM_2012!$B$58:$AH$58,0),FALSE),"")</f>
        <v/>
      </c>
      <c r="AT70" s="391" t="str">
        <f ca="1">IFERROR(VLOOKUP($C70,COM_2012!$B$61:$AH$120,MATCH(VLOOKUP("*"&amp;$AX70,$A$10:$J$11,$J$9,FALSE)&amp;AT$7,COM_2012!$B$58:$AH$58,0),FALSE),"")</f>
        <v/>
      </c>
      <c r="AU70" s="391" t="str">
        <f ca="1">IFERROR(VLOOKUP($C70,COM_2012!$B$61:$AH$120,MATCH(VLOOKUP("*"&amp;$AX70,$A$10:$J$11,$J$9,FALSE)&amp;AU$7,COM_2012!$B$58:$AH$58,0),FALSE),"")</f>
        <v/>
      </c>
      <c r="AV70" s="391" t="str">
        <f ca="1">IFERROR(VLOOKUP($C70,COM_2012!$B$61:$AH$120,MATCH(VLOOKUP("*"&amp;$AX70,$A$10:$J$11,$J$9,FALSE)&amp;AV$7,COM_2012!$B$58:$AH$58,0),FALSE),"")</f>
        <v/>
      </c>
      <c r="AW70" s="391" t="str">
        <f ca="1">IFERROR(VLOOKUP($C70,COM_2012!$B$61:$AH$120,MATCH(VLOOKUP("*"&amp;$AX70,$A$10:$J$11,$J$9,FALSE)&amp;AW$7,COM_2012!$B$58:$AH$58,0),FALSE),"")</f>
        <v/>
      </c>
      <c r="AX70" s="304">
        <f>IF(AY69=COM_2012!$AI$121,AX69+1,AX69)</f>
        <v>1</v>
      </c>
      <c r="AY70" s="304">
        <f t="shared" si="15"/>
        <v>58</v>
      </c>
    </row>
    <row r="71" spans="1:51">
      <c r="A71" s="304" t="str">
        <f ca="1">IF(LEFT(OFFSET(COM_2012!$A$60,AY71,0),2)="\I","*","")</f>
        <v/>
      </c>
      <c r="B71" s="369" t="str">
        <f t="shared" ca="1" si="19"/>
        <v>FLO_MRKPRD</v>
      </c>
      <c r="C71" s="369" t="str">
        <f ca="1">IF($A71="*","",OFFSET(COM_2012!$B$60,AY71,0))</f>
        <v>CEOOKE-E</v>
      </c>
      <c r="D71" s="369" t="str">
        <f t="shared" ca="1" si="14"/>
        <v>CEO</v>
      </c>
      <c r="E71" s="369" t="str">
        <f t="shared" ca="1" si="20"/>
        <v>-</v>
      </c>
      <c r="F71" s="370" t="str">
        <f t="shared" ca="1" si="17"/>
        <v>-</v>
      </c>
      <c r="G71" s="370" t="str">
        <f t="shared" ca="1" si="17"/>
        <v>ANNUAL</v>
      </c>
      <c r="H71" s="370" t="str">
        <f t="shared" ca="1" si="21"/>
        <v>UP</v>
      </c>
      <c r="I71" s="370">
        <f t="shared" ca="1" si="21"/>
        <v>0</v>
      </c>
      <c r="J71" s="494" t="str">
        <f>IF(J$7&lt;2020,"",IF(A71="*","",IFERROR(VLOOKUP($C71,COM_2012!$B$61:$AH$120,MATCH(VLOOKUP("*"&amp;$AX71,$A$10:$J$11,$J$9,FALSE)&amp;J$7,COM_2012!$B$58:$AH$58,0),FALSE),"")))</f>
        <v/>
      </c>
      <c r="K71" s="494" t="str">
        <f>IF(K$7&lt;2020,"",IF(B71="*","",IFERROR(VLOOKUP($C71,COM_2012!$B$61:$AH$120,MATCH(VLOOKUP("*"&amp;$AX71,$A$10:$J$11,$J$9,FALSE)&amp;K$7,COM_2012!$B$58:$AH$58,0),FALSE),"")))</f>
        <v/>
      </c>
      <c r="L71" s="494" t="str">
        <f>IF(L$7&lt;2020,"",IF(C71="*","",IFERROR(VLOOKUP($C71,COM_2012!$B$61:$AH$120,MATCH(VLOOKUP("*"&amp;$AX71,$A$10:$J$11,$J$9,FALSE)&amp;L$7,COM_2012!$B$58:$AH$58,0),FALSE),"")))</f>
        <v/>
      </c>
      <c r="M71" s="494" t="str">
        <f>IF(M$7&lt;2020,"",IF(D71="*","",IFERROR(VLOOKUP($C71,COM_2012!$B$61:$AH$120,MATCH(VLOOKUP("*"&amp;$AX71,$A$10:$J$11,$J$9,FALSE)&amp;M$7,COM_2012!$B$58:$AH$58,0),FALSE),"")))</f>
        <v/>
      </c>
      <c r="N71" s="494" t="str">
        <f ca="1">IFERROR(VLOOKUP($C71,COM_2012!$B$61:$AH$120,MATCH(VLOOKUP("*"&amp;$AX71,$A$10:$J$11,$J$9,FALSE)&amp;N$7,COM_2012!$B$58:$AH$58,0),FALSE),"")</f>
        <v/>
      </c>
      <c r="O71" s="494" t="str">
        <f>IF(O$7&lt;2020,"",IF($A71="*","",IFERROR(VLOOKUP($C71,' COM_2017_old'!$B$61:$AJ$120,MATCH(VLOOKUP("*"&amp;$AX71,$A$10:$J$11,$J$9,FALSE)&amp;O$7,' COM_2017_old'!$B$58:$AJ$58,0),FALSE),"")))</f>
        <v/>
      </c>
      <c r="P71" s="494" t="str">
        <f ca="1">IFERROR(VLOOKUP($C71,COM_2012!$B$61:$AH$120,MATCH(VLOOKUP("*"&amp;$AX71,$A$10:$J$11,$J$9,FALSE)&amp;P$7,COM_2012!$B$58:$AH$58,0),FALSE),"")</f>
        <v/>
      </c>
      <c r="Q71" s="494" t="str">
        <f ca="1">IFERROR(VLOOKUP($C71,COM_2012!$B$61:$AH$120,MATCH(VLOOKUP("*"&amp;$AX71,$A$10:$J$11,$J$9,FALSE)&amp;Q$7,COM_2012!$B$58:$AH$58,0),FALSE),"")</f>
        <v/>
      </c>
      <c r="R71" s="494">
        <f ca="1">IF($A71="*","",IFERROR(VLOOKUP($C71,' COM_2017_old'!$B$61:$AJ$120,MATCH(VLOOKUP("*"&amp;$AX71,$A$10:$J$11,$J$9,FALSE)&amp;R$7,' COM_2017_old'!$B$58:$AJ$58,0),FALSE),""))</f>
        <v>0.03</v>
      </c>
      <c r="S71" s="494">
        <f t="shared" ca="1" si="34"/>
        <v>4.3999999999999997E-2</v>
      </c>
      <c r="T71" s="494">
        <f t="shared" ca="1" si="35"/>
        <v>5.7999999999999996E-2</v>
      </c>
      <c r="U71" s="494">
        <f t="shared" ca="1" si="35"/>
        <v>7.1999999999999995E-2</v>
      </c>
      <c r="V71" s="494">
        <f t="shared" ca="1" si="35"/>
        <v>8.5999999999999993E-2</v>
      </c>
      <c r="W71" s="494">
        <f ca="1">IF($A71="*","",IFERROR(VLOOKUP($C71,' COM_2017_old'!$B$61:$AJ$120,MATCH(VLOOKUP("*"&amp;$AX71,$A$10:$J$11,$J$9,FALSE)&amp;W$7,' COM_2017_old'!$B$58:$AJ$58,0),FALSE),""))</f>
        <v>0.1</v>
      </c>
      <c r="X71" s="494">
        <f t="shared" ca="1" si="36"/>
        <v>0.14000000000000001</v>
      </c>
      <c r="Y71" s="494">
        <f t="shared" ca="1" si="37"/>
        <v>0.18</v>
      </c>
      <c r="Z71" s="494">
        <f t="shared" ca="1" si="37"/>
        <v>0.21999999999999997</v>
      </c>
      <c r="AA71" s="494">
        <f t="shared" ca="1" si="37"/>
        <v>0.25999999999999995</v>
      </c>
      <c r="AB71" s="494">
        <f ca="1">IF($A71="*","",IFERROR(VLOOKUP($C71,' COM_2017_old'!$B$61:$AJ$120,MATCH(VLOOKUP("*"&amp;$AX71,$A$10:$J$11,$J$9,FALSE)&amp;AB$7,' COM_2017_old'!$B$58:$AJ$58,0),FALSE),""))</f>
        <v>0.3</v>
      </c>
      <c r="AC71" s="494">
        <f t="shared" ca="1" si="38"/>
        <v>0.35</v>
      </c>
      <c r="AD71" s="494">
        <f t="shared" ca="1" si="39"/>
        <v>0.39999999999999997</v>
      </c>
      <c r="AE71" s="494">
        <f t="shared" ca="1" si="39"/>
        <v>0.44999999999999996</v>
      </c>
      <c r="AF71" s="494">
        <f t="shared" ca="1" si="39"/>
        <v>0.49999999999999994</v>
      </c>
      <c r="AG71" s="494">
        <f ca="1">IF($A71="*","",IFERROR(VLOOKUP($C71,' COM_2017_old'!$B$61:$AJ$120,MATCH(VLOOKUP("*"&amp;$AX71,$A$10:$J$11,$J$9,FALSE)&amp;AG$7,' COM_2017_old'!$B$58:$AJ$58,0),FALSE),""))</f>
        <v>0.55000000000000004</v>
      </c>
      <c r="AH71" s="494">
        <f t="shared" ca="1" si="40"/>
        <v>0.61</v>
      </c>
      <c r="AI71" s="494">
        <f t="shared" ca="1" si="41"/>
        <v>0.66999999999999993</v>
      </c>
      <c r="AJ71" s="494">
        <f t="shared" ca="1" si="41"/>
        <v>0.72999999999999987</v>
      </c>
      <c r="AK71" s="494">
        <f t="shared" ca="1" si="41"/>
        <v>0.78999999999999981</v>
      </c>
      <c r="AL71" s="494">
        <f ca="1">IF($A71="*","",IFERROR(VLOOKUP($C71,' COM_2017_old'!$B$61:$AJ$120,MATCH(VLOOKUP("*"&amp;$AX71,$A$10:$J$11,$J$9,FALSE)&amp;AL$7,' COM_2017_old'!$B$58:$AJ$58,0),FALSE),""))</f>
        <v>0.85</v>
      </c>
      <c r="AM71" s="494">
        <f ca="1">IF($A71="*","",IFERROR(VLOOKUP($C71,' COM_2017_old'!$B$61:$AJ$120,MATCH(VLOOKUP("*"&amp;$AX71,$A$10:$J$11,$J$9,FALSE)&amp;AM$7,' COM_2017_old'!$B$58:$AJ$58,0),FALSE),""))</f>
        <v>0.95</v>
      </c>
      <c r="AN71" s="494">
        <f ca="1">IF($A71="*","",IFERROR(VLOOKUP($C71,' COM_2017_old'!$B$61:$AJ$120,MATCH(VLOOKUP("*"&amp;$AX71,$A$10:$J$11,$J$9,FALSE)&amp;AN$7,' COM_2017_old'!$B$58:$AJ$58,0),FALSE),""))</f>
        <v>1</v>
      </c>
      <c r="AO71" s="391" t="str">
        <f ca="1">IFERROR(VLOOKUP($C71,COM_2012!$B$61:$AH$120,MATCH(VLOOKUP("*"&amp;$AX71,$A$10:$J$11,$J$9,FALSE)&amp;AO$7,COM_2012!$B$58:$AH$58,0),FALSE),"")</f>
        <v/>
      </c>
      <c r="AP71" s="391" t="str">
        <f ca="1">IFERROR(VLOOKUP($C71,COM_2012!$B$61:$AH$120,MATCH(VLOOKUP("*"&amp;$AX71,$A$10:$J$11,$J$9,FALSE)&amp;AP$7,COM_2012!$B$58:$AH$58,0),FALSE),"")</f>
        <v/>
      </c>
      <c r="AQ71" s="391" t="str">
        <f ca="1">IFERROR(VLOOKUP($C71,COM_2012!$B$61:$AH$120,MATCH(VLOOKUP("*"&amp;$AX71,$A$10:$J$11,$J$9,FALSE)&amp;AQ$7,COM_2012!$B$58:$AH$58,0),FALSE),"")</f>
        <v/>
      </c>
      <c r="AR71" s="391" t="str">
        <f ca="1">IFERROR(VLOOKUP($C71,COM_2012!$B$61:$AH$120,MATCH(VLOOKUP("*"&amp;$AX71,$A$10:$J$11,$J$9,FALSE)&amp;AR$7,COM_2012!$B$58:$AH$58,0),FALSE),"")</f>
        <v/>
      </c>
      <c r="AS71" s="391" t="str">
        <f ca="1">IFERROR(VLOOKUP($C71,COM_2012!$B$61:$AH$120,MATCH(VLOOKUP("*"&amp;$AX71,$A$10:$J$11,$J$9,FALSE)&amp;AS$7,COM_2012!$B$58:$AH$58,0),FALSE),"")</f>
        <v/>
      </c>
      <c r="AT71" s="391" t="str">
        <f ca="1">IFERROR(VLOOKUP($C71,COM_2012!$B$61:$AH$120,MATCH(VLOOKUP("*"&amp;$AX71,$A$10:$J$11,$J$9,FALSE)&amp;AT$7,COM_2012!$B$58:$AH$58,0),FALSE),"")</f>
        <v/>
      </c>
      <c r="AU71" s="391" t="str">
        <f ca="1">IFERROR(VLOOKUP($C71,COM_2012!$B$61:$AH$120,MATCH(VLOOKUP("*"&amp;$AX71,$A$10:$J$11,$J$9,FALSE)&amp;AU$7,COM_2012!$B$58:$AH$58,0),FALSE),"")</f>
        <v/>
      </c>
      <c r="AV71" s="391" t="str">
        <f ca="1">IFERROR(VLOOKUP($C71,COM_2012!$B$61:$AH$120,MATCH(VLOOKUP("*"&amp;$AX71,$A$10:$J$11,$J$9,FALSE)&amp;AV$7,COM_2012!$B$58:$AH$58,0),FALSE),"")</f>
        <v/>
      </c>
      <c r="AW71" s="391" t="str">
        <f ca="1">IFERROR(VLOOKUP($C71,COM_2012!$B$61:$AH$120,MATCH(VLOOKUP("*"&amp;$AX71,$A$10:$J$11,$J$9,FALSE)&amp;AW$7,COM_2012!$B$58:$AH$58,0),FALSE),"")</f>
        <v/>
      </c>
      <c r="AX71" s="304">
        <f>IF(AY70=COM_2012!$AI$121,AX70+1,AX70)</f>
        <v>1</v>
      </c>
      <c r="AY71" s="304">
        <f t="shared" si="15"/>
        <v>59</v>
      </c>
    </row>
    <row r="72" spans="1:51">
      <c r="A72" s="304" t="str">
        <f ca="1">IF(LEFT(OFFSET(COM_2012!$A$60,AY72,0),2)="\I","*","")</f>
        <v>*</v>
      </c>
      <c r="B72" s="369" t="str">
        <f t="shared" ca="1" si="19"/>
        <v/>
      </c>
      <c r="C72" s="369" t="str">
        <f ca="1">IF($A72="*","",OFFSET(COM_2012!$B$60,AY72,0))</f>
        <v/>
      </c>
      <c r="D72" s="369" t="str">
        <f t="shared" ca="1" si="14"/>
        <v/>
      </c>
      <c r="E72" s="369" t="str">
        <f t="shared" ca="1" si="20"/>
        <v/>
      </c>
      <c r="F72" s="370" t="str">
        <f t="shared" ca="1" si="17"/>
        <v/>
      </c>
      <c r="G72" s="370" t="str">
        <f t="shared" ca="1" si="17"/>
        <v/>
      </c>
      <c r="H72" s="370" t="str">
        <f t="shared" ca="1" si="21"/>
        <v/>
      </c>
      <c r="I72" s="370" t="str">
        <f t="shared" ca="1" si="21"/>
        <v/>
      </c>
      <c r="J72" s="494" t="str">
        <f>IF(J$7&lt;2020,"",IF(A72="*","",IFERROR(VLOOKUP($C72,COM_2012!$B$61:$AH$120,MATCH(VLOOKUP("*"&amp;$AX72,$A$10:$J$11,$J$9,FALSE)&amp;J$7,COM_2012!$B$58:$AH$58,0),FALSE),"")))</f>
        <v/>
      </c>
      <c r="K72" s="494" t="str">
        <f>IF(K$7&lt;2020,"",IF(B72="*","",IFERROR(VLOOKUP($C72,COM_2012!$B$61:$AH$120,MATCH(VLOOKUP("*"&amp;$AX72,$A$10:$J$11,$J$9,FALSE)&amp;K$7,COM_2012!$B$58:$AH$58,0),FALSE),"")))</f>
        <v/>
      </c>
      <c r="L72" s="494" t="str">
        <f>IF(L$7&lt;2020,"",IF(C72="*","",IFERROR(VLOOKUP($C72,COM_2012!$B$61:$AH$120,MATCH(VLOOKUP("*"&amp;$AX72,$A$10:$J$11,$J$9,FALSE)&amp;L$7,COM_2012!$B$58:$AH$58,0),FALSE),"")))</f>
        <v/>
      </c>
      <c r="M72" s="494" t="str">
        <f>IF(M$7&lt;2020,"",IF(D72="*","",IFERROR(VLOOKUP($C72,COM_2012!$B$61:$AH$120,MATCH(VLOOKUP("*"&amp;$AX72,$A$10:$J$11,$J$9,FALSE)&amp;M$7,COM_2012!$B$58:$AH$58,0),FALSE),"")))</f>
        <v/>
      </c>
      <c r="N72" s="494" t="str">
        <f ca="1">IFERROR(VLOOKUP($C72,COM_2012!$B$61:$AH$120,MATCH(VLOOKUP("*"&amp;$AX72,$A$10:$J$11,$J$9,FALSE)&amp;N$7,COM_2012!$B$58:$AH$58,0),FALSE),"")</f>
        <v/>
      </c>
      <c r="O72" s="494" t="str">
        <f>IF(O$7&lt;2020,"",IF($A72="*","",IFERROR(VLOOKUP($C72,' COM_2017_old'!$B$61:$AJ$120,MATCH(VLOOKUP("*"&amp;$AX72,$A$10:$J$11,$J$9,FALSE)&amp;O$7,' COM_2017_old'!$B$58:$AJ$58,0),FALSE),"")))</f>
        <v/>
      </c>
      <c r="P72" s="494" t="str">
        <f ca="1">IFERROR(VLOOKUP($C72,COM_2012!$B$61:$AH$120,MATCH(VLOOKUP("*"&amp;$AX72,$A$10:$J$11,$J$9,FALSE)&amp;P$7,COM_2012!$B$58:$AH$58,0),FALSE),"")</f>
        <v/>
      </c>
      <c r="Q72" s="494" t="str">
        <f ca="1">IFERROR(VLOOKUP($C72,COM_2012!$B$61:$AH$120,MATCH(VLOOKUP("*"&amp;$AX72,$A$10:$J$11,$J$9,FALSE)&amp;Q$7,COM_2012!$B$58:$AH$58,0),FALSE),"")</f>
        <v/>
      </c>
      <c r="R72" s="494" t="str">
        <f ca="1">IF($A72="*","",IFERROR(VLOOKUP($C72,' COM_2017_old'!$B$61:$AJ$120,MATCH(VLOOKUP("*"&amp;$AX72,$A$10:$J$11,$J$9,FALSE)&amp;R$7,' COM_2017_old'!$B$58:$AJ$58,0),FALSE),""))</f>
        <v/>
      </c>
      <c r="S72" s="494" t="str">
        <f ca="1">IFERROR(VLOOKUP($C72,COM_2012!$B$61:$AH$120,MATCH(VLOOKUP("*"&amp;$AX72,$A$10:$J$11,$J$9,FALSE)&amp;S$7,COM_2012!$B$58:$AH$58,0),FALSE),"")</f>
        <v/>
      </c>
      <c r="T72" s="494" t="str">
        <f ca="1">IFERROR(VLOOKUP($C72,COM_2012!$B$61:$AH$120,MATCH(VLOOKUP("*"&amp;$AX72,$A$10:$J$11,$J$9,FALSE)&amp;T$7,COM_2012!$B$58:$AH$58,0),FALSE),"")</f>
        <v/>
      </c>
      <c r="U72" s="494" t="str">
        <f ca="1">IFERROR(VLOOKUP($C72,COM_2012!$B$61:$AH$120,MATCH(VLOOKUP("*"&amp;$AX72,$A$10:$J$11,$J$9,FALSE)&amp;U$7,COM_2012!$B$58:$AH$58,0),FALSE),"")</f>
        <v/>
      </c>
      <c r="V72" s="494" t="str">
        <f ca="1">IFERROR(VLOOKUP($C72,COM_2012!$B$61:$AH$120,MATCH(VLOOKUP("*"&amp;$AX72,$A$10:$J$11,$J$9,FALSE)&amp;V$7,COM_2012!$B$58:$AH$58,0),FALSE),"")</f>
        <v/>
      </c>
      <c r="W72" s="494" t="str">
        <f ca="1">IF($A72="*","",IFERROR(VLOOKUP($C72,' COM_2017_old'!$B$61:$AJ$120,MATCH(VLOOKUP("*"&amp;$AX72,$A$10:$J$11,$J$9,FALSE)&amp;W$7,' COM_2017_old'!$B$58:$AJ$58,0),FALSE),""))</f>
        <v/>
      </c>
      <c r="X72" s="494" t="str">
        <f ca="1">IFERROR(VLOOKUP($C72,COM_2012!$B$61:$AH$120,MATCH(VLOOKUP("*"&amp;$AX72,$A$10:$J$11,$J$9,FALSE)&amp;X$7,COM_2012!$B$58:$AH$58,0),FALSE),"")</f>
        <v/>
      </c>
      <c r="Y72" s="494" t="str">
        <f ca="1">IFERROR(VLOOKUP($C72,COM_2012!$B$61:$AH$120,MATCH(VLOOKUP("*"&amp;$AX72,$A$10:$J$11,$J$9,FALSE)&amp;Y$7,COM_2012!$B$58:$AH$58,0),FALSE),"")</f>
        <v/>
      </c>
      <c r="Z72" s="494" t="str">
        <f ca="1">IFERROR(VLOOKUP($C72,COM_2012!$B$61:$AH$120,MATCH(VLOOKUP("*"&amp;$AX72,$A$10:$J$11,$J$9,FALSE)&amp;Z$7,COM_2012!$B$58:$AH$58,0),FALSE),"")</f>
        <v/>
      </c>
      <c r="AA72" s="494" t="str">
        <f ca="1">IFERROR(VLOOKUP($C72,COM_2012!$B$61:$AH$120,MATCH(VLOOKUP("*"&amp;$AX72,$A$10:$J$11,$J$9,FALSE)&amp;AA$7,COM_2012!$B$58:$AH$58,0),FALSE),"")</f>
        <v/>
      </c>
      <c r="AB72" s="494" t="str">
        <f ca="1">IF($A72="*","",IFERROR(VLOOKUP($C72,' COM_2017_old'!$B$61:$AJ$120,MATCH(VLOOKUP("*"&amp;$AX72,$A$10:$J$11,$J$9,FALSE)&amp;AB$7,' COM_2017_old'!$B$58:$AJ$58,0),FALSE),""))</f>
        <v/>
      </c>
      <c r="AC72" s="494" t="str">
        <f ca="1">IFERROR(VLOOKUP($C72,COM_2012!$B$61:$AH$120,MATCH(VLOOKUP("*"&amp;$AX72,$A$10:$J$11,$J$9,FALSE)&amp;AC$7,COM_2012!$B$58:$AH$58,0),FALSE),"")</f>
        <v/>
      </c>
      <c r="AD72" s="391" t="str">
        <f ca="1">IFERROR(VLOOKUP($C72,COM_2012!$B$61:$AH$120,MATCH(VLOOKUP("*"&amp;$AX72,$A$10:$J$11,$J$9,FALSE)&amp;AD$7,COM_2012!$B$58:$AH$58,0),FALSE),"")</f>
        <v/>
      </c>
      <c r="AE72" s="391" t="str">
        <f ca="1">IFERROR(VLOOKUP($C72,COM_2012!$B$61:$AH$120,MATCH(VLOOKUP("*"&amp;$AX72,$A$10:$J$11,$J$9,FALSE)&amp;AE$7,COM_2012!$B$58:$AH$58,0),FALSE),"")</f>
        <v/>
      </c>
      <c r="AF72" s="391" t="str">
        <f ca="1">IFERROR(VLOOKUP($C72,COM_2012!$B$61:$AH$120,MATCH(VLOOKUP("*"&amp;$AX72,$A$10:$J$11,$J$9,FALSE)&amp;AF$7,COM_2012!$B$58:$AH$58,0),FALSE),"")</f>
        <v/>
      </c>
      <c r="AG72" s="494" t="str">
        <f ca="1">IF($A72="*","",IFERROR(VLOOKUP($C72,' COM_2017_old'!$B$61:$AJ$120,MATCH(VLOOKUP("*"&amp;$AX72,$A$10:$J$11,$J$9,FALSE)&amp;AG$7,' COM_2017_old'!$B$58:$AJ$58,0),FALSE),""))</f>
        <v/>
      </c>
      <c r="AH72" s="391" t="str">
        <f ca="1">IFERROR(VLOOKUP($C72,COM_2012!$B$61:$AH$120,MATCH(VLOOKUP("*"&amp;$AX72,$A$10:$J$11,$J$9,FALSE)&amp;AH$7,COM_2012!$B$58:$AH$58,0),FALSE),"")</f>
        <v/>
      </c>
      <c r="AI72" s="391" t="str">
        <f ca="1">IFERROR(VLOOKUP($C72,COM_2012!$B$61:$AH$120,MATCH(VLOOKUP("*"&amp;$AX72,$A$10:$J$11,$J$9,FALSE)&amp;AI$7,COM_2012!$B$58:$AH$58,0),FALSE),"")</f>
        <v/>
      </c>
      <c r="AJ72" s="391" t="str">
        <f ca="1">IFERROR(VLOOKUP($C72,COM_2012!$B$61:$AH$120,MATCH(VLOOKUP("*"&amp;$AX72,$A$10:$J$11,$J$9,FALSE)&amp;AJ$7,COM_2012!$B$58:$AH$58,0),FALSE),"")</f>
        <v/>
      </c>
      <c r="AK72" s="391" t="str">
        <f ca="1">IFERROR(VLOOKUP($C72,COM_2012!$B$61:$AH$120,MATCH(VLOOKUP("*"&amp;$AX72,$A$10:$J$11,$J$9,FALSE)&amp;AK$7,COM_2012!$B$58:$AH$58,0),FALSE),"")</f>
        <v/>
      </c>
      <c r="AL72" s="494" t="str">
        <f ca="1">IF($A72="*","",IFERROR(VLOOKUP($C72,' COM_2017_old'!$B$61:$AJ$120,MATCH(VLOOKUP("*"&amp;$AX72,$A$10:$J$11,$J$9,FALSE)&amp;AL$7,' COM_2017_old'!$B$58:$AJ$58,0),FALSE),""))</f>
        <v/>
      </c>
      <c r="AM72" s="494" t="str">
        <f ca="1">IF($A72="*","",IFERROR(VLOOKUP($C72,' COM_2017_old'!$B$61:$AJ$120,MATCH(VLOOKUP("*"&amp;$AX72,$A$10:$J$11,$J$9,FALSE)&amp;AM$7,' COM_2017_old'!$B$58:$AJ$58,0),FALSE),""))</f>
        <v/>
      </c>
      <c r="AN72" s="494" t="str">
        <f ca="1">IF($A72="*","",IFERROR(VLOOKUP($C72,' COM_2017_old'!$B$61:$AJ$120,MATCH(VLOOKUP("*"&amp;$AX72,$A$10:$J$11,$J$9,FALSE)&amp;AN$7,' COM_2017_old'!$B$58:$AJ$58,0),FALSE),""))</f>
        <v/>
      </c>
      <c r="AO72" s="391" t="str">
        <f ca="1">IFERROR(VLOOKUP($C72,COM_2012!$B$61:$AH$120,MATCH(VLOOKUP("*"&amp;$AX72,$A$10:$J$11,$J$9,FALSE)&amp;AO$7,COM_2012!$B$58:$AH$58,0),FALSE),"")</f>
        <v/>
      </c>
      <c r="AP72" s="391" t="str">
        <f ca="1">IFERROR(VLOOKUP($C72,COM_2012!$B$61:$AH$120,MATCH(VLOOKUP("*"&amp;$AX72,$A$10:$J$11,$J$9,FALSE)&amp;AP$7,COM_2012!$B$58:$AH$58,0),FALSE),"")</f>
        <v/>
      </c>
      <c r="AQ72" s="391" t="str">
        <f ca="1">IFERROR(VLOOKUP($C72,COM_2012!$B$61:$AH$120,MATCH(VLOOKUP("*"&amp;$AX72,$A$10:$J$11,$J$9,FALSE)&amp;AQ$7,COM_2012!$B$58:$AH$58,0),FALSE),"")</f>
        <v/>
      </c>
      <c r="AR72" s="391" t="str">
        <f ca="1">IFERROR(VLOOKUP($C72,COM_2012!$B$61:$AH$120,MATCH(VLOOKUP("*"&amp;$AX72,$A$10:$J$11,$J$9,FALSE)&amp;AR$7,COM_2012!$B$58:$AH$58,0),FALSE),"")</f>
        <v/>
      </c>
      <c r="AS72" s="391" t="str">
        <f ca="1">IFERROR(VLOOKUP($C72,COM_2012!$B$61:$AH$120,MATCH(VLOOKUP("*"&amp;$AX72,$A$10:$J$11,$J$9,FALSE)&amp;AS$7,COM_2012!$B$58:$AH$58,0),FALSE),"")</f>
        <v/>
      </c>
      <c r="AT72" s="391" t="str">
        <f ca="1">IFERROR(VLOOKUP($C72,COM_2012!$B$61:$AH$120,MATCH(VLOOKUP("*"&amp;$AX72,$A$10:$J$11,$J$9,FALSE)&amp;AT$7,COM_2012!$B$58:$AH$58,0),FALSE),"")</f>
        <v/>
      </c>
      <c r="AU72" s="391" t="str">
        <f ca="1">IFERROR(VLOOKUP($C72,COM_2012!$B$61:$AH$120,MATCH(VLOOKUP("*"&amp;$AX72,$A$10:$J$11,$J$9,FALSE)&amp;AU$7,COM_2012!$B$58:$AH$58,0),FALSE),"")</f>
        <v/>
      </c>
      <c r="AV72" s="391" t="str">
        <f ca="1">IFERROR(VLOOKUP($C72,COM_2012!$B$61:$AH$120,MATCH(VLOOKUP("*"&amp;$AX72,$A$10:$J$11,$J$9,FALSE)&amp;AV$7,COM_2012!$B$58:$AH$58,0),FALSE),"")</f>
        <v/>
      </c>
      <c r="AW72" s="391" t="str">
        <f ca="1">IFERROR(VLOOKUP($C72,COM_2012!$B$61:$AH$120,MATCH(VLOOKUP("*"&amp;$AX72,$A$10:$J$11,$J$9,FALSE)&amp;AW$7,COM_2012!$B$58:$AH$58,0),FALSE),"")</f>
        <v/>
      </c>
      <c r="AX72" s="304">
        <f>IF(AY71=COM_2012!$AI$121,AX71+1,AX71)</f>
        <v>1</v>
      </c>
      <c r="AY72" s="304">
        <f t="shared" si="15"/>
        <v>60</v>
      </c>
    </row>
    <row r="73" spans="1:51">
      <c r="A73" s="304" t="str">
        <f ca="1">IF(LEFT(OFFSET(COM_2012!$A$60,AY73,0),2)="\I","*","")</f>
        <v>*</v>
      </c>
      <c r="B73" s="369" t="str">
        <f t="shared" ca="1" si="19"/>
        <v/>
      </c>
      <c r="C73" s="369" t="str">
        <f ca="1">IF($A73="*","",OFFSET(COM_2012!$B$60,AY73,0))</f>
        <v/>
      </c>
      <c r="D73" s="369" t="str">
        <f t="shared" ca="1" si="14"/>
        <v/>
      </c>
      <c r="E73" s="369" t="str">
        <f t="shared" ref="E73:E97" ca="1" si="42">IF($A73="*","",VLOOKUP($B73,$B$10:$I$11,E$9,FALSE))</f>
        <v/>
      </c>
      <c r="F73" s="370" t="str">
        <f t="shared" ca="1" si="17"/>
        <v/>
      </c>
      <c r="G73" s="370" t="str">
        <f t="shared" ca="1" si="17"/>
        <v/>
      </c>
      <c r="H73" s="370" t="str">
        <f t="shared" ref="H73" ca="1" si="43">IF($A73="*","",VLOOKUP("*"&amp;$AX73,$A$10:$I$11,H$9,FALSE))</f>
        <v/>
      </c>
      <c r="I73" s="370" t="str">
        <f t="shared" ref="H73:I96" ca="1" si="44">IF($A73="*","",VLOOKUP("*"&amp;$AX73,$A$10:$I$11,I$9,FALSE))</f>
        <v/>
      </c>
      <c r="J73" s="494" t="str">
        <f>IF(J$7&lt;2020,"",IF(A73="*","",IFERROR(VLOOKUP($C73,COM_2012!$B$61:$AH$120,MATCH(VLOOKUP("*"&amp;$AX73,$A$10:$J$11,$J$9,FALSE)&amp;J$7,COM_2012!$B$58:$AH$58,0),FALSE),"")))</f>
        <v/>
      </c>
      <c r="K73" s="494" t="str">
        <f>IF(K$7&lt;2020,"",IF(B73="*","",IFERROR(VLOOKUP($C73,COM_2012!$B$61:$AH$120,MATCH(VLOOKUP("*"&amp;$AX73,$A$10:$J$11,$J$9,FALSE)&amp;K$7,COM_2012!$B$58:$AH$58,0),FALSE),"")))</f>
        <v/>
      </c>
      <c r="L73" s="494" t="str">
        <f>IF(L$7&lt;2020,"",IF(C73="*","",IFERROR(VLOOKUP($C73,COM_2012!$B$61:$AH$120,MATCH(VLOOKUP("*"&amp;$AX73,$A$10:$J$11,$J$9,FALSE)&amp;L$7,COM_2012!$B$58:$AH$58,0),FALSE),"")))</f>
        <v/>
      </c>
      <c r="M73" s="494" t="str">
        <f>IF(M$7&lt;2020,"",IF(D73="*","",IFERROR(VLOOKUP($C73,COM_2012!$B$61:$AH$120,MATCH(VLOOKUP("*"&amp;$AX73,$A$10:$J$11,$J$9,FALSE)&amp;M$7,COM_2012!$B$58:$AH$58,0),FALSE),"")))</f>
        <v/>
      </c>
      <c r="N73" s="494" t="str">
        <f ca="1">IFERROR(VLOOKUP($C73,COM_2012!$B$61:$AH$120,MATCH(VLOOKUP("*"&amp;$AX73,$A$10:$J$11,$J$9,FALSE)&amp;N$7,COM_2012!$B$58:$AH$58,0),FALSE),"")</f>
        <v/>
      </c>
      <c r="O73" s="494" t="str">
        <f>IF(O$7&lt;2020,"",IF($A73="*","",IFERROR(VLOOKUP($C73,' COM_2017_old'!$B$61:$AJ$120,MATCH(VLOOKUP("*"&amp;$AX73,$A$10:$J$11,$J$9,FALSE)&amp;O$7,' COM_2017_old'!$B$58:$AJ$58,0),FALSE),"")))</f>
        <v/>
      </c>
      <c r="P73" s="494" t="str">
        <f ca="1">IFERROR(VLOOKUP($C73,COM_2012!$B$61:$AH$120,MATCH(VLOOKUP("*"&amp;$AX73,$A$10:$J$11,$J$9,FALSE)&amp;P$7,COM_2012!$B$58:$AH$58,0),FALSE),"")</f>
        <v/>
      </c>
      <c r="Q73" s="494" t="str">
        <f ca="1">IFERROR(VLOOKUP($C73,COM_2012!$B$61:$AH$120,MATCH(VLOOKUP("*"&amp;$AX73,$A$10:$J$11,$J$9,FALSE)&amp;Q$7,COM_2012!$B$58:$AH$58,0),FALSE),"")</f>
        <v/>
      </c>
      <c r="R73" s="494" t="str">
        <f ca="1">IF($A73="*","",IFERROR(VLOOKUP($C73,' COM_2017_old'!$B$61:$AJ$120,MATCH(VLOOKUP("*"&amp;$AX73,$A$10:$J$11,$J$9,FALSE)&amp;R$7,' COM_2017_old'!$B$58:$AJ$58,0),FALSE),""))</f>
        <v/>
      </c>
      <c r="S73" s="494" t="str">
        <f ca="1">IFERROR(VLOOKUP($C73,COM_2012!$B$61:$AH$120,MATCH(VLOOKUP("*"&amp;$AX73,$A$10:$J$11,$J$9,FALSE)&amp;S$7,COM_2012!$B$58:$AH$58,0),FALSE),"")</f>
        <v/>
      </c>
      <c r="T73" s="494" t="str">
        <f ca="1">IFERROR(VLOOKUP($C73,COM_2012!$B$61:$AH$120,MATCH(VLOOKUP("*"&amp;$AX73,$A$10:$J$11,$J$9,FALSE)&amp;T$7,COM_2012!$B$58:$AH$58,0),FALSE),"")</f>
        <v/>
      </c>
      <c r="U73" s="494" t="str">
        <f ca="1">IFERROR(VLOOKUP($C73,COM_2012!$B$61:$AH$120,MATCH(VLOOKUP("*"&amp;$AX73,$A$10:$J$11,$J$9,FALSE)&amp;U$7,COM_2012!$B$58:$AH$58,0),FALSE),"")</f>
        <v/>
      </c>
      <c r="V73" s="494" t="str">
        <f ca="1">IFERROR(VLOOKUP($C73,COM_2012!$B$61:$AH$120,MATCH(VLOOKUP("*"&amp;$AX73,$A$10:$J$11,$J$9,FALSE)&amp;V$7,COM_2012!$B$58:$AH$58,0),FALSE),"")</f>
        <v/>
      </c>
      <c r="W73" s="494" t="str">
        <f ca="1">IF($A73="*","",IFERROR(VLOOKUP($C73,' COM_2017_old'!$B$61:$AJ$120,MATCH(VLOOKUP("*"&amp;$AX73,$A$10:$J$11,$J$9,FALSE)&amp;W$7,' COM_2017_old'!$B$58:$AJ$58,0),FALSE),""))</f>
        <v/>
      </c>
      <c r="X73" s="494" t="str">
        <f ca="1">IFERROR(VLOOKUP($C73,COM_2012!$B$61:$AH$120,MATCH(VLOOKUP("*"&amp;$AX73,$A$10:$J$11,$J$9,FALSE)&amp;X$7,COM_2012!$B$58:$AH$58,0),FALSE),"")</f>
        <v/>
      </c>
      <c r="Y73" s="494" t="str">
        <f ca="1">IFERROR(VLOOKUP($C73,COM_2012!$B$61:$AH$120,MATCH(VLOOKUP("*"&amp;$AX73,$A$10:$J$11,$J$9,FALSE)&amp;Y$7,COM_2012!$B$58:$AH$58,0),FALSE),"")</f>
        <v/>
      </c>
      <c r="Z73" s="494" t="str">
        <f ca="1">IFERROR(VLOOKUP($C73,COM_2012!$B$61:$AH$120,MATCH(VLOOKUP("*"&amp;$AX73,$A$10:$J$11,$J$9,FALSE)&amp;Z$7,COM_2012!$B$58:$AH$58,0),FALSE),"")</f>
        <v/>
      </c>
      <c r="AA73" s="494" t="str">
        <f ca="1">IFERROR(VLOOKUP($C73,COM_2012!$B$61:$AH$120,MATCH(VLOOKUP("*"&amp;$AX73,$A$10:$J$11,$J$9,FALSE)&amp;AA$7,COM_2012!$B$58:$AH$58,0),FALSE),"")</f>
        <v/>
      </c>
      <c r="AB73" s="494" t="str">
        <f ca="1">IF($A73="*","",IFERROR(VLOOKUP($C73,' COM_2017_old'!$B$61:$AJ$120,MATCH(VLOOKUP("*"&amp;$AX73,$A$10:$J$11,$J$9,FALSE)&amp;AB$7,' COM_2017_old'!$B$58:$AJ$58,0),FALSE),""))</f>
        <v/>
      </c>
      <c r="AC73" s="494" t="str">
        <f ca="1">IFERROR(VLOOKUP($C73,COM_2012!$B$61:$AH$120,MATCH(VLOOKUP("*"&amp;$AX73,$A$10:$J$11,$J$9,FALSE)&amp;AC$7,COM_2012!$B$58:$AH$58,0),FALSE),"")</f>
        <v/>
      </c>
      <c r="AD73" s="391" t="str">
        <f ca="1">IFERROR(VLOOKUP($C73,COM_2012!$B$61:$AH$120,MATCH(VLOOKUP("*"&amp;$AX73,$A$10:$J$11,$J$9,FALSE)&amp;AD$7,COM_2012!$B$58:$AH$58,0),FALSE),"")</f>
        <v/>
      </c>
      <c r="AE73" s="391" t="str">
        <f ca="1">IFERROR(VLOOKUP($C73,COM_2012!$B$61:$AH$120,MATCH(VLOOKUP("*"&amp;$AX73,$A$10:$J$11,$J$9,FALSE)&amp;AE$7,COM_2012!$B$58:$AH$58,0),FALSE),"")</f>
        <v/>
      </c>
      <c r="AF73" s="391" t="str">
        <f ca="1">IFERROR(VLOOKUP($C73,COM_2012!$B$61:$AH$120,MATCH(VLOOKUP("*"&amp;$AX73,$A$10:$J$11,$J$9,FALSE)&amp;AF$7,COM_2012!$B$58:$AH$58,0),FALSE),"")</f>
        <v/>
      </c>
      <c r="AG73" s="494" t="str">
        <f ca="1">IF($A73="*","",IFERROR(VLOOKUP($C73,' COM_2017_old'!$B$61:$AJ$120,MATCH(VLOOKUP("*"&amp;$AX73,$A$10:$J$11,$J$9,FALSE)&amp;AG$7,' COM_2017_old'!$B$58:$AJ$58,0),FALSE),""))</f>
        <v/>
      </c>
      <c r="AH73" s="391" t="str">
        <f ca="1">IFERROR(VLOOKUP($C73,COM_2012!$B$61:$AH$120,MATCH(VLOOKUP("*"&amp;$AX73,$A$10:$J$11,$J$9,FALSE)&amp;AH$7,COM_2012!$B$58:$AH$58,0),FALSE),"")</f>
        <v/>
      </c>
      <c r="AI73" s="391" t="str">
        <f ca="1">IFERROR(VLOOKUP($C73,COM_2012!$B$61:$AH$120,MATCH(VLOOKUP("*"&amp;$AX73,$A$10:$J$11,$J$9,FALSE)&amp;AI$7,COM_2012!$B$58:$AH$58,0),FALSE),"")</f>
        <v/>
      </c>
      <c r="AJ73" s="391" t="str">
        <f ca="1">IFERROR(VLOOKUP($C73,COM_2012!$B$61:$AH$120,MATCH(VLOOKUP("*"&amp;$AX73,$A$10:$J$11,$J$9,FALSE)&amp;AJ$7,COM_2012!$B$58:$AH$58,0),FALSE),"")</f>
        <v/>
      </c>
      <c r="AK73" s="391" t="str">
        <f ca="1">IFERROR(VLOOKUP($C73,COM_2012!$B$61:$AH$120,MATCH(VLOOKUP("*"&amp;$AX73,$A$10:$J$11,$J$9,FALSE)&amp;AK$7,COM_2012!$B$58:$AH$58,0),FALSE),"")</f>
        <v/>
      </c>
      <c r="AL73" s="494" t="str">
        <f ca="1">IF($A73="*","",IFERROR(VLOOKUP($C73,' COM_2017_old'!$B$61:$AJ$120,MATCH(VLOOKUP("*"&amp;$AX73,$A$10:$J$11,$J$9,FALSE)&amp;AL$7,' COM_2017_old'!$B$58:$AJ$58,0),FALSE),""))</f>
        <v/>
      </c>
      <c r="AM73" s="494" t="str">
        <f ca="1">IF($A73="*","",IFERROR(VLOOKUP($C73,' COM_2017_old'!$B$61:$AJ$120,MATCH(VLOOKUP("*"&amp;$AX73,$A$10:$J$11,$J$9,FALSE)&amp;AM$7,' COM_2017_old'!$B$58:$AJ$58,0),FALSE),""))</f>
        <v/>
      </c>
      <c r="AN73" s="494" t="str">
        <f ca="1">IF($A73="*","",IFERROR(VLOOKUP($C73,' COM_2017_old'!$B$61:$AJ$120,MATCH(VLOOKUP("*"&amp;$AX73,$A$10:$J$11,$J$9,FALSE)&amp;AN$7,' COM_2017_old'!$B$58:$AJ$58,0),FALSE),""))</f>
        <v/>
      </c>
      <c r="AO73" s="391" t="str">
        <f ca="1">IFERROR(VLOOKUP($C73,COM_2012!$B$61:$AH$120,MATCH(VLOOKUP("*"&amp;$AX73,$A$10:$J$11,$J$9,FALSE)&amp;AO$7,COM_2012!$B$58:$AH$58,0),FALSE),"")</f>
        <v/>
      </c>
      <c r="AP73" s="391" t="str">
        <f ca="1">IFERROR(VLOOKUP($C73,COM_2012!$B$61:$AH$120,MATCH(VLOOKUP("*"&amp;$AX73,$A$10:$J$11,$J$9,FALSE)&amp;AP$7,COM_2012!$B$58:$AH$58,0),FALSE),"")</f>
        <v/>
      </c>
      <c r="AQ73" s="391" t="str">
        <f ca="1">IFERROR(VLOOKUP($C73,COM_2012!$B$61:$AH$120,MATCH(VLOOKUP("*"&amp;$AX73,$A$10:$J$11,$J$9,FALSE)&amp;AQ$7,COM_2012!$B$58:$AH$58,0),FALSE),"")</f>
        <v/>
      </c>
      <c r="AR73" s="391" t="str">
        <f ca="1">IFERROR(VLOOKUP($C73,COM_2012!$B$61:$AH$120,MATCH(VLOOKUP("*"&amp;$AX73,$A$10:$J$11,$J$9,FALSE)&amp;AR$7,COM_2012!$B$58:$AH$58,0),FALSE),"")</f>
        <v/>
      </c>
      <c r="AS73" s="391" t="str">
        <f ca="1">IFERROR(VLOOKUP($C73,COM_2012!$B$61:$AH$120,MATCH(VLOOKUP("*"&amp;$AX73,$A$10:$J$11,$J$9,FALSE)&amp;AS$7,COM_2012!$B$58:$AH$58,0),FALSE),"")</f>
        <v/>
      </c>
      <c r="AT73" s="391" t="str">
        <f ca="1">IFERROR(VLOOKUP($C73,COM_2012!$B$61:$AH$120,MATCH(VLOOKUP("*"&amp;$AX73,$A$10:$J$11,$J$9,FALSE)&amp;AT$7,COM_2012!$B$58:$AH$58,0),FALSE),"")</f>
        <v/>
      </c>
      <c r="AU73" s="391" t="str">
        <f ca="1">IFERROR(VLOOKUP($C73,COM_2012!$B$61:$AH$120,MATCH(VLOOKUP("*"&amp;$AX73,$A$10:$J$11,$J$9,FALSE)&amp;AU$7,COM_2012!$B$58:$AH$58,0),FALSE),"")</f>
        <v/>
      </c>
      <c r="AV73" s="391" t="str">
        <f ca="1">IFERROR(VLOOKUP($C73,COM_2012!$B$61:$AH$120,MATCH(VLOOKUP("*"&amp;$AX73,$A$10:$J$11,$J$9,FALSE)&amp;AV$7,COM_2012!$B$58:$AH$58,0),FALSE),"")</f>
        <v/>
      </c>
      <c r="AW73" s="391" t="str">
        <f ca="1">IFERROR(VLOOKUP($C73,COM_2012!$B$61:$AH$120,MATCH(VLOOKUP("*"&amp;$AX73,$A$10:$J$11,$J$9,FALSE)&amp;AW$7,COM_2012!$B$58:$AH$58,0),FALSE),"")</f>
        <v/>
      </c>
      <c r="AX73" s="304">
        <f>IF(AY72=COM_2012!$AI$121,AX72+1,AX72)</f>
        <v>1</v>
      </c>
      <c r="AY73" s="304">
        <f t="shared" si="15"/>
        <v>61</v>
      </c>
    </row>
    <row r="74" spans="1:51">
      <c r="A74" s="304" t="str">
        <f ca="1">IF(LEFT(OFFSET(COM_2012!$A$60,AY74,0),2)="\I","*","")</f>
        <v/>
      </c>
      <c r="B74" s="369" t="str">
        <f t="shared" ca="1" si="19"/>
        <v>FLO_MRKPRD</v>
      </c>
      <c r="C74" s="369" t="str">
        <f ca="1">IF($A74="*","",OFFSET(COM_2012!$B$60,AY74,0))</f>
        <v>CECELCCHIL-E</v>
      </c>
      <c r="D74" s="369" t="str">
        <f t="shared" ca="1" si="14"/>
        <v>CEC</v>
      </c>
      <c r="E74" s="369" t="str">
        <f t="shared" ca="1" si="42"/>
        <v>-</v>
      </c>
      <c r="F74" s="370" t="str">
        <f t="shared" ca="1" si="17"/>
        <v>-</v>
      </c>
      <c r="G74" s="370" t="str">
        <f t="shared" ca="1" si="17"/>
        <v>ANNUAL</v>
      </c>
      <c r="H74" s="370" t="str">
        <f t="shared" ca="1" si="44"/>
        <v>LO</v>
      </c>
      <c r="I74" s="370">
        <f t="shared" ca="1" si="44"/>
        <v>0</v>
      </c>
      <c r="J74" s="494" t="str">
        <f>IF(J$7&lt;2020,"",IF(A74="*","",IFERROR(VLOOKUP($C74,COM_2012!$B$61:$AH$120,MATCH(VLOOKUP("*"&amp;$AX74,$A$10:$J$11,$J$9,FALSE)&amp;J$7,COM_2012!$B$58:$AH$58,0),FALSE),"")))</f>
        <v/>
      </c>
      <c r="K74" s="494" t="str">
        <f>IF(K$7&lt;2020,"",IF(B74="*","",IFERROR(VLOOKUP($C74,COM_2012!$B$61:$AH$120,MATCH(VLOOKUP("*"&amp;$AX74,$A$10:$J$11,$J$9,FALSE)&amp;K$7,COM_2012!$B$58:$AH$58,0),FALSE),"")))</f>
        <v/>
      </c>
      <c r="L74" s="494" t="str">
        <f>IF(L$7&lt;2020,"",IF(C74="*","",IFERROR(VLOOKUP($C74,COM_2012!$B$61:$AH$120,MATCH(VLOOKUP("*"&amp;$AX74,$A$10:$J$11,$J$9,FALSE)&amp;L$7,COM_2012!$B$58:$AH$58,0),FALSE),"")))</f>
        <v/>
      </c>
      <c r="M74" s="494" t="str">
        <f>IF(M$7&lt;2020,"",IF(D74="*","",IFERROR(VLOOKUP($C74,COM_2012!$B$61:$AH$120,MATCH(VLOOKUP("*"&amp;$AX74,$A$10:$J$11,$J$9,FALSE)&amp;M$7,COM_2012!$B$58:$AH$58,0),FALSE),"")))</f>
        <v/>
      </c>
      <c r="N74" s="494" t="str">
        <f ca="1">IFERROR(VLOOKUP($C74,COM_2012!$B$61:$AH$120,MATCH(VLOOKUP("*"&amp;$AX74,$A$10:$J$11,$J$9,FALSE)&amp;N$7,COM_2012!$B$58:$AH$58,0),FALSE),"")</f>
        <v/>
      </c>
      <c r="O74" s="494" t="str">
        <f>IF(O$7&lt;2020,"",IF($A74="*","",IFERROR(VLOOKUP($C74,' COM_2017_old'!$B$61:$AJ$120,MATCH(VLOOKUP("*"&amp;$AX74,$A$10:$J$11,$J$9,FALSE)&amp;O$7,' COM_2017_old'!$B$58:$AJ$58,0),FALSE),"")))</f>
        <v/>
      </c>
      <c r="P74" s="494" t="str">
        <f ca="1">IFERROR(VLOOKUP($C74,COM_2012!$B$61:$AH$120,MATCH(VLOOKUP("*"&amp;$AX74,$A$10:$J$11,$J$9,FALSE)&amp;P$7,COM_2012!$B$58:$AH$58,0),FALSE),"")</f>
        <v/>
      </c>
      <c r="Q74" s="494" t="str">
        <f ca="1">IFERROR(VLOOKUP($C74,COM_2012!$B$61:$AH$120,MATCH(VLOOKUP("*"&amp;$AX74,$A$10:$J$11,$J$9,FALSE)&amp;Q$7,COM_2012!$B$58:$AH$58,0),FALSE),"")</f>
        <v/>
      </c>
      <c r="R74" s="494">
        <f ca="1">IF($A74="*","",IFERROR(VLOOKUP($C74,' COM_2017_old'!$B$61:$AJ$120,MATCH(VLOOKUP("*"&amp;$AX74,$A$10:$J$11,$J$9,FALSE)&amp;R$7,' COM_2017_old'!$B$58:$AJ$58,0),FALSE),""))</f>
        <v>3.7333541190327717E-2</v>
      </c>
      <c r="S74" s="494">
        <f t="shared" ref="S74:S79" ca="1" si="45">IF($A74="*","",R74+($W74-$R74)/5)</f>
        <v>3.6794706575209585E-2</v>
      </c>
      <c r="T74" s="494">
        <f t="shared" ref="T74:V79" ca="1" si="46">IF($A74="*","",S74+($W74-$R74)/5)</f>
        <v>3.6255871960091453E-2</v>
      </c>
      <c r="U74" s="494">
        <f t="shared" ca="1" si="46"/>
        <v>3.5717037344973321E-2</v>
      </c>
      <c r="V74" s="494">
        <f t="shared" ca="1" si="46"/>
        <v>3.5178202729855189E-2</v>
      </c>
      <c r="W74" s="494">
        <f ca="1">IF($A74="*","",IFERROR(VLOOKUP($C74,' COM_2017_old'!$B$61:$AJ$120,MATCH(VLOOKUP("*"&amp;$AX74,$A$10:$J$11,$J$9,FALSE)&amp;W$7,' COM_2017_old'!$B$58:$AJ$58,0),FALSE),""))</f>
        <v>3.4639368114737057E-2</v>
      </c>
      <c r="X74" s="494">
        <f t="shared" ref="X74:X79" ca="1" si="47">IF($A74="*","",W74+($AB74-$W74)/5)</f>
        <v>3.3099840642970967E-2</v>
      </c>
      <c r="Y74" s="494">
        <f t="shared" ref="Y74:AA79" ca="1" si="48">IF($A74="*","",X74+($AB74-$W74)/5)</f>
        <v>3.1560313171204876E-2</v>
      </c>
      <c r="Z74" s="494">
        <f t="shared" ca="1" si="48"/>
        <v>3.0020785699438786E-2</v>
      </c>
      <c r="AA74" s="494">
        <f t="shared" ca="1" si="48"/>
        <v>2.8481258227672696E-2</v>
      </c>
      <c r="AB74" s="494">
        <f ca="1">IF($A74="*","",IFERROR(VLOOKUP($C74,' COM_2017_old'!$B$61:$AJ$120,MATCH(VLOOKUP("*"&amp;$AX74,$A$10:$J$11,$J$9,FALSE)&amp;AB$7,' COM_2017_old'!$B$58:$AJ$58,0),FALSE),""))</f>
        <v>2.6941730755906598E-2</v>
      </c>
      <c r="AC74" s="494">
        <f t="shared" ref="AC74:AC79" ca="1" si="49">IF($A74="*","",AB74+($AG74-$AB74)/5)</f>
        <v>2.5017321416198984E-2</v>
      </c>
      <c r="AD74" s="494">
        <f t="shared" ref="AD74:AF79" ca="1" si="50">IF($A74="*","",AC74+($AG74-$AB74)/5)</f>
        <v>2.3092912076491369E-2</v>
      </c>
      <c r="AE74" s="494">
        <f t="shared" ca="1" si="50"/>
        <v>2.1168502736783754E-2</v>
      </c>
      <c r="AF74" s="494">
        <f t="shared" ca="1" si="50"/>
        <v>1.924409339707614E-2</v>
      </c>
      <c r="AG74" s="494">
        <f ca="1">IF($A74="*","",IFERROR(VLOOKUP($C74,' COM_2017_old'!$B$61:$AJ$120,MATCH(VLOOKUP("*"&amp;$AX74,$A$10:$J$11,$J$9,FALSE)&amp;AG$7,' COM_2017_old'!$B$58:$AJ$58,0),FALSE),""))</f>
        <v>1.7319684057368528E-2</v>
      </c>
      <c r="AH74" s="494">
        <f t="shared" ref="AH74:AH79" ca="1" si="51">IF($A74="*","",AG74+($AL74-$AG74)/5)</f>
        <v>1.5010392849719391E-2</v>
      </c>
      <c r="AI74" s="494">
        <f t="shared" ref="AI74:AK79" ca="1" si="52">IF($A74="*","",AH74+($AL74-$AG74)/5)</f>
        <v>1.2701101642070254E-2</v>
      </c>
      <c r="AJ74" s="494">
        <f t="shared" ca="1" si="52"/>
        <v>1.0391810434421117E-2</v>
      </c>
      <c r="AK74" s="494">
        <f t="shared" ca="1" si="52"/>
        <v>8.0825192267719795E-3</v>
      </c>
      <c r="AL74" s="494">
        <f ca="1">IF($A74="*","",IFERROR(VLOOKUP($C74,' COM_2017_old'!$B$61:$AJ$120,MATCH(VLOOKUP("*"&amp;$AX74,$A$10:$J$11,$J$9,FALSE)&amp;AL$7,' COM_2017_old'!$B$58:$AJ$58,0),FALSE),""))</f>
        <v>5.7732280191228431E-3</v>
      </c>
      <c r="AM74" s="494">
        <f ca="1">IF($A74="*","",IFERROR(VLOOKUP($C74,' COM_2017_old'!$B$61:$AJ$120,MATCH(VLOOKUP("*"&amp;$AX74,$A$10:$J$11,$J$9,FALSE)&amp;AM$7,' COM_2017_old'!$B$58:$AJ$58,0),FALSE),""))</f>
        <v>1.9244093397076144E-3</v>
      </c>
      <c r="AN74" s="494">
        <f ca="1">IF($A74="*","",IFERROR(VLOOKUP($C74,' COM_2017_old'!$B$61:$AJ$120,MATCH(VLOOKUP("*"&amp;$AX74,$A$10:$J$11,$J$9,FALSE)&amp;AN$7,' COM_2017_old'!$B$58:$AJ$58,0),FALSE),""))</f>
        <v>0</v>
      </c>
      <c r="AO74" s="391" t="str">
        <f ca="1">IFERROR(VLOOKUP($C74,COM_2012!$B$61:$AH$120,MATCH(VLOOKUP("*"&amp;$AX74,$A$10:$J$11,$J$9,FALSE)&amp;AO$7,COM_2012!$B$58:$AH$58,0),FALSE),"")</f>
        <v/>
      </c>
      <c r="AP74" s="391" t="str">
        <f ca="1">IFERROR(VLOOKUP($C74,COM_2012!$B$61:$AH$120,MATCH(VLOOKUP("*"&amp;$AX74,$A$10:$J$11,$J$9,FALSE)&amp;AP$7,COM_2012!$B$58:$AH$58,0),FALSE),"")</f>
        <v/>
      </c>
      <c r="AQ74" s="391" t="str">
        <f ca="1">IFERROR(VLOOKUP($C74,COM_2012!$B$61:$AH$120,MATCH(VLOOKUP("*"&amp;$AX74,$A$10:$J$11,$J$9,FALSE)&amp;AQ$7,COM_2012!$B$58:$AH$58,0),FALSE),"")</f>
        <v/>
      </c>
      <c r="AR74" s="391" t="str">
        <f ca="1">IFERROR(VLOOKUP($C74,COM_2012!$B$61:$AH$120,MATCH(VLOOKUP("*"&amp;$AX74,$A$10:$J$11,$J$9,FALSE)&amp;AR$7,COM_2012!$B$58:$AH$58,0),FALSE),"")</f>
        <v/>
      </c>
      <c r="AS74" s="391" t="str">
        <f ca="1">IFERROR(VLOOKUP($C74,COM_2012!$B$61:$AH$120,MATCH(VLOOKUP("*"&amp;$AX74,$A$10:$J$11,$J$9,FALSE)&amp;AS$7,COM_2012!$B$58:$AH$58,0),FALSE),"")</f>
        <v/>
      </c>
      <c r="AT74" s="391" t="str">
        <f ca="1">IFERROR(VLOOKUP($C74,COM_2012!$B$61:$AH$120,MATCH(VLOOKUP("*"&amp;$AX74,$A$10:$J$11,$J$9,FALSE)&amp;AT$7,COM_2012!$B$58:$AH$58,0),FALSE),"")</f>
        <v/>
      </c>
      <c r="AU74" s="391" t="str">
        <f ca="1">IFERROR(VLOOKUP($C74,COM_2012!$B$61:$AH$120,MATCH(VLOOKUP("*"&amp;$AX74,$A$10:$J$11,$J$9,FALSE)&amp;AU$7,COM_2012!$B$58:$AH$58,0),FALSE),"")</f>
        <v/>
      </c>
      <c r="AV74" s="391" t="str">
        <f ca="1">IFERROR(VLOOKUP($C74,COM_2012!$B$61:$AH$120,MATCH(VLOOKUP("*"&amp;$AX74,$A$10:$J$11,$J$9,FALSE)&amp;AV$7,COM_2012!$B$58:$AH$58,0),FALSE),"")</f>
        <v/>
      </c>
      <c r="AW74" s="391" t="str">
        <f ca="1">IFERROR(VLOOKUP($C74,COM_2012!$B$61:$AH$120,MATCH(VLOOKUP("*"&amp;$AX74,$A$10:$J$11,$J$9,FALSE)&amp;AW$7,COM_2012!$B$58:$AH$58,0),FALSE),"")</f>
        <v/>
      </c>
      <c r="AX74" s="304">
        <f>IF(AY73=COM_2012!$AI$121,AX73+1,AX73)</f>
        <v>2</v>
      </c>
      <c r="AY74" s="304">
        <f t="shared" si="15"/>
        <v>1</v>
      </c>
    </row>
    <row r="75" spans="1:51">
      <c r="A75" s="304" t="str">
        <f ca="1">IF(LEFT(OFFSET(COM_2012!$A$60,AY75,0),2)="\I","*","")</f>
        <v/>
      </c>
      <c r="B75" s="369" t="str">
        <f t="shared" ca="1" si="19"/>
        <v>FLO_MRKPRD</v>
      </c>
      <c r="C75" s="369" t="str">
        <f ca="1">IF($A75="*","",OFFSET(COM_2012!$B$60,AY75,0))</f>
        <v>CECELCCEN-E</v>
      </c>
      <c r="D75" s="369" t="str">
        <f t="shared" ca="1" si="14"/>
        <v>CEC</v>
      </c>
      <c r="E75" s="369" t="str">
        <f t="shared" ca="1" si="42"/>
        <v>-</v>
      </c>
      <c r="F75" s="370" t="str">
        <f t="shared" ca="1" si="17"/>
        <v>-</v>
      </c>
      <c r="G75" s="370" t="str">
        <f t="shared" ca="1" si="17"/>
        <v>ANNUAL</v>
      </c>
      <c r="H75" s="370" t="str">
        <f t="shared" ca="1" si="44"/>
        <v>LO</v>
      </c>
      <c r="I75" s="370">
        <f t="shared" ca="1" si="44"/>
        <v>0</v>
      </c>
      <c r="J75" s="494" t="str">
        <f>IF(J$7&lt;2020,"",IF(A75="*","",IFERROR(VLOOKUP($C75,COM_2012!$B$61:$AH$120,MATCH(VLOOKUP("*"&amp;$AX75,$A$10:$J$11,$J$9,FALSE)&amp;J$7,COM_2012!$B$58:$AH$58,0),FALSE),"")))</f>
        <v/>
      </c>
      <c r="K75" s="494" t="str">
        <f>IF(K$7&lt;2020,"",IF(B75="*","",IFERROR(VLOOKUP($C75,COM_2012!$B$61:$AH$120,MATCH(VLOOKUP("*"&amp;$AX75,$A$10:$J$11,$J$9,FALSE)&amp;K$7,COM_2012!$B$58:$AH$58,0),FALSE),"")))</f>
        <v/>
      </c>
      <c r="L75" s="494" t="str">
        <f>IF(L$7&lt;2020,"",IF(C75="*","",IFERROR(VLOOKUP($C75,COM_2012!$B$61:$AH$120,MATCH(VLOOKUP("*"&amp;$AX75,$A$10:$J$11,$J$9,FALSE)&amp;L$7,COM_2012!$B$58:$AH$58,0),FALSE),"")))</f>
        <v/>
      </c>
      <c r="M75" s="494" t="str">
        <f>IF(M$7&lt;2020,"",IF(D75="*","",IFERROR(VLOOKUP($C75,COM_2012!$B$61:$AH$120,MATCH(VLOOKUP("*"&amp;$AX75,$A$10:$J$11,$J$9,FALSE)&amp;M$7,COM_2012!$B$58:$AH$58,0),FALSE),"")))</f>
        <v/>
      </c>
      <c r="N75" s="494" t="str">
        <f ca="1">IFERROR(VLOOKUP($C75,COM_2012!$B$61:$AH$120,MATCH(VLOOKUP("*"&amp;$AX75,$A$10:$J$11,$J$9,FALSE)&amp;N$7,COM_2012!$B$58:$AH$58,0),FALSE),"")</f>
        <v/>
      </c>
      <c r="O75" s="494" t="str">
        <f>IF(O$7&lt;2020,"",IF($A75="*","",IFERROR(VLOOKUP($C75,' COM_2017_old'!$B$61:$AJ$120,MATCH(VLOOKUP("*"&amp;$AX75,$A$10:$J$11,$J$9,FALSE)&amp;O$7,' COM_2017_old'!$B$58:$AJ$58,0),FALSE),"")))</f>
        <v/>
      </c>
      <c r="P75" s="494" t="str">
        <f ca="1">IFERROR(VLOOKUP($C75,COM_2012!$B$61:$AH$120,MATCH(VLOOKUP("*"&amp;$AX75,$A$10:$J$11,$J$9,FALSE)&amp;P$7,COM_2012!$B$58:$AH$58,0),FALSE),"")</f>
        <v/>
      </c>
      <c r="Q75" s="494" t="str">
        <f ca="1">IFERROR(VLOOKUP($C75,COM_2012!$B$61:$AH$120,MATCH(VLOOKUP("*"&amp;$AX75,$A$10:$J$11,$J$9,FALSE)&amp;Q$7,COM_2012!$B$58:$AH$58,0),FALSE),"")</f>
        <v/>
      </c>
      <c r="R75" s="494">
        <f ca="1">IF($A75="*","",IFERROR(VLOOKUP($C75,' COM_2017_old'!$B$61:$AJ$120,MATCH(VLOOKUP("*"&amp;$AX75,$A$10:$J$11,$J$9,FALSE)&amp;R$7,' COM_2017_old'!$B$58:$AJ$58,0),FALSE),""))</f>
        <v>0.63127624194554155</v>
      </c>
      <c r="S75" s="494">
        <f t="shared" ca="1" si="45"/>
        <v>0.62216503845354409</v>
      </c>
      <c r="T75" s="494">
        <f t="shared" ca="1" si="46"/>
        <v>0.61305383496154664</v>
      </c>
      <c r="U75" s="494">
        <f t="shared" ca="1" si="46"/>
        <v>0.60394263146954918</v>
      </c>
      <c r="V75" s="494">
        <f t="shared" ca="1" si="46"/>
        <v>0.59483142797755173</v>
      </c>
      <c r="W75" s="494">
        <f ca="1">IF($A75="*","",IFERROR(VLOOKUP($C75,' COM_2017_old'!$B$61:$AJ$120,MATCH(VLOOKUP("*"&amp;$AX75,$A$10:$J$11,$J$9,FALSE)&amp;W$7,' COM_2017_old'!$B$58:$AJ$58,0),FALSE),""))</f>
        <v>0.58572022448555405</v>
      </c>
      <c r="X75" s="494">
        <f t="shared" ca="1" si="47"/>
        <v>0.55968821450841832</v>
      </c>
      <c r="Y75" s="494">
        <f t="shared" ca="1" si="48"/>
        <v>0.5336562045312826</v>
      </c>
      <c r="Z75" s="494">
        <f t="shared" ca="1" si="48"/>
        <v>0.50762419455414687</v>
      </c>
      <c r="AA75" s="494">
        <f t="shared" ca="1" si="48"/>
        <v>0.48159218457701114</v>
      </c>
      <c r="AB75" s="494">
        <f ca="1">IF($A75="*","",IFERROR(VLOOKUP($C75,' COM_2017_old'!$B$61:$AJ$120,MATCH(VLOOKUP("*"&amp;$AX75,$A$10:$J$11,$J$9,FALSE)&amp;AB$7,' COM_2017_old'!$B$58:$AJ$58,0),FALSE),""))</f>
        <v>0.4555601745998753</v>
      </c>
      <c r="AC75" s="494">
        <f t="shared" ca="1" si="49"/>
        <v>0.42302016212845567</v>
      </c>
      <c r="AD75" s="494">
        <f t="shared" ca="1" si="50"/>
        <v>0.39048014965703604</v>
      </c>
      <c r="AE75" s="494">
        <f t="shared" ca="1" si="50"/>
        <v>0.3579401371856164</v>
      </c>
      <c r="AF75" s="494">
        <f t="shared" ca="1" si="50"/>
        <v>0.32540012471419677</v>
      </c>
      <c r="AG75" s="494">
        <f ca="1">IF($A75="*","",IFERROR(VLOOKUP($C75,' COM_2017_old'!$B$61:$AJ$120,MATCH(VLOOKUP("*"&amp;$AX75,$A$10:$J$11,$J$9,FALSE)&amp;AG$7,' COM_2017_old'!$B$58:$AJ$58,0),FALSE),""))</f>
        <v>0.29286011224277703</v>
      </c>
      <c r="AH75" s="494">
        <f t="shared" ca="1" si="51"/>
        <v>0.25381209727707343</v>
      </c>
      <c r="AI75" s="494">
        <f t="shared" ca="1" si="52"/>
        <v>0.21476408231136984</v>
      </c>
      <c r="AJ75" s="494">
        <f t="shared" ca="1" si="52"/>
        <v>0.17571606734566625</v>
      </c>
      <c r="AK75" s="494">
        <f t="shared" ca="1" si="52"/>
        <v>0.13666805237996266</v>
      </c>
      <c r="AL75" s="494">
        <f ca="1">IF($A75="*","",IFERROR(VLOOKUP($C75,' COM_2017_old'!$B$61:$AJ$120,MATCH(VLOOKUP("*"&amp;$AX75,$A$10:$J$11,$J$9,FALSE)&amp;AL$7,' COM_2017_old'!$B$58:$AJ$58,0),FALSE),""))</f>
        <v>9.7620037414258995E-2</v>
      </c>
      <c r="AM75" s="494">
        <f ca="1">IF($A75="*","",IFERROR(VLOOKUP($C75,' COM_2017_old'!$B$61:$AJ$120,MATCH(VLOOKUP("*"&amp;$AX75,$A$10:$J$11,$J$9,FALSE)&amp;AM$7,' COM_2017_old'!$B$58:$AJ$58,0),FALSE),""))</f>
        <v>3.2540012471419667E-2</v>
      </c>
      <c r="AN75" s="494">
        <f ca="1">IF($A75="*","",IFERROR(VLOOKUP($C75,' COM_2017_old'!$B$61:$AJ$120,MATCH(VLOOKUP("*"&amp;$AX75,$A$10:$J$11,$J$9,FALSE)&amp;AN$7,' COM_2017_old'!$B$58:$AJ$58,0),FALSE),""))</f>
        <v>0</v>
      </c>
      <c r="AO75" s="391" t="str">
        <f ca="1">IFERROR(VLOOKUP($C75,COM_2012!$B$61:$AH$120,MATCH(VLOOKUP("*"&amp;$AX75,$A$10:$J$11,$J$9,FALSE)&amp;AO$7,COM_2012!$B$58:$AH$58,0),FALSE),"")</f>
        <v/>
      </c>
      <c r="AP75" s="391" t="str">
        <f ca="1">IFERROR(VLOOKUP($C75,COM_2012!$B$61:$AH$120,MATCH(VLOOKUP("*"&amp;$AX75,$A$10:$J$11,$J$9,FALSE)&amp;AP$7,COM_2012!$B$58:$AH$58,0),FALSE),"")</f>
        <v/>
      </c>
      <c r="AQ75" s="391" t="str">
        <f ca="1">IFERROR(VLOOKUP($C75,COM_2012!$B$61:$AH$120,MATCH(VLOOKUP("*"&amp;$AX75,$A$10:$J$11,$J$9,FALSE)&amp;AQ$7,COM_2012!$B$58:$AH$58,0),FALSE),"")</f>
        <v/>
      </c>
      <c r="AR75" s="391" t="str">
        <f ca="1">IFERROR(VLOOKUP($C75,COM_2012!$B$61:$AH$120,MATCH(VLOOKUP("*"&amp;$AX75,$A$10:$J$11,$J$9,FALSE)&amp;AR$7,COM_2012!$B$58:$AH$58,0),FALSE),"")</f>
        <v/>
      </c>
      <c r="AS75" s="391" t="str">
        <f ca="1">IFERROR(VLOOKUP($C75,COM_2012!$B$61:$AH$120,MATCH(VLOOKUP("*"&amp;$AX75,$A$10:$J$11,$J$9,FALSE)&amp;AS$7,COM_2012!$B$58:$AH$58,0),FALSE),"")</f>
        <v/>
      </c>
      <c r="AT75" s="391" t="str">
        <f ca="1">IFERROR(VLOOKUP($C75,COM_2012!$B$61:$AH$120,MATCH(VLOOKUP("*"&amp;$AX75,$A$10:$J$11,$J$9,FALSE)&amp;AT$7,COM_2012!$B$58:$AH$58,0),FALSE),"")</f>
        <v/>
      </c>
      <c r="AU75" s="391" t="str">
        <f ca="1">IFERROR(VLOOKUP($C75,COM_2012!$B$61:$AH$120,MATCH(VLOOKUP("*"&amp;$AX75,$A$10:$J$11,$J$9,FALSE)&amp;AU$7,COM_2012!$B$58:$AH$58,0),FALSE),"")</f>
        <v/>
      </c>
      <c r="AV75" s="391" t="str">
        <f ca="1">IFERROR(VLOOKUP($C75,COM_2012!$B$61:$AH$120,MATCH(VLOOKUP("*"&amp;$AX75,$A$10:$J$11,$J$9,FALSE)&amp;AV$7,COM_2012!$B$58:$AH$58,0),FALSE),"")</f>
        <v/>
      </c>
      <c r="AW75" s="391" t="str">
        <f ca="1">IFERROR(VLOOKUP($C75,COM_2012!$B$61:$AH$120,MATCH(VLOOKUP("*"&amp;$AX75,$A$10:$J$11,$J$9,FALSE)&amp;AW$7,COM_2012!$B$58:$AH$58,0),FALSE),"")</f>
        <v/>
      </c>
      <c r="AX75" s="304">
        <f>IF(AY74=COM_2012!$AI$121,AX74+1,AX74)</f>
        <v>2</v>
      </c>
      <c r="AY75" s="304">
        <f t="shared" si="15"/>
        <v>2</v>
      </c>
    </row>
    <row r="76" spans="1:51">
      <c r="A76" s="304" t="str">
        <f ca="1">IF(LEFT(OFFSET(COM_2012!$A$60,AY76,0),2)="\I","*","")</f>
        <v/>
      </c>
      <c r="B76" s="369" t="str">
        <f t="shared" ca="1" si="19"/>
        <v>FLO_MRKPRD</v>
      </c>
      <c r="C76" s="369" t="str">
        <f ca="1">IF($A76="*","",OFFSET(COM_2012!$B$60,AY76,0))</f>
        <v>CECELCHP-E</v>
      </c>
      <c r="D76" s="369" t="str">
        <f t="shared" ca="1" si="14"/>
        <v>CEC</v>
      </c>
      <c r="E76" s="369" t="str">
        <f t="shared" ca="1" si="42"/>
        <v>-</v>
      </c>
      <c r="F76" s="370" t="str">
        <f t="shared" ca="1" si="17"/>
        <v>-</v>
      </c>
      <c r="G76" s="370" t="str">
        <f t="shared" ca="1" si="17"/>
        <v>ANNUAL</v>
      </c>
      <c r="H76" s="370" t="str">
        <f t="shared" ca="1" si="44"/>
        <v>LO</v>
      </c>
      <c r="I76" s="370">
        <f t="shared" ca="1" si="44"/>
        <v>0</v>
      </c>
      <c r="J76" s="494" t="str">
        <f>IF(J$7&lt;2020,"",IF(A76="*","",IFERROR(VLOOKUP($C76,COM_2012!$B$61:$AH$120,MATCH(VLOOKUP("*"&amp;$AX76,$A$10:$J$11,$J$9,FALSE)&amp;J$7,COM_2012!$B$58:$AH$58,0),FALSE),"")))</f>
        <v/>
      </c>
      <c r="K76" s="494" t="str">
        <f>IF(K$7&lt;2020,"",IF(B76="*","",IFERROR(VLOOKUP($C76,COM_2012!$B$61:$AH$120,MATCH(VLOOKUP("*"&amp;$AX76,$A$10:$J$11,$J$9,FALSE)&amp;K$7,COM_2012!$B$58:$AH$58,0),FALSE),"")))</f>
        <v/>
      </c>
      <c r="L76" s="494" t="str">
        <f>IF(L$7&lt;2020,"",IF(C76="*","",IFERROR(VLOOKUP($C76,COM_2012!$B$61:$AH$120,MATCH(VLOOKUP("*"&amp;$AX76,$A$10:$J$11,$J$9,FALSE)&amp;L$7,COM_2012!$B$58:$AH$58,0),FALSE),"")))</f>
        <v/>
      </c>
      <c r="M76" s="494" t="str">
        <f>IF(M$7&lt;2020,"",IF(D76="*","",IFERROR(VLOOKUP($C76,COM_2012!$B$61:$AH$120,MATCH(VLOOKUP("*"&amp;$AX76,$A$10:$J$11,$J$9,FALSE)&amp;M$7,COM_2012!$B$58:$AH$58,0),FALSE),"")))</f>
        <v/>
      </c>
      <c r="N76" s="494" t="str">
        <f ca="1">IFERROR(VLOOKUP($C76,COM_2012!$B$61:$AH$120,MATCH(VLOOKUP("*"&amp;$AX76,$A$10:$J$11,$J$9,FALSE)&amp;N$7,COM_2012!$B$58:$AH$58,0),FALSE),"")</f>
        <v/>
      </c>
      <c r="O76" s="494" t="str">
        <f>IF(O$7&lt;2020,"",IF($A76="*","",IFERROR(VLOOKUP($C76,' COM_2017_old'!$B$61:$AJ$120,MATCH(VLOOKUP("*"&amp;$AX76,$A$10:$J$11,$J$9,FALSE)&amp;O$7,' COM_2017_old'!$B$58:$AJ$58,0),FALSE),"")))</f>
        <v/>
      </c>
      <c r="P76" s="494" t="str">
        <f ca="1">IFERROR(VLOOKUP($C76,COM_2012!$B$61:$AH$120,MATCH(VLOOKUP("*"&amp;$AX76,$A$10:$J$11,$J$9,FALSE)&amp;P$7,COM_2012!$B$58:$AH$58,0),FALSE),"")</f>
        <v/>
      </c>
      <c r="Q76" s="494" t="str">
        <f ca="1">IFERROR(VLOOKUP($C76,COM_2012!$B$61:$AH$120,MATCH(VLOOKUP("*"&amp;$AX76,$A$10:$J$11,$J$9,FALSE)&amp;Q$7,COM_2012!$B$58:$AH$58,0),FALSE),"")</f>
        <v/>
      </c>
      <c r="R76" s="494">
        <f ca="1">IF($A76="*","",IFERROR(VLOOKUP($C76,' COM_2017_old'!$B$61:$AJ$120,MATCH(VLOOKUP("*"&amp;$AX76,$A$10:$J$11,$J$9,FALSE)&amp;R$7,' COM_2017_old'!$B$58:$AJ$58,0),FALSE),""))</f>
        <v>0.16969791450148963</v>
      </c>
      <c r="S76" s="494">
        <f t="shared" ca="1" si="45"/>
        <v>0.16724866625095267</v>
      </c>
      <c r="T76" s="494">
        <f t="shared" ca="1" si="46"/>
        <v>0.1647994180004157</v>
      </c>
      <c r="U76" s="494">
        <f t="shared" ca="1" si="46"/>
        <v>0.16235016974987873</v>
      </c>
      <c r="V76" s="494">
        <f t="shared" ca="1" si="46"/>
        <v>0.15990092149934176</v>
      </c>
      <c r="W76" s="494">
        <f ca="1">IF($A76="*","",IFERROR(VLOOKUP($C76,' COM_2017_old'!$B$61:$AJ$120,MATCH(VLOOKUP("*"&amp;$AX76,$A$10:$J$11,$J$9,FALSE)&amp;W$7,' COM_2017_old'!$B$58:$AJ$58,0),FALSE),""))</f>
        <v>0.15745167324880482</v>
      </c>
      <c r="X76" s="494">
        <f t="shared" ca="1" si="47"/>
        <v>0.15045382110441349</v>
      </c>
      <c r="Y76" s="494">
        <f t="shared" ca="1" si="48"/>
        <v>0.14345596896002216</v>
      </c>
      <c r="Z76" s="494">
        <f t="shared" ca="1" si="48"/>
        <v>0.13645811681563083</v>
      </c>
      <c r="AA76" s="494">
        <f t="shared" ca="1" si="48"/>
        <v>0.1294602646712395</v>
      </c>
      <c r="AB76" s="494">
        <f ca="1">IF($A76="*","",IFERROR(VLOOKUP($C76,' COM_2017_old'!$B$61:$AJ$120,MATCH(VLOOKUP("*"&amp;$AX76,$A$10:$J$11,$J$9,FALSE)&amp;AB$7,' COM_2017_old'!$B$58:$AJ$58,0),FALSE),""))</f>
        <v>0.12246241252684818</v>
      </c>
      <c r="AC76" s="494">
        <f t="shared" ca="1" si="49"/>
        <v>0.11371509734635903</v>
      </c>
      <c r="AD76" s="494">
        <f t="shared" ca="1" si="50"/>
        <v>0.10496778216586987</v>
      </c>
      <c r="AE76" s="494">
        <f t="shared" ca="1" si="50"/>
        <v>9.6220466985380712E-2</v>
      </c>
      <c r="AF76" s="494">
        <f t="shared" ca="1" si="50"/>
        <v>8.7473151804891555E-2</v>
      </c>
      <c r="AG76" s="494">
        <f ca="1">IF($A76="*","",IFERROR(VLOOKUP($C76,' COM_2017_old'!$B$61:$AJ$120,MATCH(VLOOKUP("*"&amp;$AX76,$A$10:$J$11,$J$9,FALSE)&amp;AG$7,' COM_2017_old'!$B$58:$AJ$58,0),FALSE),""))</f>
        <v>7.8725836624402412E-2</v>
      </c>
      <c r="AH76" s="494">
        <f t="shared" ca="1" si="51"/>
        <v>6.8229058407815429E-2</v>
      </c>
      <c r="AI76" s="494">
        <f t="shared" ca="1" si="52"/>
        <v>5.773228019122844E-2</v>
      </c>
      <c r="AJ76" s="494">
        <f t="shared" ca="1" si="52"/>
        <v>4.723550197464145E-2</v>
      </c>
      <c r="AK76" s="494">
        <f t="shared" ca="1" si="52"/>
        <v>3.673872375805446E-2</v>
      </c>
      <c r="AL76" s="494">
        <f ca="1">IF($A76="*","",IFERROR(VLOOKUP($C76,' COM_2017_old'!$B$61:$AJ$120,MATCH(VLOOKUP("*"&amp;$AX76,$A$10:$J$11,$J$9,FALSE)&amp;AL$7,' COM_2017_old'!$B$58:$AJ$58,0),FALSE),""))</f>
        <v>2.6241945541467471E-2</v>
      </c>
      <c r="AM76" s="494">
        <f ca="1">IF($A76="*","",IFERROR(VLOOKUP($C76,' COM_2017_old'!$B$61:$AJ$120,MATCH(VLOOKUP("*"&amp;$AX76,$A$10:$J$11,$J$9,FALSE)&amp;AM$7,' COM_2017_old'!$B$58:$AJ$58,0),FALSE),""))</f>
        <v>8.7473151804891569E-3</v>
      </c>
      <c r="AN76" s="494">
        <f ca="1">IF($A76="*","",IFERROR(VLOOKUP($C76,' COM_2017_old'!$B$61:$AJ$120,MATCH(VLOOKUP("*"&amp;$AX76,$A$10:$J$11,$J$9,FALSE)&amp;AN$7,' COM_2017_old'!$B$58:$AJ$58,0),FALSE),""))</f>
        <v>0</v>
      </c>
      <c r="AO76" s="391" t="str">
        <f ca="1">IFERROR(VLOOKUP($C76,COM_2012!$B$61:$AH$120,MATCH(VLOOKUP("*"&amp;$AX76,$A$10:$J$11,$J$9,FALSE)&amp;AO$7,COM_2012!$B$58:$AH$58,0),FALSE),"")</f>
        <v/>
      </c>
      <c r="AP76" s="391" t="str">
        <f ca="1">IFERROR(VLOOKUP($C76,COM_2012!$B$61:$AH$120,MATCH(VLOOKUP("*"&amp;$AX76,$A$10:$J$11,$J$9,FALSE)&amp;AP$7,COM_2012!$B$58:$AH$58,0),FALSE),"")</f>
        <v/>
      </c>
      <c r="AQ76" s="391" t="str">
        <f ca="1">IFERROR(VLOOKUP($C76,COM_2012!$B$61:$AH$120,MATCH(VLOOKUP("*"&amp;$AX76,$A$10:$J$11,$J$9,FALSE)&amp;AQ$7,COM_2012!$B$58:$AH$58,0),FALSE),"")</f>
        <v/>
      </c>
      <c r="AR76" s="391" t="str">
        <f ca="1">IFERROR(VLOOKUP($C76,COM_2012!$B$61:$AH$120,MATCH(VLOOKUP("*"&amp;$AX76,$A$10:$J$11,$J$9,FALSE)&amp;AR$7,COM_2012!$B$58:$AH$58,0),FALSE),"")</f>
        <v/>
      </c>
      <c r="AS76" s="391" t="str">
        <f ca="1">IFERROR(VLOOKUP($C76,COM_2012!$B$61:$AH$120,MATCH(VLOOKUP("*"&amp;$AX76,$A$10:$J$11,$J$9,FALSE)&amp;AS$7,COM_2012!$B$58:$AH$58,0),FALSE),"")</f>
        <v/>
      </c>
      <c r="AT76" s="391" t="str">
        <f ca="1">IFERROR(VLOOKUP($C76,COM_2012!$B$61:$AH$120,MATCH(VLOOKUP("*"&amp;$AX76,$A$10:$J$11,$J$9,FALSE)&amp;AT$7,COM_2012!$B$58:$AH$58,0),FALSE),"")</f>
        <v/>
      </c>
      <c r="AU76" s="391" t="str">
        <f ca="1">IFERROR(VLOOKUP($C76,COM_2012!$B$61:$AH$120,MATCH(VLOOKUP("*"&amp;$AX76,$A$10:$J$11,$J$9,FALSE)&amp;AU$7,COM_2012!$B$58:$AH$58,0),FALSE),"")</f>
        <v/>
      </c>
      <c r="AV76" s="391" t="str">
        <f ca="1">IFERROR(VLOOKUP($C76,COM_2012!$B$61:$AH$120,MATCH(VLOOKUP("*"&amp;$AX76,$A$10:$J$11,$J$9,FALSE)&amp;AV$7,COM_2012!$B$58:$AH$58,0),FALSE),"")</f>
        <v/>
      </c>
      <c r="AW76" s="391" t="str">
        <f ca="1">IFERROR(VLOOKUP($C76,COM_2012!$B$61:$AH$120,MATCH(VLOOKUP("*"&amp;$AX76,$A$10:$J$11,$J$9,FALSE)&amp;AW$7,COM_2012!$B$58:$AH$58,0),FALSE),"")</f>
        <v/>
      </c>
      <c r="AX76" s="304">
        <f>IF(AY75=COM_2012!$AI$121,AX75+1,AX75)</f>
        <v>2</v>
      </c>
      <c r="AY76" s="304">
        <f t="shared" si="15"/>
        <v>3</v>
      </c>
    </row>
    <row r="77" spans="1:51">
      <c r="A77" s="304" t="str">
        <f ca="1">IF(LEFT(OFFSET(COM_2012!$A$60,AY77,0),2)="\I","*","")</f>
        <v/>
      </c>
      <c r="B77" s="369" t="str">
        <f t="shared" ref="B77:B96" ca="1" si="53">IF(A77="*","",VLOOKUP("*"&amp;AX77,$A$9:$B$11,2,FALSE))</f>
        <v>FLO_MRKPRD</v>
      </c>
      <c r="C77" s="369" t="str">
        <f ca="1">IF($A77="*","",OFFSET(COM_2012!$B$60,AY77,0))</f>
        <v>CECELCROOM-E</v>
      </c>
      <c r="D77" s="369" t="str">
        <f t="shared" ca="1" si="14"/>
        <v>CEC</v>
      </c>
      <c r="E77" s="369" t="str">
        <f t="shared" ca="1" si="42"/>
        <v>-</v>
      </c>
      <c r="F77" s="370" t="str">
        <f t="shared" ca="1" si="17"/>
        <v>-</v>
      </c>
      <c r="G77" s="370" t="str">
        <f t="shared" ca="1" si="17"/>
        <v>ANNUAL</v>
      </c>
      <c r="H77" s="370" t="str">
        <f t="shared" ca="1" si="44"/>
        <v>LO</v>
      </c>
      <c r="I77" s="370">
        <f t="shared" ca="1" si="44"/>
        <v>0</v>
      </c>
      <c r="J77" s="494" t="str">
        <f>IF(J$7&lt;2020,"",IF(A77="*","",IFERROR(VLOOKUP($C77,COM_2012!$B$61:$AH$120,MATCH(VLOOKUP("*"&amp;$AX77,$A$10:$J$11,$J$9,FALSE)&amp;J$7,COM_2012!$B$58:$AH$58,0),FALSE),"")))</f>
        <v/>
      </c>
      <c r="K77" s="494" t="str">
        <f>IF(K$7&lt;2020,"",IF(B77="*","",IFERROR(VLOOKUP($C77,COM_2012!$B$61:$AH$120,MATCH(VLOOKUP("*"&amp;$AX77,$A$10:$J$11,$J$9,FALSE)&amp;K$7,COM_2012!$B$58:$AH$58,0),FALSE),"")))</f>
        <v/>
      </c>
      <c r="L77" s="494" t="str">
        <f>IF(L$7&lt;2020,"",IF(C77="*","",IFERROR(VLOOKUP($C77,COM_2012!$B$61:$AH$120,MATCH(VLOOKUP("*"&amp;$AX77,$A$10:$J$11,$J$9,FALSE)&amp;L$7,COM_2012!$B$58:$AH$58,0),FALSE),"")))</f>
        <v/>
      </c>
      <c r="M77" s="494" t="str">
        <f>IF(M$7&lt;2020,"",IF(D77="*","",IFERROR(VLOOKUP($C77,COM_2012!$B$61:$AH$120,MATCH(VLOOKUP("*"&amp;$AX77,$A$10:$J$11,$J$9,FALSE)&amp;M$7,COM_2012!$B$58:$AH$58,0),FALSE),"")))</f>
        <v/>
      </c>
      <c r="N77" s="494" t="str">
        <f ca="1">IFERROR(VLOOKUP($C77,COM_2012!$B$61:$AH$120,MATCH(VLOOKUP("*"&amp;$AX77,$A$10:$J$11,$J$9,FALSE)&amp;N$7,COM_2012!$B$58:$AH$58,0),FALSE),"")</f>
        <v/>
      </c>
      <c r="O77" s="494" t="str">
        <f>IF(O$7&lt;2020,"",IF($A77="*","",IFERROR(VLOOKUP($C77,' COM_2017_old'!$B$61:$AJ$120,MATCH(VLOOKUP("*"&amp;$AX77,$A$10:$J$11,$J$9,FALSE)&amp;O$7,' COM_2017_old'!$B$58:$AJ$58,0),FALSE),"")))</f>
        <v/>
      </c>
      <c r="P77" s="494" t="str">
        <f ca="1">IFERROR(VLOOKUP($C77,COM_2012!$B$61:$AH$120,MATCH(VLOOKUP("*"&amp;$AX77,$A$10:$J$11,$J$9,FALSE)&amp;P$7,COM_2012!$B$58:$AH$58,0),FALSE),"")</f>
        <v/>
      </c>
      <c r="Q77" s="494" t="str">
        <f ca="1">IFERROR(VLOOKUP($C77,COM_2012!$B$61:$AH$120,MATCH(VLOOKUP("*"&amp;$AX77,$A$10:$J$11,$J$9,FALSE)&amp;Q$7,COM_2012!$B$58:$AH$58,0),FALSE),"")</f>
        <v/>
      </c>
      <c r="R77" s="494">
        <f ca="1">IF($A77="*","",IFERROR(VLOOKUP($C77,' COM_2017_old'!$B$61:$AJ$120,MATCH(VLOOKUP("*"&amp;$AX77,$A$10:$J$11,$J$9,FALSE)&amp;R$7,' COM_2017_old'!$B$58:$AJ$58,0),FALSE),""))</f>
        <v>0.1221824984410725</v>
      </c>
      <c r="S77" s="494">
        <f t="shared" ca="1" si="45"/>
        <v>0.12041903970068589</v>
      </c>
      <c r="T77" s="494">
        <f t="shared" ca="1" si="46"/>
        <v>0.11865558096029928</v>
      </c>
      <c r="U77" s="494">
        <f t="shared" ca="1" si="46"/>
        <v>0.11689212221991267</v>
      </c>
      <c r="V77" s="494">
        <f t="shared" ca="1" si="46"/>
        <v>0.11512866347952606</v>
      </c>
      <c r="W77" s="494">
        <f ca="1">IF($A77="*","",IFERROR(VLOOKUP($C77,' COM_2017_old'!$B$61:$AJ$120,MATCH(VLOOKUP("*"&amp;$AX77,$A$10:$J$11,$J$9,FALSE)&amp;W$7,' COM_2017_old'!$B$58:$AJ$58,0),FALSE),""))</f>
        <v>0.11336520473913944</v>
      </c>
      <c r="X77" s="494">
        <f t="shared" ca="1" si="47"/>
        <v>0.10832675119517769</v>
      </c>
      <c r="Y77" s="494">
        <f t="shared" ca="1" si="48"/>
        <v>0.10328829765121594</v>
      </c>
      <c r="Z77" s="494">
        <f t="shared" ca="1" si="48"/>
        <v>9.8249844107254194E-2</v>
      </c>
      <c r="AA77" s="494">
        <f t="shared" ca="1" si="48"/>
        <v>9.3211390563292446E-2</v>
      </c>
      <c r="AB77" s="494">
        <f ca="1">IF($A77="*","",IFERROR(VLOOKUP($C77,' COM_2017_old'!$B$61:$AJ$120,MATCH(VLOOKUP("*"&amp;$AX77,$A$10:$J$11,$J$9,FALSE)&amp;AB$7,' COM_2017_old'!$B$58:$AJ$58,0),FALSE),""))</f>
        <v>8.8172937019330669E-2</v>
      </c>
      <c r="AC77" s="494">
        <f t="shared" ca="1" si="49"/>
        <v>8.1874870089378479E-2</v>
      </c>
      <c r="AD77" s="494">
        <f t="shared" ca="1" si="50"/>
        <v>7.557680315942629E-2</v>
      </c>
      <c r="AE77" s="494">
        <f t="shared" ca="1" si="50"/>
        <v>6.92787362294741E-2</v>
      </c>
      <c r="AF77" s="494">
        <f t="shared" ca="1" si="50"/>
        <v>6.298066929952191E-2</v>
      </c>
      <c r="AG77" s="494">
        <f ca="1">IF($A77="*","",IFERROR(VLOOKUP($C77,' COM_2017_old'!$B$61:$AJ$120,MATCH(VLOOKUP("*"&amp;$AX77,$A$10:$J$11,$J$9,FALSE)&amp;AG$7,' COM_2017_old'!$B$58:$AJ$58,0),FALSE),""))</f>
        <v>5.6682602369569721E-2</v>
      </c>
      <c r="AH77" s="494">
        <f t="shared" ca="1" si="51"/>
        <v>4.912492205362709E-2</v>
      </c>
      <c r="AI77" s="494">
        <f t="shared" ca="1" si="52"/>
        <v>4.156724173768446E-2</v>
      </c>
      <c r="AJ77" s="494">
        <f t="shared" ca="1" si="52"/>
        <v>3.400956142174183E-2</v>
      </c>
      <c r="AK77" s="494">
        <f t="shared" ca="1" si="52"/>
        <v>2.6451881105799199E-2</v>
      </c>
      <c r="AL77" s="494">
        <f ca="1">IF($A77="*","",IFERROR(VLOOKUP($C77,' COM_2017_old'!$B$61:$AJ$120,MATCH(VLOOKUP("*"&amp;$AX77,$A$10:$J$11,$J$9,FALSE)&amp;AL$7,' COM_2017_old'!$B$58:$AJ$58,0),FALSE),""))</f>
        <v>1.8894200789856572E-2</v>
      </c>
      <c r="AM77" s="494">
        <f ca="1">IF($A77="*","",IFERROR(VLOOKUP($C77,' COM_2017_old'!$B$61:$AJ$120,MATCH(VLOOKUP("*"&amp;$AX77,$A$10:$J$11,$J$9,FALSE)&amp;AM$7,' COM_2017_old'!$B$58:$AJ$58,0),FALSE),""))</f>
        <v>6.2980669299521914E-3</v>
      </c>
      <c r="AN77" s="494">
        <f ca="1">IF($A77="*","",IFERROR(VLOOKUP($C77,' COM_2017_old'!$B$61:$AJ$120,MATCH(VLOOKUP("*"&amp;$AX77,$A$10:$J$11,$J$9,FALSE)&amp;AN$7,' COM_2017_old'!$B$58:$AJ$58,0),FALSE),""))</f>
        <v>0</v>
      </c>
      <c r="AO77" s="391" t="str">
        <f ca="1">IFERROR(VLOOKUP($C77,COM_2012!$B$61:$AH$120,MATCH(VLOOKUP("*"&amp;$AX77,$A$10:$J$11,$J$9,FALSE)&amp;AO$7,COM_2012!$B$58:$AH$58,0),FALSE),"")</f>
        <v/>
      </c>
      <c r="AP77" s="391" t="str">
        <f ca="1">IFERROR(VLOOKUP($C77,COM_2012!$B$61:$AH$120,MATCH(VLOOKUP("*"&amp;$AX77,$A$10:$J$11,$J$9,FALSE)&amp;AP$7,COM_2012!$B$58:$AH$58,0),FALSE),"")</f>
        <v/>
      </c>
      <c r="AQ77" s="391" t="str">
        <f ca="1">IFERROR(VLOOKUP($C77,COM_2012!$B$61:$AH$120,MATCH(VLOOKUP("*"&amp;$AX77,$A$10:$J$11,$J$9,FALSE)&amp;AQ$7,COM_2012!$B$58:$AH$58,0),FALSE),"")</f>
        <v/>
      </c>
      <c r="AR77" s="391" t="str">
        <f ca="1">IFERROR(VLOOKUP($C77,COM_2012!$B$61:$AH$120,MATCH(VLOOKUP("*"&amp;$AX77,$A$10:$J$11,$J$9,FALSE)&amp;AR$7,COM_2012!$B$58:$AH$58,0),FALSE),"")</f>
        <v/>
      </c>
      <c r="AS77" s="391" t="str">
        <f ca="1">IFERROR(VLOOKUP($C77,COM_2012!$B$61:$AH$120,MATCH(VLOOKUP("*"&amp;$AX77,$A$10:$J$11,$J$9,FALSE)&amp;AS$7,COM_2012!$B$58:$AH$58,0),FALSE),"")</f>
        <v/>
      </c>
      <c r="AT77" s="391" t="str">
        <f ca="1">IFERROR(VLOOKUP($C77,COM_2012!$B$61:$AH$120,MATCH(VLOOKUP("*"&amp;$AX77,$A$10:$J$11,$J$9,FALSE)&amp;AT$7,COM_2012!$B$58:$AH$58,0),FALSE),"")</f>
        <v/>
      </c>
      <c r="AU77" s="391" t="str">
        <f ca="1">IFERROR(VLOOKUP($C77,COM_2012!$B$61:$AH$120,MATCH(VLOOKUP("*"&amp;$AX77,$A$10:$J$11,$J$9,FALSE)&amp;AU$7,COM_2012!$B$58:$AH$58,0),FALSE),"")</f>
        <v/>
      </c>
      <c r="AV77" s="391" t="str">
        <f ca="1">IFERROR(VLOOKUP($C77,COM_2012!$B$61:$AH$120,MATCH(VLOOKUP("*"&amp;$AX77,$A$10:$J$11,$J$9,FALSE)&amp;AV$7,COM_2012!$B$58:$AH$58,0),FALSE),"")</f>
        <v/>
      </c>
      <c r="AW77" s="391" t="str">
        <f ca="1">IFERROR(VLOOKUP($C77,COM_2012!$B$61:$AH$120,MATCH(VLOOKUP("*"&amp;$AX77,$A$10:$J$11,$J$9,FALSE)&amp;AW$7,COM_2012!$B$58:$AH$58,0),FALSE),"")</f>
        <v/>
      </c>
      <c r="AX77" s="304">
        <f>IF(AY76=COM_2012!$AI$121,AX76+1,AX76)</f>
        <v>2</v>
      </c>
      <c r="AY77" s="304">
        <f t="shared" si="15"/>
        <v>4</v>
      </c>
    </row>
    <row r="78" spans="1:51">
      <c r="A78" s="304" t="str">
        <f ca="1">IF(LEFT(OFFSET(COM_2012!$A$60,AY78,0),2)="\I","*","")</f>
        <v/>
      </c>
      <c r="B78" s="369" t="str">
        <f t="shared" ca="1" si="53"/>
        <v>FLO_MRKPRD</v>
      </c>
      <c r="C78" s="369" t="str">
        <f ca="1">IF($A78="*","",OFFSET(COM_2012!$B$60,AY78,0))</f>
        <v>CECELCCEN-N</v>
      </c>
      <c r="D78" s="369" t="str">
        <f t="shared" ref="D78:D116" ca="1" si="54">IF($A78="*","",LEFT(C78,3))</f>
        <v>CEC</v>
      </c>
      <c r="E78" s="369" t="str">
        <f t="shared" ca="1" si="42"/>
        <v>-</v>
      </c>
      <c r="F78" s="370" t="str">
        <f t="shared" ca="1" si="17"/>
        <v>-</v>
      </c>
      <c r="G78" s="370" t="str">
        <f t="shared" ca="1" si="17"/>
        <v>ANNUAL</v>
      </c>
      <c r="H78" s="370" t="str">
        <f t="shared" ca="1" si="44"/>
        <v>LO</v>
      </c>
      <c r="I78" s="370">
        <f t="shared" ca="1" si="44"/>
        <v>0</v>
      </c>
      <c r="J78" s="494" t="str">
        <f>IF(J$7&lt;2020,"",IF(A78="*","",IFERROR(VLOOKUP($C78,COM_2012!$B$61:$AH$120,MATCH(VLOOKUP("*"&amp;$AX78,$A$10:$J$11,$J$9,FALSE)&amp;J$7,COM_2012!$B$58:$AH$58,0),FALSE),"")))</f>
        <v/>
      </c>
      <c r="K78" s="494" t="str">
        <f>IF(K$7&lt;2020,"",IF(B78="*","",IFERROR(VLOOKUP($C78,COM_2012!$B$61:$AH$120,MATCH(VLOOKUP("*"&amp;$AX78,$A$10:$J$11,$J$9,FALSE)&amp;K$7,COM_2012!$B$58:$AH$58,0),FALSE),"")))</f>
        <v/>
      </c>
      <c r="L78" s="494" t="str">
        <f>IF(L$7&lt;2020,"",IF(C78="*","",IFERROR(VLOOKUP($C78,COM_2012!$B$61:$AH$120,MATCH(VLOOKUP("*"&amp;$AX78,$A$10:$J$11,$J$9,FALSE)&amp;L$7,COM_2012!$B$58:$AH$58,0),FALSE),"")))</f>
        <v/>
      </c>
      <c r="M78" s="494" t="str">
        <f>IF(M$7&lt;2020,"",IF(D78="*","",IFERROR(VLOOKUP($C78,COM_2012!$B$61:$AH$120,MATCH(VLOOKUP("*"&amp;$AX78,$A$10:$J$11,$J$9,FALSE)&amp;M$7,COM_2012!$B$58:$AH$58,0),FALSE),"")))</f>
        <v/>
      </c>
      <c r="N78" s="494" t="str">
        <f ca="1">IFERROR(VLOOKUP($C78,COM_2012!$B$61:$AH$120,MATCH(VLOOKUP("*"&amp;$AX78,$A$10:$J$11,$J$9,FALSE)&amp;N$7,COM_2012!$B$58:$AH$58,0),FALSE),"")</f>
        <v/>
      </c>
      <c r="O78" s="494" t="str">
        <f>IF(O$7&lt;2020,"",IF($A78="*","",IFERROR(VLOOKUP($C78,' COM_2017_old'!$B$61:$AJ$120,MATCH(VLOOKUP("*"&amp;$AX78,$A$10:$J$11,$J$9,FALSE)&amp;O$7,' COM_2017_old'!$B$58:$AJ$58,0),FALSE),"")))</f>
        <v/>
      </c>
      <c r="P78" s="494" t="str">
        <f ca="1">IFERROR(VLOOKUP($C78,COM_2012!$B$61:$AH$120,MATCH(VLOOKUP("*"&amp;$AX78,$A$10:$J$11,$J$9,FALSE)&amp;P$7,COM_2012!$B$58:$AH$58,0),FALSE),"")</f>
        <v/>
      </c>
      <c r="Q78" s="494" t="str">
        <f ca="1">IFERROR(VLOOKUP($C78,COM_2012!$B$61:$AH$120,MATCH(VLOOKUP("*"&amp;$AX78,$A$10:$J$11,$J$9,FALSE)&amp;Q$7,COM_2012!$B$58:$AH$58,0),FALSE),"")</f>
        <v/>
      </c>
      <c r="R78" s="494">
        <f ca="1">IF($A78="*","",IFERROR(VLOOKUP($C78,' COM_2017_old'!$B$61:$AJ$120,MATCH(VLOOKUP("*"&amp;$AX78,$A$10:$J$11,$J$9,FALSE)&amp;R$7,' COM_2017_old'!$B$58:$AJ$58,0),FALSE),""))</f>
        <v>0</v>
      </c>
      <c r="S78" s="494">
        <f t="shared" ca="1" si="45"/>
        <v>0</v>
      </c>
      <c r="T78" s="494">
        <f t="shared" ca="1" si="46"/>
        <v>0</v>
      </c>
      <c r="U78" s="494">
        <f t="shared" ca="1" si="46"/>
        <v>0</v>
      </c>
      <c r="V78" s="494">
        <f t="shared" ca="1" si="46"/>
        <v>0</v>
      </c>
      <c r="W78" s="494">
        <f ca="1">IF($A78="*","",IFERROR(VLOOKUP($C78,' COM_2017_old'!$B$61:$AJ$120,MATCH(VLOOKUP("*"&amp;$AX78,$A$10:$J$11,$J$9,FALSE)&amp;W$7,' COM_2017_old'!$B$58:$AJ$58,0),FALSE),""))</f>
        <v>0</v>
      </c>
      <c r="X78" s="494">
        <f t="shared" ca="1" si="47"/>
        <v>0</v>
      </c>
      <c r="Y78" s="494">
        <f t="shared" ca="1" si="48"/>
        <v>0</v>
      </c>
      <c r="Z78" s="494">
        <f t="shared" ca="1" si="48"/>
        <v>0</v>
      </c>
      <c r="AA78" s="494">
        <f t="shared" ca="1" si="48"/>
        <v>0</v>
      </c>
      <c r="AB78" s="494">
        <f ca="1">IF($A78="*","",IFERROR(VLOOKUP($C78,' COM_2017_old'!$B$61:$AJ$120,MATCH(VLOOKUP("*"&amp;$AX78,$A$10:$J$11,$J$9,FALSE)&amp;AB$7,' COM_2017_old'!$B$58:$AJ$58,0),FALSE),""))</f>
        <v>0</v>
      </c>
      <c r="AC78" s="494">
        <f t="shared" ca="1" si="49"/>
        <v>0</v>
      </c>
      <c r="AD78" s="494">
        <f t="shared" ca="1" si="50"/>
        <v>0</v>
      </c>
      <c r="AE78" s="494">
        <f t="shared" ca="1" si="50"/>
        <v>0</v>
      </c>
      <c r="AF78" s="494">
        <f t="shared" ca="1" si="50"/>
        <v>0</v>
      </c>
      <c r="AG78" s="494">
        <f ca="1">IF($A78="*","",IFERROR(VLOOKUP($C78,' COM_2017_old'!$B$61:$AJ$120,MATCH(VLOOKUP("*"&amp;$AX78,$A$10:$J$11,$J$9,FALSE)&amp;AG$7,' COM_2017_old'!$B$58:$AJ$58,0),FALSE),""))</f>
        <v>0</v>
      </c>
      <c r="AH78" s="494">
        <f t="shared" ca="1" si="51"/>
        <v>0</v>
      </c>
      <c r="AI78" s="494">
        <f t="shared" ca="1" si="52"/>
        <v>0</v>
      </c>
      <c r="AJ78" s="494">
        <f t="shared" ca="1" si="52"/>
        <v>0</v>
      </c>
      <c r="AK78" s="494">
        <f t="shared" ca="1" si="52"/>
        <v>0</v>
      </c>
      <c r="AL78" s="494">
        <f ca="1">IF($A78="*","",IFERROR(VLOOKUP($C78,' COM_2017_old'!$B$61:$AJ$120,MATCH(VLOOKUP("*"&amp;$AX78,$A$10:$J$11,$J$9,FALSE)&amp;AL$7,' COM_2017_old'!$B$58:$AJ$58,0),FALSE),""))</f>
        <v>0</v>
      </c>
      <c r="AM78" s="494">
        <f ca="1">IF($A78="*","",IFERROR(VLOOKUP($C78,' COM_2017_old'!$B$61:$AJ$120,MATCH(VLOOKUP("*"&amp;$AX78,$A$10:$J$11,$J$9,FALSE)&amp;AM$7,' COM_2017_old'!$B$58:$AJ$58,0),FALSE),""))</f>
        <v>0</v>
      </c>
      <c r="AN78" s="494">
        <f ca="1">IF($A78="*","",IFERROR(VLOOKUP($C78,' COM_2017_old'!$B$61:$AJ$120,MATCH(VLOOKUP("*"&amp;$AX78,$A$10:$J$11,$J$9,FALSE)&amp;AN$7,' COM_2017_old'!$B$58:$AJ$58,0),FALSE),""))</f>
        <v>0</v>
      </c>
      <c r="AO78" s="391" t="str">
        <f ca="1">IFERROR(VLOOKUP($C78,COM_2012!$B$61:$AH$120,MATCH(VLOOKUP("*"&amp;$AX78,$A$10:$J$11,$J$9,FALSE)&amp;AO$7,COM_2012!$B$58:$AH$58,0),FALSE),"")</f>
        <v/>
      </c>
      <c r="AP78" s="391" t="str">
        <f ca="1">IFERROR(VLOOKUP($C78,COM_2012!$B$61:$AH$120,MATCH(VLOOKUP("*"&amp;$AX78,$A$10:$J$11,$J$9,FALSE)&amp;AP$7,COM_2012!$B$58:$AH$58,0),FALSE),"")</f>
        <v/>
      </c>
      <c r="AQ78" s="391" t="str">
        <f ca="1">IFERROR(VLOOKUP($C78,COM_2012!$B$61:$AH$120,MATCH(VLOOKUP("*"&amp;$AX78,$A$10:$J$11,$J$9,FALSE)&amp;AQ$7,COM_2012!$B$58:$AH$58,0),FALSE),"")</f>
        <v/>
      </c>
      <c r="AR78" s="391" t="str">
        <f ca="1">IFERROR(VLOOKUP($C78,COM_2012!$B$61:$AH$120,MATCH(VLOOKUP("*"&amp;$AX78,$A$10:$J$11,$J$9,FALSE)&amp;AR$7,COM_2012!$B$58:$AH$58,0),FALSE),"")</f>
        <v/>
      </c>
      <c r="AS78" s="391" t="str">
        <f ca="1">IFERROR(VLOOKUP($C78,COM_2012!$B$61:$AH$120,MATCH(VLOOKUP("*"&amp;$AX78,$A$10:$J$11,$J$9,FALSE)&amp;AS$7,COM_2012!$B$58:$AH$58,0),FALSE),"")</f>
        <v/>
      </c>
      <c r="AT78" s="391" t="str">
        <f ca="1">IFERROR(VLOOKUP($C78,COM_2012!$B$61:$AH$120,MATCH(VLOOKUP("*"&amp;$AX78,$A$10:$J$11,$J$9,FALSE)&amp;AT$7,COM_2012!$B$58:$AH$58,0),FALSE),"")</f>
        <v/>
      </c>
      <c r="AU78" s="391" t="str">
        <f ca="1">IFERROR(VLOOKUP($C78,COM_2012!$B$61:$AH$120,MATCH(VLOOKUP("*"&amp;$AX78,$A$10:$J$11,$J$9,FALSE)&amp;AU$7,COM_2012!$B$58:$AH$58,0),FALSE),"")</f>
        <v/>
      </c>
      <c r="AV78" s="391" t="str">
        <f ca="1">IFERROR(VLOOKUP($C78,COM_2012!$B$61:$AH$120,MATCH(VLOOKUP("*"&amp;$AX78,$A$10:$J$11,$J$9,FALSE)&amp;AV$7,COM_2012!$B$58:$AH$58,0),FALSE),"")</f>
        <v/>
      </c>
      <c r="AW78" s="391" t="str">
        <f ca="1">IFERROR(VLOOKUP($C78,COM_2012!$B$61:$AH$120,MATCH(VLOOKUP("*"&amp;$AX78,$A$10:$J$11,$J$9,FALSE)&amp;AW$7,COM_2012!$B$58:$AH$58,0),FALSE),"")</f>
        <v/>
      </c>
      <c r="AX78" s="304">
        <f>IF(AY77=COM_2012!$AI$121,AX77+1,AX77)</f>
        <v>2</v>
      </c>
      <c r="AY78" s="304">
        <f t="shared" si="15"/>
        <v>5</v>
      </c>
    </row>
    <row r="79" spans="1:51">
      <c r="A79" s="304" t="str">
        <f ca="1">IF(LEFT(OFFSET(COM_2012!$A$60,AY79,0),2)="\I","*","")</f>
        <v/>
      </c>
      <c r="B79" s="369" t="str">
        <f t="shared" ca="1" si="53"/>
        <v>FLO_MRKPRD</v>
      </c>
      <c r="C79" s="369" t="str">
        <f ca="1">IF($A79="*","",OFFSET(COM_2012!$B$60,AY79,0))</f>
        <v>CECELCHP-N</v>
      </c>
      <c r="D79" s="369" t="str">
        <f t="shared" ca="1" si="54"/>
        <v>CEC</v>
      </c>
      <c r="E79" s="369" t="str">
        <f t="shared" ca="1" si="42"/>
        <v>-</v>
      </c>
      <c r="F79" s="370" t="str">
        <f t="shared" ca="1" si="17"/>
        <v>-</v>
      </c>
      <c r="G79" s="370" t="str">
        <f t="shared" ca="1" si="17"/>
        <v>ANNUAL</v>
      </c>
      <c r="H79" s="370" t="str">
        <f t="shared" ca="1" si="44"/>
        <v>LO</v>
      </c>
      <c r="I79" s="370">
        <f t="shared" ca="1" si="44"/>
        <v>0</v>
      </c>
      <c r="J79" s="494" t="str">
        <f>IF(J$7&lt;2020,"",IF(A79="*","",IFERROR(VLOOKUP($C79,COM_2012!$B$61:$AH$120,MATCH(VLOOKUP("*"&amp;$AX79,$A$10:$J$11,$J$9,FALSE)&amp;J$7,COM_2012!$B$58:$AH$58,0),FALSE),"")))</f>
        <v/>
      </c>
      <c r="K79" s="494" t="str">
        <f>IF(K$7&lt;2020,"",IF(B79="*","",IFERROR(VLOOKUP($C79,COM_2012!$B$61:$AH$120,MATCH(VLOOKUP("*"&amp;$AX79,$A$10:$J$11,$J$9,FALSE)&amp;K$7,COM_2012!$B$58:$AH$58,0),FALSE),"")))</f>
        <v/>
      </c>
      <c r="L79" s="494" t="str">
        <f>IF(L$7&lt;2020,"",IF(C79="*","",IFERROR(VLOOKUP($C79,COM_2012!$B$61:$AH$120,MATCH(VLOOKUP("*"&amp;$AX79,$A$10:$J$11,$J$9,FALSE)&amp;L$7,COM_2012!$B$58:$AH$58,0),FALSE),"")))</f>
        <v/>
      </c>
      <c r="M79" s="494" t="str">
        <f>IF(M$7&lt;2020,"",IF(D79="*","",IFERROR(VLOOKUP($C79,COM_2012!$B$61:$AH$120,MATCH(VLOOKUP("*"&amp;$AX79,$A$10:$J$11,$J$9,FALSE)&amp;M$7,COM_2012!$B$58:$AH$58,0),FALSE),"")))</f>
        <v/>
      </c>
      <c r="N79" s="494" t="str">
        <f ca="1">IFERROR(VLOOKUP($C79,COM_2012!$B$61:$AH$120,MATCH(VLOOKUP("*"&amp;$AX79,$A$10:$J$11,$J$9,FALSE)&amp;N$7,COM_2012!$B$58:$AH$58,0),FALSE),"")</f>
        <v/>
      </c>
      <c r="O79" s="494" t="str">
        <f>IF(O$7&lt;2020,"",IF($A79="*","",IFERROR(VLOOKUP($C79,' COM_2017_old'!$B$61:$AJ$120,MATCH(VLOOKUP("*"&amp;$AX79,$A$10:$J$11,$J$9,FALSE)&amp;O$7,' COM_2017_old'!$B$58:$AJ$58,0),FALSE),"")))</f>
        <v/>
      </c>
      <c r="P79" s="494" t="str">
        <f ca="1">IFERROR(VLOOKUP($C79,COM_2012!$B$61:$AH$120,MATCH(VLOOKUP("*"&amp;$AX79,$A$10:$J$11,$J$9,FALSE)&amp;P$7,COM_2012!$B$58:$AH$58,0),FALSE),"")</f>
        <v/>
      </c>
      <c r="Q79" s="494" t="str">
        <f ca="1">IFERROR(VLOOKUP($C79,COM_2012!$B$61:$AH$120,MATCH(VLOOKUP("*"&amp;$AX79,$A$10:$J$11,$J$9,FALSE)&amp;Q$7,COM_2012!$B$58:$AH$58,0),FALSE),"")</f>
        <v/>
      </c>
      <c r="R79" s="494">
        <f ca="1">IF($A79="*","",IFERROR(VLOOKUP($C79,' COM_2017_old'!$B$61:$AJ$120,MATCH(VLOOKUP("*"&amp;$AX79,$A$10:$J$11,$J$9,FALSE)&amp;R$7,' COM_2017_old'!$B$58:$AJ$58,0),FALSE),""))</f>
        <v>0</v>
      </c>
      <c r="S79" s="494">
        <f t="shared" ca="1" si="45"/>
        <v>0</v>
      </c>
      <c r="T79" s="494">
        <f t="shared" ca="1" si="46"/>
        <v>0</v>
      </c>
      <c r="U79" s="494">
        <f t="shared" ca="1" si="46"/>
        <v>0</v>
      </c>
      <c r="V79" s="494">
        <f t="shared" ca="1" si="46"/>
        <v>0</v>
      </c>
      <c r="W79" s="494">
        <f ca="1">IF($A79="*","",IFERROR(VLOOKUP($C79,' COM_2017_old'!$B$61:$AJ$120,MATCH(VLOOKUP("*"&amp;$AX79,$A$10:$J$11,$J$9,FALSE)&amp;W$7,' COM_2017_old'!$B$58:$AJ$58,0),FALSE),""))</f>
        <v>0</v>
      </c>
      <c r="X79" s="494">
        <f t="shared" ca="1" si="47"/>
        <v>0</v>
      </c>
      <c r="Y79" s="494">
        <f t="shared" ca="1" si="48"/>
        <v>0</v>
      </c>
      <c r="Z79" s="494">
        <f t="shared" ca="1" si="48"/>
        <v>0</v>
      </c>
      <c r="AA79" s="494">
        <f t="shared" ca="1" si="48"/>
        <v>0</v>
      </c>
      <c r="AB79" s="494">
        <f ca="1">IF($A79="*","",IFERROR(VLOOKUP($C79,' COM_2017_old'!$B$61:$AJ$120,MATCH(VLOOKUP("*"&amp;$AX79,$A$10:$J$11,$J$9,FALSE)&amp;AB$7,' COM_2017_old'!$B$58:$AJ$58,0),FALSE),""))</f>
        <v>0</v>
      </c>
      <c r="AC79" s="494">
        <f t="shared" ca="1" si="49"/>
        <v>0</v>
      </c>
      <c r="AD79" s="494">
        <f t="shared" ca="1" si="50"/>
        <v>0</v>
      </c>
      <c r="AE79" s="494">
        <f t="shared" ca="1" si="50"/>
        <v>0</v>
      </c>
      <c r="AF79" s="494">
        <f t="shared" ca="1" si="50"/>
        <v>0</v>
      </c>
      <c r="AG79" s="494">
        <f ca="1">IF($A79="*","",IFERROR(VLOOKUP($C79,' COM_2017_old'!$B$61:$AJ$120,MATCH(VLOOKUP("*"&amp;$AX79,$A$10:$J$11,$J$9,FALSE)&amp;AG$7,' COM_2017_old'!$B$58:$AJ$58,0),FALSE),""))</f>
        <v>0</v>
      </c>
      <c r="AH79" s="494">
        <f t="shared" ca="1" si="51"/>
        <v>0</v>
      </c>
      <c r="AI79" s="494">
        <f t="shared" ca="1" si="52"/>
        <v>0</v>
      </c>
      <c r="AJ79" s="494">
        <f t="shared" ca="1" si="52"/>
        <v>0</v>
      </c>
      <c r="AK79" s="494">
        <f t="shared" ca="1" si="52"/>
        <v>0</v>
      </c>
      <c r="AL79" s="494">
        <f ca="1">IF($A79="*","",IFERROR(VLOOKUP($C79,' COM_2017_old'!$B$61:$AJ$120,MATCH(VLOOKUP("*"&amp;$AX79,$A$10:$J$11,$J$9,FALSE)&amp;AL$7,' COM_2017_old'!$B$58:$AJ$58,0),FALSE),""))</f>
        <v>0</v>
      </c>
      <c r="AM79" s="494">
        <f ca="1">IF($A79="*","",IFERROR(VLOOKUP($C79,' COM_2017_old'!$B$61:$AJ$120,MATCH(VLOOKUP("*"&amp;$AX79,$A$10:$J$11,$J$9,FALSE)&amp;AM$7,' COM_2017_old'!$B$58:$AJ$58,0),FALSE),""))</f>
        <v>0</v>
      </c>
      <c r="AN79" s="494">
        <f ca="1">IF($A79="*","",IFERROR(VLOOKUP($C79,' COM_2017_old'!$B$61:$AJ$120,MATCH(VLOOKUP("*"&amp;$AX79,$A$10:$J$11,$J$9,FALSE)&amp;AN$7,' COM_2017_old'!$B$58:$AJ$58,0),FALSE),""))</f>
        <v>0</v>
      </c>
      <c r="AO79" s="391" t="str">
        <f ca="1">IFERROR(VLOOKUP($C79,COM_2012!$B$61:$AH$120,MATCH(VLOOKUP("*"&amp;$AX79,$A$10:$J$11,$J$9,FALSE)&amp;AO$7,COM_2012!$B$58:$AH$58,0),FALSE),"")</f>
        <v/>
      </c>
      <c r="AP79" s="391" t="str">
        <f ca="1">IFERROR(VLOOKUP($C79,COM_2012!$B$61:$AH$120,MATCH(VLOOKUP("*"&amp;$AX79,$A$10:$J$11,$J$9,FALSE)&amp;AP$7,COM_2012!$B$58:$AH$58,0),FALSE),"")</f>
        <v/>
      </c>
      <c r="AQ79" s="391" t="str">
        <f ca="1">IFERROR(VLOOKUP($C79,COM_2012!$B$61:$AH$120,MATCH(VLOOKUP("*"&amp;$AX79,$A$10:$J$11,$J$9,FALSE)&amp;AQ$7,COM_2012!$B$58:$AH$58,0),FALSE),"")</f>
        <v/>
      </c>
      <c r="AR79" s="391" t="str">
        <f ca="1">IFERROR(VLOOKUP($C79,COM_2012!$B$61:$AH$120,MATCH(VLOOKUP("*"&amp;$AX79,$A$10:$J$11,$J$9,FALSE)&amp;AR$7,COM_2012!$B$58:$AH$58,0),FALSE),"")</f>
        <v/>
      </c>
      <c r="AS79" s="391" t="str">
        <f ca="1">IFERROR(VLOOKUP($C79,COM_2012!$B$61:$AH$120,MATCH(VLOOKUP("*"&amp;$AX79,$A$10:$J$11,$J$9,FALSE)&amp;AS$7,COM_2012!$B$58:$AH$58,0),FALSE),"")</f>
        <v/>
      </c>
      <c r="AT79" s="391" t="str">
        <f ca="1">IFERROR(VLOOKUP($C79,COM_2012!$B$61:$AH$120,MATCH(VLOOKUP("*"&amp;$AX79,$A$10:$J$11,$J$9,FALSE)&amp;AT$7,COM_2012!$B$58:$AH$58,0),FALSE),"")</f>
        <v/>
      </c>
      <c r="AU79" s="391" t="str">
        <f ca="1">IFERROR(VLOOKUP($C79,COM_2012!$B$61:$AH$120,MATCH(VLOOKUP("*"&amp;$AX79,$A$10:$J$11,$J$9,FALSE)&amp;AU$7,COM_2012!$B$58:$AH$58,0),FALSE),"")</f>
        <v/>
      </c>
      <c r="AV79" s="391" t="str">
        <f ca="1">IFERROR(VLOOKUP($C79,COM_2012!$B$61:$AH$120,MATCH(VLOOKUP("*"&amp;$AX79,$A$10:$J$11,$J$9,FALSE)&amp;AV$7,COM_2012!$B$58:$AH$58,0),FALSE),"")</f>
        <v/>
      </c>
      <c r="AW79" s="391" t="str">
        <f ca="1">IFERROR(VLOOKUP($C79,COM_2012!$B$61:$AH$120,MATCH(VLOOKUP("*"&amp;$AX79,$A$10:$J$11,$J$9,FALSE)&amp;AW$7,COM_2012!$B$58:$AH$58,0),FALSE),"")</f>
        <v/>
      </c>
      <c r="AX79" s="304">
        <f>IF(AY78=COM_2012!$AI$121,AX78+1,AX78)</f>
        <v>2</v>
      </c>
      <c r="AY79" s="304">
        <f t="shared" ref="AY79:AY96" si="55">IF(AX79=AX78,AY78+1,1)</f>
        <v>6</v>
      </c>
    </row>
    <row r="80" spans="1:51">
      <c r="A80" s="304" t="str">
        <f ca="1">IF(LEFT(OFFSET(COM_2012!$A$60,AY80,0),2)="\I","*","")</f>
        <v>*</v>
      </c>
      <c r="B80" s="369" t="str">
        <f t="shared" ca="1" si="53"/>
        <v/>
      </c>
      <c r="C80" s="369" t="str">
        <f ca="1">IF($A80="*","",OFFSET(COM_2012!$B$60,AY80,0))</f>
        <v/>
      </c>
      <c r="D80" s="369" t="str">
        <f t="shared" ca="1" si="54"/>
        <v/>
      </c>
      <c r="E80" s="369" t="str">
        <f t="shared" ca="1" si="42"/>
        <v/>
      </c>
      <c r="F80" s="370" t="str">
        <f t="shared" ca="1" si="17"/>
        <v/>
      </c>
      <c r="G80" s="370" t="str">
        <f t="shared" ca="1" si="17"/>
        <v/>
      </c>
      <c r="H80" s="370" t="str">
        <f t="shared" ca="1" si="44"/>
        <v/>
      </c>
      <c r="I80" s="370" t="str">
        <f t="shared" ca="1" si="44"/>
        <v/>
      </c>
      <c r="J80" s="494" t="str">
        <f>IF(J$7&lt;2020,"",IF(A80="*","",IFERROR(VLOOKUP($C80,COM_2012!$B$61:$AH$120,MATCH(VLOOKUP("*"&amp;$AX80,$A$10:$J$11,$J$9,FALSE)&amp;J$7,COM_2012!$B$58:$AH$58,0),FALSE),"")))</f>
        <v/>
      </c>
      <c r="K80" s="494" t="str">
        <f>IF(K$7&lt;2020,"",IF(B80="*","",IFERROR(VLOOKUP($C80,COM_2012!$B$61:$AH$120,MATCH(VLOOKUP("*"&amp;$AX80,$A$10:$J$11,$J$9,FALSE)&amp;K$7,COM_2012!$B$58:$AH$58,0),FALSE),"")))</f>
        <v/>
      </c>
      <c r="L80" s="494" t="str">
        <f>IF(L$7&lt;2020,"",IF(C80="*","",IFERROR(VLOOKUP($C80,COM_2012!$B$61:$AH$120,MATCH(VLOOKUP("*"&amp;$AX80,$A$10:$J$11,$J$9,FALSE)&amp;L$7,COM_2012!$B$58:$AH$58,0),FALSE),"")))</f>
        <v/>
      </c>
      <c r="M80" s="494" t="str">
        <f>IF(M$7&lt;2020,"",IF(D80="*","",IFERROR(VLOOKUP($C80,COM_2012!$B$61:$AH$120,MATCH(VLOOKUP("*"&amp;$AX80,$A$10:$J$11,$J$9,FALSE)&amp;M$7,COM_2012!$B$58:$AH$58,0),FALSE),"")))</f>
        <v/>
      </c>
      <c r="N80" s="494" t="str">
        <f ca="1">IFERROR(VLOOKUP($C80,COM_2012!$B$61:$AH$120,MATCH(VLOOKUP("*"&amp;$AX80,$A$10:$J$11,$J$9,FALSE)&amp;N$7,COM_2012!$B$58:$AH$58,0),FALSE),"")</f>
        <v/>
      </c>
      <c r="O80" s="494" t="str">
        <f>IF(O$7&lt;2020,"",IF($A80="*","",IFERROR(VLOOKUP($C80,' COM_2017_old'!$B$61:$AJ$120,MATCH(VLOOKUP("*"&amp;$AX80,$A$10:$J$11,$J$9,FALSE)&amp;O$7,' COM_2017_old'!$B$58:$AJ$58,0),FALSE),"")))</f>
        <v/>
      </c>
      <c r="P80" s="494" t="str">
        <f ca="1">IFERROR(VLOOKUP($C80,COM_2012!$B$61:$AH$120,MATCH(VLOOKUP("*"&amp;$AX80,$A$10:$J$11,$J$9,FALSE)&amp;P$7,COM_2012!$B$58:$AH$58,0),FALSE),"")</f>
        <v/>
      </c>
      <c r="Q80" s="494" t="str">
        <f ca="1">IFERROR(VLOOKUP($C80,COM_2012!$B$61:$AH$120,MATCH(VLOOKUP("*"&amp;$AX80,$A$10:$J$11,$J$9,FALSE)&amp;Q$7,COM_2012!$B$58:$AH$58,0),FALSE),"")</f>
        <v/>
      </c>
      <c r="R80" s="494" t="str">
        <f ca="1">IF($A80="*","",IFERROR(VLOOKUP($C80,' COM_2017_old'!$B$61:$AJ$120,MATCH(VLOOKUP("*"&amp;$AX80,$A$10:$J$11,$J$9,FALSE)&amp;R$7,' COM_2017_old'!$B$58:$AJ$58,0),FALSE),""))</f>
        <v/>
      </c>
      <c r="S80" s="494" t="str">
        <f ca="1">IFERROR(VLOOKUP($C80,COM_2012!$B$61:$AH$120,MATCH(VLOOKUP("*"&amp;$AX80,$A$10:$J$11,$J$9,FALSE)&amp;S$7,COM_2012!$B$58:$AH$58,0),FALSE),"")</f>
        <v/>
      </c>
      <c r="T80" s="494" t="str">
        <f ca="1">IFERROR(VLOOKUP($C80,COM_2012!$B$61:$AH$120,MATCH(VLOOKUP("*"&amp;$AX80,$A$10:$J$11,$J$9,FALSE)&amp;T$7,COM_2012!$B$58:$AH$58,0),FALSE),"")</f>
        <v/>
      </c>
      <c r="U80" s="494" t="str">
        <f ca="1">IFERROR(VLOOKUP($C80,COM_2012!$B$61:$AH$120,MATCH(VLOOKUP("*"&amp;$AX80,$A$10:$J$11,$J$9,FALSE)&amp;U$7,COM_2012!$B$58:$AH$58,0),FALSE),"")</f>
        <v/>
      </c>
      <c r="V80" s="494" t="str">
        <f ca="1">IFERROR(VLOOKUP($C80,COM_2012!$B$61:$AH$120,MATCH(VLOOKUP("*"&amp;$AX80,$A$10:$J$11,$J$9,FALSE)&amp;V$7,COM_2012!$B$58:$AH$58,0),FALSE),"")</f>
        <v/>
      </c>
      <c r="W80" s="494" t="str">
        <f ca="1">IF($A80="*","",IFERROR(VLOOKUP($C80,' COM_2017_old'!$B$61:$AJ$120,MATCH(VLOOKUP("*"&amp;$AX80,$A$10:$J$11,$J$9,FALSE)&amp;W$7,' COM_2017_old'!$B$58:$AJ$58,0),FALSE),""))</f>
        <v/>
      </c>
      <c r="X80" s="494" t="str">
        <f ca="1">IFERROR(VLOOKUP($C80,COM_2012!$B$61:$AH$120,MATCH(VLOOKUP("*"&amp;$AX80,$A$10:$J$11,$J$9,FALSE)&amp;X$7,COM_2012!$B$58:$AH$58,0),FALSE),"")</f>
        <v/>
      </c>
      <c r="Y80" s="494" t="str">
        <f ca="1">IFERROR(VLOOKUP($C80,COM_2012!$B$61:$AH$120,MATCH(VLOOKUP("*"&amp;$AX80,$A$10:$J$11,$J$9,FALSE)&amp;Y$7,COM_2012!$B$58:$AH$58,0),FALSE),"")</f>
        <v/>
      </c>
      <c r="Z80" s="494" t="str">
        <f ca="1">IFERROR(VLOOKUP($C80,COM_2012!$B$61:$AH$120,MATCH(VLOOKUP("*"&amp;$AX80,$A$10:$J$11,$J$9,FALSE)&amp;Z$7,COM_2012!$B$58:$AH$58,0),FALSE),"")</f>
        <v/>
      </c>
      <c r="AA80" s="494" t="str">
        <f ca="1">IFERROR(VLOOKUP($C80,COM_2012!$B$61:$AH$120,MATCH(VLOOKUP("*"&amp;$AX80,$A$10:$J$11,$J$9,FALSE)&amp;AA$7,COM_2012!$B$58:$AH$58,0),FALSE),"")</f>
        <v/>
      </c>
      <c r="AB80" s="494" t="str">
        <f ca="1">IF($A80="*","",IFERROR(VLOOKUP($C80,' COM_2017_old'!$B$61:$AJ$120,MATCH(VLOOKUP("*"&amp;$AX80,$A$10:$J$11,$J$9,FALSE)&amp;AB$7,' COM_2017_old'!$B$58:$AJ$58,0),FALSE),""))</f>
        <v/>
      </c>
      <c r="AC80" s="494" t="str">
        <f ca="1">IFERROR(VLOOKUP($C80,COM_2012!$B$61:$AH$120,MATCH(VLOOKUP("*"&amp;$AX80,$A$10:$J$11,$J$9,FALSE)&amp;AC$7,COM_2012!$B$58:$AH$58,0),FALSE),"")</f>
        <v/>
      </c>
      <c r="AD80" s="391" t="str">
        <f ca="1">IFERROR(VLOOKUP($C80,COM_2012!$B$61:$AH$120,MATCH(VLOOKUP("*"&amp;$AX80,$A$10:$J$11,$J$9,FALSE)&amp;AD$7,COM_2012!$B$58:$AH$58,0),FALSE),"")</f>
        <v/>
      </c>
      <c r="AE80" s="391" t="str">
        <f ca="1">IFERROR(VLOOKUP($C80,COM_2012!$B$61:$AH$120,MATCH(VLOOKUP("*"&amp;$AX80,$A$10:$J$11,$J$9,FALSE)&amp;AE$7,COM_2012!$B$58:$AH$58,0),FALSE),"")</f>
        <v/>
      </c>
      <c r="AF80" s="391" t="str">
        <f ca="1">IFERROR(VLOOKUP($C80,COM_2012!$B$61:$AH$120,MATCH(VLOOKUP("*"&amp;$AX80,$A$10:$J$11,$J$9,FALSE)&amp;AF$7,COM_2012!$B$58:$AH$58,0),FALSE),"")</f>
        <v/>
      </c>
      <c r="AG80" s="494" t="str">
        <f ca="1">IF($A80="*","",IFERROR(VLOOKUP($C80,' COM_2017_old'!$B$61:$AJ$120,MATCH(VLOOKUP("*"&amp;$AX80,$A$10:$J$11,$J$9,FALSE)&amp;AG$7,' COM_2017_old'!$B$58:$AJ$58,0),FALSE),""))</f>
        <v/>
      </c>
      <c r="AH80" s="391" t="str">
        <f ca="1">IFERROR(VLOOKUP($C80,COM_2012!$B$61:$AH$120,MATCH(VLOOKUP("*"&amp;$AX80,$A$10:$J$11,$J$9,FALSE)&amp;AH$7,COM_2012!$B$58:$AH$58,0),FALSE),"")</f>
        <v/>
      </c>
      <c r="AI80" s="391" t="str">
        <f ca="1">IFERROR(VLOOKUP($C80,COM_2012!$B$61:$AH$120,MATCH(VLOOKUP("*"&amp;$AX80,$A$10:$J$11,$J$9,FALSE)&amp;AI$7,COM_2012!$B$58:$AH$58,0),FALSE),"")</f>
        <v/>
      </c>
      <c r="AJ80" s="391" t="str">
        <f ca="1">IFERROR(VLOOKUP($C80,COM_2012!$B$61:$AH$120,MATCH(VLOOKUP("*"&amp;$AX80,$A$10:$J$11,$J$9,FALSE)&amp;AJ$7,COM_2012!$B$58:$AH$58,0),FALSE),"")</f>
        <v/>
      </c>
      <c r="AK80" s="391" t="str">
        <f ca="1">IFERROR(VLOOKUP($C80,COM_2012!$B$61:$AH$120,MATCH(VLOOKUP("*"&amp;$AX80,$A$10:$J$11,$J$9,FALSE)&amp;AK$7,COM_2012!$B$58:$AH$58,0),FALSE),"")</f>
        <v/>
      </c>
      <c r="AL80" s="494" t="str">
        <f ca="1">IF($A80="*","",IFERROR(VLOOKUP($C80,' COM_2017_old'!$B$61:$AJ$120,MATCH(VLOOKUP("*"&amp;$AX80,$A$10:$J$11,$J$9,FALSE)&amp;AL$7,' COM_2017_old'!$B$58:$AJ$58,0),FALSE),""))</f>
        <v/>
      </c>
      <c r="AM80" s="494" t="str">
        <f ca="1">IF($A80="*","",IFERROR(VLOOKUP($C80,' COM_2017_old'!$B$61:$AJ$120,MATCH(VLOOKUP("*"&amp;$AX80,$A$10:$J$11,$J$9,FALSE)&amp;AM$7,' COM_2017_old'!$B$58:$AJ$58,0),FALSE),""))</f>
        <v/>
      </c>
      <c r="AN80" s="494" t="str">
        <f ca="1">IF($A80="*","",IFERROR(VLOOKUP($C80,' COM_2017_old'!$B$61:$AJ$120,MATCH(VLOOKUP("*"&amp;$AX80,$A$10:$J$11,$J$9,FALSE)&amp;AN$7,' COM_2017_old'!$B$58:$AJ$58,0),FALSE),""))</f>
        <v/>
      </c>
      <c r="AO80" s="391" t="str">
        <f ca="1">IFERROR(VLOOKUP($C80,COM_2012!$B$61:$AH$120,MATCH(VLOOKUP("*"&amp;$AX80,$A$10:$J$11,$J$9,FALSE)&amp;AO$7,COM_2012!$B$58:$AH$58,0),FALSE),"")</f>
        <v/>
      </c>
      <c r="AP80" s="391" t="str">
        <f ca="1">IFERROR(VLOOKUP($C80,COM_2012!$B$61:$AH$120,MATCH(VLOOKUP("*"&amp;$AX80,$A$10:$J$11,$J$9,FALSE)&amp;AP$7,COM_2012!$B$58:$AH$58,0),FALSE),"")</f>
        <v/>
      </c>
      <c r="AQ80" s="391" t="str">
        <f ca="1">IFERROR(VLOOKUP($C80,COM_2012!$B$61:$AH$120,MATCH(VLOOKUP("*"&amp;$AX80,$A$10:$J$11,$J$9,FALSE)&amp;AQ$7,COM_2012!$B$58:$AH$58,0),FALSE),"")</f>
        <v/>
      </c>
      <c r="AR80" s="391" t="str">
        <f ca="1">IFERROR(VLOOKUP($C80,COM_2012!$B$61:$AH$120,MATCH(VLOOKUP("*"&amp;$AX80,$A$10:$J$11,$J$9,FALSE)&amp;AR$7,COM_2012!$B$58:$AH$58,0),FALSE),"")</f>
        <v/>
      </c>
      <c r="AS80" s="391" t="str">
        <f ca="1">IFERROR(VLOOKUP($C80,COM_2012!$B$61:$AH$120,MATCH(VLOOKUP("*"&amp;$AX80,$A$10:$J$11,$J$9,FALSE)&amp;AS$7,COM_2012!$B$58:$AH$58,0),FALSE),"")</f>
        <v/>
      </c>
      <c r="AT80" s="391" t="str">
        <f ca="1">IFERROR(VLOOKUP($C80,COM_2012!$B$61:$AH$120,MATCH(VLOOKUP("*"&amp;$AX80,$A$10:$J$11,$J$9,FALSE)&amp;AT$7,COM_2012!$B$58:$AH$58,0),FALSE),"")</f>
        <v/>
      </c>
      <c r="AU80" s="391" t="str">
        <f ca="1">IFERROR(VLOOKUP($C80,COM_2012!$B$61:$AH$120,MATCH(VLOOKUP("*"&amp;$AX80,$A$10:$J$11,$J$9,FALSE)&amp;AU$7,COM_2012!$B$58:$AH$58,0),FALSE),"")</f>
        <v/>
      </c>
      <c r="AV80" s="391" t="str">
        <f ca="1">IFERROR(VLOOKUP($C80,COM_2012!$B$61:$AH$120,MATCH(VLOOKUP("*"&amp;$AX80,$A$10:$J$11,$J$9,FALSE)&amp;AV$7,COM_2012!$B$58:$AH$58,0),FALSE),"")</f>
        <v/>
      </c>
      <c r="AW80" s="391" t="str">
        <f ca="1">IFERROR(VLOOKUP($C80,COM_2012!$B$61:$AH$120,MATCH(VLOOKUP("*"&amp;$AX80,$A$10:$J$11,$J$9,FALSE)&amp;AW$7,COM_2012!$B$58:$AH$58,0),FALSE),"")</f>
        <v/>
      </c>
      <c r="AX80" s="304">
        <f>IF(AY79=COM_2012!$AI$121,AX79+1,AX79)</f>
        <v>2</v>
      </c>
      <c r="AY80" s="304">
        <f t="shared" si="55"/>
        <v>7</v>
      </c>
    </row>
    <row r="81" spans="1:51">
      <c r="A81" s="304" t="str">
        <f ca="1">IF(LEFT(OFFSET(COM_2012!$A$60,AY81,0),2)="\I","*","")</f>
        <v>*</v>
      </c>
      <c r="B81" s="369" t="str">
        <f t="shared" ca="1" si="53"/>
        <v/>
      </c>
      <c r="C81" s="369" t="str">
        <f ca="1">IF($A81="*","",OFFSET(COM_2012!$B$60,AY81,0))</f>
        <v/>
      </c>
      <c r="D81" s="369" t="str">
        <f t="shared" ca="1" si="54"/>
        <v/>
      </c>
      <c r="E81" s="369" t="str">
        <f t="shared" ca="1" si="42"/>
        <v/>
      </c>
      <c r="F81" s="370" t="str">
        <f t="shared" ca="1" si="17"/>
        <v/>
      </c>
      <c r="G81" s="370" t="str">
        <f t="shared" ca="1" si="17"/>
        <v/>
      </c>
      <c r="H81" s="370" t="str">
        <f t="shared" ca="1" si="44"/>
        <v/>
      </c>
      <c r="I81" s="370" t="str">
        <f t="shared" ca="1" si="44"/>
        <v/>
      </c>
      <c r="J81" s="494" t="str">
        <f>IF(J$7&lt;2020,"",IF(A81="*","",IFERROR(VLOOKUP($C81,COM_2012!$B$61:$AH$120,MATCH(VLOOKUP("*"&amp;$AX81,$A$10:$J$11,$J$9,FALSE)&amp;J$7,COM_2012!$B$58:$AH$58,0),FALSE),"")))</f>
        <v/>
      </c>
      <c r="K81" s="494" t="str">
        <f>IF(K$7&lt;2020,"",IF(B81="*","",IFERROR(VLOOKUP($C81,COM_2012!$B$61:$AH$120,MATCH(VLOOKUP("*"&amp;$AX81,$A$10:$J$11,$J$9,FALSE)&amp;K$7,COM_2012!$B$58:$AH$58,0),FALSE),"")))</f>
        <v/>
      </c>
      <c r="L81" s="494" t="str">
        <f>IF(L$7&lt;2020,"",IF(C81="*","",IFERROR(VLOOKUP($C81,COM_2012!$B$61:$AH$120,MATCH(VLOOKUP("*"&amp;$AX81,$A$10:$J$11,$J$9,FALSE)&amp;L$7,COM_2012!$B$58:$AH$58,0),FALSE),"")))</f>
        <v/>
      </c>
      <c r="M81" s="494" t="str">
        <f>IF(M$7&lt;2020,"",IF(D81="*","",IFERROR(VLOOKUP($C81,COM_2012!$B$61:$AH$120,MATCH(VLOOKUP("*"&amp;$AX81,$A$10:$J$11,$J$9,FALSE)&amp;M$7,COM_2012!$B$58:$AH$58,0),FALSE),"")))</f>
        <v/>
      </c>
      <c r="N81" s="494" t="str">
        <f ca="1">IFERROR(VLOOKUP($C81,COM_2012!$B$61:$AH$120,MATCH(VLOOKUP("*"&amp;$AX81,$A$10:$J$11,$J$9,FALSE)&amp;N$7,COM_2012!$B$58:$AH$58,0),FALSE),"")</f>
        <v/>
      </c>
      <c r="O81" s="494" t="str">
        <f>IF(O$7&lt;2020,"",IF($A81="*","",IFERROR(VLOOKUP($C81,' COM_2017_old'!$B$61:$AJ$120,MATCH(VLOOKUP("*"&amp;$AX81,$A$10:$J$11,$J$9,FALSE)&amp;O$7,' COM_2017_old'!$B$58:$AJ$58,0),FALSE),"")))</f>
        <v/>
      </c>
      <c r="P81" s="494" t="str">
        <f ca="1">IFERROR(VLOOKUP($C81,COM_2012!$B$61:$AH$120,MATCH(VLOOKUP("*"&amp;$AX81,$A$10:$J$11,$J$9,FALSE)&amp;P$7,COM_2012!$B$58:$AH$58,0),FALSE),"")</f>
        <v/>
      </c>
      <c r="Q81" s="494" t="str">
        <f ca="1">IFERROR(VLOOKUP($C81,COM_2012!$B$61:$AH$120,MATCH(VLOOKUP("*"&amp;$AX81,$A$10:$J$11,$J$9,FALSE)&amp;Q$7,COM_2012!$B$58:$AH$58,0),FALSE),"")</f>
        <v/>
      </c>
      <c r="R81" s="494" t="str">
        <f ca="1">IF($A81="*","",IFERROR(VLOOKUP($C81,' COM_2017_old'!$B$61:$AJ$120,MATCH(VLOOKUP("*"&amp;$AX81,$A$10:$J$11,$J$9,FALSE)&amp;R$7,' COM_2017_old'!$B$58:$AJ$58,0),FALSE),""))</f>
        <v/>
      </c>
      <c r="S81" s="494" t="str">
        <f ca="1">IFERROR(VLOOKUP($C81,COM_2012!$B$61:$AH$120,MATCH(VLOOKUP("*"&amp;$AX81,$A$10:$J$11,$J$9,FALSE)&amp;S$7,COM_2012!$B$58:$AH$58,0),FALSE),"")</f>
        <v/>
      </c>
      <c r="T81" s="494" t="str">
        <f ca="1">IFERROR(VLOOKUP($C81,COM_2012!$B$61:$AH$120,MATCH(VLOOKUP("*"&amp;$AX81,$A$10:$J$11,$J$9,FALSE)&amp;T$7,COM_2012!$B$58:$AH$58,0),FALSE),"")</f>
        <v/>
      </c>
      <c r="U81" s="494" t="str">
        <f ca="1">IFERROR(VLOOKUP($C81,COM_2012!$B$61:$AH$120,MATCH(VLOOKUP("*"&amp;$AX81,$A$10:$J$11,$J$9,FALSE)&amp;U$7,COM_2012!$B$58:$AH$58,0),FALSE),"")</f>
        <v/>
      </c>
      <c r="V81" s="494" t="str">
        <f ca="1">IFERROR(VLOOKUP($C81,COM_2012!$B$61:$AH$120,MATCH(VLOOKUP("*"&amp;$AX81,$A$10:$J$11,$J$9,FALSE)&amp;V$7,COM_2012!$B$58:$AH$58,0),FALSE),"")</f>
        <v/>
      </c>
      <c r="W81" s="494" t="str">
        <f ca="1">IF($A81="*","",IFERROR(VLOOKUP($C81,' COM_2017_old'!$B$61:$AJ$120,MATCH(VLOOKUP("*"&amp;$AX81,$A$10:$J$11,$J$9,FALSE)&amp;W$7,' COM_2017_old'!$B$58:$AJ$58,0),FALSE),""))</f>
        <v/>
      </c>
      <c r="X81" s="494" t="str">
        <f ca="1">IFERROR(VLOOKUP($C81,COM_2012!$B$61:$AH$120,MATCH(VLOOKUP("*"&amp;$AX81,$A$10:$J$11,$J$9,FALSE)&amp;X$7,COM_2012!$B$58:$AH$58,0),FALSE),"")</f>
        <v/>
      </c>
      <c r="Y81" s="494" t="str">
        <f ca="1">IFERROR(VLOOKUP($C81,COM_2012!$B$61:$AH$120,MATCH(VLOOKUP("*"&amp;$AX81,$A$10:$J$11,$J$9,FALSE)&amp;Y$7,COM_2012!$B$58:$AH$58,0),FALSE),"")</f>
        <v/>
      </c>
      <c r="Z81" s="494" t="str">
        <f ca="1">IFERROR(VLOOKUP($C81,COM_2012!$B$61:$AH$120,MATCH(VLOOKUP("*"&amp;$AX81,$A$10:$J$11,$J$9,FALSE)&amp;Z$7,COM_2012!$B$58:$AH$58,0),FALSE),"")</f>
        <v/>
      </c>
      <c r="AA81" s="494" t="str">
        <f ca="1">IFERROR(VLOOKUP($C81,COM_2012!$B$61:$AH$120,MATCH(VLOOKUP("*"&amp;$AX81,$A$10:$J$11,$J$9,FALSE)&amp;AA$7,COM_2012!$B$58:$AH$58,0),FALSE),"")</f>
        <v/>
      </c>
      <c r="AB81" s="494" t="str">
        <f ca="1">IF($A81="*","",IFERROR(VLOOKUP($C81,' COM_2017_old'!$B$61:$AJ$120,MATCH(VLOOKUP("*"&amp;$AX81,$A$10:$J$11,$J$9,FALSE)&amp;AB$7,' COM_2017_old'!$B$58:$AJ$58,0),FALSE),""))</f>
        <v/>
      </c>
      <c r="AC81" s="494" t="str">
        <f ca="1">IFERROR(VLOOKUP($C81,COM_2012!$B$61:$AH$120,MATCH(VLOOKUP("*"&amp;$AX81,$A$10:$J$11,$J$9,FALSE)&amp;AC$7,COM_2012!$B$58:$AH$58,0),FALSE),"")</f>
        <v/>
      </c>
      <c r="AD81" s="391" t="str">
        <f ca="1">IFERROR(VLOOKUP($C81,COM_2012!$B$61:$AH$120,MATCH(VLOOKUP("*"&amp;$AX81,$A$10:$J$11,$J$9,FALSE)&amp;AD$7,COM_2012!$B$58:$AH$58,0),FALSE),"")</f>
        <v/>
      </c>
      <c r="AE81" s="391" t="str">
        <f ca="1">IFERROR(VLOOKUP($C81,COM_2012!$B$61:$AH$120,MATCH(VLOOKUP("*"&amp;$AX81,$A$10:$J$11,$J$9,FALSE)&amp;AE$7,COM_2012!$B$58:$AH$58,0),FALSE),"")</f>
        <v/>
      </c>
      <c r="AF81" s="391" t="str">
        <f ca="1">IFERROR(VLOOKUP($C81,COM_2012!$B$61:$AH$120,MATCH(VLOOKUP("*"&amp;$AX81,$A$10:$J$11,$J$9,FALSE)&amp;AF$7,COM_2012!$B$58:$AH$58,0),FALSE),"")</f>
        <v/>
      </c>
      <c r="AG81" s="494" t="str">
        <f ca="1">IF($A81="*","",IFERROR(VLOOKUP($C81,' COM_2017_old'!$B$61:$AJ$120,MATCH(VLOOKUP("*"&amp;$AX81,$A$10:$J$11,$J$9,FALSE)&amp;AG$7,' COM_2017_old'!$B$58:$AJ$58,0),FALSE),""))</f>
        <v/>
      </c>
      <c r="AH81" s="391" t="str">
        <f ca="1">IFERROR(VLOOKUP($C81,COM_2012!$B$61:$AH$120,MATCH(VLOOKUP("*"&amp;$AX81,$A$10:$J$11,$J$9,FALSE)&amp;AH$7,COM_2012!$B$58:$AH$58,0),FALSE),"")</f>
        <v/>
      </c>
      <c r="AI81" s="391" t="str">
        <f ca="1">IFERROR(VLOOKUP($C81,COM_2012!$B$61:$AH$120,MATCH(VLOOKUP("*"&amp;$AX81,$A$10:$J$11,$J$9,FALSE)&amp;AI$7,COM_2012!$B$58:$AH$58,0),FALSE),"")</f>
        <v/>
      </c>
      <c r="AJ81" s="391" t="str">
        <f ca="1">IFERROR(VLOOKUP($C81,COM_2012!$B$61:$AH$120,MATCH(VLOOKUP("*"&amp;$AX81,$A$10:$J$11,$J$9,FALSE)&amp;AJ$7,COM_2012!$B$58:$AH$58,0),FALSE),"")</f>
        <v/>
      </c>
      <c r="AK81" s="391" t="str">
        <f ca="1">IFERROR(VLOOKUP($C81,COM_2012!$B$61:$AH$120,MATCH(VLOOKUP("*"&amp;$AX81,$A$10:$J$11,$J$9,FALSE)&amp;AK$7,COM_2012!$B$58:$AH$58,0),FALSE),"")</f>
        <v/>
      </c>
      <c r="AL81" s="494" t="str">
        <f ca="1">IF($A81="*","",IFERROR(VLOOKUP($C81,' COM_2017_old'!$B$61:$AJ$120,MATCH(VLOOKUP("*"&amp;$AX81,$A$10:$J$11,$J$9,FALSE)&amp;AL$7,' COM_2017_old'!$B$58:$AJ$58,0),FALSE),""))</f>
        <v/>
      </c>
      <c r="AM81" s="494" t="str">
        <f ca="1">IF($A81="*","",IFERROR(VLOOKUP($C81,' COM_2017_old'!$B$61:$AJ$120,MATCH(VLOOKUP("*"&amp;$AX81,$A$10:$J$11,$J$9,FALSE)&amp;AM$7,' COM_2017_old'!$B$58:$AJ$58,0),FALSE),""))</f>
        <v/>
      </c>
      <c r="AN81" s="494" t="str">
        <f ca="1">IF($A81="*","",IFERROR(VLOOKUP($C81,' COM_2017_old'!$B$61:$AJ$120,MATCH(VLOOKUP("*"&amp;$AX81,$A$10:$J$11,$J$9,FALSE)&amp;AN$7,' COM_2017_old'!$B$58:$AJ$58,0),FALSE),""))</f>
        <v/>
      </c>
      <c r="AO81" s="391" t="str">
        <f ca="1">IFERROR(VLOOKUP($C81,COM_2012!$B$61:$AH$120,MATCH(VLOOKUP("*"&amp;$AX81,$A$10:$J$11,$J$9,FALSE)&amp;AO$7,COM_2012!$B$58:$AH$58,0),FALSE),"")</f>
        <v/>
      </c>
      <c r="AP81" s="391" t="str">
        <f ca="1">IFERROR(VLOOKUP($C81,COM_2012!$B$61:$AH$120,MATCH(VLOOKUP("*"&amp;$AX81,$A$10:$J$11,$J$9,FALSE)&amp;AP$7,COM_2012!$B$58:$AH$58,0),FALSE),"")</f>
        <v/>
      </c>
      <c r="AQ81" s="391" t="str">
        <f ca="1">IFERROR(VLOOKUP($C81,COM_2012!$B$61:$AH$120,MATCH(VLOOKUP("*"&amp;$AX81,$A$10:$J$11,$J$9,FALSE)&amp;AQ$7,COM_2012!$B$58:$AH$58,0),FALSE),"")</f>
        <v/>
      </c>
      <c r="AR81" s="391" t="str">
        <f ca="1">IFERROR(VLOOKUP($C81,COM_2012!$B$61:$AH$120,MATCH(VLOOKUP("*"&amp;$AX81,$A$10:$J$11,$J$9,FALSE)&amp;AR$7,COM_2012!$B$58:$AH$58,0),FALSE),"")</f>
        <v/>
      </c>
      <c r="AS81" s="391" t="str">
        <f ca="1">IFERROR(VLOOKUP($C81,COM_2012!$B$61:$AH$120,MATCH(VLOOKUP("*"&amp;$AX81,$A$10:$J$11,$J$9,FALSE)&amp;AS$7,COM_2012!$B$58:$AH$58,0),FALSE),"")</f>
        <v/>
      </c>
      <c r="AT81" s="391" t="str">
        <f ca="1">IFERROR(VLOOKUP($C81,COM_2012!$B$61:$AH$120,MATCH(VLOOKUP("*"&amp;$AX81,$A$10:$J$11,$J$9,FALSE)&amp;AT$7,COM_2012!$B$58:$AH$58,0),FALSE),"")</f>
        <v/>
      </c>
      <c r="AU81" s="391" t="str">
        <f ca="1">IFERROR(VLOOKUP($C81,COM_2012!$B$61:$AH$120,MATCH(VLOOKUP("*"&amp;$AX81,$A$10:$J$11,$J$9,FALSE)&amp;AU$7,COM_2012!$B$58:$AH$58,0),FALSE),"")</f>
        <v/>
      </c>
      <c r="AV81" s="391" t="str">
        <f ca="1">IFERROR(VLOOKUP($C81,COM_2012!$B$61:$AH$120,MATCH(VLOOKUP("*"&amp;$AX81,$A$10:$J$11,$J$9,FALSE)&amp;AV$7,COM_2012!$B$58:$AH$58,0),FALSE),"")</f>
        <v/>
      </c>
      <c r="AW81" s="391" t="str">
        <f ca="1">IFERROR(VLOOKUP($C81,COM_2012!$B$61:$AH$120,MATCH(VLOOKUP("*"&amp;$AX81,$A$10:$J$11,$J$9,FALSE)&amp;AW$7,COM_2012!$B$58:$AH$58,0),FALSE),"")</f>
        <v/>
      </c>
      <c r="AX81" s="304">
        <f>IF(AY80=COM_2012!$AI$121,AX80+1,AX80)</f>
        <v>2</v>
      </c>
      <c r="AY81" s="304">
        <f t="shared" si="55"/>
        <v>8</v>
      </c>
    </row>
    <row r="82" spans="1:51">
      <c r="A82" s="304" t="str">
        <f ca="1">IF(LEFT(OFFSET(COM_2012!$A$60,AY82,0),2)="\I","*","")</f>
        <v/>
      </c>
      <c r="B82" s="369" t="str">
        <f t="shared" ca="1" si="53"/>
        <v>FLO_MRKPRD</v>
      </c>
      <c r="C82" s="369" t="str">
        <f ca="1">IF($A82="*","",OFFSET(COM_2012!$B$60,AY82,0))</f>
        <v>CEHCOA-E</v>
      </c>
      <c r="D82" s="369" t="str">
        <f t="shared" ca="1" si="54"/>
        <v>CEH</v>
      </c>
      <c r="E82" s="369" t="str">
        <f t="shared" ca="1" si="42"/>
        <v>-</v>
      </c>
      <c r="F82" s="370" t="str">
        <f t="shared" ca="1" si="17"/>
        <v>-</v>
      </c>
      <c r="G82" s="370" t="str">
        <f t="shared" ca="1" si="17"/>
        <v>ANNUAL</v>
      </c>
      <c r="H82" s="370" t="str">
        <f t="shared" ca="1" si="44"/>
        <v>LO</v>
      </c>
      <c r="I82" s="370">
        <f t="shared" ca="1" si="44"/>
        <v>0</v>
      </c>
      <c r="J82" s="494" t="str">
        <f>IF(J$7&lt;2020,"",IF(A82="*","",IFERROR(VLOOKUP($C82,COM_2012!$B$61:$AH$120,MATCH(VLOOKUP("*"&amp;$AX82,$A$10:$J$11,$J$9,FALSE)&amp;J$7,COM_2012!$B$58:$AH$58,0),FALSE),"")))</f>
        <v/>
      </c>
      <c r="K82" s="494" t="str">
        <f>IF(K$7&lt;2020,"",IF(B82="*","",IFERROR(VLOOKUP($C82,COM_2012!$B$61:$AH$120,MATCH(VLOOKUP("*"&amp;$AX82,$A$10:$J$11,$J$9,FALSE)&amp;K$7,COM_2012!$B$58:$AH$58,0),FALSE),"")))</f>
        <v/>
      </c>
      <c r="L82" s="494" t="str">
        <f>IF(L$7&lt;2020,"",IF(C82="*","",IFERROR(VLOOKUP($C82,COM_2012!$B$61:$AH$120,MATCH(VLOOKUP("*"&amp;$AX82,$A$10:$J$11,$J$9,FALSE)&amp;L$7,COM_2012!$B$58:$AH$58,0),FALSE),"")))</f>
        <v/>
      </c>
      <c r="M82" s="494" t="str">
        <f>IF(M$7&lt;2020,"",IF(D82="*","",IFERROR(VLOOKUP($C82,COM_2012!$B$61:$AH$120,MATCH(VLOOKUP("*"&amp;$AX82,$A$10:$J$11,$J$9,FALSE)&amp;M$7,COM_2012!$B$58:$AH$58,0),FALSE),"")))</f>
        <v/>
      </c>
      <c r="N82" s="494" t="str">
        <f ca="1">IFERROR(VLOOKUP($C82,COM_2012!$B$61:$AH$120,MATCH(VLOOKUP("*"&amp;$AX82,$A$10:$J$11,$J$9,FALSE)&amp;N$7,COM_2012!$B$58:$AH$58,0),FALSE),"")</f>
        <v/>
      </c>
      <c r="O82" s="494" t="str">
        <f>IF(O$7&lt;2020,"",IF($A82="*","",IFERROR(VLOOKUP($C82,' COM_2017_old'!$B$61:$AJ$120,MATCH(VLOOKUP("*"&amp;$AX82,$A$10:$J$11,$J$9,FALSE)&amp;O$7,' COM_2017_old'!$B$58:$AJ$58,0),FALSE),"")))</f>
        <v/>
      </c>
      <c r="P82" s="494" t="str">
        <f ca="1">IFERROR(VLOOKUP($C82,COM_2012!$B$61:$AH$120,MATCH(VLOOKUP("*"&amp;$AX82,$A$10:$J$11,$J$9,FALSE)&amp;P$7,COM_2012!$B$58:$AH$58,0),FALSE),"")</f>
        <v/>
      </c>
      <c r="Q82" s="494" t="str">
        <f ca="1">IFERROR(VLOOKUP($C82,COM_2012!$B$61:$AH$120,MATCH(VLOOKUP("*"&amp;$AX82,$A$10:$J$11,$J$9,FALSE)&amp;Q$7,COM_2012!$B$58:$AH$58,0),FALSE),"")</f>
        <v/>
      </c>
      <c r="R82" s="494">
        <f ca="1">IF($A82="*","",IFERROR(VLOOKUP($C82,' COM_2017_old'!$B$61:$AJ$120,MATCH(VLOOKUP("*"&amp;$AX82,$A$10:$J$11,$J$9,FALSE)&amp;R$7,' COM_2017_old'!$B$58:$AJ$58,0),FALSE),""))</f>
        <v>0.72737617483708794</v>
      </c>
      <c r="S82" s="494">
        <f ca="1">IF($A82="*","",R82+($W82-$R82)/5)</f>
        <v>0.71687796200438769</v>
      </c>
      <c r="T82" s="494">
        <f t="shared" ref="T82:V86" ca="1" si="56">IF($A82="*","",S82+($W82-$R82)/5)</f>
        <v>0.70637974917168744</v>
      </c>
      <c r="U82" s="494">
        <f t="shared" ca="1" si="56"/>
        <v>0.69588153633898719</v>
      </c>
      <c r="V82" s="494">
        <f t="shared" ca="1" si="56"/>
        <v>0.68538332350628695</v>
      </c>
      <c r="W82" s="494">
        <f ca="1">IF($A82="*","",IFERROR(VLOOKUP($C82,' COM_2017_old'!$B$61:$AJ$120,MATCH(VLOOKUP("*"&amp;$AX82,$A$10:$J$11,$J$9,FALSE)&amp;W$7,' COM_2017_old'!$B$58:$AJ$58,0),FALSE),""))</f>
        <v>0.67488511067358681</v>
      </c>
      <c r="X82" s="494">
        <f ca="1">IF($A82="*","",W82+($AB82-$W82)/5)</f>
        <v>0.64489021686587178</v>
      </c>
      <c r="Y82" s="494">
        <f t="shared" ref="Y82:AA86" ca="1" si="57">IF($A82="*","",X82+($AB82-$W82)/5)</f>
        <v>0.61489532305815675</v>
      </c>
      <c r="Z82" s="494">
        <f t="shared" ca="1" si="57"/>
        <v>0.58490042925044172</v>
      </c>
      <c r="AA82" s="494">
        <f t="shared" ca="1" si="57"/>
        <v>0.55490553544272669</v>
      </c>
      <c r="AB82" s="494">
        <f ca="1">IF($A82="*","",IFERROR(VLOOKUP($C82,' COM_2017_old'!$B$61:$AJ$120,MATCH(VLOOKUP("*"&amp;$AX82,$A$10:$J$11,$J$9,FALSE)&amp;AB$7,' COM_2017_old'!$B$58:$AJ$58,0),FALSE),""))</f>
        <v>0.52491064163501189</v>
      </c>
      <c r="AC82" s="494">
        <f ca="1">IF($A82="*","",AB82+($AG82-$AB82)/5)</f>
        <v>0.48741702437536821</v>
      </c>
      <c r="AD82" s="494">
        <f t="shared" ref="AD82:AF86" ca="1" si="58">IF($A82="*","",AC82+($AG82-$AB82)/5)</f>
        <v>0.44992340711572454</v>
      </c>
      <c r="AE82" s="494">
        <f t="shared" ca="1" si="58"/>
        <v>0.41242978985608086</v>
      </c>
      <c r="AF82" s="494">
        <f t="shared" ca="1" si="58"/>
        <v>0.37493617259643719</v>
      </c>
      <c r="AG82" s="494">
        <f ca="1">IF($A82="*","",IFERROR(VLOOKUP($C82,' COM_2017_old'!$B$61:$AJ$120,MATCH(VLOOKUP("*"&amp;$AX82,$A$10:$J$11,$J$9,FALSE)&amp;AG$7,' COM_2017_old'!$B$58:$AJ$58,0),FALSE),""))</f>
        <v>0.3374425553367934</v>
      </c>
      <c r="AH82" s="494">
        <f ca="1">IF($A82="*","",AG82+($AL82-$AG82)/5)</f>
        <v>0.29245021462522097</v>
      </c>
      <c r="AI82" s="494">
        <f t="shared" ref="AI82:AK86" ca="1" si="59">IF($A82="*","",AH82+($AL82-$AG82)/5)</f>
        <v>0.24745787391364851</v>
      </c>
      <c r="AJ82" s="494">
        <f t="shared" ca="1" si="59"/>
        <v>0.20246553320207605</v>
      </c>
      <c r="AK82" s="494">
        <f t="shared" ca="1" si="59"/>
        <v>0.15747319249050359</v>
      </c>
      <c r="AL82" s="494">
        <f ca="1">IF($A82="*","",IFERROR(VLOOKUP($C82,' COM_2017_old'!$B$61:$AJ$120,MATCH(VLOOKUP("*"&amp;$AX82,$A$10:$J$11,$J$9,FALSE)&amp;AL$7,' COM_2017_old'!$B$58:$AJ$58,0),FALSE),""))</f>
        <v>0.11248085177893112</v>
      </c>
      <c r="AM82" s="494">
        <f ca="1">IF($A82="*","",IFERROR(VLOOKUP($C82,' COM_2017_old'!$B$61:$AJ$120,MATCH(VLOOKUP("*"&amp;$AX82,$A$10:$J$11,$J$9,FALSE)&amp;AM$7,' COM_2017_old'!$B$58:$AJ$58,0),FALSE),""))</f>
        <v>3.7493617259643709E-2</v>
      </c>
      <c r="AN82" s="494">
        <f ca="1">IF($A82="*","",IFERROR(VLOOKUP($C82,' COM_2017_old'!$B$61:$AJ$120,MATCH(VLOOKUP("*"&amp;$AX82,$A$10:$J$11,$J$9,FALSE)&amp;AN$7,' COM_2017_old'!$B$58:$AJ$58,0),FALSE),""))</f>
        <v>0</v>
      </c>
      <c r="AO82" s="391" t="str">
        <f ca="1">IFERROR(VLOOKUP($C82,COM_2012!$B$61:$AH$120,MATCH(VLOOKUP("*"&amp;$AX82,$A$10:$J$11,$J$9,FALSE)&amp;AO$7,COM_2012!$B$58:$AH$58,0),FALSE),"")</f>
        <v/>
      </c>
      <c r="AP82" s="391" t="str">
        <f ca="1">IFERROR(VLOOKUP($C82,COM_2012!$B$61:$AH$120,MATCH(VLOOKUP("*"&amp;$AX82,$A$10:$J$11,$J$9,FALSE)&amp;AP$7,COM_2012!$B$58:$AH$58,0),FALSE),"")</f>
        <v/>
      </c>
      <c r="AQ82" s="391" t="str">
        <f ca="1">IFERROR(VLOOKUP($C82,COM_2012!$B$61:$AH$120,MATCH(VLOOKUP("*"&amp;$AX82,$A$10:$J$11,$J$9,FALSE)&amp;AQ$7,COM_2012!$B$58:$AH$58,0),FALSE),"")</f>
        <v/>
      </c>
      <c r="AR82" s="391" t="str">
        <f ca="1">IFERROR(VLOOKUP($C82,COM_2012!$B$61:$AH$120,MATCH(VLOOKUP("*"&amp;$AX82,$A$10:$J$11,$J$9,FALSE)&amp;AR$7,COM_2012!$B$58:$AH$58,0),FALSE),"")</f>
        <v/>
      </c>
      <c r="AS82" s="391" t="str">
        <f ca="1">IFERROR(VLOOKUP($C82,COM_2012!$B$61:$AH$120,MATCH(VLOOKUP("*"&amp;$AX82,$A$10:$J$11,$J$9,FALSE)&amp;AS$7,COM_2012!$B$58:$AH$58,0),FALSE),"")</f>
        <v/>
      </c>
      <c r="AT82" s="391" t="str">
        <f ca="1">IFERROR(VLOOKUP($C82,COM_2012!$B$61:$AH$120,MATCH(VLOOKUP("*"&amp;$AX82,$A$10:$J$11,$J$9,FALSE)&amp;AT$7,COM_2012!$B$58:$AH$58,0),FALSE),"")</f>
        <v/>
      </c>
      <c r="AU82" s="391" t="str">
        <f ca="1">IFERROR(VLOOKUP($C82,COM_2012!$B$61:$AH$120,MATCH(VLOOKUP("*"&amp;$AX82,$A$10:$J$11,$J$9,FALSE)&amp;AU$7,COM_2012!$B$58:$AH$58,0),FALSE),"")</f>
        <v/>
      </c>
      <c r="AV82" s="391" t="str">
        <f ca="1">IFERROR(VLOOKUP($C82,COM_2012!$B$61:$AH$120,MATCH(VLOOKUP("*"&amp;$AX82,$A$10:$J$11,$J$9,FALSE)&amp;AV$7,COM_2012!$B$58:$AH$58,0),FALSE),"")</f>
        <v/>
      </c>
      <c r="AW82" s="391" t="str">
        <f ca="1">IFERROR(VLOOKUP($C82,COM_2012!$B$61:$AH$120,MATCH(VLOOKUP("*"&amp;$AX82,$A$10:$J$11,$J$9,FALSE)&amp;AW$7,COM_2012!$B$58:$AH$58,0),FALSE),"")</f>
        <v/>
      </c>
      <c r="AX82" s="304">
        <f>IF(AY81=COM_2012!$AI$121,AX81+1,AX81)</f>
        <v>2</v>
      </c>
      <c r="AY82" s="304">
        <f t="shared" si="55"/>
        <v>9</v>
      </c>
    </row>
    <row r="83" spans="1:51">
      <c r="A83" s="304" t="str">
        <f ca="1">IF(LEFT(OFFSET(COM_2012!$A$60,AY83,0),2)="\I","*","")</f>
        <v/>
      </c>
      <c r="B83" s="369" t="str">
        <f t="shared" ca="1" si="53"/>
        <v>FLO_MRKPRD</v>
      </c>
      <c r="C83" s="369" t="str">
        <f ca="1">IF($A83="*","",OFFSET(COM_2012!$B$60,AY83,0))</f>
        <v>CEHELC-E</v>
      </c>
      <c r="D83" s="369" t="str">
        <f t="shared" ca="1" si="54"/>
        <v>CEH</v>
      </c>
      <c r="E83" s="369" t="str">
        <f t="shared" ca="1" si="42"/>
        <v>-</v>
      </c>
      <c r="F83" s="370" t="str">
        <f t="shared" ca="1" si="17"/>
        <v>-</v>
      </c>
      <c r="G83" s="370" t="str">
        <f t="shared" ca="1" si="17"/>
        <v>ANNUAL</v>
      </c>
      <c r="H83" s="370" t="str">
        <f t="shared" ca="1" si="44"/>
        <v>LO</v>
      </c>
      <c r="I83" s="370">
        <f t="shared" ca="1" si="44"/>
        <v>0</v>
      </c>
      <c r="J83" s="494" t="str">
        <f>IF(J$7&lt;2020,"",IF(A83="*","",IFERROR(VLOOKUP($C83,COM_2012!$B$61:$AH$120,MATCH(VLOOKUP("*"&amp;$AX83,$A$10:$J$11,$J$9,FALSE)&amp;J$7,COM_2012!$B$58:$AH$58,0),FALSE),"")))</f>
        <v/>
      </c>
      <c r="K83" s="494" t="str">
        <f>IF(K$7&lt;2020,"",IF(B83="*","",IFERROR(VLOOKUP($C83,COM_2012!$B$61:$AH$120,MATCH(VLOOKUP("*"&amp;$AX83,$A$10:$J$11,$J$9,FALSE)&amp;K$7,COM_2012!$B$58:$AH$58,0),FALSE),"")))</f>
        <v/>
      </c>
      <c r="L83" s="494" t="str">
        <f>IF(L$7&lt;2020,"",IF(C83="*","",IFERROR(VLOOKUP($C83,COM_2012!$B$61:$AH$120,MATCH(VLOOKUP("*"&amp;$AX83,$A$10:$J$11,$J$9,FALSE)&amp;L$7,COM_2012!$B$58:$AH$58,0),FALSE),"")))</f>
        <v/>
      </c>
      <c r="M83" s="494" t="str">
        <f>IF(M$7&lt;2020,"",IF(D83="*","",IFERROR(VLOOKUP($C83,COM_2012!$B$61:$AH$120,MATCH(VLOOKUP("*"&amp;$AX83,$A$10:$J$11,$J$9,FALSE)&amp;M$7,COM_2012!$B$58:$AH$58,0),FALSE),"")))</f>
        <v/>
      </c>
      <c r="N83" s="494" t="str">
        <f ca="1">IFERROR(VLOOKUP($C83,COM_2012!$B$61:$AH$120,MATCH(VLOOKUP("*"&amp;$AX83,$A$10:$J$11,$J$9,FALSE)&amp;N$7,COM_2012!$B$58:$AH$58,0),FALSE),"")</f>
        <v/>
      </c>
      <c r="O83" s="494" t="str">
        <f>IF(O$7&lt;2020,"",IF($A83="*","",IFERROR(VLOOKUP($C83,' COM_2017_old'!$B$61:$AJ$120,MATCH(VLOOKUP("*"&amp;$AX83,$A$10:$J$11,$J$9,FALSE)&amp;O$7,' COM_2017_old'!$B$58:$AJ$58,0),FALSE),"")))</f>
        <v/>
      </c>
      <c r="P83" s="494" t="str">
        <f ca="1">IFERROR(VLOOKUP($C83,COM_2012!$B$61:$AH$120,MATCH(VLOOKUP("*"&amp;$AX83,$A$10:$J$11,$J$9,FALSE)&amp;P$7,COM_2012!$B$58:$AH$58,0),FALSE),"")</f>
        <v/>
      </c>
      <c r="Q83" s="494" t="str">
        <f ca="1">IFERROR(VLOOKUP($C83,COM_2012!$B$61:$AH$120,MATCH(VLOOKUP("*"&amp;$AX83,$A$10:$J$11,$J$9,FALSE)&amp;Q$7,COM_2012!$B$58:$AH$58,0),FALSE),"")</f>
        <v/>
      </c>
      <c r="R83" s="494">
        <f ca="1">IF($A83="*","",IFERROR(VLOOKUP($C83,' COM_2017_old'!$B$61:$AJ$120,MATCH(VLOOKUP("*"&amp;$AX83,$A$10:$J$11,$J$9,FALSE)&amp;R$7,' COM_2017_old'!$B$58:$AJ$58,0),FALSE),""))</f>
        <v>0.21257301747947885</v>
      </c>
      <c r="S83" s="494">
        <f ca="1">IF($A83="*","",R83+($W83-$R83)/5)</f>
        <v>0.20950495330967195</v>
      </c>
      <c r="T83" s="494">
        <f t="shared" ca="1" si="56"/>
        <v>0.20643688913986505</v>
      </c>
      <c r="U83" s="494">
        <f t="shared" ca="1" si="56"/>
        <v>0.20336882497005815</v>
      </c>
      <c r="V83" s="494">
        <f t="shared" ca="1" si="56"/>
        <v>0.20030076080025125</v>
      </c>
      <c r="W83" s="494">
        <f ca="1">IF($A83="*","",IFERROR(VLOOKUP($C83,' COM_2017_old'!$B$61:$AJ$120,MATCH(VLOOKUP("*"&amp;$AX83,$A$10:$J$11,$J$9,FALSE)&amp;W$7,' COM_2017_old'!$B$58:$AJ$58,0),FALSE),""))</f>
        <v>0.19723269663044429</v>
      </c>
      <c r="X83" s="494">
        <f ca="1">IF($A83="*","",W83+($AB83-$W83)/5)</f>
        <v>0.18846679900242455</v>
      </c>
      <c r="Y83" s="494">
        <f t="shared" ca="1" si="57"/>
        <v>0.17970090137440481</v>
      </c>
      <c r="Z83" s="494">
        <f t="shared" ca="1" si="57"/>
        <v>0.17093500374638507</v>
      </c>
      <c r="AA83" s="494">
        <f t="shared" ca="1" si="57"/>
        <v>0.16216910611836532</v>
      </c>
      <c r="AB83" s="494">
        <f ca="1">IF($A83="*","",IFERROR(VLOOKUP($C83,' COM_2017_old'!$B$61:$AJ$120,MATCH(VLOOKUP("*"&amp;$AX83,$A$10:$J$11,$J$9,FALSE)&amp;AB$7,' COM_2017_old'!$B$58:$AJ$58,0),FALSE),""))</f>
        <v>0.15340320849034556</v>
      </c>
      <c r="AC83" s="494">
        <f ca="1">IF($A83="*","",AB83+($AG83-$AB83)/5)</f>
        <v>0.14244583645532088</v>
      </c>
      <c r="AD83" s="494">
        <f t="shared" ca="1" si="58"/>
        <v>0.13148846442029621</v>
      </c>
      <c r="AE83" s="494">
        <f t="shared" ca="1" si="58"/>
        <v>0.12053109238527153</v>
      </c>
      <c r="AF83" s="494">
        <f t="shared" ca="1" si="58"/>
        <v>0.10957372035024684</v>
      </c>
      <c r="AG83" s="494">
        <f ca="1">IF($A83="*","",IFERROR(VLOOKUP($C83,' COM_2017_old'!$B$61:$AJ$120,MATCH(VLOOKUP("*"&amp;$AX83,$A$10:$J$11,$J$9,FALSE)&amp;AG$7,' COM_2017_old'!$B$58:$AJ$58,0),FALSE),""))</f>
        <v>9.8616348315222147E-2</v>
      </c>
      <c r="AH83" s="494">
        <f ca="1">IF($A83="*","",AG83+($AL83-$AG83)/5)</f>
        <v>8.546750187319252E-2</v>
      </c>
      <c r="AI83" s="494">
        <f t="shared" ca="1" si="59"/>
        <v>7.2318655431162893E-2</v>
      </c>
      <c r="AJ83" s="494">
        <f t="shared" ca="1" si="59"/>
        <v>5.9169808989133273E-2</v>
      </c>
      <c r="AK83" s="494">
        <f t="shared" ca="1" si="59"/>
        <v>4.6020962547103653E-2</v>
      </c>
      <c r="AL83" s="494">
        <f ca="1">IF($A83="*","",IFERROR(VLOOKUP($C83,' COM_2017_old'!$B$61:$AJ$120,MATCH(VLOOKUP("*"&amp;$AX83,$A$10:$J$11,$J$9,FALSE)&amp;AL$7,' COM_2017_old'!$B$58:$AJ$58,0),FALSE),""))</f>
        <v>3.2872116105074047E-2</v>
      </c>
      <c r="AM83" s="494">
        <f ca="1">IF($A83="*","",IFERROR(VLOOKUP($C83,' COM_2017_old'!$B$61:$AJ$120,MATCH(VLOOKUP("*"&amp;$AX83,$A$10:$J$11,$J$9,FALSE)&amp;AM$7,' COM_2017_old'!$B$58:$AJ$58,0),FALSE),""))</f>
        <v>1.0957372035024684E-2</v>
      </c>
      <c r="AN83" s="494">
        <f ca="1">IF($A83="*","",IFERROR(VLOOKUP($C83,' COM_2017_old'!$B$61:$AJ$120,MATCH(VLOOKUP("*"&amp;$AX83,$A$10:$J$11,$J$9,FALSE)&amp;AN$7,' COM_2017_old'!$B$58:$AJ$58,0),FALSE),""))</f>
        <v>0</v>
      </c>
      <c r="AO83" s="391" t="str">
        <f ca="1">IFERROR(VLOOKUP($C83,COM_2012!$B$61:$AH$120,MATCH(VLOOKUP("*"&amp;$AX83,$A$10:$J$11,$J$9,FALSE)&amp;AO$7,COM_2012!$B$58:$AH$58,0),FALSE),"")</f>
        <v/>
      </c>
      <c r="AP83" s="391" t="str">
        <f ca="1">IFERROR(VLOOKUP($C83,COM_2012!$B$61:$AH$120,MATCH(VLOOKUP("*"&amp;$AX83,$A$10:$J$11,$J$9,FALSE)&amp;AP$7,COM_2012!$B$58:$AH$58,0),FALSE),"")</f>
        <v/>
      </c>
      <c r="AQ83" s="391" t="str">
        <f ca="1">IFERROR(VLOOKUP($C83,COM_2012!$B$61:$AH$120,MATCH(VLOOKUP("*"&amp;$AX83,$A$10:$J$11,$J$9,FALSE)&amp;AQ$7,COM_2012!$B$58:$AH$58,0),FALSE),"")</f>
        <v/>
      </c>
      <c r="AR83" s="391" t="str">
        <f ca="1">IFERROR(VLOOKUP($C83,COM_2012!$B$61:$AH$120,MATCH(VLOOKUP("*"&amp;$AX83,$A$10:$J$11,$J$9,FALSE)&amp;AR$7,COM_2012!$B$58:$AH$58,0),FALSE),"")</f>
        <v/>
      </c>
      <c r="AS83" s="391" t="str">
        <f ca="1">IFERROR(VLOOKUP($C83,COM_2012!$B$61:$AH$120,MATCH(VLOOKUP("*"&amp;$AX83,$A$10:$J$11,$J$9,FALSE)&amp;AS$7,COM_2012!$B$58:$AH$58,0),FALSE),"")</f>
        <v/>
      </c>
      <c r="AT83" s="391" t="str">
        <f ca="1">IFERROR(VLOOKUP($C83,COM_2012!$B$61:$AH$120,MATCH(VLOOKUP("*"&amp;$AX83,$A$10:$J$11,$J$9,FALSE)&amp;AT$7,COM_2012!$B$58:$AH$58,0),FALSE),"")</f>
        <v/>
      </c>
      <c r="AU83" s="391" t="str">
        <f ca="1">IFERROR(VLOOKUP($C83,COM_2012!$B$61:$AH$120,MATCH(VLOOKUP("*"&amp;$AX83,$A$10:$J$11,$J$9,FALSE)&amp;AU$7,COM_2012!$B$58:$AH$58,0),FALSE),"")</f>
        <v/>
      </c>
      <c r="AV83" s="391" t="str">
        <f ca="1">IFERROR(VLOOKUP($C83,COM_2012!$B$61:$AH$120,MATCH(VLOOKUP("*"&amp;$AX83,$A$10:$J$11,$J$9,FALSE)&amp;AV$7,COM_2012!$B$58:$AH$58,0),FALSE),"")</f>
        <v/>
      </c>
      <c r="AW83" s="391" t="str">
        <f ca="1">IFERROR(VLOOKUP($C83,COM_2012!$B$61:$AH$120,MATCH(VLOOKUP("*"&amp;$AX83,$A$10:$J$11,$J$9,FALSE)&amp;AW$7,COM_2012!$B$58:$AH$58,0),FALSE),"")</f>
        <v/>
      </c>
      <c r="AX83" s="304">
        <f>IF(AY82=COM_2012!$AI$121,AX82+1,AX82)</f>
        <v>2</v>
      </c>
      <c r="AY83" s="304">
        <f t="shared" si="55"/>
        <v>10</v>
      </c>
    </row>
    <row r="84" spans="1:51">
      <c r="A84" s="304" t="str">
        <f ca="1">IF(LEFT(OFFSET(COM_2012!$A$60,AY84,0),2)="\I","*","")</f>
        <v/>
      </c>
      <c r="B84" s="369" t="str">
        <f t="shared" ca="1" si="53"/>
        <v>FLO_MRKPRD</v>
      </c>
      <c r="C84" s="369" t="str">
        <f ca="1">IF($A84="*","",OFFSET(COM_2012!$B$60,AY84,0))</f>
        <v>CEHGAS-E</v>
      </c>
      <c r="D84" s="369" t="str">
        <f t="shared" ca="1" si="54"/>
        <v>CEH</v>
      </c>
      <c r="E84" s="369" t="str">
        <f t="shared" ca="1" si="42"/>
        <v>-</v>
      </c>
      <c r="F84" s="370" t="str">
        <f t="shared" ca="1" si="17"/>
        <v>-</v>
      </c>
      <c r="G84" s="370" t="str">
        <f t="shared" ca="1" si="17"/>
        <v>ANNUAL</v>
      </c>
      <c r="H84" s="370" t="str">
        <f t="shared" ca="1" si="44"/>
        <v>LO</v>
      </c>
      <c r="I84" s="370">
        <f t="shared" ca="1" si="44"/>
        <v>0</v>
      </c>
      <c r="J84" s="494" t="str">
        <f>IF(J$7&lt;2020,"",IF(A84="*","",IFERROR(VLOOKUP($C84,COM_2012!$B$61:$AH$120,MATCH(VLOOKUP("*"&amp;$AX84,$A$10:$J$11,$J$9,FALSE)&amp;J$7,COM_2012!$B$58:$AH$58,0),FALSE),"")))</f>
        <v/>
      </c>
      <c r="K84" s="494" t="str">
        <f>IF(K$7&lt;2020,"",IF(B84="*","",IFERROR(VLOOKUP($C84,COM_2012!$B$61:$AH$120,MATCH(VLOOKUP("*"&amp;$AX84,$A$10:$J$11,$J$9,FALSE)&amp;K$7,COM_2012!$B$58:$AH$58,0),FALSE),"")))</f>
        <v/>
      </c>
      <c r="L84" s="494" t="str">
        <f>IF(L$7&lt;2020,"",IF(C84="*","",IFERROR(VLOOKUP($C84,COM_2012!$B$61:$AH$120,MATCH(VLOOKUP("*"&amp;$AX84,$A$10:$J$11,$J$9,FALSE)&amp;L$7,COM_2012!$B$58:$AH$58,0),FALSE),"")))</f>
        <v/>
      </c>
      <c r="M84" s="494" t="str">
        <f>IF(M$7&lt;2020,"",IF(D84="*","",IFERROR(VLOOKUP($C84,COM_2012!$B$61:$AH$120,MATCH(VLOOKUP("*"&amp;$AX84,$A$10:$J$11,$J$9,FALSE)&amp;M$7,COM_2012!$B$58:$AH$58,0),FALSE),"")))</f>
        <v/>
      </c>
      <c r="N84" s="494" t="str">
        <f ca="1">IFERROR(VLOOKUP($C84,COM_2012!$B$61:$AH$120,MATCH(VLOOKUP("*"&amp;$AX84,$A$10:$J$11,$J$9,FALSE)&amp;N$7,COM_2012!$B$58:$AH$58,0),FALSE),"")</f>
        <v/>
      </c>
      <c r="O84" s="494" t="str">
        <f>IF(O$7&lt;2020,"",IF($A84="*","",IFERROR(VLOOKUP($C84,' COM_2017_old'!$B$61:$AJ$120,MATCH(VLOOKUP("*"&amp;$AX84,$A$10:$J$11,$J$9,FALSE)&amp;O$7,' COM_2017_old'!$B$58:$AJ$58,0),FALSE),"")))</f>
        <v/>
      </c>
      <c r="P84" s="494" t="str">
        <f ca="1">IFERROR(VLOOKUP($C84,COM_2012!$B$61:$AH$120,MATCH(VLOOKUP("*"&amp;$AX84,$A$10:$J$11,$J$9,FALSE)&amp;P$7,COM_2012!$B$58:$AH$58,0),FALSE),"")</f>
        <v/>
      </c>
      <c r="Q84" s="494" t="str">
        <f ca="1">IFERROR(VLOOKUP($C84,COM_2012!$B$61:$AH$120,MATCH(VLOOKUP("*"&amp;$AX84,$A$10:$J$11,$J$9,FALSE)&amp;Q$7,COM_2012!$B$58:$AH$58,0),FALSE),"")</f>
        <v/>
      </c>
      <c r="R84" s="494">
        <f ca="1">IF($A84="*","",IFERROR(VLOOKUP($C84,' COM_2017_old'!$B$61:$AJ$120,MATCH(VLOOKUP("*"&amp;$AX84,$A$10:$J$11,$J$9,FALSE)&amp;R$7,' COM_2017_old'!$B$58:$AJ$58,0),FALSE),""))</f>
        <v>2.0541003761864522E-2</v>
      </c>
      <c r="S84" s="494">
        <f ca="1">IF($A84="*","",R84+($W84-$R84)/5)</f>
        <v>2.0244535666332455E-2</v>
      </c>
      <c r="T84" s="494">
        <f t="shared" ca="1" si="56"/>
        <v>1.9948067570800389E-2</v>
      </c>
      <c r="U84" s="494">
        <f t="shared" ca="1" si="56"/>
        <v>1.9651599475268323E-2</v>
      </c>
      <c r="V84" s="494">
        <f t="shared" ca="1" si="56"/>
        <v>1.9355131379736257E-2</v>
      </c>
      <c r="W84" s="494">
        <f ca="1">IF($A84="*","",IFERROR(VLOOKUP($C84,' COM_2017_old'!$B$61:$AJ$120,MATCH(VLOOKUP("*"&amp;$AX84,$A$10:$J$11,$J$9,FALSE)&amp;W$7,' COM_2017_old'!$B$58:$AJ$58,0),FALSE),""))</f>
        <v>1.9058663284204195E-2</v>
      </c>
      <c r="X84" s="494">
        <f ca="1">IF($A84="*","",W84+($AB84-$W84)/5)</f>
        <v>1.8211611582684008E-2</v>
      </c>
      <c r="Y84" s="494">
        <f t="shared" ca="1" si="57"/>
        <v>1.7364559881163821E-2</v>
      </c>
      <c r="Z84" s="494">
        <f t="shared" ca="1" si="57"/>
        <v>1.6517508179643633E-2</v>
      </c>
      <c r="AA84" s="494">
        <f t="shared" ca="1" si="57"/>
        <v>1.5670456478123446E-2</v>
      </c>
      <c r="AB84" s="494">
        <f ca="1">IF($A84="*","",IFERROR(VLOOKUP($C84,' COM_2017_old'!$B$61:$AJ$120,MATCH(VLOOKUP("*"&amp;$AX84,$A$10:$J$11,$J$9,FALSE)&amp;AB$7,' COM_2017_old'!$B$58:$AJ$58,0),FALSE),""))</f>
        <v>1.4823404776603261E-2</v>
      </c>
      <c r="AC84" s="494">
        <f ca="1">IF($A84="*","",AB84+($AG84-$AB84)/5)</f>
        <v>1.3764590149703028E-2</v>
      </c>
      <c r="AD84" s="494">
        <f t="shared" ca="1" si="58"/>
        <v>1.2705775522802795E-2</v>
      </c>
      <c r="AE84" s="494">
        <f t="shared" ca="1" si="58"/>
        <v>1.1646960895902562E-2</v>
      </c>
      <c r="AF84" s="494">
        <f t="shared" ca="1" si="58"/>
        <v>1.0588146269002329E-2</v>
      </c>
      <c r="AG84" s="494">
        <f ca="1">IF($A84="*","",IFERROR(VLOOKUP($C84,' COM_2017_old'!$B$61:$AJ$120,MATCH(VLOOKUP("*"&amp;$AX84,$A$10:$J$11,$J$9,FALSE)&amp;AG$7,' COM_2017_old'!$B$58:$AJ$58,0),FALSE),""))</f>
        <v>9.5293316421020974E-3</v>
      </c>
      <c r="AH84" s="494">
        <f ca="1">IF($A84="*","",AG84+($AL84-$AG84)/5)</f>
        <v>8.2587540898218185E-3</v>
      </c>
      <c r="AI84" s="494">
        <f t="shared" ca="1" si="59"/>
        <v>6.9881765375415386E-3</v>
      </c>
      <c r="AJ84" s="494">
        <f t="shared" ca="1" si="59"/>
        <v>5.7175989852612588E-3</v>
      </c>
      <c r="AK84" s="494">
        <f t="shared" ca="1" si="59"/>
        <v>4.447021432980979E-3</v>
      </c>
      <c r="AL84" s="494">
        <f ca="1">IF($A84="*","",IFERROR(VLOOKUP($C84,' COM_2017_old'!$B$61:$AJ$120,MATCH(VLOOKUP("*"&amp;$AX84,$A$10:$J$11,$J$9,FALSE)&amp;AL$7,' COM_2017_old'!$B$58:$AJ$58,0),FALSE),""))</f>
        <v>3.1764438807006991E-3</v>
      </c>
      <c r="AM84" s="494">
        <f ca="1">IF($A84="*","",IFERROR(VLOOKUP($C84,' COM_2017_old'!$B$61:$AJ$120,MATCH(VLOOKUP("*"&amp;$AX84,$A$10:$J$11,$J$9,FALSE)&amp;AM$7,' COM_2017_old'!$B$58:$AJ$58,0),FALSE),""))</f>
        <v>1.058814626900233E-3</v>
      </c>
      <c r="AN84" s="494">
        <f ca="1">IF($A84="*","",IFERROR(VLOOKUP($C84,' COM_2017_old'!$B$61:$AJ$120,MATCH(VLOOKUP("*"&amp;$AX84,$A$10:$J$11,$J$9,FALSE)&amp;AN$7,' COM_2017_old'!$B$58:$AJ$58,0),FALSE),""))</f>
        <v>0</v>
      </c>
      <c r="AO84" s="391" t="str">
        <f ca="1">IFERROR(VLOOKUP($C84,COM_2012!$B$61:$AH$120,MATCH(VLOOKUP("*"&amp;$AX84,$A$10:$J$11,$J$9,FALSE)&amp;AO$7,COM_2012!$B$58:$AH$58,0),FALSE),"")</f>
        <v/>
      </c>
      <c r="AP84" s="391" t="str">
        <f ca="1">IFERROR(VLOOKUP($C84,COM_2012!$B$61:$AH$120,MATCH(VLOOKUP("*"&amp;$AX84,$A$10:$J$11,$J$9,FALSE)&amp;AP$7,COM_2012!$B$58:$AH$58,0),FALSE),"")</f>
        <v/>
      </c>
      <c r="AQ84" s="391" t="str">
        <f ca="1">IFERROR(VLOOKUP($C84,COM_2012!$B$61:$AH$120,MATCH(VLOOKUP("*"&amp;$AX84,$A$10:$J$11,$J$9,FALSE)&amp;AQ$7,COM_2012!$B$58:$AH$58,0),FALSE),"")</f>
        <v/>
      </c>
      <c r="AR84" s="391" t="str">
        <f ca="1">IFERROR(VLOOKUP($C84,COM_2012!$B$61:$AH$120,MATCH(VLOOKUP("*"&amp;$AX84,$A$10:$J$11,$J$9,FALSE)&amp;AR$7,COM_2012!$B$58:$AH$58,0),FALSE),"")</f>
        <v/>
      </c>
      <c r="AS84" s="391" t="str">
        <f ca="1">IFERROR(VLOOKUP($C84,COM_2012!$B$61:$AH$120,MATCH(VLOOKUP("*"&amp;$AX84,$A$10:$J$11,$J$9,FALSE)&amp;AS$7,COM_2012!$B$58:$AH$58,0),FALSE),"")</f>
        <v/>
      </c>
      <c r="AT84" s="391" t="str">
        <f ca="1">IFERROR(VLOOKUP($C84,COM_2012!$B$61:$AH$120,MATCH(VLOOKUP("*"&amp;$AX84,$A$10:$J$11,$J$9,FALSE)&amp;AT$7,COM_2012!$B$58:$AH$58,0),FALSE),"")</f>
        <v/>
      </c>
      <c r="AU84" s="391" t="str">
        <f ca="1">IFERROR(VLOOKUP($C84,COM_2012!$B$61:$AH$120,MATCH(VLOOKUP("*"&amp;$AX84,$A$10:$J$11,$J$9,FALSE)&amp;AU$7,COM_2012!$B$58:$AH$58,0),FALSE),"")</f>
        <v/>
      </c>
      <c r="AV84" s="391" t="str">
        <f ca="1">IFERROR(VLOOKUP($C84,COM_2012!$B$61:$AH$120,MATCH(VLOOKUP("*"&amp;$AX84,$A$10:$J$11,$J$9,FALSE)&amp;AV$7,COM_2012!$B$58:$AH$58,0),FALSE),"")</f>
        <v/>
      </c>
      <c r="AW84" s="391" t="str">
        <f ca="1">IFERROR(VLOOKUP($C84,COM_2012!$B$61:$AH$120,MATCH(VLOOKUP("*"&amp;$AX84,$A$10:$J$11,$J$9,FALSE)&amp;AW$7,COM_2012!$B$58:$AH$58,0),FALSE),"")</f>
        <v/>
      </c>
      <c r="AX84" s="304">
        <f>IF(AY83=COM_2012!$AI$121,AX83+1,AX83)</f>
        <v>2</v>
      </c>
      <c r="AY84" s="304">
        <f t="shared" si="55"/>
        <v>11</v>
      </c>
    </row>
    <row r="85" spans="1:51">
      <c r="A85" s="304" t="str">
        <f ca="1">IF(LEFT(OFFSET(COM_2012!$A$60,AY85,0),2)="\I","*","")</f>
        <v/>
      </c>
      <c r="B85" s="369" t="str">
        <f t="shared" ca="1" si="53"/>
        <v>FLO_MRKPRD</v>
      </c>
      <c r="C85" s="369" t="str">
        <f ca="1">IF($A85="*","",OFFSET(COM_2012!$B$60,AY85,0))</f>
        <v>CEHELC-N</v>
      </c>
      <c r="D85" s="369" t="str">
        <f t="shared" ca="1" si="54"/>
        <v>CEH</v>
      </c>
      <c r="E85" s="369" t="str">
        <f t="shared" ca="1" si="42"/>
        <v>-</v>
      </c>
      <c r="F85" s="370" t="str">
        <f t="shared" ca="1" si="17"/>
        <v>-</v>
      </c>
      <c r="G85" s="370" t="str">
        <f t="shared" ca="1" si="17"/>
        <v>ANNUAL</v>
      </c>
      <c r="H85" s="370" t="str">
        <f t="shared" ca="1" si="44"/>
        <v>LO</v>
      </c>
      <c r="I85" s="370">
        <f t="shared" ca="1" si="44"/>
        <v>0</v>
      </c>
      <c r="J85" s="494" t="str">
        <f>IF(J$7&lt;2020,"",IF(A85="*","",IFERROR(VLOOKUP($C85,COM_2012!$B$61:$AH$120,MATCH(VLOOKUP("*"&amp;$AX85,$A$10:$J$11,$J$9,FALSE)&amp;J$7,COM_2012!$B$58:$AH$58,0),FALSE),"")))</f>
        <v/>
      </c>
      <c r="K85" s="494" t="str">
        <f>IF(K$7&lt;2020,"",IF(B85="*","",IFERROR(VLOOKUP($C85,COM_2012!$B$61:$AH$120,MATCH(VLOOKUP("*"&amp;$AX85,$A$10:$J$11,$J$9,FALSE)&amp;K$7,COM_2012!$B$58:$AH$58,0),FALSE),"")))</f>
        <v/>
      </c>
      <c r="L85" s="494" t="str">
        <f>IF(L$7&lt;2020,"",IF(C85="*","",IFERROR(VLOOKUP($C85,COM_2012!$B$61:$AH$120,MATCH(VLOOKUP("*"&amp;$AX85,$A$10:$J$11,$J$9,FALSE)&amp;L$7,COM_2012!$B$58:$AH$58,0),FALSE),"")))</f>
        <v/>
      </c>
      <c r="M85" s="494" t="str">
        <f>IF(M$7&lt;2020,"",IF(D85="*","",IFERROR(VLOOKUP($C85,COM_2012!$B$61:$AH$120,MATCH(VLOOKUP("*"&amp;$AX85,$A$10:$J$11,$J$9,FALSE)&amp;M$7,COM_2012!$B$58:$AH$58,0),FALSE),"")))</f>
        <v/>
      </c>
      <c r="N85" s="494" t="str">
        <f ca="1">IFERROR(VLOOKUP($C85,COM_2012!$B$61:$AH$120,MATCH(VLOOKUP("*"&amp;$AX85,$A$10:$J$11,$J$9,FALSE)&amp;N$7,COM_2012!$B$58:$AH$58,0),FALSE),"")</f>
        <v/>
      </c>
      <c r="O85" s="494" t="str">
        <f>IF(O$7&lt;2020,"",IF($A85="*","",IFERROR(VLOOKUP($C85,' COM_2017_old'!$B$61:$AJ$120,MATCH(VLOOKUP("*"&amp;$AX85,$A$10:$J$11,$J$9,FALSE)&amp;O$7,' COM_2017_old'!$B$58:$AJ$58,0),FALSE),"")))</f>
        <v/>
      </c>
      <c r="P85" s="494" t="str">
        <f ca="1">IFERROR(VLOOKUP($C85,COM_2012!$B$61:$AH$120,MATCH(VLOOKUP("*"&amp;$AX85,$A$10:$J$11,$J$9,FALSE)&amp;P$7,COM_2012!$B$58:$AH$58,0),FALSE),"")</f>
        <v/>
      </c>
      <c r="Q85" s="494" t="str">
        <f ca="1">IFERROR(VLOOKUP($C85,COM_2012!$B$61:$AH$120,MATCH(VLOOKUP("*"&amp;$AX85,$A$10:$J$11,$J$9,FALSE)&amp;Q$7,COM_2012!$B$58:$AH$58,0),FALSE),"")</f>
        <v/>
      </c>
      <c r="R85" s="494">
        <f ca="1">IF($A85="*","",IFERROR(VLOOKUP($C85,' COM_2017_old'!$B$61:$AJ$120,MATCH(VLOOKUP("*"&amp;$AX85,$A$10:$J$11,$J$9,FALSE)&amp;R$7,' COM_2017_old'!$B$58:$AJ$58,0),FALSE),""))</f>
        <v>0</v>
      </c>
      <c r="S85" s="494">
        <f ca="1">IF($A85="*","",R85+($W85-$R85)/5)</f>
        <v>0</v>
      </c>
      <c r="T85" s="494">
        <f t="shared" ca="1" si="56"/>
        <v>0</v>
      </c>
      <c r="U85" s="494">
        <f t="shared" ca="1" si="56"/>
        <v>0</v>
      </c>
      <c r="V85" s="494">
        <f t="shared" ca="1" si="56"/>
        <v>0</v>
      </c>
      <c r="W85" s="494">
        <f ca="1">IF($A85="*","",IFERROR(VLOOKUP($C85,' COM_2017_old'!$B$61:$AJ$120,MATCH(VLOOKUP("*"&amp;$AX85,$A$10:$J$11,$J$9,FALSE)&amp;W$7,' COM_2017_old'!$B$58:$AJ$58,0),FALSE),""))</f>
        <v>0</v>
      </c>
      <c r="X85" s="494">
        <f ca="1">IF($A85="*","",W85+($AB85-$W85)/5)</f>
        <v>0</v>
      </c>
      <c r="Y85" s="494">
        <f t="shared" ca="1" si="57"/>
        <v>0</v>
      </c>
      <c r="Z85" s="494">
        <f t="shared" ca="1" si="57"/>
        <v>0</v>
      </c>
      <c r="AA85" s="494">
        <f t="shared" ca="1" si="57"/>
        <v>0</v>
      </c>
      <c r="AB85" s="494">
        <f ca="1">IF($A85="*","",IFERROR(VLOOKUP($C85,' COM_2017_old'!$B$61:$AJ$120,MATCH(VLOOKUP("*"&amp;$AX85,$A$10:$J$11,$J$9,FALSE)&amp;AB$7,' COM_2017_old'!$B$58:$AJ$58,0),FALSE),""))</f>
        <v>0</v>
      </c>
      <c r="AC85" s="494">
        <f ca="1">IF($A85="*","",AB85+($AG85-$AB85)/5)</f>
        <v>0</v>
      </c>
      <c r="AD85" s="494">
        <f t="shared" ca="1" si="58"/>
        <v>0</v>
      </c>
      <c r="AE85" s="494">
        <f t="shared" ca="1" si="58"/>
        <v>0</v>
      </c>
      <c r="AF85" s="494">
        <f t="shared" ca="1" si="58"/>
        <v>0</v>
      </c>
      <c r="AG85" s="494">
        <f ca="1">IF($A85="*","",IFERROR(VLOOKUP($C85,' COM_2017_old'!$B$61:$AJ$120,MATCH(VLOOKUP("*"&amp;$AX85,$A$10:$J$11,$J$9,FALSE)&amp;AG$7,' COM_2017_old'!$B$58:$AJ$58,0),FALSE),""))</f>
        <v>0</v>
      </c>
      <c r="AH85" s="494">
        <f ca="1">IF($A85="*","",AG85+($AL85-$AG85)/5)</f>
        <v>0</v>
      </c>
      <c r="AI85" s="494">
        <f t="shared" ca="1" si="59"/>
        <v>0</v>
      </c>
      <c r="AJ85" s="494">
        <f t="shared" ca="1" si="59"/>
        <v>0</v>
      </c>
      <c r="AK85" s="494">
        <f t="shared" ca="1" si="59"/>
        <v>0</v>
      </c>
      <c r="AL85" s="494">
        <f ca="1">IF($A85="*","",IFERROR(VLOOKUP($C85,' COM_2017_old'!$B$61:$AJ$120,MATCH(VLOOKUP("*"&amp;$AX85,$A$10:$J$11,$J$9,FALSE)&amp;AL$7,' COM_2017_old'!$B$58:$AJ$58,0),FALSE),""))</f>
        <v>0</v>
      </c>
      <c r="AM85" s="494">
        <f ca="1">IF($A85="*","",IFERROR(VLOOKUP($C85,' COM_2017_old'!$B$61:$AJ$120,MATCH(VLOOKUP("*"&amp;$AX85,$A$10:$J$11,$J$9,FALSE)&amp;AM$7,' COM_2017_old'!$B$58:$AJ$58,0),FALSE),""))</f>
        <v>0</v>
      </c>
      <c r="AN85" s="494">
        <f ca="1">IF($A85="*","",IFERROR(VLOOKUP($C85,' COM_2017_old'!$B$61:$AJ$120,MATCH(VLOOKUP("*"&amp;$AX85,$A$10:$J$11,$J$9,FALSE)&amp;AN$7,' COM_2017_old'!$B$58:$AJ$58,0),FALSE),""))</f>
        <v>0</v>
      </c>
      <c r="AO85" s="391" t="str">
        <f ca="1">IFERROR(VLOOKUP($C85,COM_2012!$B$61:$AH$120,MATCH(VLOOKUP("*"&amp;$AX85,$A$10:$J$11,$J$9,FALSE)&amp;AO$7,COM_2012!$B$58:$AH$58,0),FALSE),"")</f>
        <v/>
      </c>
      <c r="AP85" s="391" t="str">
        <f ca="1">IFERROR(VLOOKUP($C85,COM_2012!$B$61:$AH$120,MATCH(VLOOKUP("*"&amp;$AX85,$A$10:$J$11,$J$9,FALSE)&amp;AP$7,COM_2012!$B$58:$AH$58,0),FALSE),"")</f>
        <v/>
      </c>
      <c r="AQ85" s="391" t="str">
        <f ca="1">IFERROR(VLOOKUP($C85,COM_2012!$B$61:$AH$120,MATCH(VLOOKUP("*"&amp;$AX85,$A$10:$J$11,$J$9,FALSE)&amp;AQ$7,COM_2012!$B$58:$AH$58,0),FALSE),"")</f>
        <v/>
      </c>
      <c r="AR85" s="391" t="str">
        <f ca="1">IFERROR(VLOOKUP($C85,COM_2012!$B$61:$AH$120,MATCH(VLOOKUP("*"&amp;$AX85,$A$10:$J$11,$J$9,FALSE)&amp;AR$7,COM_2012!$B$58:$AH$58,0),FALSE),"")</f>
        <v/>
      </c>
      <c r="AS85" s="391" t="str">
        <f ca="1">IFERROR(VLOOKUP($C85,COM_2012!$B$61:$AH$120,MATCH(VLOOKUP("*"&amp;$AX85,$A$10:$J$11,$J$9,FALSE)&amp;AS$7,COM_2012!$B$58:$AH$58,0),FALSE),"")</f>
        <v/>
      </c>
      <c r="AT85" s="391" t="str">
        <f ca="1">IFERROR(VLOOKUP($C85,COM_2012!$B$61:$AH$120,MATCH(VLOOKUP("*"&amp;$AX85,$A$10:$J$11,$J$9,FALSE)&amp;AT$7,COM_2012!$B$58:$AH$58,0),FALSE),"")</f>
        <v/>
      </c>
      <c r="AU85" s="391" t="str">
        <f ca="1">IFERROR(VLOOKUP($C85,COM_2012!$B$61:$AH$120,MATCH(VLOOKUP("*"&amp;$AX85,$A$10:$J$11,$J$9,FALSE)&amp;AU$7,COM_2012!$B$58:$AH$58,0),FALSE),"")</f>
        <v/>
      </c>
      <c r="AV85" s="391" t="str">
        <f ca="1">IFERROR(VLOOKUP($C85,COM_2012!$B$61:$AH$120,MATCH(VLOOKUP("*"&amp;$AX85,$A$10:$J$11,$J$9,FALSE)&amp;AV$7,COM_2012!$B$58:$AH$58,0),FALSE),"")</f>
        <v/>
      </c>
      <c r="AW85" s="391" t="str">
        <f ca="1">IFERROR(VLOOKUP($C85,COM_2012!$B$61:$AH$120,MATCH(VLOOKUP("*"&amp;$AX85,$A$10:$J$11,$J$9,FALSE)&amp;AW$7,COM_2012!$B$58:$AH$58,0),FALSE),"")</f>
        <v/>
      </c>
      <c r="AX85" s="304">
        <f>IF(AY84=COM_2012!$AI$121,AX84+1,AX84)</f>
        <v>2</v>
      </c>
      <c r="AY85" s="304">
        <f t="shared" si="55"/>
        <v>12</v>
      </c>
    </row>
    <row r="86" spans="1:51">
      <c r="A86" s="304" t="str">
        <f ca="1">IF(LEFT(OFFSET(COM_2012!$A$60,AY86,0),2)="\I","*","")</f>
        <v/>
      </c>
      <c r="B86" s="369" t="str">
        <f t="shared" ca="1" si="53"/>
        <v>FLO_MRKPRD</v>
      </c>
      <c r="C86" s="369" t="str">
        <f ca="1">IF($A86="*","",OFFSET(COM_2012!$B$60,AY86,0))</f>
        <v>CEHGAS-N</v>
      </c>
      <c r="D86" s="369" t="str">
        <f t="shared" ca="1" si="54"/>
        <v>CEH</v>
      </c>
      <c r="E86" s="369" t="str">
        <f t="shared" ca="1" si="42"/>
        <v>-</v>
      </c>
      <c r="F86" s="370" t="str">
        <f t="shared" ca="1" si="17"/>
        <v>-</v>
      </c>
      <c r="G86" s="370" t="str">
        <f t="shared" ca="1" si="17"/>
        <v>ANNUAL</v>
      </c>
      <c r="H86" s="370" t="str">
        <f t="shared" ca="1" si="44"/>
        <v>LO</v>
      </c>
      <c r="I86" s="370">
        <f t="shared" ca="1" si="44"/>
        <v>0</v>
      </c>
      <c r="J86" s="494" t="str">
        <f>IF(J$7&lt;2020,"",IF(A86="*","",IFERROR(VLOOKUP($C86,COM_2012!$B$61:$AH$120,MATCH(VLOOKUP("*"&amp;$AX86,$A$10:$J$11,$J$9,FALSE)&amp;J$7,COM_2012!$B$58:$AH$58,0),FALSE),"")))</f>
        <v/>
      </c>
      <c r="K86" s="494" t="str">
        <f>IF(K$7&lt;2020,"",IF(B86="*","",IFERROR(VLOOKUP($C86,COM_2012!$B$61:$AH$120,MATCH(VLOOKUP("*"&amp;$AX86,$A$10:$J$11,$J$9,FALSE)&amp;K$7,COM_2012!$B$58:$AH$58,0),FALSE),"")))</f>
        <v/>
      </c>
      <c r="L86" s="494" t="str">
        <f>IF(L$7&lt;2020,"",IF(C86="*","",IFERROR(VLOOKUP($C86,COM_2012!$B$61:$AH$120,MATCH(VLOOKUP("*"&amp;$AX86,$A$10:$J$11,$J$9,FALSE)&amp;L$7,COM_2012!$B$58:$AH$58,0),FALSE),"")))</f>
        <v/>
      </c>
      <c r="M86" s="494" t="str">
        <f>IF(M$7&lt;2020,"",IF(D86="*","",IFERROR(VLOOKUP($C86,COM_2012!$B$61:$AH$120,MATCH(VLOOKUP("*"&amp;$AX86,$A$10:$J$11,$J$9,FALSE)&amp;M$7,COM_2012!$B$58:$AH$58,0),FALSE),"")))</f>
        <v/>
      </c>
      <c r="N86" s="494" t="str">
        <f ca="1">IFERROR(VLOOKUP($C86,COM_2012!$B$61:$AH$120,MATCH(VLOOKUP("*"&amp;$AX86,$A$10:$J$11,$J$9,FALSE)&amp;N$7,COM_2012!$B$58:$AH$58,0),FALSE),"")</f>
        <v/>
      </c>
      <c r="O86" s="494" t="str">
        <f>IF(O$7&lt;2020,"",IF($A86="*","",IFERROR(VLOOKUP($C86,' COM_2017_old'!$B$61:$AJ$120,MATCH(VLOOKUP("*"&amp;$AX86,$A$10:$J$11,$J$9,FALSE)&amp;O$7,' COM_2017_old'!$B$58:$AJ$58,0),FALSE),"")))</f>
        <v/>
      </c>
      <c r="P86" s="494" t="str">
        <f ca="1">IFERROR(VLOOKUP($C86,COM_2012!$B$61:$AH$120,MATCH(VLOOKUP("*"&amp;$AX86,$A$10:$J$11,$J$9,FALSE)&amp;P$7,COM_2012!$B$58:$AH$58,0),FALSE),"")</f>
        <v/>
      </c>
      <c r="Q86" s="494" t="str">
        <f ca="1">IFERROR(VLOOKUP($C86,COM_2012!$B$61:$AH$120,MATCH(VLOOKUP("*"&amp;$AX86,$A$10:$J$11,$J$9,FALSE)&amp;Q$7,COM_2012!$B$58:$AH$58,0),FALSE),"")</f>
        <v/>
      </c>
      <c r="R86" s="494">
        <f ca="1">IF($A86="*","",IFERROR(VLOOKUP($C86,' COM_2017_old'!$B$61:$AJ$120,MATCH(VLOOKUP("*"&amp;$AX86,$A$10:$J$11,$J$9,FALSE)&amp;R$7,' COM_2017_old'!$B$58:$AJ$58,0),FALSE),""))</f>
        <v>0</v>
      </c>
      <c r="S86" s="494">
        <f ca="1">IF($A86="*","",R86+($W86-$R86)/5)</f>
        <v>0</v>
      </c>
      <c r="T86" s="494">
        <f t="shared" ca="1" si="56"/>
        <v>0</v>
      </c>
      <c r="U86" s="494">
        <f t="shared" ca="1" si="56"/>
        <v>0</v>
      </c>
      <c r="V86" s="494">
        <f t="shared" ca="1" si="56"/>
        <v>0</v>
      </c>
      <c r="W86" s="494">
        <f ca="1">IF($A86="*","",IFERROR(VLOOKUP($C86,' COM_2017_old'!$B$61:$AJ$120,MATCH(VLOOKUP("*"&amp;$AX86,$A$10:$J$11,$J$9,FALSE)&amp;W$7,' COM_2017_old'!$B$58:$AJ$58,0),FALSE),""))</f>
        <v>0</v>
      </c>
      <c r="X86" s="494">
        <f ca="1">IF($A86="*","",W86+($AB86-$W86)/5)</f>
        <v>0</v>
      </c>
      <c r="Y86" s="494">
        <f t="shared" ca="1" si="57"/>
        <v>0</v>
      </c>
      <c r="Z86" s="494">
        <f t="shared" ca="1" si="57"/>
        <v>0</v>
      </c>
      <c r="AA86" s="494">
        <f t="shared" ca="1" si="57"/>
        <v>0</v>
      </c>
      <c r="AB86" s="494">
        <f ca="1">IF($A86="*","",IFERROR(VLOOKUP($C86,' COM_2017_old'!$B$61:$AJ$120,MATCH(VLOOKUP("*"&amp;$AX86,$A$10:$J$11,$J$9,FALSE)&amp;AB$7,' COM_2017_old'!$B$58:$AJ$58,0),FALSE),""))</f>
        <v>0</v>
      </c>
      <c r="AC86" s="494">
        <f ca="1">IF($A86="*","",AB86+($AG86-$AB86)/5)</f>
        <v>0</v>
      </c>
      <c r="AD86" s="494">
        <f t="shared" ca="1" si="58"/>
        <v>0</v>
      </c>
      <c r="AE86" s="494">
        <f t="shared" ca="1" si="58"/>
        <v>0</v>
      </c>
      <c r="AF86" s="494">
        <f t="shared" ca="1" si="58"/>
        <v>0</v>
      </c>
      <c r="AG86" s="494">
        <f ca="1">IF($A86="*","",IFERROR(VLOOKUP($C86,' COM_2017_old'!$B$61:$AJ$120,MATCH(VLOOKUP("*"&amp;$AX86,$A$10:$J$11,$J$9,FALSE)&amp;AG$7,' COM_2017_old'!$B$58:$AJ$58,0),FALSE),""))</f>
        <v>0</v>
      </c>
      <c r="AH86" s="494">
        <f ca="1">IF($A86="*","",AG86+($AL86-$AG86)/5)</f>
        <v>0</v>
      </c>
      <c r="AI86" s="494">
        <f t="shared" ca="1" si="59"/>
        <v>0</v>
      </c>
      <c r="AJ86" s="494">
        <f t="shared" ca="1" si="59"/>
        <v>0</v>
      </c>
      <c r="AK86" s="494">
        <f t="shared" ca="1" si="59"/>
        <v>0</v>
      </c>
      <c r="AL86" s="494">
        <f ca="1">IF($A86="*","",IFERROR(VLOOKUP($C86,' COM_2017_old'!$B$61:$AJ$120,MATCH(VLOOKUP("*"&amp;$AX86,$A$10:$J$11,$J$9,FALSE)&amp;AL$7,' COM_2017_old'!$B$58:$AJ$58,0),FALSE),""))</f>
        <v>0</v>
      </c>
      <c r="AM86" s="494">
        <f ca="1">IF($A86="*","",IFERROR(VLOOKUP($C86,' COM_2017_old'!$B$61:$AJ$120,MATCH(VLOOKUP("*"&amp;$AX86,$A$10:$J$11,$J$9,FALSE)&amp;AM$7,' COM_2017_old'!$B$58:$AJ$58,0),FALSE),""))</f>
        <v>0</v>
      </c>
      <c r="AN86" s="494">
        <f ca="1">IF($A86="*","",IFERROR(VLOOKUP($C86,' COM_2017_old'!$B$61:$AJ$120,MATCH(VLOOKUP("*"&amp;$AX86,$A$10:$J$11,$J$9,FALSE)&amp;AN$7,' COM_2017_old'!$B$58:$AJ$58,0),FALSE),""))</f>
        <v>0</v>
      </c>
      <c r="AO86" s="391" t="str">
        <f ca="1">IFERROR(VLOOKUP($C86,COM_2012!$B$61:$AH$120,MATCH(VLOOKUP("*"&amp;$AX86,$A$10:$J$11,$J$9,FALSE)&amp;AO$7,COM_2012!$B$58:$AH$58,0),FALSE),"")</f>
        <v/>
      </c>
      <c r="AP86" s="391" t="str">
        <f ca="1">IFERROR(VLOOKUP($C86,COM_2012!$B$61:$AH$120,MATCH(VLOOKUP("*"&amp;$AX86,$A$10:$J$11,$J$9,FALSE)&amp;AP$7,COM_2012!$B$58:$AH$58,0),FALSE),"")</f>
        <v/>
      </c>
      <c r="AQ86" s="391" t="str">
        <f ca="1">IFERROR(VLOOKUP($C86,COM_2012!$B$61:$AH$120,MATCH(VLOOKUP("*"&amp;$AX86,$A$10:$J$11,$J$9,FALSE)&amp;AQ$7,COM_2012!$B$58:$AH$58,0),FALSE),"")</f>
        <v/>
      </c>
      <c r="AR86" s="391" t="str">
        <f ca="1">IFERROR(VLOOKUP($C86,COM_2012!$B$61:$AH$120,MATCH(VLOOKUP("*"&amp;$AX86,$A$10:$J$11,$J$9,FALSE)&amp;AR$7,COM_2012!$B$58:$AH$58,0),FALSE),"")</f>
        <v/>
      </c>
      <c r="AS86" s="391" t="str">
        <f ca="1">IFERROR(VLOOKUP($C86,COM_2012!$B$61:$AH$120,MATCH(VLOOKUP("*"&amp;$AX86,$A$10:$J$11,$J$9,FALSE)&amp;AS$7,COM_2012!$B$58:$AH$58,0),FALSE),"")</f>
        <v/>
      </c>
      <c r="AT86" s="391" t="str">
        <f ca="1">IFERROR(VLOOKUP($C86,COM_2012!$B$61:$AH$120,MATCH(VLOOKUP("*"&amp;$AX86,$A$10:$J$11,$J$9,FALSE)&amp;AT$7,COM_2012!$B$58:$AH$58,0),FALSE),"")</f>
        <v/>
      </c>
      <c r="AU86" s="391" t="str">
        <f ca="1">IFERROR(VLOOKUP($C86,COM_2012!$B$61:$AH$120,MATCH(VLOOKUP("*"&amp;$AX86,$A$10:$J$11,$J$9,FALSE)&amp;AU$7,COM_2012!$B$58:$AH$58,0),FALSE),"")</f>
        <v/>
      </c>
      <c r="AV86" s="391" t="str">
        <f ca="1">IFERROR(VLOOKUP($C86,COM_2012!$B$61:$AH$120,MATCH(VLOOKUP("*"&amp;$AX86,$A$10:$J$11,$J$9,FALSE)&amp;AV$7,COM_2012!$B$58:$AH$58,0),FALSE),"")</f>
        <v/>
      </c>
      <c r="AW86" s="391" t="str">
        <f ca="1">IFERROR(VLOOKUP($C86,COM_2012!$B$61:$AH$120,MATCH(VLOOKUP("*"&amp;$AX86,$A$10:$J$11,$J$9,FALSE)&amp;AW$7,COM_2012!$B$58:$AH$58,0),FALSE),"")</f>
        <v/>
      </c>
      <c r="AX86" s="304">
        <f>IF(AY85=COM_2012!$AI$121,AX85+1,AX85)</f>
        <v>2</v>
      </c>
      <c r="AY86" s="304">
        <f t="shared" si="55"/>
        <v>13</v>
      </c>
    </row>
    <row r="87" spans="1:51">
      <c r="A87" s="304" t="str">
        <f ca="1">IF(LEFT(OFFSET(COM_2012!$A$60,AY87,0),2)="\I","*","")</f>
        <v>*</v>
      </c>
      <c r="B87" s="369" t="str">
        <f t="shared" ca="1" si="53"/>
        <v/>
      </c>
      <c r="C87" s="369" t="str">
        <f ca="1">IF($A87="*","",OFFSET(COM_2012!$B$60,AY87,0))</f>
        <v/>
      </c>
      <c r="D87" s="369" t="str">
        <f t="shared" ca="1" si="54"/>
        <v/>
      </c>
      <c r="E87" s="369" t="str">
        <f t="shared" ca="1" si="42"/>
        <v/>
      </c>
      <c r="F87" s="370" t="str">
        <f t="shared" ca="1" si="17"/>
        <v/>
      </c>
      <c r="G87" s="370" t="str">
        <f t="shared" ca="1" si="17"/>
        <v/>
      </c>
      <c r="H87" s="370" t="str">
        <f t="shared" ca="1" si="44"/>
        <v/>
      </c>
      <c r="I87" s="370" t="str">
        <f t="shared" ca="1" si="44"/>
        <v/>
      </c>
      <c r="J87" s="494" t="str">
        <f>IF(J$7&lt;2020,"",IF(A87="*","",IFERROR(VLOOKUP($C87,COM_2012!$B$61:$AH$120,MATCH(VLOOKUP("*"&amp;$AX87,$A$10:$J$11,$J$9,FALSE)&amp;J$7,COM_2012!$B$58:$AH$58,0),FALSE),"")))</f>
        <v/>
      </c>
      <c r="K87" s="494" t="str">
        <f>IF(K$7&lt;2020,"",IF(B87="*","",IFERROR(VLOOKUP($C87,COM_2012!$B$61:$AH$120,MATCH(VLOOKUP("*"&amp;$AX87,$A$10:$J$11,$J$9,FALSE)&amp;K$7,COM_2012!$B$58:$AH$58,0),FALSE),"")))</f>
        <v/>
      </c>
      <c r="L87" s="494" t="str">
        <f>IF(L$7&lt;2020,"",IF(C87="*","",IFERROR(VLOOKUP($C87,COM_2012!$B$61:$AH$120,MATCH(VLOOKUP("*"&amp;$AX87,$A$10:$J$11,$J$9,FALSE)&amp;L$7,COM_2012!$B$58:$AH$58,0),FALSE),"")))</f>
        <v/>
      </c>
      <c r="M87" s="494" t="str">
        <f>IF(M$7&lt;2020,"",IF(D87="*","",IFERROR(VLOOKUP($C87,COM_2012!$B$61:$AH$120,MATCH(VLOOKUP("*"&amp;$AX87,$A$10:$J$11,$J$9,FALSE)&amp;M$7,COM_2012!$B$58:$AH$58,0),FALSE),"")))</f>
        <v/>
      </c>
      <c r="N87" s="494" t="str">
        <f ca="1">IFERROR(VLOOKUP($C87,COM_2012!$B$61:$AH$120,MATCH(VLOOKUP("*"&amp;$AX87,$A$10:$J$11,$J$9,FALSE)&amp;N$7,COM_2012!$B$58:$AH$58,0),FALSE),"")</f>
        <v/>
      </c>
      <c r="O87" s="494" t="str">
        <f>IF(O$7&lt;2020,"",IF($A87="*","",IFERROR(VLOOKUP($C87,' COM_2017_old'!$B$61:$AJ$120,MATCH(VLOOKUP("*"&amp;$AX87,$A$10:$J$11,$J$9,FALSE)&amp;O$7,' COM_2017_old'!$B$58:$AJ$58,0),FALSE),"")))</f>
        <v/>
      </c>
      <c r="P87" s="494" t="str">
        <f ca="1">IFERROR(VLOOKUP($C87,COM_2012!$B$61:$AH$120,MATCH(VLOOKUP("*"&amp;$AX87,$A$10:$J$11,$J$9,FALSE)&amp;P$7,COM_2012!$B$58:$AH$58,0),FALSE),"")</f>
        <v/>
      </c>
      <c r="Q87" s="494" t="str">
        <f ca="1">IFERROR(VLOOKUP($C87,COM_2012!$B$61:$AH$120,MATCH(VLOOKUP("*"&amp;$AX87,$A$10:$J$11,$J$9,FALSE)&amp;Q$7,COM_2012!$B$58:$AH$58,0),FALSE),"")</f>
        <v/>
      </c>
      <c r="R87" s="494" t="str">
        <f ca="1">IF($A87="*","",IFERROR(VLOOKUP($C87,' COM_2017_old'!$B$61:$AJ$120,MATCH(VLOOKUP("*"&amp;$AX87,$A$10:$J$11,$J$9,FALSE)&amp;R$7,' COM_2017_old'!$B$58:$AJ$58,0),FALSE),""))</f>
        <v/>
      </c>
      <c r="S87" s="494" t="str">
        <f ca="1">IFERROR(VLOOKUP($C87,COM_2012!$B$61:$AH$120,MATCH(VLOOKUP("*"&amp;$AX87,$A$10:$J$11,$J$9,FALSE)&amp;S$7,COM_2012!$B$58:$AH$58,0),FALSE),"")</f>
        <v/>
      </c>
      <c r="T87" s="494" t="str">
        <f ca="1">IFERROR(VLOOKUP($C87,COM_2012!$B$61:$AH$120,MATCH(VLOOKUP("*"&amp;$AX87,$A$10:$J$11,$J$9,FALSE)&amp;T$7,COM_2012!$B$58:$AH$58,0),FALSE),"")</f>
        <v/>
      </c>
      <c r="U87" s="494" t="str">
        <f ca="1">IFERROR(VLOOKUP($C87,COM_2012!$B$61:$AH$120,MATCH(VLOOKUP("*"&amp;$AX87,$A$10:$J$11,$J$9,FALSE)&amp;U$7,COM_2012!$B$58:$AH$58,0),FALSE),"")</f>
        <v/>
      </c>
      <c r="V87" s="494" t="str">
        <f ca="1">IFERROR(VLOOKUP($C87,COM_2012!$B$61:$AH$120,MATCH(VLOOKUP("*"&amp;$AX87,$A$10:$J$11,$J$9,FALSE)&amp;V$7,COM_2012!$B$58:$AH$58,0),FALSE),"")</f>
        <v/>
      </c>
      <c r="W87" s="494" t="str">
        <f ca="1">IF($A87="*","",IFERROR(VLOOKUP($C87,' COM_2017_old'!$B$61:$AJ$120,MATCH(VLOOKUP("*"&amp;$AX87,$A$10:$J$11,$J$9,FALSE)&amp;W$7,' COM_2017_old'!$B$58:$AJ$58,0),FALSE),""))</f>
        <v/>
      </c>
      <c r="X87" s="494" t="str">
        <f ca="1">IFERROR(VLOOKUP($C87,COM_2012!$B$61:$AH$120,MATCH(VLOOKUP("*"&amp;$AX87,$A$10:$J$11,$J$9,FALSE)&amp;X$7,COM_2012!$B$58:$AH$58,0),FALSE),"")</f>
        <v/>
      </c>
      <c r="Y87" s="494" t="str">
        <f ca="1">IFERROR(VLOOKUP($C87,COM_2012!$B$61:$AH$120,MATCH(VLOOKUP("*"&amp;$AX87,$A$10:$J$11,$J$9,FALSE)&amp;Y$7,COM_2012!$B$58:$AH$58,0),FALSE),"")</f>
        <v/>
      </c>
      <c r="Z87" s="494" t="str">
        <f ca="1">IFERROR(VLOOKUP($C87,COM_2012!$B$61:$AH$120,MATCH(VLOOKUP("*"&amp;$AX87,$A$10:$J$11,$J$9,FALSE)&amp;Z$7,COM_2012!$B$58:$AH$58,0),FALSE),"")</f>
        <v/>
      </c>
      <c r="AA87" s="494" t="str">
        <f ca="1">IFERROR(VLOOKUP($C87,COM_2012!$B$61:$AH$120,MATCH(VLOOKUP("*"&amp;$AX87,$A$10:$J$11,$J$9,FALSE)&amp;AA$7,COM_2012!$B$58:$AH$58,0),FALSE),"")</f>
        <v/>
      </c>
      <c r="AB87" s="494" t="str">
        <f ca="1">IF($A87="*","",IFERROR(VLOOKUP($C87,' COM_2017_old'!$B$61:$AJ$120,MATCH(VLOOKUP("*"&amp;$AX87,$A$10:$J$11,$J$9,FALSE)&amp;AB$7,' COM_2017_old'!$B$58:$AJ$58,0),FALSE),""))</f>
        <v/>
      </c>
      <c r="AC87" s="494" t="str">
        <f ca="1">IFERROR(VLOOKUP($C87,COM_2012!$B$61:$AH$120,MATCH(VLOOKUP("*"&amp;$AX87,$A$10:$J$11,$J$9,FALSE)&amp;AC$7,COM_2012!$B$58:$AH$58,0),FALSE),"")</f>
        <v/>
      </c>
      <c r="AD87" s="391" t="str">
        <f ca="1">IFERROR(VLOOKUP($C87,COM_2012!$B$61:$AH$120,MATCH(VLOOKUP("*"&amp;$AX87,$A$10:$J$11,$J$9,FALSE)&amp;AD$7,COM_2012!$B$58:$AH$58,0),FALSE),"")</f>
        <v/>
      </c>
      <c r="AE87" s="391" t="str">
        <f ca="1">IFERROR(VLOOKUP($C87,COM_2012!$B$61:$AH$120,MATCH(VLOOKUP("*"&amp;$AX87,$A$10:$J$11,$J$9,FALSE)&amp;AE$7,COM_2012!$B$58:$AH$58,0),FALSE),"")</f>
        <v/>
      </c>
      <c r="AF87" s="391" t="str">
        <f ca="1">IFERROR(VLOOKUP($C87,COM_2012!$B$61:$AH$120,MATCH(VLOOKUP("*"&amp;$AX87,$A$10:$J$11,$J$9,FALSE)&amp;AF$7,COM_2012!$B$58:$AH$58,0),FALSE),"")</f>
        <v/>
      </c>
      <c r="AG87" s="494" t="str">
        <f ca="1">IF($A87="*","",IFERROR(VLOOKUP($C87,' COM_2017_old'!$B$61:$AJ$120,MATCH(VLOOKUP("*"&amp;$AX87,$A$10:$J$11,$J$9,FALSE)&amp;AG$7,' COM_2017_old'!$B$58:$AJ$58,0),FALSE),""))</f>
        <v/>
      </c>
      <c r="AH87" s="391" t="str">
        <f ca="1">IFERROR(VLOOKUP($C87,COM_2012!$B$61:$AH$120,MATCH(VLOOKUP("*"&amp;$AX87,$A$10:$J$11,$J$9,FALSE)&amp;AH$7,COM_2012!$B$58:$AH$58,0),FALSE),"")</f>
        <v/>
      </c>
      <c r="AI87" s="391" t="str">
        <f ca="1">IFERROR(VLOOKUP($C87,COM_2012!$B$61:$AH$120,MATCH(VLOOKUP("*"&amp;$AX87,$A$10:$J$11,$J$9,FALSE)&amp;AI$7,COM_2012!$B$58:$AH$58,0),FALSE),"")</f>
        <v/>
      </c>
      <c r="AJ87" s="391" t="str">
        <f ca="1">IFERROR(VLOOKUP($C87,COM_2012!$B$61:$AH$120,MATCH(VLOOKUP("*"&amp;$AX87,$A$10:$J$11,$J$9,FALSE)&amp;AJ$7,COM_2012!$B$58:$AH$58,0),FALSE),"")</f>
        <v/>
      </c>
      <c r="AK87" s="391" t="str">
        <f ca="1">IFERROR(VLOOKUP($C87,COM_2012!$B$61:$AH$120,MATCH(VLOOKUP("*"&amp;$AX87,$A$10:$J$11,$J$9,FALSE)&amp;AK$7,COM_2012!$B$58:$AH$58,0),FALSE),"")</f>
        <v/>
      </c>
      <c r="AL87" s="494" t="str">
        <f ca="1">IF($A87="*","",IFERROR(VLOOKUP($C87,' COM_2017_old'!$B$61:$AJ$120,MATCH(VLOOKUP("*"&amp;$AX87,$A$10:$J$11,$J$9,FALSE)&amp;AL$7,' COM_2017_old'!$B$58:$AJ$58,0),FALSE),""))</f>
        <v/>
      </c>
      <c r="AM87" s="494" t="str">
        <f ca="1">IF($A87="*","",IFERROR(VLOOKUP($C87,' COM_2017_old'!$B$61:$AJ$120,MATCH(VLOOKUP("*"&amp;$AX87,$A$10:$J$11,$J$9,FALSE)&amp;AM$7,' COM_2017_old'!$B$58:$AJ$58,0),FALSE),""))</f>
        <v/>
      </c>
      <c r="AN87" s="494" t="str">
        <f ca="1">IF($A87="*","",IFERROR(VLOOKUP($C87,' COM_2017_old'!$B$61:$AJ$120,MATCH(VLOOKUP("*"&amp;$AX87,$A$10:$J$11,$J$9,FALSE)&amp;AN$7,' COM_2017_old'!$B$58:$AJ$58,0),FALSE),""))</f>
        <v/>
      </c>
      <c r="AO87" s="391" t="str">
        <f ca="1">IFERROR(VLOOKUP($C87,COM_2012!$B$61:$AH$120,MATCH(VLOOKUP("*"&amp;$AX87,$A$10:$J$11,$J$9,FALSE)&amp;AO$7,COM_2012!$B$58:$AH$58,0),FALSE),"")</f>
        <v/>
      </c>
      <c r="AP87" s="391" t="str">
        <f ca="1">IFERROR(VLOOKUP($C87,COM_2012!$B$61:$AH$120,MATCH(VLOOKUP("*"&amp;$AX87,$A$10:$J$11,$J$9,FALSE)&amp;AP$7,COM_2012!$B$58:$AH$58,0),FALSE),"")</f>
        <v/>
      </c>
      <c r="AQ87" s="391" t="str">
        <f ca="1">IFERROR(VLOOKUP($C87,COM_2012!$B$61:$AH$120,MATCH(VLOOKUP("*"&amp;$AX87,$A$10:$J$11,$J$9,FALSE)&amp;AQ$7,COM_2012!$B$58:$AH$58,0),FALSE),"")</f>
        <v/>
      </c>
      <c r="AR87" s="391" t="str">
        <f ca="1">IFERROR(VLOOKUP($C87,COM_2012!$B$61:$AH$120,MATCH(VLOOKUP("*"&amp;$AX87,$A$10:$J$11,$J$9,FALSE)&amp;AR$7,COM_2012!$B$58:$AH$58,0),FALSE),"")</f>
        <v/>
      </c>
      <c r="AS87" s="391" t="str">
        <f ca="1">IFERROR(VLOOKUP($C87,COM_2012!$B$61:$AH$120,MATCH(VLOOKUP("*"&amp;$AX87,$A$10:$J$11,$J$9,FALSE)&amp;AS$7,COM_2012!$B$58:$AH$58,0),FALSE),"")</f>
        <v/>
      </c>
      <c r="AT87" s="391" t="str">
        <f ca="1">IFERROR(VLOOKUP($C87,COM_2012!$B$61:$AH$120,MATCH(VLOOKUP("*"&amp;$AX87,$A$10:$J$11,$J$9,FALSE)&amp;AT$7,COM_2012!$B$58:$AH$58,0),FALSE),"")</f>
        <v/>
      </c>
      <c r="AU87" s="391" t="str">
        <f ca="1">IFERROR(VLOOKUP($C87,COM_2012!$B$61:$AH$120,MATCH(VLOOKUP("*"&amp;$AX87,$A$10:$J$11,$J$9,FALSE)&amp;AU$7,COM_2012!$B$58:$AH$58,0),FALSE),"")</f>
        <v/>
      </c>
      <c r="AV87" s="391" t="str">
        <f ca="1">IFERROR(VLOOKUP($C87,COM_2012!$B$61:$AH$120,MATCH(VLOOKUP("*"&amp;$AX87,$A$10:$J$11,$J$9,FALSE)&amp;AV$7,COM_2012!$B$58:$AH$58,0),FALSE),"")</f>
        <v/>
      </c>
      <c r="AW87" s="391" t="str">
        <f ca="1">IFERROR(VLOOKUP($C87,COM_2012!$B$61:$AH$120,MATCH(VLOOKUP("*"&amp;$AX87,$A$10:$J$11,$J$9,FALSE)&amp;AW$7,COM_2012!$B$58:$AH$58,0),FALSE),"")</f>
        <v/>
      </c>
      <c r="AX87" s="304">
        <f>IF(AY86=COM_2012!$AI$121,AX86+1,AX86)</f>
        <v>2</v>
      </c>
      <c r="AY87" s="304">
        <f t="shared" si="55"/>
        <v>14</v>
      </c>
    </row>
    <row r="88" spans="1:51">
      <c r="A88" s="304" t="str">
        <f ca="1">IF(LEFT(OFFSET(COM_2012!$A$60,AY88,0),2)="\I","*","")</f>
        <v>*</v>
      </c>
      <c r="B88" s="369" t="str">
        <f t="shared" ca="1" si="53"/>
        <v/>
      </c>
      <c r="C88" s="369" t="str">
        <f ca="1">IF($A88="*","",OFFSET(COM_2012!$B$60,AY88,0))</f>
        <v/>
      </c>
      <c r="D88" s="369" t="str">
        <f t="shared" ca="1" si="54"/>
        <v/>
      </c>
      <c r="E88" s="369" t="str">
        <f t="shared" ca="1" si="42"/>
        <v/>
      </c>
      <c r="F88" s="370" t="str">
        <f t="shared" ca="1" si="17"/>
        <v/>
      </c>
      <c r="G88" s="370" t="str">
        <f t="shared" ca="1" si="17"/>
        <v/>
      </c>
      <c r="H88" s="370" t="str">
        <f t="shared" ca="1" si="44"/>
        <v/>
      </c>
      <c r="I88" s="370" t="str">
        <f t="shared" ca="1" si="44"/>
        <v/>
      </c>
      <c r="J88" s="494" t="str">
        <f>IF(J$7&lt;2020,"",IF(A88="*","",IFERROR(VLOOKUP($C88,COM_2012!$B$61:$AH$120,MATCH(VLOOKUP("*"&amp;$AX88,$A$10:$J$11,$J$9,FALSE)&amp;J$7,COM_2012!$B$58:$AH$58,0),FALSE),"")))</f>
        <v/>
      </c>
      <c r="K88" s="494" t="str">
        <f>IF(K$7&lt;2020,"",IF(B88="*","",IFERROR(VLOOKUP($C88,COM_2012!$B$61:$AH$120,MATCH(VLOOKUP("*"&amp;$AX88,$A$10:$J$11,$J$9,FALSE)&amp;K$7,COM_2012!$B$58:$AH$58,0),FALSE),"")))</f>
        <v/>
      </c>
      <c r="L88" s="494" t="str">
        <f>IF(L$7&lt;2020,"",IF(C88="*","",IFERROR(VLOOKUP($C88,COM_2012!$B$61:$AH$120,MATCH(VLOOKUP("*"&amp;$AX88,$A$10:$J$11,$J$9,FALSE)&amp;L$7,COM_2012!$B$58:$AH$58,0),FALSE),"")))</f>
        <v/>
      </c>
      <c r="M88" s="494" t="str">
        <f>IF(M$7&lt;2020,"",IF(D88="*","",IFERROR(VLOOKUP($C88,COM_2012!$B$61:$AH$120,MATCH(VLOOKUP("*"&amp;$AX88,$A$10:$J$11,$J$9,FALSE)&amp;M$7,COM_2012!$B$58:$AH$58,0),FALSE),"")))</f>
        <v/>
      </c>
      <c r="N88" s="494" t="str">
        <f ca="1">IFERROR(VLOOKUP($C88,COM_2012!$B$61:$AH$120,MATCH(VLOOKUP("*"&amp;$AX88,$A$10:$J$11,$J$9,FALSE)&amp;N$7,COM_2012!$B$58:$AH$58,0),FALSE),"")</f>
        <v/>
      </c>
      <c r="O88" s="494" t="str">
        <f>IF(O$7&lt;2020,"",IF($A88="*","",IFERROR(VLOOKUP($C88,' COM_2017_old'!$B$61:$AJ$120,MATCH(VLOOKUP("*"&amp;$AX88,$A$10:$J$11,$J$9,FALSE)&amp;O$7,' COM_2017_old'!$B$58:$AJ$58,0),FALSE),"")))</f>
        <v/>
      </c>
      <c r="P88" s="494" t="str">
        <f ca="1">IFERROR(VLOOKUP($C88,COM_2012!$B$61:$AH$120,MATCH(VLOOKUP("*"&amp;$AX88,$A$10:$J$11,$J$9,FALSE)&amp;P$7,COM_2012!$B$58:$AH$58,0),FALSE),"")</f>
        <v/>
      </c>
      <c r="Q88" s="494" t="str">
        <f ca="1">IFERROR(VLOOKUP($C88,COM_2012!$B$61:$AH$120,MATCH(VLOOKUP("*"&amp;$AX88,$A$10:$J$11,$J$9,FALSE)&amp;Q$7,COM_2012!$B$58:$AH$58,0),FALSE),"")</f>
        <v/>
      </c>
      <c r="R88" s="494" t="str">
        <f ca="1">IF($A88="*","",IFERROR(VLOOKUP($C88,' COM_2017_old'!$B$61:$AJ$120,MATCH(VLOOKUP("*"&amp;$AX88,$A$10:$J$11,$J$9,FALSE)&amp;R$7,' COM_2017_old'!$B$58:$AJ$58,0),FALSE),""))</f>
        <v/>
      </c>
      <c r="S88" s="494" t="str">
        <f ca="1">IFERROR(VLOOKUP($C88,COM_2012!$B$61:$AH$120,MATCH(VLOOKUP("*"&amp;$AX88,$A$10:$J$11,$J$9,FALSE)&amp;S$7,COM_2012!$B$58:$AH$58,0),FALSE),"")</f>
        <v/>
      </c>
      <c r="T88" s="494" t="str">
        <f ca="1">IFERROR(VLOOKUP($C88,COM_2012!$B$61:$AH$120,MATCH(VLOOKUP("*"&amp;$AX88,$A$10:$J$11,$J$9,FALSE)&amp;T$7,COM_2012!$B$58:$AH$58,0),FALSE),"")</f>
        <v/>
      </c>
      <c r="U88" s="494" t="str">
        <f ca="1">IFERROR(VLOOKUP($C88,COM_2012!$B$61:$AH$120,MATCH(VLOOKUP("*"&amp;$AX88,$A$10:$J$11,$J$9,FALSE)&amp;U$7,COM_2012!$B$58:$AH$58,0),FALSE),"")</f>
        <v/>
      </c>
      <c r="V88" s="494" t="str">
        <f ca="1">IFERROR(VLOOKUP($C88,COM_2012!$B$61:$AH$120,MATCH(VLOOKUP("*"&amp;$AX88,$A$10:$J$11,$J$9,FALSE)&amp;V$7,COM_2012!$B$58:$AH$58,0),FALSE),"")</f>
        <v/>
      </c>
      <c r="W88" s="494" t="str">
        <f ca="1">IF($A88="*","",IFERROR(VLOOKUP($C88,' COM_2017_old'!$B$61:$AJ$120,MATCH(VLOOKUP("*"&amp;$AX88,$A$10:$J$11,$J$9,FALSE)&amp;W$7,' COM_2017_old'!$B$58:$AJ$58,0),FALSE),""))</f>
        <v/>
      </c>
      <c r="X88" s="494" t="str">
        <f ca="1">IFERROR(VLOOKUP($C88,COM_2012!$B$61:$AH$120,MATCH(VLOOKUP("*"&amp;$AX88,$A$10:$J$11,$J$9,FALSE)&amp;X$7,COM_2012!$B$58:$AH$58,0),FALSE),"")</f>
        <v/>
      </c>
      <c r="Y88" s="494" t="str">
        <f ca="1">IFERROR(VLOOKUP($C88,COM_2012!$B$61:$AH$120,MATCH(VLOOKUP("*"&amp;$AX88,$A$10:$J$11,$J$9,FALSE)&amp;Y$7,COM_2012!$B$58:$AH$58,0),FALSE),"")</f>
        <v/>
      </c>
      <c r="Z88" s="494" t="str">
        <f ca="1">IFERROR(VLOOKUP($C88,COM_2012!$B$61:$AH$120,MATCH(VLOOKUP("*"&amp;$AX88,$A$10:$J$11,$J$9,FALSE)&amp;Z$7,COM_2012!$B$58:$AH$58,0),FALSE),"")</f>
        <v/>
      </c>
      <c r="AA88" s="494" t="str">
        <f ca="1">IFERROR(VLOOKUP($C88,COM_2012!$B$61:$AH$120,MATCH(VLOOKUP("*"&amp;$AX88,$A$10:$J$11,$J$9,FALSE)&amp;AA$7,COM_2012!$B$58:$AH$58,0),FALSE),"")</f>
        <v/>
      </c>
      <c r="AB88" s="494" t="str">
        <f ca="1">IF($A88="*","",IFERROR(VLOOKUP($C88,' COM_2017_old'!$B$61:$AJ$120,MATCH(VLOOKUP("*"&amp;$AX88,$A$10:$J$11,$J$9,FALSE)&amp;AB$7,' COM_2017_old'!$B$58:$AJ$58,0),FALSE),""))</f>
        <v/>
      </c>
      <c r="AC88" s="494" t="str">
        <f ca="1">IFERROR(VLOOKUP($C88,COM_2012!$B$61:$AH$120,MATCH(VLOOKUP("*"&amp;$AX88,$A$10:$J$11,$J$9,FALSE)&amp;AC$7,COM_2012!$B$58:$AH$58,0),FALSE),"")</f>
        <v/>
      </c>
      <c r="AD88" s="391" t="str">
        <f ca="1">IFERROR(VLOOKUP($C88,COM_2012!$B$61:$AH$120,MATCH(VLOOKUP("*"&amp;$AX88,$A$10:$J$11,$J$9,FALSE)&amp;AD$7,COM_2012!$B$58:$AH$58,0),FALSE),"")</f>
        <v/>
      </c>
      <c r="AE88" s="391" t="str">
        <f ca="1">IFERROR(VLOOKUP($C88,COM_2012!$B$61:$AH$120,MATCH(VLOOKUP("*"&amp;$AX88,$A$10:$J$11,$J$9,FALSE)&amp;AE$7,COM_2012!$B$58:$AH$58,0),FALSE),"")</f>
        <v/>
      </c>
      <c r="AF88" s="391" t="str">
        <f ca="1">IFERROR(VLOOKUP($C88,COM_2012!$B$61:$AH$120,MATCH(VLOOKUP("*"&amp;$AX88,$A$10:$J$11,$J$9,FALSE)&amp;AF$7,COM_2012!$B$58:$AH$58,0),FALSE),"")</f>
        <v/>
      </c>
      <c r="AG88" s="494" t="str">
        <f ca="1">IF($A88="*","",IFERROR(VLOOKUP($C88,' COM_2017_old'!$B$61:$AJ$120,MATCH(VLOOKUP("*"&amp;$AX88,$A$10:$J$11,$J$9,FALSE)&amp;AG$7,' COM_2017_old'!$B$58:$AJ$58,0),FALSE),""))</f>
        <v/>
      </c>
      <c r="AH88" s="391" t="str">
        <f ca="1">IFERROR(VLOOKUP($C88,COM_2012!$B$61:$AH$120,MATCH(VLOOKUP("*"&amp;$AX88,$A$10:$J$11,$J$9,FALSE)&amp;AH$7,COM_2012!$B$58:$AH$58,0),FALSE),"")</f>
        <v/>
      </c>
      <c r="AI88" s="391" t="str">
        <f ca="1">IFERROR(VLOOKUP($C88,COM_2012!$B$61:$AH$120,MATCH(VLOOKUP("*"&amp;$AX88,$A$10:$J$11,$J$9,FALSE)&amp;AI$7,COM_2012!$B$58:$AH$58,0),FALSE),"")</f>
        <v/>
      </c>
      <c r="AJ88" s="391" t="str">
        <f ca="1">IFERROR(VLOOKUP($C88,COM_2012!$B$61:$AH$120,MATCH(VLOOKUP("*"&amp;$AX88,$A$10:$J$11,$J$9,FALSE)&amp;AJ$7,COM_2012!$B$58:$AH$58,0),FALSE),"")</f>
        <v/>
      </c>
      <c r="AK88" s="391" t="str">
        <f ca="1">IFERROR(VLOOKUP($C88,COM_2012!$B$61:$AH$120,MATCH(VLOOKUP("*"&amp;$AX88,$A$10:$J$11,$J$9,FALSE)&amp;AK$7,COM_2012!$B$58:$AH$58,0),FALSE),"")</f>
        <v/>
      </c>
      <c r="AL88" s="494" t="str">
        <f ca="1">IF($A88="*","",IFERROR(VLOOKUP($C88,' COM_2017_old'!$B$61:$AJ$120,MATCH(VLOOKUP("*"&amp;$AX88,$A$10:$J$11,$J$9,FALSE)&amp;AL$7,' COM_2017_old'!$B$58:$AJ$58,0),FALSE),""))</f>
        <v/>
      </c>
      <c r="AM88" s="494" t="str">
        <f ca="1">IF($A88="*","",IFERROR(VLOOKUP($C88,' COM_2017_old'!$B$61:$AJ$120,MATCH(VLOOKUP("*"&amp;$AX88,$A$10:$J$11,$J$9,FALSE)&amp;AM$7,' COM_2017_old'!$B$58:$AJ$58,0),FALSE),""))</f>
        <v/>
      </c>
      <c r="AN88" s="494" t="str">
        <f ca="1">IF($A88="*","",IFERROR(VLOOKUP($C88,' COM_2017_old'!$B$61:$AJ$120,MATCH(VLOOKUP("*"&amp;$AX88,$A$10:$J$11,$J$9,FALSE)&amp;AN$7,' COM_2017_old'!$B$58:$AJ$58,0),FALSE),""))</f>
        <v/>
      </c>
      <c r="AO88" s="391" t="str">
        <f ca="1">IFERROR(VLOOKUP($C88,COM_2012!$B$61:$AH$120,MATCH(VLOOKUP("*"&amp;$AX88,$A$10:$J$11,$J$9,FALSE)&amp;AO$7,COM_2012!$B$58:$AH$58,0),FALSE),"")</f>
        <v/>
      </c>
      <c r="AP88" s="391" t="str">
        <f ca="1">IFERROR(VLOOKUP($C88,COM_2012!$B$61:$AH$120,MATCH(VLOOKUP("*"&amp;$AX88,$A$10:$J$11,$J$9,FALSE)&amp;AP$7,COM_2012!$B$58:$AH$58,0),FALSE),"")</f>
        <v/>
      </c>
      <c r="AQ88" s="391" t="str">
        <f ca="1">IFERROR(VLOOKUP($C88,COM_2012!$B$61:$AH$120,MATCH(VLOOKUP("*"&amp;$AX88,$A$10:$J$11,$J$9,FALSE)&amp;AQ$7,COM_2012!$B$58:$AH$58,0),FALSE),"")</f>
        <v/>
      </c>
      <c r="AR88" s="391" t="str">
        <f ca="1">IFERROR(VLOOKUP($C88,COM_2012!$B$61:$AH$120,MATCH(VLOOKUP("*"&amp;$AX88,$A$10:$J$11,$J$9,FALSE)&amp;AR$7,COM_2012!$B$58:$AH$58,0),FALSE),"")</f>
        <v/>
      </c>
      <c r="AS88" s="391" t="str">
        <f ca="1">IFERROR(VLOOKUP($C88,COM_2012!$B$61:$AH$120,MATCH(VLOOKUP("*"&amp;$AX88,$A$10:$J$11,$J$9,FALSE)&amp;AS$7,COM_2012!$B$58:$AH$58,0),FALSE),"")</f>
        <v/>
      </c>
      <c r="AT88" s="391" t="str">
        <f ca="1">IFERROR(VLOOKUP($C88,COM_2012!$B$61:$AH$120,MATCH(VLOOKUP("*"&amp;$AX88,$A$10:$J$11,$J$9,FALSE)&amp;AT$7,COM_2012!$B$58:$AH$58,0),FALSE),"")</f>
        <v/>
      </c>
      <c r="AU88" s="391" t="str">
        <f ca="1">IFERROR(VLOOKUP($C88,COM_2012!$B$61:$AH$120,MATCH(VLOOKUP("*"&amp;$AX88,$A$10:$J$11,$J$9,FALSE)&amp;AU$7,COM_2012!$B$58:$AH$58,0),FALSE),"")</f>
        <v/>
      </c>
      <c r="AV88" s="391" t="str">
        <f ca="1">IFERROR(VLOOKUP($C88,COM_2012!$B$61:$AH$120,MATCH(VLOOKUP("*"&amp;$AX88,$A$10:$J$11,$J$9,FALSE)&amp;AV$7,COM_2012!$B$58:$AH$58,0),FALSE),"")</f>
        <v/>
      </c>
      <c r="AW88" s="391" t="str">
        <f ca="1">IFERROR(VLOOKUP($C88,COM_2012!$B$61:$AH$120,MATCH(VLOOKUP("*"&amp;$AX88,$A$10:$J$11,$J$9,FALSE)&amp;AW$7,COM_2012!$B$58:$AH$58,0),FALSE),"")</f>
        <v/>
      </c>
      <c r="AX88" s="304">
        <f>IF(AY87=COM_2012!$AI$121,AX87+1,AX87)</f>
        <v>2</v>
      </c>
      <c r="AY88" s="304">
        <f t="shared" si="55"/>
        <v>15</v>
      </c>
    </row>
    <row r="89" spans="1:51">
      <c r="A89" s="304" t="str">
        <f ca="1">IF(LEFT(OFFSET(COM_2012!$A$60,AY89,0),2)="\I","*","")</f>
        <v/>
      </c>
      <c r="B89" s="369" t="str">
        <f t="shared" ca="1" si="53"/>
        <v>FLO_MRKPRD</v>
      </c>
      <c r="C89" s="369" t="str">
        <f ca="1">IF($A89="*","",OFFSET(COM_2012!$B$60,AY89,0))</f>
        <v>CEKOLP-E</v>
      </c>
      <c r="D89" s="369" t="str">
        <f t="shared" ca="1" si="54"/>
        <v>CEK</v>
      </c>
      <c r="E89" s="369" t="str">
        <f t="shared" ca="1" si="42"/>
        <v>-</v>
      </c>
      <c r="F89" s="370" t="str">
        <f t="shared" ca="1" si="17"/>
        <v>-</v>
      </c>
      <c r="G89" s="370" t="str">
        <f t="shared" ca="1" si="17"/>
        <v>ANNUAL</v>
      </c>
      <c r="H89" s="370" t="str">
        <f t="shared" ca="1" si="44"/>
        <v>LO</v>
      </c>
      <c r="I89" s="370">
        <f t="shared" ca="1" si="44"/>
        <v>0</v>
      </c>
      <c r="J89" s="494" t="str">
        <f>IF(J$7&lt;2020,"",IF(A89="*","",IFERROR(VLOOKUP($C89,COM_2012!$B$61:$AH$120,MATCH(VLOOKUP("*"&amp;$AX89,$A$10:$J$11,$J$9,FALSE)&amp;J$7,COM_2012!$B$58:$AH$58,0),FALSE),"")))</f>
        <v/>
      </c>
      <c r="K89" s="494" t="str">
        <f>IF(K$7&lt;2020,"",IF(B89="*","",IFERROR(VLOOKUP($C89,COM_2012!$B$61:$AH$120,MATCH(VLOOKUP("*"&amp;$AX89,$A$10:$J$11,$J$9,FALSE)&amp;K$7,COM_2012!$B$58:$AH$58,0),FALSE),"")))</f>
        <v/>
      </c>
      <c r="L89" s="494" t="str">
        <f>IF(L$7&lt;2020,"",IF(C89="*","",IFERROR(VLOOKUP($C89,COM_2012!$B$61:$AH$120,MATCH(VLOOKUP("*"&amp;$AX89,$A$10:$J$11,$J$9,FALSE)&amp;L$7,COM_2012!$B$58:$AH$58,0),FALSE),"")))</f>
        <v/>
      </c>
      <c r="M89" s="494" t="str">
        <f>IF(M$7&lt;2020,"",IF(D89="*","",IFERROR(VLOOKUP($C89,COM_2012!$B$61:$AH$120,MATCH(VLOOKUP("*"&amp;$AX89,$A$10:$J$11,$J$9,FALSE)&amp;M$7,COM_2012!$B$58:$AH$58,0),FALSE),"")))</f>
        <v/>
      </c>
      <c r="N89" s="494" t="str">
        <f ca="1">IFERROR(VLOOKUP($C89,COM_2012!$B$61:$AH$120,MATCH(VLOOKUP("*"&amp;$AX89,$A$10:$J$11,$J$9,FALSE)&amp;N$7,COM_2012!$B$58:$AH$58,0),FALSE),"")</f>
        <v/>
      </c>
      <c r="O89" s="494" t="str">
        <f>IF(O$7&lt;2020,"",IF($A89="*","",IFERROR(VLOOKUP($C89,' COM_2017_old'!$B$61:$AJ$120,MATCH(VLOOKUP("*"&amp;$AX89,$A$10:$J$11,$J$9,FALSE)&amp;O$7,' COM_2017_old'!$B$58:$AJ$58,0),FALSE),"")))</f>
        <v/>
      </c>
      <c r="P89" s="494" t="str">
        <f ca="1">IFERROR(VLOOKUP($C89,COM_2012!$B$61:$AH$120,MATCH(VLOOKUP("*"&amp;$AX89,$A$10:$J$11,$J$9,FALSE)&amp;P$7,COM_2012!$B$58:$AH$58,0),FALSE),"")</f>
        <v/>
      </c>
      <c r="Q89" s="494" t="str">
        <f ca="1">IFERROR(VLOOKUP($C89,COM_2012!$B$61:$AH$120,MATCH(VLOOKUP("*"&amp;$AX89,$A$10:$J$11,$J$9,FALSE)&amp;Q$7,COM_2012!$B$58:$AH$58,0),FALSE),"")</f>
        <v/>
      </c>
      <c r="R89" s="494">
        <f ca="1">IF($A89="*","",IFERROR(VLOOKUP($C89,' COM_2017_old'!$B$61:$AJ$120,MATCH(VLOOKUP("*"&amp;$AX89,$A$10:$J$11,$J$9,FALSE)&amp;R$7,' COM_2017_old'!$B$58:$AJ$58,0),FALSE),""))</f>
        <v>4.6103608898451888E-3</v>
      </c>
      <c r="S89" s="494">
        <f ca="1">IF($A89="*","",R89+($W89-$R89)/5)</f>
        <v>4.5438195986515469E-3</v>
      </c>
      <c r="T89" s="494">
        <f t="shared" ref="T89:V91" ca="1" si="60">IF($A89="*","",S89+($W89-$R89)/5)</f>
        <v>4.477278307457905E-3</v>
      </c>
      <c r="U89" s="494">
        <f t="shared" ca="1" si="60"/>
        <v>4.410737016264263E-3</v>
      </c>
      <c r="V89" s="494">
        <f t="shared" ca="1" si="60"/>
        <v>4.3441957250706211E-3</v>
      </c>
      <c r="W89" s="494">
        <f ca="1">IF($A89="*","",IFERROR(VLOOKUP($C89,' COM_2017_old'!$B$61:$AJ$120,MATCH(VLOOKUP("*"&amp;$AX89,$A$10:$J$11,$J$9,FALSE)&amp;W$7,' COM_2017_old'!$B$58:$AJ$58,0),FALSE),""))</f>
        <v>4.2776544338769791E-3</v>
      </c>
      <c r="X89" s="494">
        <f ca="1">IF($A89="*","",W89+($AB89-$W89)/5)</f>
        <v>4.0875364590380022E-3</v>
      </c>
      <c r="Y89" s="494">
        <f t="shared" ref="Y89:AA91" ca="1" si="61">IF($A89="*","",X89+($AB89-$W89)/5)</f>
        <v>3.8974184841990252E-3</v>
      </c>
      <c r="Z89" s="494">
        <f t="shared" ca="1" si="61"/>
        <v>3.7073005093600482E-3</v>
      </c>
      <c r="AA89" s="494">
        <f t="shared" ca="1" si="61"/>
        <v>3.5171825345210713E-3</v>
      </c>
      <c r="AB89" s="494">
        <f ca="1">IF($A89="*","",IFERROR(VLOOKUP($C89,' COM_2017_old'!$B$61:$AJ$120,MATCH(VLOOKUP("*"&amp;$AX89,$A$10:$J$11,$J$9,FALSE)&amp;AB$7,' COM_2017_old'!$B$58:$AJ$58,0),FALSE),""))</f>
        <v>3.3270645596820947E-3</v>
      </c>
      <c r="AC89" s="494">
        <f ca="1">IF($A89="*","",AB89+($AG89-$AB89)/5)</f>
        <v>3.0894170911333735E-3</v>
      </c>
      <c r="AD89" s="494">
        <f t="shared" ref="AD89:AF91" ca="1" si="62">IF($A89="*","",AC89+($AG89-$AB89)/5)</f>
        <v>2.8517696225846523E-3</v>
      </c>
      <c r="AE89" s="494">
        <f t="shared" ca="1" si="62"/>
        <v>2.6141221540359311E-3</v>
      </c>
      <c r="AF89" s="494">
        <f t="shared" ca="1" si="62"/>
        <v>2.3764746854872099E-3</v>
      </c>
      <c r="AG89" s="494">
        <f ca="1">IF($A89="*","",IFERROR(VLOOKUP($C89,' COM_2017_old'!$B$61:$AJ$120,MATCH(VLOOKUP("*"&amp;$AX89,$A$10:$J$11,$J$9,FALSE)&amp;AG$7,' COM_2017_old'!$B$58:$AJ$58,0),FALSE),""))</f>
        <v>2.1388272169384896E-3</v>
      </c>
      <c r="AH89" s="494">
        <f ca="1">IF($A89="*","",AG89+($AL89-$AG89)/5)</f>
        <v>1.8536502546800243E-3</v>
      </c>
      <c r="AI89" s="494">
        <f t="shared" ref="AI89:AK91" ca="1" si="63">IF($A89="*","",AH89+($AL89-$AG89)/5)</f>
        <v>1.5684732924215591E-3</v>
      </c>
      <c r="AJ89" s="494">
        <f t="shared" ca="1" si="63"/>
        <v>1.2832963301630939E-3</v>
      </c>
      <c r="AK89" s="494">
        <f t="shared" ca="1" si="63"/>
        <v>9.9811936790462864E-4</v>
      </c>
      <c r="AL89" s="494">
        <f ca="1">IF($A89="*","",IFERROR(VLOOKUP($C89,' COM_2017_old'!$B$61:$AJ$120,MATCH(VLOOKUP("*"&amp;$AX89,$A$10:$J$11,$J$9,FALSE)&amp;AL$7,' COM_2017_old'!$B$58:$AJ$58,0),FALSE),""))</f>
        <v>7.1294240564616319E-4</v>
      </c>
      <c r="AM89" s="494">
        <f ca="1">IF($A89="*","",IFERROR(VLOOKUP($C89,' COM_2017_old'!$B$61:$AJ$120,MATCH(VLOOKUP("*"&amp;$AX89,$A$10:$J$11,$J$9,FALSE)&amp;AM$7,' COM_2017_old'!$B$58:$AJ$58,0),FALSE),""))</f>
        <v>2.376474685487211E-4</v>
      </c>
      <c r="AN89" s="494">
        <f ca="1">IF($A89="*","",IFERROR(VLOOKUP($C89,' COM_2017_old'!$B$61:$AJ$120,MATCH(VLOOKUP("*"&amp;$AX89,$A$10:$J$11,$J$9,FALSE)&amp;AN$7,' COM_2017_old'!$B$58:$AJ$58,0),FALSE),""))</f>
        <v>0</v>
      </c>
      <c r="AO89" s="391" t="str">
        <f ca="1">IFERROR(VLOOKUP($C89,COM_2012!$B$61:$AH$120,MATCH(VLOOKUP("*"&amp;$AX89,$A$10:$J$11,$J$9,FALSE)&amp;AO$7,COM_2012!$B$58:$AH$58,0),FALSE),"")</f>
        <v/>
      </c>
      <c r="AP89" s="391" t="str">
        <f ca="1">IFERROR(VLOOKUP($C89,COM_2012!$B$61:$AH$120,MATCH(VLOOKUP("*"&amp;$AX89,$A$10:$J$11,$J$9,FALSE)&amp;AP$7,COM_2012!$B$58:$AH$58,0),FALSE),"")</f>
        <v/>
      </c>
      <c r="AQ89" s="391" t="str">
        <f ca="1">IFERROR(VLOOKUP($C89,COM_2012!$B$61:$AH$120,MATCH(VLOOKUP("*"&amp;$AX89,$A$10:$J$11,$J$9,FALSE)&amp;AQ$7,COM_2012!$B$58:$AH$58,0),FALSE),"")</f>
        <v/>
      </c>
      <c r="AR89" s="391" t="str">
        <f ca="1">IFERROR(VLOOKUP($C89,COM_2012!$B$61:$AH$120,MATCH(VLOOKUP("*"&amp;$AX89,$A$10:$J$11,$J$9,FALSE)&amp;AR$7,COM_2012!$B$58:$AH$58,0),FALSE),"")</f>
        <v/>
      </c>
      <c r="AS89" s="391" t="str">
        <f ca="1">IFERROR(VLOOKUP($C89,COM_2012!$B$61:$AH$120,MATCH(VLOOKUP("*"&amp;$AX89,$A$10:$J$11,$J$9,FALSE)&amp;AS$7,COM_2012!$B$58:$AH$58,0),FALSE),"")</f>
        <v/>
      </c>
      <c r="AT89" s="391" t="str">
        <f ca="1">IFERROR(VLOOKUP($C89,COM_2012!$B$61:$AH$120,MATCH(VLOOKUP("*"&amp;$AX89,$A$10:$J$11,$J$9,FALSE)&amp;AT$7,COM_2012!$B$58:$AH$58,0),FALSE),"")</f>
        <v/>
      </c>
      <c r="AU89" s="391" t="str">
        <f ca="1">IFERROR(VLOOKUP($C89,COM_2012!$B$61:$AH$120,MATCH(VLOOKUP("*"&amp;$AX89,$A$10:$J$11,$J$9,FALSE)&amp;AU$7,COM_2012!$B$58:$AH$58,0),FALSE),"")</f>
        <v/>
      </c>
      <c r="AV89" s="391" t="str">
        <f ca="1">IFERROR(VLOOKUP($C89,COM_2012!$B$61:$AH$120,MATCH(VLOOKUP("*"&amp;$AX89,$A$10:$J$11,$J$9,FALSE)&amp;AV$7,COM_2012!$B$58:$AH$58,0),FALSE),"")</f>
        <v/>
      </c>
      <c r="AW89" s="391" t="str">
        <f ca="1">IFERROR(VLOOKUP($C89,COM_2012!$B$61:$AH$120,MATCH(VLOOKUP("*"&amp;$AX89,$A$10:$J$11,$J$9,FALSE)&amp;AW$7,COM_2012!$B$58:$AH$58,0),FALSE),"")</f>
        <v/>
      </c>
      <c r="AX89" s="304">
        <f>IF(AY88=COM_2012!$AI$121,AX88+1,AX88)</f>
        <v>2</v>
      </c>
      <c r="AY89" s="304">
        <f t="shared" si="55"/>
        <v>16</v>
      </c>
    </row>
    <row r="90" spans="1:51">
      <c r="A90" s="304" t="str">
        <f ca="1">IF(LEFT(OFFSET(COM_2012!$A$60,AY90,0),2)="\I","*","")</f>
        <v/>
      </c>
      <c r="B90" s="369" t="str">
        <f t="shared" ca="1" si="53"/>
        <v>FLO_MRKPRD</v>
      </c>
      <c r="C90" s="369" t="str">
        <f ca="1">IF($A90="*","",OFFSET(COM_2012!$B$60,AY90,0))</f>
        <v>CEKELC-E</v>
      </c>
      <c r="D90" s="369" t="str">
        <f t="shared" ca="1" si="54"/>
        <v>CEK</v>
      </c>
      <c r="E90" s="369" t="str">
        <f t="shared" ca="1" si="42"/>
        <v>-</v>
      </c>
      <c r="F90" s="370" t="str">
        <f t="shared" ca="1" si="17"/>
        <v>-</v>
      </c>
      <c r="G90" s="370" t="str">
        <f t="shared" ca="1" si="17"/>
        <v>ANNUAL</v>
      </c>
      <c r="H90" s="370" t="str">
        <f t="shared" ca="1" si="44"/>
        <v>LO</v>
      </c>
      <c r="I90" s="370">
        <f t="shared" ca="1" si="44"/>
        <v>0</v>
      </c>
      <c r="J90" s="494" t="str">
        <f>IF(J$7&lt;2020,"",IF(A90="*","",IFERROR(VLOOKUP($C90,COM_2012!$B$61:$AH$120,MATCH(VLOOKUP("*"&amp;$AX90,$A$10:$J$11,$J$9,FALSE)&amp;J$7,COM_2012!$B$58:$AH$58,0),FALSE),"")))</f>
        <v/>
      </c>
      <c r="K90" s="494" t="str">
        <f>IF(K$7&lt;2020,"",IF(B90="*","",IFERROR(VLOOKUP($C90,COM_2012!$B$61:$AH$120,MATCH(VLOOKUP("*"&amp;$AX90,$A$10:$J$11,$J$9,FALSE)&amp;K$7,COM_2012!$B$58:$AH$58,0),FALSE),"")))</f>
        <v/>
      </c>
      <c r="L90" s="494" t="str">
        <f>IF(L$7&lt;2020,"",IF(C90="*","",IFERROR(VLOOKUP($C90,COM_2012!$B$61:$AH$120,MATCH(VLOOKUP("*"&amp;$AX90,$A$10:$J$11,$J$9,FALSE)&amp;L$7,COM_2012!$B$58:$AH$58,0),FALSE),"")))</f>
        <v/>
      </c>
      <c r="M90" s="494" t="str">
        <f>IF(M$7&lt;2020,"",IF(D90="*","",IFERROR(VLOOKUP($C90,COM_2012!$B$61:$AH$120,MATCH(VLOOKUP("*"&amp;$AX90,$A$10:$J$11,$J$9,FALSE)&amp;M$7,COM_2012!$B$58:$AH$58,0),FALSE),"")))</f>
        <v/>
      </c>
      <c r="N90" s="494" t="str">
        <f ca="1">IFERROR(VLOOKUP($C90,COM_2012!$B$61:$AH$120,MATCH(VLOOKUP("*"&amp;$AX90,$A$10:$J$11,$J$9,FALSE)&amp;N$7,COM_2012!$B$58:$AH$58,0),FALSE),"")</f>
        <v/>
      </c>
      <c r="O90" s="494" t="str">
        <f>IF(O$7&lt;2020,"",IF($A90="*","",IFERROR(VLOOKUP($C90,' COM_2017_old'!$B$61:$AJ$120,MATCH(VLOOKUP("*"&amp;$AX90,$A$10:$J$11,$J$9,FALSE)&amp;O$7,' COM_2017_old'!$B$58:$AJ$58,0),FALSE),"")))</f>
        <v/>
      </c>
      <c r="P90" s="494" t="str">
        <f ca="1">IFERROR(VLOOKUP($C90,COM_2012!$B$61:$AH$120,MATCH(VLOOKUP("*"&amp;$AX90,$A$10:$J$11,$J$9,FALSE)&amp;P$7,COM_2012!$B$58:$AH$58,0),FALSE),"")</f>
        <v/>
      </c>
      <c r="Q90" s="494" t="str">
        <f ca="1">IFERROR(VLOOKUP($C90,COM_2012!$B$61:$AH$120,MATCH(VLOOKUP("*"&amp;$AX90,$A$10:$J$11,$J$9,FALSE)&amp;Q$7,COM_2012!$B$58:$AH$58,0),FALSE),"")</f>
        <v/>
      </c>
      <c r="R90" s="494">
        <f ca="1">IF($A90="*","",IFERROR(VLOOKUP($C90,' COM_2017_old'!$B$61:$AJ$120,MATCH(VLOOKUP("*"&amp;$AX90,$A$10:$J$11,$J$9,FALSE)&amp;R$7,' COM_2017_old'!$B$58:$AJ$58,0),FALSE),""))</f>
        <v>0.94472596896374827</v>
      </c>
      <c r="S90" s="494">
        <f ca="1">IF($A90="*","",R90+($W90-$R90)/5)</f>
        <v>0.93109074879313747</v>
      </c>
      <c r="T90" s="494">
        <f t="shared" ca="1" si="60"/>
        <v>0.91745552862252666</v>
      </c>
      <c r="U90" s="494">
        <f t="shared" ca="1" si="60"/>
        <v>0.90382030845191585</v>
      </c>
      <c r="V90" s="494">
        <f t="shared" ca="1" si="60"/>
        <v>0.89018508828130505</v>
      </c>
      <c r="W90" s="494">
        <f ca="1">IF($A90="*","",IFERROR(VLOOKUP($C90,' COM_2017_old'!$B$61:$AJ$120,MATCH(VLOOKUP("*"&amp;$AX90,$A$10:$J$11,$J$9,FALSE)&amp;W$7,' COM_2017_old'!$B$58:$AJ$58,0),FALSE),""))</f>
        <v>0.87654986811069424</v>
      </c>
      <c r="X90" s="494">
        <f ca="1">IF($A90="*","",W90+($AB90-$W90)/5)</f>
        <v>0.83759209619466335</v>
      </c>
      <c r="Y90" s="494">
        <f t="shared" ca="1" si="61"/>
        <v>0.79863432427863246</v>
      </c>
      <c r="Z90" s="494">
        <f t="shared" ca="1" si="61"/>
        <v>0.75967655236260156</v>
      </c>
      <c r="AA90" s="494">
        <f t="shared" ca="1" si="61"/>
        <v>0.72071878044657067</v>
      </c>
      <c r="AB90" s="494">
        <f ca="1">IF($A90="*","",IFERROR(VLOOKUP($C90,' COM_2017_old'!$B$61:$AJ$120,MATCH(VLOOKUP("*"&amp;$AX90,$A$10:$J$11,$J$9,FALSE)&amp;AB$7,' COM_2017_old'!$B$58:$AJ$58,0),FALSE),""))</f>
        <v>0.68176100853054</v>
      </c>
      <c r="AC90" s="494">
        <f ca="1">IF($A90="*","",AB90+($AG90-$AB90)/5)</f>
        <v>0.63306379363550147</v>
      </c>
      <c r="AD90" s="494">
        <f t="shared" ca="1" si="62"/>
        <v>0.58436657874046294</v>
      </c>
      <c r="AE90" s="494">
        <f t="shared" ca="1" si="62"/>
        <v>0.53566936384542441</v>
      </c>
      <c r="AF90" s="494">
        <f t="shared" ca="1" si="62"/>
        <v>0.48697214895038582</v>
      </c>
      <c r="AG90" s="494">
        <f ca="1">IF($A90="*","",IFERROR(VLOOKUP($C90,' COM_2017_old'!$B$61:$AJ$120,MATCH(VLOOKUP("*"&amp;$AX90,$A$10:$J$11,$J$9,FALSE)&amp;AG$7,' COM_2017_old'!$B$58:$AJ$58,0),FALSE),""))</f>
        <v>0.43827493405534712</v>
      </c>
      <c r="AH90" s="494">
        <f ca="1">IF($A90="*","",AG90+($AL90-$AG90)/5)</f>
        <v>0.37983827618130084</v>
      </c>
      <c r="AI90" s="494">
        <f t="shared" ca="1" si="63"/>
        <v>0.32140161830725456</v>
      </c>
      <c r="AJ90" s="494">
        <f t="shared" ca="1" si="63"/>
        <v>0.26296496043320827</v>
      </c>
      <c r="AK90" s="494">
        <f t="shared" ca="1" si="63"/>
        <v>0.20452830255916199</v>
      </c>
      <c r="AL90" s="494">
        <f ca="1">IF($A90="*","",IFERROR(VLOOKUP($C90,' COM_2017_old'!$B$61:$AJ$120,MATCH(VLOOKUP("*"&amp;$AX90,$A$10:$J$11,$J$9,FALSE)&amp;AL$7,' COM_2017_old'!$B$58:$AJ$58,0),FALSE),""))</f>
        <v>0.14609164468511571</v>
      </c>
      <c r="AM90" s="494">
        <f ca="1">IF($A90="*","",IFERROR(VLOOKUP($C90,' COM_2017_old'!$B$61:$AJ$120,MATCH(VLOOKUP("*"&amp;$AX90,$A$10:$J$11,$J$9,FALSE)&amp;AM$7,' COM_2017_old'!$B$58:$AJ$58,0),FALSE),""))</f>
        <v>4.8697214895038574E-2</v>
      </c>
      <c r="AN90" s="494">
        <f ca="1">IF($A90="*","",IFERROR(VLOOKUP($C90,' COM_2017_old'!$B$61:$AJ$120,MATCH(VLOOKUP("*"&amp;$AX90,$A$10:$J$11,$J$9,FALSE)&amp;AN$7,' COM_2017_old'!$B$58:$AJ$58,0),FALSE),""))</f>
        <v>0</v>
      </c>
      <c r="AO90" s="391" t="str">
        <f ca="1">IFERROR(VLOOKUP($C90,COM_2012!$B$61:$AH$120,MATCH(VLOOKUP("*"&amp;$AX90,$A$10:$J$11,$J$9,FALSE)&amp;AO$7,COM_2012!$B$58:$AH$58,0),FALSE),"")</f>
        <v/>
      </c>
      <c r="AP90" s="391" t="str">
        <f ca="1">IFERROR(VLOOKUP($C90,COM_2012!$B$61:$AH$120,MATCH(VLOOKUP("*"&amp;$AX90,$A$10:$J$11,$J$9,FALSE)&amp;AP$7,COM_2012!$B$58:$AH$58,0),FALSE),"")</f>
        <v/>
      </c>
      <c r="AQ90" s="391" t="str">
        <f ca="1">IFERROR(VLOOKUP($C90,COM_2012!$B$61:$AH$120,MATCH(VLOOKUP("*"&amp;$AX90,$A$10:$J$11,$J$9,FALSE)&amp;AQ$7,COM_2012!$B$58:$AH$58,0),FALSE),"")</f>
        <v/>
      </c>
      <c r="AR90" s="391" t="str">
        <f ca="1">IFERROR(VLOOKUP($C90,COM_2012!$B$61:$AH$120,MATCH(VLOOKUP("*"&amp;$AX90,$A$10:$J$11,$J$9,FALSE)&amp;AR$7,COM_2012!$B$58:$AH$58,0),FALSE),"")</f>
        <v/>
      </c>
      <c r="AS90" s="391" t="str">
        <f ca="1">IFERROR(VLOOKUP($C90,COM_2012!$B$61:$AH$120,MATCH(VLOOKUP("*"&amp;$AX90,$A$10:$J$11,$J$9,FALSE)&amp;AS$7,COM_2012!$B$58:$AH$58,0),FALSE),"")</f>
        <v/>
      </c>
      <c r="AT90" s="391" t="str">
        <f ca="1">IFERROR(VLOOKUP($C90,COM_2012!$B$61:$AH$120,MATCH(VLOOKUP("*"&amp;$AX90,$A$10:$J$11,$J$9,FALSE)&amp;AT$7,COM_2012!$B$58:$AH$58,0),FALSE),"")</f>
        <v/>
      </c>
      <c r="AU90" s="391" t="str">
        <f ca="1">IFERROR(VLOOKUP($C90,COM_2012!$B$61:$AH$120,MATCH(VLOOKUP("*"&amp;$AX90,$A$10:$J$11,$J$9,FALSE)&amp;AU$7,COM_2012!$B$58:$AH$58,0),FALSE),"")</f>
        <v/>
      </c>
      <c r="AV90" s="391" t="str">
        <f ca="1">IFERROR(VLOOKUP($C90,COM_2012!$B$61:$AH$120,MATCH(VLOOKUP("*"&amp;$AX90,$A$10:$J$11,$J$9,FALSE)&amp;AV$7,COM_2012!$B$58:$AH$58,0),FALSE),"")</f>
        <v/>
      </c>
      <c r="AW90" s="391" t="str">
        <f ca="1">IFERROR(VLOOKUP($C90,COM_2012!$B$61:$AH$120,MATCH(VLOOKUP("*"&amp;$AX90,$A$10:$J$11,$J$9,FALSE)&amp;AW$7,COM_2012!$B$58:$AH$58,0),FALSE),"")</f>
        <v/>
      </c>
      <c r="AX90" s="304">
        <f>IF(AY89=COM_2012!$AI$121,AX89+1,AX89)</f>
        <v>2</v>
      </c>
      <c r="AY90" s="304">
        <f t="shared" si="55"/>
        <v>17</v>
      </c>
    </row>
    <row r="91" spans="1:51">
      <c r="A91" s="304" t="str">
        <f ca="1">IF(LEFT(OFFSET(COM_2012!$A$60,AY91,0),2)="\I","*","")</f>
        <v/>
      </c>
      <c r="B91" s="369" t="str">
        <f t="shared" ca="1" si="53"/>
        <v>FLO_MRKPRD</v>
      </c>
      <c r="C91" s="369" t="str">
        <f ca="1">IF($A91="*","",OFFSET(COM_2012!$B$60,AY91,0))</f>
        <v>CEKCOA-E</v>
      </c>
      <c r="D91" s="369" t="str">
        <f t="shared" ca="1" si="54"/>
        <v>CEK</v>
      </c>
      <c r="E91" s="369" t="str">
        <f t="shared" ca="1" si="42"/>
        <v>-</v>
      </c>
      <c r="F91" s="370" t="str">
        <f t="shared" ca="1" si="17"/>
        <v>-</v>
      </c>
      <c r="G91" s="370" t="str">
        <f t="shared" ca="1" si="17"/>
        <v>ANNUAL</v>
      </c>
      <c r="H91" s="370" t="str">
        <f t="shared" ca="1" si="44"/>
        <v>LO</v>
      </c>
      <c r="I91" s="370">
        <f t="shared" ca="1" si="44"/>
        <v>0</v>
      </c>
      <c r="J91" s="494" t="str">
        <f>IF(J$7&lt;2020,"",IF(A91="*","",IFERROR(VLOOKUP($C91,COM_2012!$B$61:$AH$120,MATCH(VLOOKUP("*"&amp;$AX91,$A$10:$J$11,$J$9,FALSE)&amp;J$7,COM_2012!$B$58:$AH$58,0),FALSE),"")))</f>
        <v/>
      </c>
      <c r="K91" s="494" t="str">
        <f>IF(K$7&lt;2020,"",IF(B91="*","",IFERROR(VLOOKUP($C91,COM_2012!$B$61:$AH$120,MATCH(VLOOKUP("*"&amp;$AX91,$A$10:$J$11,$J$9,FALSE)&amp;K$7,COM_2012!$B$58:$AH$58,0),FALSE),"")))</f>
        <v/>
      </c>
      <c r="L91" s="494" t="str">
        <f>IF(L$7&lt;2020,"",IF(C91="*","",IFERROR(VLOOKUP($C91,COM_2012!$B$61:$AH$120,MATCH(VLOOKUP("*"&amp;$AX91,$A$10:$J$11,$J$9,FALSE)&amp;L$7,COM_2012!$B$58:$AH$58,0),FALSE),"")))</f>
        <v/>
      </c>
      <c r="M91" s="494" t="str">
        <f>IF(M$7&lt;2020,"",IF(D91="*","",IFERROR(VLOOKUP($C91,COM_2012!$B$61:$AH$120,MATCH(VLOOKUP("*"&amp;$AX91,$A$10:$J$11,$J$9,FALSE)&amp;M$7,COM_2012!$B$58:$AH$58,0),FALSE),"")))</f>
        <v/>
      </c>
      <c r="N91" s="494" t="str">
        <f ca="1">IFERROR(VLOOKUP($C91,COM_2012!$B$61:$AH$120,MATCH(VLOOKUP("*"&amp;$AX91,$A$10:$J$11,$J$9,FALSE)&amp;N$7,COM_2012!$B$58:$AH$58,0),FALSE),"")</f>
        <v/>
      </c>
      <c r="O91" s="494" t="str">
        <f>IF(O$7&lt;2020,"",IF($A91="*","",IFERROR(VLOOKUP($C91,' COM_2017_old'!$B$61:$AJ$120,MATCH(VLOOKUP("*"&amp;$AX91,$A$10:$J$11,$J$9,FALSE)&amp;O$7,' COM_2017_old'!$B$58:$AJ$58,0),FALSE),"")))</f>
        <v/>
      </c>
      <c r="P91" s="494" t="str">
        <f ca="1">IFERROR(VLOOKUP($C91,COM_2012!$B$61:$AH$120,MATCH(VLOOKUP("*"&amp;$AX91,$A$10:$J$11,$J$9,FALSE)&amp;P$7,COM_2012!$B$58:$AH$58,0),FALSE),"")</f>
        <v/>
      </c>
      <c r="Q91" s="494" t="str">
        <f ca="1">IFERROR(VLOOKUP($C91,COM_2012!$B$61:$AH$120,MATCH(VLOOKUP("*"&amp;$AX91,$A$10:$J$11,$J$9,FALSE)&amp;Q$7,COM_2012!$B$58:$AH$58,0),FALSE),"")</f>
        <v/>
      </c>
      <c r="R91" s="494">
        <f ca="1">IF($A91="*","",IFERROR(VLOOKUP($C91,' COM_2017_old'!$B$61:$AJ$120,MATCH(VLOOKUP("*"&amp;$AX91,$A$10:$J$11,$J$9,FALSE)&amp;R$7,' COM_2017_old'!$B$58:$AJ$58,0),FALSE),""))</f>
        <v>1.6440623032694338E-3</v>
      </c>
      <c r="S91" s="494">
        <f ca="1">IF($A91="*","",R91+($W91-$R91)/5)</f>
        <v>1.620333568995442E-3</v>
      </c>
      <c r="T91" s="494">
        <f t="shared" ca="1" si="60"/>
        <v>1.5966048347214501E-3</v>
      </c>
      <c r="U91" s="494">
        <f t="shared" ca="1" si="60"/>
        <v>1.5728761004474583E-3</v>
      </c>
      <c r="V91" s="494">
        <f t="shared" ca="1" si="60"/>
        <v>1.5491473661734664E-3</v>
      </c>
      <c r="W91" s="494">
        <f ca="1">IF($A91="*","",IFERROR(VLOOKUP($C91,' COM_2017_old'!$B$61:$AJ$120,MATCH(VLOOKUP("*"&amp;$AX91,$A$10:$J$11,$J$9,FALSE)&amp;W$7,' COM_2017_old'!$B$58:$AJ$58,0),FALSE),""))</f>
        <v>1.5254186318994748E-3</v>
      </c>
      <c r="X91" s="494">
        <f ca="1">IF($A91="*","",W91+($AB91-$W91)/5)</f>
        <v>1.457622248259498E-3</v>
      </c>
      <c r="Y91" s="494">
        <f t="shared" ca="1" si="61"/>
        <v>1.3898258646195213E-3</v>
      </c>
      <c r="Z91" s="494">
        <f t="shared" ca="1" si="61"/>
        <v>1.3220294809795446E-3</v>
      </c>
      <c r="AA91" s="494">
        <f t="shared" ca="1" si="61"/>
        <v>1.2542330973395678E-3</v>
      </c>
      <c r="AB91" s="494">
        <f ca="1">IF($A91="*","",IFERROR(VLOOKUP($C91,' COM_2017_old'!$B$61:$AJ$120,MATCH(VLOOKUP("*"&amp;$AX91,$A$10:$J$11,$J$9,FALSE)&amp;AB$7,' COM_2017_old'!$B$58:$AJ$58,0),FALSE),""))</f>
        <v>1.1864367136995913E-3</v>
      </c>
      <c r="AC91" s="494">
        <f ca="1">IF($A91="*","",AB91+($AG91-$AB91)/5)</f>
        <v>1.1016912341496206E-3</v>
      </c>
      <c r="AD91" s="494">
        <f t="shared" ca="1" si="62"/>
        <v>1.0169457545996499E-3</v>
      </c>
      <c r="AE91" s="494">
        <f t="shared" ca="1" si="62"/>
        <v>9.322002750496791E-4</v>
      </c>
      <c r="AF91" s="494">
        <f t="shared" ca="1" si="62"/>
        <v>8.474547954997083E-4</v>
      </c>
      <c r="AG91" s="494">
        <f ca="1">IF($A91="*","",IFERROR(VLOOKUP($C91,' COM_2017_old'!$B$61:$AJ$120,MATCH(VLOOKUP("*"&amp;$AX91,$A$10:$J$11,$J$9,FALSE)&amp;AG$7,' COM_2017_old'!$B$58:$AJ$58,0),FALSE),""))</f>
        <v>7.6270931594973738E-4</v>
      </c>
      <c r="AH91" s="494">
        <f ca="1">IF($A91="*","",AG91+($AL91-$AG91)/5)</f>
        <v>6.6101474048977239E-4</v>
      </c>
      <c r="AI91" s="494">
        <f t="shared" ca="1" si="63"/>
        <v>5.593201650298074E-4</v>
      </c>
      <c r="AJ91" s="494">
        <f t="shared" ca="1" si="63"/>
        <v>4.5762558956984241E-4</v>
      </c>
      <c r="AK91" s="494">
        <f t="shared" ca="1" si="63"/>
        <v>3.5593101410987741E-4</v>
      </c>
      <c r="AL91" s="494">
        <f ca="1">IF($A91="*","",IFERROR(VLOOKUP($C91,' COM_2017_old'!$B$61:$AJ$120,MATCH(VLOOKUP("*"&amp;$AX91,$A$10:$J$11,$J$9,FALSE)&amp;AL$7,' COM_2017_old'!$B$58:$AJ$58,0),FALSE),""))</f>
        <v>2.5423643864991242E-4</v>
      </c>
      <c r="AM91" s="494">
        <f ca="1">IF($A91="*","",IFERROR(VLOOKUP($C91,' COM_2017_old'!$B$61:$AJ$120,MATCH(VLOOKUP("*"&amp;$AX91,$A$10:$J$11,$J$9,FALSE)&amp;AM$7,' COM_2017_old'!$B$58:$AJ$58,0),FALSE),""))</f>
        <v>8.4745479549970821E-5</v>
      </c>
      <c r="AN91" s="494">
        <f ca="1">IF($A91="*","",IFERROR(VLOOKUP($C91,' COM_2017_old'!$B$61:$AJ$120,MATCH(VLOOKUP("*"&amp;$AX91,$A$10:$J$11,$J$9,FALSE)&amp;AN$7,' COM_2017_old'!$B$58:$AJ$58,0),FALSE),""))</f>
        <v>0</v>
      </c>
      <c r="AO91" s="391" t="str">
        <f ca="1">IFERROR(VLOOKUP($C91,COM_2012!$B$61:$AH$120,MATCH(VLOOKUP("*"&amp;$AX91,$A$10:$J$11,$J$9,FALSE)&amp;AO$7,COM_2012!$B$58:$AH$58,0),FALSE),"")</f>
        <v/>
      </c>
      <c r="AP91" s="391" t="str">
        <f ca="1">IFERROR(VLOOKUP($C91,COM_2012!$B$61:$AH$120,MATCH(VLOOKUP("*"&amp;$AX91,$A$10:$J$11,$J$9,FALSE)&amp;AP$7,COM_2012!$B$58:$AH$58,0),FALSE),"")</f>
        <v/>
      </c>
      <c r="AQ91" s="391" t="str">
        <f ca="1">IFERROR(VLOOKUP($C91,COM_2012!$B$61:$AH$120,MATCH(VLOOKUP("*"&amp;$AX91,$A$10:$J$11,$J$9,FALSE)&amp;AQ$7,COM_2012!$B$58:$AH$58,0),FALSE),"")</f>
        <v/>
      </c>
      <c r="AR91" s="391" t="str">
        <f ca="1">IFERROR(VLOOKUP($C91,COM_2012!$B$61:$AH$120,MATCH(VLOOKUP("*"&amp;$AX91,$A$10:$J$11,$J$9,FALSE)&amp;AR$7,COM_2012!$B$58:$AH$58,0),FALSE),"")</f>
        <v/>
      </c>
      <c r="AS91" s="391" t="str">
        <f ca="1">IFERROR(VLOOKUP($C91,COM_2012!$B$61:$AH$120,MATCH(VLOOKUP("*"&amp;$AX91,$A$10:$J$11,$J$9,FALSE)&amp;AS$7,COM_2012!$B$58:$AH$58,0),FALSE),"")</f>
        <v/>
      </c>
      <c r="AT91" s="391" t="str">
        <f ca="1">IFERROR(VLOOKUP($C91,COM_2012!$B$61:$AH$120,MATCH(VLOOKUP("*"&amp;$AX91,$A$10:$J$11,$J$9,FALSE)&amp;AT$7,COM_2012!$B$58:$AH$58,0),FALSE),"")</f>
        <v/>
      </c>
      <c r="AU91" s="391" t="str">
        <f ca="1">IFERROR(VLOOKUP($C91,COM_2012!$B$61:$AH$120,MATCH(VLOOKUP("*"&amp;$AX91,$A$10:$J$11,$J$9,FALSE)&amp;AU$7,COM_2012!$B$58:$AH$58,0),FALSE),"")</f>
        <v/>
      </c>
      <c r="AV91" s="391" t="str">
        <f ca="1">IFERROR(VLOOKUP($C91,COM_2012!$B$61:$AH$120,MATCH(VLOOKUP("*"&amp;$AX91,$A$10:$J$11,$J$9,FALSE)&amp;AV$7,COM_2012!$B$58:$AH$58,0),FALSE),"")</f>
        <v/>
      </c>
      <c r="AW91" s="391" t="str">
        <f ca="1">IFERROR(VLOOKUP($C91,COM_2012!$B$61:$AH$120,MATCH(VLOOKUP("*"&amp;$AX91,$A$10:$J$11,$J$9,FALSE)&amp;AW$7,COM_2012!$B$58:$AH$58,0),FALSE),"")</f>
        <v/>
      </c>
      <c r="AX91" s="304">
        <f>IF(AY90=COM_2012!$AI$121,AX90+1,AX90)</f>
        <v>2</v>
      </c>
      <c r="AY91" s="304">
        <f t="shared" si="55"/>
        <v>18</v>
      </c>
    </row>
    <row r="92" spans="1:51">
      <c r="A92" s="304" t="str">
        <f ca="1">IF(LEFT(OFFSET(COM_2012!$A$60,AY92,0),2)="\I","*","")</f>
        <v>*</v>
      </c>
      <c r="B92" s="369" t="str">
        <f t="shared" ca="1" si="53"/>
        <v/>
      </c>
      <c r="C92" s="369" t="str">
        <f ca="1">IF($A92="*","",OFFSET(COM_2012!$B$60,AY92,0))</f>
        <v/>
      </c>
      <c r="D92" s="369" t="str">
        <f t="shared" ca="1" si="54"/>
        <v/>
      </c>
      <c r="E92" s="369" t="str">
        <f t="shared" ca="1" si="42"/>
        <v/>
      </c>
      <c r="F92" s="370" t="str">
        <f t="shared" ca="1" si="17"/>
        <v/>
      </c>
      <c r="G92" s="370" t="str">
        <f t="shared" ca="1" si="17"/>
        <v/>
      </c>
      <c r="H92" s="370" t="str">
        <f t="shared" ca="1" si="44"/>
        <v/>
      </c>
      <c r="I92" s="370" t="str">
        <f t="shared" ca="1" si="44"/>
        <v/>
      </c>
      <c r="J92" s="494" t="str">
        <f>IF(J$7&lt;2020,"",IF(A92="*","",IFERROR(VLOOKUP($C92,COM_2012!$B$61:$AH$120,MATCH(VLOOKUP("*"&amp;$AX92,$A$10:$J$11,$J$9,FALSE)&amp;J$7,COM_2012!$B$58:$AH$58,0),FALSE),"")))</f>
        <v/>
      </c>
      <c r="K92" s="494" t="str">
        <f>IF(K$7&lt;2020,"",IF(B92="*","",IFERROR(VLOOKUP($C92,COM_2012!$B$61:$AH$120,MATCH(VLOOKUP("*"&amp;$AX92,$A$10:$J$11,$J$9,FALSE)&amp;K$7,COM_2012!$B$58:$AH$58,0),FALSE),"")))</f>
        <v/>
      </c>
      <c r="L92" s="494" t="str">
        <f>IF(L$7&lt;2020,"",IF(C92="*","",IFERROR(VLOOKUP($C92,COM_2012!$B$61:$AH$120,MATCH(VLOOKUP("*"&amp;$AX92,$A$10:$J$11,$J$9,FALSE)&amp;L$7,COM_2012!$B$58:$AH$58,0),FALSE),"")))</f>
        <v/>
      </c>
      <c r="M92" s="494" t="str">
        <f>IF(M$7&lt;2020,"",IF(D92="*","",IFERROR(VLOOKUP($C92,COM_2012!$B$61:$AH$120,MATCH(VLOOKUP("*"&amp;$AX92,$A$10:$J$11,$J$9,FALSE)&amp;M$7,COM_2012!$B$58:$AH$58,0),FALSE),"")))</f>
        <v/>
      </c>
      <c r="N92" s="494" t="str">
        <f ca="1">IFERROR(VLOOKUP($C92,COM_2012!$B$61:$AH$120,MATCH(VLOOKUP("*"&amp;$AX92,$A$10:$J$11,$J$9,FALSE)&amp;N$7,COM_2012!$B$58:$AH$58,0),FALSE),"")</f>
        <v/>
      </c>
      <c r="O92" s="494" t="str">
        <f>IF(O$7&lt;2020,"",IF($A92="*","",IFERROR(VLOOKUP($C92,' COM_2017_old'!$B$61:$AJ$120,MATCH(VLOOKUP("*"&amp;$AX92,$A$10:$J$11,$J$9,FALSE)&amp;O$7,' COM_2017_old'!$B$58:$AJ$58,0),FALSE),"")))</f>
        <v/>
      </c>
      <c r="P92" s="494" t="str">
        <f ca="1">IFERROR(VLOOKUP($C92,COM_2012!$B$61:$AH$120,MATCH(VLOOKUP("*"&amp;$AX92,$A$10:$J$11,$J$9,FALSE)&amp;P$7,COM_2012!$B$58:$AH$58,0),FALSE),"")</f>
        <v/>
      </c>
      <c r="Q92" s="494" t="str">
        <f ca="1">IFERROR(VLOOKUP($C92,COM_2012!$B$61:$AH$120,MATCH(VLOOKUP("*"&amp;$AX92,$A$10:$J$11,$J$9,FALSE)&amp;Q$7,COM_2012!$B$58:$AH$58,0),FALSE),"")</f>
        <v/>
      </c>
      <c r="R92" s="494" t="str">
        <f ca="1">IF($A92="*","",IFERROR(VLOOKUP($C92,' COM_2017_old'!$B$61:$AJ$120,MATCH(VLOOKUP("*"&amp;$AX92,$A$10:$J$11,$J$9,FALSE)&amp;R$7,' COM_2017_old'!$B$58:$AJ$58,0),FALSE),""))</f>
        <v/>
      </c>
      <c r="S92" s="494" t="str">
        <f ca="1">IFERROR(VLOOKUP($C92,COM_2012!$B$61:$AH$120,MATCH(VLOOKUP("*"&amp;$AX92,$A$10:$J$11,$J$9,FALSE)&amp;S$7,COM_2012!$B$58:$AH$58,0),FALSE),"")</f>
        <v/>
      </c>
      <c r="T92" s="494" t="str">
        <f ca="1">IFERROR(VLOOKUP($C92,COM_2012!$B$61:$AH$120,MATCH(VLOOKUP("*"&amp;$AX92,$A$10:$J$11,$J$9,FALSE)&amp;T$7,COM_2012!$B$58:$AH$58,0),FALSE),"")</f>
        <v/>
      </c>
      <c r="U92" s="494" t="str">
        <f ca="1">IFERROR(VLOOKUP($C92,COM_2012!$B$61:$AH$120,MATCH(VLOOKUP("*"&amp;$AX92,$A$10:$J$11,$J$9,FALSE)&amp;U$7,COM_2012!$B$58:$AH$58,0),FALSE),"")</f>
        <v/>
      </c>
      <c r="V92" s="494" t="str">
        <f ca="1">IFERROR(VLOOKUP($C92,COM_2012!$B$61:$AH$120,MATCH(VLOOKUP("*"&amp;$AX92,$A$10:$J$11,$J$9,FALSE)&amp;V$7,COM_2012!$B$58:$AH$58,0),FALSE),"")</f>
        <v/>
      </c>
      <c r="W92" s="494" t="str">
        <f ca="1">IF($A92="*","",IFERROR(VLOOKUP($C92,' COM_2017_old'!$B$61:$AJ$120,MATCH(VLOOKUP("*"&amp;$AX92,$A$10:$J$11,$J$9,FALSE)&amp;W$7,' COM_2017_old'!$B$58:$AJ$58,0),FALSE),""))</f>
        <v/>
      </c>
      <c r="X92" s="494" t="str">
        <f ca="1">IFERROR(VLOOKUP($C92,COM_2012!$B$61:$AH$120,MATCH(VLOOKUP("*"&amp;$AX92,$A$10:$J$11,$J$9,FALSE)&amp;X$7,COM_2012!$B$58:$AH$58,0),FALSE),"")</f>
        <v/>
      </c>
      <c r="Y92" s="494" t="str">
        <f ca="1">IFERROR(VLOOKUP($C92,COM_2012!$B$61:$AH$120,MATCH(VLOOKUP("*"&amp;$AX92,$A$10:$J$11,$J$9,FALSE)&amp;Y$7,COM_2012!$B$58:$AH$58,0),FALSE),"")</f>
        <v/>
      </c>
      <c r="Z92" s="494" t="str">
        <f ca="1">IFERROR(VLOOKUP($C92,COM_2012!$B$61:$AH$120,MATCH(VLOOKUP("*"&amp;$AX92,$A$10:$J$11,$J$9,FALSE)&amp;Z$7,COM_2012!$B$58:$AH$58,0),FALSE),"")</f>
        <v/>
      </c>
      <c r="AA92" s="494" t="str">
        <f ca="1">IFERROR(VLOOKUP($C92,COM_2012!$B$61:$AH$120,MATCH(VLOOKUP("*"&amp;$AX92,$A$10:$J$11,$J$9,FALSE)&amp;AA$7,COM_2012!$B$58:$AH$58,0),FALSE),"")</f>
        <v/>
      </c>
      <c r="AB92" s="494" t="str">
        <f ca="1">IF($A92="*","",IFERROR(VLOOKUP($C92,' COM_2017_old'!$B$61:$AJ$120,MATCH(VLOOKUP("*"&amp;$AX92,$A$10:$J$11,$J$9,FALSE)&amp;AB$7,' COM_2017_old'!$B$58:$AJ$58,0),FALSE),""))</f>
        <v/>
      </c>
      <c r="AC92" s="494" t="str">
        <f ca="1">IFERROR(VLOOKUP($C92,COM_2012!$B$61:$AH$120,MATCH(VLOOKUP("*"&amp;$AX92,$A$10:$J$11,$J$9,FALSE)&amp;AC$7,COM_2012!$B$58:$AH$58,0),FALSE),"")</f>
        <v/>
      </c>
      <c r="AD92" s="391" t="str">
        <f ca="1">IFERROR(VLOOKUP($C92,COM_2012!$B$61:$AH$120,MATCH(VLOOKUP("*"&amp;$AX92,$A$10:$J$11,$J$9,FALSE)&amp;AD$7,COM_2012!$B$58:$AH$58,0),FALSE),"")</f>
        <v/>
      </c>
      <c r="AE92" s="391" t="str">
        <f ca="1">IFERROR(VLOOKUP($C92,COM_2012!$B$61:$AH$120,MATCH(VLOOKUP("*"&amp;$AX92,$A$10:$J$11,$J$9,FALSE)&amp;AE$7,COM_2012!$B$58:$AH$58,0),FALSE),"")</f>
        <v/>
      </c>
      <c r="AF92" s="391" t="str">
        <f ca="1">IFERROR(VLOOKUP($C92,COM_2012!$B$61:$AH$120,MATCH(VLOOKUP("*"&amp;$AX92,$A$10:$J$11,$J$9,FALSE)&amp;AF$7,COM_2012!$B$58:$AH$58,0),FALSE),"")</f>
        <v/>
      </c>
      <c r="AG92" s="494" t="str">
        <f ca="1">IF($A92="*","",IFERROR(VLOOKUP($C92,' COM_2017_old'!$B$61:$AJ$120,MATCH(VLOOKUP("*"&amp;$AX92,$A$10:$J$11,$J$9,FALSE)&amp;AG$7,' COM_2017_old'!$B$58:$AJ$58,0),FALSE),""))</f>
        <v/>
      </c>
      <c r="AH92" s="391" t="str">
        <f ca="1">IFERROR(VLOOKUP($C92,COM_2012!$B$61:$AH$120,MATCH(VLOOKUP("*"&amp;$AX92,$A$10:$J$11,$J$9,FALSE)&amp;AH$7,COM_2012!$B$58:$AH$58,0),FALSE),"")</f>
        <v/>
      </c>
      <c r="AI92" s="391" t="str">
        <f ca="1">IFERROR(VLOOKUP($C92,COM_2012!$B$61:$AH$120,MATCH(VLOOKUP("*"&amp;$AX92,$A$10:$J$11,$J$9,FALSE)&amp;AI$7,COM_2012!$B$58:$AH$58,0),FALSE),"")</f>
        <v/>
      </c>
      <c r="AJ92" s="391" t="str">
        <f ca="1">IFERROR(VLOOKUP($C92,COM_2012!$B$61:$AH$120,MATCH(VLOOKUP("*"&amp;$AX92,$A$10:$J$11,$J$9,FALSE)&amp;AJ$7,COM_2012!$B$58:$AH$58,0),FALSE),"")</f>
        <v/>
      </c>
      <c r="AK92" s="391" t="str">
        <f ca="1">IFERROR(VLOOKUP($C92,COM_2012!$B$61:$AH$120,MATCH(VLOOKUP("*"&amp;$AX92,$A$10:$J$11,$J$9,FALSE)&amp;AK$7,COM_2012!$B$58:$AH$58,0),FALSE),"")</f>
        <v/>
      </c>
      <c r="AL92" s="494" t="str">
        <f ca="1">IF($A92="*","",IFERROR(VLOOKUP($C92,' COM_2017_old'!$B$61:$AJ$120,MATCH(VLOOKUP("*"&amp;$AX92,$A$10:$J$11,$J$9,FALSE)&amp;AL$7,' COM_2017_old'!$B$58:$AJ$58,0),FALSE),""))</f>
        <v/>
      </c>
      <c r="AM92" s="494" t="str">
        <f ca="1">IF($A92="*","",IFERROR(VLOOKUP($C92,' COM_2017_old'!$B$61:$AJ$120,MATCH(VLOOKUP("*"&amp;$AX92,$A$10:$J$11,$J$9,FALSE)&amp;AM$7,' COM_2017_old'!$B$58:$AJ$58,0),FALSE),""))</f>
        <v/>
      </c>
      <c r="AN92" s="494" t="str">
        <f ca="1">IF($A92="*","",IFERROR(VLOOKUP($C92,' COM_2017_old'!$B$61:$AJ$120,MATCH(VLOOKUP("*"&amp;$AX92,$A$10:$J$11,$J$9,FALSE)&amp;AN$7,' COM_2017_old'!$B$58:$AJ$58,0),FALSE),""))</f>
        <v/>
      </c>
      <c r="AO92" s="391" t="str">
        <f ca="1">IFERROR(VLOOKUP($C92,COM_2012!$B$61:$AH$120,MATCH(VLOOKUP("*"&amp;$AX92,$A$10:$J$11,$J$9,FALSE)&amp;AO$7,COM_2012!$B$58:$AH$58,0),FALSE),"")</f>
        <v/>
      </c>
      <c r="AP92" s="391" t="str">
        <f ca="1">IFERROR(VLOOKUP($C92,COM_2012!$B$61:$AH$120,MATCH(VLOOKUP("*"&amp;$AX92,$A$10:$J$11,$J$9,FALSE)&amp;AP$7,COM_2012!$B$58:$AH$58,0),FALSE),"")</f>
        <v/>
      </c>
      <c r="AQ92" s="391" t="str">
        <f ca="1">IFERROR(VLOOKUP($C92,COM_2012!$B$61:$AH$120,MATCH(VLOOKUP("*"&amp;$AX92,$A$10:$J$11,$J$9,FALSE)&amp;AQ$7,COM_2012!$B$58:$AH$58,0),FALSE),"")</f>
        <v/>
      </c>
      <c r="AR92" s="391" t="str">
        <f ca="1">IFERROR(VLOOKUP($C92,COM_2012!$B$61:$AH$120,MATCH(VLOOKUP("*"&amp;$AX92,$A$10:$J$11,$J$9,FALSE)&amp;AR$7,COM_2012!$B$58:$AH$58,0),FALSE),"")</f>
        <v/>
      </c>
      <c r="AS92" s="391" t="str">
        <f ca="1">IFERROR(VLOOKUP($C92,COM_2012!$B$61:$AH$120,MATCH(VLOOKUP("*"&amp;$AX92,$A$10:$J$11,$J$9,FALSE)&amp;AS$7,COM_2012!$B$58:$AH$58,0),FALSE),"")</f>
        <v/>
      </c>
      <c r="AT92" s="391" t="str">
        <f ca="1">IFERROR(VLOOKUP($C92,COM_2012!$B$61:$AH$120,MATCH(VLOOKUP("*"&amp;$AX92,$A$10:$J$11,$J$9,FALSE)&amp;AT$7,COM_2012!$B$58:$AH$58,0),FALSE),"")</f>
        <v/>
      </c>
      <c r="AU92" s="391" t="str">
        <f ca="1">IFERROR(VLOOKUP($C92,COM_2012!$B$61:$AH$120,MATCH(VLOOKUP("*"&amp;$AX92,$A$10:$J$11,$J$9,FALSE)&amp;AU$7,COM_2012!$B$58:$AH$58,0),FALSE),"")</f>
        <v/>
      </c>
      <c r="AV92" s="391" t="str">
        <f ca="1">IFERROR(VLOOKUP($C92,COM_2012!$B$61:$AH$120,MATCH(VLOOKUP("*"&amp;$AX92,$A$10:$J$11,$J$9,FALSE)&amp;AV$7,COM_2012!$B$58:$AH$58,0),FALSE),"")</f>
        <v/>
      </c>
      <c r="AW92" s="391" t="str">
        <f ca="1">IFERROR(VLOOKUP($C92,COM_2012!$B$61:$AH$120,MATCH(VLOOKUP("*"&amp;$AX92,$A$10:$J$11,$J$9,FALSE)&amp;AW$7,COM_2012!$B$58:$AH$58,0),FALSE),"")</f>
        <v/>
      </c>
      <c r="AX92" s="304">
        <f>IF(AY91=COM_2012!$AI$121,AX91+1,AX91)</f>
        <v>2</v>
      </c>
      <c r="AY92" s="304">
        <f t="shared" si="55"/>
        <v>19</v>
      </c>
    </row>
    <row r="93" spans="1:51">
      <c r="A93" s="304" t="str">
        <f ca="1">IF(LEFT(OFFSET(COM_2012!$A$60,AY93,0),2)="\I","*","")</f>
        <v>*</v>
      </c>
      <c r="B93" s="369" t="str">
        <f t="shared" ca="1" si="53"/>
        <v/>
      </c>
      <c r="C93" s="369" t="str">
        <f ca="1">IF($A93="*","",OFFSET(COM_2012!$B$60,AY93,0))</f>
        <v/>
      </c>
      <c r="D93" s="369" t="str">
        <f t="shared" ca="1" si="54"/>
        <v/>
      </c>
      <c r="E93" s="369" t="str">
        <f t="shared" ca="1" si="42"/>
        <v/>
      </c>
      <c r="F93" s="370" t="str">
        <f t="shared" ca="1" si="17"/>
        <v/>
      </c>
      <c r="G93" s="370" t="str">
        <f t="shared" ca="1" si="17"/>
        <v/>
      </c>
      <c r="H93" s="370" t="str">
        <f t="shared" ca="1" si="44"/>
        <v/>
      </c>
      <c r="I93" s="370" t="str">
        <f t="shared" ca="1" si="44"/>
        <v/>
      </c>
      <c r="J93" s="494" t="str">
        <f>IF(J$7&lt;2020,"",IF(A93="*","",IFERROR(VLOOKUP($C93,COM_2012!$B$61:$AH$120,MATCH(VLOOKUP("*"&amp;$AX93,$A$10:$J$11,$J$9,FALSE)&amp;J$7,COM_2012!$B$58:$AH$58,0),FALSE),"")))</f>
        <v/>
      </c>
      <c r="K93" s="494" t="str">
        <f>IF(K$7&lt;2020,"",IF(B93="*","",IFERROR(VLOOKUP($C93,COM_2012!$B$61:$AH$120,MATCH(VLOOKUP("*"&amp;$AX93,$A$10:$J$11,$J$9,FALSE)&amp;K$7,COM_2012!$B$58:$AH$58,0),FALSE),"")))</f>
        <v/>
      </c>
      <c r="L93" s="494" t="str">
        <f>IF(L$7&lt;2020,"",IF(C93="*","",IFERROR(VLOOKUP($C93,COM_2012!$B$61:$AH$120,MATCH(VLOOKUP("*"&amp;$AX93,$A$10:$J$11,$J$9,FALSE)&amp;L$7,COM_2012!$B$58:$AH$58,0),FALSE),"")))</f>
        <v/>
      </c>
      <c r="M93" s="494" t="str">
        <f>IF(M$7&lt;2020,"",IF(D93="*","",IFERROR(VLOOKUP($C93,COM_2012!$B$61:$AH$120,MATCH(VLOOKUP("*"&amp;$AX93,$A$10:$J$11,$J$9,FALSE)&amp;M$7,COM_2012!$B$58:$AH$58,0),FALSE),"")))</f>
        <v/>
      </c>
      <c r="N93" s="494" t="str">
        <f ca="1">IFERROR(VLOOKUP($C93,COM_2012!$B$61:$AH$120,MATCH(VLOOKUP("*"&amp;$AX93,$A$10:$J$11,$J$9,FALSE)&amp;N$7,COM_2012!$B$58:$AH$58,0),FALSE),"")</f>
        <v/>
      </c>
      <c r="O93" s="494" t="str">
        <f>IF(O$7&lt;2020,"",IF($A93="*","",IFERROR(VLOOKUP($C93,' COM_2017_old'!$B$61:$AJ$120,MATCH(VLOOKUP("*"&amp;$AX93,$A$10:$J$11,$J$9,FALSE)&amp;O$7,' COM_2017_old'!$B$58:$AJ$58,0),FALSE),"")))</f>
        <v/>
      </c>
      <c r="P93" s="494" t="str">
        <f ca="1">IFERROR(VLOOKUP($C93,COM_2012!$B$61:$AH$120,MATCH(VLOOKUP("*"&amp;$AX93,$A$10:$J$11,$J$9,FALSE)&amp;P$7,COM_2012!$B$58:$AH$58,0),FALSE),"")</f>
        <v/>
      </c>
      <c r="Q93" s="494" t="str">
        <f ca="1">IFERROR(VLOOKUP($C93,COM_2012!$B$61:$AH$120,MATCH(VLOOKUP("*"&amp;$AX93,$A$10:$J$11,$J$9,FALSE)&amp;Q$7,COM_2012!$B$58:$AH$58,0),FALSE),"")</f>
        <v/>
      </c>
      <c r="R93" s="494" t="str">
        <f ca="1">IF($A93="*","",IFERROR(VLOOKUP($C93,' COM_2017_old'!$B$61:$AJ$120,MATCH(VLOOKUP("*"&amp;$AX93,$A$10:$J$11,$J$9,FALSE)&amp;R$7,' COM_2017_old'!$B$58:$AJ$58,0),FALSE),""))</f>
        <v/>
      </c>
      <c r="S93" s="494" t="str">
        <f ca="1">IFERROR(VLOOKUP($C93,COM_2012!$B$61:$AH$120,MATCH(VLOOKUP("*"&amp;$AX93,$A$10:$J$11,$J$9,FALSE)&amp;S$7,COM_2012!$B$58:$AH$58,0),FALSE),"")</f>
        <v/>
      </c>
      <c r="T93" s="494" t="str">
        <f ca="1">IFERROR(VLOOKUP($C93,COM_2012!$B$61:$AH$120,MATCH(VLOOKUP("*"&amp;$AX93,$A$10:$J$11,$J$9,FALSE)&amp;T$7,COM_2012!$B$58:$AH$58,0),FALSE),"")</f>
        <v/>
      </c>
      <c r="U93" s="494" t="str">
        <f ca="1">IFERROR(VLOOKUP($C93,COM_2012!$B$61:$AH$120,MATCH(VLOOKUP("*"&amp;$AX93,$A$10:$J$11,$J$9,FALSE)&amp;U$7,COM_2012!$B$58:$AH$58,0),FALSE),"")</f>
        <v/>
      </c>
      <c r="V93" s="494" t="str">
        <f ca="1">IFERROR(VLOOKUP($C93,COM_2012!$B$61:$AH$120,MATCH(VLOOKUP("*"&amp;$AX93,$A$10:$J$11,$J$9,FALSE)&amp;V$7,COM_2012!$B$58:$AH$58,0),FALSE),"")</f>
        <v/>
      </c>
      <c r="W93" s="494" t="str">
        <f ca="1">IF($A93="*","",IFERROR(VLOOKUP($C93,' COM_2017_old'!$B$61:$AJ$120,MATCH(VLOOKUP("*"&amp;$AX93,$A$10:$J$11,$J$9,FALSE)&amp;W$7,' COM_2017_old'!$B$58:$AJ$58,0),FALSE),""))</f>
        <v/>
      </c>
      <c r="X93" s="494" t="str">
        <f ca="1">IFERROR(VLOOKUP($C93,COM_2012!$B$61:$AH$120,MATCH(VLOOKUP("*"&amp;$AX93,$A$10:$J$11,$J$9,FALSE)&amp;X$7,COM_2012!$B$58:$AH$58,0),FALSE),"")</f>
        <v/>
      </c>
      <c r="Y93" s="494" t="str">
        <f ca="1">IFERROR(VLOOKUP($C93,COM_2012!$B$61:$AH$120,MATCH(VLOOKUP("*"&amp;$AX93,$A$10:$J$11,$J$9,FALSE)&amp;Y$7,COM_2012!$B$58:$AH$58,0),FALSE),"")</f>
        <v/>
      </c>
      <c r="Z93" s="494" t="str">
        <f ca="1">IFERROR(VLOOKUP($C93,COM_2012!$B$61:$AH$120,MATCH(VLOOKUP("*"&amp;$AX93,$A$10:$J$11,$J$9,FALSE)&amp;Z$7,COM_2012!$B$58:$AH$58,0),FALSE),"")</f>
        <v/>
      </c>
      <c r="AA93" s="494" t="str">
        <f ca="1">IFERROR(VLOOKUP($C93,COM_2012!$B$61:$AH$120,MATCH(VLOOKUP("*"&amp;$AX93,$A$10:$J$11,$J$9,FALSE)&amp;AA$7,COM_2012!$B$58:$AH$58,0),FALSE),"")</f>
        <v/>
      </c>
      <c r="AB93" s="494" t="str">
        <f ca="1">IF($A93="*","",IFERROR(VLOOKUP($C93,' COM_2017_old'!$B$61:$AJ$120,MATCH(VLOOKUP("*"&amp;$AX93,$A$10:$J$11,$J$9,FALSE)&amp;AB$7,' COM_2017_old'!$B$58:$AJ$58,0),FALSE),""))</f>
        <v/>
      </c>
      <c r="AC93" s="494" t="str">
        <f ca="1">IFERROR(VLOOKUP($C93,COM_2012!$B$61:$AH$120,MATCH(VLOOKUP("*"&amp;$AX93,$A$10:$J$11,$J$9,FALSE)&amp;AC$7,COM_2012!$B$58:$AH$58,0),FALSE),"")</f>
        <v/>
      </c>
      <c r="AD93" s="391" t="str">
        <f ca="1">IFERROR(VLOOKUP($C93,COM_2012!$B$61:$AH$120,MATCH(VLOOKUP("*"&amp;$AX93,$A$10:$J$11,$J$9,FALSE)&amp;AD$7,COM_2012!$B$58:$AH$58,0),FALSE),"")</f>
        <v/>
      </c>
      <c r="AE93" s="391" t="str">
        <f ca="1">IFERROR(VLOOKUP($C93,COM_2012!$B$61:$AH$120,MATCH(VLOOKUP("*"&amp;$AX93,$A$10:$J$11,$J$9,FALSE)&amp;AE$7,COM_2012!$B$58:$AH$58,0),FALSE),"")</f>
        <v/>
      </c>
      <c r="AF93" s="391" t="str">
        <f ca="1">IFERROR(VLOOKUP($C93,COM_2012!$B$61:$AH$120,MATCH(VLOOKUP("*"&amp;$AX93,$A$10:$J$11,$J$9,FALSE)&amp;AF$7,COM_2012!$B$58:$AH$58,0),FALSE),"")</f>
        <v/>
      </c>
      <c r="AG93" s="494" t="str">
        <f ca="1">IF($A93="*","",IFERROR(VLOOKUP($C93,' COM_2017_old'!$B$61:$AJ$120,MATCH(VLOOKUP("*"&amp;$AX93,$A$10:$J$11,$J$9,FALSE)&amp;AG$7,' COM_2017_old'!$B$58:$AJ$58,0),FALSE),""))</f>
        <v/>
      </c>
      <c r="AH93" s="391" t="str">
        <f ca="1">IFERROR(VLOOKUP($C93,COM_2012!$B$61:$AH$120,MATCH(VLOOKUP("*"&amp;$AX93,$A$10:$J$11,$J$9,FALSE)&amp;AH$7,COM_2012!$B$58:$AH$58,0),FALSE),"")</f>
        <v/>
      </c>
      <c r="AI93" s="391" t="str">
        <f ca="1">IFERROR(VLOOKUP($C93,COM_2012!$B$61:$AH$120,MATCH(VLOOKUP("*"&amp;$AX93,$A$10:$J$11,$J$9,FALSE)&amp;AI$7,COM_2012!$B$58:$AH$58,0),FALSE),"")</f>
        <v/>
      </c>
      <c r="AJ93" s="391" t="str">
        <f ca="1">IFERROR(VLOOKUP($C93,COM_2012!$B$61:$AH$120,MATCH(VLOOKUP("*"&amp;$AX93,$A$10:$J$11,$J$9,FALSE)&amp;AJ$7,COM_2012!$B$58:$AH$58,0),FALSE),"")</f>
        <v/>
      </c>
      <c r="AK93" s="391" t="str">
        <f ca="1">IFERROR(VLOOKUP($C93,COM_2012!$B$61:$AH$120,MATCH(VLOOKUP("*"&amp;$AX93,$A$10:$J$11,$J$9,FALSE)&amp;AK$7,COM_2012!$B$58:$AH$58,0),FALSE),"")</f>
        <v/>
      </c>
      <c r="AL93" s="494" t="str">
        <f ca="1">IF($A93="*","",IFERROR(VLOOKUP($C93,' COM_2017_old'!$B$61:$AJ$120,MATCH(VLOOKUP("*"&amp;$AX93,$A$10:$J$11,$J$9,FALSE)&amp;AL$7,' COM_2017_old'!$B$58:$AJ$58,0),FALSE),""))</f>
        <v/>
      </c>
      <c r="AM93" s="494" t="str">
        <f ca="1">IF($A93="*","",IFERROR(VLOOKUP($C93,' COM_2017_old'!$B$61:$AJ$120,MATCH(VLOOKUP("*"&amp;$AX93,$A$10:$J$11,$J$9,FALSE)&amp;AM$7,' COM_2017_old'!$B$58:$AJ$58,0),FALSE),""))</f>
        <v/>
      </c>
      <c r="AN93" s="494" t="str">
        <f ca="1">IF($A93="*","",IFERROR(VLOOKUP($C93,' COM_2017_old'!$B$61:$AJ$120,MATCH(VLOOKUP("*"&amp;$AX93,$A$10:$J$11,$J$9,FALSE)&amp;AN$7,' COM_2017_old'!$B$58:$AJ$58,0),FALSE),""))</f>
        <v/>
      </c>
      <c r="AO93" s="391" t="str">
        <f ca="1">IFERROR(VLOOKUP($C93,COM_2012!$B$61:$AH$120,MATCH(VLOOKUP("*"&amp;$AX93,$A$10:$J$11,$J$9,FALSE)&amp;AO$7,COM_2012!$B$58:$AH$58,0),FALSE),"")</f>
        <v/>
      </c>
      <c r="AP93" s="391" t="str">
        <f ca="1">IFERROR(VLOOKUP($C93,COM_2012!$B$61:$AH$120,MATCH(VLOOKUP("*"&amp;$AX93,$A$10:$J$11,$J$9,FALSE)&amp;AP$7,COM_2012!$B$58:$AH$58,0),FALSE),"")</f>
        <v/>
      </c>
      <c r="AQ93" s="391" t="str">
        <f ca="1">IFERROR(VLOOKUP($C93,COM_2012!$B$61:$AH$120,MATCH(VLOOKUP("*"&amp;$AX93,$A$10:$J$11,$J$9,FALSE)&amp;AQ$7,COM_2012!$B$58:$AH$58,0),FALSE),"")</f>
        <v/>
      </c>
      <c r="AR93" s="391" t="str">
        <f ca="1">IFERROR(VLOOKUP($C93,COM_2012!$B$61:$AH$120,MATCH(VLOOKUP("*"&amp;$AX93,$A$10:$J$11,$J$9,FALSE)&amp;AR$7,COM_2012!$B$58:$AH$58,0),FALSE),"")</f>
        <v/>
      </c>
      <c r="AS93" s="391" t="str">
        <f ca="1">IFERROR(VLOOKUP($C93,COM_2012!$B$61:$AH$120,MATCH(VLOOKUP("*"&amp;$AX93,$A$10:$J$11,$J$9,FALSE)&amp;AS$7,COM_2012!$B$58:$AH$58,0),FALSE),"")</f>
        <v/>
      </c>
      <c r="AT93" s="391" t="str">
        <f ca="1">IFERROR(VLOOKUP($C93,COM_2012!$B$61:$AH$120,MATCH(VLOOKUP("*"&amp;$AX93,$A$10:$J$11,$J$9,FALSE)&amp;AT$7,COM_2012!$B$58:$AH$58,0),FALSE),"")</f>
        <v/>
      </c>
      <c r="AU93" s="391" t="str">
        <f ca="1">IFERROR(VLOOKUP($C93,COM_2012!$B$61:$AH$120,MATCH(VLOOKUP("*"&amp;$AX93,$A$10:$J$11,$J$9,FALSE)&amp;AU$7,COM_2012!$B$58:$AH$58,0),FALSE),"")</f>
        <v/>
      </c>
      <c r="AV93" s="391" t="str">
        <f ca="1">IFERROR(VLOOKUP($C93,COM_2012!$B$61:$AH$120,MATCH(VLOOKUP("*"&amp;$AX93,$A$10:$J$11,$J$9,FALSE)&amp;AV$7,COM_2012!$B$58:$AH$58,0),FALSE),"")</f>
        <v/>
      </c>
      <c r="AW93" s="391" t="str">
        <f ca="1">IFERROR(VLOOKUP($C93,COM_2012!$B$61:$AH$120,MATCH(VLOOKUP("*"&amp;$AX93,$A$10:$J$11,$J$9,FALSE)&amp;AW$7,COM_2012!$B$58:$AH$58,0),FALSE),"")</f>
        <v/>
      </c>
      <c r="AX93" s="304">
        <f>IF(AY92=COM_2012!$AI$121,AX92+1,AX92)</f>
        <v>2</v>
      </c>
      <c r="AY93" s="304">
        <f t="shared" si="55"/>
        <v>20</v>
      </c>
    </row>
    <row r="94" spans="1:51">
      <c r="A94" s="304" t="str">
        <f ca="1">IF(LEFT(OFFSET(COM_2012!$A$60,AY94,0),2)="\I","*","")</f>
        <v/>
      </c>
      <c r="B94" s="369" t="str">
        <f t="shared" ca="1" si="53"/>
        <v>FLO_MRKPRD</v>
      </c>
      <c r="C94" s="369" t="str">
        <f ca="1">IF($A94="*","",OFFSET(COM_2012!$B$60,AY94,0))</f>
        <v>CELELCCFL-E</v>
      </c>
      <c r="D94" s="369" t="str">
        <f t="shared" ca="1" si="54"/>
        <v>CEL</v>
      </c>
      <c r="E94" s="369" t="str">
        <f t="shared" ca="1" si="42"/>
        <v>-</v>
      </c>
      <c r="F94" s="370" t="str">
        <f t="shared" ca="1" si="17"/>
        <v>-</v>
      </c>
      <c r="G94" s="370" t="str">
        <f t="shared" ca="1" si="17"/>
        <v>ANNUAL</v>
      </c>
      <c r="H94" s="370" t="str">
        <f t="shared" ca="1" si="44"/>
        <v>LO</v>
      </c>
      <c r="I94" s="370">
        <f t="shared" ca="1" si="44"/>
        <v>0</v>
      </c>
      <c r="J94" s="494" t="str">
        <f>IF(J$7&lt;2020,"",IF(A94="*","",IFERROR(VLOOKUP($C94,COM_2012!$B$61:$AH$120,MATCH(VLOOKUP("*"&amp;$AX94,$A$10:$J$11,$J$9,FALSE)&amp;J$7,COM_2012!$B$58:$AH$58,0),FALSE),"")))</f>
        <v/>
      </c>
      <c r="K94" s="494" t="str">
        <f>IF(K$7&lt;2020,"",IF(B94="*","",IFERROR(VLOOKUP($C94,COM_2012!$B$61:$AH$120,MATCH(VLOOKUP("*"&amp;$AX94,$A$10:$J$11,$J$9,FALSE)&amp;K$7,COM_2012!$B$58:$AH$58,0),FALSE),"")))</f>
        <v/>
      </c>
      <c r="L94" s="494" t="str">
        <f>IF(L$7&lt;2020,"",IF(C94="*","",IFERROR(VLOOKUP($C94,COM_2012!$B$61:$AH$120,MATCH(VLOOKUP("*"&amp;$AX94,$A$10:$J$11,$J$9,FALSE)&amp;L$7,COM_2012!$B$58:$AH$58,0),FALSE),"")))</f>
        <v/>
      </c>
      <c r="M94" s="494" t="str">
        <f>IF(M$7&lt;2020,"",IF(D94="*","",IFERROR(VLOOKUP($C94,COM_2012!$B$61:$AH$120,MATCH(VLOOKUP("*"&amp;$AX94,$A$10:$J$11,$J$9,FALSE)&amp;M$7,COM_2012!$B$58:$AH$58,0),FALSE),"")))</f>
        <v/>
      </c>
      <c r="N94" s="494" t="str">
        <f ca="1">IFERROR(VLOOKUP($C94,COM_2012!$B$61:$AH$120,MATCH(VLOOKUP("*"&amp;$AX94,$A$10:$J$11,$J$9,FALSE)&amp;N$7,COM_2012!$B$58:$AH$58,0),FALSE),"")</f>
        <v/>
      </c>
      <c r="O94" s="494" t="str">
        <f>IF(O$7&lt;2020,"",IF($A94="*","",IFERROR(VLOOKUP($C94,' COM_2017_old'!$B$61:$AJ$120,MATCH(VLOOKUP("*"&amp;$AX94,$A$10:$J$11,$J$9,FALSE)&amp;O$7,' COM_2017_old'!$B$58:$AJ$58,0),FALSE),"")))</f>
        <v/>
      </c>
      <c r="P94" s="494" t="str">
        <f ca="1">IFERROR(VLOOKUP($C94,COM_2012!$B$61:$AH$120,MATCH(VLOOKUP("*"&amp;$AX94,$A$10:$J$11,$J$9,FALSE)&amp;P$7,COM_2012!$B$58:$AH$58,0),FALSE),"")</f>
        <v/>
      </c>
      <c r="Q94" s="494" t="str">
        <f ca="1">IFERROR(VLOOKUP($C94,COM_2012!$B$61:$AH$120,MATCH(VLOOKUP("*"&amp;$AX94,$A$10:$J$11,$J$9,FALSE)&amp;Q$7,COM_2012!$B$58:$AH$58,0),FALSE),"")</f>
        <v/>
      </c>
      <c r="R94" s="494">
        <f ca="1">IF($A94="*","",IFERROR(VLOOKUP($C94,' COM_2017_old'!$B$61:$AJ$120,MATCH(VLOOKUP("*"&amp;$AX94,$A$10:$J$11,$J$9,FALSE)&amp;R$7,' COM_2017_old'!$B$58:$AJ$58,0),FALSE),""))</f>
        <v>5.0663219133807356E-2</v>
      </c>
      <c r="S94" s="494">
        <f t="shared" ref="S94:S99" ca="1" si="64">IF($A94="*","",R94+($W94-$R94)/5)</f>
        <v>4.9931997414350344E-2</v>
      </c>
      <c r="T94" s="494">
        <f t="shared" ref="T94:V99" ca="1" si="65">IF($A94="*","",S94+($W94-$R94)/5)</f>
        <v>4.9200775694893333E-2</v>
      </c>
      <c r="U94" s="494">
        <f t="shared" ca="1" si="65"/>
        <v>4.8469553975436321E-2</v>
      </c>
      <c r="V94" s="494">
        <f t="shared" ca="1" si="65"/>
        <v>4.7738332255979309E-2</v>
      </c>
      <c r="W94" s="494">
        <f ca="1">IF($A94="*","",IFERROR(VLOOKUP($C94,' COM_2017_old'!$B$61:$AJ$120,MATCH(VLOOKUP("*"&amp;$AX94,$A$10:$J$11,$J$9,FALSE)&amp;W$7,' COM_2017_old'!$B$58:$AJ$58,0),FALSE),""))</f>
        <v>4.700711053652229E-2</v>
      </c>
      <c r="X94" s="494">
        <f t="shared" ref="X94:X99" ca="1" si="66">IF($A94="*","",W94+($AB94-$W94)/5)</f>
        <v>4.4917905623787967E-2</v>
      </c>
      <c r="Y94" s="494">
        <f t="shared" ref="Y94:AA99" ca="1" si="67">IF($A94="*","",X94+($AB94-$W94)/5)</f>
        <v>4.2828700711053644E-2</v>
      </c>
      <c r="Z94" s="494">
        <f t="shared" ca="1" si="67"/>
        <v>4.0739495798319321E-2</v>
      </c>
      <c r="AA94" s="494">
        <f t="shared" ca="1" si="67"/>
        <v>3.8650290885584998E-2</v>
      </c>
      <c r="AB94" s="494">
        <f ca="1">IF($A94="*","",IFERROR(VLOOKUP($C94,' COM_2017_old'!$B$61:$AJ$120,MATCH(VLOOKUP("*"&amp;$AX94,$A$10:$J$11,$J$9,FALSE)&amp;AB$7,' COM_2017_old'!$B$58:$AJ$58,0),FALSE),""))</f>
        <v>3.6561085972850668E-2</v>
      </c>
      <c r="AC94" s="494">
        <f t="shared" ref="AC94:AC99" ca="1" si="68">IF($A94="*","",AB94+($AG94-$AB94)/5)</f>
        <v>3.3949579831932766E-2</v>
      </c>
      <c r="AD94" s="494">
        <f t="shared" ref="AD94:AF99" ca="1" si="69">IF($A94="*","",AC94+($AG94-$AB94)/5)</f>
        <v>3.1338073691014864E-2</v>
      </c>
      <c r="AE94" s="494">
        <f t="shared" ca="1" si="69"/>
        <v>2.8726567550096959E-2</v>
      </c>
      <c r="AF94" s="494">
        <f t="shared" ca="1" si="69"/>
        <v>2.6115061409179054E-2</v>
      </c>
      <c r="AG94" s="494">
        <f ca="1">IF($A94="*","",IFERROR(VLOOKUP($C94,' COM_2017_old'!$B$61:$AJ$120,MATCH(VLOOKUP("*"&amp;$AX94,$A$10:$J$11,$J$9,FALSE)&amp;AG$7,' COM_2017_old'!$B$58:$AJ$58,0),FALSE),""))</f>
        <v>2.3503555268261145E-2</v>
      </c>
      <c r="AH94" s="494">
        <f t="shared" ref="AH94:AH99" ca="1" si="70">IF($A94="*","",AG94+($AL94-$AG94)/5)</f>
        <v>2.0369747899159657E-2</v>
      </c>
      <c r="AI94" s="494">
        <f t="shared" ref="AI94:AK99" ca="1" si="71">IF($A94="*","",AH94+($AL94-$AG94)/5)</f>
        <v>1.7235940530058169E-2</v>
      </c>
      <c r="AJ94" s="494">
        <f t="shared" ca="1" si="71"/>
        <v>1.4102133160956683E-2</v>
      </c>
      <c r="AK94" s="494">
        <f t="shared" ca="1" si="71"/>
        <v>1.0968325791855197E-2</v>
      </c>
      <c r="AL94" s="494">
        <f ca="1">IF($A94="*","",IFERROR(VLOOKUP($C94,' COM_2017_old'!$B$61:$AJ$120,MATCH(VLOOKUP("*"&amp;$AX94,$A$10:$J$11,$J$9,FALSE)&amp;AL$7,' COM_2017_old'!$B$58:$AJ$58,0),FALSE),""))</f>
        <v>7.8345184227537144E-3</v>
      </c>
      <c r="AM94" s="494">
        <f ca="1">IF($A94="*","",IFERROR(VLOOKUP($C94,' COM_2017_old'!$B$61:$AJ$120,MATCH(VLOOKUP("*"&amp;$AX94,$A$10:$J$11,$J$9,FALSE)&amp;AM$7,' COM_2017_old'!$B$58:$AJ$58,0),FALSE),""))</f>
        <v>2.6115061409179054E-3</v>
      </c>
      <c r="AN94" s="494">
        <f ca="1">IF($A94="*","",IFERROR(VLOOKUP($C94,' COM_2017_old'!$B$61:$AJ$120,MATCH(VLOOKUP("*"&amp;$AX94,$A$10:$J$11,$J$9,FALSE)&amp;AN$7,' COM_2017_old'!$B$58:$AJ$58,0),FALSE),""))</f>
        <v>0</v>
      </c>
      <c r="AO94" s="391" t="str">
        <f ca="1">IFERROR(VLOOKUP($C94,COM_2012!$B$61:$AH$120,MATCH(VLOOKUP("*"&amp;$AX94,$A$10:$J$11,$J$9,FALSE)&amp;AO$7,COM_2012!$B$58:$AH$58,0),FALSE),"")</f>
        <v/>
      </c>
      <c r="AP94" s="391" t="str">
        <f ca="1">IFERROR(VLOOKUP($C94,COM_2012!$B$61:$AH$120,MATCH(VLOOKUP("*"&amp;$AX94,$A$10:$J$11,$J$9,FALSE)&amp;AP$7,COM_2012!$B$58:$AH$58,0),FALSE),"")</f>
        <v/>
      </c>
      <c r="AQ94" s="391" t="str">
        <f ca="1">IFERROR(VLOOKUP($C94,COM_2012!$B$61:$AH$120,MATCH(VLOOKUP("*"&amp;$AX94,$A$10:$J$11,$J$9,FALSE)&amp;AQ$7,COM_2012!$B$58:$AH$58,0),FALSE),"")</f>
        <v/>
      </c>
      <c r="AR94" s="391" t="str">
        <f ca="1">IFERROR(VLOOKUP($C94,COM_2012!$B$61:$AH$120,MATCH(VLOOKUP("*"&amp;$AX94,$A$10:$J$11,$J$9,FALSE)&amp;AR$7,COM_2012!$B$58:$AH$58,0),FALSE),"")</f>
        <v/>
      </c>
      <c r="AS94" s="391" t="str">
        <f ca="1">IFERROR(VLOOKUP($C94,COM_2012!$B$61:$AH$120,MATCH(VLOOKUP("*"&amp;$AX94,$A$10:$J$11,$J$9,FALSE)&amp;AS$7,COM_2012!$B$58:$AH$58,0),FALSE),"")</f>
        <v/>
      </c>
      <c r="AT94" s="391" t="str">
        <f ca="1">IFERROR(VLOOKUP($C94,COM_2012!$B$61:$AH$120,MATCH(VLOOKUP("*"&amp;$AX94,$A$10:$J$11,$J$9,FALSE)&amp;AT$7,COM_2012!$B$58:$AH$58,0),FALSE),"")</f>
        <v/>
      </c>
      <c r="AU94" s="391" t="str">
        <f ca="1">IFERROR(VLOOKUP($C94,COM_2012!$B$61:$AH$120,MATCH(VLOOKUP("*"&amp;$AX94,$A$10:$J$11,$J$9,FALSE)&amp;AU$7,COM_2012!$B$58:$AH$58,0),FALSE),"")</f>
        <v/>
      </c>
      <c r="AV94" s="391" t="str">
        <f ca="1">IFERROR(VLOOKUP($C94,COM_2012!$B$61:$AH$120,MATCH(VLOOKUP("*"&amp;$AX94,$A$10:$J$11,$J$9,FALSE)&amp;AV$7,COM_2012!$B$58:$AH$58,0),FALSE),"")</f>
        <v/>
      </c>
      <c r="AW94" s="391" t="str">
        <f ca="1">IFERROR(VLOOKUP($C94,COM_2012!$B$61:$AH$120,MATCH(VLOOKUP("*"&amp;$AX94,$A$10:$J$11,$J$9,FALSE)&amp;AW$7,COM_2012!$B$58:$AH$58,0),FALSE),"")</f>
        <v/>
      </c>
      <c r="AX94" s="304">
        <f>IF(AY93=COM_2012!$AI$121,AX93+1,AX93)</f>
        <v>2</v>
      </c>
      <c r="AY94" s="304">
        <f t="shared" si="55"/>
        <v>21</v>
      </c>
    </row>
    <row r="95" spans="1:51">
      <c r="A95" s="304" t="str">
        <f ca="1">IF(LEFT(OFFSET(COM_2012!$A$60,AY95,0),2)="\I","*","")</f>
        <v/>
      </c>
      <c r="B95" s="369" t="str">
        <f t="shared" ca="1" si="53"/>
        <v>FLO_MRKPRD</v>
      </c>
      <c r="C95" s="369" t="str">
        <f ca="1">IF($A95="*","",OFFSET(COM_2012!$B$60,AY95,0))</f>
        <v>CELELCFLU-E</v>
      </c>
      <c r="D95" s="369" t="str">
        <f t="shared" ca="1" si="54"/>
        <v>CEL</v>
      </c>
      <c r="E95" s="369" t="str">
        <f t="shared" ca="1" si="42"/>
        <v>-</v>
      </c>
      <c r="F95" s="370" t="str">
        <f t="shared" ca="1" si="17"/>
        <v>-</v>
      </c>
      <c r="G95" s="370" t="str">
        <f t="shared" ca="1" si="17"/>
        <v>ANNUAL</v>
      </c>
      <c r="H95" s="370" t="str">
        <f t="shared" ca="1" si="44"/>
        <v>LO</v>
      </c>
      <c r="I95" s="370">
        <f t="shared" ca="1" si="44"/>
        <v>0</v>
      </c>
      <c r="J95" s="494" t="str">
        <f>IF(J$7&lt;2020,"",IF(A95="*","",IFERROR(VLOOKUP($C95,COM_2012!$B$61:$AH$120,MATCH(VLOOKUP("*"&amp;$AX95,$A$10:$J$11,$J$9,FALSE)&amp;J$7,COM_2012!$B$58:$AH$58,0),FALSE),"")))</f>
        <v/>
      </c>
      <c r="K95" s="494" t="str">
        <f>IF(K$7&lt;2020,"",IF(B95="*","",IFERROR(VLOOKUP($C95,COM_2012!$B$61:$AH$120,MATCH(VLOOKUP("*"&amp;$AX95,$A$10:$J$11,$J$9,FALSE)&amp;K$7,COM_2012!$B$58:$AH$58,0),FALSE),"")))</f>
        <v/>
      </c>
      <c r="L95" s="494" t="str">
        <f>IF(L$7&lt;2020,"",IF(C95="*","",IFERROR(VLOOKUP($C95,COM_2012!$B$61:$AH$120,MATCH(VLOOKUP("*"&amp;$AX95,$A$10:$J$11,$J$9,FALSE)&amp;L$7,COM_2012!$B$58:$AH$58,0),FALSE),"")))</f>
        <v/>
      </c>
      <c r="M95" s="494" t="str">
        <f>IF(M$7&lt;2020,"",IF(D95="*","",IFERROR(VLOOKUP($C95,COM_2012!$B$61:$AH$120,MATCH(VLOOKUP("*"&amp;$AX95,$A$10:$J$11,$J$9,FALSE)&amp;M$7,COM_2012!$B$58:$AH$58,0),FALSE),"")))</f>
        <v/>
      </c>
      <c r="N95" s="494" t="str">
        <f ca="1">IFERROR(VLOOKUP($C95,COM_2012!$B$61:$AH$120,MATCH(VLOOKUP("*"&amp;$AX95,$A$10:$J$11,$J$9,FALSE)&amp;N$7,COM_2012!$B$58:$AH$58,0),FALSE),"")</f>
        <v/>
      </c>
      <c r="O95" s="494" t="str">
        <f>IF(O$7&lt;2020,"",IF($A95="*","",IFERROR(VLOOKUP($C95,' COM_2017_old'!$B$61:$AJ$120,MATCH(VLOOKUP("*"&amp;$AX95,$A$10:$J$11,$J$9,FALSE)&amp;O$7,' COM_2017_old'!$B$58:$AJ$58,0),FALSE),"")))</f>
        <v/>
      </c>
      <c r="P95" s="494" t="str">
        <f ca="1">IFERROR(VLOOKUP($C95,COM_2012!$B$61:$AH$120,MATCH(VLOOKUP("*"&amp;$AX95,$A$10:$J$11,$J$9,FALSE)&amp;P$7,COM_2012!$B$58:$AH$58,0),FALSE),"")</f>
        <v/>
      </c>
      <c r="Q95" s="494" t="str">
        <f ca="1">IFERROR(VLOOKUP($C95,COM_2012!$B$61:$AH$120,MATCH(VLOOKUP("*"&amp;$AX95,$A$10:$J$11,$J$9,FALSE)&amp;Q$7,COM_2012!$B$58:$AH$58,0),FALSE),"")</f>
        <v/>
      </c>
      <c r="R95" s="494">
        <f ca="1">IF($A95="*","",IFERROR(VLOOKUP($C95,' COM_2017_old'!$B$61:$AJ$120,MATCH(VLOOKUP("*"&amp;$AX95,$A$10:$J$11,$J$9,FALSE)&amp;R$7,' COM_2017_old'!$B$58:$AJ$58,0),FALSE),""))</f>
        <v>0.66495475113122171</v>
      </c>
      <c r="S95" s="494">
        <f t="shared" ca="1" si="64"/>
        <v>0.65535746606334844</v>
      </c>
      <c r="T95" s="494">
        <f t="shared" ca="1" si="65"/>
        <v>0.64576018099547516</v>
      </c>
      <c r="U95" s="494">
        <f t="shared" ca="1" si="65"/>
        <v>0.63616289592760189</v>
      </c>
      <c r="V95" s="494">
        <f t="shared" ca="1" si="65"/>
        <v>0.62656561085972862</v>
      </c>
      <c r="W95" s="494">
        <f ca="1">IF($A95="*","",IFERROR(VLOOKUP($C95,' COM_2017_old'!$B$61:$AJ$120,MATCH(VLOOKUP("*"&amp;$AX95,$A$10:$J$11,$J$9,FALSE)&amp;W$7,' COM_2017_old'!$B$58:$AJ$58,0),FALSE),""))</f>
        <v>0.61696832579185523</v>
      </c>
      <c r="X95" s="494">
        <f t="shared" ca="1" si="66"/>
        <v>0.58954751131221717</v>
      </c>
      <c r="Y95" s="494">
        <f t="shared" ca="1" si="67"/>
        <v>0.5621266968325791</v>
      </c>
      <c r="Z95" s="494">
        <f t="shared" ca="1" si="67"/>
        <v>0.53470588235294103</v>
      </c>
      <c r="AA95" s="494">
        <f t="shared" ca="1" si="67"/>
        <v>0.50728506787330296</v>
      </c>
      <c r="AB95" s="494">
        <f ca="1">IF($A95="*","",IFERROR(VLOOKUP($C95,' COM_2017_old'!$B$61:$AJ$120,MATCH(VLOOKUP("*"&amp;$AX95,$A$10:$J$11,$J$9,FALSE)&amp;AB$7,' COM_2017_old'!$B$58:$AJ$58,0),FALSE),""))</f>
        <v>0.47986425339366512</v>
      </c>
      <c r="AC95" s="494">
        <f t="shared" ca="1" si="68"/>
        <v>0.44558823529411762</v>
      </c>
      <c r="AD95" s="494">
        <f t="shared" ca="1" si="69"/>
        <v>0.41131221719457012</v>
      </c>
      <c r="AE95" s="494">
        <f t="shared" ca="1" si="69"/>
        <v>0.37703619909502262</v>
      </c>
      <c r="AF95" s="494">
        <f t="shared" ca="1" si="69"/>
        <v>0.34276018099547512</v>
      </c>
      <c r="AG95" s="494">
        <f ca="1">IF($A95="*","",IFERROR(VLOOKUP($C95,' COM_2017_old'!$B$61:$AJ$120,MATCH(VLOOKUP("*"&amp;$AX95,$A$10:$J$11,$J$9,FALSE)&amp;AG$7,' COM_2017_old'!$B$58:$AJ$58,0),FALSE),""))</f>
        <v>0.30848416289592762</v>
      </c>
      <c r="AH95" s="494">
        <f t="shared" ca="1" si="70"/>
        <v>0.26735294117647057</v>
      </c>
      <c r="AI95" s="494">
        <f t="shared" ca="1" si="71"/>
        <v>0.22622171945701355</v>
      </c>
      <c r="AJ95" s="494">
        <f t="shared" ca="1" si="71"/>
        <v>0.18509049773755654</v>
      </c>
      <c r="AK95" s="494">
        <f t="shared" ca="1" si="71"/>
        <v>0.14395927601809952</v>
      </c>
      <c r="AL95" s="494">
        <f ca="1">IF($A95="*","",IFERROR(VLOOKUP($C95,' COM_2017_old'!$B$61:$AJ$120,MATCH(VLOOKUP("*"&amp;$AX95,$A$10:$J$11,$J$9,FALSE)&amp;AL$7,' COM_2017_old'!$B$58:$AJ$58,0),FALSE),""))</f>
        <v>0.10282805429864253</v>
      </c>
      <c r="AM95" s="494">
        <f ca="1">IF($A95="*","",IFERROR(VLOOKUP($C95,' COM_2017_old'!$B$61:$AJ$120,MATCH(VLOOKUP("*"&amp;$AX95,$A$10:$J$11,$J$9,FALSE)&amp;AM$7,' COM_2017_old'!$B$58:$AJ$58,0),FALSE),""))</f>
        <v>3.4276018099547514E-2</v>
      </c>
      <c r="AN95" s="494">
        <f ca="1">IF($A95="*","",IFERROR(VLOOKUP($C95,' COM_2017_old'!$B$61:$AJ$120,MATCH(VLOOKUP("*"&amp;$AX95,$A$10:$J$11,$J$9,FALSE)&amp;AN$7,' COM_2017_old'!$B$58:$AJ$58,0),FALSE),""))</f>
        <v>0</v>
      </c>
      <c r="AO95" s="391" t="str">
        <f ca="1">IFERROR(VLOOKUP($C95,COM_2012!$B$61:$AH$120,MATCH(VLOOKUP("*"&amp;$AX95,$A$10:$J$11,$J$9,FALSE)&amp;AO$7,COM_2012!$B$58:$AH$58,0),FALSE),"")</f>
        <v/>
      </c>
      <c r="AP95" s="391" t="str">
        <f ca="1">IFERROR(VLOOKUP($C95,COM_2012!$B$61:$AH$120,MATCH(VLOOKUP("*"&amp;$AX95,$A$10:$J$11,$J$9,FALSE)&amp;AP$7,COM_2012!$B$58:$AH$58,0),FALSE),"")</f>
        <v/>
      </c>
      <c r="AQ95" s="391" t="str">
        <f ca="1">IFERROR(VLOOKUP($C95,COM_2012!$B$61:$AH$120,MATCH(VLOOKUP("*"&amp;$AX95,$A$10:$J$11,$J$9,FALSE)&amp;AQ$7,COM_2012!$B$58:$AH$58,0),FALSE),"")</f>
        <v/>
      </c>
      <c r="AR95" s="391" t="str">
        <f ca="1">IFERROR(VLOOKUP($C95,COM_2012!$B$61:$AH$120,MATCH(VLOOKUP("*"&amp;$AX95,$A$10:$J$11,$J$9,FALSE)&amp;AR$7,COM_2012!$B$58:$AH$58,0),FALSE),"")</f>
        <v/>
      </c>
      <c r="AS95" s="391" t="str">
        <f ca="1">IFERROR(VLOOKUP($C95,COM_2012!$B$61:$AH$120,MATCH(VLOOKUP("*"&amp;$AX95,$A$10:$J$11,$J$9,FALSE)&amp;AS$7,COM_2012!$B$58:$AH$58,0),FALSE),"")</f>
        <v/>
      </c>
      <c r="AT95" s="391" t="str">
        <f ca="1">IFERROR(VLOOKUP($C95,COM_2012!$B$61:$AH$120,MATCH(VLOOKUP("*"&amp;$AX95,$A$10:$J$11,$J$9,FALSE)&amp;AT$7,COM_2012!$B$58:$AH$58,0),FALSE),"")</f>
        <v/>
      </c>
      <c r="AU95" s="391" t="str">
        <f ca="1">IFERROR(VLOOKUP($C95,COM_2012!$B$61:$AH$120,MATCH(VLOOKUP("*"&amp;$AX95,$A$10:$J$11,$J$9,FALSE)&amp;AU$7,COM_2012!$B$58:$AH$58,0),FALSE),"")</f>
        <v/>
      </c>
      <c r="AV95" s="391" t="str">
        <f ca="1">IFERROR(VLOOKUP($C95,COM_2012!$B$61:$AH$120,MATCH(VLOOKUP("*"&amp;$AX95,$A$10:$J$11,$J$9,FALSE)&amp;AV$7,COM_2012!$B$58:$AH$58,0),FALSE),"")</f>
        <v/>
      </c>
      <c r="AW95" s="391" t="str">
        <f ca="1">IFERROR(VLOOKUP($C95,COM_2012!$B$61:$AH$120,MATCH(VLOOKUP("*"&amp;$AX95,$A$10:$J$11,$J$9,FALSE)&amp;AW$7,COM_2012!$B$58:$AH$58,0),FALSE),"")</f>
        <v/>
      </c>
      <c r="AX95" s="304">
        <f>IF(AY94=COM_2012!$AI$121,AX94+1,AX94)</f>
        <v>2</v>
      </c>
      <c r="AY95" s="304">
        <f t="shared" si="55"/>
        <v>22</v>
      </c>
    </row>
    <row r="96" spans="1:51">
      <c r="A96" s="304" t="str">
        <f ca="1">IF(LEFT(OFFSET(COM_2012!$A$60,AY96,0),2)="\I","*","")</f>
        <v/>
      </c>
      <c r="B96" s="369" t="str">
        <f t="shared" ca="1" si="53"/>
        <v>FLO_MRKPRD</v>
      </c>
      <c r="C96" s="369" t="str">
        <f ca="1">IF($A96="*","",OFFSET(COM_2012!$B$60,AY96,0))</f>
        <v>CELELCHAL-E</v>
      </c>
      <c r="D96" s="369" t="str">
        <f t="shared" ca="1" si="54"/>
        <v>CEL</v>
      </c>
      <c r="E96" s="369" t="str">
        <f t="shared" ca="1" si="42"/>
        <v>-</v>
      </c>
      <c r="F96" s="370" t="str">
        <f t="shared" ca="1" si="17"/>
        <v>-</v>
      </c>
      <c r="G96" s="370" t="str">
        <f t="shared" ca="1" si="17"/>
        <v>ANNUAL</v>
      </c>
      <c r="H96" s="370" t="str">
        <f t="shared" ca="1" si="44"/>
        <v>LO</v>
      </c>
      <c r="I96" s="370">
        <f t="shared" ca="1" si="44"/>
        <v>0</v>
      </c>
      <c r="J96" s="494" t="str">
        <f>IF(J$7&lt;2020,"",IF(A96="*","",IFERROR(VLOOKUP($C96,COM_2012!$B$61:$AH$120,MATCH(VLOOKUP("*"&amp;$AX96,$A$10:$J$11,$J$9,FALSE)&amp;J$7,COM_2012!$B$58:$AH$58,0),FALSE),"")))</f>
        <v/>
      </c>
      <c r="K96" s="494" t="str">
        <f>IF(K$7&lt;2020,"",IF(B96="*","",IFERROR(VLOOKUP($C96,COM_2012!$B$61:$AH$120,MATCH(VLOOKUP("*"&amp;$AX96,$A$10:$J$11,$J$9,FALSE)&amp;K$7,COM_2012!$B$58:$AH$58,0),FALSE),"")))</f>
        <v/>
      </c>
      <c r="L96" s="494" t="str">
        <f>IF(L$7&lt;2020,"",IF(C96="*","",IFERROR(VLOOKUP($C96,COM_2012!$B$61:$AH$120,MATCH(VLOOKUP("*"&amp;$AX96,$A$10:$J$11,$J$9,FALSE)&amp;L$7,COM_2012!$B$58:$AH$58,0),FALSE),"")))</f>
        <v/>
      </c>
      <c r="M96" s="494" t="str">
        <f>IF(M$7&lt;2020,"",IF(D96="*","",IFERROR(VLOOKUP($C96,COM_2012!$B$61:$AH$120,MATCH(VLOOKUP("*"&amp;$AX96,$A$10:$J$11,$J$9,FALSE)&amp;M$7,COM_2012!$B$58:$AH$58,0),FALSE),"")))</f>
        <v/>
      </c>
      <c r="N96" s="494" t="str">
        <f ca="1">IFERROR(VLOOKUP($C96,COM_2012!$B$61:$AH$120,MATCH(VLOOKUP("*"&amp;$AX96,$A$10:$J$11,$J$9,FALSE)&amp;N$7,COM_2012!$B$58:$AH$58,0),FALSE),"")</f>
        <v/>
      </c>
      <c r="O96" s="494" t="str">
        <f>IF(O$7&lt;2020,"",IF($A96="*","",IFERROR(VLOOKUP($C96,' COM_2017_old'!$B$61:$AJ$120,MATCH(VLOOKUP("*"&amp;$AX96,$A$10:$J$11,$J$9,FALSE)&amp;O$7,' COM_2017_old'!$B$58:$AJ$58,0),FALSE),"")))</f>
        <v/>
      </c>
      <c r="P96" s="494" t="str">
        <f ca="1">IFERROR(VLOOKUP($C96,COM_2012!$B$61:$AH$120,MATCH(VLOOKUP("*"&amp;$AX96,$A$10:$J$11,$J$9,FALSE)&amp;P$7,COM_2012!$B$58:$AH$58,0),FALSE),"")</f>
        <v/>
      </c>
      <c r="Q96" s="494" t="str">
        <f ca="1">IFERROR(VLOOKUP($C96,COM_2012!$B$61:$AH$120,MATCH(VLOOKUP("*"&amp;$AX96,$A$10:$J$11,$J$9,FALSE)&amp;Q$7,COM_2012!$B$58:$AH$58,0),FALSE),"")</f>
        <v/>
      </c>
      <c r="R96" s="494">
        <f ca="1">IF($A96="*","",IFERROR(VLOOKUP($C96,' COM_2017_old'!$B$61:$AJ$120,MATCH(VLOOKUP("*"&amp;$AX96,$A$10:$J$11,$J$9,FALSE)&amp;R$7,' COM_2017_old'!$B$58:$AJ$58,0),FALSE),""))</f>
        <v>8.4438698556345611E-3</v>
      </c>
      <c r="S96" s="494">
        <f t="shared" ca="1" si="64"/>
        <v>8.3219995690583925E-3</v>
      </c>
      <c r="T96" s="494">
        <f t="shared" ca="1" si="65"/>
        <v>8.2001292824822238E-3</v>
      </c>
      <c r="U96" s="494">
        <f t="shared" ca="1" si="65"/>
        <v>8.0782589959060552E-3</v>
      </c>
      <c r="V96" s="494">
        <f t="shared" ca="1" si="65"/>
        <v>7.9563887093298865E-3</v>
      </c>
      <c r="W96" s="494">
        <f ca="1">IF($A96="*","",IFERROR(VLOOKUP($C96,' COM_2017_old'!$B$61:$AJ$120,MATCH(VLOOKUP("*"&amp;$AX96,$A$10:$J$11,$J$9,FALSE)&amp;W$7,' COM_2017_old'!$B$58:$AJ$58,0),FALSE),""))</f>
        <v>7.8345184227537178E-3</v>
      </c>
      <c r="X96" s="494">
        <f t="shared" ca="1" si="66"/>
        <v>7.4863176039646631E-3</v>
      </c>
      <c r="Y96" s="494">
        <f t="shared" ca="1" si="67"/>
        <v>7.1381167851756085E-3</v>
      </c>
      <c r="Z96" s="494">
        <f t="shared" ca="1" si="67"/>
        <v>6.7899159663865538E-3</v>
      </c>
      <c r="AA96" s="494">
        <f t="shared" ca="1" si="67"/>
        <v>6.4417151475974991E-3</v>
      </c>
      <c r="AB96" s="494">
        <f ca="1">IF($A96="*","",IFERROR(VLOOKUP($C96,' COM_2017_old'!$B$61:$AJ$120,MATCH(VLOOKUP("*"&amp;$AX96,$A$10:$J$11,$J$9,FALSE)&amp;AB$7,' COM_2017_old'!$B$58:$AJ$58,0),FALSE),""))</f>
        <v>6.0935143288084461E-3</v>
      </c>
      <c r="AC96" s="494">
        <f t="shared" ca="1" si="68"/>
        <v>5.6582633053221289E-3</v>
      </c>
      <c r="AD96" s="494">
        <f t="shared" ca="1" si="69"/>
        <v>5.2230122818358116E-3</v>
      </c>
      <c r="AE96" s="494">
        <f t="shared" ca="1" si="69"/>
        <v>4.7877612583494943E-3</v>
      </c>
      <c r="AF96" s="494">
        <f t="shared" ca="1" si="69"/>
        <v>4.3525102348631771E-3</v>
      </c>
      <c r="AG96" s="494">
        <f ca="1">IF($A96="*","",IFERROR(VLOOKUP($C96,' COM_2017_old'!$B$61:$AJ$120,MATCH(VLOOKUP("*"&amp;$AX96,$A$10:$J$11,$J$9,FALSE)&amp;AG$7,' COM_2017_old'!$B$58:$AJ$58,0),FALSE),""))</f>
        <v>3.9172592113768589E-3</v>
      </c>
      <c r="AH96" s="494">
        <f t="shared" ca="1" si="70"/>
        <v>3.3949579831932778E-3</v>
      </c>
      <c r="AI96" s="494">
        <f t="shared" ca="1" si="71"/>
        <v>2.8726567550096966E-3</v>
      </c>
      <c r="AJ96" s="494">
        <f t="shared" ca="1" si="71"/>
        <v>2.3503555268261154E-3</v>
      </c>
      <c r="AK96" s="494">
        <f t="shared" ca="1" si="71"/>
        <v>1.8280542986425343E-3</v>
      </c>
      <c r="AL96" s="494">
        <f ca="1">IF($A96="*","",IFERROR(VLOOKUP($C96,' COM_2017_old'!$B$61:$AJ$120,MATCH(VLOOKUP("*"&amp;$AX96,$A$10:$J$11,$J$9,FALSE)&amp;AL$7,' COM_2017_old'!$B$58:$AJ$58,0),FALSE),""))</f>
        <v>1.3057530704589529E-3</v>
      </c>
      <c r="AM96" s="494">
        <f ca="1">IF($A96="*","",IFERROR(VLOOKUP($C96,' COM_2017_old'!$B$61:$AJ$120,MATCH(VLOOKUP("*"&amp;$AX96,$A$10:$J$11,$J$9,FALSE)&amp;AM$7,' COM_2017_old'!$B$58:$AJ$58,0),FALSE),""))</f>
        <v>4.3525102348631765E-4</v>
      </c>
      <c r="AN96" s="494">
        <f ca="1">IF($A96="*","",IFERROR(VLOOKUP($C96,' COM_2017_old'!$B$61:$AJ$120,MATCH(VLOOKUP("*"&amp;$AX96,$A$10:$J$11,$J$9,FALSE)&amp;AN$7,' COM_2017_old'!$B$58:$AJ$58,0),FALSE),""))</f>
        <v>0</v>
      </c>
      <c r="AO96" s="391" t="str">
        <f ca="1">IFERROR(VLOOKUP($C96,COM_2012!$B$61:$AH$120,MATCH(VLOOKUP("*"&amp;$AX96,$A$10:$J$11,$J$9,FALSE)&amp;AO$7,COM_2012!$B$58:$AH$58,0),FALSE),"")</f>
        <v/>
      </c>
      <c r="AP96" s="391" t="str">
        <f ca="1">IFERROR(VLOOKUP($C96,COM_2012!$B$61:$AH$120,MATCH(VLOOKUP("*"&amp;$AX96,$A$10:$J$11,$J$9,FALSE)&amp;AP$7,COM_2012!$B$58:$AH$58,0),FALSE),"")</f>
        <v/>
      </c>
      <c r="AQ96" s="391" t="str">
        <f ca="1">IFERROR(VLOOKUP($C96,COM_2012!$B$61:$AH$120,MATCH(VLOOKUP("*"&amp;$AX96,$A$10:$J$11,$J$9,FALSE)&amp;AQ$7,COM_2012!$B$58:$AH$58,0),FALSE),"")</f>
        <v/>
      </c>
      <c r="AR96" s="391" t="str">
        <f ca="1">IFERROR(VLOOKUP($C96,COM_2012!$B$61:$AH$120,MATCH(VLOOKUP("*"&amp;$AX96,$A$10:$J$11,$J$9,FALSE)&amp;AR$7,COM_2012!$B$58:$AH$58,0),FALSE),"")</f>
        <v/>
      </c>
      <c r="AS96" s="391" t="str">
        <f ca="1">IFERROR(VLOOKUP($C96,COM_2012!$B$61:$AH$120,MATCH(VLOOKUP("*"&amp;$AX96,$A$10:$J$11,$J$9,FALSE)&amp;AS$7,COM_2012!$B$58:$AH$58,0),FALSE),"")</f>
        <v/>
      </c>
      <c r="AT96" s="391" t="str">
        <f ca="1">IFERROR(VLOOKUP($C96,COM_2012!$B$61:$AH$120,MATCH(VLOOKUP("*"&amp;$AX96,$A$10:$J$11,$J$9,FALSE)&amp;AT$7,COM_2012!$B$58:$AH$58,0),FALSE),"")</f>
        <v/>
      </c>
      <c r="AU96" s="391" t="str">
        <f ca="1">IFERROR(VLOOKUP($C96,COM_2012!$B$61:$AH$120,MATCH(VLOOKUP("*"&amp;$AX96,$A$10:$J$11,$J$9,FALSE)&amp;AU$7,COM_2012!$B$58:$AH$58,0),FALSE),"")</f>
        <v/>
      </c>
      <c r="AV96" s="391" t="str">
        <f ca="1">IFERROR(VLOOKUP($C96,COM_2012!$B$61:$AH$120,MATCH(VLOOKUP("*"&amp;$AX96,$A$10:$J$11,$J$9,FALSE)&amp;AV$7,COM_2012!$B$58:$AH$58,0),FALSE),"")</f>
        <v/>
      </c>
      <c r="AW96" s="391" t="str">
        <f ca="1">IFERROR(VLOOKUP($C96,COM_2012!$B$61:$AH$120,MATCH(VLOOKUP("*"&amp;$AX96,$A$10:$J$11,$J$9,FALSE)&amp;AW$7,COM_2012!$B$58:$AH$58,0),FALSE),"")</f>
        <v/>
      </c>
      <c r="AX96" s="304">
        <f>IF(AY95=COM_2012!$AI$121,AX95+1,AX95)</f>
        <v>2</v>
      </c>
      <c r="AY96" s="304">
        <f t="shared" si="55"/>
        <v>23</v>
      </c>
    </row>
    <row r="97" spans="1:51">
      <c r="A97" s="304" t="str">
        <f ca="1">IF(LEFT(OFFSET(COM_2012!$A$60,AY97,0),2)="\I","*","")</f>
        <v/>
      </c>
      <c r="B97" s="369" t="str">
        <f t="shared" ref="B97:B116" ca="1" si="72">IF(A97="*","",VLOOKUP("*"&amp;AX97,$A$9:$B$11,2,FALSE))</f>
        <v>FLO_MRKPRD</v>
      </c>
      <c r="C97" s="369" t="str">
        <f ca="1">IF($A97="*","",OFFSET(COM_2012!$B$60,AY97,0))</f>
        <v>CELELCHID-E</v>
      </c>
      <c r="D97" s="369" t="str">
        <f t="shared" ca="1" si="54"/>
        <v>CEL</v>
      </c>
      <c r="E97" s="369" t="str">
        <f t="shared" ca="1" si="42"/>
        <v>-</v>
      </c>
      <c r="F97" s="370" t="str">
        <f t="shared" ref="F97:G132" ca="1" si="73">IF($A97="*","",VLOOKUP("*"&amp;$AX97,$A$10:$I$11,F$9,FALSE))</f>
        <v>-</v>
      </c>
      <c r="G97" s="370" t="str">
        <f t="shared" ca="1" si="73"/>
        <v>ANNUAL</v>
      </c>
      <c r="H97" s="370" t="str">
        <f t="shared" ref="H97:I117" ca="1" si="74">IF($A97="*","",VLOOKUP("*"&amp;$AX97,$A$10:$I$11,H$9,FALSE))</f>
        <v>LO</v>
      </c>
      <c r="I97" s="370">
        <f t="shared" ca="1" si="74"/>
        <v>0</v>
      </c>
      <c r="J97" s="494" t="str">
        <f>IF(J$7&lt;2020,"",IF(A97="*","",IFERROR(VLOOKUP($C97,COM_2012!$B$61:$AH$120,MATCH(VLOOKUP("*"&amp;$AX97,$A$10:$J$11,$J$9,FALSE)&amp;J$7,COM_2012!$B$58:$AH$58,0),FALSE),"")))</f>
        <v/>
      </c>
      <c r="K97" s="494" t="str">
        <f>IF(K$7&lt;2020,"",IF(B97="*","",IFERROR(VLOOKUP($C97,COM_2012!$B$61:$AH$120,MATCH(VLOOKUP("*"&amp;$AX97,$A$10:$J$11,$J$9,FALSE)&amp;K$7,COM_2012!$B$58:$AH$58,0),FALSE),"")))</f>
        <v/>
      </c>
      <c r="L97" s="494" t="str">
        <f>IF(L$7&lt;2020,"",IF(C97="*","",IFERROR(VLOOKUP($C97,COM_2012!$B$61:$AH$120,MATCH(VLOOKUP("*"&amp;$AX97,$A$10:$J$11,$J$9,FALSE)&amp;L$7,COM_2012!$B$58:$AH$58,0),FALSE),"")))</f>
        <v/>
      </c>
      <c r="M97" s="494" t="str">
        <f>IF(M$7&lt;2020,"",IF(D97="*","",IFERROR(VLOOKUP($C97,COM_2012!$B$61:$AH$120,MATCH(VLOOKUP("*"&amp;$AX97,$A$10:$J$11,$J$9,FALSE)&amp;M$7,COM_2012!$B$58:$AH$58,0),FALSE),"")))</f>
        <v/>
      </c>
      <c r="N97" s="494" t="str">
        <f ca="1">IFERROR(VLOOKUP($C97,COM_2012!$B$61:$AH$120,MATCH(VLOOKUP("*"&amp;$AX97,$A$10:$J$11,$J$9,FALSE)&amp;N$7,COM_2012!$B$58:$AH$58,0),FALSE),"")</f>
        <v/>
      </c>
      <c r="O97" s="494" t="str">
        <f>IF(O$7&lt;2020,"",IF($A97="*","",IFERROR(VLOOKUP($C97,' COM_2017_old'!$B$61:$AJ$120,MATCH(VLOOKUP("*"&amp;$AX97,$A$10:$J$11,$J$9,FALSE)&amp;O$7,' COM_2017_old'!$B$58:$AJ$58,0),FALSE),"")))</f>
        <v/>
      </c>
      <c r="P97" s="494" t="str">
        <f ca="1">IFERROR(VLOOKUP($C97,COM_2012!$B$61:$AH$120,MATCH(VLOOKUP("*"&amp;$AX97,$A$10:$J$11,$J$9,FALSE)&amp;P$7,COM_2012!$B$58:$AH$58,0),FALSE),"")</f>
        <v/>
      </c>
      <c r="Q97" s="494" t="str">
        <f ca="1">IFERROR(VLOOKUP($C97,COM_2012!$B$61:$AH$120,MATCH(VLOOKUP("*"&amp;$AX97,$A$10:$J$11,$J$9,FALSE)&amp;Q$7,COM_2012!$B$58:$AH$58,0),FALSE),"")</f>
        <v/>
      </c>
      <c r="R97" s="494">
        <f ca="1">IF($A97="*","",IFERROR(VLOOKUP($C97,' COM_2017_old'!$B$61:$AJ$120,MATCH(VLOOKUP("*"&amp;$AX97,$A$10:$J$11,$J$9,FALSE)&amp;R$7,' COM_2017_old'!$B$58:$AJ$58,0),FALSE),""))</f>
        <v>0.22165158371040722</v>
      </c>
      <c r="S97" s="494">
        <f t="shared" ca="1" si="64"/>
        <v>0.21845248868778278</v>
      </c>
      <c r="T97" s="494">
        <f t="shared" ca="1" si="65"/>
        <v>0.21525339366515833</v>
      </c>
      <c r="U97" s="494">
        <f t="shared" ca="1" si="65"/>
        <v>0.21205429864253389</v>
      </c>
      <c r="V97" s="494">
        <f t="shared" ca="1" si="65"/>
        <v>0.20885520361990945</v>
      </c>
      <c r="W97" s="494">
        <f ca="1">IF($A97="*","",IFERROR(VLOOKUP($C97,' COM_2017_old'!$B$61:$AJ$120,MATCH(VLOOKUP("*"&amp;$AX97,$A$10:$J$11,$J$9,FALSE)&amp;W$7,' COM_2017_old'!$B$58:$AJ$58,0),FALSE),""))</f>
        <v>0.20565610859728506</v>
      </c>
      <c r="X97" s="494">
        <f t="shared" ca="1" si="66"/>
        <v>0.19651583710407239</v>
      </c>
      <c r="Y97" s="494">
        <f t="shared" ca="1" si="67"/>
        <v>0.18737556561085972</v>
      </c>
      <c r="Z97" s="494">
        <f t="shared" ca="1" si="67"/>
        <v>0.17823529411764705</v>
      </c>
      <c r="AA97" s="494">
        <f t="shared" ca="1" si="67"/>
        <v>0.16909502262443438</v>
      </c>
      <c r="AB97" s="494">
        <f ca="1">IF($A97="*","",IFERROR(VLOOKUP($C97,' COM_2017_old'!$B$61:$AJ$120,MATCH(VLOOKUP("*"&amp;$AX97,$A$10:$J$11,$J$9,FALSE)&amp;AB$7,' COM_2017_old'!$B$58:$AJ$58,0),FALSE),""))</f>
        <v>0.15995475113122171</v>
      </c>
      <c r="AC97" s="494">
        <f t="shared" ca="1" si="68"/>
        <v>0.14852941176470588</v>
      </c>
      <c r="AD97" s="494">
        <f t="shared" ca="1" si="69"/>
        <v>0.13710407239819006</v>
      </c>
      <c r="AE97" s="494">
        <f t="shared" ca="1" si="69"/>
        <v>0.12567873303167423</v>
      </c>
      <c r="AF97" s="494">
        <f t="shared" ca="1" si="69"/>
        <v>0.1142533936651584</v>
      </c>
      <c r="AG97" s="494">
        <f ca="1">IF($A97="*","",IFERROR(VLOOKUP($C97,' COM_2017_old'!$B$61:$AJ$120,MATCH(VLOOKUP("*"&amp;$AX97,$A$10:$J$11,$J$9,FALSE)&amp;AG$7,' COM_2017_old'!$B$58:$AJ$58,0),FALSE),""))</f>
        <v>0.10282805429864253</v>
      </c>
      <c r="AH97" s="494">
        <f t="shared" ca="1" si="70"/>
        <v>8.9117647058823524E-2</v>
      </c>
      <c r="AI97" s="494">
        <f t="shared" ca="1" si="71"/>
        <v>7.5407239819004518E-2</v>
      </c>
      <c r="AJ97" s="494">
        <f t="shared" ca="1" si="71"/>
        <v>6.1696832579185512E-2</v>
      </c>
      <c r="AK97" s="494">
        <f t="shared" ca="1" si="71"/>
        <v>4.7986425339366506E-2</v>
      </c>
      <c r="AL97" s="494">
        <f ca="1">IF($A97="*","",IFERROR(VLOOKUP($C97,' COM_2017_old'!$B$61:$AJ$120,MATCH(VLOOKUP("*"&amp;$AX97,$A$10:$J$11,$J$9,FALSE)&amp;AL$7,' COM_2017_old'!$B$58:$AJ$58,0),FALSE),""))</f>
        <v>3.4276018099547508E-2</v>
      </c>
      <c r="AM97" s="494">
        <f ca="1">IF($A97="*","",IFERROR(VLOOKUP($C97,' COM_2017_old'!$B$61:$AJ$120,MATCH(VLOOKUP("*"&amp;$AX97,$A$10:$J$11,$J$9,FALSE)&amp;AM$7,' COM_2017_old'!$B$58:$AJ$58,0),FALSE),""))</f>
        <v>1.1425339366515838E-2</v>
      </c>
      <c r="AN97" s="494">
        <f ca="1">IF($A97="*","",IFERROR(VLOOKUP($C97,' COM_2017_old'!$B$61:$AJ$120,MATCH(VLOOKUP("*"&amp;$AX97,$A$10:$J$11,$J$9,FALSE)&amp;AN$7,' COM_2017_old'!$B$58:$AJ$58,0),FALSE),""))</f>
        <v>0</v>
      </c>
      <c r="AO97" s="391" t="str">
        <f ca="1">IFERROR(VLOOKUP($C97,COM_2012!$B$61:$AH$120,MATCH(VLOOKUP("*"&amp;$AX97,$A$10:$J$11,$J$9,FALSE)&amp;AO$7,COM_2012!$B$58:$AH$58,0),FALSE),"")</f>
        <v/>
      </c>
      <c r="AP97" s="391" t="str">
        <f ca="1">IFERROR(VLOOKUP($C97,COM_2012!$B$61:$AH$120,MATCH(VLOOKUP("*"&amp;$AX97,$A$10:$J$11,$J$9,FALSE)&amp;AP$7,COM_2012!$B$58:$AH$58,0),FALSE),"")</f>
        <v/>
      </c>
      <c r="AQ97" s="391" t="str">
        <f ca="1">IFERROR(VLOOKUP($C97,COM_2012!$B$61:$AH$120,MATCH(VLOOKUP("*"&amp;$AX97,$A$10:$J$11,$J$9,FALSE)&amp;AQ$7,COM_2012!$B$58:$AH$58,0),FALSE),"")</f>
        <v/>
      </c>
      <c r="AR97" s="391" t="str">
        <f ca="1">IFERROR(VLOOKUP($C97,COM_2012!$B$61:$AH$120,MATCH(VLOOKUP("*"&amp;$AX97,$A$10:$J$11,$J$9,FALSE)&amp;AR$7,COM_2012!$B$58:$AH$58,0),FALSE),"")</f>
        <v/>
      </c>
      <c r="AS97" s="391" t="str">
        <f ca="1">IFERROR(VLOOKUP($C97,COM_2012!$B$61:$AH$120,MATCH(VLOOKUP("*"&amp;$AX97,$A$10:$J$11,$J$9,FALSE)&amp;AS$7,COM_2012!$B$58:$AH$58,0),FALSE),"")</f>
        <v/>
      </c>
      <c r="AT97" s="391" t="str">
        <f ca="1">IFERROR(VLOOKUP($C97,COM_2012!$B$61:$AH$120,MATCH(VLOOKUP("*"&amp;$AX97,$A$10:$J$11,$J$9,FALSE)&amp;AT$7,COM_2012!$B$58:$AH$58,0),FALSE),"")</f>
        <v/>
      </c>
      <c r="AU97" s="391" t="str">
        <f ca="1">IFERROR(VLOOKUP($C97,COM_2012!$B$61:$AH$120,MATCH(VLOOKUP("*"&amp;$AX97,$A$10:$J$11,$J$9,FALSE)&amp;AU$7,COM_2012!$B$58:$AH$58,0),FALSE),"")</f>
        <v/>
      </c>
      <c r="AV97" s="391" t="str">
        <f ca="1">IFERROR(VLOOKUP($C97,COM_2012!$B$61:$AH$120,MATCH(VLOOKUP("*"&amp;$AX97,$A$10:$J$11,$J$9,FALSE)&amp;AV$7,COM_2012!$B$58:$AH$58,0),FALSE),"")</f>
        <v/>
      </c>
      <c r="AW97" s="391" t="str">
        <f ca="1">IFERROR(VLOOKUP($C97,COM_2012!$B$61:$AH$120,MATCH(VLOOKUP("*"&amp;$AX97,$A$10:$J$11,$J$9,FALSE)&amp;AW$7,COM_2012!$B$58:$AH$58,0),FALSE),"")</f>
        <v/>
      </c>
      <c r="AX97" s="304">
        <f>IF(AY96=COM_2012!$AI$121,AX96+1,AX96)</f>
        <v>2</v>
      </c>
      <c r="AY97" s="304">
        <f t="shared" ref="AY97:AY113" si="75">IF(AX97=AX96,AY96+1,1)</f>
        <v>24</v>
      </c>
    </row>
    <row r="98" spans="1:51">
      <c r="A98" s="304" t="str">
        <f ca="1">IF(LEFT(OFFSET(COM_2012!$A$60,AY98,0),2)="\I","*","")</f>
        <v/>
      </c>
      <c r="B98" s="369" t="str">
        <f t="shared" ca="1" si="72"/>
        <v>FLO_MRKPRD</v>
      </c>
      <c r="C98" s="369" t="str">
        <f ca="1">IF($A98="*","",OFFSET(COM_2012!$B$60,AY98,0))</f>
        <v>CELELCINC-E</v>
      </c>
      <c r="D98" s="369" t="str">
        <f t="shared" ca="1" si="54"/>
        <v>CEL</v>
      </c>
      <c r="E98" s="369" t="str">
        <f t="shared" ref="E98:E117" ca="1" si="76">IF($A98="*","",VLOOKUP($B98,$B$10:$I$11,E$9,FALSE))</f>
        <v>-</v>
      </c>
      <c r="F98" s="370" t="str">
        <f t="shared" ca="1" si="73"/>
        <v>-</v>
      </c>
      <c r="G98" s="370" t="str">
        <f t="shared" ca="1" si="73"/>
        <v>ANNUAL</v>
      </c>
      <c r="H98" s="370" t="str">
        <f t="shared" ca="1" si="74"/>
        <v>LO</v>
      </c>
      <c r="I98" s="370">
        <f t="shared" ca="1" si="74"/>
        <v>0</v>
      </c>
      <c r="J98" s="494" t="str">
        <f>IF(J$7&lt;2020,"",IF(A98="*","",IFERROR(VLOOKUP($C98,COM_2012!$B$61:$AH$120,MATCH(VLOOKUP("*"&amp;$AX98,$A$10:$J$11,$J$9,FALSE)&amp;J$7,COM_2012!$B$58:$AH$58,0),FALSE),"")))</f>
        <v/>
      </c>
      <c r="K98" s="494" t="str">
        <f>IF(K$7&lt;2020,"",IF(B98="*","",IFERROR(VLOOKUP($C98,COM_2012!$B$61:$AH$120,MATCH(VLOOKUP("*"&amp;$AX98,$A$10:$J$11,$J$9,FALSE)&amp;K$7,COM_2012!$B$58:$AH$58,0),FALSE),"")))</f>
        <v/>
      </c>
      <c r="L98" s="494" t="str">
        <f>IF(L$7&lt;2020,"",IF(C98="*","",IFERROR(VLOOKUP($C98,COM_2012!$B$61:$AH$120,MATCH(VLOOKUP("*"&amp;$AX98,$A$10:$J$11,$J$9,FALSE)&amp;L$7,COM_2012!$B$58:$AH$58,0),FALSE),"")))</f>
        <v/>
      </c>
      <c r="M98" s="494" t="str">
        <f>IF(M$7&lt;2020,"",IF(D98="*","",IFERROR(VLOOKUP($C98,COM_2012!$B$61:$AH$120,MATCH(VLOOKUP("*"&amp;$AX98,$A$10:$J$11,$J$9,FALSE)&amp;M$7,COM_2012!$B$58:$AH$58,0),FALSE),"")))</f>
        <v/>
      </c>
      <c r="N98" s="494" t="str">
        <f ca="1">IFERROR(VLOOKUP($C98,COM_2012!$B$61:$AH$120,MATCH(VLOOKUP("*"&amp;$AX98,$A$10:$J$11,$J$9,FALSE)&amp;N$7,COM_2012!$B$58:$AH$58,0),FALSE),"")</f>
        <v/>
      </c>
      <c r="O98" s="494" t="str">
        <f>IF(O$7&lt;2020,"",IF($A98="*","",IFERROR(VLOOKUP($C98,' COM_2017_old'!$B$61:$AJ$120,MATCH(VLOOKUP("*"&amp;$AX98,$A$10:$J$11,$J$9,FALSE)&amp;O$7,' COM_2017_old'!$B$58:$AJ$58,0),FALSE),"")))</f>
        <v/>
      </c>
      <c r="P98" s="494" t="str">
        <f ca="1">IFERROR(VLOOKUP($C98,COM_2012!$B$61:$AH$120,MATCH(VLOOKUP("*"&amp;$AX98,$A$10:$J$11,$J$9,FALSE)&amp;P$7,COM_2012!$B$58:$AH$58,0),FALSE),"")</f>
        <v/>
      </c>
      <c r="Q98" s="494" t="str">
        <f ca="1">IFERROR(VLOOKUP($C98,COM_2012!$B$61:$AH$120,MATCH(VLOOKUP("*"&amp;$AX98,$A$10:$J$11,$J$9,FALSE)&amp;Q$7,COM_2012!$B$58:$AH$58,0),FALSE),"")</f>
        <v/>
      </c>
      <c r="R98" s="494">
        <f ca="1">IF($A98="*","",IFERROR(VLOOKUP($C98,' COM_2017_old'!$B$61:$AJ$120,MATCH(VLOOKUP("*"&amp;$AX98,$A$10:$J$11,$J$9,FALSE)&amp;R$7,' COM_2017_old'!$B$58:$AJ$58,0),FALSE),""))</f>
        <v>1.4776772247360482E-2</v>
      </c>
      <c r="S98" s="494">
        <f t="shared" ca="1" si="64"/>
        <v>1.3821417797888385E-2</v>
      </c>
      <c r="T98" s="494">
        <f t="shared" ca="1" si="65"/>
        <v>1.2866063348416288E-2</v>
      </c>
      <c r="U98" s="494">
        <f t="shared" ca="1" si="65"/>
        <v>1.1910708898944191E-2</v>
      </c>
      <c r="V98" s="494">
        <f t="shared" ca="1" si="65"/>
        <v>1.0955354449472094E-2</v>
      </c>
      <c r="W98" s="494">
        <f ca="1">IF($A98="*","",IFERROR(VLOOKUP($C98,' COM_2017_old'!$B$61:$AJ$120,MATCH(VLOOKUP("*"&amp;$AX98,$A$10:$J$11,$J$9,FALSE)&amp;W$7,' COM_2017_old'!$B$58:$AJ$58,0),FALSE),""))</f>
        <v>0.01</v>
      </c>
      <c r="X98" s="494">
        <f t="shared" ca="1" si="66"/>
        <v>0.01</v>
      </c>
      <c r="Y98" s="494">
        <f t="shared" ca="1" si="67"/>
        <v>0.01</v>
      </c>
      <c r="Z98" s="494">
        <f t="shared" ca="1" si="67"/>
        <v>0.01</v>
      </c>
      <c r="AA98" s="494">
        <f t="shared" ca="1" si="67"/>
        <v>0.01</v>
      </c>
      <c r="AB98" s="494">
        <f ca="1">IF($A98="*","",IFERROR(VLOOKUP($C98,' COM_2017_old'!$B$61:$AJ$120,MATCH(VLOOKUP("*"&amp;$AX98,$A$10:$J$11,$J$9,FALSE)&amp;AB$7,' COM_2017_old'!$B$58:$AJ$58,0),FALSE),""))</f>
        <v>0.01</v>
      </c>
      <c r="AC98" s="494">
        <f t="shared" ca="1" si="68"/>
        <v>0.01</v>
      </c>
      <c r="AD98" s="494">
        <f t="shared" ca="1" si="69"/>
        <v>0.01</v>
      </c>
      <c r="AE98" s="494">
        <f t="shared" ca="1" si="69"/>
        <v>0.01</v>
      </c>
      <c r="AF98" s="494">
        <f t="shared" ca="1" si="69"/>
        <v>0.01</v>
      </c>
      <c r="AG98" s="494">
        <f ca="1">IF($A98="*","",IFERROR(VLOOKUP($C98,' COM_2017_old'!$B$61:$AJ$120,MATCH(VLOOKUP("*"&amp;$AX98,$A$10:$J$11,$J$9,FALSE)&amp;AG$7,' COM_2017_old'!$B$58:$AJ$58,0),FALSE),""))</f>
        <v>0.01</v>
      </c>
      <c r="AH98" s="494">
        <f t="shared" ca="1" si="70"/>
        <v>0.01</v>
      </c>
      <c r="AI98" s="494">
        <f t="shared" ca="1" si="71"/>
        <v>0.01</v>
      </c>
      <c r="AJ98" s="494">
        <f t="shared" ca="1" si="71"/>
        <v>0.01</v>
      </c>
      <c r="AK98" s="494">
        <f t="shared" ca="1" si="71"/>
        <v>0.01</v>
      </c>
      <c r="AL98" s="494">
        <f ca="1">IF($A98="*","",IFERROR(VLOOKUP($C98,' COM_2017_old'!$B$61:$AJ$120,MATCH(VLOOKUP("*"&amp;$AX98,$A$10:$J$11,$J$9,FALSE)&amp;AL$7,' COM_2017_old'!$B$58:$AJ$58,0),FALSE),""))</f>
        <v>0.01</v>
      </c>
      <c r="AM98" s="494">
        <f ca="1">IF($A98="*","",IFERROR(VLOOKUP($C98,' COM_2017_old'!$B$61:$AJ$120,MATCH(VLOOKUP("*"&amp;$AX98,$A$10:$J$11,$J$9,FALSE)&amp;AM$7,' COM_2017_old'!$B$58:$AJ$58,0),FALSE),""))</f>
        <v>0.01</v>
      </c>
      <c r="AN98" s="494">
        <f ca="1">IF($A98="*","",IFERROR(VLOOKUP($C98,' COM_2017_old'!$B$61:$AJ$120,MATCH(VLOOKUP("*"&amp;$AX98,$A$10:$J$11,$J$9,FALSE)&amp;AN$7,' COM_2017_old'!$B$58:$AJ$58,0),FALSE),""))</f>
        <v>0.01</v>
      </c>
      <c r="AO98" s="391" t="str">
        <f ca="1">IFERROR(VLOOKUP($C98,COM_2012!$B$61:$AH$120,MATCH(VLOOKUP("*"&amp;$AX98,$A$10:$J$11,$J$9,FALSE)&amp;AO$7,COM_2012!$B$58:$AH$58,0),FALSE),"")</f>
        <v/>
      </c>
      <c r="AP98" s="391" t="str">
        <f ca="1">IFERROR(VLOOKUP($C98,COM_2012!$B$61:$AH$120,MATCH(VLOOKUP("*"&amp;$AX98,$A$10:$J$11,$J$9,FALSE)&amp;AP$7,COM_2012!$B$58:$AH$58,0),FALSE),"")</f>
        <v/>
      </c>
      <c r="AQ98" s="391" t="str">
        <f ca="1">IFERROR(VLOOKUP($C98,COM_2012!$B$61:$AH$120,MATCH(VLOOKUP("*"&amp;$AX98,$A$10:$J$11,$J$9,FALSE)&amp;AQ$7,COM_2012!$B$58:$AH$58,0),FALSE),"")</f>
        <v/>
      </c>
      <c r="AR98" s="391" t="str">
        <f ca="1">IFERROR(VLOOKUP($C98,COM_2012!$B$61:$AH$120,MATCH(VLOOKUP("*"&amp;$AX98,$A$10:$J$11,$J$9,FALSE)&amp;AR$7,COM_2012!$B$58:$AH$58,0),FALSE),"")</f>
        <v/>
      </c>
      <c r="AS98" s="391" t="str">
        <f ca="1">IFERROR(VLOOKUP($C98,COM_2012!$B$61:$AH$120,MATCH(VLOOKUP("*"&amp;$AX98,$A$10:$J$11,$J$9,FALSE)&amp;AS$7,COM_2012!$B$58:$AH$58,0),FALSE),"")</f>
        <v/>
      </c>
      <c r="AT98" s="391" t="str">
        <f ca="1">IFERROR(VLOOKUP($C98,COM_2012!$B$61:$AH$120,MATCH(VLOOKUP("*"&amp;$AX98,$A$10:$J$11,$J$9,FALSE)&amp;AT$7,COM_2012!$B$58:$AH$58,0),FALSE),"")</f>
        <v/>
      </c>
      <c r="AU98" s="391" t="str">
        <f ca="1">IFERROR(VLOOKUP($C98,COM_2012!$B$61:$AH$120,MATCH(VLOOKUP("*"&amp;$AX98,$A$10:$J$11,$J$9,FALSE)&amp;AU$7,COM_2012!$B$58:$AH$58,0),FALSE),"")</f>
        <v/>
      </c>
      <c r="AV98" s="391" t="str">
        <f ca="1">IFERROR(VLOOKUP($C98,COM_2012!$B$61:$AH$120,MATCH(VLOOKUP("*"&amp;$AX98,$A$10:$J$11,$J$9,FALSE)&amp;AV$7,COM_2012!$B$58:$AH$58,0),FALSE),"")</f>
        <v/>
      </c>
      <c r="AW98" s="391" t="str">
        <f ca="1">IFERROR(VLOOKUP($C98,COM_2012!$B$61:$AH$120,MATCH(VLOOKUP("*"&amp;$AX98,$A$10:$J$11,$J$9,FALSE)&amp;AW$7,COM_2012!$B$58:$AH$58,0),FALSE),"")</f>
        <v/>
      </c>
      <c r="AX98" s="304">
        <f>IF(AY97=COM_2012!$AI$121,AX97+1,AX97)</f>
        <v>2</v>
      </c>
      <c r="AY98" s="304">
        <f t="shared" si="75"/>
        <v>25</v>
      </c>
    </row>
    <row r="99" spans="1:51">
      <c r="A99" s="304" t="str">
        <f ca="1">IF(LEFT(OFFSET(COM_2012!$A$60,AY99,0),2)="\I","*","")</f>
        <v/>
      </c>
      <c r="B99" s="369" t="str">
        <f t="shared" ca="1" si="72"/>
        <v>FLO_MRKPRD</v>
      </c>
      <c r="C99" s="369" t="str">
        <f ca="1">IF($A99="*","",OFFSET(COM_2012!$B$60,AY99,0))</f>
        <v>CELELCLED-N</v>
      </c>
      <c r="D99" s="369" t="str">
        <f t="shared" ca="1" si="54"/>
        <v>CEL</v>
      </c>
      <c r="E99" s="369" t="str">
        <f t="shared" ca="1" si="76"/>
        <v>-</v>
      </c>
      <c r="F99" s="370" t="str">
        <f t="shared" ca="1" si="73"/>
        <v>-</v>
      </c>
      <c r="G99" s="370" t="str">
        <f t="shared" ca="1" si="73"/>
        <v>ANNUAL</v>
      </c>
      <c r="H99" s="370" t="str">
        <f t="shared" ca="1" si="74"/>
        <v>LO</v>
      </c>
      <c r="I99" s="370">
        <f t="shared" ca="1" si="74"/>
        <v>0</v>
      </c>
      <c r="J99" s="494" t="str">
        <f>IF(J$7&lt;2020,"",IF(A99="*","",IFERROR(VLOOKUP($C99,COM_2012!$B$61:$AH$120,MATCH(VLOOKUP("*"&amp;$AX99,$A$10:$J$11,$J$9,FALSE)&amp;J$7,COM_2012!$B$58:$AH$58,0),FALSE),"")))</f>
        <v/>
      </c>
      <c r="K99" s="494" t="str">
        <f>IF(K$7&lt;2020,"",IF(B99="*","",IFERROR(VLOOKUP($C99,COM_2012!$B$61:$AH$120,MATCH(VLOOKUP("*"&amp;$AX99,$A$10:$J$11,$J$9,FALSE)&amp;K$7,COM_2012!$B$58:$AH$58,0),FALSE),"")))</f>
        <v/>
      </c>
      <c r="L99" s="494" t="str">
        <f>IF(L$7&lt;2020,"",IF(C99="*","",IFERROR(VLOOKUP($C99,COM_2012!$B$61:$AH$120,MATCH(VLOOKUP("*"&amp;$AX99,$A$10:$J$11,$J$9,FALSE)&amp;L$7,COM_2012!$B$58:$AH$58,0),FALSE),"")))</f>
        <v/>
      </c>
      <c r="M99" s="494" t="str">
        <f>IF(M$7&lt;2020,"",IF(D99="*","",IFERROR(VLOOKUP($C99,COM_2012!$B$61:$AH$120,MATCH(VLOOKUP("*"&amp;$AX99,$A$10:$J$11,$J$9,FALSE)&amp;M$7,COM_2012!$B$58:$AH$58,0),FALSE),"")))</f>
        <v/>
      </c>
      <c r="N99" s="494" t="str">
        <f ca="1">IFERROR(VLOOKUP($C99,COM_2012!$B$61:$AH$120,MATCH(VLOOKUP("*"&amp;$AX99,$A$10:$J$11,$J$9,FALSE)&amp;N$7,COM_2012!$B$58:$AH$58,0),FALSE),"")</f>
        <v/>
      </c>
      <c r="O99" s="494" t="str">
        <f>IF(O$7&lt;2020,"",IF($A99="*","",IFERROR(VLOOKUP($C99,' COM_2017_old'!$B$61:$AJ$120,MATCH(VLOOKUP("*"&amp;$AX99,$A$10:$J$11,$J$9,FALSE)&amp;O$7,' COM_2017_old'!$B$58:$AJ$58,0),FALSE),"")))</f>
        <v/>
      </c>
      <c r="P99" s="494" t="str">
        <f ca="1">IFERROR(VLOOKUP($C99,COM_2012!$B$61:$AH$120,MATCH(VLOOKUP("*"&amp;$AX99,$A$10:$J$11,$J$9,FALSE)&amp;P$7,COM_2012!$B$58:$AH$58,0),FALSE),"")</f>
        <v/>
      </c>
      <c r="Q99" s="494" t="str">
        <f ca="1">IFERROR(VLOOKUP($C99,COM_2012!$B$61:$AH$120,MATCH(VLOOKUP("*"&amp;$AX99,$A$10:$J$11,$J$9,FALSE)&amp;Q$7,COM_2012!$B$58:$AH$58,0),FALSE),"")</f>
        <v/>
      </c>
      <c r="R99" s="494">
        <f ca="1">IF($A99="*","",IFERROR(VLOOKUP($C99,' COM_2017_old'!$B$61:$AJ$120,MATCH(VLOOKUP("*"&amp;$AX99,$A$10:$J$11,$J$9,FALSE)&amp;R$7,' COM_2017_old'!$B$58:$AJ$58,0),FALSE),""))</f>
        <v>0</v>
      </c>
      <c r="S99" s="494">
        <f t="shared" ca="1" si="64"/>
        <v>0</v>
      </c>
      <c r="T99" s="494">
        <f t="shared" ca="1" si="65"/>
        <v>0</v>
      </c>
      <c r="U99" s="494">
        <f t="shared" ca="1" si="65"/>
        <v>0</v>
      </c>
      <c r="V99" s="494">
        <f t="shared" ca="1" si="65"/>
        <v>0</v>
      </c>
      <c r="W99" s="494">
        <f ca="1">IF($A99="*","",IFERROR(VLOOKUP($C99,' COM_2017_old'!$B$61:$AJ$120,MATCH(VLOOKUP("*"&amp;$AX99,$A$10:$J$11,$J$9,FALSE)&amp;W$7,' COM_2017_old'!$B$58:$AJ$58,0),FALSE),""))</f>
        <v>0</v>
      </c>
      <c r="X99" s="494">
        <f t="shared" ca="1" si="66"/>
        <v>0</v>
      </c>
      <c r="Y99" s="494">
        <f t="shared" ca="1" si="67"/>
        <v>0</v>
      </c>
      <c r="Z99" s="494">
        <f t="shared" ca="1" si="67"/>
        <v>0</v>
      </c>
      <c r="AA99" s="494">
        <f t="shared" ca="1" si="67"/>
        <v>0</v>
      </c>
      <c r="AB99" s="494">
        <f ca="1">IF($A99="*","",IFERROR(VLOOKUP($C99,' COM_2017_old'!$B$61:$AJ$120,MATCH(VLOOKUP("*"&amp;$AX99,$A$10:$J$11,$J$9,FALSE)&amp;AB$7,' COM_2017_old'!$B$58:$AJ$58,0),FALSE),""))</f>
        <v>0</v>
      </c>
      <c r="AC99" s="494">
        <f t="shared" ca="1" si="68"/>
        <v>0</v>
      </c>
      <c r="AD99" s="494">
        <f t="shared" ca="1" si="69"/>
        <v>0</v>
      </c>
      <c r="AE99" s="494">
        <f t="shared" ca="1" si="69"/>
        <v>0</v>
      </c>
      <c r="AF99" s="494">
        <f t="shared" ca="1" si="69"/>
        <v>0</v>
      </c>
      <c r="AG99" s="494">
        <f ca="1">IF($A99="*","",IFERROR(VLOOKUP($C99,' COM_2017_old'!$B$61:$AJ$120,MATCH(VLOOKUP("*"&amp;$AX99,$A$10:$J$11,$J$9,FALSE)&amp;AG$7,' COM_2017_old'!$B$58:$AJ$58,0),FALSE),""))</f>
        <v>0</v>
      </c>
      <c r="AH99" s="494">
        <f t="shared" ca="1" si="70"/>
        <v>0</v>
      </c>
      <c r="AI99" s="494">
        <f t="shared" ca="1" si="71"/>
        <v>0</v>
      </c>
      <c r="AJ99" s="494">
        <f t="shared" ca="1" si="71"/>
        <v>0</v>
      </c>
      <c r="AK99" s="494">
        <f t="shared" ca="1" si="71"/>
        <v>0</v>
      </c>
      <c r="AL99" s="494">
        <f ca="1">IF($A99="*","",IFERROR(VLOOKUP($C99,' COM_2017_old'!$B$61:$AJ$120,MATCH(VLOOKUP("*"&amp;$AX99,$A$10:$J$11,$J$9,FALSE)&amp;AL$7,' COM_2017_old'!$B$58:$AJ$58,0),FALSE),""))</f>
        <v>0</v>
      </c>
      <c r="AM99" s="494">
        <f ca="1">IF($A99="*","",IFERROR(VLOOKUP($C99,' COM_2017_old'!$B$61:$AJ$120,MATCH(VLOOKUP("*"&amp;$AX99,$A$10:$J$11,$J$9,FALSE)&amp;AM$7,' COM_2017_old'!$B$58:$AJ$58,0),FALSE),""))</f>
        <v>0</v>
      </c>
      <c r="AN99" s="494">
        <f ca="1">IF($A99="*","",IFERROR(VLOOKUP($C99,' COM_2017_old'!$B$61:$AJ$120,MATCH(VLOOKUP("*"&amp;$AX99,$A$10:$J$11,$J$9,FALSE)&amp;AN$7,' COM_2017_old'!$B$58:$AJ$58,0),FALSE),""))</f>
        <v>0</v>
      </c>
      <c r="AO99" s="391" t="str">
        <f ca="1">IFERROR(VLOOKUP($C99,COM_2012!$B$61:$AH$120,MATCH(VLOOKUP("*"&amp;$AX99,$A$10:$J$11,$J$9,FALSE)&amp;AO$7,COM_2012!$B$58:$AH$58,0),FALSE),"")</f>
        <v/>
      </c>
      <c r="AP99" s="391" t="str">
        <f ca="1">IFERROR(VLOOKUP($C99,COM_2012!$B$61:$AH$120,MATCH(VLOOKUP("*"&amp;$AX99,$A$10:$J$11,$J$9,FALSE)&amp;AP$7,COM_2012!$B$58:$AH$58,0),FALSE),"")</f>
        <v/>
      </c>
      <c r="AQ99" s="391" t="str">
        <f ca="1">IFERROR(VLOOKUP($C99,COM_2012!$B$61:$AH$120,MATCH(VLOOKUP("*"&amp;$AX99,$A$10:$J$11,$J$9,FALSE)&amp;AQ$7,COM_2012!$B$58:$AH$58,0),FALSE),"")</f>
        <v/>
      </c>
      <c r="AR99" s="391" t="str">
        <f ca="1">IFERROR(VLOOKUP($C99,COM_2012!$B$61:$AH$120,MATCH(VLOOKUP("*"&amp;$AX99,$A$10:$J$11,$J$9,FALSE)&amp;AR$7,COM_2012!$B$58:$AH$58,0),FALSE),"")</f>
        <v/>
      </c>
      <c r="AS99" s="391" t="str">
        <f ca="1">IFERROR(VLOOKUP($C99,COM_2012!$B$61:$AH$120,MATCH(VLOOKUP("*"&amp;$AX99,$A$10:$J$11,$J$9,FALSE)&amp;AS$7,COM_2012!$B$58:$AH$58,0),FALSE),"")</f>
        <v/>
      </c>
      <c r="AT99" s="391" t="str">
        <f ca="1">IFERROR(VLOOKUP($C99,COM_2012!$B$61:$AH$120,MATCH(VLOOKUP("*"&amp;$AX99,$A$10:$J$11,$J$9,FALSE)&amp;AT$7,COM_2012!$B$58:$AH$58,0),FALSE),"")</f>
        <v/>
      </c>
      <c r="AU99" s="391" t="str">
        <f ca="1">IFERROR(VLOOKUP($C99,COM_2012!$B$61:$AH$120,MATCH(VLOOKUP("*"&amp;$AX99,$A$10:$J$11,$J$9,FALSE)&amp;AU$7,COM_2012!$B$58:$AH$58,0),FALSE),"")</f>
        <v/>
      </c>
      <c r="AV99" s="391" t="str">
        <f ca="1">IFERROR(VLOOKUP($C99,COM_2012!$B$61:$AH$120,MATCH(VLOOKUP("*"&amp;$AX99,$A$10:$J$11,$J$9,FALSE)&amp;AV$7,COM_2012!$B$58:$AH$58,0),FALSE),"")</f>
        <v/>
      </c>
      <c r="AW99" s="391" t="str">
        <f ca="1">IFERROR(VLOOKUP($C99,COM_2012!$B$61:$AH$120,MATCH(VLOOKUP("*"&amp;$AX99,$A$10:$J$11,$J$9,FALSE)&amp;AW$7,COM_2012!$B$58:$AH$58,0),FALSE),"")</f>
        <v/>
      </c>
      <c r="AX99" s="304">
        <f>IF(AY98=COM_2012!$AI$121,AX98+1,AX98)</f>
        <v>2</v>
      </c>
      <c r="AY99" s="304">
        <f t="shared" si="75"/>
        <v>26</v>
      </c>
    </row>
    <row r="100" spans="1:51">
      <c r="A100" s="304" t="str">
        <f ca="1">IF(LEFT(OFFSET(COM_2012!$A$60,AY100,0),2)="\I","*","")</f>
        <v>*</v>
      </c>
      <c r="B100" s="369" t="str">
        <f t="shared" ca="1" si="72"/>
        <v/>
      </c>
      <c r="C100" s="369" t="str">
        <f ca="1">IF($A100="*","",OFFSET(COM_2012!$B$60,AY100,0))</f>
        <v/>
      </c>
      <c r="D100" s="369" t="str">
        <f t="shared" ca="1" si="54"/>
        <v/>
      </c>
      <c r="E100" s="369" t="str">
        <f t="shared" ca="1" si="76"/>
        <v/>
      </c>
      <c r="F100" s="370" t="str">
        <f t="shared" ca="1" si="73"/>
        <v/>
      </c>
      <c r="G100" s="370" t="str">
        <f t="shared" ca="1" si="73"/>
        <v/>
      </c>
      <c r="H100" s="370" t="str">
        <f t="shared" ca="1" si="74"/>
        <v/>
      </c>
      <c r="I100" s="370" t="str">
        <f t="shared" ca="1" si="74"/>
        <v/>
      </c>
      <c r="J100" s="494" t="str">
        <f>IF(J$7&lt;2020,"",IF(A100="*","",IFERROR(VLOOKUP($C100,COM_2012!$B$61:$AH$120,MATCH(VLOOKUP("*"&amp;$AX100,$A$10:$J$11,$J$9,FALSE)&amp;J$7,COM_2012!$B$58:$AH$58,0),FALSE),"")))</f>
        <v/>
      </c>
      <c r="K100" s="494" t="str">
        <f>IF(K$7&lt;2020,"",IF(B100="*","",IFERROR(VLOOKUP($C100,COM_2012!$B$61:$AH$120,MATCH(VLOOKUP("*"&amp;$AX100,$A$10:$J$11,$J$9,FALSE)&amp;K$7,COM_2012!$B$58:$AH$58,0),FALSE),"")))</f>
        <v/>
      </c>
      <c r="L100" s="494" t="str">
        <f>IF(L$7&lt;2020,"",IF(C100="*","",IFERROR(VLOOKUP($C100,COM_2012!$B$61:$AH$120,MATCH(VLOOKUP("*"&amp;$AX100,$A$10:$J$11,$J$9,FALSE)&amp;L$7,COM_2012!$B$58:$AH$58,0),FALSE),"")))</f>
        <v/>
      </c>
      <c r="M100" s="494" t="str">
        <f>IF(M$7&lt;2020,"",IF(D100="*","",IFERROR(VLOOKUP($C100,COM_2012!$B$61:$AH$120,MATCH(VLOOKUP("*"&amp;$AX100,$A$10:$J$11,$J$9,FALSE)&amp;M$7,COM_2012!$B$58:$AH$58,0),FALSE),"")))</f>
        <v/>
      </c>
      <c r="N100" s="494" t="str">
        <f ca="1">IFERROR(VLOOKUP($C100,COM_2012!$B$61:$AH$120,MATCH(VLOOKUP("*"&amp;$AX100,$A$10:$J$11,$J$9,FALSE)&amp;N$7,COM_2012!$B$58:$AH$58,0),FALSE),"")</f>
        <v/>
      </c>
      <c r="O100" s="494" t="str">
        <f>IF(O$7&lt;2020,"",IF($A100="*","",IFERROR(VLOOKUP($C100,' COM_2017_old'!$B$61:$AJ$120,MATCH(VLOOKUP("*"&amp;$AX100,$A$10:$J$11,$J$9,FALSE)&amp;O$7,' COM_2017_old'!$B$58:$AJ$58,0),FALSE),"")))</f>
        <v/>
      </c>
      <c r="P100" s="494" t="str">
        <f ca="1">IFERROR(VLOOKUP($C100,COM_2012!$B$61:$AH$120,MATCH(VLOOKUP("*"&amp;$AX100,$A$10:$J$11,$J$9,FALSE)&amp;P$7,COM_2012!$B$58:$AH$58,0),FALSE),"")</f>
        <v/>
      </c>
      <c r="Q100" s="494" t="str">
        <f ca="1">IFERROR(VLOOKUP($C100,COM_2012!$B$61:$AH$120,MATCH(VLOOKUP("*"&amp;$AX100,$A$10:$J$11,$J$9,FALSE)&amp;Q$7,COM_2012!$B$58:$AH$58,0),FALSE),"")</f>
        <v/>
      </c>
      <c r="R100" s="494" t="str">
        <f ca="1">IF($A100="*","",IFERROR(VLOOKUP($C100,' COM_2017_old'!$B$61:$AJ$120,MATCH(VLOOKUP("*"&amp;$AX100,$A$10:$J$11,$J$9,FALSE)&amp;R$7,' COM_2017_old'!$B$58:$AJ$58,0),FALSE),""))</f>
        <v/>
      </c>
      <c r="S100" s="494" t="str">
        <f ca="1">IFERROR(VLOOKUP($C100,COM_2012!$B$61:$AH$120,MATCH(VLOOKUP("*"&amp;$AX100,$A$10:$J$11,$J$9,FALSE)&amp;S$7,COM_2012!$B$58:$AH$58,0),FALSE),"")</f>
        <v/>
      </c>
      <c r="T100" s="494" t="str">
        <f ca="1">IFERROR(VLOOKUP($C100,COM_2012!$B$61:$AH$120,MATCH(VLOOKUP("*"&amp;$AX100,$A$10:$J$11,$J$9,FALSE)&amp;T$7,COM_2012!$B$58:$AH$58,0),FALSE),"")</f>
        <v/>
      </c>
      <c r="U100" s="494" t="str">
        <f ca="1">IFERROR(VLOOKUP($C100,COM_2012!$B$61:$AH$120,MATCH(VLOOKUP("*"&amp;$AX100,$A$10:$J$11,$J$9,FALSE)&amp;U$7,COM_2012!$B$58:$AH$58,0),FALSE),"")</f>
        <v/>
      </c>
      <c r="V100" s="494" t="str">
        <f ca="1">IFERROR(VLOOKUP($C100,COM_2012!$B$61:$AH$120,MATCH(VLOOKUP("*"&amp;$AX100,$A$10:$J$11,$J$9,FALSE)&amp;V$7,COM_2012!$B$58:$AH$58,0),FALSE),"")</f>
        <v/>
      </c>
      <c r="W100" s="494" t="str">
        <f ca="1">IF($A100="*","",IFERROR(VLOOKUP($C100,' COM_2017_old'!$B$61:$AJ$120,MATCH(VLOOKUP("*"&amp;$AX100,$A$10:$J$11,$J$9,FALSE)&amp;W$7,' COM_2017_old'!$B$58:$AJ$58,0),FALSE),""))</f>
        <v/>
      </c>
      <c r="X100" s="494" t="str">
        <f ca="1">IFERROR(VLOOKUP($C100,COM_2012!$B$61:$AH$120,MATCH(VLOOKUP("*"&amp;$AX100,$A$10:$J$11,$J$9,FALSE)&amp;X$7,COM_2012!$B$58:$AH$58,0),FALSE),"")</f>
        <v/>
      </c>
      <c r="Y100" s="494" t="str">
        <f ca="1">IFERROR(VLOOKUP($C100,COM_2012!$B$61:$AH$120,MATCH(VLOOKUP("*"&amp;$AX100,$A$10:$J$11,$J$9,FALSE)&amp;Y$7,COM_2012!$B$58:$AH$58,0),FALSE),"")</f>
        <v/>
      </c>
      <c r="Z100" s="494" t="str">
        <f ca="1">IFERROR(VLOOKUP($C100,COM_2012!$B$61:$AH$120,MATCH(VLOOKUP("*"&amp;$AX100,$A$10:$J$11,$J$9,FALSE)&amp;Z$7,COM_2012!$B$58:$AH$58,0),FALSE),"")</f>
        <v/>
      </c>
      <c r="AA100" s="494" t="str">
        <f ca="1">IFERROR(VLOOKUP($C100,COM_2012!$B$61:$AH$120,MATCH(VLOOKUP("*"&amp;$AX100,$A$10:$J$11,$J$9,FALSE)&amp;AA$7,COM_2012!$B$58:$AH$58,0),FALSE),"")</f>
        <v/>
      </c>
      <c r="AB100" s="494" t="str">
        <f ca="1">IF($A100="*","",IFERROR(VLOOKUP($C100,' COM_2017_old'!$B$61:$AJ$120,MATCH(VLOOKUP("*"&amp;$AX100,$A$10:$J$11,$J$9,FALSE)&amp;AB$7,' COM_2017_old'!$B$58:$AJ$58,0),FALSE),""))</f>
        <v/>
      </c>
      <c r="AC100" s="494" t="str">
        <f ca="1">IFERROR(VLOOKUP($C100,COM_2012!$B$61:$AH$120,MATCH(VLOOKUP("*"&amp;$AX100,$A$10:$J$11,$J$9,FALSE)&amp;AC$7,COM_2012!$B$58:$AH$58,0),FALSE),"")</f>
        <v/>
      </c>
      <c r="AD100" s="391" t="str">
        <f ca="1">IFERROR(VLOOKUP($C100,COM_2012!$B$61:$AH$120,MATCH(VLOOKUP("*"&amp;$AX100,$A$10:$J$11,$J$9,FALSE)&amp;AD$7,COM_2012!$B$58:$AH$58,0),FALSE),"")</f>
        <v/>
      </c>
      <c r="AE100" s="391" t="str">
        <f ca="1">IFERROR(VLOOKUP($C100,COM_2012!$B$61:$AH$120,MATCH(VLOOKUP("*"&amp;$AX100,$A$10:$J$11,$J$9,FALSE)&amp;AE$7,COM_2012!$B$58:$AH$58,0),FALSE),"")</f>
        <v/>
      </c>
      <c r="AF100" s="391" t="str">
        <f ca="1">IFERROR(VLOOKUP($C100,COM_2012!$B$61:$AH$120,MATCH(VLOOKUP("*"&amp;$AX100,$A$10:$J$11,$J$9,FALSE)&amp;AF$7,COM_2012!$B$58:$AH$58,0),FALSE),"")</f>
        <v/>
      </c>
      <c r="AG100" s="494" t="str">
        <f ca="1">IF($A100="*","",IFERROR(VLOOKUP($C100,' COM_2017_old'!$B$61:$AJ$120,MATCH(VLOOKUP("*"&amp;$AX100,$A$10:$J$11,$J$9,FALSE)&amp;AG$7,' COM_2017_old'!$B$58:$AJ$58,0),FALSE),""))</f>
        <v/>
      </c>
      <c r="AH100" s="391" t="str">
        <f ca="1">IFERROR(VLOOKUP($C100,COM_2012!$B$61:$AH$120,MATCH(VLOOKUP("*"&amp;$AX100,$A$10:$J$11,$J$9,FALSE)&amp;AH$7,COM_2012!$B$58:$AH$58,0),FALSE),"")</f>
        <v/>
      </c>
      <c r="AI100" s="391" t="str">
        <f ca="1">IFERROR(VLOOKUP($C100,COM_2012!$B$61:$AH$120,MATCH(VLOOKUP("*"&amp;$AX100,$A$10:$J$11,$J$9,FALSE)&amp;AI$7,COM_2012!$B$58:$AH$58,0),FALSE),"")</f>
        <v/>
      </c>
      <c r="AJ100" s="391" t="str">
        <f ca="1">IFERROR(VLOOKUP($C100,COM_2012!$B$61:$AH$120,MATCH(VLOOKUP("*"&amp;$AX100,$A$10:$J$11,$J$9,FALSE)&amp;AJ$7,COM_2012!$B$58:$AH$58,0),FALSE),"")</f>
        <v/>
      </c>
      <c r="AK100" s="391" t="str">
        <f ca="1">IFERROR(VLOOKUP($C100,COM_2012!$B$61:$AH$120,MATCH(VLOOKUP("*"&amp;$AX100,$A$10:$J$11,$J$9,FALSE)&amp;AK$7,COM_2012!$B$58:$AH$58,0),FALSE),"")</f>
        <v/>
      </c>
      <c r="AL100" s="494" t="str">
        <f ca="1">IF($A100="*","",IFERROR(VLOOKUP($C100,' COM_2017_old'!$B$61:$AJ$120,MATCH(VLOOKUP("*"&amp;$AX100,$A$10:$J$11,$J$9,FALSE)&amp;AL$7,' COM_2017_old'!$B$58:$AJ$58,0),FALSE),""))</f>
        <v/>
      </c>
      <c r="AM100" s="494" t="str">
        <f ca="1">IF($A100="*","",IFERROR(VLOOKUP($C100,' COM_2017_old'!$B$61:$AJ$120,MATCH(VLOOKUP("*"&amp;$AX100,$A$10:$J$11,$J$9,FALSE)&amp;AM$7,' COM_2017_old'!$B$58:$AJ$58,0),FALSE),""))</f>
        <v/>
      </c>
      <c r="AN100" s="494" t="str">
        <f ca="1">IF($A100="*","",IFERROR(VLOOKUP($C100,' COM_2017_old'!$B$61:$AJ$120,MATCH(VLOOKUP("*"&amp;$AX100,$A$10:$J$11,$J$9,FALSE)&amp;AN$7,' COM_2017_old'!$B$58:$AJ$58,0),FALSE),""))</f>
        <v/>
      </c>
      <c r="AO100" s="391" t="str">
        <f ca="1">IFERROR(VLOOKUP($C100,COM_2012!$B$61:$AH$120,MATCH(VLOOKUP("*"&amp;$AX100,$A$10:$J$11,$J$9,FALSE)&amp;AO$7,COM_2012!$B$58:$AH$58,0),FALSE),"")</f>
        <v/>
      </c>
      <c r="AP100" s="391" t="str">
        <f ca="1">IFERROR(VLOOKUP($C100,COM_2012!$B$61:$AH$120,MATCH(VLOOKUP("*"&amp;$AX100,$A$10:$J$11,$J$9,FALSE)&amp;AP$7,COM_2012!$B$58:$AH$58,0),FALSE),"")</f>
        <v/>
      </c>
      <c r="AQ100" s="391" t="str">
        <f ca="1">IFERROR(VLOOKUP($C100,COM_2012!$B$61:$AH$120,MATCH(VLOOKUP("*"&amp;$AX100,$A$10:$J$11,$J$9,FALSE)&amp;AQ$7,COM_2012!$B$58:$AH$58,0),FALSE),"")</f>
        <v/>
      </c>
      <c r="AR100" s="391" t="str">
        <f ca="1">IFERROR(VLOOKUP($C100,COM_2012!$B$61:$AH$120,MATCH(VLOOKUP("*"&amp;$AX100,$A$10:$J$11,$J$9,FALSE)&amp;AR$7,COM_2012!$B$58:$AH$58,0),FALSE),"")</f>
        <v/>
      </c>
      <c r="AS100" s="391" t="str">
        <f ca="1">IFERROR(VLOOKUP($C100,COM_2012!$B$61:$AH$120,MATCH(VLOOKUP("*"&amp;$AX100,$A$10:$J$11,$J$9,FALSE)&amp;AS$7,COM_2012!$B$58:$AH$58,0),FALSE),"")</f>
        <v/>
      </c>
      <c r="AT100" s="391" t="str">
        <f ca="1">IFERROR(VLOOKUP($C100,COM_2012!$B$61:$AH$120,MATCH(VLOOKUP("*"&amp;$AX100,$A$10:$J$11,$J$9,FALSE)&amp;AT$7,COM_2012!$B$58:$AH$58,0),FALSE),"")</f>
        <v/>
      </c>
      <c r="AU100" s="391" t="str">
        <f ca="1">IFERROR(VLOOKUP($C100,COM_2012!$B$61:$AH$120,MATCH(VLOOKUP("*"&amp;$AX100,$A$10:$J$11,$J$9,FALSE)&amp;AU$7,COM_2012!$B$58:$AH$58,0),FALSE),"")</f>
        <v/>
      </c>
      <c r="AV100" s="391" t="str">
        <f ca="1">IFERROR(VLOOKUP($C100,COM_2012!$B$61:$AH$120,MATCH(VLOOKUP("*"&amp;$AX100,$A$10:$J$11,$J$9,FALSE)&amp;AV$7,COM_2012!$B$58:$AH$58,0),FALSE),"")</f>
        <v/>
      </c>
      <c r="AW100" s="391" t="str">
        <f ca="1">IFERROR(VLOOKUP($C100,COM_2012!$B$61:$AH$120,MATCH(VLOOKUP("*"&amp;$AX100,$A$10:$J$11,$J$9,FALSE)&amp;AW$7,COM_2012!$B$58:$AH$58,0),FALSE),"")</f>
        <v/>
      </c>
      <c r="AX100" s="304">
        <f>IF(AY99=COM_2012!$AI$121,AX99+1,AX99)</f>
        <v>2</v>
      </c>
      <c r="AY100" s="304">
        <f t="shared" si="75"/>
        <v>27</v>
      </c>
    </row>
    <row r="101" spans="1:51">
      <c r="A101" s="304" t="str">
        <f ca="1">IF(LEFT(OFFSET(COM_2012!$A$60,AY101,0),2)="\I","*","")</f>
        <v>*</v>
      </c>
      <c r="B101" s="369" t="str">
        <f t="shared" ca="1" si="72"/>
        <v/>
      </c>
      <c r="C101" s="369" t="str">
        <f ca="1">IF($A101="*","",OFFSET(COM_2012!$B$60,AY101,0))</f>
        <v/>
      </c>
      <c r="D101" s="369" t="str">
        <f t="shared" ca="1" si="54"/>
        <v/>
      </c>
      <c r="E101" s="369" t="str">
        <f t="shared" ca="1" si="76"/>
        <v/>
      </c>
      <c r="F101" s="370" t="str">
        <f t="shared" ca="1" si="73"/>
        <v/>
      </c>
      <c r="G101" s="370" t="str">
        <f t="shared" ca="1" si="73"/>
        <v/>
      </c>
      <c r="H101" s="370" t="str">
        <f t="shared" ca="1" si="74"/>
        <v/>
      </c>
      <c r="I101" s="370" t="str">
        <f t="shared" ca="1" si="74"/>
        <v/>
      </c>
      <c r="J101" s="494" t="str">
        <f>IF(J$7&lt;2020,"",IF(A101="*","",IFERROR(VLOOKUP($C101,COM_2012!$B$61:$AH$120,MATCH(VLOOKUP("*"&amp;$AX101,$A$10:$J$11,$J$9,FALSE)&amp;J$7,COM_2012!$B$58:$AH$58,0),FALSE),"")))</f>
        <v/>
      </c>
      <c r="K101" s="494" t="str">
        <f>IF(K$7&lt;2020,"",IF(B101="*","",IFERROR(VLOOKUP($C101,COM_2012!$B$61:$AH$120,MATCH(VLOOKUP("*"&amp;$AX101,$A$10:$J$11,$J$9,FALSE)&amp;K$7,COM_2012!$B$58:$AH$58,0),FALSE),"")))</f>
        <v/>
      </c>
      <c r="L101" s="494" t="str">
        <f>IF(L$7&lt;2020,"",IF(C101="*","",IFERROR(VLOOKUP($C101,COM_2012!$B$61:$AH$120,MATCH(VLOOKUP("*"&amp;$AX101,$A$10:$J$11,$J$9,FALSE)&amp;L$7,COM_2012!$B$58:$AH$58,0),FALSE),"")))</f>
        <v/>
      </c>
      <c r="M101" s="494" t="str">
        <f>IF(M$7&lt;2020,"",IF(D101="*","",IFERROR(VLOOKUP($C101,COM_2012!$B$61:$AH$120,MATCH(VLOOKUP("*"&amp;$AX101,$A$10:$J$11,$J$9,FALSE)&amp;M$7,COM_2012!$B$58:$AH$58,0),FALSE),"")))</f>
        <v/>
      </c>
      <c r="N101" s="494" t="str">
        <f ca="1">IFERROR(VLOOKUP($C101,COM_2012!$B$61:$AH$120,MATCH(VLOOKUP("*"&amp;$AX101,$A$10:$J$11,$J$9,FALSE)&amp;N$7,COM_2012!$B$58:$AH$58,0),FALSE),"")</f>
        <v/>
      </c>
      <c r="O101" s="494" t="str">
        <f>IF(O$7&lt;2020,"",IF($A101="*","",IFERROR(VLOOKUP($C101,' COM_2017_old'!$B$61:$AJ$120,MATCH(VLOOKUP("*"&amp;$AX101,$A$10:$J$11,$J$9,FALSE)&amp;O$7,' COM_2017_old'!$B$58:$AJ$58,0),FALSE),"")))</f>
        <v/>
      </c>
      <c r="P101" s="494" t="str">
        <f ca="1">IFERROR(VLOOKUP($C101,COM_2012!$B$61:$AH$120,MATCH(VLOOKUP("*"&amp;$AX101,$A$10:$J$11,$J$9,FALSE)&amp;P$7,COM_2012!$B$58:$AH$58,0),FALSE),"")</f>
        <v/>
      </c>
      <c r="Q101" s="494" t="str">
        <f ca="1">IFERROR(VLOOKUP($C101,COM_2012!$B$61:$AH$120,MATCH(VLOOKUP("*"&amp;$AX101,$A$10:$J$11,$J$9,FALSE)&amp;Q$7,COM_2012!$B$58:$AH$58,0),FALSE),"")</f>
        <v/>
      </c>
      <c r="R101" s="494" t="str">
        <f ca="1">IF($A101="*","",IFERROR(VLOOKUP($C101,' COM_2017_old'!$B$61:$AJ$120,MATCH(VLOOKUP("*"&amp;$AX101,$A$10:$J$11,$J$9,FALSE)&amp;R$7,' COM_2017_old'!$B$58:$AJ$58,0),FALSE),""))</f>
        <v/>
      </c>
      <c r="S101" s="494" t="str">
        <f ca="1">IFERROR(VLOOKUP($C101,COM_2012!$B$61:$AH$120,MATCH(VLOOKUP("*"&amp;$AX101,$A$10:$J$11,$J$9,FALSE)&amp;S$7,COM_2012!$B$58:$AH$58,0),FALSE),"")</f>
        <v/>
      </c>
      <c r="T101" s="494" t="str">
        <f ca="1">IFERROR(VLOOKUP($C101,COM_2012!$B$61:$AH$120,MATCH(VLOOKUP("*"&amp;$AX101,$A$10:$J$11,$J$9,FALSE)&amp;T$7,COM_2012!$B$58:$AH$58,0),FALSE),"")</f>
        <v/>
      </c>
      <c r="U101" s="494" t="str">
        <f ca="1">IFERROR(VLOOKUP($C101,COM_2012!$B$61:$AH$120,MATCH(VLOOKUP("*"&amp;$AX101,$A$10:$J$11,$J$9,FALSE)&amp;U$7,COM_2012!$B$58:$AH$58,0),FALSE),"")</f>
        <v/>
      </c>
      <c r="V101" s="494" t="str">
        <f ca="1">IFERROR(VLOOKUP($C101,COM_2012!$B$61:$AH$120,MATCH(VLOOKUP("*"&amp;$AX101,$A$10:$J$11,$J$9,FALSE)&amp;V$7,COM_2012!$B$58:$AH$58,0),FALSE),"")</f>
        <v/>
      </c>
      <c r="W101" s="494" t="str">
        <f ca="1">IF($A101="*","",IFERROR(VLOOKUP($C101,' COM_2017_old'!$B$61:$AJ$120,MATCH(VLOOKUP("*"&amp;$AX101,$A$10:$J$11,$J$9,FALSE)&amp;W$7,' COM_2017_old'!$B$58:$AJ$58,0),FALSE),""))</f>
        <v/>
      </c>
      <c r="X101" s="494" t="str">
        <f ca="1">IFERROR(VLOOKUP($C101,COM_2012!$B$61:$AH$120,MATCH(VLOOKUP("*"&amp;$AX101,$A$10:$J$11,$J$9,FALSE)&amp;X$7,COM_2012!$B$58:$AH$58,0),FALSE),"")</f>
        <v/>
      </c>
      <c r="Y101" s="494" t="str">
        <f ca="1">IFERROR(VLOOKUP($C101,COM_2012!$B$61:$AH$120,MATCH(VLOOKUP("*"&amp;$AX101,$A$10:$J$11,$J$9,FALSE)&amp;Y$7,COM_2012!$B$58:$AH$58,0),FALSE),"")</f>
        <v/>
      </c>
      <c r="Z101" s="494" t="str">
        <f ca="1">IFERROR(VLOOKUP($C101,COM_2012!$B$61:$AH$120,MATCH(VLOOKUP("*"&amp;$AX101,$A$10:$J$11,$J$9,FALSE)&amp;Z$7,COM_2012!$B$58:$AH$58,0),FALSE),"")</f>
        <v/>
      </c>
      <c r="AA101" s="494" t="str">
        <f ca="1">IFERROR(VLOOKUP($C101,COM_2012!$B$61:$AH$120,MATCH(VLOOKUP("*"&amp;$AX101,$A$10:$J$11,$J$9,FALSE)&amp;AA$7,COM_2012!$B$58:$AH$58,0),FALSE),"")</f>
        <v/>
      </c>
      <c r="AB101" s="494" t="str">
        <f ca="1">IF($A101="*","",IFERROR(VLOOKUP($C101,' COM_2017_old'!$B$61:$AJ$120,MATCH(VLOOKUP("*"&amp;$AX101,$A$10:$J$11,$J$9,FALSE)&amp;AB$7,' COM_2017_old'!$B$58:$AJ$58,0),FALSE),""))</f>
        <v/>
      </c>
      <c r="AC101" s="494" t="str">
        <f ca="1">IFERROR(VLOOKUP($C101,COM_2012!$B$61:$AH$120,MATCH(VLOOKUP("*"&amp;$AX101,$A$10:$J$11,$J$9,FALSE)&amp;AC$7,COM_2012!$B$58:$AH$58,0),FALSE),"")</f>
        <v/>
      </c>
      <c r="AD101" s="391" t="str">
        <f ca="1">IFERROR(VLOOKUP($C101,COM_2012!$B$61:$AH$120,MATCH(VLOOKUP("*"&amp;$AX101,$A$10:$J$11,$J$9,FALSE)&amp;AD$7,COM_2012!$B$58:$AH$58,0),FALSE),"")</f>
        <v/>
      </c>
      <c r="AE101" s="391" t="str">
        <f ca="1">IFERROR(VLOOKUP($C101,COM_2012!$B$61:$AH$120,MATCH(VLOOKUP("*"&amp;$AX101,$A$10:$J$11,$J$9,FALSE)&amp;AE$7,COM_2012!$B$58:$AH$58,0),FALSE),"")</f>
        <v/>
      </c>
      <c r="AF101" s="391" t="str">
        <f ca="1">IFERROR(VLOOKUP($C101,COM_2012!$B$61:$AH$120,MATCH(VLOOKUP("*"&amp;$AX101,$A$10:$J$11,$J$9,FALSE)&amp;AF$7,COM_2012!$B$58:$AH$58,0),FALSE),"")</f>
        <v/>
      </c>
      <c r="AG101" s="494" t="str">
        <f ca="1">IF($A101="*","",IFERROR(VLOOKUP($C101,' COM_2017_old'!$B$61:$AJ$120,MATCH(VLOOKUP("*"&amp;$AX101,$A$10:$J$11,$J$9,FALSE)&amp;AG$7,' COM_2017_old'!$B$58:$AJ$58,0),FALSE),""))</f>
        <v/>
      </c>
      <c r="AH101" s="391" t="str">
        <f ca="1">IFERROR(VLOOKUP($C101,COM_2012!$B$61:$AH$120,MATCH(VLOOKUP("*"&amp;$AX101,$A$10:$J$11,$J$9,FALSE)&amp;AH$7,COM_2012!$B$58:$AH$58,0),FALSE),"")</f>
        <v/>
      </c>
      <c r="AI101" s="391" t="str">
        <f ca="1">IFERROR(VLOOKUP($C101,COM_2012!$B$61:$AH$120,MATCH(VLOOKUP("*"&amp;$AX101,$A$10:$J$11,$J$9,FALSE)&amp;AI$7,COM_2012!$B$58:$AH$58,0),FALSE),"")</f>
        <v/>
      </c>
      <c r="AJ101" s="391" t="str">
        <f ca="1">IFERROR(VLOOKUP($C101,COM_2012!$B$61:$AH$120,MATCH(VLOOKUP("*"&amp;$AX101,$A$10:$J$11,$J$9,FALSE)&amp;AJ$7,COM_2012!$B$58:$AH$58,0),FALSE),"")</f>
        <v/>
      </c>
      <c r="AK101" s="391" t="str">
        <f ca="1">IFERROR(VLOOKUP($C101,COM_2012!$B$61:$AH$120,MATCH(VLOOKUP("*"&amp;$AX101,$A$10:$J$11,$J$9,FALSE)&amp;AK$7,COM_2012!$B$58:$AH$58,0),FALSE),"")</f>
        <v/>
      </c>
      <c r="AL101" s="494" t="str">
        <f ca="1">IF($A101="*","",IFERROR(VLOOKUP($C101,' COM_2017_old'!$B$61:$AJ$120,MATCH(VLOOKUP("*"&amp;$AX101,$A$10:$J$11,$J$9,FALSE)&amp;AL$7,' COM_2017_old'!$B$58:$AJ$58,0),FALSE),""))</f>
        <v/>
      </c>
      <c r="AM101" s="494" t="str">
        <f ca="1">IF($A101="*","",IFERROR(VLOOKUP($C101,' COM_2017_old'!$B$61:$AJ$120,MATCH(VLOOKUP("*"&amp;$AX101,$A$10:$J$11,$J$9,FALSE)&amp;AM$7,' COM_2017_old'!$B$58:$AJ$58,0),FALSE),""))</f>
        <v/>
      </c>
      <c r="AN101" s="494" t="str">
        <f ca="1">IF($A101="*","",IFERROR(VLOOKUP($C101,' COM_2017_old'!$B$61:$AJ$120,MATCH(VLOOKUP("*"&amp;$AX101,$A$10:$J$11,$J$9,FALSE)&amp;AN$7,' COM_2017_old'!$B$58:$AJ$58,0),FALSE),""))</f>
        <v/>
      </c>
      <c r="AO101" s="391" t="str">
        <f ca="1">IFERROR(VLOOKUP($C101,COM_2012!$B$61:$AH$120,MATCH(VLOOKUP("*"&amp;$AX101,$A$10:$J$11,$J$9,FALSE)&amp;AO$7,COM_2012!$B$58:$AH$58,0),FALSE),"")</f>
        <v/>
      </c>
      <c r="AP101" s="391" t="str">
        <f ca="1">IFERROR(VLOOKUP($C101,COM_2012!$B$61:$AH$120,MATCH(VLOOKUP("*"&amp;$AX101,$A$10:$J$11,$J$9,FALSE)&amp;AP$7,COM_2012!$B$58:$AH$58,0),FALSE),"")</f>
        <v/>
      </c>
      <c r="AQ101" s="391" t="str">
        <f ca="1">IFERROR(VLOOKUP($C101,COM_2012!$B$61:$AH$120,MATCH(VLOOKUP("*"&amp;$AX101,$A$10:$J$11,$J$9,FALSE)&amp;AQ$7,COM_2012!$B$58:$AH$58,0),FALSE),"")</f>
        <v/>
      </c>
      <c r="AR101" s="391" t="str">
        <f ca="1">IFERROR(VLOOKUP($C101,COM_2012!$B$61:$AH$120,MATCH(VLOOKUP("*"&amp;$AX101,$A$10:$J$11,$J$9,FALSE)&amp;AR$7,COM_2012!$B$58:$AH$58,0),FALSE),"")</f>
        <v/>
      </c>
      <c r="AS101" s="391" t="str">
        <f ca="1">IFERROR(VLOOKUP($C101,COM_2012!$B$61:$AH$120,MATCH(VLOOKUP("*"&amp;$AX101,$A$10:$J$11,$J$9,FALSE)&amp;AS$7,COM_2012!$B$58:$AH$58,0),FALSE),"")</f>
        <v/>
      </c>
      <c r="AT101" s="391" t="str">
        <f ca="1">IFERROR(VLOOKUP($C101,COM_2012!$B$61:$AH$120,MATCH(VLOOKUP("*"&amp;$AX101,$A$10:$J$11,$J$9,FALSE)&amp;AT$7,COM_2012!$B$58:$AH$58,0),FALSE),"")</f>
        <v/>
      </c>
      <c r="AU101" s="391" t="str">
        <f ca="1">IFERROR(VLOOKUP($C101,COM_2012!$B$61:$AH$120,MATCH(VLOOKUP("*"&amp;$AX101,$A$10:$J$11,$J$9,FALSE)&amp;AU$7,COM_2012!$B$58:$AH$58,0),FALSE),"")</f>
        <v/>
      </c>
      <c r="AV101" s="391" t="str">
        <f ca="1">IFERROR(VLOOKUP($C101,COM_2012!$B$61:$AH$120,MATCH(VLOOKUP("*"&amp;$AX101,$A$10:$J$11,$J$9,FALSE)&amp;AV$7,COM_2012!$B$58:$AH$58,0),FALSE),"")</f>
        <v/>
      </c>
      <c r="AW101" s="391" t="str">
        <f ca="1">IFERROR(VLOOKUP($C101,COM_2012!$B$61:$AH$120,MATCH(VLOOKUP("*"&amp;$AX101,$A$10:$J$11,$J$9,FALSE)&amp;AW$7,COM_2012!$B$58:$AH$58,0),FALSE),"")</f>
        <v/>
      </c>
      <c r="AX101" s="304">
        <f>IF(AY100=COM_2012!$AI$121,AX100+1,AX100)</f>
        <v>2</v>
      </c>
      <c r="AY101" s="304">
        <f t="shared" si="75"/>
        <v>28</v>
      </c>
    </row>
    <row r="102" spans="1:51">
      <c r="A102" s="304" t="str">
        <f ca="1">IF(LEFT(OFFSET(COM_2012!$A$60,AY102,0),2)="\I","*","")</f>
        <v/>
      </c>
      <c r="B102" s="369" t="str">
        <f t="shared" ca="1" si="72"/>
        <v>FLO_MRKPRD</v>
      </c>
      <c r="C102" s="369" t="str">
        <f ca="1">IF($A102="*","",OFFSET(COM_2012!$B$60,AY102,0))</f>
        <v>CERELC-E</v>
      </c>
      <c r="D102" s="369" t="str">
        <f t="shared" ca="1" si="54"/>
        <v>CER</v>
      </c>
      <c r="E102" s="369" t="str">
        <f t="shared" ca="1" si="76"/>
        <v>-</v>
      </c>
      <c r="F102" s="370" t="str">
        <f t="shared" ca="1" si="73"/>
        <v>-</v>
      </c>
      <c r="G102" s="370" t="str">
        <f t="shared" ca="1" si="73"/>
        <v>ANNUAL</v>
      </c>
      <c r="H102" s="370" t="str">
        <f t="shared" ca="1" si="74"/>
        <v>LO</v>
      </c>
      <c r="I102" s="370">
        <f t="shared" ca="1" si="74"/>
        <v>0</v>
      </c>
      <c r="J102" s="494" t="str">
        <f>IF(J$7&lt;2020,"",IF(A102="*","",IFERROR(VLOOKUP($C102,COM_2012!$B$61:$AH$120,MATCH(VLOOKUP("*"&amp;$AX102,$A$10:$J$11,$J$9,FALSE)&amp;J$7,COM_2012!$B$58:$AH$58,0),FALSE),"")))</f>
        <v/>
      </c>
      <c r="K102" s="494" t="str">
        <f>IF(K$7&lt;2020,"",IF(B102="*","",IFERROR(VLOOKUP($C102,COM_2012!$B$61:$AH$120,MATCH(VLOOKUP("*"&amp;$AX102,$A$10:$J$11,$J$9,FALSE)&amp;K$7,COM_2012!$B$58:$AH$58,0),FALSE),"")))</f>
        <v/>
      </c>
      <c r="L102" s="494" t="str">
        <f>IF(L$7&lt;2020,"",IF(C102="*","",IFERROR(VLOOKUP($C102,COM_2012!$B$61:$AH$120,MATCH(VLOOKUP("*"&amp;$AX102,$A$10:$J$11,$J$9,FALSE)&amp;L$7,COM_2012!$B$58:$AH$58,0),FALSE),"")))</f>
        <v/>
      </c>
      <c r="M102" s="494" t="str">
        <f>IF(M$7&lt;2020,"",IF(D102="*","",IFERROR(VLOOKUP($C102,COM_2012!$B$61:$AH$120,MATCH(VLOOKUP("*"&amp;$AX102,$A$10:$J$11,$J$9,FALSE)&amp;M$7,COM_2012!$B$58:$AH$58,0),FALSE),"")))</f>
        <v/>
      </c>
      <c r="N102" s="494" t="str">
        <f ca="1">IFERROR(VLOOKUP($C102,COM_2012!$B$61:$AH$120,MATCH(VLOOKUP("*"&amp;$AX102,$A$10:$J$11,$J$9,FALSE)&amp;N$7,COM_2012!$B$58:$AH$58,0),FALSE),"")</f>
        <v/>
      </c>
      <c r="O102" s="494" t="str">
        <f>IF(O$7&lt;2020,"",IF($A102="*","",IFERROR(VLOOKUP($C102,' COM_2017_old'!$B$61:$AJ$120,MATCH(VLOOKUP("*"&amp;$AX102,$A$10:$J$11,$J$9,FALSE)&amp;O$7,' COM_2017_old'!$B$58:$AJ$58,0),FALSE),"")))</f>
        <v/>
      </c>
      <c r="P102" s="494" t="str">
        <f ca="1">IFERROR(VLOOKUP($C102,COM_2012!$B$61:$AH$120,MATCH(VLOOKUP("*"&amp;$AX102,$A$10:$J$11,$J$9,FALSE)&amp;P$7,COM_2012!$B$58:$AH$58,0),FALSE),"")</f>
        <v/>
      </c>
      <c r="Q102" s="494" t="str">
        <f ca="1">IFERROR(VLOOKUP($C102,COM_2012!$B$61:$AH$120,MATCH(VLOOKUP("*"&amp;$AX102,$A$10:$J$11,$J$9,FALSE)&amp;Q$7,COM_2012!$B$58:$AH$58,0),FALSE),"")</f>
        <v/>
      </c>
      <c r="R102" s="494">
        <f ca="1">IF($A102="*","",IFERROR(VLOOKUP($C102,' COM_2017_old'!$B$61:$AJ$120,MATCH(VLOOKUP("*"&amp;$AX102,$A$10:$J$11,$J$9,FALSE)&amp;R$7,' COM_2017_old'!$B$58:$AJ$58,0),FALSE),""))</f>
        <v>0.9509803921568627</v>
      </c>
      <c r="S102" s="494">
        <f ca="1">IF($A102="*","",R102+($W102-$R102)/5)</f>
        <v>0.93725490196078431</v>
      </c>
      <c r="T102" s="494">
        <f t="shared" ref="T102:V103" ca="1" si="77">IF($A102="*","",S102+($W102-$R102)/5)</f>
        <v>0.92352941176470593</v>
      </c>
      <c r="U102" s="494">
        <f t="shared" ca="1" si="77"/>
        <v>0.90980392156862755</v>
      </c>
      <c r="V102" s="494">
        <f t="shared" ca="1" si="77"/>
        <v>0.89607843137254917</v>
      </c>
      <c r="W102" s="494">
        <f ca="1">IF($A102="*","",IFERROR(VLOOKUP($C102,' COM_2017_old'!$B$61:$AJ$120,MATCH(VLOOKUP("*"&amp;$AX102,$A$10:$J$11,$J$9,FALSE)&amp;W$7,' COM_2017_old'!$B$58:$AJ$58,0),FALSE),""))</f>
        <v>0.88235294117647056</v>
      </c>
      <c r="X102" s="494">
        <f ca="1">IF($A102="*","",W102+($AB102-$W102)/5)</f>
        <v>0.84313725490196079</v>
      </c>
      <c r="Y102" s="494">
        <f t="shared" ref="Y102:AA103" ca="1" si="78">IF($A102="*","",X102+($AB102-$W102)/5)</f>
        <v>0.80392156862745101</v>
      </c>
      <c r="Z102" s="494">
        <f t="shared" ca="1" si="78"/>
        <v>0.76470588235294124</v>
      </c>
      <c r="AA102" s="494">
        <f t="shared" ca="1" si="78"/>
        <v>0.72549019607843146</v>
      </c>
      <c r="AB102" s="494">
        <f ca="1">IF($A102="*","",IFERROR(VLOOKUP($C102,' COM_2017_old'!$B$61:$AJ$120,MATCH(VLOOKUP("*"&amp;$AX102,$A$10:$J$11,$J$9,FALSE)&amp;AB$7,' COM_2017_old'!$B$58:$AJ$58,0),FALSE),""))</f>
        <v>0.68627450980392146</v>
      </c>
      <c r="AC102" s="494">
        <f ca="1">IF($A102="*","",AB102+($AG102-$AB102)/5)</f>
        <v>0.63725490196078427</v>
      </c>
      <c r="AD102" s="494">
        <f t="shared" ref="AD102:AF103" ca="1" si="79">IF($A102="*","",AC102+($AG102-$AB102)/5)</f>
        <v>0.58823529411764708</v>
      </c>
      <c r="AE102" s="494">
        <f t="shared" ca="1" si="79"/>
        <v>0.53921568627450989</v>
      </c>
      <c r="AF102" s="494">
        <f t="shared" ca="1" si="79"/>
        <v>0.49019607843137264</v>
      </c>
      <c r="AG102" s="494">
        <f ca="1">IF($A102="*","",IFERROR(VLOOKUP($C102,' COM_2017_old'!$B$61:$AJ$120,MATCH(VLOOKUP("*"&amp;$AX102,$A$10:$J$11,$J$9,FALSE)&amp;AG$7,' COM_2017_old'!$B$58:$AJ$58,0),FALSE),""))</f>
        <v>0.44117647058823528</v>
      </c>
      <c r="AH102" s="494">
        <f ca="1">IF($A102="*","",AG102+($AL102-$AG102)/5)</f>
        <v>0.38235294117647056</v>
      </c>
      <c r="AI102" s="494">
        <f t="shared" ref="AI102:AK103" ca="1" si="80">IF($A102="*","",AH102+($AL102-$AG102)/5)</f>
        <v>0.32352941176470584</v>
      </c>
      <c r="AJ102" s="494">
        <f t="shared" ca="1" si="80"/>
        <v>0.26470588235294112</v>
      </c>
      <c r="AK102" s="494">
        <f t="shared" ca="1" si="80"/>
        <v>0.20588235294117641</v>
      </c>
      <c r="AL102" s="494">
        <f ca="1">IF($A102="*","",IFERROR(VLOOKUP($C102,' COM_2017_old'!$B$61:$AJ$120,MATCH(VLOOKUP("*"&amp;$AX102,$A$10:$J$11,$J$9,FALSE)&amp;AL$7,' COM_2017_old'!$B$58:$AJ$58,0),FALSE),""))</f>
        <v>0.14705882352941174</v>
      </c>
      <c r="AM102" s="494">
        <f ca="1">IF($A102="*","",IFERROR(VLOOKUP($C102,' COM_2017_old'!$B$61:$AJ$120,MATCH(VLOOKUP("*"&amp;$AX102,$A$10:$J$11,$J$9,FALSE)&amp;AM$7,' COM_2017_old'!$B$58:$AJ$58,0),FALSE),""))</f>
        <v>4.9019607843137254E-2</v>
      </c>
      <c r="AN102" s="494">
        <f ca="1">IF($A102="*","",IFERROR(VLOOKUP($C102,' COM_2017_old'!$B$61:$AJ$120,MATCH(VLOOKUP("*"&amp;$AX102,$A$10:$J$11,$J$9,FALSE)&amp;AN$7,' COM_2017_old'!$B$58:$AJ$58,0),FALSE),""))</f>
        <v>0</v>
      </c>
      <c r="AO102" s="391" t="str">
        <f ca="1">IFERROR(VLOOKUP($C102,COM_2012!$B$61:$AH$120,MATCH(VLOOKUP("*"&amp;$AX102,$A$10:$J$11,$J$9,FALSE)&amp;AO$7,COM_2012!$B$58:$AH$58,0),FALSE),"")</f>
        <v/>
      </c>
      <c r="AP102" s="391" t="str">
        <f ca="1">IFERROR(VLOOKUP($C102,COM_2012!$B$61:$AH$120,MATCH(VLOOKUP("*"&amp;$AX102,$A$10:$J$11,$J$9,FALSE)&amp;AP$7,COM_2012!$B$58:$AH$58,0),FALSE),"")</f>
        <v/>
      </c>
      <c r="AQ102" s="391" t="str">
        <f ca="1">IFERROR(VLOOKUP($C102,COM_2012!$B$61:$AH$120,MATCH(VLOOKUP("*"&amp;$AX102,$A$10:$J$11,$J$9,FALSE)&amp;AQ$7,COM_2012!$B$58:$AH$58,0),FALSE),"")</f>
        <v/>
      </c>
      <c r="AR102" s="391" t="str">
        <f ca="1">IFERROR(VLOOKUP($C102,COM_2012!$B$61:$AH$120,MATCH(VLOOKUP("*"&amp;$AX102,$A$10:$J$11,$J$9,FALSE)&amp;AR$7,COM_2012!$B$58:$AH$58,0),FALSE),"")</f>
        <v/>
      </c>
      <c r="AS102" s="391" t="str">
        <f ca="1">IFERROR(VLOOKUP($C102,COM_2012!$B$61:$AH$120,MATCH(VLOOKUP("*"&amp;$AX102,$A$10:$J$11,$J$9,FALSE)&amp;AS$7,COM_2012!$B$58:$AH$58,0),FALSE),"")</f>
        <v/>
      </c>
      <c r="AT102" s="391" t="str">
        <f ca="1">IFERROR(VLOOKUP($C102,COM_2012!$B$61:$AH$120,MATCH(VLOOKUP("*"&amp;$AX102,$A$10:$J$11,$J$9,FALSE)&amp;AT$7,COM_2012!$B$58:$AH$58,0),FALSE),"")</f>
        <v/>
      </c>
      <c r="AU102" s="391" t="str">
        <f ca="1">IFERROR(VLOOKUP($C102,COM_2012!$B$61:$AH$120,MATCH(VLOOKUP("*"&amp;$AX102,$A$10:$J$11,$J$9,FALSE)&amp;AU$7,COM_2012!$B$58:$AH$58,0),FALSE),"")</f>
        <v/>
      </c>
      <c r="AV102" s="391" t="str">
        <f ca="1">IFERROR(VLOOKUP($C102,COM_2012!$B$61:$AH$120,MATCH(VLOOKUP("*"&amp;$AX102,$A$10:$J$11,$J$9,FALSE)&amp;AV$7,COM_2012!$B$58:$AH$58,0),FALSE),"")</f>
        <v/>
      </c>
      <c r="AW102" s="391" t="str">
        <f ca="1">IFERROR(VLOOKUP($C102,COM_2012!$B$61:$AH$120,MATCH(VLOOKUP("*"&amp;$AX102,$A$10:$J$11,$J$9,FALSE)&amp;AW$7,COM_2012!$B$58:$AH$58,0),FALSE),"")</f>
        <v/>
      </c>
      <c r="AX102" s="304">
        <f>IF(AY101=COM_2012!$AI$121,AX101+1,AX101)</f>
        <v>2</v>
      </c>
      <c r="AY102" s="304">
        <f t="shared" si="75"/>
        <v>29</v>
      </c>
    </row>
    <row r="103" spans="1:51">
      <c r="A103" s="304" t="str">
        <f ca="1">IF(LEFT(OFFSET(COM_2012!$A$60,AY103,0),2)="\I","*","")</f>
        <v/>
      </c>
      <c r="B103" s="369" t="str">
        <f t="shared" ca="1" si="72"/>
        <v>FLO_MRKPRD</v>
      </c>
      <c r="C103" s="369" t="str">
        <f ca="1">IF($A103="*","",OFFSET(COM_2012!$B$60,AY103,0))</f>
        <v>CERELC-N</v>
      </c>
      <c r="D103" s="369" t="str">
        <f t="shared" ca="1" si="54"/>
        <v>CER</v>
      </c>
      <c r="E103" s="369" t="str">
        <f t="shared" ca="1" si="76"/>
        <v>-</v>
      </c>
      <c r="F103" s="370" t="str">
        <f t="shared" ca="1" si="73"/>
        <v>-</v>
      </c>
      <c r="G103" s="370" t="str">
        <f t="shared" ca="1" si="73"/>
        <v>ANNUAL</v>
      </c>
      <c r="H103" s="370" t="str">
        <f t="shared" ca="1" si="74"/>
        <v>LO</v>
      </c>
      <c r="I103" s="370">
        <f t="shared" ca="1" si="74"/>
        <v>0</v>
      </c>
      <c r="J103" s="494" t="str">
        <f>IF(J$7&lt;2020,"",IF(A103="*","",IFERROR(VLOOKUP($C103,COM_2012!$B$61:$AH$120,MATCH(VLOOKUP("*"&amp;$AX103,$A$10:$J$11,$J$9,FALSE)&amp;J$7,COM_2012!$B$58:$AH$58,0),FALSE),"")))</f>
        <v/>
      </c>
      <c r="K103" s="494" t="str">
        <f>IF(K$7&lt;2020,"",IF(B103="*","",IFERROR(VLOOKUP($C103,COM_2012!$B$61:$AH$120,MATCH(VLOOKUP("*"&amp;$AX103,$A$10:$J$11,$J$9,FALSE)&amp;K$7,COM_2012!$B$58:$AH$58,0),FALSE),"")))</f>
        <v/>
      </c>
      <c r="L103" s="494" t="str">
        <f>IF(L$7&lt;2020,"",IF(C103="*","",IFERROR(VLOOKUP($C103,COM_2012!$B$61:$AH$120,MATCH(VLOOKUP("*"&amp;$AX103,$A$10:$J$11,$J$9,FALSE)&amp;L$7,COM_2012!$B$58:$AH$58,0),FALSE),"")))</f>
        <v/>
      </c>
      <c r="M103" s="494" t="str">
        <f>IF(M$7&lt;2020,"",IF(D103="*","",IFERROR(VLOOKUP($C103,COM_2012!$B$61:$AH$120,MATCH(VLOOKUP("*"&amp;$AX103,$A$10:$J$11,$J$9,FALSE)&amp;M$7,COM_2012!$B$58:$AH$58,0),FALSE),"")))</f>
        <v/>
      </c>
      <c r="N103" s="494" t="str">
        <f ca="1">IFERROR(VLOOKUP($C103,COM_2012!$B$61:$AH$120,MATCH(VLOOKUP("*"&amp;$AX103,$A$10:$J$11,$J$9,FALSE)&amp;N$7,COM_2012!$B$58:$AH$58,0),FALSE),"")</f>
        <v/>
      </c>
      <c r="O103" s="494" t="str">
        <f>IF(O$7&lt;2020,"",IF($A103="*","",IFERROR(VLOOKUP($C103,' COM_2017_old'!$B$61:$AJ$120,MATCH(VLOOKUP("*"&amp;$AX103,$A$10:$J$11,$J$9,FALSE)&amp;O$7,' COM_2017_old'!$B$58:$AJ$58,0),FALSE),"")))</f>
        <v/>
      </c>
      <c r="P103" s="494" t="str">
        <f ca="1">IFERROR(VLOOKUP($C103,COM_2012!$B$61:$AH$120,MATCH(VLOOKUP("*"&amp;$AX103,$A$10:$J$11,$J$9,FALSE)&amp;P$7,COM_2012!$B$58:$AH$58,0),FALSE),"")</f>
        <v/>
      </c>
      <c r="Q103" s="494" t="str">
        <f ca="1">IFERROR(VLOOKUP($C103,COM_2012!$B$61:$AH$120,MATCH(VLOOKUP("*"&amp;$AX103,$A$10:$J$11,$J$9,FALSE)&amp;Q$7,COM_2012!$B$58:$AH$58,0),FALSE),"")</f>
        <v/>
      </c>
      <c r="R103" s="494">
        <f ca="1">IF($A103="*","",IFERROR(VLOOKUP($C103,' COM_2017_old'!$B$61:$AJ$120,MATCH(VLOOKUP("*"&amp;$AX103,$A$10:$J$11,$J$9,FALSE)&amp;R$7,' COM_2017_old'!$B$58:$AJ$58,0),FALSE),""))</f>
        <v>0</v>
      </c>
      <c r="S103" s="494">
        <f ca="1">IF($A103="*","",R103+($W103-$R103)/5)</f>
        <v>0</v>
      </c>
      <c r="T103" s="494">
        <f t="shared" ca="1" si="77"/>
        <v>0</v>
      </c>
      <c r="U103" s="494">
        <f t="shared" ca="1" si="77"/>
        <v>0</v>
      </c>
      <c r="V103" s="494">
        <f t="shared" ca="1" si="77"/>
        <v>0</v>
      </c>
      <c r="W103" s="494">
        <f ca="1">IF($A103="*","",IFERROR(VLOOKUP($C103,' COM_2017_old'!$B$61:$AJ$120,MATCH(VLOOKUP("*"&amp;$AX103,$A$10:$J$11,$J$9,FALSE)&amp;W$7,' COM_2017_old'!$B$58:$AJ$58,0),FALSE),""))</f>
        <v>0</v>
      </c>
      <c r="X103" s="494">
        <f ca="1">IF($A103="*","",W103+($AB103-$W103)/5)</f>
        <v>0</v>
      </c>
      <c r="Y103" s="494">
        <f t="shared" ca="1" si="78"/>
        <v>0</v>
      </c>
      <c r="Z103" s="494">
        <f t="shared" ca="1" si="78"/>
        <v>0</v>
      </c>
      <c r="AA103" s="494">
        <f t="shared" ca="1" si="78"/>
        <v>0</v>
      </c>
      <c r="AB103" s="494">
        <f ca="1">IF($A103="*","",IFERROR(VLOOKUP($C103,' COM_2017_old'!$B$61:$AJ$120,MATCH(VLOOKUP("*"&amp;$AX103,$A$10:$J$11,$J$9,FALSE)&amp;AB$7,' COM_2017_old'!$B$58:$AJ$58,0),FALSE),""))</f>
        <v>0</v>
      </c>
      <c r="AC103" s="494">
        <f ca="1">IF($A103="*","",AB103+($AG103-$AB103)/5)</f>
        <v>0</v>
      </c>
      <c r="AD103" s="494">
        <f t="shared" ca="1" si="79"/>
        <v>0</v>
      </c>
      <c r="AE103" s="494">
        <f t="shared" ca="1" si="79"/>
        <v>0</v>
      </c>
      <c r="AF103" s="494">
        <f t="shared" ca="1" si="79"/>
        <v>0</v>
      </c>
      <c r="AG103" s="494">
        <f ca="1">IF($A103="*","",IFERROR(VLOOKUP($C103,' COM_2017_old'!$B$61:$AJ$120,MATCH(VLOOKUP("*"&amp;$AX103,$A$10:$J$11,$J$9,FALSE)&amp;AG$7,' COM_2017_old'!$B$58:$AJ$58,0),FALSE),""))</f>
        <v>0</v>
      </c>
      <c r="AH103" s="494">
        <f ca="1">IF($A103="*","",AG103+($AL103-$AG103)/5)</f>
        <v>0</v>
      </c>
      <c r="AI103" s="494">
        <f t="shared" ca="1" si="80"/>
        <v>0</v>
      </c>
      <c r="AJ103" s="494">
        <f t="shared" ca="1" si="80"/>
        <v>0</v>
      </c>
      <c r="AK103" s="494">
        <f t="shared" ca="1" si="80"/>
        <v>0</v>
      </c>
      <c r="AL103" s="494">
        <f ca="1">IF($A103="*","",IFERROR(VLOOKUP($C103,' COM_2017_old'!$B$61:$AJ$120,MATCH(VLOOKUP("*"&amp;$AX103,$A$10:$J$11,$J$9,FALSE)&amp;AL$7,' COM_2017_old'!$B$58:$AJ$58,0),FALSE),""))</f>
        <v>0</v>
      </c>
      <c r="AM103" s="494">
        <f ca="1">IF($A103="*","",IFERROR(VLOOKUP($C103,' COM_2017_old'!$B$61:$AJ$120,MATCH(VLOOKUP("*"&amp;$AX103,$A$10:$J$11,$J$9,FALSE)&amp;AM$7,' COM_2017_old'!$B$58:$AJ$58,0),FALSE),""))</f>
        <v>0</v>
      </c>
      <c r="AN103" s="494">
        <f ca="1">IF($A103="*","",IFERROR(VLOOKUP($C103,' COM_2017_old'!$B$61:$AJ$120,MATCH(VLOOKUP("*"&amp;$AX103,$A$10:$J$11,$J$9,FALSE)&amp;AN$7,' COM_2017_old'!$B$58:$AJ$58,0),FALSE),""))</f>
        <v>0</v>
      </c>
      <c r="AO103" s="391" t="str">
        <f ca="1">IFERROR(VLOOKUP($C103,COM_2012!$B$61:$AH$120,MATCH(VLOOKUP("*"&amp;$AX103,$A$10:$J$11,$J$9,FALSE)&amp;AO$7,COM_2012!$B$58:$AH$58,0),FALSE),"")</f>
        <v/>
      </c>
      <c r="AP103" s="391" t="str">
        <f ca="1">IFERROR(VLOOKUP($C103,COM_2012!$B$61:$AH$120,MATCH(VLOOKUP("*"&amp;$AX103,$A$10:$J$11,$J$9,FALSE)&amp;AP$7,COM_2012!$B$58:$AH$58,0),FALSE),"")</f>
        <v/>
      </c>
      <c r="AQ103" s="391" t="str">
        <f ca="1">IFERROR(VLOOKUP($C103,COM_2012!$B$61:$AH$120,MATCH(VLOOKUP("*"&amp;$AX103,$A$10:$J$11,$J$9,FALSE)&amp;AQ$7,COM_2012!$B$58:$AH$58,0),FALSE),"")</f>
        <v/>
      </c>
      <c r="AR103" s="391" t="str">
        <f ca="1">IFERROR(VLOOKUP($C103,COM_2012!$B$61:$AH$120,MATCH(VLOOKUP("*"&amp;$AX103,$A$10:$J$11,$J$9,FALSE)&amp;AR$7,COM_2012!$B$58:$AH$58,0),FALSE),"")</f>
        <v/>
      </c>
      <c r="AS103" s="391" t="str">
        <f ca="1">IFERROR(VLOOKUP($C103,COM_2012!$B$61:$AH$120,MATCH(VLOOKUP("*"&amp;$AX103,$A$10:$J$11,$J$9,FALSE)&amp;AS$7,COM_2012!$B$58:$AH$58,0),FALSE),"")</f>
        <v/>
      </c>
      <c r="AT103" s="391" t="str">
        <f ca="1">IFERROR(VLOOKUP($C103,COM_2012!$B$61:$AH$120,MATCH(VLOOKUP("*"&amp;$AX103,$A$10:$J$11,$J$9,FALSE)&amp;AT$7,COM_2012!$B$58:$AH$58,0),FALSE),"")</f>
        <v/>
      </c>
      <c r="AU103" s="391" t="str">
        <f ca="1">IFERROR(VLOOKUP($C103,COM_2012!$B$61:$AH$120,MATCH(VLOOKUP("*"&amp;$AX103,$A$10:$J$11,$J$9,FALSE)&amp;AU$7,COM_2012!$B$58:$AH$58,0),FALSE),"")</f>
        <v/>
      </c>
      <c r="AV103" s="391" t="str">
        <f ca="1">IFERROR(VLOOKUP($C103,COM_2012!$B$61:$AH$120,MATCH(VLOOKUP("*"&amp;$AX103,$A$10:$J$11,$J$9,FALSE)&amp;AV$7,COM_2012!$B$58:$AH$58,0),FALSE),"")</f>
        <v/>
      </c>
      <c r="AW103" s="391" t="str">
        <f ca="1">IFERROR(VLOOKUP($C103,COM_2012!$B$61:$AH$120,MATCH(VLOOKUP("*"&amp;$AX103,$A$10:$J$11,$J$9,FALSE)&amp;AW$7,COM_2012!$B$58:$AH$58,0),FALSE),"")</f>
        <v/>
      </c>
      <c r="AX103" s="304">
        <f>IF(AY102=COM_2012!$AI$121,AX102+1,AX102)</f>
        <v>2</v>
      </c>
      <c r="AY103" s="304">
        <f t="shared" si="75"/>
        <v>30</v>
      </c>
    </row>
    <row r="104" spans="1:51">
      <c r="A104" s="304" t="str">
        <f ca="1">IF(LEFT(OFFSET(COM_2012!$A$60,AY104,0),2)="\I","*","")</f>
        <v>*</v>
      </c>
      <c r="B104" s="369" t="str">
        <f t="shared" ca="1" si="72"/>
        <v/>
      </c>
      <c r="C104" s="369" t="str">
        <f ca="1">IF($A104="*","",OFFSET(COM_2012!$B$60,AY104,0))</f>
        <v/>
      </c>
      <c r="D104" s="369" t="str">
        <f t="shared" ca="1" si="54"/>
        <v/>
      </c>
      <c r="E104" s="369" t="str">
        <f t="shared" ca="1" si="76"/>
        <v/>
      </c>
      <c r="F104" s="370" t="str">
        <f t="shared" ca="1" si="73"/>
        <v/>
      </c>
      <c r="G104" s="370" t="str">
        <f t="shared" ca="1" si="73"/>
        <v/>
      </c>
      <c r="H104" s="370" t="str">
        <f t="shared" ca="1" si="74"/>
        <v/>
      </c>
      <c r="I104" s="370" t="str">
        <f t="shared" ca="1" si="74"/>
        <v/>
      </c>
      <c r="J104" s="494" t="str">
        <f>IF(J$7&lt;2020,"",IF(A104="*","",IFERROR(VLOOKUP($C104,COM_2012!$B$61:$AH$120,MATCH(VLOOKUP("*"&amp;$AX104,$A$10:$J$11,$J$9,FALSE)&amp;J$7,COM_2012!$B$58:$AH$58,0),FALSE),"")))</f>
        <v/>
      </c>
      <c r="K104" s="494" t="str">
        <f>IF(K$7&lt;2020,"",IF(B104="*","",IFERROR(VLOOKUP($C104,COM_2012!$B$61:$AH$120,MATCH(VLOOKUP("*"&amp;$AX104,$A$10:$J$11,$J$9,FALSE)&amp;K$7,COM_2012!$B$58:$AH$58,0),FALSE),"")))</f>
        <v/>
      </c>
      <c r="L104" s="494" t="str">
        <f>IF(L$7&lt;2020,"",IF(C104="*","",IFERROR(VLOOKUP($C104,COM_2012!$B$61:$AH$120,MATCH(VLOOKUP("*"&amp;$AX104,$A$10:$J$11,$J$9,FALSE)&amp;L$7,COM_2012!$B$58:$AH$58,0),FALSE),"")))</f>
        <v/>
      </c>
      <c r="M104" s="494" t="str">
        <f>IF(M$7&lt;2020,"",IF(D104="*","",IFERROR(VLOOKUP($C104,COM_2012!$B$61:$AH$120,MATCH(VLOOKUP("*"&amp;$AX104,$A$10:$J$11,$J$9,FALSE)&amp;M$7,COM_2012!$B$58:$AH$58,0),FALSE),"")))</f>
        <v/>
      </c>
      <c r="N104" s="494" t="str">
        <f ca="1">IFERROR(VLOOKUP($C104,COM_2012!$B$61:$AH$120,MATCH(VLOOKUP("*"&amp;$AX104,$A$10:$J$11,$J$9,FALSE)&amp;N$7,COM_2012!$B$58:$AH$58,0),FALSE),"")</f>
        <v/>
      </c>
      <c r="O104" s="494" t="str">
        <f>IF(O$7&lt;2020,"",IF($A104="*","",IFERROR(VLOOKUP($C104,' COM_2017_old'!$B$61:$AJ$120,MATCH(VLOOKUP("*"&amp;$AX104,$A$10:$J$11,$J$9,FALSE)&amp;O$7,' COM_2017_old'!$B$58:$AJ$58,0),FALSE),"")))</f>
        <v/>
      </c>
      <c r="P104" s="494" t="str">
        <f ca="1">IFERROR(VLOOKUP($C104,COM_2012!$B$61:$AH$120,MATCH(VLOOKUP("*"&amp;$AX104,$A$10:$J$11,$J$9,FALSE)&amp;P$7,COM_2012!$B$58:$AH$58,0),FALSE),"")</f>
        <v/>
      </c>
      <c r="Q104" s="494" t="str">
        <f ca="1">IFERROR(VLOOKUP($C104,COM_2012!$B$61:$AH$120,MATCH(VLOOKUP("*"&amp;$AX104,$A$10:$J$11,$J$9,FALSE)&amp;Q$7,COM_2012!$B$58:$AH$58,0),FALSE),"")</f>
        <v/>
      </c>
      <c r="R104" s="494" t="str">
        <f ca="1">IF($A104="*","",IFERROR(VLOOKUP($C104,' COM_2017_old'!$B$61:$AJ$120,MATCH(VLOOKUP("*"&amp;$AX104,$A$10:$J$11,$J$9,FALSE)&amp;R$7,' COM_2017_old'!$B$58:$AJ$58,0),FALSE),""))</f>
        <v/>
      </c>
      <c r="S104" s="494" t="str">
        <f ca="1">IFERROR(VLOOKUP($C104,COM_2012!$B$61:$AH$120,MATCH(VLOOKUP("*"&amp;$AX104,$A$10:$J$11,$J$9,FALSE)&amp;S$7,COM_2012!$B$58:$AH$58,0),FALSE),"")</f>
        <v/>
      </c>
      <c r="T104" s="494" t="str">
        <f ca="1">IFERROR(VLOOKUP($C104,COM_2012!$B$61:$AH$120,MATCH(VLOOKUP("*"&amp;$AX104,$A$10:$J$11,$J$9,FALSE)&amp;T$7,COM_2012!$B$58:$AH$58,0),FALSE),"")</f>
        <v/>
      </c>
      <c r="U104" s="494" t="str">
        <f ca="1">IFERROR(VLOOKUP($C104,COM_2012!$B$61:$AH$120,MATCH(VLOOKUP("*"&amp;$AX104,$A$10:$J$11,$J$9,FALSE)&amp;U$7,COM_2012!$B$58:$AH$58,0),FALSE),"")</f>
        <v/>
      </c>
      <c r="V104" s="494" t="str">
        <f ca="1">IFERROR(VLOOKUP($C104,COM_2012!$B$61:$AH$120,MATCH(VLOOKUP("*"&amp;$AX104,$A$10:$J$11,$J$9,FALSE)&amp;V$7,COM_2012!$B$58:$AH$58,0),FALSE),"")</f>
        <v/>
      </c>
      <c r="W104" s="494" t="str">
        <f ca="1">IF($A104="*","",IFERROR(VLOOKUP($C104,' COM_2017_old'!$B$61:$AJ$120,MATCH(VLOOKUP("*"&amp;$AX104,$A$10:$J$11,$J$9,FALSE)&amp;W$7,' COM_2017_old'!$B$58:$AJ$58,0),FALSE),""))</f>
        <v/>
      </c>
      <c r="X104" s="494" t="str">
        <f ca="1">IFERROR(VLOOKUP($C104,COM_2012!$B$61:$AH$120,MATCH(VLOOKUP("*"&amp;$AX104,$A$10:$J$11,$J$9,FALSE)&amp;X$7,COM_2012!$B$58:$AH$58,0),FALSE),"")</f>
        <v/>
      </c>
      <c r="Y104" s="494" t="str">
        <f ca="1">IFERROR(VLOOKUP($C104,COM_2012!$B$61:$AH$120,MATCH(VLOOKUP("*"&amp;$AX104,$A$10:$J$11,$J$9,FALSE)&amp;Y$7,COM_2012!$B$58:$AH$58,0),FALSE),"")</f>
        <v/>
      </c>
      <c r="Z104" s="494" t="str">
        <f ca="1">IFERROR(VLOOKUP($C104,COM_2012!$B$61:$AH$120,MATCH(VLOOKUP("*"&amp;$AX104,$A$10:$J$11,$J$9,FALSE)&amp;Z$7,COM_2012!$B$58:$AH$58,0),FALSE),"")</f>
        <v/>
      </c>
      <c r="AA104" s="494" t="str">
        <f ca="1">IFERROR(VLOOKUP($C104,COM_2012!$B$61:$AH$120,MATCH(VLOOKUP("*"&amp;$AX104,$A$10:$J$11,$J$9,FALSE)&amp;AA$7,COM_2012!$B$58:$AH$58,0),FALSE),"")</f>
        <v/>
      </c>
      <c r="AB104" s="494" t="str">
        <f ca="1">IF($A104="*","",IFERROR(VLOOKUP($C104,' COM_2017_old'!$B$61:$AJ$120,MATCH(VLOOKUP("*"&amp;$AX104,$A$10:$J$11,$J$9,FALSE)&amp;AB$7,' COM_2017_old'!$B$58:$AJ$58,0),FALSE),""))</f>
        <v/>
      </c>
      <c r="AC104" s="494" t="str">
        <f ca="1">IFERROR(VLOOKUP($C104,COM_2012!$B$61:$AH$120,MATCH(VLOOKUP("*"&amp;$AX104,$A$10:$J$11,$J$9,FALSE)&amp;AC$7,COM_2012!$B$58:$AH$58,0),FALSE),"")</f>
        <v/>
      </c>
      <c r="AD104" s="391" t="str">
        <f ca="1">IFERROR(VLOOKUP($C104,COM_2012!$B$61:$AH$120,MATCH(VLOOKUP("*"&amp;$AX104,$A$10:$J$11,$J$9,FALSE)&amp;AD$7,COM_2012!$B$58:$AH$58,0),FALSE),"")</f>
        <v/>
      </c>
      <c r="AE104" s="391" t="str">
        <f ca="1">IFERROR(VLOOKUP($C104,COM_2012!$B$61:$AH$120,MATCH(VLOOKUP("*"&amp;$AX104,$A$10:$J$11,$J$9,FALSE)&amp;AE$7,COM_2012!$B$58:$AH$58,0),FALSE),"")</f>
        <v/>
      </c>
      <c r="AF104" s="391" t="str">
        <f ca="1">IFERROR(VLOOKUP($C104,COM_2012!$B$61:$AH$120,MATCH(VLOOKUP("*"&amp;$AX104,$A$10:$J$11,$J$9,FALSE)&amp;AF$7,COM_2012!$B$58:$AH$58,0),FALSE),"")</f>
        <v/>
      </c>
      <c r="AG104" s="494" t="str">
        <f ca="1">IF($A104="*","",IFERROR(VLOOKUP($C104,' COM_2017_old'!$B$61:$AJ$120,MATCH(VLOOKUP("*"&amp;$AX104,$A$10:$J$11,$J$9,FALSE)&amp;AG$7,' COM_2017_old'!$B$58:$AJ$58,0),FALSE),""))</f>
        <v/>
      </c>
      <c r="AH104" s="391" t="str">
        <f ca="1">IFERROR(VLOOKUP($C104,COM_2012!$B$61:$AH$120,MATCH(VLOOKUP("*"&amp;$AX104,$A$10:$J$11,$J$9,FALSE)&amp;AH$7,COM_2012!$B$58:$AH$58,0),FALSE),"")</f>
        <v/>
      </c>
      <c r="AI104" s="391" t="str">
        <f ca="1">IFERROR(VLOOKUP($C104,COM_2012!$B$61:$AH$120,MATCH(VLOOKUP("*"&amp;$AX104,$A$10:$J$11,$J$9,FALSE)&amp;AI$7,COM_2012!$B$58:$AH$58,0),FALSE),"")</f>
        <v/>
      </c>
      <c r="AJ104" s="391" t="str">
        <f ca="1">IFERROR(VLOOKUP($C104,COM_2012!$B$61:$AH$120,MATCH(VLOOKUP("*"&amp;$AX104,$A$10:$J$11,$J$9,FALSE)&amp;AJ$7,COM_2012!$B$58:$AH$58,0),FALSE),"")</f>
        <v/>
      </c>
      <c r="AK104" s="391" t="str">
        <f ca="1">IFERROR(VLOOKUP($C104,COM_2012!$B$61:$AH$120,MATCH(VLOOKUP("*"&amp;$AX104,$A$10:$J$11,$J$9,FALSE)&amp;AK$7,COM_2012!$B$58:$AH$58,0),FALSE),"")</f>
        <v/>
      </c>
      <c r="AL104" s="494" t="str">
        <f ca="1">IF($A104="*","",IFERROR(VLOOKUP($C104,' COM_2017_old'!$B$61:$AJ$120,MATCH(VLOOKUP("*"&amp;$AX104,$A$10:$J$11,$J$9,FALSE)&amp;AL$7,' COM_2017_old'!$B$58:$AJ$58,0),FALSE),""))</f>
        <v/>
      </c>
      <c r="AM104" s="494" t="str">
        <f ca="1">IF($A104="*","",IFERROR(VLOOKUP($C104,' COM_2017_old'!$B$61:$AJ$120,MATCH(VLOOKUP("*"&amp;$AX104,$A$10:$J$11,$J$9,FALSE)&amp;AM$7,' COM_2017_old'!$B$58:$AJ$58,0),FALSE),""))</f>
        <v/>
      </c>
      <c r="AN104" s="494" t="str">
        <f ca="1">IF($A104="*","",IFERROR(VLOOKUP($C104,' COM_2017_old'!$B$61:$AJ$120,MATCH(VLOOKUP("*"&amp;$AX104,$A$10:$J$11,$J$9,FALSE)&amp;AN$7,' COM_2017_old'!$B$58:$AJ$58,0),FALSE),""))</f>
        <v/>
      </c>
      <c r="AO104" s="391" t="str">
        <f ca="1">IFERROR(VLOOKUP($C104,COM_2012!$B$61:$AH$120,MATCH(VLOOKUP("*"&amp;$AX104,$A$10:$J$11,$J$9,FALSE)&amp;AO$7,COM_2012!$B$58:$AH$58,0),FALSE),"")</f>
        <v/>
      </c>
      <c r="AP104" s="391" t="str">
        <f ca="1">IFERROR(VLOOKUP($C104,COM_2012!$B$61:$AH$120,MATCH(VLOOKUP("*"&amp;$AX104,$A$10:$J$11,$J$9,FALSE)&amp;AP$7,COM_2012!$B$58:$AH$58,0),FALSE),"")</f>
        <v/>
      </c>
      <c r="AQ104" s="391" t="str">
        <f ca="1">IFERROR(VLOOKUP($C104,COM_2012!$B$61:$AH$120,MATCH(VLOOKUP("*"&amp;$AX104,$A$10:$J$11,$J$9,FALSE)&amp;AQ$7,COM_2012!$B$58:$AH$58,0),FALSE),"")</f>
        <v/>
      </c>
      <c r="AR104" s="391" t="str">
        <f ca="1">IFERROR(VLOOKUP($C104,COM_2012!$B$61:$AH$120,MATCH(VLOOKUP("*"&amp;$AX104,$A$10:$J$11,$J$9,FALSE)&amp;AR$7,COM_2012!$B$58:$AH$58,0),FALSE),"")</f>
        <v/>
      </c>
      <c r="AS104" s="391" t="str">
        <f ca="1">IFERROR(VLOOKUP($C104,COM_2012!$B$61:$AH$120,MATCH(VLOOKUP("*"&amp;$AX104,$A$10:$J$11,$J$9,FALSE)&amp;AS$7,COM_2012!$B$58:$AH$58,0),FALSE),"")</f>
        <v/>
      </c>
      <c r="AT104" s="391" t="str">
        <f ca="1">IFERROR(VLOOKUP($C104,COM_2012!$B$61:$AH$120,MATCH(VLOOKUP("*"&amp;$AX104,$A$10:$J$11,$J$9,FALSE)&amp;AT$7,COM_2012!$B$58:$AH$58,0),FALSE),"")</f>
        <v/>
      </c>
      <c r="AU104" s="391" t="str">
        <f ca="1">IFERROR(VLOOKUP($C104,COM_2012!$B$61:$AH$120,MATCH(VLOOKUP("*"&amp;$AX104,$A$10:$J$11,$J$9,FALSE)&amp;AU$7,COM_2012!$B$58:$AH$58,0),FALSE),"")</f>
        <v/>
      </c>
      <c r="AV104" s="391" t="str">
        <f ca="1">IFERROR(VLOOKUP($C104,COM_2012!$B$61:$AH$120,MATCH(VLOOKUP("*"&amp;$AX104,$A$10:$J$11,$J$9,FALSE)&amp;AV$7,COM_2012!$B$58:$AH$58,0),FALSE),"")</f>
        <v/>
      </c>
      <c r="AW104" s="391" t="str">
        <f ca="1">IFERROR(VLOOKUP($C104,COM_2012!$B$61:$AH$120,MATCH(VLOOKUP("*"&amp;$AX104,$A$10:$J$11,$J$9,FALSE)&amp;AW$7,COM_2012!$B$58:$AH$58,0),FALSE),"")</f>
        <v/>
      </c>
      <c r="AX104" s="304">
        <f>IF(AY103=COM_2012!$AI$121,AX103+1,AX103)</f>
        <v>2</v>
      </c>
      <c r="AY104" s="304">
        <f t="shared" si="75"/>
        <v>31</v>
      </c>
    </row>
    <row r="105" spans="1:51">
      <c r="A105" s="304" t="str">
        <f ca="1">IF(LEFT(OFFSET(COM_2012!$A$60,AY105,0),2)="\I","*","")</f>
        <v>*</v>
      </c>
      <c r="B105" s="369" t="str">
        <f t="shared" ca="1" si="72"/>
        <v/>
      </c>
      <c r="C105" s="369" t="str">
        <f ca="1">IF($A105="*","",OFFSET(COM_2012!$B$60,AY105,0))</f>
        <v/>
      </c>
      <c r="D105" s="369" t="str">
        <f t="shared" ca="1" si="54"/>
        <v/>
      </c>
      <c r="E105" s="369" t="str">
        <f t="shared" ca="1" si="76"/>
        <v/>
      </c>
      <c r="F105" s="370" t="str">
        <f t="shared" ca="1" si="73"/>
        <v/>
      </c>
      <c r="G105" s="370" t="str">
        <f t="shared" ca="1" si="73"/>
        <v/>
      </c>
      <c r="H105" s="370" t="str">
        <f t="shared" ca="1" si="74"/>
        <v/>
      </c>
      <c r="I105" s="370" t="str">
        <f t="shared" ca="1" si="74"/>
        <v/>
      </c>
      <c r="J105" s="494" t="str">
        <f>IF(J$7&lt;2020,"",IF(A105="*","",IFERROR(VLOOKUP($C105,COM_2012!$B$61:$AH$120,MATCH(VLOOKUP("*"&amp;$AX105,$A$10:$J$11,$J$9,FALSE)&amp;J$7,COM_2012!$B$58:$AH$58,0),FALSE),"")))</f>
        <v/>
      </c>
      <c r="K105" s="494" t="str">
        <f>IF(K$7&lt;2020,"",IF(B105="*","",IFERROR(VLOOKUP($C105,COM_2012!$B$61:$AH$120,MATCH(VLOOKUP("*"&amp;$AX105,$A$10:$J$11,$J$9,FALSE)&amp;K$7,COM_2012!$B$58:$AH$58,0),FALSE),"")))</f>
        <v/>
      </c>
      <c r="L105" s="494" t="str">
        <f>IF(L$7&lt;2020,"",IF(C105="*","",IFERROR(VLOOKUP($C105,COM_2012!$B$61:$AH$120,MATCH(VLOOKUP("*"&amp;$AX105,$A$10:$J$11,$J$9,FALSE)&amp;L$7,COM_2012!$B$58:$AH$58,0),FALSE),"")))</f>
        <v/>
      </c>
      <c r="M105" s="494" t="str">
        <f>IF(M$7&lt;2020,"",IF(D105="*","",IFERROR(VLOOKUP($C105,COM_2012!$B$61:$AH$120,MATCH(VLOOKUP("*"&amp;$AX105,$A$10:$J$11,$J$9,FALSE)&amp;M$7,COM_2012!$B$58:$AH$58,0),FALSE),"")))</f>
        <v/>
      </c>
      <c r="N105" s="494" t="str">
        <f ca="1">IFERROR(VLOOKUP($C105,COM_2012!$B$61:$AH$120,MATCH(VLOOKUP("*"&amp;$AX105,$A$10:$J$11,$J$9,FALSE)&amp;N$7,COM_2012!$B$58:$AH$58,0),FALSE),"")</f>
        <v/>
      </c>
      <c r="O105" s="494" t="str">
        <f>IF(O$7&lt;2020,"",IF($A105="*","",IFERROR(VLOOKUP($C105,' COM_2017_old'!$B$61:$AJ$120,MATCH(VLOOKUP("*"&amp;$AX105,$A$10:$J$11,$J$9,FALSE)&amp;O$7,' COM_2017_old'!$B$58:$AJ$58,0),FALSE),"")))</f>
        <v/>
      </c>
      <c r="P105" s="494" t="str">
        <f ca="1">IFERROR(VLOOKUP($C105,COM_2012!$B$61:$AH$120,MATCH(VLOOKUP("*"&amp;$AX105,$A$10:$J$11,$J$9,FALSE)&amp;P$7,COM_2012!$B$58:$AH$58,0),FALSE),"")</f>
        <v/>
      </c>
      <c r="Q105" s="494" t="str">
        <f ca="1">IFERROR(VLOOKUP($C105,COM_2012!$B$61:$AH$120,MATCH(VLOOKUP("*"&amp;$AX105,$A$10:$J$11,$J$9,FALSE)&amp;Q$7,COM_2012!$B$58:$AH$58,0),FALSE),"")</f>
        <v/>
      </c>
      <c r="R105" s="494" t="str">
        <f ca="1">IF($A105="*","",IFERROR(VLOOKUP($C105,' COM_2017_old'!$B$61:$AJ$120,MATCH(VLOOKUP("*"&amp;$AX105,$A$10:$J$11,$J$9,FALSE)&amp;R$7,' COM_2017_old'!$B$58:$AJ$58,0),FALSE),""))</f>
        <v/>
      </c>
      <c r="S105" s="494" t="str">
        <f ca="1">IFERROR(VLOOKUP($C105,COM_2012!$B$61:$AH$120,MATCH(VLOOKUP("*"&amp;$AX105,$A$10:$J$11,$J$9,FALSE)&amp;S$7,COM_2012!$B$58:$AH$58,0),FALSE),"")</f>
        <v/>
      </c>
      <c r="T105" s="494" t="str">
        <f ca="1">IFERROR(VLOOKUP($C105,COM_2012!$B$61:$AH$120,MATCH(VLOOKUP("*"&amp;$AX105,$A$10:$J$11,$J$9,FALSE)&amp;T$7,COM_2012!$B$58:$AH$58,0),FALSE),"")</f>
        <v/>
      </c>
      <c r="U105" s="494" t="str">
        <f ca="1">IFERROR(VLOOKUP($C105,COM_2012!$B$61:$AH$120,MATCH(VLOOKUP("*"&amp;$AX105,$A$10:$J$11,$J$9,FALSE)&amp;U$7,COM_2012!$B$58:$AH$58,0),FALSE),"")</f>
        <v/>
      </c>
      <c r="V105" s="494" t="str">
        <f ca="1">IFERROR(VLOOKUP($C105,COM_2012!$B$61:$AH$120,MATCH(VLOOKUP("*"&amp;$AX105,$A$10:$J$11,$J$9,FALSE)&amp;V$7,COM_2012!$B$58:$AH$58,0),FALSE),"")</f>
        <v/>
      </c>
      <c r="W105" s="494" t="str">
        <f ca="1">IF($A105="*","",IFERROR(VLOOKUP($C105,' COM_2017_old'!$B$61:$AJ$120,MATCH(VLOOKUP("*"&amp;$AX105,$A$10:$J$11,$J$9,FALSE)&amp;W$7,' COM_2017_old'!$B$58:$AJ$58,0),FALSE),""))</f>
        <v/>
      </c>
      <c r="X105" s="494" t="str">
        <f ca="1">IFERROR(VLOOKUP($C105,COM_2012!$B$61:$AH$120,MATCH(VLOOKUP("*"&amp;$AX105,$A$10:$J$11,$J$9,FALSE)&amp;X$7,COM_2012!$B$58:$AH$58,0),FALSE),"")</f>
        <v/>
      </c>
      <c r="Y105" s="494" t="str">
        <f ca="1">IFERROR(VLOOKUP($C105,COM_2012!$B$61:$AH$120,MATCH(VLOOKUP("*"&amp;$AX105,$A$10:$J$11,$J$9,FALSE)&amp;Y$7,COM_2012!$B$58:$AH$58,0),FALSE),"")</f>
        <v/>
      </c>
      <c r="Z105" s="494" t="str">
        <f ca="1">IFERROR(VLOOKUP($C105,COM_2012!$B$61:$AH$120,MATCH(VLOOKUP("*"&amp;$AX105,$A$10:$J$11,$J$9,FALSE)&amp;Z$7,COM_2012!$B$58:$AH$58,0),FALSE),"")</f>
        <v/>
      </c>
      <c r="AA105" s="494" t="str">
        <f ca="1">IFERROR(VLOOKUP($C105,COM_2012!$B$61:$AH$120,MATCH(VLOOKUP("*"&amp;$AX105,$A$10:$J$11,$J$9,FALSE)&amp;AA$7,COM_2012!$B$58:$AH$58,0),FALSE),"")</f>
        <v/>
      </c>
      <c r="AB105" s="494" t="str">
        <f ca="1">IF($A105="*","",IFERROR(VLOOKUP($C105,' COM_2017_old'!$B$61:$AJ$120,MATCH(VLOOKUP("*"&amp;$AX105,$A$10:$J$11,$J$9,FALSE)&amp;AB$7,' COM_2017_old'!$B$58:$AJ$58,0),FALSE),""))</f>
        <v/>
      </c>
      <c r="AC105" s="494" t="str">
        <f ca="1">IFERROR(VLOOKUP($C105,COM_2012!$B$61:$AH$120,MATCH(VLOOKUP("*"&amp;$AX105,$A$10:$J$11,$J$9,FALSE)&amp;AC$7,COM_2012!$B$58:$AH$58,0),FALSE),"")</f>
        <v/>
      </c>
      <c r="AD105" s="391" t="str">
        <f ca="1">IFERROR(VLOOKUP($C105,COM_2012!$B$61:$AH$120,MATCH(VLOOKUP("*"&amp;$AX105,$A$10:$J$11,$J$9,FALSE)&amp;AD$7,COM_2012!$B$58:$AH$58,0),FALSE),"")</f>
        <v/>
      </c>
      <c r="AE105" s="391" t="str">
        <f ca="1">IFERROR(VLOOKUP($C105,COM_2012!$B$61:$AH$120,MATCH(VLOOKUP("*"&amp;$AX105,$A$10:$J$11,$J$9,FALSE)&amp;AE$7,COM_2012!$B$58:$AH$58,0),FALSE),"")</f>
        <v/>
      </c>
      <c r="AF105" s="391" t="str">
        <f ca="1">IFERROR(VLOOKUP($C105,COM_2012!$B$61:$AH$120,MATCH(VLOOKUP("*"&amp;$AX105,$A$10:$J$11,$J$9,FALSE)&amp;AF$7,COM_2012!$B$58:$AH$58,0),FALSE),"")</f>
        <v/>
      </c>
      <c r="AG105" s="494" t="str">
        <f ca="1">IF($A105="*","",IFERROR(VLOOKUP($C105,' COM_2017_old'!$B$61:$AJ$120,MATCH(VLOOKUP("*"&amp;$AX105,$A$10:$J$11,$J$9,FALSE)&amp;AG$7,' COM_2017_old'!$B$58:$AJ$58,0),FALSE),""))</f>
        <v/>
      </c>
      <c r="AH105" s="391" t="str">
        <f ca="1">IFERROR(VLOOKUP($C105,COM_2012!$B$61:$AH$120,MATCH(VLOOKUP("*"&amp;$AX105,$A$10:$J$11,$J$9,FALSE)&amp;AH$7,COM_2012!$B$58:$AH$58,0),FALSE),"")</f>
        <v/>
      </c>
      <c r="AI105" s="391" t="str">
        <f ca="1">IFERROR(VLOOKUP($C105,COM_2012!$B$61:$AH$120,MATCH(VLOOKUP("*"&amp;$AX105,$A$10:$J$11,$J$9,FALSE)&amp;AI$7,COM_2012!$B$58:$AH$58,0),FALSE),"")</f>
        <v/>
      </c>
      <c r="AJ105" s="391" t="str">
        <f ca="1">IFERROR(VLOOKUP($C105,COM_2012!$B$61:$AH$120,MATCH(VLOOKUP("*"&amp;$AX105,$A$10:$J$11,$J$9,FALSE)&amp;AJ$7,COM_2012!$B$58:$AH$58,0),FALSE),"")</f>
        <v/>
      </c>
      <c r="AK105" s="391" t="str">
        <f ca="1">IFERROR(VLOOKUP($C105,COM_2012!$B$61:$AH$120,MATCH(VLOOKUP("*"&amp;$AX105,$A$10:$J$11,$J$9,FALSE)&amp;AK$7,COM_2012!$B$58:$AH$58,0),FALSE),"")</f>
        <v/>
      </c>
      <c r="AL105" s="494" t="str">
        <f ca="1">IF($A105="*","",IFERROR(VLOOKUP($C105,' COM_2017_old'!$B$61:$AJ$120,MATCH(VLOOKUP("*"&amp;$AX105,$A$10:$J$11,$J$9,FALSE)&amp;AL$7,' COM_2017_old'!$B$58:$AJ$58,0),FALSE),""))</f>
        <v/>
      </c>
      <c r="AM105" s="494" t="str">
        <f ca="1">IF($A105="*","",IFERROR(VLOOKUP($C105,' COM_2017_old'!$B$61:$AJ$120,MATCH(VLOOKUP("*"&amp;$AX105,$A$10:$J$11,$J$9,FALSE)&amp;AM$7,' COM_2017_old'!$B$58:$AJ$58,0),FALSE),""))</f>
        <v/>
      </c>
      <c r="AN105" s="494" t="str">
        <f ca="1">IF($A105="*","",IFERROR(VLOOKUP($C105,' COM_2017_old'!$B$61:$AJ$120,MATCH(VLOOKUP("*"&amp;$AX105,$A$10:$J$11,$J$9,FALSE)&amp;AN$7,' COM_2017_old'!$B$58:$AJ$58,0),FALSE),""))</f>
        <v/>
      </c>
      <c r="AO105" s="391" t="str">
        <f ca="1">IFERROR(VLOOKUP($C105,COM_2012!$B$61:$AH$120,MATCH(VLOOKUP("*"&amp;$AX105,$A$10:$J$11,$J$9,FALSE)&amp;AO$7,COM_2012!$B$58:$AH$58,0),FALSE),"")</f>
        <v/>
      </c>
      <c r="AP105" s="391" t="str">
        <f ca="1">IFERROR(VLOOKUP($C105,COM_2012!$B$61:$AH$120,MATCH(VLOOKUP("*"&amp;$AX105,$A$10:$J$11,$J$9,FALSE)&amp;AP$7,COM_2012!$B$58:$AH$58,0),FALSE),"")</f>
        <v/>
      </c>
      <c r="AQ105" s="391" t="str">
        <f ca="1">IFERROR(VLOOKUP($C105,COM_2012!$B$61:$AH$120,MATCH(VLOOKUP("*"&amp;$AX105,$A$10:$J$11,$J$9,FALSE)&amp;AQ$7,COM_2012!$B$58:$AH$58,0),FALSE),"")</f>
        <v/>
      </c>
      <c r="AR105" s="391" t="str">
        <f ca="1">IFERROR(VLOOKUP($C105,COM_2012!$B$61:$AH$120,MATCH(VLOOKUP("*"&amp;$AX105,$A$10:$J$11,$J$9,FALSE)&amp;AR$7,COM_2012!$B$58:$AH$58,0),FALSE),"")</f>
        <v/>
      </c>
      <c r="AS105" s="391" t="str">
        <f ca="1">IFERROR(VLOOKUP($C105,COM_2012!$B$61:$AH$120,MATCH(VLOOKUP("*"&amp;$AX105,$A$10:$J$11,$J$9,FALSE)&amp;AS$7,COM_2012!$B$58:$AH$58,0),FALSE),"")</f>
        <v/>
      </c>
      <c r="AT105" s="391" t="str">
        <f ca="1">IFERROR(VLOOKUP($C105,COM_2012!$B$61:$AH$120,MATCH(VLOOKUP("*"&amp;$AX105,$A$10:$J$11,$J$9,FALSE)&amp;AT$7,COM_2012!$B$58:$AH$58,0),FALSE),"")</f>
        <v/>
      </c>
      <c r="AU105" s="391" t="str">
        <f ca="1">IFERROR(VLOOKUP($C105,COM_2012!$B$61:$AH$120,MATCH(VLOOKUP("*"&amp;$AX105,$A$10:$J$11,$J$9,FALSE)&amp;AU$7,COM_2012!$B$58:$AH$58,0),FALSE),"")</f>
        <v/>
      </c>
      <c r="AV105" s="391" t="str">
        <f ca="1">IFERROR(VLOOKUP($C105,COM_2012!$B$61:$AH$120,MATCH(VLOOKUP("*"&amp;$AX105,$A$10:$J$11,$J$9,FALSE)&amp;AV$7,COM_2012!$B$58:$AH$58,0),FALSE),"")</f>
        <v/>
      </c>
      <c r="AW105" s="391" t="str">
        <f ca="1">IFERROR(VLOOKUP($C105,COM_2012!$B$61:$AH$120,MATCH(VLOOKUP("*"&amp;$AX105,$A$10:$J$11,$J$9,FALSE)&amp;AW$7,COM_2012!$B$58:$AH$58,0),FALSE),"")</f>
        <v/>
      </c>
      <c r="AX105" s="304">
        <f>IF(AY104=COM_2012!$AI$121,AX104+1,AX104)</f>
        <v>2</v>
      </c>
      <c r="AY105" s="304">
        <f t="shared" si="75"/>
        <v>32</v>
      </c>
    </row>
    <row r="106" spans="1:51">
      <c r="A106" s="304" t="str">
        <f ca="1">IF(LEFT(OFFSET(COM_2012!$A$60,AY106,0),2)="\I","*","")</f>
        <v/>
      </c>
      <c r="B106" s="369" t="str">
        <f t="shared" ca="1" si="72"/>
        <v>FLO_MRKPRD</v>
      </c>
      <c r="C106" s="369" t="str">
        <f ca="1">IF($A106="*","",OFFSET(COM_2012!$B$60,AY106,0))</f>
        <v>CEWELC-E</v>
      </c>
      <c r="D106" s="369" t="str">
        <f t="shared" ca="1" si="54"/>
        <v>CEW</v>
      </c>
      <c r="E106" s="369" t="str">
        <f t="shared" ca="1" si="76"/>
        <v>-</v>
      </c>
      <c r="F106" s="370" t="str">
        <f t="shared" ca="1" si="73"/>
        <v>-</v>
      </c>
      <c r="G106" s="370" t="str">
        <f t="shared" ca="1" si="73"/>
        <v>ANNUAL</v>
      </c>
      <c r="H106" s="370" t="str">
        <f t="shared" ca="1" si="74"/>
        <v>LO</v>
      </c>
      <c r="I106" s="370">
        <f t="shared" ca="1" si="74"/>
        <v>0</v>
      </c>
      <c r="J106" s="494" t="str">
        <f>IF(J$7&lt;2020,"",IF(A106="*","",IFERROR(VLOOKUP($C106,COM_2012!$B$61:$AH$120,MATCH(VLOOKUP("*"&amp;$AX106,$A$10:$J$11,$J$9,FALSE)&amp;J$7,COM_2012!$B$58:$AH$58,0),FALSE),"")))</f>
        <v/>
      </c>
      <c r="K106" s="494" t="str">
        <f>IF(K$7&lt;2020,"",IF(B106="*","",IFERROR(VLOOKUP($C106,COM_2012!$B$61:$AH$120,MATCH(VLOOKUP("*"&amp;$AX106,$A$10:$J$11,$J$9,FALSE)&amp;K$7,COM_2012!$B$58:$AH$58,0),FALSE),"")))</f>
        <v/>
      </c>
      <c r="L106" s="494" t="str">
        <f>IF(L$7&lt;2020,"",IF(C106="*","",IFERROR(VLOOKUP($C106,COM_2012!$B$61:$AH$120,MATCH(VLOOKUP("*"&amp;$AX106,$A$10:$J$11,$J$9,FALSE)&amp;L$7,COM_2012!$B$58:$AH$58,0),FALSE),"")))</f>
        <v/>
      </c>
      <c r="M106" s="494" t="str">
        <f>IF(M$7&lt;2020,"",IF(D106="*","",IFERROR(VLOOKUP($C106,COM_2012!$B$61:$AH$120,MATCH(VLOOKUP("*"&amp;$AX106,$A$10:$J$11,$J$9,FALSE)&amp;M$7,COM_2012!$B$58:$AH$58,0),FALSE),"")))</f>
        <v/>
      </c>
      <c r="N106" s="494" t="str">
        <f ca="1">IFERROR(VLOOKUP($C106,COM_2012!$B$61:$AH$120,MATCH(VLOOKUP("*"&amp;$AX106,$A$10:$J$11,$J$9,FALSE)&amp;N$7,COM_2012!$B$58:$AH$58,0),FALSE),"")</f>
        <v/>
      </c>
      <c r="O106" s="494" t="str">
        <f>IF(O$7&lt;2020,"",IF($A106="*","",IFERROR(VLOOKUP($C106,' COM_2017_old'!$B$61:$AJ$120,MATCH(VLOOKUP("*"&amp;$AX106,$A$10:$J$11,$J$9,FALSE)&amp;O$7,' COM_2017_old'!$B$58:$AJ$58,0),FALSE),"")))</f>
        <v/>
      </c>
      <c r="P106" s="494" t="str">
        <f ca="1">IFERROR(VLOOKUP($C106,COM_2012!$B$61:$AH$120,MATCH(VLOOKUP("*"&amp;$AX106,$A$10:$J$11,$J$9,FALSE)&amp;P$7,COM_2012!$B$58:$AH$58,0),FALSE),"")</f>
        <v/>
      </c>
      <c r="Q106" s="494" t="str">
        <f ca="1">IFERROR(VLOOKUP($C106,COM_2012!$B$61:$AH$120,MATCH(VLOOKUP("*"&amp;$AX106,$A$10:$J$11,$J$9,FALSE)&amp;Q$7,COM_2012!$B$58:$AH$58,0),FALSE),"")</f>
        <v/>
      </c>
      <c r="R106" s="494">
        <f ca="1">IF($A106="*","",IFERROR(VLOOKUP($C106,' COM_2017_old'!$B$61:$AJ$120,MATCH(VLOOKUP("*"&amp;$AX106,$A$10:$J$11,$J$9,FALSE)&amp;R$7,' COM_2017_old'!$B$58:$AJ$58,0),FALSE),""))</f>
        <v>0.11078631681879877</v>
      </c>
      <c r="S106" s="494">
        <f t="shared" ref="S106:S112" ca="1" si="81">IF($A106="*","",R106+($W106-$R106)/5)</f>
        <v>0.10918733905028002</v>
      </c>
      <c r="T106" s="494">
        <f t="shared" ref="T106:V112" ca="1" si="82">IF($A106="*","",S106+($W106-$R106)/5)</f>
        <v>0.10758836128176127</v>
      </c>
      <c r="U106" s="494">
        <f t="shared" ca="1" si="82"/>
        <v>0.10598938351324252</v>
      </c>
      <c r="V106" s="494">
        <f t="shared" ca="1" si="82"/>
        <v>0.10439040574472377</v>
      </c>
      <c r="W106" s="494">
        <f ca="1">IF($A106="*","",IFERROR(VLOOKUP($C106,' COM_2017_old'!$B$61:$AJ$120,MATCH(VLOOKUP("*"&amp;$AX106,$A$10:$J$11,$J$9,FALSE)&amp;W$7,' COM_2017_old'!$B$58:$AJ$58,0),FALSE),""))</f>
        <v>0.10279142797620505</v>
      </c>
      <c r="X106" s="494">
        <f t="shared" ref="X106:X112" ca="1" si="83">IF($A106="*","",W106+($AB106-$W106)/5)</f>
        <v>9.8222920066151492E-2</v>
      </c>
      <c r="Y106" s="494">
        <f t="shared" ref="Y106:AA112" ca="1" si="84">IF($A106="*","",X106+($AB106-$W106)/5)</f>
        <v>9.3654412156097933E-2</v>
      </c>
      <c r="Z106" s="494">
        <f t="shared" ca="1" si="84"/>
        <v>8.9085904246044373E-2</v>
      </c>
      <c r="AA106" s="494">
        <f t="shared" ca="1" si="84"/>
        <v>8.4517396335990813E-2</v>
      </c>
      <c r="AB106" s="494">
        <f ca="1">IF($A106="*","",IFERROR(VLOOKUP($C106,' COM_2017_old'!$B$61:$AJ$120,MATCH(VLOOKUP("*"&amp;$AX106,$A$10:$J$11,$J$9,FALSE)&amp;AB$7,' COM_2017_old'!$B$58:$AJ$58,0),FALSE),""))</f>
        <v>7.9948888425937267E-2</v>
      </c>
      <c r="AC106" s="494">
        <f t="shared" ref="AC106:AC112" ca="1" si="85">IF($A106="*","",AB106+($AG106-$AB106)/5)</f>
        <v>7.4238253538370325E-2</v>
      </c>
      <c r="AD106" s="494">
        <f t="shared" ref="AD106:AF112" ca="1" si="86">IF($A106="*","",AC106+($AG106-$AB106)/5)</f>
        <v>6.8527618650803382E-2</v>
      </c>
      <c r="AE106" s="494">
        <f t="shared" ca="1" si="86"/>
        <v>6.2816983763236439E-2</v>
      </c>
      <c r="AF106" s="494">
        <f t="shared" ca="1" si="86"/>
        <v>5.710634887566949E-2</v>
      </c>
      <c r="AG106" s="494">
        <f ca="1">IF($A106="*","",IFERROR(VLOOKUP($C106,' COM_2017_old'!$B$61:$AJ$120,MATCH(VLOOKUP("*"&amp;$AX106,$A$10:$J$11,$J$9,FALSE)&amp;AG$7,' COM_2017_old'!$B$58:$AJ$58,0),FALSE),""))</f>
        <v>5.1395713988102526E-2</v>
      </c>
      <c r="AH106" s="494">
        <f t="shared" ref="AH106:AH112" ca="1" si="87">IF($A106="*","",AG106+($AL106-$AG106)/5)</f>
        <v>4.4542952123022186E-2</v>
      </c>
      <c r="AI106" s="494">
        <f t="shared" ref="AI106:AK112" ca="1" si="88">IF($A106="*","",AH106+($AL106-$AG106)/5)</f>
        <v>3.7690190257941847E-2</v>
      </c>
      <c r="AJ106" s="494">
        <f t="shared" ca="1" si="88"/>
        <v>3.0837428392861511E-2</v>
      </c>
      <c r="AK106" s="494">
        <f t="shared" ca="1" si="88"/>
        <v>2.3984666527781175E-2</v>
      </c>
      <c r="AL106" s="494">
        <f ca="1">IF($A106="*","",IFERROR(VLOOKUP($C106,' COM_2017_old'!$B$61:$AJ$120,MATCH(VLOOKUP("*"&amp;$AX106,$A$10:$J$11,$J$9,FALSE)&amp;AL$7,' COM_2017_old'!$B$58:$AJ$58,0),FALSE),""))</f>
        <v>1.7131904662700842E-2</v>
      </c>
      <c r="AM106" s="494">
        <f ca="1">IF($A106="*","",IFERROR(VLOOKUP($C106,' COM_2017_old'!$B$61:$AJ$120,MATCH(VLOOKUP("*"&amp;$AX106,$A$10:$J$11,$J$9,FALSE)&amp;AM$7,' COM_2017_old'!$B$58:$AJ$58,0),FALSE),""))</f>
        <v>5.7106348875669479E-3</v>
      </c>
      <c r="AN106" s="494">
        <f ca="1">IF($A106="*","",IFERROR(VLOOKUP($C106,' COM_2017_old'!$B$61:$AJ$120,MATCH(VLOOKUP("*"&amp;$AX106,$A$10:$J$11,$J$9,FALSE)&amp;AN$7,' COM_2017_old'!$B$58:$AJ$58,0),FALSE),""))</f>
        <v>0</v>
      </c>
      <c r="AO106" s="391" t="str">
        <f ca="1">IFERROR(VLOOKUP($C106,COM_2012!$B$61:$AH$120,MATCH(VLOOKUP("*"&amp;$AX106,$A$10:$J$11,$J$9,FALSE)&amp;AO$7,COM_2012!$B$58:$AH$58,0),FALSE),"")</f>
        <v/>
      </c>
      <c r="AP106" s="391" t="str">
        <f ca="1">IFERROR(VLOOKUP($C106,COM_2012!$B$61:$AH$120,MATCH(VLOOKUP("*"&amp;$AX106,$A$10:$J$11,$J$9,FALSE)&amp;AP$7,COM_2012!$B$58:$AH$58,0),FALSE),"")</f>
        <v/>
      </c>
      <c r="AQ106" s="391" t="str">
        <f ca="1">IFERROR(VLOOKUP($C106,COM_2012!$B$61:$AH$120,MATCH(VLOOKUP("*"&amp;$AX106,$A$10:$J$11,$J$9,FALSE)&amp;AQ$7,COM_2012!$B$58:$AH$58,0),FALSE),"")</f>
        <v/>
      </c>
      <c r="AR106" s="391" t="str">
        <f ca="1">IFERROR(VLOOKUP($C106,COM_2012!$B$61:$AH$120,MATCH(VLOOKUP("*"&amp;$AX106,$A$10:$J$11,$J$9,FALSE)&amp;AR$7,COM_2012!$B$58:$AH$58,0),FALSE),"")</f>
        <v/>
      </c>
      <c r="AS106" s="391" t="str">
        <f ca="1">IFERROR(VLOOKUP($C106,COM_2012!$B$61:$AH$120,MATCH(VLOOKUP("*"&amp;$AX106,$A$10:$J$11,$J$9,FALSE)&amp;AS$7,COM_2012!$B$58:$AH$58,0),FALSE),"")</f>
        <v/>
      </c>
      <c r="AT106" s="391" t="str">
        <f ca="1">IFERROR(VLOOKUP($C106,COM_2012!$B$61:$AH$120,MATCH(VLOOKUP("*"&amp;$AX106,$A$10:$J$11,$J$9,FALSE)&amp;AT$7,COM_2012!$B$58:$AH$58,0),FALSE),"")</f>
        <v/>
      </c>
      <c r="AU106" s="391" t="str">
        <f ca="1">IFERROR(VLOOKUP($C106,COM_2012!$B$61:$AH$120,MATCH(VLOOKUP("*"&amp;$AX106,$A$10:$J$11,$J$9,FALSE)&amp;AU$7,COM_2012!$B$58:$AH$58,0),FALSE),"")</f>
        <v/>
      </c>
      <c r="AV106" s="391" t="str">
        <f ca="1">IFERROR(VLOOKUP($C106,COM_2012!$B$61:$AH$120,MATCH(VLOOKUP("*"&amp;$AX106,$A$10:$J$11,$J$9,FALSE)&amp;AV$7,COM_2012!$B$58:$AH$58,0),FALSE),"")</f>
        <v/>
      </c>
      <c r="AW106" s="391" t="str">
        <f ca="1">IFERROR(VLOOKUP($C106,COM_2012!$B$61:$AH$120,MATCH(VLOOKUP("*"&amp;$AX106,$A$10:$J$11,$J$9,FALSE)&amp;AW$7,COM_2012!$B$58:$AH$58,0),FALSE),"")</f>
        <v/>
      </c>
      <c r="AX106" s="304">
        <f>IF(AY105=COM_2012!$AI$121,AX105+1,AX105)</f>
        <v>2</v>
      </c>
      <c r="AY106" s="304">
        <f t="shared" si="75"/>
        <v>33</v>
      </c>
    </row>
    <row r="107" spans="1:51">
      <c r="A107" s="304" t="str">
        <f ca="1">IF(LEFT(OFFSET(COM_2012!$A$60,AY107,0),2)="\I","*","")</f>
        <v/>
      </c>
      <c r="B107" s="369" t="str">
        <f t="shared" ca="1" si="72"/>
        <v>FLO_MRKPRD</v>
      </c>
      <c r="C107" s="369" t="str">
        <f ca="1">IF($A107="*","",OFFSET(COM_2012!$B$60,AY107,0))</f>
        <v>CEWCOA-E</v>
      </c>
      <c r="D107" s="369" t="str">
        <f t="shared" ca="1" si="54"/>
        <v>CEW</v>
      </c>
      <c r="E107" s="369" t="str">
        <f t="shared" ca="1" si="76"/>
        <v>-</v>
      </c>
      <c r="F107" s="370" t="str">
        <f t="shared" ca="1" si="73"/>
        <v>-</v>
      </c>
      <c r="G107" s="370" t="str">
        <f t="shared" ca="1" si="73"/>
        <v>ANNUAL</v>
      </c>
      <c r="H107" s="370" t="str">
        <f t="shared" ca="1" si="74"/>
        <v>LO</v>
      </c>
      <c r="I107" s="370">
        <f t="shared" ca="1" si="74"/>
        <v>0</v>
      </c>
      <c r="J107" s="494" t="str">
        <f>IF(J$7&lt;2020,"",IF(A107="*","",IFERROR(VLOOKUP($C107,COM_2012!$B$61:$AH$120,MATCH(VLOOKUP("*"&amp;$AX107,$A$10:$J$11,$J$9,FALSE)&amp;J$7,COM_2012!$B$58:$AH$58,0),FALSE),"")))</f>
        <v/>
      </c>
      <c r="K107" s="494" t="str">
        <f>IF(K$7&lt;2020,"",IF(B107="*","",IFERROR(VLOOKUP($C107,COM_2012!$B$61:$AH$120,MATCH(VLOOKUP("*"&amp;$AX107,$A$10:$J$11,$J$9,FALSE)&amp;K$7,COM_2012!$B$58:$AH$58,0),FALSE),"")))</f>
        <v/>
      </c>
      <c r="L107" s="494" t="str">
        <f>IF(L$7&lt;2020,"",IF(C107="*","",IFERROR(VLOOKUP($C107,COM_2012!$B$61:$AH$120,MATCH(VLOOKUP("*"&amp;$AX107,$A$10:$J$11,$J$9,FALSE)&amp;L$7,COM_2012!$B$58:$AH$58,0),FALSE),"")))</f>
        <v/>
      </c>
      <c r="M107" s="494" t="str">
        <f>IF(M$7&lt;2020,"",IF(D107="*","",IFERROR(VLOOKUP($C107,COM_2012!$B$61:$AH$120,MATCH(VLOOKUP("*"&amp;$AX107,$A$10:$J$11,$J$9,FALSE)&amp;M$7,COM_2012!$B$58:$AH$58,0),FALSE),"")))</f>
        <v/>
      </c>
      <c r="N107" s="494" t="str">
        <f ca="1">IFERROR(VLOOKUP($C107,COM_2012!$B$61:$AH$120,MATCH(VLOOKUP("*"&amp;$AX107,$A$10:$J$11,$J$9,FALSE)&amp;N$7,COM_2012!$B$58:$AH$58,0),FALSE),"")</f>
        <v/>
      </c>
      <c r="O107" s="494" t="str">
        <f>IF(O$7&lt;2020,"",IF($A107="*","",IFERROR(VLOOKUP($C107,' COM_2017_old'!$B$61:$AJ$120,MATCH(VLOOKUP("*"&amp;$AX107,$A$10:$J$11,$J$9,FALSE)&amp;O$7,' COM_2017_old'!$B$58:$AJ$58,0),FALSE),"")))</f>
        <v/>
      </c>
      <c r="P107" s="494" t="str">
        <f ca="1">IFERROR(VLOOKUP($C107,COM_2012!$B$61:$AH$120,MATCH(VLOOKUP("*"&amp;$AX107,$A$10:$J$11,$J$9,FALSE)&amp;P$7,COM_2012!$B$58:$AH$58,0),FALSE),"")</f>
        <v/>
      </c>
      <c r="Q107" s="494" t="str">
        <f ca="1">IFERROR(VLOOKUP($C107,COM_2012!$B$61:$AH$120,MATCH(VLOOKUP("*"&amp;$AX107,$A$10:$J$11,$J$9,FALSE)&amp;Q$7,COM_2012!$B$58:$AH$58,0),FALSE),"")</f>
        <v/>
      </c>
      <c r="R107" s="494">
        <f ca="1">IF($A107="*","",IFERROR(VLOOKUP($C107,' COM_2017_old'!$B$61:$AJ$120,MATCH(VLOOKUP("*"&amp;$AX107,$A$10:$J$11,$J$9,FALSE)&amp;R$7,' COM_2017_old'!$B$58:$AJ$58,0),FALSE),""))</f>
        <v>0.72608589781621202</v>
      </c>
      <c r="S107" s="494">
        <f t="shared" ca="1" si="81"/>
        <v>0.71560630753845222</v>
      </c>
      <c r="T107" s="494">
        <f t="shared" ca="1" si="82"/>
        <v>0.70512671726069243</v>
      </c>
      <c r="U107" s="494">
        <f t="shared" ca="1" si="82"/>
        <v>0.69464712698293263</v>
      </c>
      <c r="V107" s="494">
        <f t="shared" ca="1" si="82"/>
        <v>0.68416753670517283</v>
      </c>
      <c r="W107" s="494">
        <f ca="1">IF($A107="*","",IFERROR(VLOOKUP($C107,' COM_2017_old'!$B$61:$AJ$120,MATCH(VLOOKUP("*"&amp;$AX107,$A$10:$J$11,$J$9,FALSE)&amp;W$7,' COM_2017_old'!$B$58:$AJ$58,0),FALSE),""))</f>
        <v>0.67368794642741325</v>
      </c>
      <c r="X107" s="494">
        <f t="shared" ca="1" si="83"/>
        <v>0.64374625991952816</v>
      </c>
      <c r="Y107" s="494">
        <f t="shared" ca="1" si="84"/>
        <v>0.61380457341164307</v>
      </c>
      <c r="Z107" s="494">
        <f t="shared" ca="1" si="84"/>
        <v>0.58386288690375798</v>
      </c>
      <c r="AA107" s="494">
        <f t="shared" ca="1" si="84"/>
        <v>0.55392120039587289</v>
      </c>
      <c r="AB107" s="494">
        <f ca="1">IF($A107="*","",IFERROR(VLOOKUP($C107,' COM_2017_old'!$B$61:$AJ$120,MATCH(VLOOKUP("*"&amp;$AX107,$A$10:$J$11,$J$9,FALSE)&amp;AB$7,' COM_2017_old'!$B$58:$AJ$58,0),FALSE),""))</f>
        <v>0.52397951388798802</v>
      </c>
      <c r="AC107" s="494">
        <f t="shared" ca="1" si="85"/>
        <v>0.48655240575313174</v>
      </c>
      <c r="AD107" s="494">
        <f t="shared" ca="1" si="86"/>
        <v>0.44912529761827547</v>
      </c>
      <c r="AE107" s="494">
        <f t="shared" ca="1" si="86"/>
        <v>0.41169818948341919</v>
      </c>
      <c r="AF107" s="494">
        <f t="shared" ca="1" si="86"/>
        <v>0.37427108134856291</v>
      </c>
      <c r="AG107" s="494">
        <f ca="1">IF($A107="*","",IFERROR(VLOOKUP($C107,' COM_2017_old'!$B$61:$AJ$120,MATCH(VLOOKUP("*"&amp;$AX107,$A$10:$J$11,$J$9,FALSE)&amp;AG$7,' COM_2017_old'!$B$58:$AJ$58,0),FALSE),""))</f>
        <v>0.33684397321370663</v>
      </c>
      <c r="AH107" s="494">
        <f t="shared" ca="1" si="87"/>
        <v>0.29193144345187905</v>
      </c>
      <c r="AI107" s="494">
        <f t="shared" ca="1" si="88"/>
        <v>0.24701891369005149</v>
      </c>
      <c r="AJ107" s="494">
        <f t="shared" ca="1" si="88"/>
        <v>0.20210638392822394</v>
      </c>
      <c r="AK107" s="494">
        <f t="shared" ca="1" si="88"/>
        <v>0.15719385416639639</v>
      </c>
      <c r="AL107" s="494">
        <f ca="1">IF($A107="*","",IFERROR(VLOOKUP($C107,' COM_2017_old'!$B$61:$AJ$120,MATCH(VLOOKUP("*"&amp;$AX107,$A$10:$J$11,$J$9,FALSE)&amp;AL$7,' COM_2017_old'!$B$58:$AJ$58,0),FALSE),""))</f>
        <v>0.11228132440456887</v>
      </c>
      <c r="AM107" s="494">
        <f ca="1">IF($A107="*","",IFERROR(VLOOKUP($C107,' COM_2017_old'!$B$61:$AJ$120,MATCH(VLOOKUP("*"&amp;$AX107,$A$10:$J$11,$J$9,FALSE)&amp;AM$7,' COM_2017_old'!$B$58:$AJ$58,0),FALSE),""))</f>
        <v>3.7427108134856293E-2</v>
      </c>
      <c r="AN107" s="494">
        <f ca="1">IF($A107="*","",IFERROR(VLOOKUP($C107,' COM_2017_old'!$B$61:$AJ$120,MATCH(VLOOKUP("*"&amp;$AX107,$A$10:$J$11,$J$9,FALSE)&amp;AN$7,' COM_2017_old'!$B$58:$AJ$58,0),FALSE),""))</f>
        <v>0</v>
      </c>
      <c r="AO107" s="391" t="str">
        <f ca="1">IFERROR(VLOOKUP($C107,COM_2012!$B$61:$AH$120,MATCH(VLOOKUP("*"&amp;$AX107,$A$10:$J$11,$J$9,FALSE)&amp;AO$7,COM_2012!$B$58:$AH$58,0),FALSE),"")</f>
        <v/>
      </c>
      <c r="AP107" s="391" t="str">
        <f ca="1">IFERROR(VLOOKUP($C107,COM_2012!$B$61:$AH$120,MATCH(VLOOKUP("*"&amp;$AX107,$A$10:$J$11,$J$9,FALSE)&amp;AP$7,COM_2012!$B$58:$AH$58,0),FALSE),"")</f>
        <v/>
      </c>
      <c r="AQ107" s="391" t="str">
        <f ca="1">IFERROR(VLOOKUP($C107,COM_2012!$B$61:$AH$120,MATCH(VLOOKUP("*"&amp;$AX107,$A$10:$J$11,$J$9,FALSE)&amp;AQ$7,COM_2012!$B$58:$AH$58,0),FALSE),"")</f>
        <v/>
      </c>
      <c r="AR107" s="391" t="str">
        <f ca="1">IFERROR(VLOOKUP($C107,COM_2012!$B$61:$AH$120,MATCH(VLOOKUP("*"&amp;$AX107,$A$10:$J$11,$J$9,FALSE)&amp;AR$7,COM_2012!$B$58:$AH$58,0),FALSE),"")</f>
        <v/>
      </c>
      <c r="AS107" s="391" t="str">
        <f ca="1">IFERROR(VLOOKUP($C107,COM_2012!$B$61:$AH$120,MATCH(VLOOKUP("*"&amp;$AX107,$A$10:$J$11,$J$9,FALSE)&amp;AS$7,COM_2012!$B$58:$AH$58,0),FALSE),"")</f>
        <v/>
      </c>
      <c r="AT107" s="391" t="str">
        <f ca="1">IFERROR(VLOOKUP($C107,COM_2012!$B$61:$AH$120,MATCH(VLOOKUP("*"&amp;$AX107,$A$10:$J$11,$J$9,FALSE)&amp;AT$7,COM_2012!$B$58:$AH$58,0),FALSE),"")</f>
        <v/>
      </c>
      <c r="AU107" s="391" t="str">
        <f ca="1">IFERROR(VLOOKUP($C107,COM_2012!$B$61:$AH$120,MATCH(VLOOKUP("*"&amp;$AX107,$A$10:$J$11,$J$9,FALSE)&amp;AU$7,COM_2012!$B$58:$AH$58,0),FALSE),"")</f>
        <v/>
      </c>
      <c r="AV107" s="391" t="str">
        <f ca="1">IFERROR(VLOOKUP($C107,COM_2012!$B$61:$AH$120,MATCH(VLOOKUP("*"&amp;$AX107,$A$10:$J$11,$J$9,FALSE)&amp;AV$7,COM_2012!$B$58:$AH$58,0),FALSE),"")</f>
        <v/>
      </c>
      <c r="AW107" s="391" t="str">
        <f ca="1">IFERROR(VLOOKUP($C107,COM_2012!$B$61:$AH$120,MATCH(VLOOKUP("*"&amp;$AX107,$A$10:$J$11,$J$9,FALSE)&amp;AW$7,COM_2012!$B$58:$AH$58,0),FALSE),"")</f>
        <v/>
      </c>
      <c r="AX107" s="304">
        <f>IF(AY106=COM_2012!$AI$121,AX106+1,AX106)</f>
        <v>2</v>
      </c>
      <c r="AY107" s="304">
        <f t="shared" si="75"/>
        <v>34</v>
      </c>
    </row>
    <row r="108" spans="1:51">
      <c r="A108" s="304" t="str">
        <f ca="1">IF(LEFT(OFFSET(COM_2012!$A$60,AY108,0),2)="\I","*","")</f>
        <v/>
      </c>
      <c r="B108" s="369" t="str">
        <f t="shared" ca="1" si="72"/>
        <v>FLO_MRKPRD</v>
      </c>
      <c r="C108" s="369" t="str">
        <f ca="1">IF($A108="*","",OFFSET(COM_2012!$B$60,AY108,0))</f>
        <v>CEWOLP-E</v>
      </c>
      <c r="D108" s="369" t="str">
        <f t="shared" ca="1" si="54"/>
        <v>CEW</v>
      </c>
      <c r="E108" s="369" t="str">
        <f t="shared" ca="1" si="76"/>
        <v>-</v>
      </c>
      <c r="F108" s="370" t="str">
        <f t="shared" ca="1" si="73"/>
        <v>-</v>
      </c>
      <c r="G108" s="370" t="str">
        <f t="shared" ca="1" si="73"/>
        <v>ANNUAL</v>
      </c>
      <c r="H108" s="370" t="str">
        <f t="shared" ca="1" si="74"/>
        <v>LO</v>
      </c>
      <c r="I108" s="370">
        <f t="shared" ca="1" si="74"/>
        <v>0</v>
      </c>
      <c r="J108" s="494" t="str">
        <f>IF(J$7&lt;2020,"",IF(A108="*","",IFERROR(VLOOKUP($C108,COM_2012!$B$61:$AH$120,MATCH(VLOOKUP("*"&amp;$AX108,$A$10:$J$11,$J$9,FALSE)&amp;J$7,COM_2012!$B$58:$AH$58,0),FALSE),"")))</f>
        <v/>
      </c>
      <c r="K108" s="494" t="str">
        <f>IF(K$7&lt;2020,"",IF(B108="*","",IFERROR(VLOOKUP($C108,COM_2012!$B$61:$AH$120,MATCH(VLOOKUP("*"&amp;$AX108,$A$10:$J$11,$J$9,FALSE)&amp;K$7,COM_2012!$B$58:$AH$58,0),FALSE),"")))</f>
        <v/>
      </c>
      <c r="L108" s="494" t="str">
        <f>IF(L$7&lt;2020,"",IF(C108="*","",IFERROR(VLOOKUP($C108,COM_2012!$B$61:$AH$120,MATCH(VLOOKUP("*"&amp;$AX108,$A$10:$J$11,$J$9,FALSE)&amp;L$7,COM_2012!$B$58:$AH$58,0),FALSE),"")))</f>
        <v/>
      </c>
      <c r="M108" s="494" t="str">
        <f>IF(M$7&lt;2020,"",IF(D108="*","",IFERROR(VLOOKUP($C108,COM_2012!$B$61:$AH$120,MATCH(VLOOKUP("*"&amp;$AX108,$A$10:$J$11,$J$9,FALSE)&amp;M$7,COM_2012!$B$58:$AH$58,0),FALSE),"")))</f>
        <v/>
      </c>
      <c r="N108" s="494" t="str">
        <f ca="1">IFERROR(VLOOKUP($C108,COM_2012!$B$61:$AH$120,MATCH(VLOOKUP("*"&amp;$AX108,$A$10:$J$11,$J$9,FALSE)&amp;N$7,COM_2012!$B$58:$AH$58,0),FALSE),"")</f>
        <v/>
      </c>
      <c r="O108" s="494" t="str">
        <f>IF(O$7&lt;2020,"",IF($A108="*","",IFERROR(VLOOKUP($C108,' COM_2017_old'!$B$61:$AJ$120,MATCH(VLOOKUP("*"&amp;$AX108,$A$10:$J$11,$J$9,FALSE)&amp;O$7,' COM_2017_old'!$B$58:$AJ$58,0),FALSE),"")))</f>
        <v/>
      </c>
      <c r="P108" s="494" t="str">
        <f ca="1">IFERROR(VLOOKUP($C108,COM_2012!$B$61:$AH$120,MATCH(VLOOKUP("*"&amp;$AX108,$A$10:$J$11,$J$9,FALSE)&amp;P$7,COM_2012!$B$58:$AH$58,0),FALSE),"")</f>
        <v/>
      </c>
      <c r="Q108" s="494" t="str">
        <f ca="1">IFERROR(VLOOKUP($C108,COM_2012!$B$61:$AH$120,MATCH(VLOOKUP("*"&amp;$AX108,$A$10:$J$11,$J$9,FALSE)&amp;Q$7,COM_2012!$B$58:$AH$58,0),FALSE),"")</f>
        <v/>
      </c>
      <c r="R108" s="494">
        <f ca="1">IF($A108="*","",IFERROR(VLOOKUP($C108,' COM_2017_old'!$B$61:$AJ$120,MATCH(VLOOKUP("*"&amp;$AX108,$A$10:$J$11,$J$9,FALSE)&amp;R$7,' COM_2017_old'!$B$58:$AJ$58,0),FALSE),""))</f>
        <v>2.677245387656689E-2</v>
      </c>
      <c r="S108" s="494">
        <f t="shared" ca="1" si="81"/>
        <v>2.638604732577108E-2</v>
      </c>
      <c r="T108" s="494">
        <f t="shared" ca="1" si="82"/>
        <v>2.5999640774975269E-2</v>
      </c>
      <c r="U108" s="494">
        <f t="shared" ca="1" si="82"/>
        <v>2.5613234224179458E-2</v>
      </c>
      <c r="V108" s="494">
        <f t="shared" ca="1" si="82"/>
        <v>2.5226827673383648E-2</v>
      </c>
      <c r="W108" s="494">
        <f ca="1">IF($A108="*","",IFERROR(VLOOKUP($C108,' COM_2017_old'!$B$61:$AJ$120,MATCH(VLOOKUP("*"&amp;$AX108,$A$10:$J$11,$J$9,FALSE)&amp;W$7,' COM_2017_old'!$B$58:$AJ$58,0),FALSE),""))</f>
        <v>2.4840421122587837E-2</v>
      </c>
      <c r="X108" s="494">
        <f t="shared" ca="1" si="83"/>
        <v>2.3736402406028378E-2</v>
      </c>
      <c r="Y108" s="494">
        <f t="shared" ca="1" si="84"/>
        <v>2.2632383689468918E-2</v>
      </c>
      <c r="Z108" s="494">
        <f t="shared" ca="1" si="84"/>
        <v>2.1528364972909459E-2</v>
      </c>
      <c r="AA108" s="494">
        <f t="shared" ca="1" si="84"/>
        <v>2.042434625635E-2</v>
      </c>
      <c r="AB108" s="494">
        <f ca="1">IF($A108="*","",IFERROR(VLOOKUP($C108,' COM_2017_old'!$B$61:$AJ$120,MATCH(VLOOKUP("*"&amp;$AX108,$A$10:$J$11,$J$9,FALSE)&amp;AB$7,' COM_2017_old'!$B$58:$AJ$58,0),FALSE),""))</f>
        <v>1.9320327539790537E-2</v>
      </c>
      <c r="AC108" s="494">
        <f t="shared" ca="1" si="85"/>
        <v>1.7940304144091212E-2</v>
      </c>
      <c r="AD108" s="494">
        <f t="shared" ca="1" si="86"/>
        <v>1.6560280748391887E-2</v>
      </c>
      <c r="AE108" s="494">
        <f t="shared" ca="1" si="86"/>
        <v>1.5180257352692563E-2</v>
      </c>
      <c r="AF108" s="494">
        <f t="shared" ca="1" si="86"/>
        <v>1.380023395699324E-2</v>
      </c>
      <c r="AG108" s="494">
        <f ca="1">IF($A108="*","",IFERROR(VLOOKUP($C108,' COM_2017_old'!$B$61:$AJ$120,MATCH(VLOOKUP("*"&amp;$AX108,$A$10:$J$11,$J$9,FALSE)&amp;AG$7,' COM_2017_old'!$B$58:$AJ$58,0),FALSE),""))</f>
        <v>1.2420210561293919E-2</v>
      </c>
      <c r="AH108" s="494">
        <f t="shared" ca="1" si="87"/>
        <v>1.076418248645473E-2</v>
      </c>
      <c r="AI108" s="494">
        <f t="shared" ca="1" si="88"/>
        <v>9.1081544116155405E-3</v>
      </c>
      <c r="AJ108" s="494">
        <f t="shared" ca="1" si="88"/>
        <v>7.4521263367763515E-3</v>
      </c>
      <c r="AK108" s="494">
        <f t="shared" ca="1" si="88"/>
        <v>5.7960982619371625E-3</v>
      </c>
      <c r="AL108" s="494">
        <f ca="1">IF($A108="*","",IFERROR(VLOOKUP($C108,' COM_2017_old'!$B$61:$AJ$120,MATCH(VLOOKUP("*"&amp;$AX108,$A$10:$J$11,$J$9,FALSE)&amp;AL$7,' COM_2017_old'!$B$58:$AJ$58,0),FALSE),""))</f>
        <v>4.1400701870979726E-3</v>
      </c>
      <c r="AM108" s="494">
        <f ca="1">IF($A108="*","",IFERROR(VLOOKUP($C108,' COM_2017_old'!$B$61:$AJ$120,MATCH(VLOOKUP("*"&amp;$AX108,$A$10:$J$11,$J$9,FALSE)&amp;AM$7,' COM_2017_old'!$B$58:$AJ$58,0),FALSE),""))</f>
        <v>1.3800233956993242E-3</v>
      </c>
      <c r="AN108" s="494">
        <f ca="1">IF($A108="*","",IFERROR(VLOOKUP($C108,' COM_2017_old'!$B$61:$AJ$120,MATCH(VLOOKUP("*"&amp;$AX108,$A$10:$J$11,$J$9,FALSE)&amp;AN$7,' COM_2017_old'!$B$58:$AJ$58,0),FALSE),""))</f>
        <v>0</v>
      </c>
      <c r="AO108" s="391" t="str">
        <f ca="1">IFERROR(VLOOKUP($C108,COM_2012!$B$61:$AH$120,MATCH(VLOOKUP("*"&amp;$AX108,$A$10:$J$11,$J$9,FALSE)&amp;AO$7,COM_2012!$B$58:$AH$58,0),FALSE),"")</f>
        <v/>
      </c>
      <c r="AP108" s="391" t="str">
        <f ca="1">IFERROR(VLOOKUP($C108,COM_2012!$B$61:$AH$120,MATCH(VLOOKUP("*"&amp;$AX108,$A$10:$J$11,$J$9,FALSE)&amp;AP$7,COM_2012!$B$58:$AH$58,0),FALSE),"")</f>
        <v/>
      </c>
      <c r="AQ108" s="391" t="str">
        <f ca="1">IFERROR(VLOOKUP($C108,COM_2012!$B$61:$AH$120,MATCH(VLOOKUP("*"&amp;$AX108,$A$10:$J$11,$J$9,FALSE)&amp;AQ$7,COM_2012!$B$58:$AH$58,0),FALSE),"")</f>
        <v/>
      </c>
      <c r="AR108" s="391" t="str">
        <f ca="1">IFERROR(VLOOKUP($C108,COM_2012!$B$61:$AH$120,MATCH(VLOOKUP("*"&amp;$AX108,$A$10:$J$11,$J$9,FALSE)&amp;AR$7,COM_2012!$B$58:$AH$58,0),FALSE),"")</f>
        <v/>
      </c>
      <c r="AS108" s="391" t="str">
        <f ca="1">IFERROR(VLOOKUP($C108,COM_2012!$B$61:$AH$120,MATCH(VLOOKUP("*"&amp;$AX108,$A$10:$J$11,$J$9,FALSE)&amp;AS$7,COM_2012!$B$58:$AH$58,0),FALSE),"")</f>
        <v/>
      </c>
      <c r="AT108" s="391" t="str">
        <f ca="1">IFERROR(VLOOKUP($C108,COM_2012!$B$61:$AH$120,MATCH(VLOOKUP("*"&amp;$AX108,$A$10:$J$11,$J$9,FALSE)&amp;AT$7,COM_2012!$B$58:$AH$58,0),FALSE),"")</f>
        <v/>
      </c>
      <c r="AU108" s="391" t="str">
        <f ca="1">IFERROR(VLOOKUP($C108,COM_2012!$B$61:$AH$120,MATCH(VLOOKUP("*"&amp;$AX108,$A$10:$J$11,$J$9,FALSE)&amp;AU$7,COM_2012!$B$58:$AH$58,0),FALSE),"")</f>
        <v/>
      </c>
      <c r="AV108" s="391" t="str">
        <f ca="1">IFERROR(VLOOKUP($C108,COM_2012!$B$61:$AH$120,MATCH(VLOOKUP("*"&amp;$AX108,$A$10:$J$11,$J$9,FALSE)&amp;AV$7,COM_2012!$B$58:$AH$58,0),FALSE),"")</f>
        <v/>
      </c>
      <c r="AW108" s="391" t="str">
        <f ca="1">IFERROR(VLOOKUP($C108,COM_2012!$B$61:$AH$120,MATCH(VLOOKUP("*"&amp;$AX108,$A$10:$J$11,$J$9,FALSE)&amp;AW$7,COM_2012!$B$58:$AH$58,0),FALSE),"")</f>
        <v/>
      </c>
      <c r="AX108" s="304">
        <f>IF(AY107=COM_2012!$AI$121,AX107+1,AX107)</f>
        <v>2</v>
      </c>
      <c r="AY108" s="304">
        <f t="shared" si="75"/>
        <v>35</v>
      </c>
    </row>
    <row r="109" spans="1:51">
      <c r="A109" s="304" t="str">
        <f ca="1">IF(LEFT(OFFSET(COM_2012!$A$60,AY109,0),2)="\I","*","")</f>
        <v/>
      </c>
      <c r="B109" s="369" t="str">
        <f t="shared" ca="1" si="72"/>
        <v>FLO_MRKPRD</v>
      </c>
      <c r="C109" s="369" t="str">
        <f ca="1">IF($A109="*","",OFFSET(COM_2012!$B$60,AY109,0))</f>
        <v>CEWGAS-E</v>
      </c>
      <c r="D109" s="369" t="str">
        <f t="shared" ca="1" si="54"/>
        <v>CEW</v>
      </c>
      <c r="E109" s="369" t="str">
        <f t="shared" ca="1" si="76"/>
        <v>-</v>
      </c>
      <c r="F109" s="370" t="str">
        <f t="shared" ca="1" si="73"/>
        <v>-</v>
      </c>
      <c r="G109" s="370" t="str">
        <f t="shared" ca="1" si="73"/>
        <v>ANNUAL</v>
      </c>
      <c r="H109" s="370" t="str">
        <f t="shared" ca="1" si="74"/>
        <v>LO</v>
      </c>
      <c r="I109" s="370">
        <f t="shared" ca="1" si="74"/>
        <v>0</v>
      </c>
      <c r="J109" s="494" t="str">
        <f>IF(J$7&lt;2020,"",IF(A109="*","",IFERROR(VLOOKUP($C109,COM_2012!$B$61:$AH$120,MATCH(VLOOKUP("*"&amp;$AX109,$A$10:$J$11,$J$9,FALSE)&amp;J$7,COM_2012!$B$58:$AH$58,0),FALSE),"")))</f>
        <v/>
      </c>
      <c r="K109" s="494" t="str">
        <f>IF(K$7&lt;2020,"",IF(B109="*","",IFERROR(VLOOKUP($C109,COM_2012!$B$61:$AH$120,MATCH(VLOOKUP("*"&amp;$AX109,$A$10:$J$11,$J$9,FALSE)&amp;K$7,COM_2012!$B$58:$AH$58,0),FALSE),"")))</f>
        <v/>
      </c>
      <c r="L109" s="494" t="str">
        <f>IF(L$7&lt;2020,"",IF(C109="*","",IFERROR(VLOOKUP($C109,COM_2012!$B$61:$AH$120,MATCH(VLOOKUP("*"&amp;$AX109,$A$10:$J$11,$J$9,FALSE)&amp;L$7,COM_2012!$B$58:$AH$58,0),FALSE),"")))</f>
        <v/>
      </c>
      <c r="M109" s="494" t="str">
        <f>IF(M$7&lt;2020,"",IF(D109="*","",IFERROR(VLOOKUP($C109,COM_2012!$B$61:$AH$120,MATCH(VLOOKUP("*"&amp;$AX109,$A$10:$J$11,$J$9,FALSE)&amp;M$7,COM_2012!$B$58:$AH$58,0),FALSE),"")))</f>
        <v/>
      </c>
      <c r="N109" s="494" t="str">
        <f ca="1">IFERROR(VLOOKUP($C109,COM_2012!$B$61:$AH$120,MATCH(VLOOKUP("*"&amp;$AX109,$A$10:$J$11,$J$9,FALSE)&amp;N$7,COM_2012!$B$58:$AH$58,0),FALSE),"")</f>
        <v/>
      </c>
      <c r="O109" s="494" t="str">
        <f>IF(O$7&lt;2020,"",IF($A109="*","",IFERROR(VLOOKUP($C109,' COM_2017_old'!$B$61:$AJ$120,MATCH(VLOOKUP("*"&amp;$AX109,$A$10:$J$11,$J$9,FALSE)&amp;O$7,' COM_2017_old'!$B$58:$AJ$58,0),FALSE),"")))</f>
        <v/>
      </c>
      <c r="P109" s="494" t="str">
        <f ca="1">IFERROR(VLOOKUP($C109,COM_2012!$B$61:$AH$120,MATCH(VLOOKUP("*"&amp;$AX109,$A$10:$J$11,$J$9,FALSE)&amp;P$7,COM_2012!$B$58:$AH$58,0),FALSE),"")</f>
        <v/>
      </c>
      <c r="Q109" s="494" t="str">
        <f ca="1">IFERROR(VLOOKUP($C109,COM_2012!$B$61:$AH$120,MATCH(VLOOKUP("*"&amp;$AX109,$A$10:$J$11,$J$9,FALSE)&amp;Q$7,COM_2012!$B$58:$AH$58,0),FALSE),"")</f>
        <v/>
      </c>
      <c r="R109" s="494">
        <f ca="1">IF($A109="*","",IFERROR(VLOOKUP($C109,' COM_2017_old'!$B$61:$AJ$120,MATCH(VLOOKUP("*"&amp;$AX109,$A$10:$J$11,$J$9,FALSE)&amp;R$7,' COM_2017_old'!$B$58:$AJ$58,0),FALSE),""))</f>
        <v>6.0196078631705154E-2</v>
      </c>
      <c r="S109" s="494">
        <f t="shared" ca="1" si="81"/>
        <v>5.9327269249391884E-2</v>
      </c>
      <c r="T109" s="494">
        <f t="shared" ca="1" si="82"/>
        <v>5.8458459867078615E-2</v>
      </c>
      <c r="U109" s="494">
        <f t="shared" ca="1" si="82"/>
        <v>5.7589650484765345E-2</v>
      </c>
      <c r="V109" s="494">
        <f t="shared" ca="1" si="82"/>
        <v>5.6720841102452076E-2</v>
      </c>
      <c r="W109" s="494">
        <f ca="1">IF($A109="*","",IFERROR(VLOOKUP($C109,' COM_2017_old'!$B$61:$AJ$120,MATCH(VLOOKUP("*"&amp;$AX109,$A$10:$J$11,$J$9,FALSE)&amp;W$7,' COM_2017_old'!$B$58:$AJ$58,0),FALSE),""))</f>
        <v>5.5852031720138806E-2</v>
      </c>
      <c r="X109" s="494">
        <f t="shared" ca="1" si="83"/>
        <v>5.3369719199243749E-2</v>
      </c>
      <c r="Y109" s="494">
        <f t="shared" ca="1" si="84"/>
        <v>5.0887406678348693E-2</v>
      </c>
      <c r="Z109" s="494">
        <f t="shared" ca="1" si="84"/>
        <v>4.8405094157453636E-2</v>
      </c>
      <c r="AA109" s="494">
        <f t="shared" ca="1" si="84"/>
        <v>4.5922781636558579E-2</v>
      </c>
      <c r="AB109" s="494">
        <f ca="1">IF($A109="*","",IFERROR(VLOOKUP($C109,' COM_2017_old'!$B$61:$AJ$120,MATCH(VLOOKUP("*"&amp;$AX109,$A$10:$J$11,$J$9,FALSE)&amp;AB$7,' COM_2017_old'!$B$58:$AJ$58,0),FALSE),""))</f>
        <v>4.3440469115663516E-2</v>
      </c>
      <c r="AC109" s="494">
        <f t="shared" ca="1" si="85"/>
        <v>4.0337578464544693E-2</v>
      </c>
      <c r="AD109" s="494">
        <f t="shared" ca="1" si="86"/>
        <v>3.7234687813425871E-2</v>
      </c>
      <c r="AE109" s="494">
        <f t="shared" ca="1" si="86"/>
        <v>3.4131797162307048E-2</v>
      </c>
      <c r="AF109" s="494">
        <f t="shared" ca="1" si="86"/>
        <v>3.1028906511188226E-2</v>
      </c>
      <c r="AG109" s="494">
        <f ca="1">IF($A109="*","",IFERROR(VLOOKUP($C109,' COM_2017_old'!$B$61:$AJ$120,MATCH(VLOOKUP("*"&amp;$AX109,$A$10:$J$11,$J$9,FALSE)&amp;AG$7,' COM_2017_old'!$B$58:$AJ$58,0),FALSE),""))</f>
        <v>2.7926015860069403E-2</v>
      </c>
      <c r="AH109" s="494">
        <f t="shared" ca="1" si="87"/>
        <v>2.4202547078726815E-2</v>
      </c>
      <c r="AI109" s="494">
        <f t="shared" ca="1" si="88"/>
        <v>2.0479078297384226E-2</v>
      </c>
      <c r="AJ109" s="494">
        <f t="shared" ca="1" si="88"/>
        <v>1.6755609516041638E-2</v>
      </c>
      <c r="AK109" s="494">
        <f t="shared" ca="1" si="88"/>
        <v>1.3032140734699051E-2</v>
      </c>
      <c r="AL109" s="494">
        <f ca="1">IF($A109="*","",IFERROR(VLOOKUP($C109,' COM_2017_old'!$B$61:$AJ$120,MATCH(VLOOKUP("*"&amp;$AX109,$A$10:$J$11,$J$9,FALSE)&amp;AL$7,' COM_2017_old'!$B$58:$AJ$58,0),FALSE),""))</f>
        <v>9.3086719533564677E-3</v>
      </c>
      <c r="AM109" s="494">
        <f ca="1">IF($A109="*","",IFERROR(VLOOKUP($C109,' COM_2017_old'!$B$61:$AJ$120,MATCH(VLOOKUP("*"&amp;$AX109,$A$10:$J$11,$J$9,FALSE)&amp;AM$7,' COM_2017_old'!$B$58:$AJ$58,0),FALSE),""))</f>
        <v>3.1028906511188226E-3</v>
      </c>
      <c r="AN109" s="494">
        <f ca="1">IF($A109="*","",IFERROR(VLOOKUP($C109,' COM_2017_old'!$B$61:$AJ$120,MATCH(VLOOKUP("*"&amp;$AX109,$A$10:$J$11,$J$9,FALSE)&amp;AN$7,' COM_2017_old'!$B$58:$AJ$58,0),FALSE),""))</f>
        <v>0</v>
      </c>
      <c r="AO109" s="391" t="str">
        <f ca="1">IFERROR(VLOOKUP($C109,COM_2012!$B$61:$AH$120,MATCH(VLOOKUP("*"&amp;$AX109,$A$10:$J$11,$J$9,FALSE)&amp;AO$7,COM_2012!$B$58:$AH$58,0),FALSE),"")</f>
        <v/>
      </c>
      <c r="AP109" s="391" t="str">
        <f ca="1">IFERROR(VLOOKUP($C109,COM_2012!$B$61:$AH$120,MATCH(VLOOKUP("*"&amp;$AX109,$A$10:$J$11,$J$9,FALSE)&amp;AP$7,COM_2012!$B$58:$AH$58,0),FALSE),"")</f>
        <v/>
      </c>
      <c r="AQ109" s="391" t="str">
        <f ca="1">IFERROR(VLOOKUP($C109,COM_2012!$B$61:$AH$120,MATCH(VLOOKUP("*"&amp;$AX109,$A$10:$J$11,$J$9,FALSE)&amp;AQ$7,COM_2012!$B$58:$AH$58,0),FALSE),"")</f>
        <v/>
      </c>
      <c r="AR109" s="391" t="str">
        <f ca="1">IFERROR(VLOOKUP($C109,COM_2012!$B$61:$AH$120,MATCH(VLOOKUP("*"&amp;$AX109,$A$10:$J$11,$J$9,FALSE)&amp;AR$7,COM_2012!$B$58:$AH$58,0),FALSE),"")</f>
        <v/>
      </c>
      <c r="AS109" s="391" t="str">
        <f ca="1">IFERROR(VLOOKUP($C109,COM_2012!$B$61:$AH$120,MATCH(VLOOKUP("*"&amp;$AX109,$A$10:$J$11,$J$9,FALSE)&amp;AS$7,COM_2012!$B$58:$AH$58,0),FALSE),"")</f>
        <v/>
      </c>
      <c r="AT109" s="391" t="str">
        <f ca="1">IFERROR(VLOOKUP($C109,COM_2012!$B$61:$AH$120,MATCH(VLOOKUP("*"&amp;$AX109,$A$10:$J$11,$J$9,FALSE)&amp;AT$7,COM_2012!$B$58:$AH$58,0),FALSE),"")</f>
        <v/>
      </c>
      <c r="AU109" s="391" t="str">
        <f ca="1">IFERROR(VLOOKUP($C109,COM_2012!$B$61:$AH$120,MATCH(VLOOKUP("*"&amp;$AX109,$A$10:$J$11,$J$9,FALSE)&amp;AU$7,COM_2012!$B$58:$AH$58,0),FALSE),"")</f>
        <v/>
      </c>
      <c r="AV109" s="391" t="str">
        <f ca="1">IFERROR(VLOOKUP($C109,COM_2012!$B$61:$AH$120,MATCH(VLOOKUP("*"&amp;$AX109,$A$10:$J$11,$J$9,FALSE)&amp;AV$7,COM_2012!$B$58:$AH$58,0),FALSE),"")</f>
        <v/>
      </c>
      <c r="AW109" s="391" t="str">
        <f ca="1">IFERROR(VLOOKUP($C109,COM_2012!$B$61:$AH$120,MATCH(VLOOKUP("*"&amp;$AX109,$A$10:$J$11,$J$9,FALSE)&amp;AW$7,COM_2012!$B$58:$AH$58,0),FALSE),"")</f>
        <v/>
      </c>
      <c r="AX109" s="304">
        <f>IF(AY108=COM_2012!$AI$121,AX108+1,AX108)</f>
        <v>2</v>
      </c>
      <c r="AY109" s="304">
        <f t="shared" si="75"/>
        <v>36</v>
      </c>
    </row>
    <row r="110" spans="1:51">
      <c r="A110" s="304" t="str">
        <f ca="1">IF(LEFT(OFFSET(COM_2012!$A$60,AY110,0),2)="\I","*","")</f>
        <v/>
      </c>
      <c r="B110" s="369" t="str">
        <f t="shared" ca="1" si="72"/>
        <v>FLO_MRKPRD</v>
      </c>
      <c r="C110" s="369" t="str">
        <f ca="1">IF($A110="*","",OFFSET(COM_2012!$B$60,AY110,0))</f>
        <v>CEWOKE-E</v>
      </c>
      <c r="D110" s="369" t="str">
        <f t="shared" ca="1" si="54"/>
        <v>CEW</v>
      </c>
      <c r="E110" s="369" t="str">
        <f t="shared" ca="1" si="76"/>
        <v>-</v>
      </c>
      <c r="F110" s="370" t="str">
        <f t="shared" ca="1" si="73"/>
        <v>-</v>
      </c>
      <c r="G110" s="370" t="str">
        <f t="shared" ca="1" si="73"/>
        <v>ANNUAL</v>
      </c>
      <c r="H110" s="370" t="str">
        <f t="shared" ca="1" si="74"/>
        <v>LO</v>
      </c>
      <c r="I110" s="370">
        <f t="shared" ca="1" si="74"/>
        <v>0</v>
      </c>
      <c r="J110" s="494" t="str">
        <f>IF(J$7&lt;2020,"",IF(A110="*","",IFERROR(VLOOKUP($C110,COM_2012!$B$61:$AH$120,MATCH(VLOOKUP("*"&amp;$AX110,$A$10:$J$11,$J$9,FALSE)&amp;J$7,COM_2012!$B$58:$AH$58,0),FALSE),"")))</f>
        <v/>
      </c>
      <c r="K110" s="494" t="str">
        <f>IF(K$7&lt;2020,"",IF(B110="*","",IFERROR(VLOOKUP($C110,COM_2012!$B$61:$AH$120,MATCH(VLOOKUP("*"&amp;$AX110,$A$10:$J$11,$J$9,FALSE)&amp;K$7,COM_2012!$B$58:$AH$58,0),FALSE),"")))</f>
        <v/>
      </c>
      <c r="L110" s="494" t="str">
        <f>IF(L$7&lt;2020,"",IF(C110="*","",IFERROR(VLOOKUP($C110,COM_2012!$B$61:$AH$120,MATCH(VLOOKUP("*"&amp;$AX110,$A$10:$J$11,$J$9,FALSE)&amp;L$7,COM_2012!$B$58:$AH$58,0),FALSE),"")))</f>
        <v/>
      </c>
      <c r="M110" s="494" t="str">
        <f>IF(M$7&lt;2020,"",IF(D110="*","",IFERROR(VLOOKUP($C110,COM_2012!$B$61:$AH$120,MATCH(VLOOKUP("*"&amp;$AX110,$A$10:$J$11,$J$9,FALSE)&amp;M$7,COM_2012!$B$58:$AH$58,0),FALSE),"")))</f>
        <v/>
      </c>
      <c r="N110" s="494" t="str">
        <f ca="1">IFERROR(VLOOKUP($C110,COM_2012!$B$61:$AH$120,MATCH(VLOOKUP("*"&amp;$AX110,$A$10:$J$11,$J$9,FALSE)&amp;N$7,COM_2012!$B$58:$AH$58,0),FALSE),"")</f>
        <v/>
      </c>
      <c r="O110" s="494" t="str">
        <f>IF(O$7&lt;2020,"",IF($A110="*","",IFERROR(VLOOKUP($C110,' COM_2017_old'!$B$61:$AJ$120,MATCH(VLOOKUP("*"&amp;$AX110,$A$10:$J$11,$J$9,FALSE)&amp;O$7,' COM_2017_old'!$B$58:$AJ$58,0),FALSE),"")))</f>
        <v/>
      </c>
      <c r="P110" s="494" t="str">
        <f ca="1">IFERROR(VLOOKUP($C110,COM_2012!$B$61:$AH$120,MATCH(VLOOKUP("*"&amp;$AX110,$A$10:$J$11,$J$9,FALSE)&amp;P$7,COM_2012!$B$58:$AH$58,0),FALSE),"")</f>
        <v/>
      </c>
      <c r="Q110" s="494" t="str">
        <f ca="1">IFERROR(VLOOKUP($C110,COM_2012!$B$61:$AH$120,MATCH(VLOOKUP("*"&amp;$AX110,$A$10:$J$11,$J$9,FALSE)&amp;Q$7,COM_2012!$B$58:$AH$58,0),FALSE),"")</f>
        <v/>
      </c>
      <c r="R110" s="494">
        <f ca="1">IF($A110="*","",IFERROR(VLOOKUP($C110,' COM_2017_old'!$B$61:$AJ$120,MATCH(VLOOKUP("*"&amp;$AX110,$A$10:$J$11,$J$9,FALSE)&amp;R$7,' COM_2017_old'!$B$58:$AJ$58,0),FALSE),""))</f>
        <v>3.6649448935148439E-2</v>
      </c>
      <c r="S110" s="494">
        <f t="shared" ca="1" si="81"/>
        <v>3.6120487816496814E-2</v>
      </c>
      <c r="T110" s="494">
        <f t="shared" ca="1" si="82"/>
        <v>3.559152669784519E-2</v>
      </c>
      <c r="U110" s="494">
        <f t="shared" ca="1" si="82"/>
        <v>3.5062565579193565E-2</v>
      </c>
      <c r="V110" s="494">
        <f t="shared" ca="1" si="82"/>
        <v>3.453360446054194E-2</v>
      </c>
      <c r="W110" s="494">
        <f ca="1">IF($A110="*","",IFERROR(VLOOKUP($C110,' COM_2017_old'!$B$61:$AJ$120,MATCH(VLOOKUP("*"&amp;$AX110,$A$10:$J$11,$J$9,FALSE)&amp;W$7,' COM_2017_old'!$B$58:$AJ$58,0),FALSE),""))</f>
        <v>3.4004643341890309E-2</v>
      </c>
      <c r="X110" s="494">
        <f t="shared" ca="1" si="83"/>
        <v>3.2493325860028517E-2</v>
      </c>
      <c r="Y110" s="494">
        <f t="shared" ca="1" si="84"/>
        <v>3.0982008378166725E-2</v>
      </c>
      <c r="Z110" s="494">
        <f t="shared" ca="1" si="84"/>
        <v>2.9470690896304934E-2</v>
      </c>
      <c r="AA110" s="494">
        <f t="shared" ca="1" si="84"/>
        <v>2.7959373414443142E-2</v>
      </c>
      <c r="AB110" s="494">
        <f ca="1">IF($A110="*","",IFERROR(VLOOKUP($C110,' COM_2017_old'!$B$61:$AJ$120,MATCH(VLOOKUP("*"&amp;$AX110,$A$10:$J$11,$J$9,FALSE)&amp;AB$7,' COM_2017_old'!$B$58:$AJ$58,0),FALSE),""))</f>
        <v>2.6448055932581347E-2</v>
      </c>
      <c r="AC110" s="494">
        <f t="shared" ca="1" si="85"/>
        <v>2.4558909080254109E-2</v>
      </c>
      <c r="AD110" s="494">
        <f t="shared" ca="1" si="86"/>
        <v>2.2669762227926871E-2</v>
      </c>
      <c r="AE110" s="494">
        <f t="shared" ca="1" si="86"/>
        <v>2.0780615375599634E-2</v>
      </c>
      <c r="AF110" s="494">
        <f t="shared" ca="1" si="86"/>
        <v>1.8891468523272396E-2</v>
      </c>
      <c r="AG110" s="494">
        <f ca="1">IF($A110="*","",IFERROR(VLOOKUP($C110,' COM_2017_old'!$B$61:$AJ$120,MATCH(VLOOKUP("*"&amp;$AX110,$A$10:$J$11,$J$9,FALSE)&amp;AG$7,' COM_2017_old'!$B$58:$AJ$58,0),FALSE),""))</f>
        <v>1.7002321670945154E-2</v>
      </c>
      <c r="AH110" s="494">
        <f t="shared" ca="1" si="87"/>
        <v>1.4735345448152467E-2</v>
      </c>
      <c r="AI110" s="494">
        <f t="shared" ca="1" si="88"/>
        <v>1.2468369225359779E-2</v>
      </c>
      <c r="AJ110" s="494">
        <f t="shared" ca="1" si="88"/>
        <v>1.0201393002567092E-2</v>
      </c>
      <c r="AK110" s="494">
        <f t="shared" ca="1" si="88"/>
        <v>7.9344167797744045E-3</v>
      </c>
      <c r="AL110" s="494">
        <f ca="1">IF($A110="*","",IFERROR(VLOOKUP($C110,' COM_2017_old'!$B$61:$AJ$120,MATCH(VLOOKUP("*"&amp;$AX110,$A$10:$J$11,$J$9,FALSE)&amp;AL$7,' COM_2017_old'!$B$58:$AJ$58,0),FALSE),""))</f>
        <v>5.6674405569817178E-3</v>
      </c>
      <c r="AM110" s="494">
        <f ca="1">IF($A110="*","",IFERROR(VLOOKUP($C110,' COM_2017_old'!$B$61:$AJ$120,MATCH(VLOOKUP("*"&amp;$AX110,$A$10:$J$11,$J$9,FALSE)&amp;AM$7,' COM_2017_old'!$B$58:$AJ$58,0),FALSE),""))</f>
        <v>1.8891468523272394E-3</v>
      </c>
      <c r="AN110" s="494">
        <f ca="1">IF($A110="*","",IFERROR(VLOOKUP($C110,' COM_2017_old'!$B$61:$AJ$120,MATCH(VLOOKUP("*"&amp;$AX110,$A$10:$J$11,$J$9,FALSE)&amp;AN$7,' COM_2017_old'!$B$58:$AJ$58,0),FALSE),""))</f>
        <v>0</v>
      </c>
      <c r="AO110" s="391" t="str">
        <f ca="1">IFERROR(VLOOKUP($C110,COM_2012!$B$61:$AH$120,MATCH(VLOOKUP("*"&amp;$AX110,$A$10:$J$11,$J$9,FALSE)&amp;AO$7,COM_2012!$B$58:$AH$58,0),FALSE),"")</f>
        <v/>
      </c>
      <c r="AP110" s="391" t="str">
        <f ca="1">IFERROR(VLOOKUP($C110,COM_2012!$B$61:$AH$120,MATCH(VLOOKUP("*"&amp;$AX110,$A$10:$J$11,$J$9,FALSE)&amp;AP$7,COM_2012!$B$58:$AH$58,0),FALSE),"")</f>
        <v/>
      </c>
      <c r="AQ110" s="391" t="str">
        <f ca="1">IFERROR(VLOOKUP($C110,COM_2012!$B$61:$AH$120,MATCH(VLOOKUP("*"&amp;$AX110,$A$10:$J$11,$J$9,FALSE)&amp;AQ$7,COM_2012!$B$58:$AH$58,0),FALSE),"")</f>
        <v/>
      </c>
      <c r="AR110" s="391" t="str">
        <f ca="1">IFERROR(VLOOKUP($C110,COM_2012!$B$61:$AH$120,MATCH(VLOOKUP("*"&amp;$AX110,$A$10:$J$11,$J$9,FALSE)&amp;AR$7,COM_2012!$B$58:$AH$58,0),FALSE),"")</f>
        <v/>
      </c>
      <c r="AS110" s="391" t="str">
        <f ca="1">IFERROR(VLOOKUP($C110,COM_2012!$B$61:$AH$120,MATCH(VLOOKUP("*"&amp;$AX110,$A$10:$J$11,$J$9,FALSE)&amp;AS$7,COM_2012!$B$58:$AH$58,0),FALSE),"")</f>
        <v/>
      </c>
      <c r="AT110" s="391" t="str">
        <f ca="1">IFERROR(VLOOKUP($C110,COM_2012!$B$61:$AH$120,MATCH(VLOOKUP("*"&amp;$AX110,$A$10:$J$11,$J$9,FALSE)&amp;AT$7,COM_2012!$B$58:$AH$58,0),FALSE),"")</f>
        <v/>
      </c>
      <c r="AU110" s="391" t="str">
        <f ca="1">IFERROR(VLOOKUP($C110,COM_2012!$B$61:$AH$120,MATCH(VLOOKUP("*"&amp;$AX110,$A$10:$J$11,$J$9,FALSE)&amp;AU$7,COM_2012!$B$58:$AH$58,0),FALSE),"")</f>
        <v/>
      </c>
      <c r="AV110" s="391" t="str">
        <f ca="1">IFERROR(VLOOKUP($C110,COM_2012!$B$61:$AH$120,MATCH(VLOOKUP("*"&amp;$AX110,$A$10:$J$11,$J$9,FALSE)&amp;AV$7,COM_2012!$B$58:$AH$58,0),FALSE),"")</f>
        <v/>
      </c>
      <c r="AW110" s="391" t="str">
        <f ca="1">IFERROR(VLOOKUP($C110,COM_2012!$B$61:$AH$120,MATCH(VLOOKUP("*"&amp;$AX110,$A$10:$J$11,$J$9,FALSE)&amp;AW$7,COM_2012!$B$58:$AH$58,0),FALSE),"")</f>
        <v/>
      </c>
      <c r="AX110" s="304">
        <f>IF(AY109=COM_2012!$AI$121,AX109+1,AX109)</f>
        <v>2</v>
      </c>
      <c r="AY110" s="304">
        <f t="shared" si="75"/>
        <v>37</v>
      </c>
    </row>
    <row r="111" spans="1:51">
      <c r="A111" s="304" t="str">
        <f ca="1">IF(LEFT(OFFSET(COM_2012!$A$60,AY111,0),2)="\I","*","")</f>
        <v/>
      </c>
      <c r="B111" s="369" t="str">
        <f t="shared" ca="1" si="72"/>
        <v>FLO_MRKPRD</v>
      </c>
      <c r="C111" s="369" t="str">
        <f ca="1">IF($A111="*","",OFFSET(COM_2012!$B$60,AY111,0))</f>
        <v>CEWELC-N</v>
      </c>
      <c r="D111" s="369" t="str">
        <f t="shared" ca="1" si="54"/>
        <v>CEW</v>
      </c>
      <c r="E111" s="369" t="str">
        <f t="shared" ca="1" si="76"/>
        <v>-</v>
      </c>
      <c r="F111" s="370" t="str">
        <f t="shared" ca="1" si="73"/>
        <v>-</v>
      </c>
      <c r="G111" s="370" t="str">
        <f t="shared" ca="1" si="73"/>
        <v>ANNUAL</v>
      </c>
      <c r="H111" s="370" t="str">
        <f t="shared" ca="1" si="74"/>
        <v>LO</v>
      </c>
      <c r="I111" s="370">
        <f t="shared" ca="1" si="74"/>
        <v>0</v>
      </c>
      <c r="J111" s="494" t="str">
        <f>IF(J$7&lt;2020,"",IF(A111="*","",IFERROR(VLOOKUP($C111,COM_2012!$B$61:$AH$120,MATCH(VLOOKUP("*"&amp;$AX111,$A$10:$J$11,$J$9,FALSE)&amp;J$7,COM_2012!$B$58:$AH$58,0),FALSE),"")))</f>
        <v/>
      </c>
      <c r="K111" s="494" t="str">
        <f>IF(K$7&lt;2020,"",IF(B111="*","",IFERROR(VLOOKUP($C111,COM_2012!$B$61:$AH$120,MATCH(VLOOKUP("*"&amp;$AX111,$A$10:$J$11,$J$9,FALSE)&amp;K$7,COM_2012!$B$58:$AH$58,0),FALSE),"")))</f>
        <v/>
      </c>
      <c r="L111" s="494" t="str">
        <f>IF(L$7&lt;2020,"",IF(C111="*","",IFERROR(VLOOKUP($C111,COM_2012!$B$61:$AH$120,MATCH(VLOOKUP("*"&amp;$AX111,$A$10:$J$11,$J$9,FALSE)&amp;L$7,COM_2012!$B$58:$AH$58,0),FALSE),"")))</f>
        <v/>
      </c>
      <c r="M111" s="494" t="str">
        <f>IF(M$7&lt;2020,"",IF(D111="*","",IFERROR(VLOOKUP($C111,COM_2012!$B$61:$AH$120,MATCH(VLOOKUP("*"&amp;$AX111,$A$10:$J$11,$J$9,FALSE)&amp;M$7,COM_2012!$B$58:$AH$58,0),FALSE),"")))</f>
        <v/>
      </c>
      <c r="N111" s="494" t="str">
        <f ca="1">IFERROR(VLOOKUP($C111,COM_2012!$B$61:$AH$120,MATCH(VLOOKUP("*"&amp;$AX111,$A$10:$J$11,$J$9,FALSE)&amp;N$7,COM_2012!$B$58:$AH$58,0),FALSE),"")</f>
        <v/>
      </c>
      <c r="O111" s="494" t="str">
        <f>IF(O$7&lt;2020,"",IF($A111="*","",IFERROR(VLOOKUP($C111,' COM_2017_old'!$B$61:$AJ$120,MATCH(VLOOKUP("*"&amp;$AX111,$A$10:$J$11,$J$9,FALSE)&amp;O$7,' COM_2017_old'!$B$58:$AJ$58,0),FALSE),"")))</f>
        <v/>
      </c>
      <c r="P111" s="494" t="str">
        <f ca="1">IFERROR(VLOOKUP($C111,COM_2012!$B$61:$AH$120,MATCH(VLOOKUP("*"&amp;$AX111,$A$10:$J$11,$J$9,FALSE)&amp;P$7,COM_2012!$B$58:$AH$58,0),FALSE),"")</f>
        <v/>
      </c>
      <c r="Q111" s="494" t="str">
        <f ca="1">IFERROR(VLOOKUP($C111,COM_2012!$B$61:$AH$120,MATCH(VLOOKUP("*"&amp;$AX111,$A$10:$J$11,$J$9,FALSE)&amp;Q$7,COM_2012!$B$58:$AH$58,0),FALSE),"")</f>
        <v/>
      </c>
      <c r="R111" s="494">
        <f ca="1">IF($A111="*","",IFERROR(VLOOKUP($C111,' COM_2017_old'!$B$61:$AJ$120,MATCH(VLOOKUP("*"&amp;$AX111,$A$10:$J$11,$J$9,FALSE)&amp;R$7,' COM_2017_old'!$B$58:$AJ$58,0),FALSE),""))</f>
        <v>0</v>
      </c>
      <c r="S111" s="494">
        <f t="shared" ca="1" si="81"/>
        <v>0</v>
      </c>
      <c r="T111" s="494">
        <f t="shared" ca="1" si="82"/>
        <v>0</v>
      </c>
      <c r="U111" s="494">
        <f t="shared" ca="1" si="82"/>
        <v>0</v>
      </c>
      <c r="V111" s="494">
        <f t="shared" ca="1" si="82"/>
        <v>0</v>
      </c>
      <c r="W111" s="494">
        <f ca="1">IF($A111="*","",IFERROR(VLOOKUP($C111,' COM_2017_old'!$B$61:$AJ$120,MATCH(VLOOKUP("*"&amp;$AX111,$A$10:$J$11,$J$9,FALSE)&amp;W$7,' COM_2017_old'!$B$58:$AJ$58,0),FALSE),""))</f>
        <v>0</v>
      </c>
      <c r="X111" s="494">
        <f t="shared" ca="1" si="83"/>
        <v>0</v>
      </c>
      <c r="Y111" s="494">
        <f t="shared" ca="1" si="84"/>
        <v>0</v>
      </c>
      <c r="Z111" s="494">
        <f t="shared" ca="1" si="84"/>
        <v>0</v>
      </c>
      <c r="AA111" s="494">
        <f t="shared" ca="1" si="84"/>
        <v>0</v>
      </c>
      <c r="AB111" s="494">
        <f ca="1">IF($A111="*","",IFERROR(VLOOKUP($C111,' COM_2017_old'!$B$61:$AJ$120,MATCH(VLOOKUP("*"&amp;$AX111,$A$10:$J$11,$J$9,FALSE)&amp;AB$7,' COM_2017_old'!$B$58:$AJ$58,0),FALSE),""))</f>
        <v>0</v>
      </c>
      <c r="AC111" s="494">
        <f t="shared" ca="1" si="85"/>
        <v>0</v>
      </c>
      <c r="AD111" s="494">
        <f t="shared" ca="1" si="86"/>
        <v>0</v>
      </c>
      <c r="AE111" s="494">
        <f t="shared" ca="1" si="86"/>
        <v>0</v>
      </c>
      <c r="AF111" s="494">
        <f t="shared" ca="1" si="86"/>
        <v>0</v>
      </c>
      <c r="AG111" s="494">
        <f ca="1">IF($A111="*","",IFERROR(VLOOKUP($C111,' COM_2017_old'!$B$61:$AJ$120,MATCH(VLOOKUP("*"&amp;$AX111,$A$10:$J$11,$J$9,FALSE)&amp;AG$7,' COM_2017_old'!$B$58:$AJ$58,0),FALSE),""))</f>
        <v>0</v>
      </c>
      <c r="AH111" s="494">
        <f t="shared" ca="1" si="87"/>
        <v>0</v>
      </c>
      <c r="AI111" s="494">
        <f t="shared" ca="1" si="88"/>
        <v>0</v>
      </c>
      <c r="AJ111" s="494">
        <f t="shared" ca="1" si="88"/>
        <v>0</v>
      </c>
      <c r="AK111" s="494">
        <f t="shared" ca="1" si="88"/>
        <v>0</v>
      </c>
      <c r="AL111" s="494">
        <f ca="1">IF($A111="*","",IFERROR(VLOOKUP($C111,' COM_2017_old'!$B$61:$AJ$120,MATCH(VLOOKUP("*"&amp;$AX111,$A$10:$J$11,$J$9,FALSE)&amp;AL$7,' COM_2017_old'!$B$58:$AJ$58,0),FALSE),""))</f>
        <v>0</v>
      </c>
      <c r="AM111" s="494">
        <f ca="1">IF($A111="*","",IFERROR(VLOOKUP($C111,' COM_2017_old'!$B$61:$AJ$120,MATCH(VLOOKUP("*"&amp;$AX111,$A$10:$J$11,$J$9,FALSE)&amp;AM$7,' COM_2017_old'!$B$58:$AJ$58,0),FALSE),""))</f>
        <v>0</v>
      </c>
      <c r="AN111" s="494">
        <f ca="1">IF($A111="*","",IFERROR(VLOOKUP($C111,' COM_2017_old'!$B$61:$AJ$120,MATCH(VLOOKUP("*"&amp;$AX111,$A$10:$J$11,$J$9,FALSE)&amp;AN$7,' COM_2017_old'!$B$58:$AJ$58,0),FALSE),""))</f>
        <v>0</v>
      </c>
      <c r="AO111" s="391" t="str">
        <f ca="1">IFERROR(VLOOKUP($C111,COM_2012!$B$61:$AH$120,MATCH(VLOOKUP("*"&amp;$AX111,$A$10:$J$11,$J$9,FALSE)&amp;AO$7,COM_2012!$B$58:$AH$58,0),FALSE),"")</f>
        <v/>
      </c>
      <c r="AP111" s="391" t="str">
        <f ca="1">IFERROR(VLOOKUP($C111,COM_2012!$B$61:$AH$120,MATCH(VLOOKUP("*"&amp;$AX111,$A$10:$J$11,$J$9,FALSE)&amp;AP$7,COM_2012!$B$58:$AH$58,0),FALSE),"")</f>
        <v/>
      </c>
      <c r="AQ111" s="391" t="str">
        <f ca="1">IFERROR(VLOOKUP($C111,COM_2012!$B$61:$AH$120,MATCH(VLOOKUP("*"&amp;$AX111,$A$10:$J$11,$J$9,FALSE)&amp;AQ$7,COM_2012!$B$58:$AH$58,0),FALSE),"")</f>
        <v/>
      </c>
      <c r="AR111" s="391" t="str">
        <f ca="1">IFERROR(VLOOKUP($C111,COM_2012!$B$61:$AH$120,MATCH(VLOOKUP("*"&amp;$AX111,$A$10:$J$11,$J$9,FALSE)&amp;AR$7,COM_2012!$B$58:$AH$58,0),FALSE),"")</f>
        <v/>
      </c>
      <c r="AS111" s="391" t="str">
        <f ca="1">IFERROR(VLOOKUP($C111,COM_2012!$B$61:$AH$120,MATCH(VLOOKUP("*"&amp;$AX111,$A$10:$J$11,$J$9,FALSE)&amp;AS$7,COM_2012!$B$58:$AH$58,0),FALSE),"")</f>
        <v/>
      </c>
      <c r="AT111" s="391" t="str">
        <f ca="1">IFERROR(VLOOKUP($C111,COM_2012!$B$61:$AH$120,MATCH(VLOOKUP("*"&amp;$AX111,$A$10:$J$11,$J$9,FALSE)&amp;AT$7,COM_2012!$B$58:$AH$58,0),FALSE),"")</f>
        <v/>
      </c>
      <c r="AU111" s="391" t="str">
        <f ca="1">IFERROR(VLOOKUP($C111,COM_2012!$B$61:$AH$120,MATCH(VLOOKUP("*"&amp;$AX111,$A$10:$J$11,$J$9,FALSE)&amp;AU$7,COM_2012!$B$58:$AH$58,0),FALSE),"")</f>
        <v/>
      </c>
      <c r="AV111" s="391" t="str">
        <f ca="1">IFERROR(VLOOKUP($C111,COM_2012!$B$61:$AH$120,MATCH(VLOOKUP("*"&amp;$AX111,$A$10:$J$11,$J$9,FALSE)&amp;AV$7,COM_2012!$B$58:$AH$58,0),FALSE),"")</f>
        <v/>
      </c>
      <c r="AW111" s="391" t="str">
        <f ca="1">IFERROR(VLOOKUP($C111,COM_2012!$B$61:$AH$120,MATCH(VLOOKUP("*"&amp;$AX111,$A$10:$J$11,$J$9,FALSE)&amp;AW$7,COM_2012!$B$58:$AH$58,0),FALSE),"")</f>
        <v/>
      </c>
      <c r="AX111" s="304">
        <f>IF(AY110=COM_2012!$AI$121,AX110+1,AX110)</f>
        <v>2</v>
      </c>
      <c r="AY111" s="304">
        <f t="shared" si="75"/>
        <v>38</v>
      </c>
    </row>
    <row r="112" spans="1:51">
      <c r="A112" s="304" t="str">
        <f ca="1">IF(LEFT(OFFSET(COM_2012!$A$60,AY112,0),2)="\I","*","")</f>
        <v/>
      </c>
      <c r="B112" s="369" t="str">
        <f t="shared" ca="1" si="72"/>
        <v>FLO_MRKPRD</v>
      </c>
      <c r="C112" s="369" t="str">
        <f ca="1">IF($A112="*","",OFFSET(COM_2012!$B$60,AY112,0))</f>
        <v>CEWELCHP-N</v>
      </c>
      <c r="D112" s="369" t="str">
        <f t="shared" ca="1" si="54"/>
        <v>CEW</v>
      </c>
      <c r="E112" s="369" t="str">
        <f t="shared" ca="1" si="76"/>
        <v>-</v>
      </c>
      <c r="F112" s="370" t="str">
        <f t="shared" ca="1" si="73"/>
        <v>-</v>
      </c>
      <c r="G112" s="370" t="str">
        <f t="shared" ca="1" si="73"/>
        <v>ANNUAL</v>
      </c>
      <c r="H112" s="370" t="str">
        <f t="shared" ca="1" si="74"/>
        <v>LO</v>
      </c>
      <c r="I112" s="370">
        <f t="shared" ca="1" si="74"/>
        <v>0</v>
      </c>
      <c r="J112" s="494" t="str">
        <f>IF(J$7&lt;2020,"",IF(A112="*","",IFERROR(VLOOKUP($C112,COM_2012!$B$61:$AH$120,MATCH(VLOOKUP("*"&amp;$AX112,$A$10:$J$11,$J$9,FALSE)&amp;J$7,COM_2012!$B$58:$AH$58,0),FALSE),"")))</f>
        <v/>
      </c>
      <c r="K112" s="494" t="str">
        <f>IF(K$7&lt;2020,"",IF(B112="*","",IFERROR(VLOOKUP($C112,COM_2012!$B$61:$AH$120,MATCH(VLOOKUP("*"&amp;$AX112,$A$10:$J$11,$J$9,FALSE)&amp;K$7,COM_2012!$B$58:$AH$58,0),FALSE),"")))</f>
        <v/>
      </c>
      <c r="L112" s="494" t="str">
        <f>IF(L$7&lt;2020,"",IF(C112="*","",IFERROR(VLOOKUP($C112,COM_2012!$B$61:$AH$120,MATCH(VLOOKUP("*"&amp;$AX112,$A$10:$J$11,$J$9,FALSE)&amp;L$7,COM_2012!$B$58:$AH$58,0),FALSE),"")))</f>
        <v/>
      </c>
      <c r="M112" s="494" t="str">
        <f>IF(M$7&lt;2020,"",IF(D112="*","",IFERROR(VLOOKUP($C112,COM_2012!$B$61:$AH$120,MATCH(VLOOKUP("*"&amp;$AX112,$A$10:$J$11,$J$9,FALSE)&amp;M$7,COM_2012!$B$58:$AH$58,0),FALSE),"")))</f>
        <v/>
      </c>
      <c r="N112" s="494" t="str">
        <f ca="1">IFERROR(VLOOKUP($C112,COM_2012!$B$61:$AH$120,MATCH(VLOOKUP("*"&amp;$AX112,$A$10:$J$11,$J$9,FALSE)&amp;N$7,COM_2012!$B$58:$AH$58,0),FALSE),"")</f>
        <v/>
      </c>
      <c r="O112" s="494" t="str">
        <f>IF(O$7&lt;2020,"",IF($A112="*","",IFERROR(VLOOKUP($C112,' COM_2017_old'!$B$61:$AJ$120,MATCH(VLOOKUP("*"&amp;$AX112,$A$10:$J$11,$J$9,FALSE)&amp;O$7,' COM_2017_old'!$B$58:$AJ$58,0),FALSE),"")))</f>
        <v/>
      </c>
      <c r="P112" s="494" t="str">
        <f ca="1">IFERROR(VLOOKUP($C112,COM_2012!$B$61:$AH$120,MATCH(VLOOKUP("*"&amp;$AX112,$A$10:$J$11,$J$9,FALSE)&amp;P$7,COM_2012!$B$58:$AH$58,0),FALSE),"")</f>
        <v/>
      </c>
      <c r="Q112" s="494" t="str">
        <f ca="1">IFERROR(VLOOKUP($C112,COM_2012!$B$61:$AH$120,MATCH(VLOOKUP("*"&amp;$AX112,$A$10:$J$11,$J$9,FALSE)&amp;Q$7,COM_2012!$B$58:$AH$58,0),FALSE),"")</f>
        <v/>
      </c>
      <c r="R112" s="494">
        <f ca="1">IF($A112="*","",IFERROR(VLOOKUP($C112,' COM_2017_old'!$B$61:$AJ$120,MATCH(VLOOKUP("*"&amp;$AX112,$A$10:$J$11,$J$9,FALSE)&amp;R$7,' COM_2017_old'!$B$58:$AJ$58,0),FALSE),""))</f>
        <v>0</v>
      </c>
      <c r="S112" s="494">
        <f t="shared" ca="1" si="81"/>
        <v>0</v>
      </c>
      <c r="T112" s="494">
        <f t="shared" ca="1" si="82"/>
        <v>0</v>
      </c>
      <c r="U112" s="494">
        <f t="shared" ca="1" si="82"/>
        <v>0</v>
      </c>
      <c r="V112" s="494">
        <f t="shared" ca="1" si="82"/>
        <v>0</v>
      </c>
      <c r="W112" s="494">
        <f ca="1">IF($A112="*","",IFERROR(VLOOKUP($C112,' COM_2017_old'!$B$61:$AJ$120,MATCH(VLOOKUP("*"&amp;$AX112,$A$10:$J$11,$J$9,FALSE)&amp;W$7,' COM_2017_old'!$B$58:$AJ$58,0),FALSE),""))</f>
        <v>0</v>
      </c>
      <c r="X112" s="494">
        <f t="shared" ca="1" si="83"/>
        <v>0</v>
      </c>
      <c r="Y112" s="494">
        <f t="shared" ca="1" si="84"/>
        <v>0</v>
      </c>
      <c r="Z112" s="494">
        <f t="shared" ca="1" si="84"/>
        <v>0</v>
      </c>
      <c r="AA112" s="494">
        <f t="shared" ca="1" si="84"/>
        <v>0</v>
      </c>
      <c r="AB112" s="494">
        <f ca="1">IF($A112="*","",IFERROR(VLOOKUP($C112,' COM_2017_old'!$B$61:$AJ$120,MATCH(VLOOKUP("*"&amp;$AX112,$A$10:$J$11,$J$9,FALSE)&amp;AB$7,' COM_2017_old'!$B$58:$AJ$58,0),FALSE),""))</f>
        <v>0</v>
      </c>
      <c r="AC112" s="494">
        <f t="shared" ca="1" si="85"/>
        <v>0</v>
      </c>
      <c r="AD112" s="494">
        <f t="shared" ca="1" si="86"/>
        <v>0</v>
      </c>
      <c r="AE112" s="494">
        <f t="shared" ca="1" si="86"/>
        <v>0</v>
      </c>
      <c r="AF112" s="494">
        <f t="shared" ca="1" si="86"/>
        <v>0</v>
      </c>
      <c r="AG112" s="494">
        <f ca="1">IF($A112="*","",IFERROR(VLOOKUP($C112,' COM_2017_old'!$B$61:$AJ$120,MATCH(VLOOKUP("*"&amp;$AX112,$A$10:$J$11,$J$9,FALSE)&amp;AG$7,' COM_2017_old'!$B$58:$AJ$58,0),FALSE),""))</f>
        <v>0</v>
      </c>
      <c r="AH112" s="494">
        <f t="shared" ca="1" si="87"/>
        <v>0</v>
      </c>
      <c r="AI112" s="494">
        <f t="shared" ca="1" si="88"/>
        <v>0</v>
      </c>
      <c r="AJ112" s="494">
        <f t="shared" ca="1" si="88"/>
        <v>0</v>
      </c>
      <c r="AK112" s="494">
        <f t="shared" ca="1" si="88"/>
        <v>0</v>
      </c>
      <c r="AL112" s="494">
        <f ca="1">IF($A112="*","",IFERROR(VLOOKUP($C112,' COM_2017_old'!$B$61:$AJ$120,MATCH(VLOOKUP("*"&amp;$AX112,$A$10:$J$11,$J$9,FALSE)&amp;AL$7,' COM_2017_old'!$B$58:$AJ$58,0),FALSE),""))</f>
        <v>0</v>
      </c>
      <c r="AM112" s="494">
        <f ca="1">IF($A112="*","",IFERROR(VLOOKUP($C112,' COM_2017_old'!$B$61:$AJ$120,MATCH(VLOOKUP("*"&amp;$AX112,$A$10:$J$11,$J$9,FALSE)&amp;AM$7,' COM_2017_old'!$B$58:$AJ$58,0),FALSE),""))</f>
        <v>0</v>
      </c>
      <c r="AN112" s="494">
        <f ca="1">IF($A112="*","",IFERROR(VLOOKUP($C112,' COM_2017_old'!$B$61:$AJ$120,MATCH(VLOOKUP("*"&amp;$AX112,$A$10:$J$11,$J$9,FALSE)&amp;AN$7,' COM_2017_old'!$B$58:$AJ$58,0),FALSE),""))</f>
        <v>0</v>
      </c>
      <c r="AO112" s="391" t="str">
        <f ca="1">IFERROR(VLOOKUP($C112,COM_2012!$B$61:$AH$120,MATCH(VLOOKUP("*"&amp;$AX112,$A$10:$J$11,$J$9,FALSE)&amp;AO$7,COM_2012!$B$58:$AH$58,0),FALSE),"")</f>
        <v/>
      </c>
      <c r="AP112" s="391" t="str">
        <f ca="1">IFERROR(VLOOKUP($C112,COM_2012!$B$61:$AH$120,MATCH(VLOOKUP("*"&amp;$AX112,$A$10:$J$11,$J$9,FALSE)&amp;AP$7,COM_2012!$B$58:$AH$58,0),FALSE),"")</f>
        <v/>
      </c>
      <c r="AQ112" s="391" t="str">
        <f ca="1">IFERROR(VLOOKUP($C112,COM_2012!$B$61:$AH$120,MATCH(VLOOKUP("*"&amp;$AX112,$A$10:$J$11,$J$9,FALSE)&amp;AQ$7,COM_2012!$B$58:$AH$58,0),FALSE),"")</f>
        <v/>
      </c>
      <c r="AR112" s="391" t="str">
        <f ca="1">IFERROR(VLOOKUP($C112,COM_2012!$B$61:$AH$120,MATCH(VLOOKUP("*"&amp;$AX112,$A$10:$J$11,$J$9,FALSE)&amp;AR$7,COM_2012!$B$58:$AH$58,0),FALSE),"")</f>
        <v/>
      </c>
      <c r="AS112" s="391" t="str">
        <f ca="1">IFERROR(VLOOKUP($C112,COM_2012!$B$61:$AH$120,MATCH(VLOOKUP("*"&amp;$AX112,$A$10:$J$11,$J$9,FALSE)&amp;AS$7,COM_2012!$B$58:$AH$58,0),FALSE),"")</f>
        <v/>
      </c>
      <c r="AT112" s="391" t="str">
        <f ca="1">IFERROR(VLOOKUP($C112,COM_2012!$B$61:$AH$120,MATCH(VLOOKUP("*"&amp;$AX112,$A$10:$J$11,$J$9,FALSE)&amp;AT$7,COM_2012!$B$58:$AH$58,0),FALSE),"")</f>
        <v/>
      </c>
      <c r="AU112" s="391" t="str">
        <f ca="1">IFERROR(VLOOKUP($C112,COM_2012!$B$61:$AH$120,MATCH(VLOOKUP("*"&amp;$AX112,$A$10:$J$11,$J$9,FALSE)&amp;AU$7,COM_2012!$B$58:$AH$58,0),FALSE),"")</f>
        <v/>
      </c>
      <c r="AV112" s="391" t="str">
        <f ca="1">IFERROR(VLOOKUP($C112,COM_2012!$B$61:$AH$120,MATCH(VLOOKUP("*"&amp;$AX112,$A$10:$J$11,$J$9,FALSE)&amp;AV$7,COM_2012!$B$58:$AH$58,0),FALSE),"")</f>
        <v/>
      </c>
      <c r="AW112" s="391" t="str">
        <f ca="1">IFERROR(VLOOKUP($C112,COM_2012!$B$61:$AH$120,MATCH(VLOOKUP("*"&amp;$AX112,$A$10:$J$11,$J$9,FALSE)&amp;AW$7,COM_2012!$B$58:$AH$58,0),FALSE),"")</f>
        <v/>
      </c>
      <c r="AX112" s="304">
        <f>IF(AY111=COM_2012!$AI$121,AX111+1,AX111)</f>
        <v>2</v>
      </c>
      <c r="AY112" s="304">
        <f t="shared" si="75"/>
        <v>39</v>
      </c>
    </row>
    <row r="113" spans="1:51">
      <c r="A113" s="304" t="str">
        <f ca="1">IF(LEFT(OFFSET(COM_2012!$A$60,AY113,0),2)="\I","*","")</f>
        <v>*</v>
      </c>
      <c r="B113" s="369" t="str">
        <f t="shared" ca="1" si="72"/>
        <v/>
      </c>
      <c r="C113" s="369" t="str">
        <f ca="1">IF($A113="*","",OFFSET(COM_2012!$B$60,AY113,0))</f>
        <v/>
      </c>
      <c r="D113" s="369" t="str">
        <f t="shared" ca="1" si="54"/>
        <v/>
      </c>
      <c r="E113" s="369" t="str">
        <f t="shared" ca="1" si="76"/>
        <v/>
      </c>
      <c r="F113" s="370" t="str">
        <f t="shared" ca="1" si="73"/>
        <v/>
      </c>
      <c r="G113" s="370" t="str">
        <f t="shared" ca="1" si="73"/>
        <v/>
      </c>
      <c r="H113" s="370" t="str">
        <f t="shared" ca="1" si="74"/>
        <v/>
      </c>
      <c r="I113" s="370" t="str">
        <f t="shared" ca="1" si="74"/>
        <v/>
      </c>
      <c r="J113" s="494" t="str">
        <f>IF(J$7&lt;2020,"",IF(A113="*","",IFERROR(VLOOKUP($C113,COM_2012!$B$61:$AH$120,MATCH(VLOOKUP("*"&amp;$AX113,$A$10:$J$11,$J$9,FALSE)&amp;J$7,COM_2012!$B$58:$AH$58,0),FALSE),"")))</f>
        <v/>
      </c>
      <c r="K113" s="494" t="str">
        <f>IF(K$7&lt;2020,"",IF(B113="*","",IFERROR(VLOOKUP($C113,COM_2012!$B$61:$AH$120,MATCH(VLOOKUP("*"&amp;$AX113,$A$10:$J$11,$J$9,FALSE)&amp;K$7,COM_2012!$B$58:$AH$58,0),FALSE),"")))</f>
        <v/>
      </c>
      <c r="L113" s="494" t="str">
        <f>IF(L$7&lt;2020,"",IF(C113="*","",IFERROR(VLOOKUP($C113,COM_2012!$B$61:$AH$120,MATCH(VLOOKUP("*"&amp;$AX113,$A$10:$J$11,$J$9,FALSE)&amp;L$7,COM_2012!$B$58:$AH$58,0),FALSE),"")))</f>
        <v/>
      </c>
      <c r="M113" s="494" t="str">
        <f>IF(M$7&lt;2020,"",IF(D113="*","",IFERROR(VLOOKUP($C113,COM_2012!$B$61:$AH$120,MATCH(VLOOKUP("*"&amp;$AX113,$A$10:$J$11,$J$9,FALSE)&amp;M$7,COM_2012!$B$58:$AH$58,0),FALSE),"")))</f>
        <v/>
      </c>
      <c r="N113" s="494" t="str">
        <f ca="1">IFERROR(VLOOKUP($C113,COM_2012!$B$61:$AH$120,MATCH(VLOOKUP("*"&amp;$AX113,$A$10:$J$11,$J$9,FALSE)&amp;N$7,COM_2012!$B$58:$AH$58,0),FALSE),"")</f>
        <v/>
      </c>
      <c r="O113" s="494" t="str">
        <f>IF(O$7&lt;2020,"",IF($A113="*","",IFERROR(VLOOKUP($C113,' COM_2017_old'!$B$61:$AJ$120,MATCH(VLOOKUP("*"&amp;$AX113,$A$10:$J$11,$J$9,FALSE)&amp;O$7,' COM_2017_old'!$B$58:$AJ$58,0),FALSE),"")))</f>
        <v/>
      </c>
      <c r="P113" s="494" t="str">
        <f ca="1">IFERROR(VLOOKUP($C113,COM_2012!$B$61:$AH$120,MATCH(VLOOKUP("*"&amp;$AX113,$A$10:$J$11,$J$9,FALSE)&amp;P$7,COM_2012!$B$58:$AH$58,0),FALSE),"")</f>
        <v/>
      </c>
      <c r="Q113" s="494" t="str">
        <f ca="1">IFERROR(VLOOKUP($C113,COM_2012!$B$61:$AH$120,MATCH(VLOOKUP("*"&amp;$AX113,$A$10:$J$11,$J$9,FALSE)&amp;Q$7,COM_2012!$B$58:$AH$58,0),FALSE),"")</f>
        <v/>
      </c>
      <c r="R113" s="494" t="str">
        <f ca="1">IF($A113="*","",IFERROR(VLOOKUP($C113,' COM_2017_old'!$B$61:$AJ$120,MATCH(VLOOKUP("*"&amp;$AX113,$A$10:$J$11,$J$9,FALSE)&amp;R$7,' COM_2017_old'!$B$58:$AJ$58,0),FALSE),""))</f>
        <v/>
      </c>
      <c r="S113" s="494" t="str">
        <f ca="1">IFERROR(VLOOKUP($C113,COM_2012!$B$61:$AH$120,MATCH(VLOOKUP("*"&amp;$AX113,$A$10:$J$11,$J$9,FALSE)&amp;S$7,COM_2012!$B$58:$AH$58,0),FALSE),"")</f>
        <v/>
      </c>
      <c r="T113" s="494" t="str">
        <f ca="1">IFERROR(VLOOKUP($C113,COM_2012!$B$61:$AH$120,MATCH(VLOOKUP("*"&amp;$AX113,$A$10:$J$11,$J$9,FALSE)&amp;T$7,COM_2012!$B$58:$AH$58,0),FALSE),"")</f>
        <v/>
      </c>
      <c r="U113" s="494" t="str">
        <f ca="1">IFERROR(VLOOKUP($C113,COM_2012!$B$61:$AH$120,MATCH(VLOOKUP("*"&amp;$AX113,$A$10:$J$11,$J$9,FALSE)&amp;U$7,COM_2012!$B$58:$AH$58,0),FALSE),"")</f>
        <v/>
      </c>
      <c r="V113" s="494" t="str">
        <f ca="1">IFERROR(VLOOKUP($C113,COM_2012!$B$61:$AH$120,MATCH(VLOOKUP("*"&amp;$AX113,$A$10:$J$11,$J$9,FALSE)&amp;V$7,COM_2012!$B$58:$AH$58,0),FALSE),"")</f>
        <v/>
      </c>
      <c r="W113" s="494" t="str">
        <f ca="1">IF($A113="*","",IFERROR(VLOOKUP($C113,' COM_2017_old'!$B$61:$AJ$120,MATCH(VLOOKUP("*"&amp;$AX113,$A$10:$J$11,$J$9,FALSE)&amp;W$7,' COM_2017_old'!$B$58:$AJ$58,0),FALSE),""))</f>
        <v/>
      </c>
      <c r="X113" s="494" t="str">
        <f ca="1">IFERROR(VLOOKUP($C113,COM_2012!$B$61:$AH$120,MATCH(VLOOKUP("*"&amp;$AX113,$A$10:$J$11,$J$9,FALSE)&amp;X$7,COM_2012!$B$58:$AH$58,0),FALSE),"")</f>
        <v/>
      </c>
      <c r="Y113" s="494" t="str">
        <f ca="1">IFERROR(VLOOKUP($C113,COM_2012!$B$61:$AH$120,MATCH(VLOOKUP("*"&amp;$AX113,$A$10:$J$11,$J$9,FALSE)&amp;Y$7,COM_2012!$B$58:$AH$58,0),FALSE),"")</f>
        <v/>
      </c>
      <c r="Z113" s="494" t="str">
        <f ca="1">IFERROR(VLOOKUP($C113,COM_2012!$B$61:$AH$120,MATCH(VLOOKUP("*"&amp;$AX113,$A$10:$J$11,$J$9,FALSE)&amp;Z$7,COM_2012!$B$58:$AH$58,0),FALSE),"")</f>
        <v/>
      </c>
      <c r="AA113" s="494" t="str">
        <f ca="1">IFERROR(VLOOKUP($C113,COM_2012!$B$61:$AH$120,MATCH(VLOOKUP("*"&amp;$AX113,$A$10:$J$11,$J$9,FALSE)&amp;AA$7,COM_2012!$B$58:$AH$58,0),FALSE),"")</f>
        <v/>
      </c>
      <c r="AB113" s="494" t="str">
        <f ca="1">IF($A113="*","",IFERROR(VLOOKUP($C113,' COM_2017_old'!$B$61:$AJ$120,MATCH(VLOOKUP("*"&amp;$AX113,$A$10:$J$11,$J$9,FALSE)&amp;AB$7,' COM_2017_old'!$B$58:$AJ$58,0),FALSE),""))</f>
        <v/>
      </c>
      <c r="AC113" s="494" t="str">
        <f ca="1">IFERROR(VLOOKUP($C113,COM_2012!$B$61:$AH$120,MATCH(VLOOKUP("*"&amp;$AX113,$A$10:$J$11,$J$9,FALSE)&amp;AC$7,COM_2012!$B$58:$AH$58,0),FALSE),"")</f>
        <v/>
      </c>
      <c r="AD113" s="391" t="str">
        <f ca="1">IFERROR(VLOOKUP($C113,COM_2012!$B$61:$AH$120,MATCH(VLOOKUP("*"&amp;$AX113,$A$10:$J$11,$J$9,FALSE)&amp;AD$7,COM_2012!$B$58:$AH$58,0),FALSE),"")</f>
        <v/>
      </c>
      <c r="AE113" s="391" t="str">
        <f ca="1">IFERROR(VLOOKUP($C113,COM_2012!$B$61:$AH$120,MATCH(VLOOKUP("*"&amp;$AX113,$A$10:$J$11,$J$9,FALSE)&amp;AE$7,COM_2012!$B$58:$AH$58,0),FALSE),"")</f>
        <v/>
      </c>
      <c r="AF113" s="391" t="str">
        <f ca="1">IFERROR(VLOOKUP($C113,COM_2012!$B$61:$AH$120,MATCH(VLOOKUP("*"&amp;$AX113,$A$10:$J$11,$J$9,FALSE)&amp;AF$7,COM_2012!$B$58:$AH$58,0),FALSE),"")</f>
        <v/>
      </c>
      <c r="AG113" s="494" t="str">
        <f ca="1">IF($A113="*","",IFERROR(VLOOKUP($C113,' COM_2017_old'!$B$61:$AJ$120,MATCH(VLOOKUP("*"&amp;$AX113,$A$10:$J$11,$J$9,FALSE)&amp;AG$7,' COM_2017_old'!$B$58:$AJ$58,0),FALSE),""))</f>
        <v/>
      </c>
      <c r="AH113" s="391" t="str">
        <f ca="1">IFERROR(VLOOKUP($C113,COM_2012!$B$61:$AH$120,MATCH(VLOOKUP("*"&amp;$AX113,$A$10:$J$11,$J$9,FALSE)&amp;AH$7,COM_2012!$B$58:$AH$58,0),FALSE),"")</f>
        <v/>
      </c>
      <c r="AI113" s="391" t="str">
        <f ca="1">IFERROR(VLOOKUP($C113,COM_2012!$B$61:$AH$120,MATCH(VLOOKUP("*"&amp;$AX113,$A$10:$J$11,$J$9,FALSE)&amp;AI$7,COM_2012!$B$58:$AH$58,0),FALSE),"")</f>
        <v/>
      </c>
      <c r="AJ113" s="391" t="str">
        <f ca="1">IFERROR(VLOOKUP($C113,COM_2012!$B$61:$AH$120,MATCH(VLOOKUP("*"&amp;$AX113,$A$10:$J$11,$J$9,FALSE)&amp;AJ$7,COM_2012!$B$58:$AH$58,0),FALSE),"")</f>
        <v/>
      </c>
      <c r="AK113" s="391" t="str">
        <f ca="1">IFERROR(VLOOKUP($C113,COM_2012!$B$61:$AH$120,MATCH(VLOOKUP("*"&amp;$AX113,$A$10:$J$11,$J$9,FALSE)&amp;AK$7,COM_2012!$B$58:$AH$58,0),FALSE),"")</f>
        <v/>
      </c>
      <c r="AL113" s="494" t="str">
        <f ca="1">IF($A113="*","",IFERROR(VLOOKUP($C113,' COM_2017_old'!$B$61:$AJ$120,MATCH(VLOOKUP("*"&amp;$AX113,$A$10:$J$11,$J$9,FALSE)&amp;AL$7,' COM_2017_old'!$B$58:$AJ$58,0),FALSE),""))</f>
        <v/>
      </c>
      <c r="AM113" s="494" t="str">
        <f ca="1">IF($A113="*","",IFERROR(VLOOKUP($C113,' COM_2017_old'!$B$61:$AJ$120,MATCH(VLOOKUP("*"&amp;$AX113,$A$10:$J$11,$J$9,FALSE)&amp;AM$7,' COM_2017_old'!$B$58:$AJ$58,0),FALSE),""))</f>
        <v/>
      </c>
      <c r="AN113" s="494" t="str">
        <f ca="1">IF($A113="*","",IFERROR(VLOOKUP($C113,' COM_2017_old'!$B$61:$AJ$120,MATCH(VLOOKUP("*"&amp;$AX113,$A$10:$J$11,$J$9,FALSE)&amp;AN$7,' COM_2017_old'!$B$58:$AJ$58,0),FALSE),""))</f>
        <v/>
      </c>
      <c r="AO113" s="391" t="str">
        <f ca="1">IFERROR(VLOOKUP($C113,COM_2012!$B$61:$AH$120,MATCH(VLOOKUP("*"&amp;$AX113,$A$10:$J$11,$J$9,FALSE)&amp;AO$7,COM_2012!$B$58:$AH$58,0),FALSE),"")</f>
        <v/>
      </c>
      <c r="AP113" s="391" t="str">
        <f ca="1">IFERROR(VLOOKUP($C113,COM_2012!$B$61:$AH$120,MATCH(VLOOKUP("*"&amp;$AX113,$A$10:$J$11,$J$9,FALSE)&amp;AP$7,COM_2012!$B$58:$AH$58,0),FALSE),"")</f>
        <v/>
      </c>
      <c r="AQ113" s="391" t="str">
        <f ca="1">IFERROR(VLOOKUP($C113,COM_2012!$B$61:$AH$120,MATCH(VLOOKUP("*"&amp;$AX113,$A$10:$J$11,$J$9,FALSE)&amp;AQ$7,COM_2012!$B$58:$AH$58,0),FALSE),"")</f>
        <v/>
      </c>
      <c r="AR113" s="391" t="str">
        <f ca="1">IFERROR(VLOOKUP($C113,COM_2012!$B$61:$AH$120,MATCH(VLOOKUP("*"&amp;$AX113,$A$10:$J$11,$J$9,FALSE)&amp;AR$7,COM_2012!$B$58:$AH$58,0),FALSE),"")</f>
        <v/>
      </c>
      <c r="AS113" s="391" t="str">
        <f ca="1">IFERROR(VLOOKUP($C113,COM_2012!$B$61:$AH$120,MATCH(VLOOKUP("*"&amp;$AX113,$A$10:$J$11,$J$9,FALSE)&amp;AS$7,COM_2012!$B$58:$AH$58,0),FALSE),"")</f>
        <v/>
      </c>
      <c r="AT113" s="391" t="str">
        <f ca="1">IFERROR(VLOOKUP($C113,COM_2012!$B$61:$AH$120,MATCH(VLOOKUP("*"&amp;$AX113,$A$10:$J$11,$J$9,FALSE)&amp;AT$7,COM_2012!$B$58:$AH$58,0),FALSE),"")</f>
        <v/>
      </c>
      <c r="AU113" s="391" t="str">
        <f ca="1">IFERROR(VLOOKUP($C113,COM_2012!$B$61:$AH$120,MATCH(VLOOKUP("*"&amp;$AX113,$A$10:$J$11,$J$9,FALSE)&amp;AU$7,COM_2012!$B$58:$AH$58,0),FALSE),"")</f>
        <v/>
      </c>
      <c r="AV113" s="391" t="str">
        <f ca="1">IFERROR(VLOOKUP($C113,COM_2012!$B$61:$AH$120,MATCH(VLOOKUP("*"&amp;$AX113,$A$10:$J$11,$J$9,FALSE)&amp;AV$7,COM_2012!$B$58:$AH$58,0),FALSE),"")</f>
        <v/>
      </c>
      <c r="AW113" s="391" t="str">
        <f ca="1">IFERROR(VLOOKUP($C113,COM_2012!$B$61:$AH$120,MATCH(VLOOKUP("*"&amp;$AX113,$A$10:$J$11,$J$9,FALSE)&amp;AW$7,COM_2012!$B$58:$AH$58,0),FALSE),"")</f>
        <v/>
      </c>
      <c r="AX113" s="304">
        <f>IF(AY112=COM_2012!$AI$121,AX112+1,AX112)</f>
        <v>2</v>
      </c>
      <c r="AY113" s="304">
        <f t="shared" si="75"/>
        <v>40</v>
      </c>
    </row>
    <row r="114" spans="1:51">
      <c r="A114" s="304" t="str">
        <f ca="1">IF(LEFT(OFFSET(COM_2012!$A$60,AY114,0),2)="\I","*","")</f>
        <v>*</v>
      </c>
      <c r="B114" s="369" t="str">
        <f t="shared" ca="1" si="72"/>
        <v/>
      </c>
      <c r="C114" s="369" t="str">
        <f ca="1">IF($A114="*","",OFFSET(COM_2012!$B$60,AY114,0))</f>
        <v/>
      </c>
      <c r="D114" s="369" t="str">
        <f t="shared" ca="1" si="54"/>
        <v/>
      </c>
      <c r="E114" s="369" t="str">
        <f t="shared" ca="1" si="76"/>
        <v/>
      </c>
      <c r="F114" s="370" t="str">
        <f t="shared" ca="1" si="73"/>
        <v/>
      </c>
      <c r="G114" s="370" t="str">
        <f t="shared" ca="1" si="73"/>
        <v/>
      </c>
      <c r="H114" s="370" t="str">
        <f t="shared" ca="1" si="74"/>
        <v/>
      </c>
      <c r="I114" s="370" t="str">
        <f t="shared" ca="1" si="74"/>
        <v/>
      </c>
      <c r="J114" s="494" t="str">
        <f>IF(J$7&lt;2020,"",IF(A114="*","",IFERROR(VLOOKUP($C114,COM_2012!$B$61:$AH$120,MATCH(VLOOKUP("*"&amp;$AX114,$A$10:$J$11,$J$9,FALSE)&amp;J$7,COM_2012!$B$58:$AH$58,0),FALSE),"")))</f>
        <v/>
      </c>
      <c r="K114" s="494" t="str">
        <f>IF(K$7&lt;2020,"",IF(B114="*","",IFERROR(VLOOKUP($C114,COM_2012!$B$61:$AH$120,MATCH(VLOOKUP("*"&amp;$AX114,$A$10:$J$11,$J$9,FALSE)&amp;K$7,COM_2012!$B$58:$AH$58,0),FALSE),"")))</f>
        <v/>
      </c>
      <c r="L114" s="494" t="str">
        <f>IF(L$7&lt;2020,"",IF(C114="*","",IFERROR(VLOOKUP($C114,COM_2012!$B$61:$AH$120,MATCH(VLOOKUP("*"&amp;$AX114,$A$10:$J$11,$J$9,FALSE)&amp;L$7,COM_2012!$B$58:$AH$58,0),FALSE),"")))</f>
        <v/>
      </c>
      <c r="M114" s="494" t="str">
        <f>IF(M$7&lt;2020,"",IF(D114="*","",IFERROR(VLOOKUP($C114,COM_2012!$B$61:$AH$120,MATCH(VLOOKUP("*"&amp;$AX114,$A$10:$J$11,$J$9,FALSE)&amp;M$7,COM_2012!$B$58:$AH$58,0),FALSE),"")))</f>
        <v/>
      </c>
      <c r="N114" s="494" t="str">
        <f ca="1">IFERROR(VLOOKUP($C114,COM_2012!$B$61:$AH$120,MATCH(VLOOKUP("*"&amp;$AX114,$A$10:$J$11,$J$9,FALSE)&amp;N$7,COM_2012!$B$58:$AH$58,0),FALSE),"")</f>
        <v/>
      </c>
      <c r="O114" s="494" t="str">
        <f>IF(O$7&lt;2020,"",IF($A114="*","",IFERROR(VLOOKUP($C114,' COM_2017_old'!$B$61:$AJ$120,MATCH(VLOOKUP("*"&amp;$AX114,$A$10:$J$11,$J$9,FALSE)&amp;O$7,' COM_2017_old'!$B$58:$AJ$58,0),FALSE),"")))</f>
        <v/>
      </c>
      <c r="P114" s="494" t="str">
        <f ca="1">IFERROR(VLOOKUP($C114,COM_2012!$B$61:$AH$120,MATCH(VLOOKUP("*"&amp;$AX114,$A$10:$J$11,$J$9,FALSE)&amp;P$7,COM_2012!$B$58:$AH$58,0),FALSE),"")</f>
        <v/>
      </c>
      <c r="Q114" s="494" t="str">
        <f ca="1">IFERROR(VLOOKUP($C114,COM_2012!$B$61:$AH$120,MATCH(VLOOKUP("*"&amp;$AX114,$A$10:$J$11,$J$9,FALSE)&amp;Q$7,COM_2012!$B$58:$AH$58,0),FALSE),"")</f>
        <v/>
      </c>
      <c r="R114" s="494" t="str">
        <f ca="1">IF($A114="*","",IFERROR(VLOOKUP($C114,' COM_2017_old'!$B$61:$AJ$120,MATCH(VLOOKUP("*"&amp;$AX114,$A$10:$J$11,$J$9,FALSE)&amp;R$7,' COM_2017_old'!$B$58:$AJ$58,0),FALSE),""))</f>
        <v/>
      </c>
      <c r="S114" s="494" t="str">
        <f ca="1">IFERROR(VLOOKUP($C114,COM_2012!$B$61:$AH$120,MATCH(VLOOKUP("*"&amp;$AX114,$A$10:$J$11,$J$9,FALSE)&amp;S$7,COM_2012!$B$58:$AH$58,0),FALSE),"")</f>
        <v/>
      </c>
      <c r="T114" s="494" t="str">
        <f ca="1">IFERROR(VLOOKUP($C114,COM_2012!$B$61:$AH$120,MATCH(VLOOKUP("*"&amp;$AX114,$A$10:$J$11,$J$9,FALSE)&amp;T$7,COM_2012!$B$58:$AH$58,0),FALSE),"")</f>
        <v/>
      </c>
      <c r="U114" s="494" t="str">
        <f ca="1">IFERROR(VLOOKUP($C114,COM_2012!$B$61:$AH$120,MATCH(VLOOKUP("*"&amp;$AX114,$A$10:$J$11,$J$9,FALSE)&amp;U$7,COM_2012!$B$58:$AH$58,0),FALSE),"")</f>
        <v/>
      </c>
      <c r="V114" s="494" t="str">
        <f ca="1">IFERROR(VLOOKUP($C114,COM_2012!$B$61:$AH$120,MATCH(VLOOKUP("*"&amp;$AX114,$A$10:$J$11,$J$9,FALSE)&amp;V$7,COM_2012!$B$58:$AH$58,0),FALSE),"")</f>
        <v/>
      </c>
      <c r="W114" s="494" t="str">
        <f ca="1">IF($A114="*","",IFERROR(VLOOKUP($C114,' COM_2017_old'!$B$61:$AJ$120,MATCH(VLOOKUP("*"&amp;$AX114,$A$10:$J$11,$J$9,FALSE)&amp;W$7,' COM_2017_old'!$B$58:$AJ$58,0),FALSE),""))</f>
        <v/>
      </c>
      <c r="X114" s="494" t="str">
        <f ca="1">IFERROR(VLOOKUP($C114,COM_2012!$B$61:$AH$120,MATCH(VLOOKUP("*"&amp;$AX114,$A$10:$J$11,$J$9,FALSE)&amp;X$7,COM_2012!$B$58:$AH$58,0),FALSE),"")</f>
        <v/>
      </c>
      <c r="Y114" s="494" t="str">
        <f ca="1">IFERROR(VLOOKUP($C114,COM_2012!$B$61:$AH$120,MATCH(VLOOKUP("*"&amp;$AX114,$A$10:$J$11,$J$9,FALSE)&amp;Y$7,COM_2012!$B$58:$AH$58,0),FALSE),"")</f>
        <v/>
      </c>
      <c r="Z114" s="494" t="str">
        <f ca="1">IFERROR(VLOOKUP($C114,COM_2012!$B$61:$AH$120,MATCH(VLOOKUP("*"&amp;$AX114,$A$10:$J$11,$J$9,FALSE)&amp;Z$7,COM_2012!$B$58:$AH$58,0),FALSE),"")</f>
        <v/>
      </c>
      <c r="AA114" s="494" t="str">
        <f ca="1">IFERROR(VLOOKUP($C114,COM_2012!$B$61:$AH$120,MATCH(VLOOKUP("*"&amp;$AX114,$A$10:$J$11,$J$9,FALSE)&amp;AA$7,COM_2012!$B$58:$AH$58,0),FALSE),"")</f>
        <v/>
      </c>
      <c r="AB114" s="494" t="str">
        <f ca="1">IF($A114="*","",IFERROR(VLOOKUP($C114,' COM_2017_old'!$B$61:$AJ$120,MATCH(VLOOKUP("*"&amp;$AX114,$A$10:$J$11,$J$9,FALSE)&amp;AB$7,' COM_2017_old'!$B$58:$AJ$58,0),FALSE),""))</f>
        <v/>
      </c>
      <c r="AC114" s="494" t="str">
        <f ca="1">IFERROR(VLOOKUP($C114,COM_2012!$B$61:$AH$120,MATCH(VLOOKUP("*"&amp;$AX114,$A$10:$J$11,$J$9,FALSE)&amp;AC$7,COM_2012!$B$58:$AH$58,0),FALSE),"")</f>
        <v/>
      </c>
      <c r="AD114" s="391" t="str">
        <f ca="1">IFERROR(VLOOKUP($C114,COM_2012!$B$61:$AH$120,MATCH(VLOOKUP("*"&amp;$AX114,$A$10:$J$11,$J$9,FALSE)&amp;AD$7,COM_2012!$B$58:$AH$58,0),FALSE),"")</f>
        <v/>
      </c>
      <c r="AE114" s="391" t="str">
        <f ca="1">IFERROR(VLOOKUP($C114,COM_2012!$B$61:$AH$120,MATCH(VLOOKUP("*"&amp;$AX114,$A$10:$J$11,$J$9,FALSE)&amp;AE$7,COM_2012!$B$58:$AH$58,0),FALSE),"")</f>
        <v/>
      </c>
      <c r="AF114" s="391" t="str">
        <f ca="1">IFERROR(VLOOKUP($C114,COM_2012!$B$61:$AH$120,MATCH(VLOOKUP("*"&amp;$AX114,$A$10:$J$11,$J$9,FALSE)&amp;AF$7,COM_2012!$B$58:$AH$58,0),FALSE),"")</f>
        <v/>
      </c>
      <c r="AG114" s="494" t="str">
        <f ca="1">IF($A114="*","",IFERROR(VLOOKUP($C114,' COM_2017_old'!$B$61:$AJ$120,MATCH(VLOOKUP("*"&amp;$AX114,$A$10:$J$11,$J$9,FALSE)&amp;AG$7,' COM_2017_old'!$B$58:$AJ$58,0),FALSE),""))</f>
        <v/>
      </c>
      <c r="AH114" s="391" t="str">
        <f ca="1">IFERROR(VLOOKUP($C114,COM_2012!$B$61:$AH$120,MATCH(VLOOKUP("*"&amp;$AX114,$A$10:$J$11,$J$9,FALSE)&amp;AH$7,COM_2012!$B$58:$AH$58,0),FALSE),"")</f>
        <v/>
      </c>
      <c r="AI114" s="391" t="str">
        <f ca="1">IFERROR(VLOOKUP($C114,COM_2012!$B$61:$AH$120,MATCH(VLOOKUP("*"&amp;$AX114,$A$10:$J$11,$J$9,FALSE)&amp;AI$7,COM_2012!$B$58:$AH$58,0),FALSE),"")</f>
        <v/>
      </c>
      <c r="AJ114" s="391" t="str">
        <f ca="1">IFERROR(VLOOKUP($C114,COM_2012!$B$61:$AH$120,MATCH(VLOOKUP("*"&amp;$AX114,$A$10:$J$11,$J$9,FALSE)&amp;AJ$7,COM_2012!$B$58:$AH$58,0),FALSE),"")</f>
        <v/>
      </c>
      <c r="AK114" s="391" t="str">
        <f ca="1">IFERROR(VLOOKUP($C114,COM_2012!$B$61:$AH$120,MATCH(VLOOKUP("*"&amp;$AX114,$A$10:$J$11,$J$9,FALSE)&amp;AK$7,COM_2012!$B$58:$AH$58,0),FALSE),"")</f>
        <v/>
      </c>
      <c r="AL114" s="494" t="str">
        <f ca="1">IF($A114="*","",IFERROR(VLOOKUP($C114,' COM_2017_old'!$B$61:$AJ$120,MATCH(VLOOKUP("*"&amp;$AX114,$A$10:$J$11,$J$9,FALSE)&amp;AL$7,' COM_2017_old'!$B$58:$AJ$58,0),FALSE),""))</f>
        <v/>
      </c>
      <c r="AM114" s="494" t="str">
        <f ca="1">IF($A114="*","",IFERROR(VLOOKUP($C114,' COM_2017_old'!$B$61:$AJ$120,MATCH(VLOOKUP("*"&amp;$AX114,$A$10:$J$11,$J$9,FALSE)&amp;AM$7,' COM_2017_old'!$B$58:$AJ$58,0),FALSE),""))</f>
        <v/>
      </c>
      <c r="AN114" s="494" t="str">
        <f ca="1">IF($A114="*","",IFERROR(VLOOKUP($C114,' COM_2017_old'!$B$61:$AJ$120,MATCH(VLOOKUP("*"&amp;$AX114,$A$10:$J$11,$J$9,FALSE)&amp;AN$7,' COM_2017_old'!$B$58:$AJ$58,0),FALSE),""))</f>
        <v/>
      </c>
      <c r="AO114" s="391" t="str">
        <f ca="1">IFERROR(VLOOKUP($C114,COM_2012!$B$61:$AH$120,MATCH(VLOOKUP("*"&amp;$AX114,$A$10:$J$11,$J$9,FALSE)&amp;AO$7,COM_2012!$B$58:$AH$58,0),FALSE),"")</f>
        <v/>
      </c>
      <c r="AP114" s="391" t="str">
        <f ca="1">IFERROR(VLOOKUP($C114,COM_2012!$B$61:$AH$120,MATCH(VLOOKUP("*"&amp;$AX114,$A$10:$J$11,$J$9,FALSE)&amp;AP$7,COM_2012!$B$58:$AH$58,0),FALSE),"")</f>
        <v/>
      </c>
      <c r="AQ114" s="391" t="str">
        <f ca="1">IFERROR(VLOOKUP($C114,COM_2012!$B$61:$AH$120,MATCH(VLOOKUP("*"&amp;$AX114,$A$10:$J$11,$J$9,FALSE)&amp;AQ$7,COM_2012!$B$58:$AH$58,0),FALSE),"")</f>
        <v/>
      </c>
      <c r="AR114" s="391" t="str">
        <f ca="1">IFERROR(VLOOKUP($C114,COM_2012!$B$61:$AH$120,MATCH(VLOOKUP("*"&amp;$AX114,$A$10:$J$11,$J$9,FALSE)&amp;AR$7,COM_2012!$B$58:$AH$58,0),FALSE),"")</f>
        <v/>
      </c>
      <c r="AS114" s="391" t="str">
        <f ca="1">IFERROR(VLOOKUP($C114,COM_2012!$B$61:$AH$120,MATCH(VLOOKUP("*"&amp;$AX114,$A$10:$J$11,$J$9,FALSE)&amp;AS$7,COM_2012!$B$58:$AH$58,0),FALSE),"")</f>
        <v/>
      </c>
      <c r="AT114" s="391" t="str">
        <f ca="1">IFERROR(VLOOKUP($C114,COM_2012!$B$61:$AH$120,MATCH(VLOOKUP("*"&amp;$AX114,$A$10:$J$11,$J$9,FALSE)&amp;AT$7,COM_2012!$B$58:$AH$58,0),FALSE),"")</f>
        <v/>
      </c>
      <c r="AU114" s="391" t="str">
        <f ca="1">IFERROR(VLOOKUP($C114,COM_2012!$B$61:$AH$120,MATCH(VLOOKUP("*"&amp;$AX114,$A$10:$J$11,$J$9,FALSE)&amp;AU$7,COM_2012!$B$58:$AH$58,0),FALSE),"")</f>
        <v/>
      </c>
      <c r="AV114" s="391" t="str">
        <f ca="1">IFERROR(VLOOKUP($C114,COM_2012!$B$61:$AH$120,MATCH(VLOOKUP("*"&amp;$AX114,$A$10:$J$11,$J$9,FALSE)&amp;AV$7,COM_2012!$B$58:$AH$58,0),FALSE),"")</f>
        <v/>
      </c>
      <c r="AW114" s="391" t="str">
        <f ca="1">IFERROR(VLOOKUP($C114,COM_2012!$B$61:$AH$120,MATCH(VLOOKUP("*"&amp;$AX114,$A$10:$J$11,$J$9,FALSE)&amp;AW$7,COM_2012!$B$58:$AH$58,0),FALSE),"")</f>
        <v/>
      </c>
      <c r="AX114" s="304">
        <f>IF(AY113=COM_2012!$AI$121,AX113+1,AX113)</f>
        <v>2</v>
      </c>
      <c r="AY114" s="304">
        <f t="shared" ref="AY114:AY116" si="89">IF(AX114=AX113,AY113+1,1)</f>
        <v>41</v>
      </c>
    </row>
    <row r="115" spans="1:51">
      <c r="A115" s="304" t="str">
        <f ca="1">IF(LEFT(OFFSET(COM_2012!$A$60,AY115,0),2)="\I","*","")</f>
        <v/>
      </c>
      <c r="B115" s="369" t="str">
        <f t="shared" ca="1" si="72"/>
        <v>FLO_MRKPRD</v>
      </c>
      <c r="C115" s="369" t="str">
        <f ca="1">IF($A115="*","",OFFSET(COM_2012!$B$60,AY115,0))</f>
        <v>CEGELCINC-E</v>
      </c>
      <c r="D115" s="369" t="str">
        <f t="shared" ca="1" si="54"/>
        <v>CEG</v>
      </c>
      <c r="E115" s="369" t="str">
        <f t="shared" ca="1" si="76"/>
        <v>-</v>
      </c>
      <c r="F115" s="370" t="str">
        <f t="shared" ca="1" si="73"/>
        <v>-</v>
      </c>
      <c r="G115" s="370" t="str">
        <f t="shared" ca="1" si="73"/>
        <v>ANNUAL</v>
      </c>
      <c r="H115" s="370" t="str">
        <f t="shared" ca="1" si="74"/>
        <v>LO</v>
      </c>
      <c r="I115" s="370">
        <f t="shared" ca="1" si="74"/>
        <v>0</v>
      </c>
      <c r="J115" s="494" t="str">
        <f>IF(J$7&lt;2020,"",IF(A115="*","",IFERROR(VLOOKUP($C115,COM_2012!$B$61:$AH$120,MATCH(VLOOKUP("*"&amp;$AX115,$A$10:$J$11,$J$9,FALSE)&amp;J$7,COM_2012!$B$58:$AH$58,0),FALSE),"")))</f>
        <v/>
      </c>
      <c r="K115" s="494" t="str">
        <f>IF(K$7&lt;2020,"",IF(B115="*","",IFERROR(VLOOKUP($C115,COM_2012!$B$61:$AH$120,MATCH(VLOOKUP("*"&amp;$AX115,$A$10:$J$11,$J$9,FALSE)&amp;K$7,COM_2012!$B$58:$AH$58,0),FALSE),"")))</f>
        <v/>
      </c>
      <c r="L115" s="494" t="str">
        <f>IF(L$7&lt;2020,"",IF(C115="*","",IFERROR(VLOOKUP($C115,COM_2012!$B$61:$AH$120,MATCH(VLOOKUP("*"&amp;$AX115,$A$10:$J$11,$J$9,FALSE)&amp;L$7,COM_2012!$B$58:$AH$58,0),FALSE),"")))</f>
        <v/>
      </c>
      <c r="M115" s="494" t="str">
        <f>IF(M$7&lt;2020,"",IF(D115="*","",IFERROR(VLOOKUP($C115,COM_2012!$B$61:$AH$120,MATCH(VLOOKUP("*"&amp;$AX115,$A$10:$J$11,$J$9,FALSE)&amp;M$7,COM_2012!$B$58:$AH$58,0),FALSE),"")))</f>
        <v/>
      </c>
      <c r="N115" s="494" t="str">
        <f ca="1">IFERROR(VLOOKUP($C115,COM_2012!$B$61:$AH$120,MATCH(VLOOKUP("*"&amp;$AX115,$A$10:$J$11,$J$9,FALSE)&amp;N$7,COM_2012!$B$58:$AH$58,0),FALSE),"")</f>
        <v/>
      </c>
      <c r="O115" s="494" t="str">
        <f>IF(O$7&lt;2020,"",IF($A115="*","",IFERROR(VLOOKUP($C115,' COM_2017_old'!$B$61:$AJ$120,MATCH(VLOOKUP("*"&amp;$AX115,$A$10:$J$11,$J$9,FALSE)&amp;O$7,' COM_2017_old'!$B$58:$AJ$58,0),FALSE),"")))</f>
        <v/>
      </c>
      <c r="P115" s="494" t="str">
        <f ca="1">IFERROR(VLOOKUP($C115,COM_2012!$B$61:$AH$120,MATCH(VLOOKUP("*"&amp;$AX115,$A$10:$J$11,$J$9,FALSE)&amp;P$7,COM_2012!$B$58:$AH$58,0),FALSE),"")</f>
        <v/>
      </c>
      <c r="Q115" s="494" t="str">
        <f ca="1">IFERROR(VLOOKUP($C115,COM_2012!$B$61:$AH$120,MATCH(VLOOKUP("*"&amp;$AX115,$A$10:$J$11,$J$9,FALSE)&amp;Q$7,COM_2012!$B$58:$AH$58,0),FALSE),"")</f>
        <v/>
      </c>
      <c r="R115" s="494">
        <f ca="1">IF($A115="*","",IFERROR(VLOOKUP($C115,' COM_2017_old'!$B$61:$AJ$120,MATCH(VLOOKUP("*"&amp;$AX115,$A$10:$J$11,$J$9,FALSE)&amp;R$7,' COM_2017_old'!$B$58:$AJ$58,0),FALSE),""))</f>
        <v>0.01</v>
      </c>
      <c r="S115" s="494">
        <f t="shared" ref="S115:S120" ca="1" si="90">IF($A115="*","",R115+($W115-$R115)/5)</f>
        <v>8.0000000000000002E-3</v>
      </c>
      <c r="T115" s="494">
        <f t="shared" ref="T115:V120" ca="1" si="91">IF($A115="*","",S115+($W115-$R115)/5)</f>
        <v>6.0000000000000001E-3</v>
      </c>
      <c r="U115" s="494">
        <f t="shared" ca="1" si="91"/>
        <v>4.0000000000000001E-3</v>
      </c>
      <c r="V115" s="494">
        <f t="shared" ca="1" si="91"/>
        <v>2E-3</v>
      </c>
      <c r="W115" s="494">
        <f ca="1">IF($A115="*","",IFERROR(VLOOKUP($C115,' COM_2017_old'!$B$61:$AJ$120,MATCH(VLOOKUP("*"&amp;$AX115,$A$10:$J$11,$J$9,FALSE)&amp;W$7,' COM_2017_old'!$B$58:$AJ$58,0),FALSE),""))</f>
        <v>0</v>
      </c>
      <c r="X115" s="494">
        <f t="shared" ref="X115:X120" ca="1" si="92">IF($A115="*","",W115+($AB115-$W115)/5)</f>
        <v>0</v>
      </c>
      <c r="Y115" s="494">
        <f t="shared" ref="Y115:AA120" ca="1" si="93">IF($A115="*","",X115+($AB115-$W115)/5)</f>
        <v>0</v>
      </c>
      <c r="Z115" s="494">
        <f t="shared" ca="1" si="93"/>
        <v>0</v>
      </c>
      <c r="AA115" s="494">
        <f t="shared" ca="1" si="93"/>
        <v>0</v>
      </c>
      <c r="AB115" s="494">
        <f ca="1">IF($A115="*","",IFERROR(VLOOKUP($C115,' COM_2017_old'!$B$61:$AJ$120,MATCH(VLOOKUP("*"&amp;$AX115,$A$10:$J$11,$J$9,FALSE)&amp;AB$7,' COM_2017_old'!$B$58:$AJ$58,0),FALSE),""))</f>
        <v>0</v>
      </c>
      <c r="AC115" s="494">
        <f t="shared" ref="AC115:AC120" ca="1" si="94">IF($A115="*","",AB115+($AG115-$AB115)/5)</f>
        <v>0</v>
      </c>
      <c r="AD115" s="494">
        <f t="shared" ref="AD115:AF120" ca="1" si="95">IF($A115="*","",AC115+($AG115-$AB115)/5)</f>
        <v>0</v>
      </c>
      <c r="AE115" s="494">
        <f t="shared" ca="1" si="95"/>
        <v>0</v>
      </c>
      <c r="AF115" s="494">
        <f t="shared" ca="1" si="95"/>
        <v>0</v>
      </c>
      <c r="AG115" s="494">
        <f ca="1">IF($A115="*","",IFERROR(VLOOKUP($C115,' COM_2017_old'!$B$61:$AJ$120,MATCH(VLOOKUP("*"&amp;$AX115,$A$10:$J$11,$J$9,FALSE)&amp;AG$7,' COM_2017_old'!$B$58:$AJ$58,0),FALSE),""))</f>
        <v>0</v>
      </c>
      <c r="AH115" s="494">
        <f t="shared" ref="AH115:AH120" ca="1" si="96">IF($A115="*","",AG115+($AL115-$AG115)/5)</f>
        <v>0</v>
      </c>
      <c r="AI115" s="494">
        <f t="shared" ref="AI115:AK120" ca="1" si="97">IF($A115="*","",AH115+($AL115-$AG115)/5)</f>
        <v>0</v>
      </c>
      <c r="AJ115" s="494">
        <f t="shared" ca="1" si="97"/>
        <v>0</v>
      </c>
      <c r="AK115" s="494">
        <f t="shared" ca="1" si="97"/>
        <v>0</v>
      </c>
      <c r="AL115" s="494">
        <f ca="1">IF($A115="*","",IFERROR(VLOOKUP($C115,' COM_2017_old'!$B$61:$AJ$120,MATCH(VLOOKUP("*"&amp;$AX115,$A$10:$J$11,$J$9,FALSE)&amp;AL$7,' COM_2017_old'!$B$58:$AJ$58,0),FALSE),""))</f>
        <v>0</v>
      </c>
      <c r="AM115" s="494">
        <f ca="1">IF($A115="*","",IFERROR(VLOOKUP($C115,' COM_2017_old'!$B$61:$AJ$120,MATCH(VLOOKUP("*"&amp;$AX115,$A$10:$J$11,$J$9,FALSE)&amp;AM$7,' COM_2017_old'!$B$58:$AJ$58,0),FALSE),""))</f>
        <v>0</v>
      </c>
      <c r="AN115" s="494">
        <f ca="1">IF($A115="*","",IFERROR(VLOOKUP($C115,' COM_2017_old'!$B$61:$AJ$120,MATCH(VLOOKUP("*"&amp;$AX115,$A$10:$J$11,$J$9,FALSE)&amp;AN$7,' COM_2017_old'!$B$58:$AJ$58,0),FALSE),""))</f>
        <v>0</v>
      </c>
      <c r="AO115" s="391" t="str">
        <f ca="1">IFERROR(VLOOKUP($C115,COM_2012!$B$61:$AH$120,MATCH(VLOOKUP("*"&amp;$AX115,$A$10:$J$11,$J$9,FALSE)&amp;AO$7,COM_2012!$B$58:$AH$58,0),FALSE),"")</f>
        <v/>
      </c>
      <c r="AP115" s="391" t="str">
        <f ca="1">IFERROR(VLOOKUP($C115,COM_2012!$B$61:$AH$120,MATCH(VLOOKUP("*"&amp;$AX115,$A$10:$J$11,$J$9,FALSE)&amp;AP$7,COM_2012!$B$58:$AH$58,0),FALSE),"")</f>
        <v/>
      </c>
      <c r="AQ115" s="391" t="str">
        <f ca="1">IFERROR(VLOOKUP($C115,COM_2012!$B$61:$AH$120,MATCH(VLOOKUP("*"&amp;$AX115,$A$10:$J$11,$J$9,FALSE)&amp;AQ$7,COM_2012!$B$58:$AH$58,0),FALSE),"")</f>
        <v/>
      </c>
      <c r="AR115" s="391" t="str">
        <f ca="1">IFERROR(VLOOKUP($C115,COM_2012!$B$61:$AH$120,MATCH(VLOOKUP("*"&amp;$AX115,$A$10:$J$11,$J$9,FALSE)&amp;AR$7,COM_2012!$B$58:$AH$58,0),FALSE),"")</f>
        <v/>
      </c>
      <c r="AS115" s="391" t="str">
        <f ca="1">IFERROR(VLOOKUP($C115,COM_2012!$B$61:$AH$120,MATCH(VLOOKUP("*"&amp;$AX115,$A$10:$J$11,$J$9,FALSE)&amp;AS$7,COM_2012!$B$58:$AH$58,0),FALSE),"")</f>
        <v/>
      </c>
      <c r="AT115" s="391" t="str">
        <f ca="1">IFERROR(VLOOKUP($C115,COM_2012!$B$61:$AH$120,MATCH(VLOOKUP("*"&amp;$AX115,$A$10:$J$11,$J$9,FALSE)&amp;AT$7,COM_2012!$B$58:$AH$58,0),FALSE),"")</f>
        <v/>
      </c>
      <c r="AU115" s="391" t="str">
        <f ca="1">IFERROR(VLOOKUP($C115,COM_2012!$B$61:$AH$120,MATCH(VLOOKUP("*"&amp;$AX115,$A$10:$J$11,$J$9,FALSE)&amp;AU$7,COM_2012!$B$58:$AH$58,0),FALSE),"")</f>
        <v/>
      </c>
      <c r="AV115" s="391" t="str">
        <f ca="1">IFERROR(VLOOKUP($C115,COM_2012!$B$61:$AH$120,MATCH(VLOOKUP("*"&amp;$AX115,$A$10:$J$11,$J$9,FALSE)&amp;AV$7,COM_2012!$B$58:$AH$58,0),FALSE),"")</f>
        <v/>
      </c>
      <c r="AW115" s="391" t="str">
        <f ca="1">IFERROR(VLOOKUP($C115,COM_2012!$B$61:$AH$120,MATCH(VLOOKUP("*"&amp;$AX115,$A$10:$J$11,$J$9,FALSE)&amp;AW$7,COM_2012!$B$58:$AH$58,0),FALSE),"")</f>
        <v/>
      </c>
      <c r="AX115" s="304">
        <f>IF(AY114=COM_2012!$AI$121,AX114+1,AX114)</f>
        <v>2</v>
      </c>
      <c r="AY115" s="304">
        <f t="shared" si="89"/>
        <v>42</v>
      </c>
    </row>
    <row r="116" spans="1:51">
      <c r="A116" s="304" t="str">
        <f ca="1">IF(LEFT(OFFSET(COM_2012!$A$60,AY116,0),2)="\I","*","")</f>
        <v/>
      </c>
      <c r="B116" s="369" t="str">
        <f t="shared" ca="1" si="72"/>
        <v>FLO_MRKPRD</v>
      </c>
      <c r="C116" s="369" t="str">
        <f ca="1">IF($A116="*","",OFFSET(COM_2012!$B$60,AY116,0))</f>
        <v>CEGELCHAL-E</v>
      </c>
      <c r="D116" s="369" t="str">
        <f t="shared" ca="1" si="54"/>
        <v>CEG</v>
      </c>
      <c r="E116" s="369" t="str">
        <f t="shared" ca="1" si="76"/>
        <v>-</v>
      </c>
      <c r="F116" s="370" t="str">
        <f t="shared" ca="1" si="73"/>
        <v>-</v>
      </c>
      <c r="G116" s="370" t="str">
        <f t="shared" ca="1" si="73"/>
        <v>ANNUAL</v>
      </c>
      <c r="H116" s="370" t="str">
        <f t="shared" ca="1" si="74"/>
        <v>LO</v>
      </c>
      <c r="I116" s="370">
        <f t="shared" ca="1" si="74"/>
        <v>0</v>
      </c>
      <c r="J116" s="494" t="str">
        <f>IF(J$7&lt;2020,"",IF(A116="*","",IFERROR(VLOOKUP($C116,COM_2012!$B$61:$AH$120,MATCH(VLOOKUP("*"&amp;$AX116,$A$10:$J$11,$J$9,FALSE)&amp;J$7,COM_2012!$B$58:$AH$58,0),FALSE),"")))</f>
        <v/>
      </c>
      <c r="K116" s="494" t="str">
        <f>IF(K$7&lt;2020,"",IF(B116="*","",IFERROR(VLOOKUP($C116,COM_2012!$B$61:$AH$120,MATCH(VLOOKUP("*"&amp;$AX116,$A$10:$J$11,$J$9,FALSE)&amp;K$7,COM_2012!$B$58:$AH$58,0),FALSE),"")))</f>
        <v/>
      </c>
      <c r="L116" s="494" t="str">
        <f>IF(L$7&lt;2020,"",IF(C116="*","",IFERROR(VLOOKUP($C116,COM_2012!$B$61:$AH$120,MATCH(VLOOKUP("*"&amp;$AX116,$A$10:$J$11,$J$9,FALSE)&amp;L$7,COM_2012!$B$58:$AH$58,0),FALSE),"")))</f>
        <v/>
      </c>
      <c r="M116" s="494" t="str">
        <f>IF(M$7&lt;2020,"",IF(D116="*","",IFERROR(VLOOKUP($C116,COM_2012!$B$61:$AH$120,MATCH(VLOOKUP("*"&amp;$AX116,$A$10:$J$11,$J$9,FALSE)&amp;M$7,COM_2012!$B$58:$AH$58,0),FALSE),"")))</f>
        <v/>
      </c>
      <c r="N116" s="494" t="str">
        <f ca="1">IFERROR(VLOOKUP($C116,COM_2012!$B$61:$AH$120,MATCH(VLOOKUP("*"&amp;$AX116,$A$10:$J$11,$J$9,FALSE)&amp;N$7,COM_2012!$B$58:$AH$58,0),FALSE),"")</f>
        <v/>
      </c>
      <c r="O116" s="494" t="str">
        <f>IF(O$7&lt;2020,"",IF($A116="*","",IFERROR(VLOOKUP($C116,' COM_2017_old'!$B$61:$AJ$120,MATCH(VLOOKUP("*"&amp;$AX116,$A$10:$J$11,$J$9,FALSE)&amp;O$7,' COM_2017_old'!$B$58:$AJ$58,0),FALSE),"")))</f>
        <v/>
      </c>
      <c r="P116" s="494" t="str">
        <f ca="1">IFERROR(VLOOKUP($C116,COM_2012!$B$61:$AH$120,MATCH(VLOOKUP("*"&amp;$AX116,$A$10:$J$11,$J$9,FALSE)&amp;P$7,COM_2012!$B$58:$AH$58,0),FALSE),"")</f>
        <v/>
      </c>
      <c r="Q116" s="494" t="str">
        <f ca="1">IFERROR(VLOOKUP($C116,COM_2012!$B$61:$AH$120,MATCH(VLOOKUP("*"&amp;$AX116,$A$10:$J$11,$J$9,FALSE)&amp;Q$7,COM_2012!$B$58:$AH$58,0),FALSE),"")</f>
        <v/>
      </c>
      <c r="R116" s="494">
        <f ca="1">IF($A116="*","",IFERROR(VLOOKUP($C116,' COM_2017_old'!$B$61:$AJ$120,MATCH(VLOOKUP("*"&amp;$AX116,$A$10:$J$11,$J$9,FALSE)&amp;R$7,' COM_2017_old'!$B$58:$AJ$58,0),FALSE),""))</f>
        <v>2.7904637020926115E-2</v>
      </c>
      <c r="S116" s="494">
        <f t="shared" ca="1" si="90"/>
        <v>2.7501889682479758E-2</v>
      </c>
      <c r="T116" s="494">
        <f t="shared" ca="1" si="91"/>
        <v>2.7099142344033402E-2</v>
      </c>
      <c r="U116" s="494">
        <f t="shared" ca="1" si="91"/>
        <v>2.6696395005587046E-2</v>
      </c>
      <c r="V116" s="494">
        <f t="shared" ca="1" si="91"/>
        <v>2.629364766714069E-2</v>
      </c>
      <c r="W116" s="494">
        <f ca="1">IF($A116="*","",IFERROR(VLOOKUP($C116,' COM_2017_old'!$B$61:$AJ$120,MATCH(VLOOKUP("*"&amp;$AX116,$A$10:$J$11,$J$9,FALSE)&amp;W$7,' COM_2017_old'!$B$58:$AJ$58,0),FALSE),""))</f>
        <v>2.5890900328694334E-2</v>
      </c>
      <c r="X116" s="494">
        <f t="shared" ca="1" si="92"/>
        <v>2.4740193647419029E-2</v>
      </c>
      <c r="Y116" s="494">
        <f t="shared" ca="1" si="93"/>
        <v>2.3589486966143724E-2</v>
      </c>
      <c r="Z116" s="494">
        <f t="shared" ca="1" si="93"/>
        <v>2.2438780284868419E-2</v>
      </c>
      <c r="AA116" s="494">
        <f t="shared" ca="1" si="93"/>
        <v>2.1288073603593114E-2</v>
      </c>
      <c r="AB116" s="494">
        <f ca="1">IF($A116="*","",IFERROR(VLOOKUP($C116,' COM_2017_old'!$B$61:$AJ$120,MATCH(VLOOKUP("*"&amp;$AX116,$A$10:$J$11,$J$9,FALSE)&amp;AB$7,' COM_2017_old'!$B$58:$AJ$58,0),FALSE),""))</f>
        <v>2.0137366922317816E-2</v>
      </c>
      <c r="AC116" s="494">
        <f t="shared" ca="1" si="94"/>
        <v>1.8698983570723686E-2</v>
      </c>
      <c r="AD116" s="494">
        <f t="shared" ca="1" si="95"/>
        <v>1.7260600219129556E-2</v>
      </c>
      <c r="AE116" s="494">
        <f t="shared" ca="1" si="95"/>
        <v>1.5822216867535425E-2</v>
      </c>
      <c r="AF116" s="494">
        <f t="shared" ca="1" si="95"/>
        <v>1.4383833515941295E-2</v>
      </c>
      <c r="AG116" s="494">
        <f ca="1">IF($A116="*","",IFERROR(VLOOKUP($C116,' COM_2017_old'!$B$61:$AJ$120,MATCH(VLOOKUP("*"&amp;$AX116,$A$10:$J$11,$J$9,FALSE)&amp;AG$7,' COM_2017_old'!$B$58:$AJ$58,0),FALSE),""))</f>
        <v>1.2945450164347167E-2</v>
      </c>
      <c r="AH116" s="494">
        <f t="shared" ca="1" si="96"/>
        <v>1.1219390142434211E-2</v>
      </c>
      <c r="AI116" s="494">
        <f t="shared" ca="1" si="97"/>
        <v>9.4933301205212556E-3</v>
      </c>
      <c r="AJ116" s="494">
        <f t="shared" ca="1" si="97"/>
        <v>7.7672700986083001E-3</v>
      </c>
      <c r="AK116" s="494">
        <f t="shared" ca="1" si="97"/>
        <v>6.0412100766953445E-3</v>
      </c>
      <c r="AL116" s="494">
        <f ca="1">IF($A116="*","",IFERROR(VLOOKUP($C116,' COM_2017_old'!$B$61:$AJ$120,MATCH(VLOOKUP("*"&amp;$AX116,$A$10:$J$11,$J$9,FALSE)&amp;AL$7,' COM_2017_old'!$B$58:$AJ$58,0),FALSE),""))</f>
        <v>4.3151500547823889E-3</v>
      </c>
      <c r="AM116" s="494">
        <f ca="1">IF($A116="*","",IFERROR(VLOOKUP($C116,' COM_2017_old'!$B$61:$AJ$120,MATCH(VLOOKUP("*"&amp;$AX116,$A$10:$J$11,$J$9,FALSE)&amp;AM$7,' COM_2017_old'!$B$58:$AJ$58,0),FALSE),""))</f>
        <v>1.4383833515941298E-3</v>
      </c>
      <c r="AN116" s="494">
        <f ca="1">IF($A116="*","",IFERROR(VLOOKUP($C116,' COM_2017_old'!$B$61:$AJ$120,MATCH(VLOOKUP("*"&amp;$AX116,$A$10:$J$11,$J$9,FALSE)&amp;AN$7,' COM_2017_old'!$B$58:$AJ$58,0),FALSE),""))</f>
        <v>0</v>
      </c>
      <c r="AO116" s="391" t="str">
        <f ca="1">IFERROR(VLOOKUP($C116,COM_2012!$B$61:$AH$120,MATCH(VLOOKUP("*"&amp;$AX116,$A$10:$J$11,$J$9,FALSE)&amp;AO$7,COM_2012!$B$58:$AH$58,0),FALSE),"")</f>
        <v/>
      </c>
      <c r="AP116" s="391" t="str">
        <f ca="1">IFERROR(VLOOKUP($C116,COM_2012!$B$61:$AH$120,MATCH(VLOOKUP("*"&amp;$AX116,$A$10:$J$11,$J$9,FALSE)&amp;AP$7,COM_2012!$B$58:$AH$58,0),FALSE),"")</f>
        <v/>
      </c>
      <c r="AQ116" s="391" t="str">
        <f ca="1">IFERROR(VLOOKUP($C116,COM_2012!$B$61:$AH$120,MATCH(VLOOKUP("*"&amp;$AX116,$A$10:$J$11,$J$9,FALSE)&amp;AQ$7,COM_2012!$B$58:$AH$58,0),FALSE),"")</f>
        <v/>
      </c>
      <c r="AR116" s="391" t="str">
        <f ca="1">IFERROR(VLOOKUP($C116,COM_2012!$B$61:$AH$120,MATCH(VLOOKUP("*"&amp;$AX116,$A$10:$J$11,$J$9,FALSE)&amp;AR$7,COM_2012!$B$58:$AH$58,0),FALSE),"")</f>
        <v/>
      </c>
      <c r="AS116" s="391" t="str">
        <f ca="1">IFERROR(VLOOKUP($C116,COM_2012!$B$61:$AH$120,MATCH(VLOOKUP("*"&amp;$AX116,$A$10:$J$11,$J$9,FALSE)&amp;AS$7,COM_2012!$B$58:$AH$58,0),FALSE),"")</f>
        <v/>
      </c>
      <c r="AT116" s="391" t="str">
        <f ca="1">IFERROR(VLOOKUP($C116,COM_2012!$B$61:$AH$120,MATCH(VLOOKUP("*"&amp;$AX116,$A$10:$J$11,$J$9,FALSE)&amp;AT$7,COM_2012!$B$58:$AH$58,0),FALSE),"")</f>
        <v/>
      </c>
      <c r="AU116" s="391" t="str">
        <f ca="1">IFERROR(VLOOKUP($C116,COM_2012!$B$61:$AH$120,MATCH(VLOOKUP("*"&amp;$AX116,$A$10:$J$11,$J$9,FALSE)&amp;AU$7,COM_2012!$B$58:$AH$58,0),FALSE),"")</f>
        <v/>
      </c>
      <c r="AV116" s="391" t="str">
        <f ca="1">IFERROR(VLOOKUP($C116,COM_2012!$B$61:$AH$120,MATCH(VLOOKUP("*"&amp;$AX116,$A$10:$J$11,$J$9,FALSE)&amp;AV$7,COM_2012!$B$58:$AH$58,0),FALSE),"")</f>
        <v/>
      </c>
      <c r="AW116" s="391" t="str">
        <f ca="1">IFERROR(VLOOKUP($C116,COM_2012!$B$61:$AH$120,MATCH(VLOOKUP("*"&amp;$AX116,$A$10:$J$11,$J$9,FALSE)&amp;AW$7,COM_2012!$B$58:$AH$58,0),FALSE),"")</f>
        <v/>
      </c>
      <c r="AX116" s="304">
        <f>IF(AY115=COM_2012!$AI$121,AX115+1,AX115)</f>
        <v>2</v>
      </c>
      <c r="AY116" s="304">
        <f t="shared" si="89"/>
        <v>43</v>
      </c>
    </row>
    <row r="117" spans="1:51">
      <c r="A117" s="304" t="str">
        <f ca="1">IF(LEFT(OFFSET(COM_2012!$A$60,AY117,0),2)="\I","*","")</f>
        <v/>
      </c>
      <c r="B117" s="369" t="str">
        <f t="shared" ref="B117:B119" ca="1" si="98">IF(A117="*","",VLOOKUP("*"&amp;AX117,$A$9:$B$11,2,FALSE))</f>
        <v>FLO_MRKPRD</v>
      </c>
      <c r="C117" s="369" t="str">
        <f ca="1">IF($A117="*","",OFFSET(COM_2012!$B$60,AY117,0))</f>
        <v>CEGELCHPM-E</v>
      </c>
      <c r="D117" s="369" t="str">
        <f t="shared" ref="D117:D119" ca="1" si="99">IF($A117="*","",LEFT(C117,3))</f>
        <v>CEG</v>
      </c>
      <c r="E117" s="369" t="str">
        <f t="shared" ca="1" si="76"/>
        <v>-</v>
      </c>
      <c r="F117" s="370" t="str">
        <f t="shared" ca="1" si="73"/>
        <v>-</v>
      </c>
      <c r="G117" s="370" t="str">
        <f t="shared" ca="1" si="73"/>
        <v>ANNUAL</v>
      </c>
      <c r="H117" s="370" t="str">
        <f t="shared" ca="1" si="74"/>
        <v>LO</v>
      </c>
      <c r="I117" s="370">
        <f t="shared" ca="1" si="74"/>
        <v>0</v>
      </c>
      <c r="J117" s="494" t="str">
        <f>IF(J$7&lt;2020,"",IF(A117="*","",IFERROR(VLOOKUP($C117,COM_2012!$B$61:$AH$120,MATCH(VLOOKUP("*"&amp;$AX117,$A$10:$J$11,$J$9,FALSE)&amp;J$7,COM_2012!$B$58:$AH$58,0),FALSE),"")))</f>
        <v/>
      </c>
      <c r="K117" s="494" t="str">
        <f>IF(K$7&lt;2020,"",IF(B117="*","",IFERROR(VLOOKUP($C117,COM_2012!$B$61:$AH$120,MATCH(VLOOKUP("*"&amp;$AX117,$A$10:$J$11,$J$9,FALSE)&amp;K$7,COM_2012!$B$58:$AH$58,0),FALSE),"")))</f>
        <v/>
      </c>
      <c r="L117" s="494" t="str">
        <f>IF(L$7&lt;2020,"",IF(C117="*","",IFERROR(VLOOKUP($C117,COM_2012!$B$61:$AH$120,MATCH(VLOOKUP("*"&amp;$AX117,$A$10:$J$11,$J$9,FALSE)&amp;L$7,COM_2012!$B$58:$AH$58,0),FALSE),"")))</f>
        <v/>
      </c>
      <c r="M117" s="494" t="str">
        <f>IF(M$7&lt;2020,"",IF(D117="*","",IFERROR(VLOOKUP($C117,COM_2012!$B$61:$AH$120,MATCH(VLOOKUP("*"&amp;$AX117,$A$10:$J$11,$J$9,FALSE)&amp;M$7,COM_2012!$B$58:$AH$58,0),FALSE),"")))</f>
        <v/>
      </c>
      <c r="N117" s="494" t="str">
        <f ca="1">IFERROR(VLOOKUP($C117,COM_2012!$B$61:$AH$120,MATCH(VLOOKUP("*"&amp;$AX117,$A$10:$J$11,$J$9,FALSE)&amp;N$7,COM_2012!$B$58:$AH$58,0),FALSE),"")</f>
        <v/>
      </c>
      <c r="O117" s="494" t="str">
        <f>IF(O$7&lt;2020,"",IF($A117="*","",IFERROR(VLOOKUP($C117,' COM_2017_old'!$B$61:$AJ$120,MATCH(VLOOKUP("*"&amp;$AX117,$A$10:$J$11,$J$9,FALSE)&amp;O$7,' COM_2017_old'!$B$58:$AJ$58,0),FALSE),"")))</f>
        <v/>
      </c>
      <c r="P117" s="494" t="str">
        <f ca="1">IFERROR(VLOOKUP($C117,COM_2012!$B$61:$AH$120,MATCH(VLOOKUP("*"&amp;$AX117,$A$10:$J$11,$J$9,FALSE)&amp;P$7,COM_2012!$B$58:$AH$58,0),FALSE),"")</f>
        <v/>
      </c>
      <c r="Q117" s="494" t="str">
        <f ca="1">IFERROR(VLOOKUP($C117,COM_2012!$B$61:$AH$120,MATCH(VLOOKUP("*"&amp;$AX117,$A$10:$J$11,$J$9,FALSE)&amp;Q$7,COM_2012!$B$58:$AH$58,0),FALSE),"")</f>
        <v/>
      </c>
      <c r="R117" s="494">
        <f ca="1">IF($A117="*","",IFERROR(VLOOKUP($C117,' COM_2017_old'!$B$61:$AJ$120,MATCH(VLOOKUP("*"&amp;$AX117,$A$10:$J$11,$J$9,FALSE)&amp;R$7,' COM_2017_old'!$B$58:$AJ$58,0),FALSE),""))</f>
        <v>0.42344948655529613</v>
      </c>
      <c r="S117" s="494">
        <f t="shared" ca="1" si="90"/>
        <v>0.41733784448130218</v>
      </c>
      <c r="T117" s="494">
        <f t="shared" ca="1" si="91"/>
        <v>0.41122620240730823</v>
      </c>
      <c r="U117" s="494">
        <f t="shared" ca="1" si="91"/>
        <v>0.40511456033331428</v>
      </c>
      <c r="V117" s="494">
        <f t="shared" ca="1" si="91"/>
        <v>0.39900291825932033</v>
      </c>
      <c r="W117" s="494">
        <f ca="1">IF($A117="*","",IFERROR(VLOOKUP($C117,' COM_2017_old'!$B$61:$AJ$120,MATCH(VLOOKUP("*"&amp;$AX117,$A$10:$J$11,$J$9,FALSE)&amp;W$7,' COM_2017_old'!$B$58:$AJ$58,0),FALSE),""))</f>
        <v>0.39289127618532632</v>
      </c>
      <c r="X117" s="494">
        <f t="shared" ca="1" si="92"/>
        <v>0.37542944168820069</v>
      </c>
      <c r="Y117" s="494">
        <f t="shared" ca="1" si="93"/>
        <v>0.35796760719107507</v>
      </c>
      <c r="Z117" s="494">
        <f t="shared" ca="1" si="93"/>
        <v>0.34050577269394944</v>
      </c>
      <c r="AA117" s="494">
        <f t="shared" ca="1" si="93"/>
        <v>0.32304393819682381</v>
      </c>
      <c r="AB117" s="494">
        <f ca="1">IF($A117="*","",IFERROR(VLOOKUP($C117,' COM_2017_old'!$B$61:$AJ$120,MATCH(VLOOKUP("*"&amp;$AX117,$A$10:$J$11,$J$9,FALSE)&amp;AB$7,' COM_2017_old'!$B$58:$AJ$58,0),FALSE),""))</f>
        <v>0.30558210369969824</v>
      </c>
      <c r="AC117" s="494">
        <f t="shared" ca="1" si="94"/>
        <v>0.28375481057829122</v>
      </c>
      <c r="AD117" s="494">
        <f t="shared" ca="1" si="95"/>
        <v>0.2619275174568842</v>
      </c>
      <c r="AE117" s="494">
        <f t="shared" ca="1" si="95"/>
        <v>0.24010022433547717</v>
      </c>
      <c r="AF117" s="494">
        <f t="shared" ca="1" si="95"/>
        <v>0.21827293121407015</v>
      </c>
      <c r="AG117" s="494">
        <f ca="1">IF($A117="*","",IFERROR(VLOOKUP($C117,' COM_2017_old'!$B$61:$AJ$120,MATCH(VLOOKUP("*"&amp;$AX117,$A$10:$J$11,$J$9,FALSE)&amp;AG$7,' COM_2017_old'!$B$58:$AJ$58,0),FALSE),""))</f>
        <v>0.19644563809266316</v>
      </c>
      <c r="AH117" s="494">
        <f t="shared" ca="1" si="96"/>
        <v>0.17025288634697475</v>
      </c>
      <c r="AI117" s="494">
        <f t="shared" ca="1" si="97"/>
        <v>0.14406013460128633</v>
      </c>
      <c r="AJ117" s="494">
        <f t="shared" ca="1" si="97"/>
        <v>0.1178673828555979</v>
      </c>
      <c r="AK117" s="494">
        <f t="shared" ca="1" si="97"/>
        <v>9.1674631109909477E-2</v>
      </c>
      <c r="AL117" s="494">
        <f ca="1">IF($A117="*","",IFERROR(VLOOKUP($C117,' COM_2017_old'!$B$61:$AJ$120,MATCH(VLOOKUP("*"&amp;$AX117,$A$10:$J$11,$J$9,FALSE)&amp;AL$7,' COM_2017_old'!$B$58:$AJ$58,0),FALSE),""))</f>
        <v>6.5481879364221049E-2</v>
      </c>
      <c r="AM117" s="494">
        <f ca="1">IF($A117="*","",IFERROR(VLOOKUP($C117,' COM_2017_old'!$B$61:$AJ$120,MATCH(VLOOKUP("*"&amp;$AX117,$A$10:$J$11,$J$9,FALSE)&amp;AM$7,' COM_2017_old'!$B$58:$AJ$58,0),FALSE),""))</f>
        <v>2.1827293121407021E-2</v>
      </c>
      <c r="AN117" s="494">
        <f ca="1">IF($A117="*","",IFERROR(VLOOKUP($C117,' COM_2017_old'!$B$61:$AJ$120,MATCH(VLOOKUP("*"&amp;$AX117,$A$10:$J$11,$J$9,FALSE)&amp;AN$7,' COM_2017_old'!$B$58:$AJ$58,0),FALSE),""))</f>
        <v>0</v>
      </c>
      <c r="AO117" s="391" t="str">
        <f ca="1">IFERROR(VLOOKUP($C117,COM_2012!$B$61:$AH$120,MATCH(VLOOKUP("*"&amp;$AX117,$A$10:$J$11,$J$9,FALSE)&amp;AO$7,COM_2012!$B$58:$AH$58,0),FALSE),"")</f>
        <v/>
      </c>
      <c r="AP117" s="391" t="str">
        <f ca="1">IFERROR(VLOOKUP($C117,COM_2012!$B$61:$AH$120,MATCH(VLOOKUP("*"&amp;$AX117,$A$10:$J$11,$J$9,FALSE)&amp;AP$7,COM_2012!$B$58:$AH$58,0),FALSE),"")</f>
        <v/>
      </c>
      <c r="AQ117" s="391" t="str">
        <f ca="1">IFERROR(VLOOKUP($C117,COM_2012!$B$61:$AH$120,MATCH(VLOOKUP("*"&amp;$AX117,$A$10:$J$11,$J$9,FALSE)&amp;AQ$7,COM_2012!$B$58:$AH$58,0),FALSE),"")</f>
        <v/>
      </c>
      <c r="AR117" s="391" t="str">
        <f ca="1">IFERROR(VLOOKUP($C117,COM_2012!$B$61:$AH$120,MATCH(VLOOKUP("*"&amp;$AX117,$A$10:$J$11,$J$9,FALSE)&amp;AR$7,COM_2012!$B$58:$AH$58,0),FALSE),"")</f>
        <v/>
      </c>
      <c r="AS117" s="391" t="str">
        <f ca="1">IFERROR(VLOOKUP($C117,COM_2012!$B$61:$AH$120,MATCH(VLOOKUP("*"&amp;$AX117,$A$10:$J$11,$J$9,FALSE)&amp;AS$7,COM_2012!$B$58:$AH$58,0),FALSE),"")</f>
        <v/>
      </c>
      <c r="AT117" s="391" t="str">
        <f ca="1">IFERROR(VLOOKUP($C117,COM_2012!$B$61:$AH$120,MATCH(VLOOKUP("*"&amp;$AX117,$A$10:$J$11,$J$9,FALSE)&amp;AT$7,COM_2012!$B$58:$AH$58,0),FALSE),"")</f>
        <v/>
      </c>
      <c r="AU117" s="391" t="str">
        <f ca="1">IFERROR(VLOOKUP($C117,COM_2012!$B$61:$AH$120,MATCH(VLOOKUP("*"&amp;$AX117,$A$10:$J$11,$J$9,FALSE)&amp;AU$7,COM_2012!$B$58:$AH$58,0),FALSE),"")</f>
        <v/>
      </c>
      <c r="AV117" s="391" t="str">
        <f ca="1">IFERROR(VLOOKUP($C117,COM_2012!$B$61:$AH$120,MATCH(VLOOKUP("*"&amp;$AX117,$A$10:$J$11,$J$9,FALSE)&amp;AV$7,COM_2012!$B$58:$AH$58,0),FALSE),"")</f>
        <v/>
      </c>
      <c r="AW117" s="391" t="str">
        <f ca="1">IFERROR(VLOOKUP($C117,COM_2012!$B$61:$AH$120,MATCH(VLOOKUP("*"&amp;$AX117,$A$10:$J$11,$J$9,FALSE)&amp;AW$7,COM_2012!$B$58:$AH$58,0),FALSE),"")</f>
        <v/>
      </c>
      <c r="AX117" s="304">
        <f>IF(AY116=COM_2012!$AI$121,AX116+1,AX116)</f>
        <v>2</v>
      </c>
      <c r="AY117" s="304">
        <f t="shared" ref="AY117:AY124" si="100">IF(AX117=AX116,AY116+1,1)</f>
        <v>44</v>
      </c>
    </row>
    <row r="118" spans="1:51">
      <c r="A118" s="304" t="str">
        <f ca="1">IF(LEFT(OFFSET(COM_2012!$A$60,AY118,0),2)="\I","*","")</f>
        <v/>
      </c>
      <c r="B118" s="369" t="str">
        <f t="shared" ca="1" si="98"/>
        <v>FLO_MRKPRD</v>
      </c>
      <c r="C118" s="369" t="str">
        <f ca="1">IF($A118="*","",OFFSET(COM_2012!$B$60,AY118,0))</f>
        <v>CEGELCHPS-E</v>
      </c>
      <c r="D118" s="369" t="str">
        <f t="shared" ca="1" si="99"/>
        <v>CEG</v>
      </c>
      <c r="E118" s="369" t="str">
        <f t="shared" ref="E118:F133" ca="1" si="101">IF($A118="*","",VLOOKUP($B118,$B$10:$I$11,E$9,FALSE))</f>
        <v>-</v>
      </c>
      <c r="F118" s="370" t="str">
        <f t="shared" ca="1" si="73"/>
        <v>-</v>
      </c>
      <c r="G118" s="370" t="str">
        <f t="shared" ca="1" si="73"/>
        <v>ANNUAL</v>
      </c>
      <c r="H118" s="370" t="str">
        <f t="shared" ref="H118:I133" ca="1" si="102">IF($A118="*","",VLOOKUP("*"&amp;$AX118,$A$10:$I$11,H$9,FALSE))</f>
        <v>LO</v>
      </c>
      <c r="I118" s="370">
        <f t="shared" ca="1" si="102"/>
        <v>0</v>
      </c>
      <c r="J118" s="494" t="str">
        <f>IF(J$7&lt;2020,"",IF(A118="*","",IFERROR(VLOOKUP($C118,COM_2012!$B$61:$AH$120,MATCH(VLOOKUP("*"&amp;$AX118,$A$10:$J$11,$J$9,FALSE)&amp;J$7,COM_2012!$B$58:$AH$58,0),FALSE),"")))</f>
        <v/>
      </c>
      <c r="K118" s="494" t="str">
        <f>IF(K$7&lt;2020,"",IF(B118="*","",IFERROR(VLOOKUP($C118,COM_2012!$B$61:$AH$120,MATCH(VLOOKUP("*"&amp;$AX118,$A$10:$J$11,$J$9,FALSE)&amp;K$7,COM_2012!$B$58:$AH$58,0),FALSE),"")))</f>
        <v/>
      </c>
      <c r="L118" s="494" t="str">
        <f>IF(L$7&lt;2020,"",IF(C118="*","",IFERROR(VLOOKUP($C118,COM_2012!$B$61:$AH$120,MATCH(VLOOKUP("*"&amp;$AX118,$A$10:$J$11,$J$9,FALSE)&amp;L$7,COM_2012!$B$58:$AH$58,0),FALSE),"")))</f>
        <v/>
      </c>
      <c r="M118" s="494" t="str">
        <f>IF(M$7&lt;2020,"",IF(D118="*","",IFERROR(VLOOKUP($C118,COM_2012!$B$61:$AH$120,MATCH(VLOOKUP("*"&amp;$AX118,$A$10:$J$11,$J$9,FALSE)&amp;M$7,COM_2012!$B$58:$AH$58,0),FALSE),"")))</f>
        <v/>
      </c>
      <c r="N118" s="494" t="str">
        <f ca="1">IFERROR(VLOOKUP($C118,COM_2012!$B$61:$AH$120,MATCH(VLOOKUP("*"&amp;$AX118,$A$10:$J$11,$J$9,FALSE)&amp;N$7,COM_2012!$B$58:$AH$58,0),FALSE),"")</f>
        <v/>
      </c>
      <c r="O118" s="494" t="str">
        <f>IF(O$7&lt;2020,"",IF($A118="*","",IFERROR(VLOOKUP($C118,' COM_2017_old'!$B$61:$AJ$120,MATCH(VLOOKUP("*"&amp;$AX118,$A$10:$J$11,$J$9,FALSE)&amp;O$7,' COM_2017_old'!$B$58:$AJ$58,0),FALSE),"")))</f>
        <v/>
      </c>
      <c r="P118" s="494" t="str">
        <f ca="1">IFERROR(VLOOKUP($C118,COM_2012!$B$61:$AH$120,MATCH(VLOOKUP("*"&amp;$AX118,$A$10:$J$11,$J$9,FALSE)&amp;P$7,COM_2012!$B$58:$AH$58,0),FALSE),"")</f>
        <v/>
      </c>
      <c r="Q118" s="494" t="str">
        <f ca="1">IFERROR(VLOOKUP($C118,COM_2012!$B$61:$AH$120,MATCH(VLOOKUP("*"&amp;$AX118,$A$10:$J$11,$J$9,FALSE)&amp;Q$7,COM_2012!$B$58:$AH$58,0),FALSE),"")</f>
        <v/>
      </c>
      <c r="R118" s="494">
        <f ca="1">IF($A118="*","",IFERROR(VLOOKUP($C118,' COM_2017_old'!$B$61:$AJ$120,MATCH(VLOOKUP("*"&amp;$AX118,$A$10:$J$11,$J$9,FALSE)&amp;R$7,' COM_2017_old'!$B$58:$AJ$58,0),FALSE),""))</f>
        <v>0.48212703077491093</v>
      </c>
      <c r="S118" s="494">
        <f t="shared" ca="1" si="90"/>
        <v>0.47516849631011843</v>
      </c>
      <c r="T118" s="494">
        <f t="shared" ca="1" si="91"/>
        <v>0.46820996184532593</v>
      </c>
      <c r="U118" s="494">
        <f t="shared" ca="1" si="91"/>
        <v>0.46125142738053343</v>
      </c>
      <c r="V118" s="494">
        <f t="shared" ca="1" si="91"/>
        <v>0.45429289291574093</v>
      </c>
      <c r="W118" s="494">
        <f ca="1">IF($A118="*","",IFERROR(VLOOKUP($C118,' COM_2017_old'!$B$61:$AJ$120,MATCH(VLOOKUP("*"&amp;$AX118,$A$10:$J$11,$J$9,FALSE)&amp;W$7,' COM_2017_old'!$B$58:$AJ$58,0),FALSE),""))</f>
        <v>0.44733435845094832</v>
      </c>
      <c r="X118" s="494">
        <f t="shared" ca="1" si="92"/>
        <v>0.42745283140868395</v>
      </c>
      <c r="Y118" s="494">
        <f t="shared" ca="1" si="93"/>
        <v>0.40757130436641958</v>
      </c>
      <c r="Z118" s="494">
        <f t="shared" ca="1" si="93"/>
        <v>0.38768977732415522</v>
      </c>
      <c r="AA118" s="494">
        <f t="shared" ca="1" si="93"/>
        <v>0.36780825028189085</v>
      </c>
      <c r="AB118" s="494">
        <f ca="1">IF($A118="*","",IFERROR(VLOOKUP($C118,' COM_2017_old'!$B$61:$AJ$120,MATCH(VLOOKUP("*"&amp;$AX118,$A$10:$J$11,$J$9,FALSE)&amp;AB$7,' COM_2017_old'!$B$58:$AJ$58,0),FALSE),""))</f>
        <v>0.34792672323962642</v>
      </c>
      <c r="AC118" s="494">
        <f t="shared" ca="1" si="94"/>
        <v>0.32307481443679598</v>
      </c>
      <c r="AD118" s="494">
        <f t="shared" ca="1" si="95"/>
        <v>0.29822290563396553</v>
      </c>
      <c r="AE118" s="494">
        <f t="shared" ca="1" si="95"/>
        <v>0.27337099683113508</v>
      </c>
      <c r="AF118" s="494">
        <f t="shared" ca="1" si="95"/>
        <v>0.24851908802830464</v>
      </c>
      <c r="AG118" s="494">
        <f ca="1">IF($A118="*","",IFERROR(VLOOKUP($C118,' COM_2017_old'!$B$61:$AJ$120,MATCH(VLOOKUP("*"&amp;$AX118,$A$10:$J$11,$J$9,FALSE)&amp;AG$7,' COM_2017_old'!$B$58:$AJ$58,0),FALSE),""))</f>
        <v>0.22366717922547416</v>
      </c>
      <c r="AH118" s="494">
        <f t="shared" ca="1" si="96"/>
        <v>0.19384488866207761</v>
      </c>
      <c r="AI118" s="494">
        <f t="shared" ca="1" si="97"/>
        <v>0.16402259809868106</v>
      </c>
      <c r="AJ118" s="494">
        <f t="shared" ca="1" si="97"/>
        <v>0.1342003075352845</v>
      </c>
      <c r="AK118" s="494">
        <f t="shared" ca="1" si="97"/>
        <v>0.10437801697188795</v>
      </c>
      <c r="AL118" s="494">
        <f ca="1">IF($A118="*","",IFERROR(VLOOKUP($C118,' COM_2017_old'!$B$61:$AJ$120,MATCH(VLOOKUP("*"&amp;$AX118,$A$10:$J$11,$J$9,FALSE)&amp;AL$7,' COM_2017_old'!$B$58:$AJ$58,0),FALSE),""))</f>
        <v>7.4555726408491382E-2</v>
      </c>
      <c r="AM118" s="494">
        <f ca="1">IF($A118="*","",IFERROR(VLOOKUP($C118,' COM_2017_old'!$B$61:$AJ$120,MATCH(VLOOKUP("*"&amp;$AX118,$A$10:$J$11,$J$9,FALSE)&amp;AM$7,' COM_2017_old'!$B$58:$AJ$58,0),FALSE),""))</f>
        <v>2.4851908802830461E-2</v>
      </c>
      <c r="AN118" s="494">
        <f ca="1">IF($A118="*","",IFERROR(VLOOKUP($C118,' COM_2017_old'!$B$61:$AJ$120,MATCH(VLOOKUP("*"&amp;$AX118,$A$10:$J$11,$J$9,FALSE)&amp;AN$7,' COM_2017_old'!$B$58:$AJ$58,0),FALSE),""))</f>
        <v>0</v>
      </c>
      <c r="AO118" s="391" t="str">
        <f ca="1">IFERROR(VLOOKUP($C118,COM_2012!$B$61:$AH$120,MATCH(VLOOKUP("*"&amp;$AX118,$A$10:$J$11,$J$9,FALSE)&amp;AO$7,COM_2012!$B$58:$AH$58,0),FALSE),"")</f>
        <v/>
      </c>
      <c r="AP118" s="391" t="str">
        <f ca="1">IFERROR(VLOOKUP($C118,COM_2012!$B$61:$AH$120,MATCH(VLOOKUP("*"&amp;$AX118,$A$10:$J$11,$J$9,FALSE)&amp;AP$7,COM_2012!$B$58:$AH$58,0),FALSE),"")</f>
        <v/>
      </c>
      <c r="AQ118" s="391" t="str">
        <f ca="1">IFERROR(VLOOKUP($C118,COM_2012!$B$61:$AH$120,MATCH(VLOOKUP("*"&amp;$AX118,$A$10:$J$11,$J$9,FALSE)&amp;AQ$7,COM_2012!$B$58:$AH$58,0),FALSE),"")</f>
        <v/>
      </c>
      <c r="AR118" s="391" t="str">
        <f ca="1">IFERROR(VLOOKUP($C118,COM_2012!$B$61:$AH$120,MATCH(VLOOKUP("*"&amp;$AX118,$A$10:$J$11,$J$9,FALSE)&amp;AR$7,COM_2012!$B$58:$AH$58,0),FALSE),"")</f>
        <v/>
      </c>
      <c r="AS118" s="391" t="str">
        <f ca="1">IFERROR(VLOOKUP($C118,COM_2012!$B$61:$AH$120,MATCH(VLOOKUP("*"&amp;$AX118,$A$10:$J$11,$J$9,FALSE)&amp;AS$7,COM_2012!$B$58:$AH$58,0),FALSE),"")</f>
        <v/>
      </c>
      <c r="AT118" s="391" t="str">
        <f ca="1">IFERROR(VLOOKUP($C118,COM_2012!$B$61:$AH$120,MATCH(VLOOKUP("*"&amp;$AX118,$A$10:$J$11,$J$9,FALSE)&amp;AT$7,COM_2012!$B$58:$AH$58,0),FALSE),"")</f>
        <v/>
      </c>
      <c r="AU118" s="391" t="str">
        <f ca="1">IFERROR(VLOOKUP($C118,COM_2012!$B$61:$AH$120,MATCH(VLOOKUP("*"&amp;$AX118,$A$10:$J$11,$J$9,FALSE)&amp;AU$7,COM_2012!$B$58:$AH$58,0),FALSE),"")</f>
        <v/>
      </c>
      <c r="AV118" s="391" t="str">
        <f ca="1">IFERROR(VLOOKUP($C118,COM_2012!$B$61:$AH$120,MATCH(VLOOKUP("*"&amp;$AX118,$A$10:$J$11,$J$9,FALSE)&amp;AV$7,COM_2012!$B$58:$AH$58,0),FALSE),"")</f>
        <v/>
      </c>
      <c r="AW118" s="391" t="str">
        <f ca="1">IFERROR(VLOOKUP($C118,COM_2012!$B$61:$AH$120,MATCH(VLOOKUP("*"&amp;$AX118,$A$10:$J$11,$J$9,FALSE)&amp;AW$7,COM_2012!$B$58:$AH$58,0),FALSE),"")</f>
        <v/>
      </c>
      <c r="AX118" s="304">
        <f>IF(AY117=COM_2012!$AI$121,AX117+1,AX117)</f>
        <v>2</v>
      </c>
      <c r="AY118" s="304">
        <f t="shared" si="100"/>
        <v>45</v>
      </c>
    </row>
    <row r="119" spans="1:51">
      <c r="A119" s="304" t="str">
        <f ca="1">IF(LEFT(OFFSET(COM_2012!$A$60,AY119,0),2)="\I","*","")</f>
        <v/>
      </c>
      <c r="B119" s="369" t="str">
        <f t="shared" ca="1" si="98"/>
        <v>FLO_MRKPRD</v>
      </c>
      <c r="C119" s="369" t="str">
        <f ca="1">IF($A119="*","",OFFSET(COM_2012!$B$60,AY119,0))</f>
        <v>CEGELCMHL-E</v>
      </c>
      <c r="D119" s="369" t="str">
        <f t="shared" ca="1" si="99"/>
        <v>CEG</v>
      </c>
      <c r="E119" s="369" t="str">
        <f t="shared" ca="1" si="101"/>
        <v>-</v>
      </c>
      <c r="F119" s="370" t="str">
        <f t="shared" ca="1" si="73"/>
        <v>-</v>
      </c>
      <c r="G119" s="370" t="str">
        <f t="shared" ca="1" si="73"/>
        <v>ANNUAL</v>
      </c>
      <c r="H119" s="370" t="str">
        <f t="shared" ca="1" si="102"/>
        <v>LO</v>
      </c>
      <c r="I119" s="370">
        <f t="shared" ca="1" si="102"/>
        <v>0</v>
      </c>
      <c r="J119" s="494" t="str">
        <f>IF(J$7&lt;2020,"",IF(A119="*","",IFERROR(VLOOKUP($C119,COM_2012!$B$61:$AH$120,MATCH(VLOOKUP("*"&amp;$AX119,$A$10:$J$11,$J$9,FALSE)&amp;J$7,COM_2012!$B$58:$AH$58,0),FALSE),"")))</f>
        <v/>
      </c>
      <c r="K119" s="494" t="str">
        <f>IF(K$7&lt;2020,"",IF(B119="*","",IFERROR(VLOOKUP($C119,COM_2012!$B$61:$AH$120,MATCH(VLOOKUP("*"&amp;$AX119,$A$10:$J$11,$J$9,FALSE)&amp;K$7,COM_2012!$B$58:$AH$58,0),FALSE),"")))</f>
        <v/>
      </c>
      <c r="L119" s="494" t="str">
        <f>IF(L$7&lt;2020,"",IF(C119="*","",IFERROR(VLOOKUP($C119,COM_2012!$B$61:$AH$120,MATCH(VLOOKUP("*"&amp;$AX119,$A$10:$J$11,$J$9,FALSE)&amp;L$7,COM_2012!$B$58:$AH$58,0),FALSE),"")))</f>
        <v/>
      </c>
      <c r="M119" s="494" t="str">
        <f>IF(M$7&lt;2020,"",IF(D119="*","",IFERROR(VLOOKUP($C119,COM_2012!$B$61:$AH$120,MATCH(VLOOKUP("*"&amp;$AX119,$A$10:$J$11,$J$9,FALSE)&amp;M$7,COM_2012!$B$58:$AH$58,0),FALSE),"")))</f>
        <v/>
      </c>
      <c r="N119" s="494" t="str">
        <f ca="1">IFERROR(VLOOKUP($C119,COM_2012!$B$61:$AH$120,MATCH(VLOOKUP("*"&amp;$AX119,$A$10:$J$11,$J$9,FALSE)&amp;N$7,COM_2012!$B$58:$AH$58,0),FALSE),"")</f>
        <v/>
      </c>
      <c r="O119" s="494" t="str">
        <f>IF(O$7&lt;2020,"",IF($A119="*","",IFERROR(VLOOKUP($C119,' COM_2017_old'!$B$61:$AJ$120,MATCH(VLOOKUP("*"&amp;$AX119,$A$10:$J$11,$J$9,FALSE)&amp;O$7,' COM_2017_old'!$B$58:$AJ$58,0),FALSE),"")))</f>
        <v/>
      </c>
      <c r="P119" s="494" t="str">
        <f ca="1">IFERROR(VLOOKUP($C119,COM_2012!$B$61:$AH$120,MATCH(VLOOKUP("*"&amp;$AX119,$A$10:$J$11,$J$9,FALSE)&amp;P$7,COM_2012!$B$58:$AH$58,0),FALSE),"")</f>
        <v/>
      </c>
      <c r="Q119" s="494" t="str">
        <f ca="1">IFERROR(VLOOKUP($C119,COM_2012!$B$61:$AH$120,MATCH(VLOOKUP("*"&amp;$AX119,$A$10:$J$11,$J$9,FALSE)&amp;Q$7,COM_2012!$B$58:$AH$58,0),FALSE),"")</f>
        <v/>
      </c>
      <c r="R119" s="494">
        <f ca="1">IF($A119="*","",IFERROR(VLOOKUP($C119,' COM_2017_old'!$B$61:$AJ$120,MATCH(VLOOKUP("*"&amp;$AX119,$A$10:$J$11,$J$9,FALSE)&amp;R$7,' COM_2017_old'!$B$58:$AJ$58,0),FALSE),""))</f>
        <v>1.3056723216835094E-2</v>
      </c>
      <c r="S119" s="494">
        <f t="shared" ca="1" si="90"/>
        <v>1.2868275665251908E-2</v>
      </c>
      <c r="T119" s="494">
        <f t="shared" ca="1" si="91"/>
        <v>1.2679828113668721E-2</v>
      </c>
      <c r="U119" s="494">
        <f t="shared" ca="1" si="91"/>
        <v>1.2491380562085534E-2</v>
      </c>
      <c r="V119" s="494">
        <f t="shared" ca="1" si="91"/>
        <v>1.2302933010502348E-2</v>
      </c>
      <c r="W119" s="494">
        <f ca="1">IF($A119="*","",IFERROR(VLOOKUP($C119,' COM_2017_old'!$B$61:$AJ$120,MATCH(VLOOKUP("*"&amp;$AX119,$A$10:$J$11,$J$9,FALSE)&amp;W$7,' COM_2017_old'!$B$58:$AJ$58,0),FALSE),""))</f>
        <v>1.2114485458919161E-2</v>
      </c>
      <c r="X119" s="494">
        <f t="shared" ca="1" si="92"/>
        <v>1.1576063882967199E-2</v>
      </c>
      <c r="Y119" s="494">
        <f t="shared" ca="1" si="93"/>
        <v>1.1037642307015236E-2</v>
      </c>
      <c r="Z119" s="494">
        <f t="shared" ca="1" si="93"/>
        <v>1.0499220731063274E-2</v>
      </c>
      <c r="AA119" s="494">
        <f t="shared" ca="1" si="93"/>
        <v>9.960799155111312E-3</v>
      </c>
      <c r="AB119" s="494">
        <f ca="1">IF($A119="*","",IFERROR(VLOOKUP($C119,' COM_2017_old'!$B$61:$AJ$120,MATCH(VLOOKUP("*"&amp;$AX119,$A$10:$J$11,$J$9,FALSE)&amp;AB$7,' COM_2017_old'!$B$58:$AJ$58,0),FALSE),""))</f>
        <v>9.4223775791593464E-3</v>
      </c>
      <c r="AC119" s="494">
        <f t="shared" ca="1" si="94"/>
        <v>8.7493506092193932E-3</v>
      </c>
      <c r="AD119" s="494">
        <f t="shared" ca="1" si="95"/>
        <v>8.07632363927944E-3</v>
      </c>
      <c r="AE119" s="494">
        <f t="shared" ca="1" si="95"/>
        <v>7.4032966693394868E-3</v>
      </c>
      <c r="AF119" s="494">
        <f t="shared" ca="1" si="95"/>
        <v>6.7302696993995336E-3</v>
      </c>
      <c r="AG119" s="494">
        <f ca="1">IF($A119="*","",IFERROR(VLOOKUP($C119,' COM_2017_old'!$B$61:$AJ$120,MATCH(VLOOKUP("*"&amp;$AX119,$A$10:$J$11,$J$9,FALSE)&amp;AG$7,' COM_2017_old'!$B$58:$AJ$58,0),FALSE),""))</f>
        <v>6.0572427294595804E-3</v>
      </c>
      <c r="AH119" s="494">
        <f t="shared" ca="1" si="96"/>
        <v>5.2496103655316362E-3</v>
      </c>
      <c r="AI119" s="494">
        <f t="shared" ca="1" si="97"/>
        <v>4.4419780016036921E-3</v>
      </c>
      <c r="AJ119" s="494">
        <f t="shared" ca="1" si="97"/>
        <v>3.6343456376757479E-3</v>
      </c>
      <c r="AK119" s="494">
        <f t="shared" ca="1" si="97"/>
        <v>2.8267132737478037E-3</v>
      </c>
      <c r="AL119" s="494">
        <f ca="1">IF($A119="*","",IFERROR(VLOOKUP($C119,' COM_2017_old'!$B$61:$AJ$120,MATCH(VLOOKUP("*"&amp;$AX119,$A$10:$J$11,$J$9,FALSE)&amp;AL$7,' COM_2017_old'!$B$58:$AJ$58,0),FALSE),""))</f>
        <v>2.01908090981986E-3</v>
      </c>
      <c r="AM119" s="494">
        <f ca="1">IF($A119="*","",IFERROR(VLOOKUP($C119,' COM_2017_old'!$B$61:$AJ$120,MATCH(VLOOKUP("*"&amp;$AX119,$A$10:$J$11,$J$9,FALSE)&amp;AM$7,' COM_2017_old'!$B$58:$AJ$58,0),FALSE),""))</f>
        <v>6.730269699399534E-4</v>
      </c>
      <c r="AN119" s="494">
        <f ca="1">IF($A119="*","",IFERROR(VLOOKUP($C119,' COM_2017_old'!$B$61:$AJ$120,MATCH(VLOOKUP("*"&amp;$AX119,$A$10:$J$11,$J$9,FALSE)&amp;AN$7,' COM_2017_old'!$B$58:$AJ$58,0),FALSE),""))</f>
        <v>0</v>
      </c>
      <c r="AO119" s="391" t="str">
        <f ca="1">IFERROR(VLOOKUP($C119,COM_2012!$B$61:$AH$120,MATCH(VLOOKUP("*"&amp;$AX119,$A$10:$J$11,$J$9,FALSE)&amp;AO$7,COM_2012!$B$58:$AH$58,0),FALSE),"")</f>
        <v/>
      </c>
      <c r="AP119" s="391" t="str">
        <f ca="1">IFERROR(VLOOKUP($C119,COM_2012!$B$61:$AH$120,MATCH(VLOOKUP("*"&amp;$AX119,$A$10:$J$11,$J$9,FALSE)&amp;AP$7,COM_2012!$B$58:$AH$58,0),FALSE),"")</f>
        <v/>
      </c>
      <c r="AQ119" s="391" t="str">
        <f ca="1">IFERROR(VLOOKUP($C119,COM_2012!$B$61:$AH$120,MATCH(VLOOKUP("*"&amp;$AX119,$A$10:$J$11,$J$9,FALSE)&amp;AQ$7,COM_2012!$B$58:$AH$58,0),FALSE),"")</f>
        <v/>
      </c>
      <c r="AR119" s="391" t="str">
        <f ca="1">IFERROR(VLOOKUP($C119,COM_2012!$B$61:$AH$120,MATCH(VLOOKUP("*"&amp;$AX119,$A$10:$J$11,$J$9,FALSE)&amp;AR$7,COM_2012!$B$58:$AH$58,0),FALSE),"")</f>
        <v/>
      </c>
      <c r="AS119" s="391" t="str">
        <f ca="1">IFERROR(VLOOKUP($C119,COM_2012!$B$61:$AH$120,MATCH(VLOOKUP("*"&amp;$AX119,$A$10:$J$11,$J$9,FALSE)&amp;AS$7,COM_2012!$B$58:$AH$58,0),FALSE),"")</f>
        <v/>
      </c>
      <c r="AT119" s="391" t="str">
        <f ca="1">IFERROR(VLOOKUP($C119,COM_2012!$B$61:$AH$120,MATCH(VLOOKUP("*"&amp;$AX119,$A$10:$J$11,$J$9,FALSE)&amp;AT$7,COM_2012!$B$58:$AH$58,0),FALSE),"")</f>
        <v/>
      </c>
      <c r="AU119" s="391" t="str">
        <f ca="1">IFERROR(VLOOKUP($C119,COM_2012!$B$61:$AH$120,MATCH(VLOOKUP("*"&amp;$AX119,$A$10:$J$11,$J$9,FALSE)&amp;AU$7,COM_2012!$B$58:$AH$58,0),FALSE),"")</f>
        <v/>
      </c>
      <c r="AV119" s="391" t="str">
        <f ca="1">IFERROR(VLOOKUP($C119,COM_2012!$B$61:$AH$120,MATCH(VLOOKUP("*"&amp;$AX119,$A$10:$J$11,$J$9,FALSE)&amp;AV$7,COM_2012!$B$58:$AH$58,0),FALSE),"")</f>
        <v/>
      </c>
      <c r="AW119" s="391" t="str">
        <f ca="1">IFERROR(VLOOKUP($C119,COM_2012!$B$61:$AH$120,MATCH(VLOOKUP("*"&amp;$AX119,$A$10:$J$11,$J$9,FALSE)&amp;AW$7,COM_2012!$B$58:$AH$58,0),FALSE),"")</f>
        <v/>
      </c>
      <c r="AX119" s="304">
        <f>IF(AY118=COM_2012!$AI$121,AX118+1,AX118)</f>
        <v>2</v>
      </c>
      <c r="AY119" s="304">
        <f t="shared" si="100"/>
        <v>46</v>
      </c>
    </row>
    <row r="120" spans="1:51">
      <c r="A120" s="304" t="str">
        <f ca="1">IF(LEFT(OFFSET(COM_2012!$A$60,AY120,0),2)="\I","*","")</f>
        <v/>
      </c>
      <c r="B120" s="369" t="str">
        <f t="shared" ref="B120:B124" ca="1" si="103">IF(A120="*","",VLOOKUP("*"&amp;AX120,$A$9:$B$11,2,FALSE))</f>
        <v>FLO_MRKPRD</v>
      </c>
      <c r="C120" s="369" t="str">
        <f ca="1">IF($A120="*","",OFFSET(COM_2012!$B$60,AY120,0))</f>
        <v>CEGELCLED-N</v>
      </c>
      <c r="D120" s="369" t="str">
        <f t="shared" ref="D120:D124" ca="1" si="104">IF($A120="*","",LEFT(C120,3))</f>
        <v>CEG</v>
      </c>
      <c r="E120" s="369" t="str">
        <f t="shared" ca="1" si="101"/>
        <v>-</v>
      </c>
      <c r="F120" s="370" t="str">
        <f t="shared" ca="1" si="73"/>
        <v>-</v>
      </c>
      <c r="G120" s="370" t="str">
        <f t="shared" ca="1" si="73"/>
        <v>ANNUAL</v>
      </c>
      <c r="H120" s="370" t="str">
        <f t="shared" ca="1" si="102"/>
        <v>LO</v>
      </c>
      <c r="I120" s="370">
        <f t="shared" ca="1" si="102"/>
        <v>0</v>
      </c>
      <c r="J120" s="494" t="str">
        <f>IF(J$7&lt;2020,"",IF(A120="*","",IFERROR(VLOOKUP($C120,COM_2012!$B$61:$AH$120,MATCH(VLOOKUP("*"&amp;$AX120,$A$10:$J$11,$J$9,FALSE)&amp;J$7,COM_2012!$B$58:$AH$58,0),FALSE),"")))</f>
        <v/>
      </c>
      <c r="K120" s="494" t="str">
        <f>IF(K$7&lt;2020,"",IF(B120="*","",IFERROR(VLOOKUP($C120,COM_2012!$B$61:$AH$120,MATCH(VLOOKUP("*"&amp;$AX120,$A$10:$J$11,$J$9,FALSE)&amp;K$7,COM_2012!$B$58:$AH$58,0),FALSE),"")))</f>
        <v/>
      </c>
      <c r="L120" s="494" t="str">
        <f>IF(L$7&lt;2020,"",IF(C120="*","",IFERROR(VLOOKUP($C120,COM_2012!$B$61:$AH$120,MATCH(VLOOKUP("*"&amp;$AX120,$A$10:$J$11,$J$9,FALSE)&amp;L$7,COM_2012!$B$58:$AH$58,0),FALSE),"")))</f>
        <v/>
      </c>
      <c r="M120" s="494" t="str">
        <f>IF(M$7&lt;2020,"",IF(D120="*","",IFERROR(VLOOKUP($C120,COM_2012!$B$61:$AH$120,MATCH(VLOOKUP("*"&amp;$AX120,$A$10:$J$11,$J$9,FALSE)&amp;M$7,COM_2012!$B$58:$AH$58,0),FALSE),"")))</f>
        <v/>
      </c>
      <c r="N120" s="494" t="str">
        <f ca="1">IFERROR(VLOOKUP($C120,COM_2012!$B$61:$AH$120,MATCH(VLOOKUP("*"&amp;$AX120,$A$10:$J$11,$J$9,FALSE)&amp;N$7,COM_2012!$B$58:$AH$58,0),FALSE),"")</f>
        <v/>
      </c>
      <c r="O120" s="494" t="str">
        <f>IF(O$7&lt;2020,"",IF($A120="*","",IFERROR(VLOOKUP($C120,' COM_2017_old'!$B$61:$AJ$120,MATCH(VLOOKUP("*"&amp;$AX120,$A$10:$J$11,$J$9,FALSE)&amp;O$7,' COM_2017_old'!$B$58:$AJ$58,0),FALSE),"")))</f>
        <v/>
      </c>
      <c r="P120" s="494" t="str">
        <f ca="1">IFERROR(VLOOKUP($C120,COM_2012!$B$61:$AH$120,MATCH(VLOOKUP("*"&amp;$AX120,$A$10:$J$11,$J$9,FALSE)&amp;P$7,COM_2012!$B$58:$AH$58,0),FALSE),"")</f>
        <v/>
      </c>
      <c r="Q120" s="494" t="str">
        <f ca="1">IFERROR(VLOOKUP($C120,COM_2012!$B$61:$AH$120,MATCH(VLOOKUP("*"&amp;$AX120,$A$10:$J$11,$J$9,FALSE)&amp;Q$7,COM_2012!$B$58:$AH$58,0),FALSE),"")</f>
        <v/>
      </c>
      <c r="R120" s="494">
        <f ca="1">IF($A120="*","",IFERROR(VLOOKUP($C120,' COM_2017_old'!$B$61:$AJ$120,MATCH(VLOOKUP("*"&amp;$AX120,$A$10:$J$11,$J$9,FALSE)&amp;R$7,' COM_2017_old'!$B$58:$AJ$58,0),FALSE),""))</f>
        <v>0</v>
      </c>
      <c r="S120" s="494">
        <f t="shared" ca="1" si="90"/>
        <v>0</v>
      </c>
      <c r="T120" s="494">
        <f t="shared" ca="1" si="91"/>
        <v>0</v>
      </c>
      <c r="U120" s="494">
        <f t="shared" ca="1" si="91"/>
        <v>0</v>
      </c>
      <c r="V120" s="494">
        <f t="shared" ca="1" si="91"/>
        <v>0</v>
      </c>
      <c r="W120" s="494">
        <f ca="1">IF($A120="*","",IFERROR(VLOOKUP($C120,' COM_2017_old'!$B$61:$AJ$120,MATCH(VLOOKUP("*"&amp;$AX120,$A$10:$J$11,$J$9,FALSE)&amp;W$7,' COM_2017_old'!$B$58:$AJ$58,0),FALSE),""))</f>
        <v>0</v>
      </c>
      <c r="X120" s="494">
        <f t="shared" ca="1" si="92"/>
        <v>0</v>
      </c>
      <c r="Y120" s="494">
        <f t="shared" ca="1" si="93"/>
        <v>0</v>
      </c>
      <c r="Z120" s="494">
        <f t="shared" ca="1" si="93"/>
        <v>0</v>
      </c>
      <c r="AA120" s="494">
        <f t="shared" ca="1" si="93"/>
        <v>0</v>
      </c>
      <c r="AB120" s="494">
        <f ca="1">IF($A120="*","",IFERROR(VLOOKUP($C120,' COM_2017_old'!$B$61:$AJ$120,MATCH(VLOOKUP("*"&amp;$AX120,$A$10:$J$11,$J$9,FALSE)&amp;AB$7,' COM_2017_old'!$B$58:$AJ$58,0),FALSE),""))</f>
        <v>0</v>
      </c>
      <c r="AC120" s="494">
        <f t="shared" ca="1" si="94"/>
        <v>0</v>
      </c>
      <c r="AD120" s="494">
        <f t="shared" ca="1" si="95"/>
        <v>0</v>
      </c>
      <c r="AE120" s="494">
        <f t="shared" ca="1" si="95"/>
        <v>0</v>
      </c>
      <c r="AF120" s="494">
        <f t="shared" ca="1" si="95"/>
        <v>0</v>
      </c>
      <c r="AG120" s="494">
        <f ca="1">IF($A120="*","",IFERROR(VLOOKUP($C120,' COM_2017_old'!$B$61:$AJ$120,MATCH(VLOOKUP("*"&amp;$AX120,$A$10:$J$11,$J$9,FALSE)&amp;AG$7,' COM_2017_old'!$B$58:$AJ$58,0),FALSE),""))</f>
        <v>0</v>
      </c>
      <c r="AH120" s="494">
        <f t="shared" ca="1" si="96"/>
        <v>0</v>
      </c>
      <c r="AI120" s="494">
        <f t="shared" ca="1" si="97"/>
        <v>0</v>
      </c>
      <c r="AJ120" s="494">
        <f t="shared" ca="1" si="97"/>
        <v>0</v>
      </c>
      <c r="AK120" s="494">
        <f t="shared" ca="1" si="97"/>
        <v>0</v>
      </c>
      <c r="AL120" s="494">
        <f ca="1">IF($A120="*","",IFERROR(VLOOKUP($C120,' COM_2017_old'!$B$61:$AJ$120,MATCH(VLOOKUP("*"&amp;$AX120,$A$10:$J$11,$J$9,FALSE)&amp;AL$7,' COM_2017_old'!$B$58:$AJ$58,0),FALSE),""))</f>
        <v>0</v>
      </c>
      <c r="AM120" s="494">
        <f ca="1">IF($A120="*","",IFERROR(VLOOKUP($C120,' COM_2017_old'!$B$61:$AJ$120,MATCH(VLOOKUP("*"&amp;$AX120,$A$10:$J$11,$J$9,FALSE)&amp;AM$7,' COM_2017_old'!$B$58:$AJ$58,0),FALSE),""))</f>
        <v>0</v>
      </c>
      <c r="AN120" s="494">
        <f ca="1">IF($A120="*","",IFERROR(VLOOKUP($C120,' COM_2017_old'!$B$61:$AJ$120,MATCH(VLOOKUP("*"&amp;$AX120,$A$10:$J$11,$J$9,FALSE)&amp;AN$7,' COM_2017_old'!$B$58:$AJ$58,0),FALSE),""))</f>
        <v>0</v>
      </c>
      <c r="AO120" s="391" t="str">
        <f ca="1">IFERROR(VLOOKUP($C120,COM_2012!$B$61:$AH$120,MATCH(VLOOKUP("*"&amp;$AX120,$A$10:$J$11,$J$9,FALSE)&amp;AO$7,COM_2012!$B$58:$AH$58,0),FALSE),"")</f>
        <v/>
      </c>
      <c r="AP120" s="391" t="str">
        <f ca="1">IFERROR(VLOOKUP($C120,COM_2012!$B$61:$AH$120,MATCH(VLOOKUP("*"&amp;$AX120,$A$10:$J$11,$J$9,FALSE)&amp;AP$7,COM_2012!$B$58:$AH$58,0),FALSE),"")</f>
        <v/>
      </c>
      <c r="AQ120" s="391" t="str">
        <f ca="1">IFERROR(VLOOKUP($C120,COM_2012!$B$61:$AH$120,MATCH(VLOOKUP("*"&amp;$AX120,$A$10:$J$11,$J$9,FALSE)&amp;AQ$7,COM_2012!$B$58:$AH$58,0),FALSE),"")</f>
        <v/>
      </c>
      <c r="AR120" s="391" t="str">
        <f ca="1">IFERROR(VLOOKUP($C120,COM_2012!$B$61:$AH$120,MATCH(VLOOKUP("*"&amp;$AX120,$A$10:$J$11,$J$9,FALSE)&amp;AR$7,COM_2012!$B$58:$AH$58,0),FALSE),"")</f>
        <v/>
      </c>
      <c r="AS120" s="391" t="str">
        <f ca="1">IFERROR(VLOOKUP($C120,COM_2012!$B$61:$AH$120,MATCH(VLOOKUP("*"&amp;$AX120,$A$10:$J$11,$J$9,FALSE)&amp;AS$7,COM_2012!$B$58:$AH$58,0),FALSE),"")</f>
        <v/>
      </c>
      <c r="AT120" s="391" t="str">
        <f ca="1">IFERROR(VLOOKUP($C120,COM_2012!$B$61:$AH$120,MATCH(VLOOKUP("*"&amp;$AX120,$A$10:$J$11,$J$9,FALSE)&amp;AT$7,COM_2012!$B$58:$AH$58,0),FALSE),"")</f>
        <v/>
      </c>
      <c r="AU120" s="391" t="str">
        <f ca="1">IFERROR(VLOOKUP($C120,COM_2012!$B$61:$AH$120,MATCH(VLOOKUP("*"&amp;$AX120,$A$10:$J$11,$J$9,FALSE)&amp;AU$7,COM_2012!$B$58:$AH$58,0),FALSE),"")</f>
        <v/>
      </c>
      <c r="AV120" s="391" t="str">
        <f ca="1">IFERROR(VLOOKUP($C120,COM_2012!$B$61:$AH$120,MATCH(VLOOKUP("*"&amp;$AX120,$A$10:$J$11,$J$9,FALSE)&amp;AV$7,COM_2012!$B$58:$AH$58,0),FALSE),"")</f>
        <v/>
      </c>
      <c r="AW120" s="391" t="str">
        <f ca="1">IFERROR(VLOOKUP($C120,COM_2012!$B$61:$AH$120,MATCH(VLOOKUP("*"&amp;$AX120,$A$10:$J$11,$J$9,FALSE)&amp;AW$7,COM_2012!$B$58:$AH$58,0),FALSE),"")</f>
        <v/>
      </c>
      <c r="AX120" s="304">
        <f>IF(AY119=COM_2012!$AI$121,AX119+1,AX119)</f>
        <v>2</v>
      </c>
      <c r="AY120" s="304">
        <f t="shared" si="100"/>
        <v>47</v>
      </c>
    </row>
    <row r="121" spans="1:51">
      <c r="A121" s="304" t="str">
        <f ca="1">IF(LEFT(OFFSET(COM_2012!$A$60,AY121,0),2)="\I","*","")</f>
        <v>*</v>
      </c>
      <c r="B121" s="369" t="str">
        <f t="shared" ca="1" si="103"/>
        <v/>
      </c>
      <c r="C121" s="369" t="str">
        <f ca="1">IF($A121="*","",OFFSET(COM_2012!$B$60,AY121,0))</f>
        <v/>
      </c>
      <c r="D121" s="369" t="str">
        <f t="shared" ca="1" si="104"/>
        <v/>
      </c>
      <c r="E121" s="369" t="str">
        <f t="shared" ca="1" si="101"/>
        <v/>
      </c>
      <c r="F121" s="370" t="str">
        <f t="shared" ca="1" si="73"/>
        <v/>
      </c>
      <c r="G121" s="370" t="str">
        <f t="shared" ca="1" si="73"/>
        <v/>
      </c>
      <c r="H121" s="370" t="str">
        <f t="shared" ca="1" si="102"/>
        <v/>
      </c>
      <c r="I121" s="370" t="str">
        <f t="shared" ca="1" si="102"/>
        <v/>
      </c>
      <c r="J121" s="494" t="str">
        <f>IF(J$7&lt;2020,"",IF(A121="*","",IFERROR(VLOOKUP($C121,COM_2012!$B$61:$AH$120,MATCH(VLOOKUP("*"&amp;$AX121,$A$10:$J$11,$J$9,FALSE)&amp;J$7,COM_2012!$B$58:$AH$58,0),FALSE),"")))</f>
        <v/>
      </c>
      <c r="K121" s="494" t="str">
        <f>IF(K$7&lt;2020,"",IF(B121="*","",IFERROR(VLOOKUP($C121,COM_2012!$B$61:$AH$120,MATCH(VLOOKUP("*"&amp;$AX121,$A$10:$J$11,$J$9,FALSE)&amp;K$7,COM_2012!$B$58:$AH$58,0),FALSE),"")))</f>
        <v/>
      </c>
      <c r="L121" s="494" t="str">
        <f>IF(L$7&lt;2020,"",IF(C121="*","",IFERROR(VLOOKUP($C121,COM_2012!$B$61:$AH$120,MATCH(VLOOKUP("*"&amp;$AX121,$A$10:$J$11,$J$9,FALSE)&amp;L$7,COM_2012!$B$58:$AH$58,0),FALSE),"")))</f>
        <v/>
      </c>
      <c r="M121" s="494" t="str">
        <f>IF(M$7&lt;2020,"",IF(D121="*","",IFERROR(VLOOKUP($C121,COM_2012!$B$61:$AH$120,MATCH(VLOOKUP("*"&amp;$AX121,$A$10:$J$11,$J$9,FALSE)&amp;M$7,COM_2012!$B$58:$AH$58,0),FALSE),"")))</f>
        <v/>
      </c>
      <c r="N121" s="494" t="str">
        <f ca="1">IFERROR(VLOOKUP($C121,COM_2012!$B$61:$AH$120,MATCH(VLOOKUP("*"&amp;$AX121,$A$10:$J$11,$J$9,FALSE)&amp;N$7,COM_2012!$B$58:$AH$58,0),FALSE),"")</f>
        <v/>
      </c>
      <c r="O121" s="494" t="str">
        <f>IF(O$7&lt;2020,"",IF($A121="*","",IFERROR(VLOOKUP($C121,' COM_2017_old'!$B$61:$AJ$120,MATCH(VLOOKUP("*"&amp;$AX121,$A$10:$J$11,$J$9,FALSE)&amp;O$7,' COM_2017_old'!$B$58:$AJ$58,0),FALSE),"")))</f>
        <v/>
      </c>
      <c r="P121" s="494" t="str">
        <f ca="1">IFERROR(VLOOKUP($C121,COM_2012!$B$61:$AH$120,MATCH(VLOOKUP("*"&amp;$AX121,$A$10:$J$11,$J$9,FALSE)&amp;P$7,COM_2012!$B$58:$AH$58,0),FALSE),"")</f>
        <v/>
      </c>
      <c r="Q121" s="494" t="str">
        <f ca="1">IFERROR(VLOOKUP($C121,COM_2012!$B$61:$AH$120,MATCH(VLOOKUP("*"&amp;$AX121,$A$10:$J$11,$J$9,FALSE)&amp;Q$7,COM_2012!$B$58:$AH$58,0),FALSE),"")</f>
        <v/>
      </c>
      <c r="R121" s="494" t="str">
        <f ca="1">IF($A121="*","",IFERROR(VLOOKUP($C121,' COM_2017_old'!$B$61:$AJ$120,MATCH(VLOOKUP("*"&amp;$AX121,$A$10:$J$11,$J$9,FALSE)&amp;R$7,' COM_2017_old'!$B$58:$AJ$58,0),FALSE),""))</f>
        <v/>
      </c>
      <c r="S121" s="494" t="str">
        <f ca="1">IFERROR(VLOOKUP($C121,COM_2012!$B$61:$AH$120,MATCH(VLOOKUP("*"&amp;$AX121,$A$10:$J$11,$J$9,FALSE)&amp;S$7,COM_2012!$B$58:$AH$58,0),FALSE),"")</f>
        <v/>
      </c>
      <c r="T121" s="494" t="str">
        <f ca="1">IFERROR(VLOOKUP($C121,COM_2012!$B$61:$AH$120,MATCH(VLOOKUP("*"&amp;$AX121,$A$10:$J$11,$J$9,FALSE)&amp;T$7,COM_2012!$B$58:$AH$58,0),FALSE),"")</f>
        <v/>
      </c>
      <c r="U121" s="494" t="str">
        <f ca="1">IFERROR(VLOOKUP($C121,COM_2012!$B$61:$AH$120,MATCH(VLOOKUP("*"&amp;$AX121,$A$10:$J$11,$J$9,FALSE)&amp;U$7,COM_2012!$B$58:$AH$58,0),FALSE),"")</f>
        <v/>
      </c>
      <c r="V121" s="494" t="str">
        <f ca="1">IFERROR(VLOOKUP($C121,COM_2012!$B$61:$AH$120,MATCH(VLOOKUP("*"&amp;$AX121,$A$10:$J$11,$J$9,FALSE)&amp;V$7,COM_2012!$B$58:$AH$58,0),FALSE),"")</f>
        <v/>
      </c>
      <c r="W121" s="494" t="str">
        <f ca="1">IF($A121="*","",IFERROR(VLOOKUP($C121,' COM_2017_old'!$B$61:$AJ$120,MATCH(VLOOKUP("*"&amp;$AX121,$A$10:$J$11,$J$9,FALSE)&amp;W$7,' COM_2017_old'!$B$58:$AJ$58,0),FALSE),""))</f>
        <v/>
      </c>
      <c r="X121" s="494" t="str">
        <f ca="1">IFERROR(VLOOKUP($C121,COM_2012!$B$61:$AH$120,MATCH(VLOOKUP("*"&amp;$AX121,$A$10:$J$11,$J$9,FALSE)&amp;X$7,COM_2012!$B$58:$AH$58,0),FALSE),"")</f>
        <v/>
      </c>
      <c r="Y121" s="494" t="str">
        <f ca="1">IFERROR(VLOOKUP($C121,COM_2012!$B$61:$AH$120,MATCH(VLOOKUP("*"&amp;$AX121,$A$10:$J$11,$J$9,FALSE)&amp;Y$7,COM_2012!$B$58:$AH$58,0),FALSE),"")</f>
        <v/>
      </c>
      <c r="Z121" s="494" t="str">
        <f ca="1">IFERROR(VLOOKUP($C121,COM_2012!$B$61:$AH$120,MATCH(VLOOKUP("*"&amp;$AX121,$A$10:$J$11,$J$9,FALSE)&amp;Z$7,COM_2012!$B$58:$AH$58,0),FALSE),"")</f>
        <v/>
      </c>
      <c r="AA121" s="494" t="str">
        <f ca="1">IFERROR(VLOOKUP($C121,COM_2012!$B$61:$AH$120,MATCH(VLOOKUP("*"&amp;$AX121,$A$10:$J$11,$J$9,FALSE)&amp;AA$7,COM_2012!$B$58:$AH$58,0),FALSE),"")</f>
        <v/>
      </c>
      <c r="AB121" s="494" t="str">
        <f ca="1">IF($A121="*","",IFERROR(VLOOKUP($C121,' COM_2017_old'!$B$61:$AJ$120,MATCH(VLOOKUP("*"&amp;$AX121,$A$10:$J$11,$J$9,FALSE)&amp;AB$7,' COM_2017_old'!$B$58:$AJ$58,0),FALSE),""))</f>
        <v/>
      </c>
      <c r="AC121" s="494" t="str">
        <f ca="1">IFERROR(VLOOKUP($C121,COM_2012!$B$61:$AH$120,MATCH(VLOOKUP("*"&amp;$AX121,$A$10:$J$11,$J$9,FALSE)&amp;AC$7,COM_2012!$B$58:$AH$58,0),FALSE),"")</f>
        <v/>
      </c>
      <c r="AD121" s="391" t="str">
        <f ca="1">IFERROR(VLOOKUP($C121,COM_2012!$B$61:$AH$120,MATCH(VLOOKUP("*"&amp;$AX121,$A$10:$J$11,$J$9,FALSE)&amp;AD$7,COM_2012!$B$58:$AH$58,0),FALSE),"")</f>
        <v/>
      </c>
      <c r="AE121" s="391" t="str">
        <f ca="1">IFERROR(VLOOKUP($C121,COM_2012!$B$61:$AH$120,MATCH(VLOOKUP("*"&amp;$AX121,$A$10:$J$11,$J$9,FALSE)&amp;AE$7,COM_2012!$B$58:$AH$58,0),FALSE),"")</f>
        <v/>
      </c>
      <c r="AF121" s="391" t="str">
        <f ca="1">IFERROR(VLOOKUP($C121,COM_2012!$B$61:$AH$120,MATCH(VLOOKUP("*"&amp;$AX121,$A$10:$J$11,$J$9,FALSE)&amp;AF$7,COM_2012!$B$58:$AH$58,0),FALSE),"")</f>
        <v/>
      </c>
      <c r="AG121" s="494" t="str">
        <f ca="1">IF($A121="*","",IFERROR(VLOOKUP($C121,' COM_2017_old'!$B$61:$AJ$120,MATCH(VLOOKUP("*"&amp;$AX121,$A$10:$J$11,$J$9,FALSE)&amp;AG$7,' COM_2017_old'!$B$58:$AJ$58,0),FALSE),""))</f>
        <v/>
      </c>
      <c r="AH121" s="391" t="str">
        <f ca="1">IFERROR(VLOOKUP($C121,COM_2012!$B$61:$AH$120,MATCH(VLOOKUP("*"&amp;$AX121,$A$10:$J$11,$J$9,FALSE)&amp;AH$7,COM_2012!$B$58:$AH$58,0),FALSE),"")</f>
        <v/>
      </c>
      <c r="AI121" s="391" t="str">
        <f ca="1">IFERROR(VLOOKUP($C121,COM_2012!$B$61:$AH$120,MATCH(VLOOKUP("*"&amp;$AX121,$A$10:$J$11,$J$9,FALSE)&amp;AI$7,COM_2012!$B$58:$AH$58,0),FALSE),"")</f>
        <v/>
      </c>
      <c r="AJ121" s="391" t="str">
        <f ca="1">IFERROR(VLOOKUP($C121,COM_2012!$B$61:$AH$120,MATCH(VLOOKUP("*"&amp;$AX121,$A$10:$J$11,$J$9,FALSE)&amp;AJ$7,COM_2012!$B$58:$AH$58,0),FALSE),"")</f>
        <v/>
      </c>
      <c r="AK121" s="391" t="str">
        <f ca="1">IFERROR(VLOOKUP($C121,COM_2012!$B$61:$AH$120,MATCH(VLOOKUP("*"&amp;$AX121,$A$10:$J$11,$J$9,FALSE)&amp;AK$7,COM_2012!$B$58:$AH$58,0),FALSE),"")</f>
        <v/>
      </c>
      <c r="AL121" s="494" t="str">
        <f ca="1">IF($A121="*","",IFERROR(VLOOKUP($C121,' COM_2017_old'!$B$61:$AJ$120,MATCH(VLOOKUP("*"&amp;$AX121,$A$10:$J$11,$J$9,FALSE)&amp;AL$7,' COM_2017_old'!$B$58:$AJ$58,0),FALSE),""))</f>
        <v/>
      </c>
      <c r="AM121" s="494" t="str">
        <f ca="1">IF($A121="*","",IFERROR(VLOOKUP($C121,' COM_2017_old'!$B$61:$AJ$120,MATCH(VLOOKUP("*"&amp;$AX121,$A$10:$J$11,$J$9,FALSE)&amp;AM$7,' COM_2017_old'!$B$58:$AJ$58,0),FALSE),""))</f>
        <v/>
      </c>
      <c r="AN121" s="494" t="str">
        <f ca="1">IF($A121="*","",IFERROR(VLOOKUP($C121,' COM_2017_old'!$B$61:$AJ$120,MATCH(VLOOKUP("*"&amp;$AX121,$A$10:$J$11,$J$9,FALSE)&amp;AN$7,' COM_2017_old'!$B$58:$AJ$58,0),FALSE),""))</f>
        <v/>
      </c>
      <c r="AO121" s="391" t="str">
        <f ca="1">IFERROR(VLOOKUP($C121,COM_2012!$B$61:$AH$120,MATCH(VLOOKUP("*"&amp;$AX121,$A$10:$J$11,$J$9,FALSE)&amp;AO$7,COM_2012!$B$58:$AH$58,0),FALSE),"")</f>
        <v/>
      </c>
      <c r="AP121" s="391" t="str">
        <f ca="1">IFERROR(VLOOKUP($C121,COM_2012!$B$61:$AH$120,MATCH(VLOOKUP("*"&amp;$AX121,$A$10:$J$11,$J$9,FALSE)&amp;AP$7,COM_2012!$B$58:$AH$58,0),FALSE),"")</f>
        <v/>
      </c>
      <c r="AQ121" s="391" t="str">
        <f ca="1">IFERROR(VLOOKUP($C121,COM_2012!$B$61:$AH$120,MATCH(VLOOKUP("*"&amp;$AX121,$A$10:$J$11,$J$9,FALSE)&amp;AQ$7,COM_2012!$B$58:$AH$58,0),FALSE),"")</f>
        <v/>
      </c>
      <c r="AR121" s="391" t="str">
        <f ca="1">IFERROR(VLOOKUP($C121,COM_2012!$B$61:$AH$120,MATCH(VLOOKUP("*"&amp;$AX121,$A$10:$J$11,$J$9,FALSE)&amp;AR$7,COM_2012!$B$58:$AH$58,0),FALSE),"")</f>
        <v/>
      </c>
      <c r="AS121" s="391" t="str">
        <f ca="1">IFERROR(VLOOKUP($C121,COM_2012!$B$61:$AH$120,MATCH(VLOOKUP("*"&amp;$AX121,$A$10:$J$11,$J$9,FALSE)&amp;AS$7,COM_2012!$B$58:$AH$58,0),FALSE),"")</f>
        <v/>
      </c>
      <c r="AT121" s="391" t="str">
        <f ca="1">IFERROR(VLOOKUP($C121,COM_2012!$B$61:$AH$120,MATCH(VLOOKUP("*"&amp;$AX121,$A$10:$J$11,$J$9,FALSE)&amp;AT$7,COM_2012!$B$58:$AH$58,0),FALSE),"")</f>
        <v/>
      </c>
      <c r="AU121" s="391" t="str">
        <f ca="1">IFERROR(VLOOKUP($C121,COM_2012!$B$61:$AH$120,MATCH(VLOOKUP("*"&amp;$AX121,$A$10:$J$11,$J$9,FALSE)&amp;AU$7,COM_2012!$B$58:$AH$58,0),FALSE),"")</f>
        <v/>
      </c>
      <c r="AV121" s="391" t="str">
        <f ca="1">IFERROR(VLOOKUP($C121,COM_2012!$B$61:$AH$120,MATCH(VLOOKUP("*"&amp;$AX121,$A$10:$J$11,$J$9,FALSE)&amp;AV$7,COM_2012!$B$58:$AH$58,0),FALSE),"")</f>
        <v/>
      </c>
      <c r="AW121" s="391" t="str">
        <f ca="1">IFERROR(VLOOKUP($C121,COM_2012!$B$61:$AH$120,MATCH(VLOOKUP("*"&amp;$AX121,$A$10:$J$11,$J$9,FALSE)&amp;AW$7,COM_2012!$B$58:$AH$58,0),FALSE),"")</f>
        <v/>
      </c>
      <c r="AX121" s="304">
        <f>IF(AY120=COM_2012!$AI$121,AX120+1,AX120)</f>
        <v>2</v>
      </c>
      <c r="AY121" s="304">
        <f t="shared" si="100"/>
        <v>48</v>
      </c>
    </row>
    <row r="122" spans="1:51">
      <c r="A122" s="304" t="str">
        <f ca="1">IF(LEFT(OFFSET(COM_2012!$A$60,AY122,0),2)="\I","*","")</f>
        <v>*</v>
      </c>
      <c r="B122" s="369" t="str">
        <f t="shared" ca="1" si="103"/>
        <v/>
      </c>
      <c r="C122" s="369" t="str">
        <f ca="1">IF($A122="*","",OFFSET(COM_2012!$B$60,AY122,0))</f>
        <v/>
      </c>
      <c r="D122" s="369" t="str">
        <f t="shared" ca="1" si="104"/>
        <v/>
      </c>
      <c r="E122" s="369" t="str">
        <f t="shared" ca="1" si="101"/>
        <v/>
      </c>
      <c r="F122" s="370" t="str">
        <f t="shared" ca="1" si="73"/>
        <v/>
      </c>
      <c r="G122" s="370" t="str">
        <f t="shared" ca="1" si="73"/>
        <v/>
      </c>
      <c r="H122" s="370" t="str">
        <f t="shared" ca="1" si="102"/>
        <v/>
      </c>
      <c r="I122" s="370" t="str">
        <f t="shared" ca="1" si="102"/>
        <v/>
      </c>
      <c r="J122" s="494" t="str">
        <f>IF(J$7&lt;2020,"",IF(A122="*","",IFERROR(VLOOKUP($C122,COM_2012!$B$61:$AH$120,MATCH(VLOOKUP("*"&amp;$AX122,$A$10:$J$11,$J$9,FALSE)&amp;J$7,COM_2012!$B$58:$AH$58,0),FALSE),"")))</f>
        <v/>
      </c>
      <c r="K122" s="494" t="str">
        <f>IF(K$7&lt;2020,"",IF(B122="*","",IFERROR(VLOOKUP($C122,COM_2012!$B$61:$AH$120,MATCH(VLOOKUP("*"&amp;$AX122,$A$10:$J$11,$J$9,FALSE)&amp;K$7,COM_2012!$B$58:$AH$58,0),FALSE),"")))</f>
        <v/>
      </c>
      <c r="L122" s="494" t="str">
        <f>IF(L$7&lt;2020,"",IF(C122="*","",IFERROR(VLOOKUP($C122,COM_2012!$B$61:$AH$120,MATCH(VLOOKUP("*"&amp;$AX122,$A$10:$J$11,$J$9,FALSE)&amp;L$7,COM_2012!$B$58:$AH$58,0),FALSE),"")))</f>
        <v/>
      </c>
      <c r="M122" s="494" t="str">
        <f>IF(M$7&lt;2020,"",IF(D122="*","",IFERROR(VLOOKUP($C122,COM_2012!$B$61:$AH$120,MATCH(VLOOKUP("*"&amp;$AX122,$A$10:$J$11,$J$9,FALSE)&amp;M$7,COM_2012!$B$58:$AH$58,0),FALSE),"")))</f>
        <v/>
      </c>
      <c r="N122" s="494" t="str">
        <f ca="1">IFERROR(VLOOKUP($C122,COM_2012!$B$61:$AH$120,MATCH(VLOOKUP("*"&amp;$AX122,$A$10:$J$11,$J$9,FALSE)&amp;N$7,COM_2012!$B$58:$AH$58,0),FALSE),"")</f>
        <v/>
      </c>
      <c r="O122" s="494" t="str">
        <f>IF(O$7&lt;2020,"",IF($A122="*","",IFERROR(VLOOKUP($C122,' COM_2017_old'!$B$61:$AJ$120,MATCH(VLOOKUP("*"&amp;$AX122,$A$10:$J$11,$J$9,FALSE)&amp;O$7,' COM_2017_old'!$B$58:$AJ$58,0),FALSE),"")))</f>
        <v/>
      </c>
      <c r="P122" s="494" t="str">
        <f ca="1">IFERROR(VLOOKUP($C122,COM_2012!$B$61:$AH$120,MATCH(VLOOKUP("*"&amp;$AX122,$A$10:$J$11,$J$9,FALSE)&amp;P$7,COM_2012!$B$58:$AH$58,0),FALSE),"")</f>
        <v/>
      </c>
      <c r="Q122" s="494" t="str">
        <f ca="1">IFERROR(VLOOKUP($C122,COM_2012!$B$61:$AH$120,MATCH(VLOOKUP("*"&amp;$AX122,$A$10:$J$11,$J$9,FALSE)&amp;Q$7,COM_2012!$B$58:$AH$58,0),FALSE),"")</f>
        <v/>
      </c>
      <c r="R122" s="494" t="str">
        <f ca="1">IF($A122="*","",IFERROR(VLOOKUP($C122,' COM_2017_old'!$B$61:$AJ$120,MATCH(VLOOKUP("*"&amp;$AX122,$A$10:$J$11,$J$9,FALSE)&amp;R$7,' COM_2017_old'!$B$58:$AJ$58,0),FALSE),""))</f>
        <v/>
      </c>
      <c r="S122" s="494" t="str">
        <f ca="1">IFERROR(VLOOKUP($C122,COM_2012!$B$61:$AH$120,MATCH(VLOOKUP("*"&amp;$AX122,$A$10:$J$11,$J$9,FALSE)&amp;S$7,COM_2012!$B$58:$AH$58,0),FALSE),"")</f>
        <v/>
      </c>
      <c r="T122" s="494" t="str">
        <f ca="1">IFERROR(VLOOKUP($C122,COM_2012!$B$61:$AH$120,MATCH(VLOOKUP("*"&amp;$AX122,$A$10:$J$11,$J$9,FALSE)&amp;T$7,COM_2012!$B$58:$AH$58,0),FALSE),"")</f>
        <v/>
      </c>
      <c r="U122" s="494" t="str">
        <f ca="1">IFERROR(VLOOKUP($C122,COM_2012!$B$61:$AH$120,MATCH(VLOOKUP("*"&amp;$AX122,$A$10:$J$11,$J$9,FALSE)&amp;U$7,COM_2012!$B$58:$AH$58,0),FALSE),"")</f>
        <v/>
      </c>
      <c r="V122" s="494" t="str">
        <f ca="1">IFERROR(VLOOKUP($C122,COM_2012!$B$61:$AH$120,MATCH(VLOOKUP("*"&amp;$AX122,$A$10:$J$11,$J$9,FALSE)&amp;V$7,COM_2012!$B$58:$AH$58,0),FALSE),"")</f>
        <v/>
      </c>
      <c r="W122" s="494" t="str">
        <f ca="1">IF($A122="*","",IFERROR(VLOOKUP($C122,' COM_2017_old'!$B$61:$AJ$120,MATCH(VLOOKUP("*"&amp;$AX122,$A$10:$J$11,$J$9,FALSE)&amp;W$7,' COM_2017_old'!$B$58:$AJ$58,0),FALSE),""))</f>
        <v/>
      </c>
      <c r="X122" s="494" t="str">
        <f ca="1">IFERROR(VLOOKUP($C122,COM_2012!$B$61:$AH$120,MATCH(VLOOKUP("*"&amp;$AX122,$A$10:$J$11,$J$9,FALSE)&amp;X$7,COM_2012!$B$58:$AH$58,0),FALSE),"")</f>
        <v/>
      </c>
      <c r="Y122" s="494" t="str">
        <f ca="1">IFERROR(VLOOKUP($C122,COM_2012!$B$61:$AH$120,MATCH(VLOOKUP("*"&amp;$AX122,$A$10:$J$11,$J$9,FALSE)&amp;Y$7,COM_2012!$B$58:$AH$58,0),FALSE),"")</f>
        <v/>
      </c>
      <c r="Z122" s="494" t="str">
        <f ca="1">IFERROR(VLOOKUP($C122,COM_2012!$B$61:$AH$120,MATCH(VLOOKUP("*"&amp;$AX122,$A$10:$J$11,$J$9,FALSE)&amp;Z$7,COM_2012!$B$58:$AH$58,0),FALSE),"")</f>
        <v/>
      </c>
      <c r="AA122" s="494" t="str">
        <f ca="1">IFERROR(VLOOKUP($C122,COM_2012!$B$61:$AH$120,MATCH(VLOOKUP("*"&amp;$AX122,$A$10:$J$11,$J$9,FALSE)&amp;AA$7,COM_2012!$B$58:$AH$58,0),FALSE),"")</f>
        <v/>
      </c>
      <c r="AB122" s="494" t="str">
        <f ca="1">IF($A122="*","",IFERROR(VLOOKUP($C122,' COM_2017_old'!$B$61:$AJ$120,MATCH(VLOOKUP("*"&amp;$AX122,$A$10:$J$11,$J$9,FALSE)&amp;AB$7,' COM_2017_old'!$B$58:$AJ$58,0),FALSE),""))</f>
        <v/>
      </c>
      <c r="AC122" s="494" t="str">
        <f ca="1">IFERROR(VLOOKUP($C122,COM_2012!$B$61:$AH$120,MATCH(VLOOKUP("*"&amp;$AX122,$A$10:$J$11,$J$9,FALSE)&amp;AC$7,COM_2012!$B$58:$AH$58,0),FALSE),"")</f>
        <v/>
      </c>
      <c r="AD122" s="391" t="str">
        <f ca="1">IFERROR(VLOOKUP($C122,COM_2012!$B$61:$AH$120,MATCH(VLOOKUP("*"&amp;$AX122,$A$10:$J$11,$J$9,FALSE)&amp;AD$7,COM_2012!$B$58:$AH$58,0),FALSE),"")</f>
        <v/>
      </c>
      <c r="AE122" s="391" t="str">
        <f ca="1">IFERROR(VLOOKUP($C122,COM_2012!$B$61:$AH$120,MATCH(VLOOKUP("*"&amp;$AX122,$A$10:$J$11,$J$9,FALSE)&amp;AE$7,COM_2012!$B$58:$AH$58,0),FALSE),"")</f>
        <v/>
      </c>
      <c r="AF122" s="391" t="str">
        <f ca="1">IFERROR(VLOOKUP($C122,COM_2012!$B$61:$AH$120,MATCH(VLOOKUP("*"&amp;$AX122,$A$10:$J$11,$J$9,FALSE)&amp;AF$7,COM_2012!$B$58:$AH$58,0),FALSE),"")</f>
        <v/>
      </c>
      <c r="AG122" s="494" t="str">
        <f ca="1">IF($A122="*","",IFERROR(VLOOKUP($C122,' COM_2017_old'!$B$61:$AJ$120,MATCH(VLOOKUP("*"&amp;$AX122,$A$10:$J$11,$J$9,FALSE)&amp;AG$7,' COM_2017_old'!$B$58:$AJ$58,0),FALSE),""))</f>
        <v/>
      </c>
      <c r="AH122" s="391" t="str">
        <f ca="1">IFERROR(VLOOKUP($C122,COM_2012!$B$61:$AH$120,MATCH(VLOOKUP("*"&amp;$AX122,$A$10:$J$11,$J$9,FALSE)&amp;AH$7,COM_2012!$B$58:$AH$58,0),FALSE),"")</f>
        <v/>
      </c>
      <c r="AI122" s="391" t="str">
        <f ca="1">IFERROR(VLOOKUP($C122,COM_2012!$B$61:$AH$120,MATCH(VLOOKUP("*"&amp;$AX122,$A$10:$J$11,$J$9,FALSE)&amp;AI$7,COM_2012!$B$58:$AH$58,0),FALSE),"")</f>
        <v/>
      </c>
      <c r="AJ122" s="391" t="str">
        <f ca="1">IFERROR(VLOOKUP($C122,COM_2012!$B$61:$AH$120,MATCH(VLOOKUP("*"&amp;$AX122,$A$10:$J$11,$J$9,FALSE)&amp;AJ$7,COM_2012!$B$58:$AH$58,0),FALSE),"")</f>
        <v/>
      </c>
      <c r="AK122" s="391" t="str">
        <f ca="1">IFERROR(VLOOKUP($C122,COM_2012!$B$61:$AH$120,MATCH(VLOOKUP("*"&amp;$AX122,$A$10:$J$11,$J$9,FALSE)&amp;AK$7,COM_2012!$B$58:$AH$58,0),FALSE),"")</f>
        <v/>
      </c>
      <c r="AL122" s="494" t="str">
        <f ca="1">IF($A122="*","",IFERROR(VLOOKUP($C122,' COM_2017_old'!$B$61:$AJ$120,MATCH(VLOOKUP("*"&amp;$AX122,$A$10:$J$11,$J$9,FALSE)&amp;AL$7,' COM_2017_old'!$B$58:$AJ$58,0),FALSE),""))</f>
        <v/>
      </c>
      <c r="AM122" s="494" t="str">
        <f ca="1">IF($A122="*","",IFERROR(VLOOKUP($C122,' COM_2017_old'!$B$61:$AJ$120,MATCH(VLOOKUP("*"&amp;$AX122,$A$10:$J$11,$J$9,FALSE)&amp;AM$7,' COM_2017_old'!$B$58:$AJ$58,0),FALSE),""))</f>
        <v/>
      </c>
      <c r="AN122" s="494" t="str">
        <f ca="1">IF($A122="*","",IFERROR(VLOOKUP($C122,' COM_2017_old'!$B$61:$AJ$120,MATCH(VLOOKUP("*"&amp;$AX122,$A$10:$J$11,$J$9,FALSE)&amp;AN$7,' COM_2017_old'!$B$58:$AJ$58,0),FALSE),""))</f>
        <v/>
      </c>
      <c r="AO122" s="391" t="str">
        <f ca="1">IFERROR(VLOOKUP($C122,COM_2012!$B$61:$AH$120,MATCH(VLOOKUP("*"&amp;$AX122,$A$10:$J$11,$J$9,FALSE)&amp;AO$7,COM_2012!$B$58:$AH$58,0),FALSE),"")</f>
        <v/>
      </c>
      <c r="AP122" s="391" t="str">
        <f ca="1">IFERROR(VLOOKUP($C122,COM_2012!$B$61:$AH$120,MATCH(VLOOKUP("*"&amp;$AX122,$A$10:$J$11,$J$9,FALSE)&amp;AP$7,COM_2012!$B$58:$AH$58,0),FALSE),"")</f>
        <v/>
      </c>
      <c r="AQ122" s="391" t="str">
        <f ca="1">IFERROR(VLOOKUP($C122,COM_2012!$B$61:$AH$120,MATCH(VLOOKUP("*"&amp;$AX122,$A$10:$J$11,$J$9,FALSE)&amp;AQ$7,COM_2012!$B$58:$AH$58,0),FALSE),"")</f>
        <v/>
      </c>
      <c r="AR122" s="391" t="str">
        <f ca="1">IFERROR(VLOOKUP($C122,COM_2012!$B$61:$AH$120,MATCH(VLOOKUP("*"&amp;$AX122,$A$10:$J$11,$J$9,FALSE)&amp;AR$7,COM_2012!$B$58:$AH$58,0),FALSE),"")</f>
        <v/>
      </c>
      <c r="AS122" s="391" t="str">
        <f ca="1">IFERROR(VLOOKUP($C122,COM_2012!$B$61:$AH$120,MATCH(VLOOKUP("*"&amp;$AX122,$A$10:$J$11,$J$9,FALSE)&amp;AS$7,COM_2012!$B$58:$AH$58,0),FALSE),"")</f>
        <v/>
      </c>
      <c r="AT122" s="391" t="str">
        <f ca="1">IFERROR(VLOOKUP($C122,COM_2012!$B$61:$AH$120,MATCH(VLOOKUP("*"&amp;$AX122,$A$10:$J$11,$J$9,FALSE)&amp;AT$7,COM_2012!$B$58:$AH$58,0),FALSE),"")</f>
        <v/>
      </c>
      <c r="AU122" s="391" t="str">
        <f ca="1">IFERROR(VLOOKUP($C122,COM_2012!$B$61:$AH$120,MATCH(VLOOKUP("*"&amp;$AX122,$A$10:$J$11,$J$9,FALSE)&amp;AU$7,COM_2012!$B$58:$AH$58,0),FALSE),"")</f>
        <v/>
      </c>
      <c r="AV122" s="391" t="str">
        <f ca="1">IFERROR(VLOOKUP($C122,COM_2012!$B$61:$AH$120,MATCH(VLOOKUP("*"&amp;$AX122,$A$10:$J$11,$J$9,FALSE)&amp;AV$7,COM_2012!$B$58:$AH$58,0),FALSE),"")</f>
        <v/>
      </c>
      <c r="AW122" s="391" t="str">
        <f ca="1">IFERROR(VLOOKUP($C122,COM_2012!$B$61:$AH$120,MATCH(VLOOKUP("*"&amp;$AX122,$A$10:$J$11,$J$9,FALSE)&amp;AW$7,COM_2012!$B$58:$AH$58,0),FALSE),"")</f>
        <v/>
      </c>
      <c r="AX122" s="304">
        <f>IF(AY121=COM_2012!$AI$121,AX121+1,AX121)</f>
        <v>2</v>
      </c>
      <c r="AY122" s="304">
        <f t="shared" si="100"/>
        <v>49</v>
      </c>
    </row>
    <row r="123" spans="1:51">
      <c r="A123" s="304" t="str">
        <f ca="1">IF(LEFT(OFFSET(COM_2012!$A$60,AY123,0),2)="\I","*","")</f>
        <v/>
      </c>
      <c r="B123" s="369" t="str">
        <f t="shared" ca="1" si="103"/>
        <v>FLO_MRKPRD</v>
      </c>
      <c r="C123" s="369" t="str">
        <f ca="1">IF($A123="*","",OFFSET(COM_2012!$B$60,AY123,0))</f>
        <v>CETELC-E</v>
      </c>
      <c r="D123" s="369" t="str">
        <f t="shared" ca="1" si="104"/>
        <v>CET</v>
      </c>
      <c r="E123" s="369" t="str">
        <f t="shared" ca="1" si="101"/>
        <v>-</v>
      </c>
      <c r="F123" s="370" t="str">
        <f t="shared" ca="1" si="73"/>
        <v>-</v>
      </c>
      <c r="G123" s="370" t="str">
        <f t="shared" ca="1" si="73"/>
        <v>ANNUAL</v>
      </c>
      <c r="H123" s="370" t="str">
        <f t="shared" ca="1" si="102"/>
        <v>LO</v>
      </c>
      <c r="I123" s="370">
        <f t="shared" ca="1" si="102"/>
        <v>0</v>
      </c>
      <c r="J123" s="494" t="str">
        <f>IF(J$7&lt;2020,"",IF(A123="*","",IFERROR(VLOOKUP($C123,COM_2012!$B$61:$AH$120,MATCH(VLOOKUP("*"&amp;$AX123,$A$10:$J$11,$J$9,FALSE)&amp;J$7,COM_2012!$B$58:$AH$58,0),FALSE),"")))</f>
        <v/>
      </c>
      <c r="K123" s="494" t="str">
        <f>IF(K$7&lt;2020,"",IF(B123="*","",IFERROR(VLOOKUP($C123,COM_2012!$B$61:$AH$120,MATCH(VLOOKUP("*"&amp;$AX123,$A$10:$J$11,$J$9,FALSE)&amp;K$7,COM_2012!$B$58:$AH$58,0),FALSE),"")))</f>
        <v/>
      </c>
      <c r="L123" s="494" t="str">
        <f>IF(L$7&lt;2020,"",IF(C123="*","",IFERROR(VLOOKUP($C123,COM_2012!$B$61:$AH$120,MATCH(VLOOKUP("*"&amp;$AX123,$A$10:$J$11,$J$9,FALSE)&amp;L$7,COM_2012!$B$58:$AH$58,0),FALSE),"")))</f>
        <v/>
      </c>
      <c r="M123" s="494" t="str">
        <f>IF(M$7&lt;2020,"",IF(D123="*","",IFERROR(VLOOKUP($C123,COM_2012!$B$61:$AH$120,MATCH(VLOOKUP("*"&amp;$AX123,$A$10:$J$11,$J$9,FALSE)&amp;M$7,COM_2012!$B$58:$AH$58,0),FALSE),"")))</f>
        <v/>
      </c>
      <c r="N123" s="494" t="str">
        <f ca="1">IFERROR(VLOOKUP($C123,COM_2012!$B$61:$AH$120,MATCH(VLOOKUP("*"&amp;$AX123,$A$10:$J$11,$J$9,FALSE)&amp;N$7,COM_2012!$B$58:$AH$58,0),FALSE),"")</f>
        <v/>
      </c>
      <c r="O123" s="494" t="str">
        <f>IF(O$7&lt;2020,"",IF($A123="*","",IFERROR(VLOOKUP($C123,' COM_2017_old'!$B$61:$AJ$120,MATCH(VLOOKUP("*"&amp;$AX123,$A$10:$J$11,$J$9,FALSE)&amp;O$7,' COM_2017_old'!$B$58:$AJ$58,0),FALSE),"")))</f>
        <v/>
      </c>
      <c r="P123" s="494" t="str">
        <f ca="1">IFERROR(VLOOKUP($C123,COM_2012!$B$61:$AH$120,MATCH(VLOOKUP("*"&amp;$AX123,$A$10:$J$11,$J$9,FALSE)&amp;P$7,COM_2012!$B$58:$AH$58,0),FALSE),"")</f>
        <v/>
      </c>
      <c r="Q123" s="494" t="str">
        <f ca="1">IFERROR(VLOOKUP($C123,COM_2012!$B$61:$AH$120,MATCH(VLOOKUP("*"&amp;$AX123,$A$10:$J$11,$J$9,FALSE)&amp;Q$7,COM_2012!$B$58:$AH$58,0),FALSE),"")</f>
        <v/>
      </c>
      <c r="R123" s="494">
        <f ca="1">IF($A123="*","",IFERROR(VLOOKUP($C123,' COM_2017_old'!$B$61:$AJ$120,MATCH(VLOOKUP("*"&amp;$AX123,$A$10:$J$11,$J$9,FALSE)&amp;R$7,' COM_2017_old'!$B$58:$AJ$58,0),FALSE),""))</f>
        <v>0.96049019607843134</v>
      </c>
      <c r="S123" s="494">
        <f ca="1">IF($A123="*","",R123+($W123-$R123)/5)</f>
        <v>0.94662745098039214</v>
      </c>
      <c r="T123" s="494">
        <f t="shared" ref="T123:V123" ca="1" si="105">IF($A123="*","",S123+($W123-$R123)/5)</f>
        <v>0.93276470588235294</v>
      </c>
      <c r="U123" s="494">
        <f t="shared" ca="1" si="105"/>
        <v>0.91890196078431374</v>
      </c>
      <c r="V123" s="494">
        <f t="shared" ca="1" si="105"/>
        <v>0.90503921568627455</v>
      </c>
      <c r="W123" s="494">
        <f ca="1">IF($A123="*","",IFERROR(VLOOKUP($C123,' COM_2017_old'!$B$61:$AJ$120,MATCH(VLOOKUP("*"&amp;$AX123,$A$10:$J$11,$J$9,FALSE)&amp;W$7,' COM_2017_old'!$B$58:$AJ$58,0),FALSE),""))</f>
        <v>0.89117647058823535</v>
      </c>
      <c r="X123" s="494">
        <f ca="1">IF($A123="*","",W123+($AB123-$W123)/5)</f>
        <v>0.85156862745098039</v>
      </c>
      <c r="Y123" s="494">
        <f t="shared" ref="Y123:AA123" ca="1" si="106">IF($A123="*","",X123+($AB123-$W123)/5)</f>
        <v>0.81196078431372543</v>
      </c>
      <c r="Z123" s="494">
        <f t="shared" ca="1" si="106"/>
        <v>0.77235294117647046</v>
      </c>
      <c r="AA123" s="494">
        <f t="shared" ca="1" si="106"/>
        <v>0.7327450980392155</v>
      </c>
      <c r="AB123" s="494">
        <f ca="1">IF($A123="*","",IFERROR(VLOOKUP($C123,' COM_2017_old'!$B$61:$AJ$120,MATCH(VLOOKUP("*"&amp;$AX123,$A$10:$J$11,$J$9,FALSE)&amp;AB$7,' COM_2017_old'!$B$58:$AJ$58,0),FALSE),""))</f>
        <v>0.69313725490196076</v>
      </c>
      <c r="AC123" s="494">
        <f ca="1">IF($A123="*","",AB123+($AG123-$AB123)/5)</f>
        <v>0.64362745098039209</v>
      </c>
      <c r="AD123" s="494">
        <f t="shared" ref="AD123:AF123" ca="1" si="107">IF($A123="*","",AC123+($AG123-$AB123)/5)</f>
        <v>0.59411764705882342</v>
      </c>
      <c r="AE123" s="494">
        <f t="shared" ca="1" si="107"/>
        <v>0.54460784313725474</v>
      </c>
      <c r="AF123" s="494">
        <f t="shared" ca="1" si="107"/>
        <v>0.49509803921568613</v>
      </c>
      <c r="AG123" s="494">
        <f ca="1">IF($A123="*","",IFERROR(VLOOKUP($C123,' COM_2017_old'!$B$61:$AJ$120,MATCH(VLOOKUP("*"&amp;$AX123,$A$10:$J$11,$J$9,FALSE)&amp;AG$7,' COM_2017_old'!$B$58:$AJ$58,0),FALSE),""))</f>
        <v>0.44558823529411767</v>
      </c>
      <c r="AH123" s="494">
        <f ca="1">IF($A123="*","",AG123+($AL123-$AG123)/5)</f>
        <v>0.38617647058823529</v>
      </c>
      <c r="AI123" s="494">
        <f t="shared" ref="AI123:AK123" ca="1" si="108">IF($A123="*","",AH123+($AL123-$AG123)/5)</f>
        <v>0.3267647058823529</v>
      </c>
      <c r="AJ123" s="494">
        <f t="shared" ca="1" si="108"/>
        <v>0.26735294117647052</v>
      </c>
      <c r="AK123" s="494">
        <f t="shared" ca="1" si="108"/>
        <v>0.20794117647058816</v>
      </c>
      <c r="AL123" s="494">
        <f ca="1">IF($A123="*","",IFERROR(VLOOKUP($C123,' COM_2017_old'!$B$61:$AJ$120,MATCH(VLOOKUP("*"&amp;$AX123,$A$10:$J$11,$J$9,FALSE)&amp;AL$7,' COM_2017_old'!$B$58:$AJ$58,0),FALSE),""))</f>
        <v>0.14852941176470588</v>
      </c>
      <c r="AM123" s="494">
        <f ca="1">IF($A123="*","",IFERROR(VLOOKUP($C123,' COM_2017_old'!$B$61:$AJ$120,MATCH(VLOOKUP("*"&amp;$AX123,$A$10:$J$11,$J$9,FALSE)&amp;AM$7,' COM_2017_old'!$B$58:$AJ$58,0),FALSE),""))</f>
        <v>4.9509803921568632E-2</v>
      </c>
      <c r="AN123" s="494">
        <f ca="1">IF($A123="*","",IFERROR(VLOOKUP($C123,' COM_2017_old'!$B$61:$AJ$120,MATCH(VLOOKUP("*"&amp;$AX123,$A$10:$J$11,$J$9,FALSE)&amp;AN$7,' COM_2017_old'!$B$58:$AJ$58,0),FALSE),""))</f>
        <v>0</v>
      </c>
      <c r="AO123" s="391" t="str">
        <f ca="1">IFERROR(VLOOKUP($C123,COM_2012!$B$61:$AH$120,MATCH(VLOOKUP("*"&amp;$AX123,$A$10:$J$11,$J$9,FALSE)&amp;AO$7,COM_2012!$B$58:$AH$58,0),FALSE),"")</f>
        <v/>
      </c>
      <c r="AP123" s="391" t="str">
        <f ca="1">IFERROR(VLOOKUP($C123,COM_2012!$B$61:$AH$120,MATCH(VLOOKUP("*"&amp;$AX123,$A$10:$J$11,$J$9,FALSE)&amp;AP$7,COM_2012!$B$58:$AH$58,0),FALSE),"")</f>
        <v/>
      </c>
      <c r="AQ123" s="391" t="str">
        <f ca="1">IFERROR(VLOOKUP($C123,COM_2012!$B$61:$AH$120,MATCH(VLOOKUP("*"&amp;$AX123,$A$10:$J$11,$J$9,FALSE)&amp;AQ$7,COM_2012!$B$58:$AH$58,0),FALSE),"")</f>
        <v/>
      </c>
      <c r="AR123" s="391" t="str">
        <f ca="1">IFERROR(VLOOKUP($C123,COM_2012!$B$61:$AH$120,MATCH(VLOOKUP("*"&amp;$AX123,$A$10:$J$11,$J$9,FALSE)&amp;AR$7,COM_2012!$B$58:$AH$58,0),FALSE),"")</f>
        <v/>
      </c>
      <c r="AS123" s="391" t="str">
        <f ca="1">IFERROR(VLOOKUP($C123,COM_2012!$B$61:$AH$120,MATCH(VLOOKUP("*"&amp;$AX123,$A$10:$J$11,$J$9,FALSE)&amp;AS$7,COM_2012!$B$58:$AH$58,0),FALSE),"")</f>
        <v/>
      </c>
      <c r="AT123" s="391" t="str">
        <f ca="1">IFERROR(VLOOKUP($C123,COM_2012!$B$61:$AH$120,MATCH(VLOOKUP("*"&amp;$AX123,$A$10:$J$11,$J$9,FALSE)&amp;AT$7,COM_2012!$B$58:$AH$58,0),FALSE),"")</f>
        <v/>
      </c>
      <c r="AU123" s="391" t="str">
        <f ca="1">IFERROR(VLOOKUP($C123,COM_2012!$B$61:$AH$120,MATCH(VLOOKUP("*"&amp;$AX123,$A$10:$J$11,$J$9,FALSE)&amp;AU$7,COM_2012!$B$58:$AH$58,0),FALSE),"")</f>
        <v/>
      </c>
      <c r="AV123" s="391" t="str">
        <f ca="1">IFERROR(VLOOKUP($C123,COM_2012!$B$61:$AH$120,MATCH(VLOOKUP("*"&amp;$AX123,$A$10:$J$11,$J$9,FALSE)&amp;AV$7,COM_2012!$B$58:$AH$58,0),FALSE),"")</f>
        <v/>
      </c>
      <c r="AW123" s="391" t="str">
        <f ca="1">IFERROR(VLOOKUP($C123,COM_2012!$B$61:$AH$120,MATCH(VLOOKUP("*"&amp;$AX123,$A$10:$J$11,$J$9,FALSE)&amp;AW$7,COM_2012!$B$58:$AH$58,0),FALSE),"")</f>
        <v/>
      </c>
      <c r="AX123" s="304">
        <f>IF(AY122=COM_2012!$AI$121,AX122+1,AX122)</f>
        <v>2</v>
      </c>
      <c r="AY123" s="304">
        <f t="shared" si="100"/>
        <v>50</v>
      </c>
    </row>
    <row r="124" spans="1:51">
      <c r="A124" s="304" t="str">
        <f ca="1">IF(LEFT(OFFSET(COM_2012!$A$60,AY124,0),2)="\I","*","")</f>
        <v>*</v>
      </c>
      <c r="B124" s="369" t="str">
        <f t="shared" ca="1" si="103"/>
        <v/>
      </c>
      <c r="C124" s="369" t="str">
        <f ca="1">IF($A124="*","",OFFSET(COM_2012!$B$60,AY124,0))</f>
        <v/>
      </c>
      <c r="D124" s="369" t="str">
        <f t="shared" ca="1" si="104"/>
        <v/>
      </c>
      <c r="E124" s="369" t="str">
        <f t="shared" ca="1" si="101"/>
        <v/>
      </c>
      <c r="F124" s="370" t="str">
        <f t="shared" ca="1" si="73"/>
        <v/>
      </c>
      <c r="G124" s="370" t="str">
        <f t="shared" ca="1" si="73"/>
        <v/>
      </c>
      <c r="H124" s="370" t="str">
        <f t="shared" ca="1" si="102"/>
        <v/>
      </c>
      <c r="I124" s="370" t="str">
        <f t="shared" ca="1" si="102"/>
        <v/>
      </c>
      <c r="J124" s="494" t="str">
        <f>IF(J$7&lt;2020,"",IF(A124="*","",IFERROR(VLOOKUP($C124,COM_2012!$B$61:$AH$120,MATCH(VLOOKUP("*"&amp;$AX124,$A$10:$J$11,$J$9,FALSE)&amp;J$7,COM_2012!$B$58:$AH$58,0),FALSE),"")))</f>
        <v/>
      </c>
      <c r="K124" s="494" t="str">
        <f>IF(K$7&lt;2020,"",IF(B124="*","",IFERROR(VLOOKUP($C124,COM_2012!$B$61:$AH$120,MATCH(VLOOKUP("*"&amp;$AX124,$A$10:$J$11,$J$9,FALSE)&amp;K$7,COM_2012!$B$58:$AH$58,0),FALSE),"")))</f>
        <v/>
      </c>
      <c r="L124" s="494" t="str">
        <f>IF(L$7&lt;2020,"",IF(C124="*","",IFERROR(VLOOKUP($C124,COM_2012!$B$61:$AH$120,MATCH(VLOOKUP("*"&amp;$AX124,$A$10:$J$11,$J$9,FALSE)&amp;L$7,COM_2012!$B$58:$AH$58,0),FALSE),"")))</f>
        <v/>
      </c>
      <c r="M124" s="494" t="str">
        <f>IF(M$7&lt;2020,"",IF(D124="*","",IFERROR(VLOOKUP($C124,COM_2012!$B$61:$AH$120,MATCH(VLOOKUP("*"&amp;$AX124,$A$10:$J$11,$J$9,FALSE)&amp;M$7,COM_2012!$B$58:$AH$58,0),FALSE),"")))</f>
        <v/>
      </c>
      <c r="N124" s="494" t="str">
        <f ca="1">IFERROR(VLOOKUP($C124,COM_2012!$B$61:$AH$120,MATCH(VLOOKUP("*"&amp;$AX124,$A$10:$J$11,$J$9,FALSE)&amp;N$7,COM_2012!$B$58:$AH$58,0),FALSE),"")</f>
        <v/>
      </c>
      <c r="O124" s="494" t="str">
        <f>IF(O$7&lt;2020,"",IF($A124="*","",IFERROR(VLOOKUP($C124,' COM_2017_old'!$B$61:$AJ$120,MATCH(VLOOKUP("*"&amp;$AX124,$A$10:$J$11,$J$9,FALSE)&amp;O$7,' COM_2017_old'!$B$58:$AJ$58,0),FALSE),"")))</f>
        <v/>
      </c>
      <c r="P124" s="494" t="str">
        <f ca="1">IFERROR(VLOOKUP($C124,COM_2012!$B$61:$AH$120,MATCH(VLOOKUP("*"&amp;$AX124,$A$10:$J$11,$J$9,FALSE)&amp;P$7,COM_2012!$B$58:$AH$58,0),FALSE),"")</f>
        <v/>
      </c>
      <c r="Q124" s="494" t="str">
        <f ca="1">IFERROR(VLOOKUP($C124,COM_2012!$B$61:$AH$120,MATCH(VLOOKUP("*"&amp;$AX124,$A$10:$J$11,$J$9,FALSE)&amp;Q$7,COM_2012!$B$58:$AH$58,0),FALSE),"")</f>
        <v/>
      </c>
      <c r="R124" s="494" t="str">
        <f ca="1">IF($A124="*","",IFERROR(VLOOKUP($C124,' COM_2017_old'!$B$61:$AJ$120,MATCH(VLOOKUP("*"&amp;$AX124,$A$10:$J$11,$J$9,FALSE)&amp;R$7,' COM_2017_old'!$B$58:$AJ$58,0),FALSE),""))</f>
        <v/>
      </c>
      <c r="S124" s="494" t="str">
        <f ca="1">IFERROR(VLOOKUP($C124,COM_2012!$B$61:$AH$120,MATCH(VLOOKUP("*"&amp;$AX124,$A$10:$J$11,$J$9,FALSE)&amp;S$7,COM_2012!$B$58:$AH$58,0),FALSE),"")</f>
        <v/>
      </c>
      <c r="T124" s="494" t="str">
        <f ca="1">IFERROR(VLOOKUP($C124,COM_2012!$B$61:$AH$120,MATCH(VLOOKUP("*"&amp;$AX124,$A$10:$J$11,$J$9,FALSE)&amp;T$7,COM_2012!$B$58:$AH$58,0),FALSE),"")</f>
        <v/>
      </c>
      <c r="U124" s="494" t="str">
        <f ca="1">IFERROR(VLOOKUP($C124,COM_2012!$B$61:$AH$120,MATCH(VLOOKUP("*"&amp;$AX124,$A$10:$J$11,$J$9,FALSE)&amp;U$7,COM_2012!$B$58:$AH$58,0),FALSE),"")</f>
        <v/>
      </c>
      <c r="V124" s="494" t="str">
        <f ca="1">IFERROR(VLOOKUP($C124,COM_2012!$B$61:$AH$120,MATCH(VLOOKUP("*"&amp;$AX124,$A$10:$J$11,$J$9,FALSE)&amp;V$7,COM_2012!$B$58:$AH$58,0),FALSE),"")</f>
        <v/>
      </c>
      <c r="W124" s="494" t="str">
        <f ca="1">IF($A124="*","",IFERROR(VLOOKUP($C124,' COM_2017_old'!$B$61:$AJ$120,MATCH(VLOOKUP("*"&amp;$AX124,$A$10:$J$11,$J$9,FALSE)&amp;W$7,' COM_2017_old'!$B$58:$AJ$58,0),FALSE),""))</f>
        <v/>
      </c>
      <c r="X124" s="494" t="str">
        <f ca="1">IFERROR(VLOOKUP($C124,COM_2012!$B$61:$AH$120,MATCH(VLOOKUP("*"&amp;$AX124,$A$10:$J$11,$J$9,FALSE)&amp;X$7,COM_2012!$B$58:$AH$58,0),FALSE),"")</f>
        <v/>
      </c>
      <c r="Y124" s="494" t="str">
        <f ca="1">IFERROR(VLOOKUP($C124,COM_2012!$B$61:$AH$120,MATCH(VLOOKUP("*"&amp;$AX124,$A$10:$J$11,$J$9,FALSE)&amp;Y$7,COM_2012!$B$58:$AH$58,0),FALSE),"")</f>
        <v/>
      </c>
      <c r="Z124" s="494" t="str">
        <f ca="1">IFERROR(VLOOKUP($C124,COM_2012!$B$61:$AH$120,MATCH(VLOOKUP("*"&amp;$AX124,$A$10:$J$11,$J$9,FALSE)&amp;Z$7,COM_2012!$B$58:$AH$58,0),FALSE),"")</f>
        <v/>
      </c>
      <c r="AA124" s="494" t="str">
        <f ca="1">IFERROR(VLOOKUP($C124,COM_2012!$B$61:$AH$120,MATCH(VLOOKUP("*"&amp;$AX124,$A$10:$J$11,$J$9,FALSE)&amp;AA$7,COM_2012!$B$58:$AH$58,0),FALSE),"")</f>
        <v/>
      </c>
      <c r="AB124" s="494" t="str">
        <f ca="1">IF($A124="*","",IFERROR(VLOOKUP($C124,' COM_2017_old'!$B$61:$AJ$120,MATCH(VLOOKUP("*"&amp;$AX124,$A$10:$J$11,$J$9,FALSE)&amp;AB$7,' COM_2017_old'!$B$58:$AJ$58,0),FALSE),""))</f>
        <v/>
      </c>
      <c r="AC124" s="494" t="str">
        <f ca="1">IFERROR(VLOOKUP($C124,COM_2012!$B$61:$AH$120,MATCH(VLOOKUP("*"&amp;$AX124,$A$10:$J$11,$J$9,FALSE)&amp;AC$7,COM_2012!$B$58:$AH$58,0),FALSE),"")</f>
        <v/>
      </c>
      <c r="AD124" s="391" t="str">
        <f ca="1">IFERROR(VLOOKUP($C124,COM_2012!$B$61:$AH$120,MATCH(VLOOKUP("*"&amp;$AX124,$A$10:$J$11,$J$9,FALSE)&amp;AD$7,COM_2012!$B$58:$AH$58,0),FALSE),"")</f>
        <v/>
      </c>
      <c r="AE124" s="391" t="str">
        <f ca="1">IFERROR(VLOOKUP($C124,COM_2012!$B$61:$AH$120,MATCH(VLOOKUP("*"&amp;$AX124,$A$10:$J$11,$J$9,FALSE)&amp;AE$7,COM_2012!$B$58:$AH$58,0),FALSE),"")</f>
        <v/>
      </c>
      <c r="AF124" s="391" t="str">
        <f ca="1">IFERROR(VLOOKUP($C124,COM_2012!$B$61:$AH$120,MATCH(VLOOKUP("*"&amp;$AX124,$A$10:$J$11,$J$9,FALSE)&amp;AF$7,COM_2012!$B$58:$AH$58,0),FALSE),"")</f>
        <v/>
      </c>
      <c r="AG124" s="494" t="str">
        <f ca="1">IF($A124="*","",IFERROR(VLOOKUP($C124,' COM_2017_old'!$B$61:$AJ$120,MATCH(VLOOKUP("*"&amp;$AX124,$A$10:$J$11,$J$9,FALSE)&amp;AG$7,' COM_2017_old'!$B$58:$AJ$58,0),FALSE),""))</f>
        <v/>
      </c>
      <c r="AH124" s="391" t="str">
        <f ca="1">IFERROR(VLOOKUP($C124,COM_2012!$B$61:$AH$120,MATCH(VLOOKUP("*"&amp;$AX124,$A$10:$J$11,$J$9,FALSE)&amp;AH$7,COM_2012!$B$58:$AH$58,0),FALSE),"")</f>
        <v/>
      </c>
      <c r="AI124" s="391" t="str">
        <f ca="1">IFERROR(VLOOKUP($C124,COM_2012!$B$61:$AH$120,MATCH(VLOOKUP("*"&amp;$AX124,$A$10:$J$11,$J$9,FALSE)&amp;AI$7,COM_2012!$B$58:$AH$58,0),FALSE),"")</f>
        <v/>
      </c>
      <c r="AJ124" s="391" t="str">
        <f ca="1">IFERROR(VLOOKUP($C124,COM_2012!$B$61:$AH$120,MATCH(VLOOKUP("*"&amp;$AX124,$A$10:$J$11,$J$9,FALSE)&amp;AJ$7,COM_2012!$B$58:$AH$58,0),FALSE),"")</f>
        <v/>
      </c>
      <c r="AK124" s="391" t="str">
        <f ca="1">IFERROR(VLOOKUP($C124,COM_2012!$B$61:$AH$120,MATCH(VLOOKUP("*"&amp;$AX124,$A$10:$J$11,$J$9,FALSE)&amp;AK$7,COM_2012!$B$58:$AH$58,0),FALSE),"")</f>
        <v/>
      </c>
      <c r="AL124" s="494" t="str">
        <f ca="1">IF($A124="*","",IFERROR(VLOOKUP($C124,' COM_2017_old'!$B$61:$AJ$120,MATCH(VLOOKUP("*"&amp;$AX124,$A$10:$J$11,$J$9,FALSE)&amp;AL$7,' COM_2017_old'!$B$58:$AJ$58,0),FALSE),""))</f>
        <v/>
      </c>
      <c r="AM124" s="494" t="str">
        <f ca="1">IF($A124="*","",IFERROR(VLOOKUP($C124,' COM_2017_old'!$B$61:$AJ$120,MATCH(VLOOKUP("*"&amp;$AX124,$A$10:$J$11,$J$9,FALSE)&amp;AM$7,' COM_2017_old'!$B$58:$AJ$58,0),FALSE),""))</f>
        <v/>
      </c>
      <c r="AN124" s="494" t="str">
        <f ca="1">IF($A124="*","",IFERROR(VLOOKUP($C124,' COM_2017_old'!$B$61:$AJ$120,MATCH(VLOOKUP("*"&amp;$AX124,$A$10:$J$11,$J$9,FALSE)&amp;AN$7,' COM_2017_old'!$B$58:$AJ$58,0),FALSE),""))</f>
        <v/>
      </c>
      <c r="AO124" s="391" t="str">
        <f ca="1">IFERROR(VLOOKUP($C124,COM_2012!$B$61:$AH$120,MATCH(VLOOKUP("*"&amp;$AX124,$A$10:$J$11,$J$9,FALSE)&amp;AO$7,COM_2012!$B$58:$AH$58,0),FALSE),"")</f>
        <v/>
      </c>
      <c r="AP124" s="391" t="str">
        <f ca="1">IFERROR(VLOOKUP($C124,COM_2012!$B$61:$AH$120,MATCH(VLOOKUP("*"&amp;$AX124,$A$10:$J$11,$J$9,FALSE)&amp;AP$7,COM_2012!$B$58:$AH$58,0),FALSE),"")</f>
        <v/>
      </c>
      <c r="AQ124" s="391" t="str">
        <f ca="1">IFERROR(VLOOKUP($C124,COM_2012!$B$61:$AH$120,MATCH(VLOOKUP("*"&amp;$AX124,$A$10:$J$11,$J$9,FALSE)&amp;AQ$7,COM_2012!$B$58:$AH$58,0),FALSE),"")</f>
        <v/>
      </c>
      <c r="AR124" s="391" t="str">
        <f ca="1">IFERROR(VLOOKUP($C124,COM_2012!$B$61:$AH$120,MATCH(VLOOKUP("*"&amp;$AX124,$A$10:$J$11,$J$9,FALSE)&amp;AR$7,COM_2012!$B$58:$AH$58,0),FALSE),"")</f>
        <v/>
      </c>
      <c r="AS124" s="391" t="str">
        <f ca="1">IFERROR(VLOOKUP($C124,COM_2012!$B$61:$AH$120,MATCH(VLOOKUP("*"&amp;$AX124,$A$10:$J$11,$J$9,FALSE)&amp;AS$7,COM_2012!$B$58:$AH$58,0),FALSE),"")</f>
        <v/>
      </c>
      <c r="AT124" s="391" t="str">
        <f ca="1">IFERROR(VLOOKUP($C124,COM_2012!$B$61:$AH$120,MATCH(VLOOKUP("*"&amp;$AX124,$A$10:$J$11,$J$9,FALSE)&amp;AT$7,COM_2012!$B$58:$AH$58,0),FALSE),"")</f>
        <v/>
      </c>
      <c r="AU124" s="391" t="str">
        <f ca="1">IFERROR(VLOOKUP($C124,COM_2012!$B$61:$AH$120,MATCH(VLOOKUP("*"&amp;$AX124,$A$10:$J$11,$J$9,FALSE)&amp;AU$7,COM_2012!$B$58:$AH$58,0),FALSE),"")</f>
        <v/>
      </c>
      <c r="AV124" s="391" t="str">
        <f ca="1">IFERROR(VLOOKUP($C124,COM_2012!$B$61:$AH$120,MATCH(VLOOKUP("*"&amp;$AX124,$A$10:$J$11,$J$9,FALSE)&amp;AV$7,COM_2012!$B$58:$AH$58,0),FALSE),"")</f>
        <v/>
      </c>
      <c r="AW124" s="391" t="str">
        <f ca="1">IFERROR(VLOOKUP($C124,COM_2012!$B$61:$AH$120,MATCH(VLOOKUP("*"&amp;$AX124,$A$10:$J$11,$J$9,FALSE)&amp;AW$7,COM_2012!$B$58:$AH$58,0),FALSE),"")</f>
        <v/>
      </c>
      <c r="AX124" s="304">
        <f>IF(AY123=COM_2012!$AI$121,AX123+1,AX123)</f>
        <v>2</v>
      </c>
      <c r="AY124" s="304">
        <f t="shared" si="100"/>
        <v>51</v>
      </c>
    </row>
    <row r="125" spans="1:51">
      <c r="A125" s="304" t="s">
        <v>709</v>
      </c>
      <c r="B125" s="369" t="str">
        <f t="shared" ref="B125:B134" si="109">IF(A125="*","",VLOOKUP("*"&amp;AX125,$A$9:$B$11,2,FALSE))</f>
        <v/>
      </c>
      <c r="C125" s="369" t="str">
        <f ca="1">IF($A125="*","",OFFSET(COM_2012!$B$60,AY125,0))</f>
        <v/>
      </c>
      <c r="D125" s="369" t="str">
        <f t="shared" ref="D125:D134" si="110">IF($A125="*","",LEFT(C125,3))</f>
        <v/>
      </c>
      <c r="E125" s="369" t="str">
        <f t="shared" si="101"/>
        <v/>
      </c>
      <c r="F125" s="370" t="str">
        <f t="shared" si="73"/>
        <v/>
      </c>
      <c r="G125" s="370" t="str">
        <f t="shared" si="73"/>
        <v/>
      </c>
      <c r="H125" s="370" t="str">
        <f t="shared" si="102"/>
        <v/>
      </c>
      <c r="I125" s="370" t="str">
        <f t="shared" si="102"/>
        <v/>
      </c>
      <c r="J125" s="494" t="str">
        <f>IF(J$7&lt;2020,"",IF(A125="*","",IFERROR(VLOOKUP($C125,COM_2012!$B$61:$AH$120,MATCH(VLOOKUP("*"&amp;$AX125,$A$10:$J$11,$J$9,FALSE)&amp;J$7,COM_2012!$B$58:$AH$58,0),FALSE),"")))</f>
        <v/>
      </c>
      <c r="K125" s="494" t="str">
        <f>IF(K$7&lt;2020,"",IF(B125="*","",IFERROR(VLOOKUP($C125,COM_2012!$B$61:$AH$120,MATCH(VLOOKUP("*"&amp;$AX125,$A$10:$J$11,$J$9,FALSE)&amp;K$7,COM_2012!$B$58:$AH$58,0),FALSE),"")))</f>
        <v/>
      </c>
      <c r="L125" s="494" t="str">
        <f>IF(L$7&lt;2020,"",IF(C125="*","",IFERROR(VLOOKUP($C125,COM_2012!$B$61:$AH$120,MATCH(VLOOKUP("*"&amp;$AX125,$A$10:$J$11,$J$9,FALSE)&amp;L$7,COM_2012!$B$58:$AH$58,0),FALSE),"")))</f>
        <v/>
      </c>
      <c r="M125" s="494" t="str">
        <f>IF(M$7&lt;2020,"",IF(D125="*","",IFERROR(VLOOKUP($C125,COM_2012!$B$61:$AH$120,MATCH(VLOOKUP("*"&amp;$AX125,$A$10:$J$11,$J$9,FALSE)&amp;M$7,COM_2012!$B$58:$AH$58,0),FALSE),"")))</f>
        <v/>
      </c>
      <c r="N125" s="494" t="str">
        <f ca="1">IFERROR(VLOOKUP($C125,COM_2012!$B$61:$AH$120,MATCH(VLOOKUP("*"&amp;$AX125,$A$10:$J$11,$J$9,FALSE)&amp;N$7,COM_2012!$B$58:$AH$58,0),FALSE),"")</f>
        <v/>
      </c>
      <c r="O125" s="494" t="str">
        <f>IF(O$7&lt;2020,"",IF($A125="*","",IFERROR(VLOOKUP($C125,' COM_2017_old'!$B$61:$AJ$120,MATCH(VLOOKUP("*"&amp;$AX125,$A$10:$J$11,$J$9,FALSE)&amp;O$7,' COM_2017_old'!$B$58:$AJ$58,0),FALSE),"")))</f>
        <v/>
      </c>
      <c r="P125" s="494" t="str">
        <f ca="1">IFERROR(VLOOKUP($C125,COM_2012!$B$61:$AH$120,MATCH(VLOOKUP("*"&amp;$AX125,$A$10:$J$11,$J$9,FALSE)&amp;P$7,COM_2012!$B$58:$AH$58,0),FALSE),"")</f>
        <v/>
      </c>
      <c r="Q125" s="494" t="str">
        <f ca="1">IFERROR(VLOOKUP($C125,COM_2012!$B$61:$AH$120,MATCH(VLOOKUP("*"&amp;$AX125,$A$10:$J$11,$J$9,FALSE)&amp;Q$7,COM_2012!$B$58:$AH$58,0),FALSE),"")</f>
        <v/>
      </c>
      <c r="R125" s="494" t="str">
        <f>IF($A125="*","",IFERROR(VLOOKUP($C125,' COM_2017_old'!$B$61:$AJ$120,MATCH(VLOOKUP("*"&amp;$AX125,$A$10:$J$11,$J$9,FALSE)&amp;R$7,' COM_2017_old'!$B$58:$AJ$58,0),FALSE),""))</f>
        <v/>
      </c>
      <c r="S125" s="494" t="str">
        <f ca="1">IFERROR(VLOOKUP($C125,COM_2012!$B$61:$AH$120,MATCH(VLOOKUP("*"&amp;$AX125,$A$10:$J$11,$J$9,FALSE)&amp;S$7,COM_2012!$B$58:$AH$58,0),FALSE),"")</f>
        <v/>
      </c>
      <c r="T125" s="494" t="str">
        <f ca="1">IFERROR(VLOOKUP($C125,COM_2012!$B$61:$AH$120,MATCH(VLOOKUP("*"&amp;$AX125,$A$10:$J$11,$J$9,FALSE)&amp;T$7,COM_2012!$B$58:$AH$58,0),FALSE),"")</f>
        <v/>
      </c>
      <c r="U125" s="494" t="str">
        <f ca="1">IFERROR(VLOOKUP($C125,COM_2012!$B$61:$AH$120,MATCH(VLOOKUP("*"&amp;$AX125,$A$10:$J$11,$J$9,FALSE)&amp;U$7,COM_2012!$B$58:$AH$58,0),FALSE),"")</f>
        <v/>
      </c>
      <c r="V125" s="494" t="str">
        <f ca="1">IFERROR(VLOOKUP($C125,COM_2012!$B$61:$AH$120,MATCH(VLOOKUP("*"&amp;$AX125,$A$10:$J$11,$J$9,FALSE)&amp;V$7,COM_2012!$B$58:$AH$58,0),FALSE),"")</f>
        <v/>
      </c>
      <c r="W125" s="494" t="str">
        <f>IF($A125="*","",IFERROR(VLOOKUP($C125,' COM_2017_old'!$B$61:$AJ$120,MATCH(VLOOKUP("*"&amp;$AX125,$A$10:$J$11,$J$9,FALSE)&amp;W$7,' COM_2017_old'!$B$58:$AJ$58,0),FALSE),""))</f>
        <v/>
      </c>
      <c r="X125" s="494" t="str">
        <f ca="1">IFERROR(VLOOKUP($C125,COM_2012!$B$61:$AH$120,MATCH(VLOOKUP("*"&amp;$AX125,$A$10:$J$11,$J$9,FALSE)&amp;X$7,COM_2012!$B$58:$AH$58,0),FALSE),"")</f>
        <v/>
      </c>
      <c r="Y125" s="494" t="str">
        <f ca="1">IFERROR(VLOOKUP($C125,COM_2012!$B$61:$AH$120,MATCH(VLOOKUP("*"&amp;$AX125,$A$10:$J$11,$J$9,FALSE)&amp;Y$7,COM_2012!$B$58:$AH$58,0),FALSE),"")</f>
        <v/>
      </c>
      <c r="Z125" s="494" t="str">
        <f ca="1">IFERROR(VLOOKUP($C125,COM_2012!$B$61:$AH$120,MATCH(VLOOKUP("*"&amp;$AX125,$A$10:$J$11,$J$9,FALSE)&amp;Z$7,COM_2012!$B$58:$AH$58,0),FALSE),"")</f>
        <v/>
      </c>
      <c r="AA125" s="494" t="str">
        <f ca="1">IFERROR(VLOOKUP($C125,COM_2012!$B$61:$AH$120,MATCH(VLOOKUP("*"&amp;$AX125,$A$10:$J$11,$J$9,FALSE)&amp;AA$7,COM_2012!$B$58:$AH$58,0),FALSE),"")</f>
        <v/>
      </c>
      <c r="AB125" s="494" t="str">
        <f>IF($A125="*","",IFERROR(VLOOKUP($C125,' COM_2017_old'!$B$61:$AJ$120,MATCH(VLOOKUP("*"&amp;$AX125,$A$10:$J$11,$J$9,FALSE)&amp;AB$7,' COM_2017_old'!$B$58:$AJ$58,0),FALSE),""))</f>
        <v/>
      </c>
      <c r="AC125" s="494" t="str">
        <f ca="1">IFERROR(VLOOKUP($C125,COM_2012!$B$61:$AH$120,MATCH(VLOOKUP("*"&amp;$AX125,$A$10:$J$11,$J$9,FALSE)&amp;AC$7,COM_2012!$B$58:$AH$58,0),FALSE),"")</f>
        <v/>
      </c>
      <c r="AD125" s="391" t="str">
        <f ca="1">IFERROR(VLOOKUP($C125,COM_2012!$B$61:$AH$120,MATCH(VLOOKUP("*"&amp;$AX125,$A$10:$J$11,$J$9,FALSE)&amp;AD$7,COM_2012!$B$58:$AH$58,0),FALSE),"")</f>
        <v/>
      </c>
      <c r="AE125" s="391" t="str">
        <f ca="1">IFERROR(VLOOKUP($C125,COM_2012!$B$61:$AH$120,MATCH(VLOOKUP("*"&amp;$AX125,$A$10:$J$11,$J$9,FALSE)&amp;AE$7,COM_2012!$B$58:$AH$58,0),FALSE),"")</f>
        <v/>
      </c>
      <c r="AF125" s="391" t="str">
        <f ca="1">IFERROR(VLOOKUP($C125,COM_2012!$B$61:$AH$120,MATCH(VLOOKUP("*"&amp;$AX125,$A$10:$J$11,$J$9,FALSE)&amp;AF$7,COM_2012!$B$58:$AH$58,0),FALSE),"")</f>
        <v/>
      </c>
      <c r="AG125" s="494" t="str">
        <f>IF($A125="*","",IFERROR(VLOOKUP($C125,' COM_2017_old'!$B$61:$AJ$120,MATCH(VLOOKUP("*"&amp;$AX125,$A$10:$J$11,$J$9,FALSE)&amp;AG$7,' COM_2017_old'!$B$58:$AJ$58,0),FALSE),""))</f>
        <v/>
      </c>
      <c r="AH125" s="391" t="str">
        <f ca="1">IFERROR(VLOOKUP($C125,COM_2012!$B$61:$AH$120,MATCH(VLOOKUP("*"&amp;$AX125,$A$10:$J$11,$J$9,FALSE)&amp;AH$7,COM_2012!$B$58:$AH$58,0),FALSE),"")</f>
        <v/>
      </c>
      <c r="AI125" s="391" t="str">
        <f ca="1">IFERROR(VLOOKUP($C125,COM_2012!$B$61:$AH$120,MATCH(VLOOKUP("*"&amp;$AX125,$A$10:$J$11,$J$9,FALSE)&amp;AI$7,COM_2012!$B$58:$AH$58,0),FALSE),"")</f>
        <v/>
      </c>
      <c r="AJ125" s="391" t="str">
        <f ca="1">IFERROR(VLOOKUP($C125,COM_2012!$B$61:$AH$120,MATCH(VLOOKUP("*"&amp;$AX125,$A$10:$J$11,$J$9,FALSE)&amp;AJ$7,COM_2012!$B$58:$AH$58,0),FALSE),"")</f>
        <v/>
      </c>
      <c r="AK125" s="391" t="str">
        <f ca="1">IFERROR(VLOOKUP($C125,COM_2012!$B$61:$AH$120,MATCH(VLOOKUP("*"&amp;$AX125,$A$10:$J$11,$J$9,FALSE)&amp;AK$7,COM_2012!$B$58:$AH$58,0),FALSE),"")</f>
        <v/>
      </c>
      <c r="AL125" s="494" t="str">
        <f>IF($A125="*","",IFERROR(VLOOKUP($C125,' COM_2017_old'!$B$61:$AJ$120,MATCH(VLOOKUP("*"&amp;$AX125,$A$10:$J$11,$J$9,FALSE)&amp;AL$7,' COM_2017_old'!$B$58:$AJ$58,0),FALSE),""))</f>
        <v/>
      </c>
      <c r="AM125" s="494" t="str">
        <f>IF($A125="*","",IFERROR(VLOOKUP($C125,' COM_2017_old'!$B$61:$AJ$120,MATCH(VLOOKUP("*"&amp;$AX125,$A$10:$J$11,$J$9,FALSE)&amp;AM$7,' COM_2017_old'!$B$58:$AJ$58,0),FALSE),""))</f>
        <v/>
      </c>
      <c r="AN125" s="494" t="str">
        <f>IF($A125="*","",IFERROR(VLOOKUP($C125,' COM_2017_old'!$B$61:$AJ$120,MATCH(VLOOKUP("*"&amp;$AX125,$A$10:$J$11,$J$9,FALSE)&amp;AN$7,' COM_2017_old'!$B$58:$AJ$58,0),FALSE),""))</f>
        <v/>
      </c>
      <c r="AO125" s="391" t="str">
        <f ca="1">IFERROR(VLOOKUP($C125,COM_2012!$B$61:$AH$120,MATCH(VLOOKUP("*"&amp;$AX125,$A$10:$J$11,$J$9,FALSE)&amp;AO$7,COM_2012!$B$58:$AH$58,0),FALSE),"")</f>
        <v/>
      </c>
      <c r="AP125" s="391" t="str">
        <f ca="1">IFERROR(VLOOKUP($C125,COM_2012!$B$61:$AH$120,MATCH(VLOOKUP("*"&amp;$AX125,$A$10:$J$11,$J$9,FALSE)&amp;AP$7,COM_2012!$B$58:$AH$58,0),FALSE),"")</f>
        <v/>
      </c>
      <c r="AQ125" s="391" t="str">
        <f ca="1">IFERROR(VLOOKUP($C125,COM_2012!$B$61:$AH$120,MATCH(VLOOKUP("*"&amp;$AX125,$A$10:$J$11,$J$9,FALSE)&amp;AQ$7,COM_2012!$B$58:$AH$58,0),FALSE),"")</f>
        <v/>
      </c>
      <c r="AR125" s="391" t="str">
        <f ca="1">IFERROR(VLOOKUP($C125,COM_2012!$B$61:$AH$120,MATCH(VLOOKUP("*"&amp;$AX125,$A$10:$J$11,$J$9,FALSE)&amp;AR$7,COM_2012!$B$58:$AH$58,0),FALSE),"")</f>
        <v/>
      </c>
      <c r="AS125" s="391" t="str">
        <f ca="1">IFERROR(VLOOKUP($C125,COM_2012!$B$61:$AH$120,MATCH(VLOOKUP("*"&amp;$AX125,$A$10:$J$11,$J$9,FALSE)&amp;AS$7,COM_2012!$B$58:$AH$58,0),FALSE),"")</f>
        <v/>
      </c>
      <c r="AT125" s="391" t="str">
        <f ca="1">IFERROR(VLOOKUP($C125,COM_2012!$B$61:$AH$120,MATCH(VLOOKUP("*"&amp;$AX125,$A$10:$J$11,$J$9,FALSE)&amp;AT$7,COM_2012!$B$58:$AH$58,0),FALSE),"")</f>
        <v/>
      </c>
      <c r="AU125" s="391" t="str">
        <f ca="1">IFERROR(VLOOKUP($C125,COM_2012!$B$61:$AH$120,MATCH(VLOOKUP("*"&amp;$AX125,$A$10:$J$11,$J$9,FALSE)&amp;AU$7,COM_2012!$B$58:$AH$58,0),FALSE),"")</f>
        <v/>
      </c>
      <c r="AV125" s="391" t="str">
        <f ca="1">IFERROR(VLOOKUP($C125,COM_2012!$B$61:$AH$120,MATCH(VLOOKUP("*"&amp;$AX125,$A$10:$J$11,$J$9,FALSE)&amp;AV$7,COM_2012!$B$58:$AH$58,0),FALSE),"")</f>
        <v/>
      </c>
      <c r="AW125" s="391" t="str">
        <f ca="1">IFERROR(VLOOKUP($C125,COM_2012!$B$61:$AH$120,MATCH(VLOOKUP("*"&amp;$AX125,$A$10:$J$11,$J$9,FALSE)&amp;AW$7,COM_2012!$B$58:$AH$58,0),FALSE),"")</f>
        <v/>
      </c>
      <c r="AX125" s="304">
        <f>IF(AY124=COM_2012!$AI$121,AX124+1,AX124)</f>
        <v>2</v>
      </c>
      <c r="AY125" s="304">
        <f t="shared" ref="AY125:AY134" si="111">IF(AX125=AX124,AY124+1,1)</f>
        <v>52</v>
      </c>
    </row>
    <row r="126" spans="1:51">
      <c r="B126" s="369" t="str">
        <f t="shared" si="109"/>
        <v>FLO_MRKPRD</v>
      </c>
      <c r="C126" s="369" t="str">
        <f ca="1">IF($A126="*","",OFFSET(COM_2012!$B$60,AY126,0))</f>
        <v>CEOCOA-E</v>
      </c>
      <c r="D126" s="369" t="str">
        <f t="shared" ca="1" si="110"/>
        <v>CEO</v>
      </c>
      <c r="E126" s="369" t="str">
        <f t="shared" si="101"/>
        <v>-</v>
      </c>
      <c r="F126" s="370" t="str">
        <f t="shared" si="73"/>
        <v>-</v>
      </c>
      <c r="G126" s="370" t="str">
        <f t="shared" si="73"/>
        <v>ANNUAL</v>
      </c>
      <c r="H126" s="370" t="str">
        <f t="shared" si="102"/>
        <v>LO</v>
      </c>
      <c r="I126" s="370">
        <f t="shared" si="102"/>
        <v>0</v>
      </c>
      <c r="J126" s="494" t="str">
        <f>IF(J$7&lt;2020,"",IF(A126="*","",IFERROR(VLOOKUP($C126,COM_2012!$B$61:$AH$120,MATCH(VLOOKUP("*"&amp;$AX126,$A$10:$J$11,$J$9,FALSE)&amp;J$7,COM_2012!$B$58:$AH$58,0),FALSE),"")))</f>
        <v/>
      </c>
      <c r="K126" s="494" t="str">
        <f>IF(K$7&lt;2020,"",IF(B126="*","",IFERROR(VLOOKUP($C126,COM_2012!$B$61:$AH$120,MATCH(VLOOKUP("*"&amp;$AX126,$A$10:$J$11,$J$9,FALSE)&amp;K$7,COM_2012!$B$58:$AH$58,0),FALSE),"")))</f>
        <v/>
      </c>
      <c r="L126" s="494" t="str">
        <f>IF(L$7&lt;2020,"",IF(C126="*","",IFERROR(VLOOKUP($C126,COM_2012!$B$61:$AH$120,MATCH(VLOOKUP("*"&amp;$AX126,$A$10:$J$11,$J$9,FALSE)&amp;L$7,COM_2012!$B$58:$AH$58,0),FALSE),"")))</f>
        <v/>
      </c>
      <c r="M126" s="494" t="str">
        <f>IF(M$7&lt;2020,"",IF(D126="*","",IFERROR(VLOOKUP($C126,COM_2012!$B$61:$AH$120,MATCH(VLOOKUP("*"&amp;$AX126,$A$10:$J$11,$J$9,FALSE)&amp;M$7,COM_2012!$B$58:$AH$58,0),FALSE),"")))</f>
        <v/>
      </c>
      <c r="N126" s="494" t="str">
        <f ca="1">IFERROR(VLOOKUP($C126,COM_2012!$B$61:$AH$120,MATCH(VLOOKUP("*"&amp;$AX126,$A$10:$J$11,$J$9,FALSE)&amp;N$7,COM_2012!$B$58:$AH$58,0),FALSE),"")</f>
        <v/>
      </c>
      <c r="O126" s="494" t="str">
        <f>IF(O$7&lt;2020,"",IF($A126="*","",IFERROR(VLOOKUP($C126,' COM_2017_old'!$B$61:$AJ$120,MATCH(VLOOKUP("*"&amp;$AX126,$A$10:$J$11,$J$9,FALSE)&amp;O$7,' COM_2017_old'!$B$58:$AJ$58,0),FALSE),"")))</f>
        <v/>
      </c>
      <c r="P126" s="494" t="str">
        <f ca="1">IFERROR(VLOOKUP($C126,COM_2012!$B$61:$AH$120,MATCH(VLOOKUP("*"&amp;$AX126,$A$10:$J$11,$J$9,FALSE)&amp;P$7,COM_2012!$B$58:$AH$58,0),FALSE),"")</f>
        <v/>
      </c>
      <c r="Q126" s="494" t="str">
        <f ca="1">IFERROR(VLOOKUP($C126,COM_2012!$B$61:$AH$120,MATCH(VLOOKUP("*"&amp;$AX126,$A$10:$J$11,$J$9,FALSE)&amp;Q$7,COM_2012!$B$58:$AH$58,0),FALSE),"")</f>
        <v/>
      </c>
      <c r="R126" s="494">
        <f ca="1">IF($A126="*","",IFERROR(VLOOKUP($C126,' COM_2017_old'!$B$61:$AJ$120,MATCH(VLOOKUP("*"&amp;$AX126,$A$10:$J$11,$J$9,FALSE)&amp;R$7,' COM_2017_old'!$B$58:$AJ$58,0),FALSE),""))</f>
        <v>0</v>
      </c>
      <c r="S126" s="494">
        <f t="shared" ref="S126:S132" ca="1" si="112">IF($A126="*","",R126+($W126-$R126)/5)</f>
        <v>0</v>
      </c>
      <c r="T126" s="494">
        <f t="shared" ref="T126:V132" ca="1" si="113">IF($A126="*","",S126+($W126-$R126)/5)</f>
        <v>0</v>
      </c>
      <c r="U126" s="494">
        <f t="shared" ca="1" si="113"/>
        <v>0</v>
      </c>
      <c r="V126" s="494">
        <f t="shared" ca="1" si="113"/>
        <v>0</v>
      </c>
      <c r="W126" s="494">
        <f ca="1">IF($A126="*","",IFERROR(VLOOKUP($C126,' COM_2017_old'!$B$61:$AJ$120,MATCH(VLOOKUP("*"&amp;$AX126,$A$10:$J$11,$J$9,FALSE)&amp;W$7,' COM_2017_old'!$B$58:$AJ$58,0),FALSE),""))</f>
        <v>0</v>
      </c>
      <c r="X126" s="494">
        <f t="shared" ref="X126:X132" ca="1" si="114">IF($A126="*","",W126+($AB126-$W126)/5)</f>
        <v>0</v>
      </c>
      <c r="Y126" s="494">
        <f t="shared" ref="Y126:AA132" ca="1" si="115">IF($A126="*","",X126+($AB126-$W126)/5)</f>
        <v>0</v>
      </c>
      <c r="Z126" s="494">
        <f t="shared" ca="1" si="115"/>
        <v>0</v>
      </c>
      <c r="AA126" s="494">
        <f t="shared" ca="1" si="115"/>
        <v>0</v>
      </c>
      <c r="AB126" s="494">
        <f ca="1">IF($A126="*","",IFERROR(VLOOKUP($C126,' COM_2017_old'!$B$61:$AJ$120,MATCH(VLOOKUP("*"&amp;$AX126,$A$10:$J$11,$J$9,FALSE)&amp;AB$7,' COM_2017_old'!$B$58:$AJ$58,0),FALSE),""))</f>
        <v>0</v>
      </c>
      <c r="AC126" s="494">
        <f t="shared" ref="AC126:AC132" ca="1" si="116">IF($A126="*","",AB126+($AG126-$AB126)/5)</f>
        <v>0</v>
      </c>
      <c r="AD126" s="494">
        <f t="shared" ref="AD126:AF132" ca="1" si="117">IF($A126="*","",AC126+($AG126-$AB126)/5)</f>
        <v>0</v>
      </c>
      <c r="AE126" s="494">
        <f t="shared" ca="1" si="117"/>
        <v>0</v>
      </c>
      <c r="AF126" s="494">
        <f t="shared" ca="1" si="117"/>
        <v>0</v>
      </c>
      <c r="AG126" s="494">
        <f ca="1">IF($A126="*","",IFERROR(VLOOKUP($C126,' COM_2017_old'!$B$61:$AJ$120,MATCH(VLOOKUP("*"&amp;$AX126,$A$10:$J$11,$J$9,FALSE)&amp;AG$7,' COM_2017_old'!$B$58:$AJ$58,0),FALSE),""))</f>
        <v>0</v>
      </c>
      <c r="AH126" s="494">
        <f t="shared" ref="AH126:AH132" ca="1" si="118">IF($A126="*","",AG126+($AL126-$AG126)/5)</f>
        <v>0</v>
      </c>
      <c r="AI126" s="494">
        <f t="shared" ref="AI126:AK132" ca="1" si="119">IF($A126="*","",AH126+($AL126-$AG126)/5)</f>
        <v>0</v>
      </c>
      <c r="AJ126" s="494">
        <f t="shared" ca="1" si="119"/>
        <v>0</v>
      </c>
      <c r="AK126" s="494">
        <f t="shared" ca="1" si="119"/>
        <v>0</v>
      </c>
      <c r="AL126" s="494">
        <f ca="1">IF($A126="*","",IFERROR(VLOOKUP($C126,' COM_2017_old'!$B$61:$AJ$120,MATCH(VLOOKUP("*"&amp;$AX126,$A$10:$J$11,$J$9,FALSE)&amp;AL$7,' COM_2017_old'!$B$58:$AJ$58,0),FALSE),""))</f>
        <v>0</v>
      </c>
      <c r="AM126" s="494">
        <f ca="1">IF($A126="*","",IFERROR(VLOOKUP($C126,' COM_2017_old'!$B$61:$AJ$120,MATCH(VLOOKUP("*"&amp;$AX126,$A$10:$J$11,$J$9,FALSE)&amp;AM$7,' COM_2017_old'!$B$58:$AJ$58,0),FALSE),""))</f>
        <v>0</v>
      </c>
      <c r="AN126" s="494">
        <f ca="1">IF($A126="*","",IFERROR(VLOOKUP($C126,' COM_2017_old'!$B$61:$AJ$120,MATCH(VLOOKUP("*"&amp;$AX126,$A$10:$J$11,$J$9,FALSE)&amp;AN$7,' COM_2017_old'!$B$58:$AJ$58,0),FALSE),""))</f>
        <v>0</v>
      </c>
      <c r="AO126" s="391" t="str">
        <f ca="1">IFERROR(VLOOKUP($C126,COM_2012!$B$61:$AH$120,MATCH(VLOOKUP("*"&amp;$AX126,$A$10:$J$11,$J$9,FALSE)&amp;AO$7,COM_2012!$B$58:$AH$58,0),FALSE),"")</f>
        <v/>
      </c>
      <c r="AP126" s="391" t="str">
        <f ca="1">IFERROR(VLOOKUP($C126,COM_2012!$B$61:$AH$120,MATCH(VLOOKUP("*"&amp;$AX126,$A$10:$J$11,$J$9,FALSE)&amp;AP$7,COM_2012!$B$58:$AH$58,0),FALSE),"")</f>
        <v/>
      </c>
      <c r="AQ126" s="391" t="str">
        <f ca="1">IFERROR(VLOOKUP($C126,COM_2012!$B$61:$AH$120,MATCH(VLOOKUP("*"&amp;$AX126,$A$10:$J$11,$J$9,FALSE)&amp;AQ$7,COM_2012!$B$58:$AH$58,0),FALSE),"")</f>
        <v/>
      </c>
      <c r="AR126" s="391" t="str">
        <f ca="1">IFERROR(VLOOKUP($C126,COM_2012!$B$61:$AH$120,MATCH(VLOOKUP("*"&amp;$AX126,$A$10:$J$11,$J$9,FALSE)&amp;AR$7,COM_2012!$B$58:$AH$58,0),FALSE),"")</f>
        <v/>
      </c>
      <c r="AS126" s="391" t="str">
        <f ca="1">IFERROR(VLOOKUP($C126,COM_2012!$B$61:$AH$120,MATCH(VLOOKUP("*"&amp;$AX126,$A$10:$J$11,$J$9,FALSE)&amp;AS$7,COM_2012!$B$58:$AH$58,0),FALSE),"")</f>
        <v/>
      </c>
      <c r="AT126" s="391" t="str">
        <f ca="1">IFERROR(VLOOKUP($C126,COM_2012!$B$61:$AH$120,MATCH(VLOOKUP("*"&amp;$AX126,$A$10:$J$11,$J$9,FALSE)&amp;AT$7,COM_2012!$B$58:$AH$58,0),FALSE),"")</f>
        <v/>
      </c>
      <c r="AU126" s="391" t="str">
        <f ca="1">IFERROR(VLOOKUP($C126,COM_2012!$B$61:$AH$120,MATCH(VLOOKUP("*"&amp;$AX126,$A$10:$J$11,$J$9,FALSE)&amp;AU$7,COM_2012!$B$58:$AH$58,0),FALSE),"")</f>
        <v/>
      </c>
      <c r="AV126" s="391" t="str">
        <f ca="1">IFERROR(VLOOKUP($C126,COM_2012!$B$61:$AH$120,MATCH(VLOOKUP("*"&amp;$AX126,$A$10:$J$11,$J$9,FALSE)&amp;AV$7,COM_2012!$B$58:$AH$58,0),FALSE),"")</f>
        <v/>
      </c>
      <c r="AW126" s="391" t="str">
        <f ca="1">IFERROR(VLOOKUP($C126,COM_2012!$B$61:$AH$120,MATCH(VLOOKUP("*"&amp;$AX126,$A$10:$J$11,$J$9,FALSE)&amp;AW$7,COM_2012!$B$58:$AH$58,0),FALSE),"")</f>
        <v/>
      </c>
      <c r="AX126" s="304">
        <f>IF(AY125=COM_2012!$AI$121,AX125+1,AX125)</f>
        <v>2</v>
      </c>
      <c r="AY126" s="304">
        <f t="shared" si="111"/>
        <v>53</v>
      </c>
    </row>
    <row r="127" spans="1:51">
      <c r="B127" s="369" t="str">
        <f t="shared" si="109"/>
        <v>FLO_MRKPRD</v>
      </c>
      <c r="C127" s="369" t="str">
        <f ca="1">IF($A127="*","",OFFSET(COM_2012!$B$60,AY127,0))</f>
        <v>CEOODS-E</v>
      </c>
      <c r="D127" s="369" t="str">
        <f t="shared" ca="1" si="110"/>
        <v>CEO</v>
      </c>
      <c r="E127" s="369" t="str">
        <f t="shared" si="101"/>
        <v>-</v>
      </c>
      <c r="F127" s="370" t="str">
        <f t="shared" si="73"/>
        <v>-</v>
      </c>
      <c r="G127" s="370" t="str">
        <f t="shared" si="73"/>
        <v>ANNUAL</v>
      </c>
      <c r="H127" s="370" t="str">
        <f t="shared" si="102"/>
        <v>LO</v>
      </c>
      <c r="I127" s="370">
        <f t="shared" si="102"/>
        <v>0</v>
      </c>
      <c r="J127" s="494" t="str">
        <f>IF(J$7&lt;2020,"",IF(A127="*","",IFERROR(VLOOKUP($C127,COM_2012!$B$61:$AH$120,MATCH(VLOOKUP("*"&amp;$AX127,$A$10:$J$11,$J$9,FALSE)&amp;J$7,COM_2012!$B$58:$AH$58,0),FALSE),"")))</f>
        <v/>
      </c>
      <c r="K127" s="494" t="str">
        <f>IF(K$7&lt;2020,"",IF(B127="*","",IFERROR(VLOOKUP($C127,COM_2012!$B$61:$AH$120,MATCH(VLOOKUP("*"&amp;$AX127,$A$10:$J$11,$J$9,FALSE)&amp;K$7,COM_2012!$B$58:$AH$58,0),FALSE),"")))</f>
        <v/>
      </c>
      <c r="L127" s="494" t="str">
        <f>IF(L$7&lt;2020,"",IF(C127="*","",IFERROR(VLOOKUP($C127,COM_2012!$B$61:$AH$120,MATCH(VLOOKUP("*"&amp;$AX127,$A$10:$J$11,$J$9,FALSE)&amp;L$7,COM_2012!$B$58:$AH$58,0),FALSE),"")))</f>
        <v/>
      </c>
      <c r="M127" s="494" t="str">
        <f>IF(M$7&lt;2020,"",IF(D127="*","",IFERROR(VLOOKUP($C127,COM_2012!$B$61:$AH$120,MATCH(VLOOKUP("*"&amp;$AX127,$A$10:$J$11,$J$9,FALSE)&amp;M$7,COM_2012!$B$58:$AH$58,0),FALSE),"")))</f>
        <v/>
      </c>
      <c r="N127" s="494" t="str">
        <f ca="1">IFERROR(VLOOKUP($C127,COM_2012!$B$61:$AH$120,MATCH(VLOOKUP("*"&amp;$AX127,$A$10:$J$11,$J$9,FALSE)&amp;N$7,COM_2012!$B$58:$AH$58,0),FALSE),"")</f>
        <v/>
      </c>
      <c r="O127" s="494" t="str">
        <f>IF(O$7&lt;2020,"",IF($A127="*","",IFERROR(VLOOKUP($C127,' COM_2017_old'!$B$61:$AJ$120,MATCH(VLOOKUP("*"&amp;$AX127,$A$10:$J$11,$J$9,FALSE)&amp;O$7,' COM_2017_old'!$B$58:$AJ$58,0),FALSE),"")))</f>
        <v/>
      </c>
      <c r="P127" s="494" t="str">
        <f ca="1">IFERROR(VLOOKUP($C127,COM_2012!$B$61:$AH$120,MATCH(VLOOKUP("*"&amp;$AX127,$A$10:$J$11,$J$9,FALSE)&amp;P$7,COM_2012!$B$58:$AH$58,0),FALSE),"")</f>
        <v/>
      </c>
      <c r="Q127" s="494" t="str">
        <f ca="1">IFERROR(VLOOKUP($C127,COM_2012!$B$61:$AH$120,MATCH(VLOOKUP("*"&amp;$AX127,$A$10:$J$11,$J$9,FALSE)&amp;Q$7,COM_2012!$B$58:$AH$58,0),FALSE),"")</f>
        <v/>
      </c>
      <c r="R127" s="494">
        <f ca="1">IF($A127="*","",IFERROR(VLOOKUP($C127,' COM_2017_old'!$B$61:$AJ$120,MATCH(VLOOKUP("*"&amp;$AX127,$A$10:$J$11,$J$9,FALSE)&amp;R$7,' COM_2017_old'!$B$58:$AJ$58,0),FALSE),""))</f>
        <v>7.6226771929402012E-2</v>
      </c>
      <c r="S127" s="494">
        <f t="shared" ca="1" si="112"/>
        <v>7.512659171598797E-2</v>
      </c>
      <c r="T127" s="494">
        <f t="shared" ca="1" si="113"/>
        <v>7.4026411502573927E-2</v>
      </c>
      <c r="U127" s="494">
        <f t="shared" ca="1" si="113"/>
        <v>7.2926231289159885E-2</v>
      </c>
      <c r="V127" s="494">
        <f t="shared" ca="1" si="113"/>
        <v>7.1826051075745842E-2</v>
      </c>
      <c r="W127" s="494">
        <f ca="1">IF($A127="*","",IFERROR(VLOOKUP($C127,' COM_2017_old'!$B$61:$AJ$120,MATCH(VLOOKUP("*"&amp;$AX127,$A$10:$J$11,$J$9,FALSE)&amp;W$7,' COM_2017_old'!$B$58:$AJ$58,0),FALSE),""))</f>
        <v>7.0725870862331772E-2</v>
      </c>
      <c r="X127" s="494">
        <f t="shared" ca="1" si="114"/>
        <v>6.758249882400591E-2</v>
      </c>
      <c r="Y127" s="494">
        <f t="shared" ca="1" si="115"/>
        <v>6.4439126785680048E-2</v>
      </c>
      <c r="Z127" s="494">
        <f t="shared" ca="1" si="115"/>
        <v>6.1295754747354186E-2</v>
      </c>
      <c r="AA127" s="494">
        <f t="shared" ca="1" si="115"/>
        <v>5.8152382709028325E-2</v>
      </c>
      <c r="AB127" s="494">
        <f ca="1">IF($A127="*","",IFERROR(VLOOKUP($C127,' COM_2017_old'!$B$61:$AJ$120,MATCH(VLOOKUP("*"&amp;$AX127,$A$10:$J$11,$J$9,FALSE)&amp;AB$7,' COM_2017_old'!$B$58:$AJ$58,0),FALSE),""))</f>
        <v>5.5009010670702477E-2</v>
      </c>
      <c r="AC127" s="494">
        <f t="shared" ca="1" si="116"/>
        <v>5.107979562279516E-2</v>
      </c>
      <c r="AD127" s="494">
        <f t="shared" ca="1" si="117"/>
        <v>4.7150580574887843E-2</v>
      </c>
      <c r="AE127" s="494">
        <f t="shared" ca="1" si="117"/>
        <v>4.3221365526980526E-2</v>
      </c>
      <c r="AF127" s="494">
        <f t="shared" ca="1" si="117"/>
        <v>3.929215047907321E-2</v>
      </c>
      <c r="AG127" s="494">
        <f ca="1">IF($A127="*","",IFERROR(VLOOKUP($C127,' COM_2017_old'!$B$61:$AJ$120,MATCH(VLOOKUP("*"&amp;$AX127,$A$10:$J$11,$J$9,FALSE)&amp;AG$7,' COM_2017_old'!$B$58:$AJ$58,0),FALSE),""))</f>
        <v>3.5362935431165886E-2</v>
      </c>
      <c r="AH127" s="494">
        <f t="shared" ca="1" si="118"/>
        <v>3.06478773736771E-2</v>
      </c>
      <c r="AI127" s="494">
        <f t="shared" ca="1" si="119"/>
        <v>2.5932819316188314E-2</v>
      </c>
      <c r="AJ127" s="494">
        <f t="shared" ca="1" si="119"/>
        <v>2.1217761258699529E-2</v>
      </c>
      <c r="AK127" s="494">
        <f t="shared" ca="1" si="119"/>
        <v>1.6502703201210743E-2</v>
      </c>
      <c r="AL127" s="494">
        <f ca="1">IF($A127="*","",IFERROR(VLOOKUP($C127,' COM_2017_old'!$B$61:$AJ$120,MATCH(VLOOKUP("*"&amp;$AX127,$A$10:$J$11,$J$9,FALSE)&amp;AL$7,' COM_2017_old'!$B$58:$AJ$58,0),FALSE),""))</f>
        <v>1.1787645143721961E-2</v>
      </c>
      <c r="AM127" s="494">
        <f ca="1">IF($A127="*","",IFERROR(VLOOKUP($C127,' COM_2017_old'!$B$61:$AJ$120,MATCH(VLOOKUP("*"&amp;$AX127,$A$10:$J$11,$J$9,FALSE)&amp;AM$7,' COM_2017_old'!$B$58:$AJ$58,0),FALSE),""))</f>
        <v>3.9292150479073203E-3</v>
      </c>
      <c r="AN127" s="494">
        <f ca="1">IF($A127="*","",IFERROR(VLOOKUP($C127,' COM_2017_old'!$B$61:$AJ$120,MATCH(VLOOKUP("*"&amp;$AX127,$A$10:$J$11,$J$9,FALSE)&amp;AN$7,' COM_2017_old'!$B$58:$AJ$58,0),FALSE),""))</f>
        <v>3.9292150479073203E-3</v>
      </c>
      <c r="AO127" s="391" t="str">
        <f ca="1">IFERROR(VLOOKUP($C127,COM_2012!$B$61:$AH$120,MATCH(VLOOKUP("*"&amp;$AX127,$A$10:$J$11,$J$9,FALSE)&amp;AO$7,COM_2012!$B$58:$AH$58,0),FALSE),"")</f>
        <v/>
      </c>
      <c r="AP127" s="391" t="str">
        <f ca="1">IFERROR(VLOOKUP($C127,COM_2012!$B$61:$AH$120,MATCH(VLOOKUP("*"&amp;$AX127,$A$10:$J$11,$J$9,FALSE)&amp;AP$7,COM_2012!$B$58:$AH$58,0),FALSE),"")</f>
        <v/>
      </c>
      <c r="AQ127" s="391" t="str">
        <f ca="1">IFERROR(VLOOKUP($C127,COM_2012!$B$61:$AH$120,MATCH(VLOOKUP("*"&amp;$AX127,$A$10:$J$11,$J$9,FALSE)&amp;AQ$7,COM_2012!$B$58:$AH$58,0),FALSE),"")</f>
        <v/>
      </c>
      <c r="AR127" s="391" t="str">
        <f ca="1">IFERROR(VLOOKUP($C127,COM_2012!$B$61:$AH$120,MATCH(VLOOKUP("*"&amp;$AX127,$A$10:$J$11,$J$9,FALSE)&amp;AR$7,COM_2012!$B$58:$AH$58,0),FALSE),"")</f>
        <v/>
      </c>
      <c r="AS127" s="391" t="str">
        <f ca="1">IFERROR(VLOOKUP($C127,COM_2012!$B$61:$AH$120,MATCH(VLOOKUP("*"&amp;$AX127,$A$10:$J$11,$J$9,FALSE)&amp;AS$7,COM_2012!$B$58:$AH$58,0),FALSE),"")</f>
        <v/>
      </c>
      <c r="AT127" s="391" t="str">
        <f ca="1">IFERROR(VLOOKUP($C127,COM_2012!$B$61:$AH$120,MATCH(VLOOKUP("*"&amp;$AX127,$A$10:$J$11,$J$9,FALSE)&amp;AT$7,COM_2012!$B$58:$AH$58,0),FALSE),"")</f>
        <v/>
      </c>
      <c r="AU127" s="391" t="str">
        <f ca="1">IFERROR(VLOOKUP($C127,COM_2012!$B$61:$AH$120,MATCH(VLOOKUP("*"&amp;$AX127,$A$10:$J$11,$J$9,FALSE)&amp;AU$7,COM_2012!$B$58:$AH$58,0),FALSE),"")</f>
        <v/>
      </c>
      <c r="AV127" s="391" t="str">
        <f ca="1">IFERROR(VLOOKUP($C127,COM_2012!$B$61:$AH$120,MATCH(VLOOKUP("*"&amp;$AX127,$A$10:$J$11,$J$9,FALSE)&amp;AV$7,COM_2012!$B$58:$AH$58,0),FALSE),"")</f>
        <v/>
      </c>
      <c r="AW127" s="391" t="str">
        <f ca="1">IFERROR(VLOOKUP($C127,COM_2012!$B$61:$AH$120,MATCH(VLOOKUP("*"&amp;$AX127,$A$10:$J$11,$J$9,FALSE)&amp;AW$7,COM_2012!$B$58:$AH$58,0),FALSE),"")</f>
        <v/>
      </c>
      <c r="AX127" s="304">
        <f>IF(AY126=COM_2012!$AI$121,AX126+1,AX126)</f>
        <v>2</v>
      </c>
      <c r="AY127" s="304">
        <f t="shared" si="111"/>
        <v>54</v>
      </c>
    </row>
    <row r="128" spans="1:51">
      <c r="B128" s="369" t="str">
        <f t="shared" si="109"/>
        <v>FLO_MRKPRD</v>
      </c>
      <c r="C128" s="369" t="str">
        <f ca="1">IF($A128="*","",OFFSET(COM_2012!$B$60,AY128,0))</f>
        <v>CEOELC-E</v>
      </c>
      <c r="D128" s="369" t="str">
        <f t="shared" ca="1" si="110"/>
        <v>CEO</v>
      </c>
      <c r="E128" s="369" t="str">
        <f t="shared" si="101"/>
        <v>-</v>
      </c>
      <c r="F128" s="370" t="str">
        <f t="shared" si="73"/>
        <v>-</v>
      </c>
      <c r="G128" s="370" t="str">
        <f t="shared" si="73"/>
        <v>ANNUAL</v>
      </c>
      <c r="H128" s="370" t="str">
        <f t="shared" si="102"/>
        <v>LO</v>
      </c>
      <c r="I128" s="370">
        <f t="shared" si="102"/>
        <v>0</v>
      </c>
      <c r="J128" s="494" t="str">
        <f>IF(J$7&lt;2020,"",IF(A128="*","",IFERROR(VLOOKUP($C128,COM_2012!$B$61:$AH$120,MATCH(VLOOKUP("*"&amp;$AX128,$A$10:$J$11,$J$9,FALSE)&amp;J$7,COM_2012!$B$58:$AH$58,0),FALSE),"")))</f>
        <v/>
      </c>
      <c r="K128" s="494" t="str">
        <f>IF(K$7&lt;2020,"",IF(B128="*","",IFERROR(VLOOKUP($C128,COM_2012!$B$61:$AH$120,MATCH(VLOOKUP("*"&amp;$AX128,$A$10:$J$11,$J$9,FALSE)&amp;K$7,COM_2012!$B$58:$AH$58,0),FALSE),"")))</f>
        <v/>
      </c>
      <c r="L128" s="494" t="str">
        <f>IF(L$7&lt;2020,"",IF(C128="*","",IFERROR(VLOOKUP($C128,COM_2012!$B$61:$AH$120,MATCH(VLOOKUP("*"&amp;$AX128,$A$10:$J$11,$J$9,FALSE)&amp;L$7,COM_2012!$B$58:$AH$58,0),FALSE),"")))</f>
        <v/>
      </c>
      <c r="M128" s="494" t="str">
        <f>IF(M$7&lt;2020,"",IF(D128="*","",IFERROR(VLOOKUP($C128,COM_2012!$B$61:$AH$120,MATCH(VLOOKUP("*"&amp;$AX128,$A$10:$J$11,$J$9,FALSE)&amp;M$7,COM_2012!$B$58:$AH$58,0),FALSE),"")))</f>
        <v/>
      </c>
      <c r="N128" s="494" t="str">
        <f ca="1">IFERROR(VLOOKUP($C128,COM_2012!$B$61:$AH$120,MATCH(VLOOKUP("*"&amp;$AX128,$A$10:$J$11,$J$9,FALSE)&amp;N$7,COM_2012!$B$58:$AH$58,0),FALSE),"")</f>
        <v/>
      </c>
      <c r="O128" s="494" t="str">
        <f>IF(O$7&lt;2020,"",IF($A128="*","",IFERROR(VLOOKUP($C128,' COM_2017_old'!$B$61:$AJ$120,MATCH(VLOOKUP("*"&amp;$AX128,$A$10:$J$11,$J$9,FALSE)&amp;O$7,' COM_2017_old'!$B$58:$AJ$58,0),FALSE),"")))</f>
        <v/>
      </c>
      <c r="P128" s="494" t="str">
        <f ca="1">IFERROR(VLOOKUP($C128,COM_2012!$B$61:$AH$120,MATCH(VLOOKUP("*"&amp;$AX128,$A$10:$J$11,$J$9,FALSE)&amp;P$7,COM_2012!$B$58:$AH$58,0),FALSE),"")</f>
        <v/>
      </c>
      <c r="Q128" s="494" t="str">
        <f ca="1">IFERROR(VLOOKUP($C128,COM_2012!$B$61:$AH$120,MATCH(VLOOKUP("*"&amp;$AX128,$A$10:$J$11,$J$9,FALSE)&amp;Q$7,COM_2012!$B$58:$AH$58,0),FALSE),"")</f>
        <v/>
      </c>
      <c r="R128" s="494">
        <f ca="1">IF($A128="*","",IFERROR(VLOOKUP($C128,' COM_2017_old'!$B$61:$AJ$120,MATCH(VLOOKUP("*"&amp;$AX128,$A$10:$J$11,$J$9,FALSE)&amp;R$7,' COM_2017_old'!$B$58:$AJ$58,0),FALSE),""))</f>
        <v>0.87109040384329994</v>
      </c>
      <c r="S128" s="494">
        <f t="shared" ca="1" si="112"/>
        <v>0.85851796502494304</v>
      </c>
      <c r="T128" s="494">
        <f t="shared" ca="1" si="113"/>
        <v>0.84594552620658614</v>
      </c>
      <c r="U128" s="494">
        <f t="shared" ca="1" si="113"/>
        <v>0.83337308738822924</v>
      </c>
      <c r="V128" s="494">
        <f t="shared" ca="1" si="113"/>
        <v>0.82080064856987234</v>
      </c>
      <c r="W128" s="494">
        <f ca="1">IF($A128="*","",IFERROR(VLOOKUP($C128,' COM_2017_old'!$B$61:$AJ$120,MATCH(VLOOKUP("*"&amp;$AX128,$A$10:$J$11,$J$9,FALSE)&amp;W$7,' COM_2017_old'!$B$58:$AJ$58,0),FALSE),""))</f>
        <v>0.80822820975151544</v>
      </c>
      <c r="X128" s="494">
        <f t="shared" ca="1" si="114"/>
        <v>0.77230695598478138</v>
      </c>
      <c r="Y128" s="494">
        <f t="shared" ca="1" si="115"/>
        <v>0.73638570221804733</v>
      </c>
      <c r="Z128" s="494">
        <f t="shared" ca="1" si="115"/>
        <v>0.70046444845131328</v>
      </c>
      <c r="AA128" s="494">
        <f t="shared" ca="1" si="115"/>
        <v>0.66454319468457923</v>
      </c>
      <c r="AB128" s="494">
        <f ca="1">IF($A128="*","",IFERROR(VLOOKUP($C128,' COM_2017_old'!$B$61:$AJ$120,MATCH(VLOOKUP("*"&amp;$AX128,$A$10:$J$11,$J$9,FALSE)&amp;AB$7,' COM_2017_old'!$B$58:$AJ$58,0),FALSE),""))</f>
        <v>0.62862194091784529</v>
      </c>
      <c r="AC128" s="494">
        <f t="shared" ca="1" si="116"/>
        <v>0.58372037370942775</v>
      </c>
      <c r="AD128" s="494">
        <f t="shared" ca="1" si="117"/>
        <v>0.53881880650101022</v>
      </c>
      <c r="AE128" s="494">
        <f t="shared" ca="1" si="117"/>
        <v>0.49391723929259268</v>
      </c>
      <c r="AF128" s="494">
        <f t="shared" ca="1" si="117"/>
        <v>0.44901567208417514</v>
      </c>
      <c r="AG128" s="494">
        <f ca="1">IF($A128="*","",IFERROR(VLOOKUP($C128,' COM_2017_old'!$B$61:$AJ$120,MATCH(VLOOKUP("*"&amp;$AX128,$A$10:$J$11,$J$9,FALSE)&amp;AG$7,' COM_2017_old'!$B$58:$AJ$58,0),FALSE),""))</f>
        <v>0.40411410487575772</v>
      </c>
      <c r="AH128" s="494">
        <f t="shared" ca="1" si="118"/>
        <v>0.3502322242256567</v>
      </c>
      <c r="AI128" s="494">
        <f t="shared" ca="1" si="119"/>
        <v>0.29635034357555567</v>
      </c>
      <c r="AJ128" s="494">
        <f t="shared" ca="1" si="119"/>
        <v>0.24246846292545465</v>
      </c>
      <c r="AK128" s="494">
        <f t="shared" ca="1" si="119"/>
        <v>0.18858658227535363</v>
      </c>
      <c r="AL128" s="494">
        <f ca="1">IF($A128="*","",IFERROR(VLOOKUP($C128,' COM_2017_old'!$B$61:$AJ$120,MATCH(VLOOKUP("*"&amp;$AX128,$A$10:$J$11,$J$9,FALSE)&amp;AL$7,' COM_2017_old'!$B$58:$AJ$58,0),FALSE),""))</f>
        <v>0.13470470162525258</v>
      </c>
      <c r="AM128" s="494">
        <f ca="1">IF($A128="*","",IFERROR(VLOOKUP($C128,' COM_2017_old'!$B$61:$AJ$120,MATCH(VLOOKUP("*"&amp;$AX128,$A$10:$J$11,$J$9,FALSE)&amp;AM$7,' COM_2017_old'!$B$58:$AJ$58,0),FALSE),""))</f>
        <v>4.490156720841753E-2</v>
      </c>
      <c r="AN128" s="494">
        <f ca="1">IF($A128="*","",IFERROR(VLOOKUP($C128,' COM_2017_old'!$B$61:$AJ$120,MATCH(VLOOKUP("*"&amp;$AX128,$A$10:$J$11,$J$9,FALSE)&amp;AN$7,' COM_2017_old'!$B$58:$AJ$58,0),FALSE),""))</f>
        <v>4.490156720841753E-2</v>
      </c>
      <c r="AO128" s="391" t="str">
        <f ca="1">IFERROR(VLOOKUP($C128,COM_2012!$B$61:$AH$120,MATCH(VLOOKUP("*"&amp;$AX128,$A$10:$J$11,$J$9,FALSE)&amp;AO$7,COM_2012!$B$58:$AH$58,0),FALSE),"")</f>
        <v/>
      </c>
      <c r="AP128" s="391" t="str">
        <f ca="1">IFERROR(VLOOKUP($C128,COM_2012!$B$61:$AH$120,MATCH(VLOOKUP("*"&amp;$AX128,$A$10:$J$11,$J$9,FALSE)&amp;AP$7,COM_2012!$B$58:$AH$58,0),FALSE),"")</f>
        <v/>
      </c>
      <c r="AQ128" s="391" t="str">
        <f ca="1">IFERROR(VLOOKUP($C128,COM_2012!$B$61:$AH$120,MATCH(VLOOKUP("*"&amp;$AX128,$A$10:$J$11,$J$9,FALSE)&amp;AQ$7,COM_2012!$B$58:$AH$58,0),FALSE),"")</f>
        <v/>
      </c>
      <c r="AR128" s="391" t="str">
        <f ca="1">IFERROR(VLOOKUP($C128,COM_2012!$B$61:$AH$120,MATCH(VLOOKUP("*"&amp;$AX128,$A$10:$J$11,$J$9,FALSE)&amp;AR$7,COM_2012!$B$58:$AH$58,0),FALSE),"")</f>
        <v/>
      </c>
      <c r="AS128" s="391" t="str">
        <f ca="1">IFERROR(VLOOKUP($C128,COM_2012!$B$61:$AH$120,MATCH(VLOOKUP("*"&amp;$AX128,$A$10:$J$11,$J$9,FALSE)&amp;AS$7,COM_2012!$B$58:$AH$58,0),FALSE),"")</f>
        <v/>
      </c>
      <c r="AT128" s="391" t="str">
        <f ca="1">IFERROR(VLOOKUP($C128,COM_2012!$B$61:$AH$120,MATCH(VLOOKUP("*"&amp;$AX128,$A$10:$J$11,$J$9,FALSE)&amp;AT$7,COM_2012!$B$58:$AH$58,0),FALSE),"")</f>
        <v/>
      </c>
      <c r="AU128" s="391" t="str">
        <f ca="1">IFERROR(VLOOKUP($C128,COM_2012!$B$61:$AH$120,MATCH(VLOOKUP("*"&amp;$AX128,$A$10:$J$11,$J$9,FALSE)&amp;AU$7,COM_2012!$B$58:$AH$58,0),FALSE),"")</f>
        <v/>
      </c>
      <c r="AV128" s="391" t="str">
        <f ca="1">IFERROR(VLOOKUP($C128,COM_2012!$B$61:$AH$120,MATCH(VLOOKUP("*"&amp;$AX128,$A$10:$J$11,$J$9,FALSE)&amp;AV$7,COM_2012!$B$58:$AH$58,0),FALSE),"")</f>
        <v/>
      </c>
      <c r="AW128" s="391" t="str">
        <f ca="1">IFERROR(VLOOKUP($C128,COM_2012!$B$61:$AH$120,MATCH(VLOOKUP("*"&amp;$AX128,$A$10:$J$11,$J$9,FALSE)&amp;AW$7,COM_2012!$B$58:$AH$58,0),FALSE),"")</f>
        <v/>
      </c>
      <c r="AX128" s="304">
        <f>IF(AY127=COM_2012!$AI$121,AX127+1,AX127)</f>
        <v>2</v>
      </c>
      <c r="AY128" s="304">
        <f t="shared" si="111"/>
        <v>55</v>
      </c>
    </row>
    <row r="129" spans="1:51">
      <c r="B129" s="369" t="str">
        <f t="shared" si="109"/>
        <v>FLO_MRKPRD</v>
      </c>
      <c r="C129" s="369" t="str">
        <f ca="1">IF($A129="*","",OFFSET(COM_2012!$B$60,AY129,0))</f>
        <v>CEOGAS-E</v>
      </c>
      <c r="D129" s="369" t="str">
        <f t="shared" ca="1" si="110"/>
        <v>CEO</v>
      </c>
      <c r="E129" s="369" t="str">
        <f t="shared" si="101"/>
        <v>-</v>
      </c>
      <c r="F129" s="370" t="str">
        <f t="shared" si="73"/>
        <v>-</v>
      </c>
      <c r="G129" s="370" t="str">
        <f t="shared" si="73"/>
        <v>ANNUAL</v>
      </c>
      <c r="H129" s="370" t="str">
        <f t="shared" si="102"/>
        <v>LO</v>
      </c>
      <c r="I129" s="370">
        <f t="shared" si="102"/>
        <v>0</v>
      </c>
      <c r="J129" s="494" t="str">
        <f>IF(J$7&lt;2020,"",IF(A129="*","",IFERROR(VLOOKUP($C129,COM_2012!$B$61:$AH$120,MATCH(VLOOKUP("*"&amp;$AX129,$A$10:$J$11,$J$9,FALSE)&amp;J$7,COM_2012!$B$58:$AH$58,0),FALSE),"")))</f>
        <v/>
      </c>
      <c r="K129" s="494" t="str">
        <f>IF(K$7&lt;2020,"",IF(B129="*","",IFERROR(VLOOKUP($C129,COM_2012!$B$61:$AH$120,MATCH(VLOOKUP("*"&amp;$AX129,$A$10:$J$11,$J$9,FALSE)&amp;K$7,COM_2012!$B$58:$AH$58,0),FALSE),"")))</f>
        <v/>
      </c>
      <c r="L129" s="494" t="str">
        <f>IF(L$7&lt;2020,"",IF(C129="*","",IFERROR(VLOOKUP($C129,COM_2012!$B$61:$AH$120,MATCH(VLOOKUP("*"&amp;$AX129,$A$10:$J$11,$J$9,FALSE)&amp;L$7,COM_2012!$B$58:$AH$58,0),FALSE),"")))</f>
        <v/>
      </c>
      <c r="M129" s="494" t="str">
        <f>IF(M$7&lt;2020,"",IF(D129="*","",IFERROR(VLOOKUP($C129,COM_2012!$B$61:$AH$120,MATCH(VLOOKUP("*"&amp;$AX129,$A$10:$J$11,$J$9,FALSE)&amp;M$7,COM_2012!$B$58:$AH$58,0),FALSE),"")))</f>
        <v/>
      </c>
      <c r="N129" s="494" t="str">
        <f ca="1">IFERROR(VLOOKUP($C129,COM_2012!$B$61:$AH$120,MATCH(VLOOKUP("*"&amp;$AX129,$A$10:$J$11,$J$9,FALSE)&amp;N$7,COM_2012!$B$58:$AH$58,0),FALSE),"")</f>
        <v/>
      </c>
      <c r="O129" s="494" t="str">
        <f>IF(O$7&lt;2020,"",IF($A129="*","",IFERROR(VLOOKUP($C129,' COM_2017_old'!$B$61:$AJ$120,MATCH(VLOOKUP("*"&amp;$AX129,$A$10:$J$11,$J$9,FALSE)&amp;O$7,' COM_2017_old'!$B$58:$AJ$58,0),FALSE),"")))</f>
        <v/>
      </c>
      <c r="P129" s="494" t="str">
        <f ca="1">IFERROR(VLOOKUP($C129,COM_2012!$B$61:$AH$120,MATCH(VLOOKUP("*"&amp;$AX129,$A$10:$J$11,$J$9,FALSE)&amp;P$7,COM_2012!$B$58:$AH$58,0),FALSE),"")</f>
        <v/>
      </c>
      <c r="Q129" s="494" t="str">
        <f ca="1">IFERROR(VLOOKUP($C129,COM_2012!$B$61:$AH$120,MATCH(VLOOKUP("*"&amp;$AX129,$A$10:$J$11,$J$9,FALSE)&amp;Q$7,COM_2012!$B$58:$AH$58,0),FALSE),"")</f>
        <v/>
      </c>
      <c r="R129" s="494">
        <f ca="1">IF($A129="*","",IFERROR(VLOOKUP($C129,' COM_2017_old'!$B$61:$AJ$120,MATCH(VLOOKUP("*"&amp;$AX129,$A$10:$J$11,$J$9,FALSE)&amp;R$7,' COM_2017_old'!$B$58:$AJ$58,0),FALSE),""))</f>
        <v>0</v>
      </c>
      <c r="S129" s="494">
        <f t="shared" ca="1" si="112"/>
        <v>0</v>
      </c>
      <c r="T129" s="494">
        <f t="shared" ca="1" si="113"/>
        <v>0</v>
      </c>
      <c r="U129" s="494">
        <f t="shared" ca="1" si="113"/>
        <v>0</v>
      </c>
      <c r="V129" s="494">
        <f t="shared" ca="1" si="113"/>
        <v>0</v>
      </c>
      <c r="W129" s="494">
        <f ca="1">IF($A129="*","",IFERROR(VLOOKUP($C129,' COM_2017_old'!$B$61:$AJ$120,MATCH(VLOOKUP("*"&amp;$AX129,$A$10:$J$11,$J$9,FALSE)&amp;W$7,' COM_2017_old'!$B$58:$AJ$58,0),FALSE),""))</f>
        <v>0</v>
      </c>
      <c r="X129" s="494">
        <f t="shared" ca="1" si="114"/>
        <v>0</v>
      </c>
      <c r="Y129" s="494">
        <f t="shared" ca="1" si="115"/>
        <v>0</v>
      </c>
      <c r="Z129" s="494">
        <f t="shared" ca="1" si="115"/>
        <v>0</v>
      </c>
      <c r="AA129" s="494">
        <f t="shared" ca="1" si="115"/>
        <v>0</v>
      </c>
      <c r="AB129" s="494">
        <f ca="1">IF($A129="*","",IFERROR(VLOOKUP($C129,' COM_2017_old'!$B$61:$AJ$120,MATCH(VLOOKUP("*"&amp;$AX129,$A$10:$J$11,$J$9,FALSE)&amp;AB$7,' COM_2017_old'!$B$58:$AJ$58,0),FALSE),""))</f>
        <v>0</v>
      </c>
      <c r="AC129" s="494">
        <f t="shared" ca="1" si="116"/>
        <v>0</v>
      </c>
      <c r="AD129" s="494">
        <f t="shared" ca="1" si="117"/>
        <v>0</v>
      </c>
      <c r="AE129" s="494">
        <f t="shared" ca="1" si="117"/>
        <v>0</v>
      </c>
      <c r="AF129" s="494">
        <f t="shared" ca="1" si="117"/>
        <v>0</v>
      </c>
      <c r="AG129" s="494">
        <f ca="1">IF($A129="*","",IFERROR(VLOOKUP($C129,' COM_2017_old'!$B$61:$AJ$120,MATCH(VLOOKUP("*"&amp;$AX129,$A$10:$J$11,$J$9,FALSE)&amp;AG$7,' COM_2017_old'!$B$58:$AJ$58,0),FALSE),""))</f>
        <v>0</v>
      </c>
      <c r="AH129" s="494">
        <f t="shared" ca="1" si="118"/>
        <v>0</v>
      </c>
      <c r="AI129" s="494">
        <f t="shared" ca="1" si="119"/>
        <v>0</v>
      </c>
      <c r="AJ129" s="494">
        <f t="shared" ca="1" si="119"/>
        <v>0</v>
      </c>
      <c r="AK129" s="494">
        <f t="shared" ca="1" si="119"/>
        <v>0</v>
      </c>
      <c r="AL129" s="494">
        <f ca="1">IF($A129="*","",IFERROR(VLOOKUP($C129,' COM_2017_old'!$B$61:$AJ$120,MATCH(VLOOKUP("*"&amp;$AX129,$A$10:$J$11,$J$9,FALSE)&amp;AL$7,' COM_2017_old'!$B$58:$AJ$58,0),FALSE),""))</f>
        <v>0</v>
      </c>
      <c r="AM129" s="494">
        <f ca="1">IF($A129="*","",IFERROR(VLOOKUP($C129,' COM_2017_old'!$B$61:$AJ$120,MATCH(VLOOKUP("*"&amp;$AX129,$A$10:$J$11,$J$9,FALSE)&amp;AM$7,' COM_2017_old'!$B$58:$AJ$58,0),FALSE),""))</f>
        <v>0</v>
      </c>
      <c r="AN129" s="494">
        <f ca="1">IF($A129="*","",IFERROR(VLOOKUP($C129,' COM_2017_old'!$B$61:$AJ$120,MATCH(VLOOKUP("*"&amp;$AX129,$A$10:$J$11,$J$9,FALSE)&amp;AN$7,' COM_2017_old'!$B$58:$AJ$58,0),FALSE),""))</f>
        <v>0</v>
      </c>
      <c r="AO129" s="391" t="str">
        <f ca="1">IFERROR(VLOOKUP($C129,COM_2012!$B$61:$AH$120,MATCH(VLOOKUP("*"&amp;$AX129,$A$10:$J$11,$J$9,FALSE)&amp;AO$7,COM_2012!$B$58:$AH$58,0),FALSE),"")</f>
        <v/>
      </c>
      <c r="AP129" s="391" t="str">
        <f ca="1">IFERROR(VLOOKUP($C129,COM_2012!$B$61:$AH$120,MATCH(VLOOKUP("*"&amp;$AX129,$A$10:$J$11,$J$9,FALSE)&amp;AP$7,COM_2012!$B$58:$AH$58,0),FALSE),"")</f>
        <v/>
      </c>
      <c r="AQ129" s="391" t="str">
        <f ca="1">IFERROR(VLOOKUP($C129,COM_2012!$B$61:$AH$120,MATCH(VLOOKUP("*"&amp;$AX129,$A$10:$J$11,$J$9,FALSE)&amp;AQ$7,COM_2012!$B$58:$AH$58,0),FALSE),"")</f>
        <v/>
      </c>
      <c r="AR129" s="391" t="str">
        <f ca="1">IFERROR(VLOOKUP($C129,COM_2012!$B$61:$AH$120,MATCH(VLOOKUP("*"&amp;$AX129,$A$10:$J$11,$J$9,FALSE)&amp;AR$7,COM_2012!$B$58:$AH$58,0),FALSE),"")</f>
        <v/>
      </c>
      <c r="AS129" s="391" t="str">
        <f ca="1">IFERROR(VLOOKUP($C129,COM_2012!$B$61:$AH$120,MATCH(VLOOKUP("*"&amp;$AX129,$A$10:$J$11,$J$9,FALSE)&amp;AS$7,COM_2012!$B$58:$AH$58,0),FALSE),"")</f>
        <v/>
      </c>
      <c r="AT129" s="391" t="str">
        <f ca="1">IFERROR(VLOOKUP($C129,COM_2012!$B$61:$AH$120,MATCH(VLOOKUP("*"&amp;$AX129,$A$10:$J$11,$J$9,FALSE)&amp;AT$7,COM_2012!$B$58:$AH$58,0),FALSE),"")</f>
        <v/>
      </c>
      <c r="AU129" s="391" t="str">
        <f ca="1">IFERROR(VLOOKUP($C129,COM_2012!$B$61:$AH$120,MATCH(VLOOKUP("*"&amp;$AX129,$A$10:$J$11,$J$9,FALSE)&amp;AU$7,COM_2012!$B$58:$AH$58,0),FALSE),"")</f>
        <v/>
      </c>
      <c r="AV129" s="391" t="str">
        <f ca="1">IFERROR(VLOOKUP($C129,COM_2012!$B$61:$AH$120,MATCH(VLOOKUP("*"&amp;$AX129,$A$10:$J$11,$J$9,FALSE)&amp;AV$7,COM_2012!$B$58:$AH$58,0),FALSE),"")</f>
        <v/>
      </c>
      <c r="AW129" s="391" t="str">
        <f ca="1">IFERROR(VLOOKUP($C129,COM_2012!$B$61:$AH$120,MATCH(VLOOKUP("*"&amp;$AX129,$A$10:$J$11,$J$9,FALSE)&amp;AW$7,COM_2012!$B$58:$AH$58,0),FALSE),"")</f>
        <v/>
      </c>
      <c r="AX129" s="304">
        <f>IF(AY128=COM_2012!$AI$121,AX128+1,AX128)</f>
        <v>2</v>
      </c>
      <c r="AY129" s="304">
        <f t="shared" si="111"/>
        <v>56</v>
      </c>
    </row>
    <row r="130" spans="1:51">
      <c r="B130" s="369" t="str">
        <f t="shared" si="109"/>
        <v>FLO_MRKPRD</v>
      </c>
      <c r="C130" s="369" t="str">
        <f ca="1">IF($A130="*","",OFFSET(COM_2012!$B$60,AY130,0))</f>
        <v>CEOOGS-E</v>
      </c>
      <c r="D130" s="369" t="str">
        <f t="shared" ca="1" si="110"/>
        <v>CEO</v>
      </c>
      <c r="E130" s="369" t="str">
        <f t="shared" si="101"/>
        <v>-</v>
      </c>
      <c r="F130" s="370" t="str">
        <f t="shared" si="73"/>
        <v>-</v>
      </c>
      <c r="G130" s="370" t="str">
        <f t="shared" si="73"/>
        <v>ANNUAL</v>
      </c>
      <c r="H130" s="370" t="str">
        <f t="shared" si="102"/>
        <v>LO</v>
      </c>
      <c r="I130" s="370">
        <f t="shared" si="102"/>
        <v>0</v>
      </c>
      <c r="J130" s="494" t="str">
        <f>IF(J$7&lt;2020,"",IF(A130="*","",IFERROR(VLOOKUP($C130,COM_2012!$B$61:$AH$120,MATCH(VLOOKUP("*"&amp;$AX130,$A$10:$J$11,$J$9,FALSE)&amp;J$7,COM_2012!$B$58:$AH$58,0),FALSE),"")))</f>
        <v/>
      </c>
      <c r="K130" s="494" t="str">
        <f>IF(K$7&lt;2020,"",IF(B130="*","",IFERROR(VLOOKUP($C130,COM_2012!$B$61:$AH$120,MATCH(VLOOKUP("*"&amp;$AX130,$A$10:$J$11,$J$9,FALSE)&amp;K$7,COM_2012!$B$58:$AH$58,0),FALSE),"")))</f>
        <v/>
      </c>
      <c r="L130" s="494" t="str">
        <f>IF(L$7&lt;2020,"",IF(C130="*","",IFERROR(VLOOKUP($C130,COM_2012!$B$61:$AH$120,MATCH(VLOOKUP("*"&amp;$AX130,$A$10:$J$11,$J$9,FALSE)&amp;L$7,COM_2012!$B$58:$AH$58,0),FALSE),"")))</f>
        <v/>
      </c>
      <c r="M130" s="494" t="str">
        <f>IF(M$7&lt;2020,"",IF(D130="*","",IFERROR(VLOOKUP($C130,COM_2012!$B$61:$AH$120,MATCH(VLOOKUP("*"&amp;$AX130,$A$10:$J$11,$J$9,FALSE)&amp;M$7,COM_2012!$B$58:$AH$58,0),FALSE),"")))</f>
        <v/>
      </c>
      <c r="N130" s="494" t="str">
        <f ca="1">IFERROR(VLOOKUP($C130,COM_2012!$B$61:$AH$120,MATCH(VLOOKUP("*"&amp;$AX130,$A$10:$J$11,$J$9,FALSE)&amp;N$7,COM_2012!$B$58:$AH$58,0),FALSE),"")</f>
        <v/>
      </c>
      <c r="O130" s="494" t="str">
        <f>IF(O$7&lt;2020,"",IF($A130="*","",IFERROR(VLOOKUP($C130,' COM_2017_old'!$B$61:$AJ$120,MATCH(VLOOKUP("*"&amp;$AX130,$A$10:$J$11,$J$9,FALSE)&amp;O$7,' COM_2017_old'!$B$58:$AJ$58,0),FALSE),"")))</f>
        <v/>
      </c>
      <c r="P130" s="494" t="str">
        <f ca="1">IFERROR(VLOOKUP($C130,COM_2012!$B$61:$AH$120,MATCH(VLOOKUP("*"&amp;$AX130,$A$10:$J$11,$J$9,FALSE)&amp;P$7,COM_2012!$B$58:$AH$58,0),FALSE),"")</f>
        <v/>
      </c>
      <c r="Q130" s="494" t="str">
        <f ca="1">IFERROR(VLOOKUP($C130,COM_2012!$B$61:$AH$120,MATCH(VLOOKUP("*"&amp;$AX130,$A$10:$J$11,$J$9,FALSE)&amp;Q$7,COM_2012!$B$58:$AH$58,0),FALSE),"")</f>
        <v/>
      </c>
      <c r="R130" s="494">
        <f ca="1">IF($A130="*","",IFERROR(VLOOKUP($C130,' COM_2017_old'!$B$61:$AJ$120,MATCH(VLOOKUP("*"&amp;$AX130,$A$10:$J$11,$J$9,FALSE)&amp;R$7,' COM_2017_old'!$B$58:$AJ$58,0),FALSE),""))</f>
        <v>0</v>
      </c>
      <c r="S130" s="494">
        <f t="shared" ca="1" si="112"/>
        <v>0</v>
      </c>
      <c r="T130" s="494">
        <f t="shared" ca="1" si="113"/>
        <v>0</v>
      </c>
      <c r="U130" s="494">
        <f t="shared" ca="1" si="113"/>
        <v>0</v>
      </c>
      <c r="V130" s="494">
        <f t="shared" ca="1" si="113"/>
        <v>0</v>
      </c>
      <c r="W130" s="494">
        <f ca="1">IF($A130="*","",IFERROR(VLOOKUP($C130,' COM_2017_old'!$B$61:$AJ$120,MATCH(VLOOKUP("*"&amp;$AX130,$A$10:$J$11,$J$9,FALSE)&amp;W$7,' COM_2017_old'!$B$58:$AJ$58,0),FALSE),""))</f>
        <v>0</v>
      </c>
      <c r="X130" s="494">
        <f t="shared" ca="1" si="114"/>
        <v>0</v>
      </c>
      <c r="Y130" s="494">
        <f t="shared" ca="1" si="115"/>
        <v>0</v>
      </c>
      <c r="Z130" s="494">
        <f t="shared" ca="1" si="115"/>
        <v>0</v>
      </c>
      <c r="AA130" s="494">
        <f t="shared" ca="1" si="115"/>
        <v>0</v>
      </c>
      <c r="AB130" s="494">
        <f ca="1">IF($A130="*","",IFERROR(VLOOKUP($C130,' COM_2017_old'!$B$61:$AJ$120,MATCH(VLOOKUP("*"&amp;$AX130,$A$10:$J$11,$J$9,FALSE)&amp;AB$7,' COM_2017_old'!$B$58:$AJ$58,0),FALSE),""))</f>
        <v>0</v>
      </c>
      <c r="AC130" s="494">
        <f t="shared" ca="1" si="116"/>
        <v>0</v>
      </c>
      <c r="AD130" s="494">
        <f t="shared" ca="1" si="117"/>
        <v>0</v>
      </c>
      <c r="AE130" s="494">
        <f t="shared" ca="1" si="117"/>
        <v>0</v>
      </c>
      <c r="AF130" s="494">
        <f t="shared" ca="1" si="117"/>
        <v>0</v>
      </c>
      <c r="AG130" s="494">
        <f ca="1">IF($A130="*","",IFERROR(VLOOKUP($C130,' COM_2017_old'!$B$61:$AJ$120,MATCH(VLOOKUP("*"&amp;$AX130,$A$10:$J$11,$J$9,FALSE)&amp;AG$7,' COM_2017_old'!$B$58:$AJ$58,0),FALSE),""))</f>
        <v>0</v>
      </c>
      <c r="AH130" s="494">
        <f t="shared" ca="1" si="118"/>
        <v>0</v>
      </c>
      <c r="AI130" s="494">
        <f t="shared" ca="1" si="119"/>
        <v>0</v>
      </c>
      <c r="AJ130" s="494">
        <f t="shared" ca="1" si="119"/>
        <v>0</v>
      </c>
      <c r="AK130" s="494">
        <f t="shared" ca="1" si="119"/>
        <v>0</v>
      </c>
      <c r="AL130" s="494">
        <f ca="1">IF($A130="*","",IFERROR(VLOOKUP($C130,' COM_2017_old'!$B$61:$AJ$120,MATCH(VLOOKUP("*"&amp;$AX130,$A$10:$J$11,$J$9,FALSE)&amp;AL$7,' COM_2017_old'!$B$58:$AJ$58,0),FALSE),""))</f>
        <v>0</v>
      </c>
      <c r="AM130" s="494">
        <f ca="1">IF($A130="*","",IFERROR(VLOOKUP($C130,' COM_2017_old'!$B$61:$AJ$120,MATCH(VLOOKUP("*"&amp;$AX130,$A$10:$J$11,$J$9,FALSE)&amp;AM$7,' COM_2017_old'!$B$58:$AJ$58,0),FALSE),""))</f>
        <v>0</v>
      </c>
      <c r="AN130" s="494">
        <f ca="1">IF($A130="*","",IFERROR(VLOOKUP($C130,' COM_2017_old'!$B$61:$AJ$120,MATCH(VLOOKUP("*"&amp;$AX130,$A$10:$J$11,$J$9,FALSE)&amp;AN$7,' COM_2017_old'!$B$58:$AJ$58,0),FALSE),""))</f>
        <v>0</v>
      </c>
      <c r="AO130" s="391" t="str">
        <f ca="1">IFERROR(VLOOKUP($C130,COM_2012!$B$61:$AH$120,MATCH(VLOOKUP("*"&amp;$AX130,$A$10:$J$11,$J$9,FALSE)&amp;AO$7,COM_2012!$B$58:$AH$58,0),FALSE),"")</f>
        <v/>
      </c>
      <c r="AP130" s="391" t="str">
        <f ca="1">IFERROR(VLOOKUP($C130,COM_2012!$B$61:$AH$120,MATCH(VLOOKUP("*"&amp;$AX130,$A$10:$J$11,$J$9,FALSE)&amp;AP$7,COM_2012!$B$58:$AH$58,0),FALSE),"")</f>
        <v/>
      </c>
      <c r="AQ130" s="391" t="str">
        <f ca="1">IFERROR(VLOOKUP($C130,COM_2012!$B$61:$AH$120,MATCH(VLOOKUP("*"&amp;$AX130,$A$10:$J$11,$J$9,FALSE)&amp;AQ$7,COM_2012!$B$58:$AH$58,0),FALSE),"")</f>
        <v/>
      </c>
      <c r="AR130" s="391" t="str">
        <f ca="1">IFERROR(VLOOKUP($C130,COM_2012!$B$61:$AH$120,MATCH(VLOOKUP("*"&amp;$AX130,$A$10:$J$11,$J$9,FALSE)&amp;AR$7,COM_2012!$B$58:$AH$58,0),FALSE),"")</f>
        <v/>
      </c>
      <c r="AS130" s="391" t="str">
        <f ca="1">IFERROR(VLOOKUP($C130,COM_2012!$B$61:$AH$120,MATCH(VLOOKUP("*"&amp;$AX130,$A$10:$J$11,$J$9,FALSE)&amp;AS$7,COM_2012!$B$58:$AH$58,0),FALSE),"")</f>
        <v/>
      </c>
      <c r="AT130" s="391" t="str">
        <f ca="1">IFERROR(VLOOKUP($C130,COM_2012!$B$61:$AH$120,MATCH(VLOOKUP("*"&amp;$AX130,$A$10:$J$11,$J$9,FALSE)&amp;AT$7,COM_2012!$B$58:$AH$58,0),FALSE),"")</f>
        <v/>
      </c>
      <c r="AU130" s="391" t="str">
        <f ca="1">IFERROR(VLOOKUP($C130,COM_2012!$B$61:$AH$120,MATCH(VLOOKUP("*"&amp;$AX130,$A$10:$J$11,$J$9,FALSE)&amp;AU$7,COM_2012!$B$58:$AH$58,0),FALSE),"")</f>
        <v/>
      </c>
      <c r="AV130" s="391" t="str">
        <f ca="1">IFERROR(VLOOKUP($C130,COM_2012!$B$61:$AH$120,MATCH(VLOOKUP("*"&amp;$AX130,$A$10:$J$11,$J$9,FALSE)&amp;AV$7,COM_2012!$B$58:$AH$58,0),FALSE),"")</f>
        <v/>
      </c>
      <c r="AW130" s="391" t="str">
        <f ca="1">IFERROR(VLOOKUP($C130,COM_2012!$B$61:$AH$120,MATCH(VLOOKUP("*"&amp;$AX130,$A$10:$J$11,$J$9,FALSE)&amp;AW$7,COM_2012!$B$58:$AH$58,0),FALSE),"")</f>
        <v/>
      </c>
      <c r="AX130" s="304">
        <f>IF(AY129=COM_2012!$AI$121,AX129+1,AX129)</f>
        <v>2</v>
      </c>
      <c r="AY130" s="304">
        <f t="shared" si="111"/>
        <v>57</v>
      </c>
    </row>
    <row r="131" spans="1:51">
      <c r="B131" s="369" t="str">
        <f t="shared" si="109"/>
        <v>FLO_MRKPRD</v>
      </c>
      <c r="C131" s="369" t="str">
        <f ca="1">IF($A131="*","",OFFSET(COM_2012!$B$60,AY131,0))</f>
        <v>CEOOHF-E</v>
      </c>
      <c r="D131" s="369" t="str">
        <f t="shared" ca="1" si="110"/>
        <v>CEO</v>
      </c>
      <c r="E131" s="369" t="str">
        <f t="shared" si="101"/>
        <v>-</v>
      </c>
      <c r="F131" s="370" t="str">
        <f t="shared" si="73"/>
        <v>-</v>
      </c>
      <c r="G131" s="370" t="str">
        <f t="shared" si="73"/>
        <v>ANNUAL</v>
      </c>
      <c r="H131" s="370" t="str">
        <f t="shared" si="102"/>
        <v>LO</v>
      </c>
      <c r="I131" s="370">
        <f t="shared" si="102"/>
        <v>0</v>
      </c>
      <c r="J131" s="494" t="str">
        <f>IF(J$7&lt;2020,"",IF(A131="*","",IFERROR(VLOOKUP($C131,COM_2012!$B$61:$AH$120,MATCH(VLOOKUP("*"&amp;$AX131,$A$10:$J$11,$J$9,FALSE)&amp;J$7,COM_2012!$B$58:$AH$58,0),FALSE),"")))</f>
        <v/>
      </c>
      <c r="K131" s="494" t="str">
        <f>IF(K$7&lt;2020,"",IF(B131="*","",IFERROR(VLOOKUP($C131,COM_2012!$B$61:$AH$120,MATCH(VLOOKUP("*"&amp;$AX131,$A$10:$J$11,$J$9,FALSE)&amp;K$7,COM_2012!$B$58:$AH$58,0),FALSE),"")))</f>
        <v/>
      </c>
      <c r="L131" s="494" t="str">
        <f>IF(L$7&lt;2020,"",IF(C131="*","",IFERROR(VLOOKUP($C131,COM_2012!$B$61:$AH$120,MATCH(VLOOKUP("*"&amp;$AX131,$A$10:$J$11,$J$9,FALSE)&amp;L$7,COM_2012!$B$58:$AH$58,0),FALSE),"")))</f>
        <v/>
      </c>
      <c r="M131" s="494" t="str">
        <f>IF(M$7&lt;2020,"",IF(D131="*","",IFERROR(VLOOKUP($C131,COM_2012!$B$61:$AH$120,MATCH(VLOOKUP("*"&amp;$AX131,$A$10:$J$11,$J$9,FALSE)&amp;M$7,COM_2012!$B$58:$AH$58,0),FALSE),"")))</f>
        <v/>
      </c>
      <c r="N131" s="494" t="str">
        <f ca="1">IFERROR(VLOOKUP($C131,COM_2012!$B$61:$AH$120,MATCH(VLOOKUP("*"&amp;$AX131,$A$10:$J$11,$J$9,FALSE)&amp;N$7,COM_2012!$B$58:$AH$58,0),FALSE),"")</f>
        <v/>
      </c>
      <c r="O131" s="494" t="str">
        <f>IF(O$7&lt;2020,"",IF($A131="*","",IFERROR(VLOOKUP($C131,' COM_2017_old'!$B$61:$AJ$120,MATCH(VLOOKUP("*"&amp;$AX131,$A$10:$J$11,$J$9,FALSE)&amp;O$7,' COM_2017_old'!$B$58:$AJ$58,0),FALSE),"")))</f>
        <v/>
      </c>
      <c r="P131" s="494" t="str">
        <f ca="1">IFERROR(VLOOKUP($C131,COM_2012!$B$61:$AH$120,MATCH(VLOOKUP("*"&amp;$AX131,$A$10:$J$11,$J$9,FALSE)&amp;P$7,COM_2012!$B$58:$AH$58,0),FALSE),"")</f>
        <v/>
      </c>
      <c r="Q131" s="494" t="str">
        <f ca="1">IFERROR(VLOOKUP($C131,COM_2012!$B$61:$AH$120,MATCH(VLOOKUP("*"&amp;$AX131,$A$10:$J$11,$J$9,FALSE)&amp;Q$7,COM_2012!$B$58:$AH$58,0),FALSE),"")</f>
        <v/>
      </c>
      <c r="R131" s="494">
        <f ca="1">IF($A131="*","",IFERROR(VLOOKUP($C131,' COM_2017_old'!$B$61:$AJ$120,MATCH(VLOOKUP("*"&amp;$AX131,$A$10:$J$11,$J$9,FALSE)&amp;R$7,' COM_2017_old'!$B$58:$AJ$58,0),FALSE),""))</f>
        <v>1.3173020305729248E-2</v>
      </c>
      <c r="S131" s="494">
        <f t="shared" ca="1" si="112"/>
        <v>1.2982894239460991E-2</v>
      </c>
      <c r="T131" s="494">
        <f t="shared" ca="1" si="113"/>
        <v>1.2792768173192734E-2</v>
      </c>
      <c r="U131" s="494">
        <f t="shared" ca="1" si="113"/>
        <v>1.2602642106924477E-2</v>
      </c>
      <c r="V131" s="494">
        <f t="shared" ca="1" si="113"/>
        <v>1.241251604065622E-2</v>
      </c>
      <c r="W131" s="494">
        <f ca="1">IF($A131="*","",IFERROR(VLOOKUP($C131,' COM_2017_old'!$B$61:$AJ$120,MATCH(VLOOKUP("*"&amp;$AX131,$A$10:$J$11,$J$9,FALSE)&amp;W$7,' COM_2017_old'!$B$58:$AJ$58,0),FALSE),""))</f>
        <v>1.2222389974387963E-2</v>
      </c>
      <c r="X131" s="494">
        <f t="shared" ca="1" si="114"/>
        <v>1.1679172642192943E-2</v>
      </c>
      <c r="Y131" s="494">
        <f t="shared" ca="1" si="115"/>
        <v>1.1135955309997923E-2</v>
      </c>
      <c r="Z131" s="494">
        <f t="shared" ca="1" si="115"/>
        <v>1.0592737977802903E-2</v>
      </c>
      <c r="AA131" s="494">
        <f t="shared" ca="1" si="115"/>
        <v>1.0049520645607882E-2</v>
      </c>
      <c r="AB131" s="494">
        <f ca="1">IF($A131="*","",IFERROR(VLOOKUP($C131,' COM_2017_old'!$B$61:$AJ$120,MATCH(VLOOKUP("*"&amp;$AX131,$A$10:$J$11,$J$9,FALSE)&amp;AB$7,' COM_2017_old'!$B$58:$AJ$58,0),FALSE),""))</f>
        <v>9.5063033134128588E-3</v>
      </c>
      <c r="AC131" s="494">
        <f t="shared" ca="1" si="116"/>
        <v>8.8272816481690837E-3</v>
      </c>
      <c r="AD131" s="494">
        <f t="shared" ca="1" si="117"/>
        <v>8.1482599829253086E-3</v>
      </c>
      <c r="AE131" s="494">
        <f t="shared" ca="1" si="117"/>
        <v>7.4692383176815334E-3</v>
      </c>
      <c r="AF131" s="494">
        <f t="shared" ca="1" si="117"/>
        <v>6.7902166524377583E-3</v>
      </c>
      <c r="AG131" s="494">
        <f ca="1">IF($A131="*","",IFERROR(VLOOKUP($C131,' COM_2017_old'!$B$61:$AJ$120,MATCH(VLOOKUP("*"&amp;$AX131,$A$10:$J$11,$J$9,FALSE)&amp;AG$7,' COM_2017_old'!$B$58:$AJ$58,0),FALSE),""))</f>
        <v>6.1111949871939814E-3</v>
      </c>
      <c r="AH131" s="494">
        <f t="shared" ca="1" si="118"/>
        <v>5.2963689889014504E-3</v>
      </c>
      <c r="AI131" s="494">
        <f t="shared" ca="1" si="119"/>
        <v>4.4815429906089194E-3</v>
      </c>
      <c r="AJ131" s="494">
        <f t="shared" ca="1" si="119"/>
        <v>3.6667169923163883E-3</v>
      </c>
      <c r="AK131" s="494">
        <f t="shared" ca="1" si="119"/>
        <v>2.8518909940238573E-3</v>
      </c>
      <c r="AL131" s="494">
        <f ca="1">IF($A131="*","",IFERROR(VLOOKUP($C131,' COM_2017_old'!$B$61:$AJ$120,MATCH(VLOOKUP("*"&amp;$AX131,$A$10:$J$11,$J$9,FALSE)&amp;AL$7,' COM_2017_old'!$B$58:$AJ$58,0),FALSE),""))</f>
        <v>2.0370649957313267E-3</v>
      </c>
      <c r="AM131" s="494">
        <f ca="1">IF($A131="*","",IFERROR(VLOOKUP($C131,' COM_2017_old'!$B$61:$AJ$120,MATCH(VLOOKUP("*"&amp;$AX131,$A$10:$J$11,$J$9,FALSE)&amp;AM$7,' COM_2017_old'!$B$58:$AJ$58,0),FALSE),""))</f>
        <v>6.7902166524377568E-4</v>
      </c>
      <c r="AN131" s="494">
        <f ca="1">IF($A131="*","",IFERROR(VLOOKUP($C131,' COM_2017_old'!$B$61:$AJ$120,MATCH(VLOOKUP("*"&amp;$AX131,$A$10:$J$11,$J$9,FALSE)&amp;AN$7,' COM_2017_old'!$B$58:$AJ$58,0),FALSE),""))</f>
        <v>6.7902166524377568E-4</v>
      </c>
      <c r="AO131" s="391" t="str">
        <f ca="1">IFERROR(VLOOKUP($C131,COM_2012!$B$61:$AH$120,MATCH(VLOOKUP("*"&amp;$AX131,$A$10:$J$11,$J$9,FALSE)&amp;AO$7,COM_2012!$B$58:$AH$58,0),FALSE),"")</f>
        <v/>
      </c>
      <c r="AP131" s="391" t="str">
        <f ca="1">IFERROR(VLOOKUP($C131,COM_2012!$B$61:$AH$120,MATCH(VLOOKUP("*"&amp;$AX131,$A$10:$J$11,$J$9,FALSE)&amp;AP$7,COM_2012!$B$58:$AH$58,0),FALSE),"")</f>
        <v/>
      </c>
      <c r="AQ131" s="391" t="str">
        <f ca="1">IFERROR(VLOOKUP($C131,COM_2012!$B$61:$AH$120,MATCH(VLOOKUP("*"&amp;$AX131,$A$10:$J$11,$J$9,FALSE)&amp;AQ$7,COM_2012!$B$58:$AH$58,0),FALSE),"")</f>
        <v/>
      </c>
      <c r="AR131" s="391" t="str">
        <f ca="1">IFERROR(VLOOKUP($C131,COM_2012!$B$61:$AH$120,MATCH(VLOOKUP("*"&amp;$AX131,$A$10:$J$11,$J$9,FALSE)&amp;AR$7,COM_2012!$B$58:$AH$58,0),FALSE),"")</f>
        <v/>
      </c>
      <c r="AS131" s="391" t="str">
        <f ca="1">IFERROR(VLOOKUP($C131,COM_2012!$B$61:$AH$120,MATCH(VLOOKUP("*"&amp;$AX131,$A$10:$J$11,$J$9,FALSE)&amp;AS$7,COM_2012!$B$58:$AH$58,0),FALSE),"")</f>
        <v/>
      </c>
      <c r="AT131" s="391" t="str">
        <f ca="1">IFERROR(VLOOKUP($C131,COM_2012!$B$61:$AH$120,MATCH(VLOOKUP("*"&amp;$AX131,$A$10:$J$11,$J$9,FALSE)&amp;AT$7,COM_2012!$B$58:$AH$58,0),FALSE),"")</f>
        <v/>
      </c>
      <c r="AU131" s="391" t="str">
        <f ca="1">IFERROR(VLOOKUP($C131,COM_2012!$B$61:$AH$120,MATCH(VLOOKUP("*"&amp;$AX131,$A$10:$J$11,$J$9,FALSE)&amp;AU$7,COM_2012!$B$58:$AH$58,0),FALSE),"")</f>
        <v/>
      </c>
      <c r="AV131" s="391" t="str">
        <f ca="1">IFERROR(VLOOKUP($C131,COM_2012!$B$61:$AH$120,MATCH(VLOOKUP("*"&amp;$AX131,$A$10:$J$11,$J$9,FALSE)&amp;AV$7,COM_2012!$B$58:$AH$58,0),FALSE),"")</f>
        <v/>
      </c>
      <c r="AW131" s="391" t="str">
        <f ca="1">IFERROR(VLOOKUP($C131,COM_2012!$B$61:$AH$120,MATCH(VLOOKUP("*"&amp;$AX131,$A$10:$J$11,$J$9,FALSE)&amp;AW$7,COM_2012!$B$58:$AH$58,0),FALSE),"")</f>
        <v/>
      </c>
      <c r="AX131" s="304">
        <f>IF(AY130=COM_2012!$AI$121,AX130+1,AX130)</f>
        <v>2</v>
      </c>
      <c r="AY131" s="304">
        <f t="shared" si="111"/>
        <v>58</v>
      </c>
    </row>
    <row r="132" spans="1:51">
      <c r="B132" s="369" t="str">
        <f t="shared" si="109"/>
        <v>FLO_MRKPRD</v>
      </c>
      <c r="C132" s="369" t="str">
        <f ca="1">IF($A132="*","",OFFSET(COM_2012!$B$60,AY132,0))</f>
        <v>CEOOKE-E</v>
      </c>
      <c r="D132" s="369" t="str">
        <f t="shared" ca="1" si="110"/>
        <v>CEO</v>
      </c>
      <c r="E132" s="369" t="str">
        <f t="shared" si="101"/>
        <v>-</v>
      </c>
      <c r="F132" s="370" t="str">
        <f t="shared" si="73"/>
        <v>-</v>
      </c>
      <c r="G132" s="370" t="str">
        <f t="shared" si="73"/>
        <v>ANNUAL</v>
      </c>
      <c r="H132" s="370" t="str">
        <f t="shared" si="102"/>
        <v>LO</v>
      </c>
      <c r="I132" s="370">
        <f t="shared" si="102"/>
        <v>0</v>
      </c>
      <c r="J132" s="494" t="str">
        <f>IF(J$7&lt;2020,"",IF(A132="*","",IFERROR(VLOOKUP($C132,COM_2012!$B$61:$AH$120,MATCH(VLOOKUP("*"&amp;$AX132,$A$10:$J$11,$J$9,FALSE)&amp;J$7,COM_2012!$B$58:$AH$58,0),FALSE),"")))</f>
        <v/>
      </c>
      <c r="K132" s="494" t="str">
        <f>IF(K$7&lt;2020,"",IF(B132="*","",IFERROR(VLOOKUP($C132,COM_2012!$B$61:$AH$120,MATCH(VLOOKUP("*"&amp;$AX132,$A$10:$J$11,$J$9,FALSE)&amp;K$7,COM_2012!$B$58:$AH$58,0),FALSE),"")))</f>
        <v/>
      </c>
      <c r="L132" s="494" t="str">
        <f>IF(L$7&lt;2020,"",IF(C132="*","",IFERROR(VLOOKUP($C132,COM_2012!$B$61:$AH$120,MATCH(VLOOKUP("*"&amp;$AX132,$A$10:$J$11,$J$9,FALSE)&amp;L$7,COM_2012!$B$58:$AH$58,0),FALSE),"")))</f>
        <v/>
      </c>
      <c r="M132" s="494" t="str">
        <f>IF(M$7&lt;2020,"",IF(D132="*","",IFERROR(VLOOKUP($C132,COM_2012!$B$61:$AH$120,MATCH(VLOOKUP("*"&amp;$AX132,$A$10:$J$11,$J$9,FALSE)&amp;M$7,COM_2012!$B$58:$AH$58,0),FALSE),"")))</f>
        <v/>
      </c>
      <c r="N132" s="494" t="str">
        <f ca="1">IFERROR(VLOOKUP($C132,COM_2012!$B$61:$AH$120,MATCH(VLOOKUP("*"&amp;$AX132,$A$10:$J$11,$J$9,FALSE)&amp;N$7,COM_2012!$B$58:$AH$58,0),FALSE),"")</f>
        <v/>
      </c>
      <c r="O132" s="494" t="str">
        <f>IF(O$7&lt;2020,"",IF($A132="*","",IFERROR(VLOOKUP($C132,' COM_2017_old'!$B$61:$AJ$120,MATCH(VLOOKUP("*"&amp;$AX132,$A$10:$J$11,$J$9,FALSE)&amp;O$7,' COM_2017_old'!$B$58:$AJ$58,0),FALSE),"")))</f>
        <v/>
      </c>
      <c r="P132" s="494" t="str">
        <f ca="1">IFERROR(VLOOKUP($C132,COM_2012!$B$61:$AH$120,MATCH(VLOOKUP("*"&amp;$AX132,$A$10:$J$11,$J$9,FALSE)&amp;P$7,COM_2012!$B$58:$AH$58,0),FALSE),"")</f>
        <v/>
      </c>
      <c r="Q132" s="494" t="str">
        <f ca="1">IFERROR(VLOOKUP($C132,COM_2012!$B$61:$AH$120,MATCH(VLOOKUP("*"&amp;$AX132,$A$10:$J$11,$J$9,FALSE)&amp;Q$7,COM_2012!$B$58:$AH$58,0),FALSE),"")</f>
        <v/>
      </c>
      <c r="R132" s="494">
        <f ca="1">IF($A132="*","",IFERROR(VLOOKUP($C132,' COM_2017_old'!$B$61:$AJ$120,MATCH(VLOOKUP("*"&amp;$AX132,$A$10:$J$11,$J$9,FALSE)&amp;R$7,' COM_2017_old'!$B$58:$AJ$58,0),FALSE),""))</f>
        <v>0</v>
      </c>
      <c r="S132" s="494">
        <f t="shared" ca="1" si="112"/>
        <v>0</v>
      </c>
      <c r="T132" s="494">
        <f t="shared" ca="1" si="113"/>
        <v>0</v>
      </c>
      <c r="U132" s="494">
        <f t="shared" ca="1" si="113"/>
        <v>0</v>
      </c>
      <c r="V132" s="494">
        <f t="shared" ca="1" si="113"/>
        <v>0</v>
      </c>
      <c r="W132" s="494">
        <f ca="1">IF($A132="*","",IFERROR(VLOOKUP($C132,' COM_2017_old'!$B$61:$AJ$120,MATCH(VLOOKUP("*"&amp;$AX132,$A$10:$J$11,$J$9,FALSE)&amp;W$7,' COM_2017_old'!$B$58:$AJ$58,0),FALSE),""))</f>
        <v>0</v>
      </c>
      <c r="X132" s="494">
        <f t="shared" ca="1" si="114"/>
        <v>0</v>
      </c>
      <c r="Y132" s="494">
        <f t="shared" ca="1" si="115"/>
        <v>0</v>
      </c>
      <c r="Z132" s="494">
        <f t="shared" ca="1" si="115"/>
        <v>0</v>
      </c>
      <c r="AA132" s="494">
        <f t="shared" ca="1" si="115"/>
        <v>0</v>
      </c>
      <c r="AB132" s="494">
        <f ca="1">IF($A132="*","",IFERROR(VLOOKUP($C132,' COM_2017_old'!$B$61:$AJ$120,MATCH(VLOOKUP("*"&amp;$AX132,$A$10:$J$11,$J$9,FALSE)&amp;AB$7,' COM_2017_old'!$B$58:$AJ$58,0),FALSE),""))</f>
        <v>0</v>
      </c>
      <c r="AC132" s="494">
        <f t="shared" ca="1" si="116"/>
        <v>0</v>
      </c>
      <c r="AD132" s="494">
        <f t="shared" ca="1" si="117"/>
        <v>0</v>
      </c>
      <c r="AE132" s="494">
        <f t="shared" ca="1" si="117"/>
        <v>0</v>
      </c>
      <c r="AF132" s="494">
        <f t="shared" ca="1" si="117"/>
        <v>0</v>
      </c>
      <c r="AG132" s="494">
        <f ca="1">IF($A132="*","",IFERROR(VLOOKUP($C132,' COM_2017_old'!$B$61:$AJ$120,MATCH(VLOOKUP("*"&amp;$AX132,$A$10:$J$11,$J$9,FALSE)&amp;AG$7,' COM_2017_old'!$B$58:$AJ$58,0),FALSE),""))</f>
        <v>0</v>
      </c>
      <c r="AH132" s="494">
        <f t="shared" ca="1" si="118"/>
        <v>0</v>
      </c>
      <c r="AI132" s="494">
        <f t="shared" ca="1" si="119"/>
        <v>0</v>
      </c>
      <c r="AJ132" s="494">
        <f t="shared" ca="1" si="119"/>
        <v>0</v>
      </c>
      <c r="AK132" s="494">
        <f t="shared" ca="1" si="119"/>
        <v>0</v>
      </c>
      <c r="AL132" s="494">
        <f ca="1">IF($A132="*","",IFERROR(VLOOKUP($C132,' COM_2017_old'!$B$61:$AJ$120,MATCH(VLOOKUP("*"&amp;$AX132,$A$10:$J$11,$J$9,FALSE)&amp;AL$7,' COM_2017_old'!$B$58:$AJ$58,0),FALSE),""))</f>
        <v>0</v>
      </c>
      <c r="AM132" s="494">
        <f ca="1">IF($A132="*","",IFERROR(VLOOKUP($C132,' COM_2017_old'!$B$61:$AJ$120,MATCH(VLOOKUP("*"&amp;$AX132,$A$10:$J$11,$J$9,FALSE)&amp;AM$7,' COM_2017_old'!$B$58:$AJ$58,0),FALSE),""))</f>
        <v>0</v>
      </c>
      <c r="AN132" s="494">
        <f ca="1">IF($A132="*","",IFERROR(VLOOKUP($C132,' COM_2017_old'!$B$61:$AJ$120,MATCH(VLOOKUP("*"&amp;$AX132,$A$10:$J$11,$J$9,FALSE)&amp;AN$7,' COM_2017_old'!$B$58:$AJ$58,0),FALSE),""))</f>
        <v>0</v>
      </c>
      <c r="AO132" s="391" t="str">
        <f ca="1">IFERROR(VLOOKUP($C132,COM_2012!$B$61:$AH$120,MATCH(VLOOKUP("*"&amp;$AX132,$A$10:$J$11,$J$9,FALSE)&amp;AO$7,COM_2012!$B$58:$AH$58,0),FALSE),"")</f>
        <v/>
      </c>
      <c r="AP132" s="391" t="str">
        <f ca="1">IFERROR(VLOOKUP($C132,COM_2012!$B$61:$AH$120,MATCH(VLOOKUP("*"&amp;$AX132,$A$10:$J$11,$J$9,FALSE)&amp;AP$7,COM_2012!$B$58:$AH$58,0),FALSE),"")</f>
        <v/>
      </c>
      <c r="AQ132" s="391" t="str">
        <f ca="1">IFERROR(VLOOKUP($C132,COM_2012!$B$61:$AH$120,MATCH(VLOOKUP("*"&amp;$AX132,$A$10:$J$11,$J$9,FALSE)&amp;AQ$7,COM_2012!$B$58:$AH$58,0),FALSE),"")</f>
        <v/>
      </c>
      <c r="AR132" s="391" t="str">
        <f ca="1">IFERROR(VLOOKUP($C132,COM_2012!$B$61:$AH$120,MATCH(VLOOKUP("*"&amp;$AX132,$A$10:$J$11,$J$9,FALSE)&amp;AR$7,COM_2012!$B$58:$AH$58,0),FALSE),"")</f>
        <v/>
      </c>
      <c r="AS132" s="391" t="str">
        <f ca="1">IFERROR(VLOOKUP($C132,COM_2012!$B$61:$AH$120,MATCH(VLOOKUP("*"&amp;$AX132,$A$10:$J$11,$J$9,FALSE)&amp;AS$7,COM_2012!$B$58:$AH$58,0),FALSE),"")</f>
        <v/>
      </c>
      <c r="AT132" s="391" t="str">
        <f ca="1">IFERROR(VLOOKUP($C132,COM_2012!$B$61:$AH$120,MATCH(VLOOKUP("*"&amp;$AX132,$A$10:$J$11,$J$9,FALSE)&amp;AT$7,COM_2012!$B$58:$AH$58,0),FALSE),"")</f>
        <v/>
      </c>
      <c r="AU132" s="391" t="str">
        <f ca="1">IFERROR(VLOOKUP($C132,COM_2012!$B$61:$AH$120,MATCH(VLOOKUP("*"&amp;$AX132,$A$10:$J$11,$J$9,FALSE)&amp;AU$7,COM_2012!$B$58:$AH$58,0),FALSE),"")</f>
        <v/>
      </c>
      <c r="AV132" s="391" t="str">
        <f ca="1">IFERROR(VLOOKUP($C132,COM_2012!$B$61:$AH$120,MATCH(VLOOKUP("*"&amp;$AX132,$A$10:$J$11,$J$9,FALSE)&amp;AV$7,COM_2012!$B$58:$AH$58,0),FALSE),"")</f>
        <v/>
      </c>
      <c r="AW132" s="391" t="str">
        <f ca="1">IFERROR(VLOOKUP($C132,COM_2012!$B$61:$AH$120,MATCH(VLOOKUP("*"&amp;$AX132,$A$10:$J$11,$J$9,FALSE)&amp;AW$7,COM_2012!$B$58:$AH$58,0),FALSE),"")</f>
        <v/>
      </c>
      <c r="AX132" s="304">
        <f>IF(AY131=COM_2012!$AI$121,AX131+1,AX131)</f>
        <v>2</v>
      </c>
      <c r="AY132" s="304">
        <f t="shared" si="111"/>
        <v>59</v>
      </c>
    </row>
    <row r="133" spans="1:51">
      <c r="A133" s="304" t="s">
        <v>709</v>
      </c>
      <c r="B133" s="369" t="str">
        <f t="shared" si="109"/>
        <v/>
      </c>
      <c r="C133" s="369" t="str">
        <f ca="1">IF($A133="*","",OFFSET(COM_2012!$B$60,AY133,0))</f>
        <v/>
      </c>
      <c r="D133" s="369" t="str">
        <f t="shared" si="110"/>
        <v/>
      </c>
      <c r="E133" s="369" t="str">
        <f t="shared" si="101"/>
        <v/>
      </c>
      <c r="F133" s="369" t="str">
        <f t="shared" si="101"/>
        <v/>
      </c>
      <c r="G133" s="369"/>
      <c r="H133" s="370" t="str">
        <f t="shared" si="102"/>
        <v/>
      </c>
      <c r="I133" s="370" t="str">
        <f t="shared" si="102"/>
        <v/>
      </c>
      <c r="J133" s="391"/>
      <c r="K133" s="391" t="str">
        <f ca="1">IFERROR(VLOOKUP($C133,COM_2012!$B$61:$AH$120,MATCH(VLOOKUP("*"&amp;$AX133,$A$10:$J$11,$J$9,FALSE)&amp;K$7,COM_2012!$B$58:$AH$58,0),FALSE),"")</f>
        <v/>
      </c>
      <c r="L133" s="391" t="str">
        <f ca="1">IFERROR(VLOOKUP($C133,COM_2012!$B$61:$AH$120,MATCH(VLOOKUP("*"&amp;$AX133,$A$10:$J$11,$J$9,FALSE)&amp;L$7,COM_2012!$B$58:$AH$58,0),FALSE),"")</f>
        <v/>
      </c>
      <c r="M133" s="391" t="str">
        <f ca="1">IFERROR(VLOOKUP($C133,COM_2012!$B$61:$AH$120,MATCH(VLOOKUP("*"&amp;$AX133,$A$10:$J$11,$J$9,FALSE)&amp;M$7,COM_2012!$B$58:$AH$58,0),FALSE),"")</f>
        <v/>
      </c>
      <c r="N133" s="391" t="str">
        <f ca="1">IFERROR(VLOOKUP($C133,COM_2012!$B$61:$AH$120,MATCH(VLOOKUP("*"&amp;$AX133,$A$10:$J$11,$J$9,FALSE)&amp;N$7,COM_2012!$B$58:$AH$58,0),FALSE),"")</f>
        <v/>
      </c>
      <c r="O133" s="391" t="str">
        <f ca="1">IFERROR(VLOOKUP($C133,COM_2012!$B$61:$AH$120,MATCH(VLOOKUP("*"&amp;$AX133,$A$10:$J$11,$J$9,FALSE)&amp;O$7,COM_2012!$B$58:$AH$58,0),FALSE),"")</f>
        <v/>
      </c>
      <c r="P133" s="391" t="str">
        <f ca="1">IFERROR(VLOOKUP($C133,COM_2012!$B$61:$AH$120,MATCH(VLOOKUP("*"&amp;$AX133,$A$10:$J$11,$J$9,FALSE)&amp;P$7,COM_2012!$B$58:$AH$58,0),FALSE),"")</f>
        <v/>
      </c>
      <c r="Q133" s="391" t="str">
        <f ca="1">IFERROR(VLOOKUP($C133,COM_2012!$B$61:$AH$120,MATCH(VLOOKUP("*"&amp;$AX133,$A$10:$J$11,$J$9,FALSE)&amp;Q$7,COM_2012!$B$58:$AH$58,0),FALSE),"")</f>
        <v/>
      </c>
      <c r="R133" s="391" t="str">
        <f ca="1">IFERROR(VLOOKUP($C133,COM_2012!$B$61:$AH$120,MATCH(VLOOKUP("*"&amp;$AX133,$A$10:$J$11,$J$9,FALSE)&amp;R$7,COM_2012!$B$58:$AH$58,0),FALSE),"")</f>
        <v/>
      </c>
      <c r="S133" s="391" t="str">
        <f ca="1">IFERROR(VLOOKUP($C133,COM_2012!$B$61:$AH$120,MATCH(VLOOKUP("*"&amp;$AX133,$A$10:$J$11,$J$9,FALSE)&amp;S$7,COM_2012!$B$58:$AH$58,0),FALSE),"")</f>
        <v/>
      </c>
      <c r="T133" s="391" t="str">
        <f ca="1">IFERROR(VLOOKUP($C133,COM_2012!$B$61:$AH$120,MATCH(VLOOKUP("*"&amp;$AX133,$A$10:$J$11,$J$9,FALSE)&amp;T$7,COM_2012!$B$58:$AH$58,0),FALSE),"")</f>
        <v/>
      </c>
      <c r="U133" s="391" t="str">
        <f ca="1">IFERROR(VLOOKUP($C133,COM_2012!$B$61:$AH$120,MATCH(VLOOKUP("*"&amp;$AX133,$A$10:$J$11,$J$9,FALSE)&amp;U$7,COM_2012!$B$58:$AH$58,0),FALSE),"")</f>
        <v/>
      </c>
      <c r="V133" s="391" t="str">
        <f ca="1">IFERROR(VLOOKUP($C133,COM_2012!$B$61:$AH$120,MATCH(VLOOKUP("*"&amp;$AX133,$A$10:$J$11,$J$9,FALSE)&amp;V$7,COM_2012!$B$58:$AH$58,0),FALSE),"")</f>
        <v/>
      </c>
      <c r="W133" s="391" t="str">
        <f ca="1">IFERROR(VLOOKUP($C133,COM_2012!$B$61:$AH$120,MATCH(VLOOKUP("*"&amp;$AX133,$A$10:$J$11,$J$9,FALSE)&amp;W$7,COM_2012!$B$58:$AH$58,0),FALSE),"")</f>
        <v/>
      </c>
      <c r="X133" s="391" t="str">
        <f ca="1">IFERROR(VLOOKUP($C133,COM_2012!$B$61:$AH$120,MATCH(VLOOKUP("*"&amp;$AX133,$A$10:$J$11,$J$9,FALSE)&amp;X$7,COM_2012!$B$58:$AH$58,0),FALSE),"")</f>
        <v/>
      </c>
      <c r="Y133" s="391" t="str">
        <f ca="1">IFERROR(VLOOKUP($C133,COM_2012!$B$61:$AH$120,MATCH(VLOOKUP("*"&amp;$AX133,$A$10:$J$11,$J$9,FALSE)&amp;Y$7,COM_2012!$B$58:$AH$58,0),FALSE),"")</f>
        <v/>
      </c>
      <c r="Z133" s="391" t="str">
        <f ca="1">IFERROR(VLOOKUP($C133,COM_2012!$B$61:$AH$120,MATCH(VLOOKUP("*"&amp;$AX133,$A$10:$J$11,$J$9,FALSE)&amp;Z$7,COM_2012!$B$58:$AH$58,0),FALSE),"")</f>
        <v/>
      </c>
      <c r="AA133" s="391" t="str">
        <f ca="1">IFERROR(VLOOKUP($C133,COM_2012!$B$61:$AH$120,MATCH(VLOOKUP("*"&amp;$AX133,$A$10:$J$11,$J$9,FALSE)&amp;AA$7,COM_2012!$B$58:$AH$58,0),FALSE),"")</f>
        <v/>
      </c>
      <c r="AB133" s="391" t="str">
        <f ca="1">IFERROR(VLOOKUP($C133,COM_2012!$B$61:$AH$120,MATCH(VLOOKUP("*"&amp;$AX133,$A$10:$J$11,$J$9,FALSE)&amp;AB$7,COM_2012!$B$58:$AH$58,0),FALSE),"")</f>
        <v/>
      </c>
      <c r="AC133" s="391" t="str">
        <f ca="1">IFERROR(VLOOKUP($C133,COM_2012!$B$61:$AH$120,MATCH(VLOOKUP("*"&amp;$AX133,$A$10:$J$11,$J$9,FALSE)&amp;AC$7,COM_2012!$B$58:$AH$58,0),FALSE),"")</f>
        <v/>
      </c>
      <c r="AD133" s="391" t="str">
        <f ca="1">IFERROR(VLOOKUP($C133,COM_2012!$B$61:$AH$120,MATCH(VLOOKUP("*"&amp;$AX133,$A$10:$J$11,$J$9,FALSE)&amp;AD$7,COM_2012!$B$58:$AH$58,0),FALSE),"")</f>
        <v/>
      </c>
      <c r="AE133" s="391" t="str">
        <f ca="1">IFERROR(VLOOKUP($C133,COM_2012!$B$61:$AH$120,MATCH(VLOOKUP("*"&amp;$AX133,$A$10:$J$11,$J$9,FALSE)&amp;AE$7,COM_2012!$B$58:$AH$58,0),FALSE),"")</f>
        <v/>
      </c>
      <c r="AF133" s="391" t="str">
        <f ca="1">IFERROR(VLOOKUP($C133,COM_2012!$B$61:$AH$120,MATCH(VLOOKUP("*"&amp;$AX133,$A$10:$J$11,$J$9,FALSE)&amp;AF$7,COM_2012!$B$58:$AH$58,0),FALSE),"")</f>
        <v/>
      </c>
      <c r="AG133" s="391" t="str">
        <f ca="1">IFERROR(VLOOKUP($C133,COM_2012!$B$61:$AH$120,MATCH(VLOOKUP("*"&amp;$AX133,$A$10:$J$11,$J$9,FALSE)&amp;AG$7,COM_2012!$B$58:$AH$58,0),FALSE),"")</f>
        <v/>
      </c>
      <c r="AH133" s="391" t="str">
        <f ca="1">IFERROR(VLOOKUP($C133,COM_2012!$B$61:$AH$120,MATCH(VLOOKUP("*"&amp;$AX133,$A$10:$J$11,$J$9,FALSE)&amp;AH$7,COM_2012!$B$58:$AH$58,0),FALSE),"")</f>
        <v/>
      </c>
      <c r="AI133" s="391" t="str">
        <f ca="1">IFERROR(VLOOKUP($C133,COM_2012!$B$61:$AH$120,MATCH(VLOOKUP("*"&amp;$AX133,$A$10:$J$11,$J$9,FALSE)&amp;AI$7,COM_2012!$B$58:$AH$58,0),FALSE),"")</f>
        <v/>
      </c>
      <c r="AJ133" s="391" t="str">
        <f ca="1">IFERROR(VLOOKUP($C133,COM_2012!$B$61:$AH$120,MATCH(VLOOKUP("*"&amp;$AX133,$A$10:$J$11,$J$9,FALSE)&amp;AJ$7,COM_2012!$B$58:$AH$58,0),FALSE),"")</f>
        <v/>
      </c>
      <c r="AK133" s="391" t="str">
        <f ca="1">IFERROR(VLOOKUP($C133,COM_2012!$B$61:$AH$120,MATCH(VLOOKUP("*"&amp;$AX133,$A$10:$J$11,$J$9,FALSE)&amp;AK$7,COM_2012!$B$58:$AH$58,0),FALSE),"")</f>
        <v/>
      </c>
      <c r="AL133" s="391" t="str">
        <f ca="1">IFERROR(VLOOKUP($C133,COM_2012!$B$61:$AH$120,MATCH(VLOOKUP("*"&amp;$AX133,$A$10:$J$11,$J$9,FALSE)&amp;AL$7,COM_2012!$B$58:$AH$58,0),FALSE),"")</f>
        <v/>
      </c>
      <c r="AM133" s="391" t="str">
        <f ca="1">IFERROR(VLOOKUP($C133,COM_2012!$B$61:$AH$120,MATCH(VLOOKUP("*"&amp;$AX133,$A$10:$J$11,$J$9,FALSE)&amp;AM$7,COM_2012!$B$58:$AH$58,0),FALSE),"")</f>
        <v/>
      </c>
      <c r="AN133" s="391" t="str">
        <f ca="1">IFERROR(VLOOKUP($C133,COM_2012!$B$61:$AH$120,MATCH(VLOOKUP("*"&amp;$AX133,$A$10:$J$11,$J$9,FALSE)&amp;AN$7,COM_2012!$B$58:$AH$58,0),FALSE),"")</f>
        <v/>
      </c>
      <c r="AO133" s="391" t="str">
        <f ca="1">IFERROR(VLOOKUP($C133,COM_2012!$B$61:$AH$120,MATCH(VLOOKUP("*"&amp;$AX133,$A$10:$J$11,$J$9,FALSE)&amp;AO$7,COM_2012!$B$58:$AH$58,0),FALSE),"")</f>
        <v/>
      </c>
      <c r="AP133" s="391" t="str">
        <f ca="1">IFERROR(VLOOKUP($C133,COM_2012!$B$61:$AH$120,MATCH(VLOOKUP("*"&amp;$AX133,$A$10:$J$11,$J$9,FALSE)&amp;AP$7,COM_2012!$B$58:$AH$58,0),FALSE),"")</f>
        <v/>
      </c>
      <c r="AQ133" s="391" t="str">
        <f ca="1">IFERROR(VLOOKUP($C133,COM_2012!$B$61:$AH$120,MATCH(VLOOKUP("*"&amp;$AX133,$A$10:$J$11,$J$9,FALSE)&amp;AQ$7,COM_2012!$B$58:$AH$58,0),FALSE),"")</f>
        <v/>
      </c>
      <c r="AR133" s="391" t="str">
        <f ca="1">IFERROR(VLOOKUP($C133,COM_2012!$B$61:$AH$120,MATCH(VLOOKUP("*"&amp;$AX133,$A$10:$J$11,$J$9,FALSE)&amp;AR$7,COM_2012!$B$58:$AH$58,0),FALSE),"")</f>
        <v/>
      </c>
      <c r="AS133" s="391" t="str">
        <f ca="1">IFERROR(VLOOKUP($C133,COM_2012!$B$61:$AH$120,MATCH(VLOOKUP("*"&amp;$AX133,$A$10:$J$11,$J$9,FALSE)&amp;AS$7,COM_2012!$B$58:$AH$58,0),FALSE),"")</f>
        <v/>
      </c>
      <c r="AT133" s="391" t="str">
        <f ca="1">IFERROR(VLOOKUP($C133,COM_2012!$B$61:$AH$120,MATCH(VLOOKUP("*"&amp;$AX133,$A$10:$J$11,$J$9,FALSE)&amp;AT$7,COM_2012!$B$58:$AH$58,0),FALSE),"")</f>
        <v/>
      </c>
      <c r="AU133" s="391" t="str">
        <f ca="1">IFERROR(VLOOKUP($C133,COM_2012!$B$61:$AH$120,MATCH(VLOOKUP("*"&amp;$AX133,$A$10:$J$11,$J$9,FALSE)&amp;AU$7,COM_2012!$B$58:$AH$58,0),FALSE),"")</f>
        <v/>
      </c>
      <c r="AV133" s="391" t="str">
        <f ca="1">IFERROR(VLOOKUP($C133,COM_2012!$B$61:$AH$120,MATCH(VLOOKUP("*"&amp;$AX133,$A$10:$J$11,$J$9,FALSE)&amp;AV$7,COM_2012!$B$58:$AH$58,0),FALSE),"")</f>
        <v/>
      </c>
      <c r="AW133" s="391" t="str">
        <f ca="1">IFERROR(VLOOKUP($C133,COM_2012!$B$61:$AH$120,MATCH(VLOOKUP("*"&amp;$AX133,$A$10:$J$11,$J$9,FALSE)&amp;AW$7,COM_2012!$B$58:$AH$58,0),FALSE),"")</f>
        <v/>
      </c>
      <c r="AX133" s="304">
        <f>IF(AY132=COM_2012!$AI$121,AX132+1,AX132)</f>
        <v>2</v>
      </c>
      <c r="AY133" s="304">
        <f t="shared" si="111"/>
        <v>60</v>
      </c>
    </row>
    <row r="134" spans="1:51">
      <c r="A134" s="304" t="s">
        <v>709</v>
      </c>
      <c r="B134" s="369" t="str">
        <f t="shared" si="109"/>
        <v/>
      </c>
      <c r="C134" s="369" t="str">
        <f ca="1">IF($A134="*","",OFFSET(COM_2012!$B$60,AY134,0))</f>
        <v/>
      </c>
      <c r="D134" s="369" t="str">
        <f t="shared" si="110"/>
        <v/>
      </c>
      <c r="E134" s="369" t="str">
        <f t="shared" ref="E134:F134" si="120">IF($A134="*","",VLOOKUP($B134,$B$10:$I$11,E$9,FALSE))</f>
        <v/>
      </c>
      <c r="F134" s="369" t="str">
        <f t="shared" si="120"/>
        <v/>
      </c>
      <c r="G134" s="369"/>
      <c r="H134" s="370" t="str">
        <f t="shared" ref="H134:I134" si="121">IF($A134="*","",VLOOKUP("*"&amp;$AX134,$A$10:$I$11,H$9,FALSE))</f>
        <v/>
      </c>
      <c r="I134" s="370" t="str">
        <f t="shared" si="121"/>
        <v/>
      </c>
      <c r="J134" s="391"/>
      <c r="K134" s="391" t="str">
        <f ca="1">IFERROR(VLOOKUP($C134,COM_2012!$B$61:$AH$120,MATCH(VLOOKUP("*"&amp;$AX134,$A$10:$J$11,$J$9,FALSE)&amp;K$7,COM_2012!$B$58:$AH$58,0),FALSE),"")</f>
        <v/>
      </c>
      <c r="L134" s="391" t="str">
        <f ca="1">IFERROR(VLOOKUP($C134,COM_2012!$B$61:$AH$120,MATCH(VLOOKUP("*"&amp;$AX134,$A$10:$J$11,$J$9,FALSE)&amp;L$7,COM_2012!$B$58:$AH$58,0),FALSE),"")</f>
        <v/>
      </c>
      <c r="M134" s="391" t="str">
        <f ca="1">IFERROR(VLOOKUP($C134,COM_2012!$B$61:$AH$120,MATCH(VLOOKUP("*"&amp;$AX134,$A$10:$J$11,$J$9,FALSE)&amp;M$7,COM_2012!$B$58:$AH$58,0),FALSE),"")</f>
        <v/>
      </c>
      <c r="N134" s="391" t="str">
        <f ca="1">IFERROR(VLOOKUP($C134,COM_2012!$B$61:$AH$120,MATCH(VLOOKUP("*"&amp;$AX134,$A$10:$J$11,$J$9,FALSE)&amp;N$7,COM_2012!$B$58:$AH$58,0),FALSE),"")</f>
        <v/>
      </c>
      <c r="O134" s="391" t="str">
        <f ca="1">IFERROR(VLOOKUP($C134,COM_2012!$B$61:$AH$120,MATCH(VLOOKUP("*"&amp;$AX134,$A$10:$J$11,$J$9,FALSE)&amp;O$7,COM_2012!$B$58:$AH$58,0),FALSE),"")</f>
        <v/>
      </c>
      <c r="P134" s="391" t="str">
        <f ca="1">IFERROR(VLOOKUP($C134,COM_2012!$B$61:$AH$120,MATCH(VLOOKUP("*"&amp;$AX134,$A$10:$J$11,$J$9,FALSE)&amp;P$7,COM_2012!$B$58:$AH$58,0),FALSE),"")</f>
        <v/>
      </c>
      <c r="Q134" s="391" t="str">
        <f ca="1">IFERROR(VLOOKUP($C134,COM_2012!$B$61:$AH$120,MATCH(VLOOKUP("*"&amp;$AX134,$A$10:$J$11,$J$9,FALSE)&amp;Q$7,COM_2012!$B$58:$AH$58,0),FALSE),"")</f>
        <v/>
      </c>
      <c r="R134" s="391" t="str">
        <f ca="1">IFERROR(VLOOKUP($C134,COM_2012!$B$61:$AH$120,MATCH(VLOOKUP("*"&amp;$AX134,$A$10:$J$11,$J$9,FALSE)&amp;R$7,COM_2012!$B$58:$AH$58,0),FALSE),"")</f>
        <v/>
      </c>
      <c r="S134" s="391" t="str">
        <f ca="1">IFERROR(VLOOKUP($C134,COM_2012!$B$61:$AH$120,MATCH(VLOOKUP("*"&amp;$AX134,$A$10:$J$11,$J$9,FALSE)&amp;S$7,COM_2012!$B$58:$AH$58,0),FALSE),"")</f>
        <v/>
      </c>
      <c r="T134" s="391" t="str">
        <f ca="1">IFERROR(VLOOKUP($C134,COM_2012!$B$61:$AH$120,MATCH(VLOOKUP("*"&amp;$AX134,$A$10:$J$11,$J$9,FALSE)&amp;T$7,COM_2012!$B$58:$AH$58,0),FALSE),"")</f>
        <v/>
      </c>
      <c r="U134" s="391" t="str">
        <f ca="1">IFERROR(VLOOKUP($C134,COM_2012!$B$61:$AH$120,MATCH(VLOOKUP("*"&amp;$AX134,$A$10:$J$11,$J$9,FALSE)&amp;U$7,COM_2012!$B$58:$AH$58,0),FALSE),"")</f>
        <v/>
      </c>
      <c r="V134" s="391" t="str">
        <f ca="1">IFERROR(VLOOKUP($C134,COM_2012!$B$61:$AH$120,MATCH(VLOOKUP("*"&amp;$AX134,$A$10:$J$11,$J$9,FALSE)&amp;V$7,COM_2012!$B$58:$AH$58,0),FALSE),"")</f>
        <v/>
      </c>
      <c r="W134" s="391" t="str">
        <f ca="1">IFERROR(VLOOKUP($C134,COM_2012!$B$61:$AH$120,MATCH(VLOOKUP("*"&amp;$AX134,$A$10:$J$11,$J$9,FALSE)&amp;W$7,COM_2012!$B$58:$AH$58,0),FALSE),"")</f>
        <v/>
      </c>
      <c r="X134" s="391" t="str">
        <f ca="1">IFERROR(VLOOKUP($C134,COM_2012!$B$61:$AH$120,MATCH(VLOOKUP("*"&amp;$AX134,$A$10:$J$11,$J$9,FALSE)&amp;X$7,COM_2012!$B$58:$AH$58,0),FALSE),"")</f>
        <v/>
      </c>
      <c r="Y134" s="391" t="str">
        <f ca="1">IFERROR(VLOOKUP($C134,COM_2012!$B$61:$AH$120,MATCH(VLOOKUP("*"&amp;$AX134,$A$10:$J$11,$J$9,FALSE)&amp;Y$7,COM_2012!$B$58:$AH$58,0),FALSE),"")</f>
        <v/>
      </c>
      <c r="Z134" s="391" t="str">
        <f ca="1">IFERROR(VLOOKUP($C134,COM_2012!$B$61:$AH$120,MATCH(VLOOKUP("*"&amp;$AX134,$A$10:$J$11,$J$9,FALSE)&amp;Z$7,COM_2012!$B$58:$AH$58,0),FALSE),"")</f>
        <v/>
      </c>
      <c r="AA134" s="391" t="str">
        <f ca="1">IFERROR(VLOOKUP($C134,COM_2012!$B$61:$AH$120,MATCH(VLOOKUP("*"&amp;$AX134,$A$10:$J$11,$J$9,FALSE)&amp;AA$7,COM_2012!$B$58:$AH$58,0),FALSE),"")</f>
        <v/>
      </c>
      <c r="AB134" s="391" t="str">
        <f ca="1">IFERROR(VLOOKUP($C134,COM_2012!$B$61:$AH$120,MATCH(VLOOKUP("*"&amp;$AX134,$A$10:$J$11,$J$9,FALSE)&amp;AB$7,COM_2012!$B$58:$AH$58,0),FALSE),"")</f>
        <v/>
      </c>
      <c r="AC134" s="391" t="str">
        <f ca="1">IFERROR(VLOOKUP($C134,COM_2012!$B$61:$AH$120,MATCH(VLOOKUP("*"&amp;$AX134,$A$10:$J$11,$J$9,FALSE)&amp;AC$7,COM_2012!$B$58:$AH$58,0),FALSE),"")</f>
        <v/>
      </c>
      <c r="AD134" s="391" t="str">
        <f ca="1">IFERROR(VLOOKUP($C134,COM_2012!$B$61:$AH$120,MATCH(VLOOKUP("*"&amp;$AX134,$A$10:$J$11,$J$9,FALSE)&amp;AD$7,COM_2012!$B$58:$AH$58,0),FALSE),"")</f>
        <v/>
      </c>
      <c r="AE134" s="391" t="str">
        <f ca="1">IFERROR(VLOOKUP($C134,COM_2012!$B$61:$AH$120,MATCH(VLOOKUP("*"&amp;$AX134,$A$10:$J$11,$J$9,FALSE)&amp;AE$7,COM_2012!$B$58:$AH$58,0),FALSE),"")</f>
        <v/>
      </c>
      <c r="AF134" s="391" t="str">
        <f ca="1">IFERROR(VLOOKUP($C134,COM_2012!$B$61:$AH$120,MATCH(VLOOKUP("*"&amp;$AX134,$A$10:$J$11,$J$9,FALSE)&amp;AF$7,COM_2012!$B$58:$AH$58,0),FALSE),"")</f>
        <v/>
      </c>
      <c r="AG134" s="391" t="str">
        <f ca="1">IFERROR(VLOOKUP($C134,COM_2012!$B$61:$AH$120,MATCH(VLOOKUP("*"&amp;$AX134,$A$10:$J$11,$J$9,FALSE)&amp;AG$7,COM_2012!$B$58:$AH$58,0),FALSE),"")</f>
        <v/>
      </c>
      <c r="AH134" s="391" t="str">
        <f ca="1">IFERROR(VLOOKUP($C134,COM_2012!$B$61:$AH$120,MATCH(VLOOKUP("*"&amp;$AX134,$A$10:$J$11,$J$9,FALSE)&amp;AH$7,COM_2012!$B$58:$AH$58,0),FALSE),"")</f>
        <v/>
      </c>
      <c r="AI134" s="391" t="str">
        <f ca="1">IFERROR(VLOOKUP($C134,COM_2012!$B$61:$AH$120,MATCH(VLOOKUP("*"&amp;$AX134,$A$10:$J$11,$J$9,FALSE)&amp;AI$7,COM_2012!$B$58:$AH$58,0),FALSE),"")</f>
        <v/>
      </c>
      <c r="AJ134" s="391" t="str">
        <f ca="1">IFERROR(VLOOKUP($C134,COM_2012!$B$61:$AH$120,MATCH(VLOOKUP("*"&amp;$AX134,$A$10:$J$11,$J$9,FALSE)&amp;AJ$7,COM_2012!$B$58:$AH$58,0),FALSE),"")</f>
        <v/>
      </c>
      <c r="AK134" s="391" t="str">
        <f ca="1">IFERROR(VLOOKUP($C134,COM_2012!$B$61:$AH$120,MATCH(VLOOKUP("*"&amp;$AX134,$A$10:$J$11,$J$9,FALSE)&amp;AK$7,COM_2012!$B$58:$AH$58,0),FALSE),"")</f>
        <v/>
      </c>
      <c r="AL134" s="391" t="str">
        <f ca="1">IFERROR(VLOOKUP($C134,COM_2012!$B$61:$AH$120,MATCH(VLOOKUP("*"&amp;$AX134,$A$10:$J$11,$J$9,FALSE)&amp;AL$7,COM_2012!$B$58:$AH$58,0),FALSE),"")</f>
        <v/>
      </c>
      <c r="AM134" s="391" t="str">
        <f ca="1">IFERROR(VLOOKUP($C134,COM_2012!$B$61:$AH$120,MATCH(VLOOKUP("*"&amp;$AX134,$A$10:$J$11,$J$9,FALSE)&amp;AM$7,COM_2012!$B$58:$AH$58,0),FALSE),"")</f>
        <v/>
      </c>
      <c r="AN134" s="391" t="str">
        <f ca="1">IFERROR(VLOOKUP($C134,COM_2012!$B$61:$AH$120,MATCH(VLOOKUP("*"&amp;$AX134,$A$10:$J$11,$J$9,FALSE)&amp;AN$7,COM_2012!$B$58:$AH$58,0),FALSE),"")</f>
        <v/>
      </c>
      <c r="AO134" s="391" t="str">
        <f ca="1">IFERROR(VLOOKUP($C134,COM_2012!$B$61:$AH$120,MATCH(VLOOKUP("*"&amp;$AX134,$A$10:$J$11,$J$9,FALSE)&amp;AO$7,COM_2012!$B$58:$AH$58,0),FALSE),"")</f>
        <v/>
      </c>
      <c r="AP134" s="391" t="str">
        <f ca="1">IFERROR(VLOOKUP($C134,COM_2012!$B$61:$AH$120,MATCH(VLOOKUP("*"&amp;$AX134,$A$10:$J$11,$J$9,FALSE)&amp;AP$7,COM_2012!$B$58:$AH$58,0),FALSE),"")</f>
        <v/>
      </c>
      <c r="AQ134" s="391" t="str">
        <f ca="1">IFERROR(VLOOKUP($C134,COM_2012!$B$61:$AH$120,MATCH(VLOOKUP("*"&amp;$AX134,$A$10:$J$11,$J$9,FALSE)&amp;AQ$7,COM_2012!$B$58:$AH$58,0),FALSE),"")</f>
        <v/>
      </c>
      <c r="AR134" s="391" t="str">
        <f ca="1">IFERROR(VLOOKUP($C134,COM_2012!$B$61:$AH$120,MATCH(VLOOKUP("*"&amp;$AX134,$A$10:$J$11,$J$9,FALSE)&amp;AR$7,COM_2012!$B$58:$AH$58,0),FALSE),"")</f>
        <v/>
      </c>
      <c r="AS134" s="391" t="str">
        <f ca="1">IFERROR(VLOOKUP($C134,COM_2012!$B$61:$AH$120,MATCH(VLOOKUP("*"&amp;$AX134,$A$10:$J$11,$J$9,FALSE)&amp;AS$7,COM_2012!$B$58:$AH$58,0),FALSE),"")</f>
        <v/>
      </c>
      <c r="AT134" s="391" t="str">
        <f ca="1">IFERROR(VLOOKUP($C134,COM_2012!$B$61:$AH$120,MATCH(VLOOKUP("*"&amp;$AX134,$A$10:$J$11,$J$9,FALSE)&amp;AT$7,COM_2012!$B$58:$AH$58,0),FALSE),"")</f>
        <v/>
      </c>
      <c r="AU134" s="391" t="str">
        <f ca="1">IFERROR(VLOOKUP($C134,COM_2012!$B$61:$AH$120,MATCH(VLOOKUP("*"&amp;$AX134,$A$10:$J$11,$J$9,FALSE)&amp;AU$7,COM_2012!$B$58:$AH$58,0),FALSE),"")</f>
        <v/>
      </c>
      <c r="AV134" s="391" t="str">
        <f ca="1">IFERROR(VLOOKUP($C134,COM_2012!$B$61:$AH$120,MATCH(VLOOKUP("*"&amp;$AX134,$A$10:$J$11,$J$9,FALSE)&amp;AV$7,COM_2012!$B$58:$AH$58,0),FALSE),"")</f>
        <v/>
      </c>
      <c r="AW134" s="391" t="str">
        <f ca="1">IFERROR(VLOOKUP($C134,COM_2012!$B$61:$AH$120,MATCH(VLOOKUP("*"&amp;$AX134,$A$10:$J$11,$J$9,FALSE)&amp;AW$7,COM_2012!$B$58:$AH$58,0),FALSE),"")</f>
        <v/>
      </c>
      <c r="AX134" s="304">
        <f>IF(AY133=COM_2012!$AI$121,AX133+1,AX133)</f>
        <v>2</v>
      </c>
      <c r="AY134" s="304">
        <f t="shared" si="111"/>
        <v>61</v>
      </c>
    </row>
  </sheetData>
  <pageMargins left="0.75" right="0.75" top="1" bottom="1" header="0.5" footer="0.5"/>
  <headerFooter alignWithMargins="0"/>
  <drawing r:id="rId1"/>
  <legacyDrawing r:id="rId2"/>
  <controls>
    <mc:AlternateContent xmlns:mc="http://schemas.openxmlformats.org/markup-compatibility/2006">
      <mc:Choice Requires="x14">
        <control shapeId="1174537"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1174537" r:id="rId3" name="cmdSpecifyIEOptcode"/>
      </mc:Fallback>
    </mc:AlternateContent>
    <mc:AlternateContent xmlns:mc="http://schemas.openxmlformats.org/markup-compatibility/2006">
      <mc:Choice Requires="x14">
        <control shapeId="1174536"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1174536" r:id="rId5" name="cmdSpecifyArg6"/>
      </mc:Fallback>
    </mc:AlternateContent>
    <mc:AlternateContent xmlns:mc="http://schemas.openxmlformats.org/markup-compatibility/2006">
      <mc:Choice Requires="x14">
        <control shapeId="1174535"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1174535" r:id="rId7" name="cmdSpecifyArg5"/>
      </mc:Fallback>
    </mc:AlternateContent>
    <mc:AlternateContent xmlns:mc="http://schemas.openxmlformats.org/markup-compatibility/2006">
      <mc:Choice Requires="x14">
        <control shapeId="1174534"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1174534" r:id="rId9" name="cmdSpecifyArg4"/>
      </mc:Fallback>
    </mc:AlternateContent>
    <mc:AlternateContent xmlns:mc="http://schemas.openxmlformats.org/markup-compatibility/2006">
      <mc:Choice Requires="x14">
        <control shapeId="11745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74533" r:id="rId11" name="cmdSpecifyArg3"/>
      </mc:Fallback>
    </mc:AlternateContent>
    <mc:AlternateContent xmlns:mc="http://schemas.openxmlformats.org/markup-compatibility/2006">
      <mc:Choice Requires="x14">
        <control shapeId="1174532"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1174532" r:id="rId13" name="cmdSpecifyArg2"/>
      </mc:Fallback>
    </mc:AlternateContent>
    <mc:AlternateContent xmlns:mc="http://schemas.openxmlformats.org/markup-compatibility/2006">
      <mc:Choice Requires="x14">
        <control shapeId="1174531"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174531" r:id="rId15" name="cmdSpecifyArg1"/>
      </mc:Fallback>
    </mc:AlternateContent>
    <mc:AlternateContent xmlns:mc="http://schemas.openxmlformats.org/markup-compatibility/2006">
      <mc:Choice Requires="x14">
        <control shapeId="1174530"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174530" r:id="rId17" name="cmdSpecifyParameter"/>
      </mc:Fallback>
    </mc:AlternateContent>
    <mc:AlternateContent xmlns:mc="http://schemas.openxmlformats.org/markup-compatibility/2006">
      <mc:Choice Requires="x14">
        <control shapeId="1174529"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1174529" r:id="rId19" name="cmdCheckTSandTIDDataSheet"/>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theme="9" tint="-0.249977111117893"/>
  </sheetPr>
  <dimension ref="A1:AY135"/>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48" width="5.42578125" style="304" customWidth="1"/>
    <col min="49" max="16384" width="11.42578125" style="304"/>
  </cols>
  <sheetData>
    <row r="1" spans="1:51">
      <c r="A1" s="303" t="s">
        <v>718</v>
      </c>
      <c r="B1" s="304" t="s">
        <v>707</v>
      </c>
      <c r="AW1" s="304" t="s">
        <v>709</v>
      </c>
      <c r="AX1" s="304" t="s">
        <v>709</v>
      </c>
      <c r="AY1" s="304" t="s">
        <v>709</v>
      </c>
    </row>
    <row r="2" spans="1:51">
      <c r="A2" s="304" t="s">
        <v>709</v>
      </c>
      <c r="AW2" s="304" t="s">
        <v>719</v>
      </c>
      <c r="AX2" s="304" t="s">
        <v>720</v>
      </c>
      <c r="AY2" s="304" t="s">
        <v>721</v>
      </c>
    </row>
    <row r="3" spans="1:51" ht="15" customHeight="1">
      <c r="A3" s="304" t="s">
        <v>709</v>
      </c>
    </row>
    <row r="4" spans="1:51">
      <c r="A4" s="304" t="s">
        <v>709</v>
      </c>
    </row>
    <row r="5" spans="1:51">
      <c r="A5" s="304" t="s">
        <v>709</v>
      </c>
    </row>
    <row r="6" spans="1:51">
      <c r="A6" s="304" t="s">
        <v>709</v>
      </c>
    </row>
    <row r="7" spans="1:51" ht="22.5" customHeight="1">
      <c r="A7" s="304" t="s">
        <v>709</v>
      </c>
      <c r="B7" s="303" t="s">
        <v>722</v>
      </c>
      <c r="C7" s="303" t="s">
        <v>723</v>
      </c>
      <c r="D7" s="303" t="s">
        <v>724</v>
      </c>
      <c r="E7" s="303" t="s">
        <v>725</v>
      </c>
      <c r="F7" s="303" t="s">
        <v>726</v>
      </c>
      <c r="G7" s="303" t="s">
        <v>727</v>
      </c>
      <c r="H7" s="303" t="s">
        <v>728</v>
      </c>
      <c r="I7" s="365" t="s">
        <v>729</v>
      </c>
      <c r="J7" s="304">
        <v>2012</v>
      </c>
      <c r="K7" s="304">
        <f t="shared" ref="K7:AL7" si="0">J7+1</f>
        <v>2013</v>
      </c>
      <c r="L7" s="304">
        <f t="shared" si="0"/>
        <v>2014</v>
      </c>
      <c r="M7" s="304">
        <f t="shared" si="0"/>
        <v>2015</v>
      </c>
      <c r="N7" s="304">
        <f t="shared" si="0"/>
        <v>2016</v>
      </c>
      <c r="O7" s="304">
        <f t="shared" si="0"/>
        <v>2017</v>
      </c>
      <c r="P7" s="304">
        <f t="shared" si="0"/>
        <v>2018</v>
      </c>
      <c r="Q7" s="304">
        <f t="shared" si="0"/>
        <v>2019</v>
      </c>
      <c r="R7" s="304">
        <f t="shared" si="0"/>
        <v>2020</v>
      </c>
      <c r="S7" s="304">
        <f t="shared" si="0"/>
        <v>2021</v>
      </c>
      <c r="T7" s="304">
        <f t="shared" si="0"/>
        <v>2022</v>
      </c>
      <c r="U7" s="304">
        <f t="shared" si="0"/>
        <v>2023</v>
      </c>
      <c r="V7" s="304">
        <f t="shared" si="0"/>
        <v>2024</v>
      </c>
      <c r="W7" s="304">
        <f t="shared" si="0"/>
        <v>2025</v>
      </c>
      <c r="X7" s="304">
        <f t="shared" si="0"/>
        <v>2026</v>
      </c>
      <c r="Y7" s="304">
        <f t="shared" si="0"/>
        <v>2027</v>
      </c>
      <c r="Z7" s="304">
        <f t="shared" si="0"/>
        <v>2028</v>
      </c>
      <c r="AA7" s="304">
        <f t="shared" si="0"/>
        <v>2029</v>
      </c>
      <c r="AB7" s="304">
        <f t="shared" si="0"/>
        <v>2030</v>
      </c>
      <c r="AC7" s="304">
        <f t="shared" si="0"/>
        <v>2031</v>
      </c>
      <c r="AD7" s="304">
        <f t="shared" si="0"/>
        <v>2032</v>
      </c>
      <c r="AE7" s="304">
        <f t="shared" si="0"/>
        <v>2033</v>
      </c>
      <c r="AF7" s="304">
        <f t="shared" si="0"/>
        <v>2034</v>
      </c>
      <c r="AG7" s="304">
        <f t="shared" si="0"/>
        <v>2035</v>
      </c>
      <c r="AH7" s="304">
        <f t="shared" si="0"/>
        <v>2036</v>
      </c>
      <c r="AI7" s="304">
        <f t="shared" si="0"/>
        <v>2037</v>
      </c>
      <c r="AJ7" s="304">
        <f t="shared" si="0"/>
        <v>2038</v>
      </c>
      <c r="AK7" s="304">
        <f t="shared" si="0"/>
        <v>2039</v>
      </c>
      <c r="AL7" s="304">
        <f t="shared" si="0"/>
        <v>2040</v>
      </c>
      <c r="AM7" s="304">
        <f>AL7+5</f>
        <v>2045</v>
      </c>
      <c r="AN7" s="304">
        <f t="shared" ref="AN7:AR7" si="1">AM7+5</f>
        <v>2050</v>
      </c>
      <c r="AO7" s="304">
        <f t="shared" si="1"/>
        <v>2055</v>
      </c>
      <c r="AP7" s="304">
        <f t="shared" si="1"/>
        <v>2060</v>
      </c>
      <c r="AQ7" s="304">
        <f>AP7+5</f>
        <v>2065</v>
      </c>
      <c r="AR7" s="304">
        <f t="shared" si="1"/>
        <v>2070</v>
      </c>
    </row>
    <row r="8" spans="1:51">
      <c r="A8" s="304" t="s">
        <v>709</v>
      </c>
      <c r="B8" s="303"/>
      <c r="C8" s="303"/>
      <c r="D8" s="303"/>
      <c r="E8" s="303"/>
      <c r="F8" s="303"/>
      <c r="G8" s="303"/>
      <c r="H8" s="303"/>
      <c r="I8" s="365"/>
    </row>
    <row r="9" spans="1:51">
      <c r="A9" s="304" t="s">
        <v>709</v>
      </c>
      <c r="B9" s="366">
        <v>2</v>
      </c>
      <c r="C9" s="366">
        <f t="shared" ref="C9:J9" si="2">B9+1</f>
        <v>3</v>
      </c>
      <c r="D9" s="366">
        <f t="shared" si="2"/>
        <v>4</v>
      </c>
      <c r="E9" s="366">
        <f t="shared" si="2"/>
        <v>5</v>
      </c>
      <c r="F9" s="366">
        <f t="shared" si="2"/>
        <v>6</v>
      </c>
      <c r="G9" s="366">
        <f t="shared" si="2"/>
        <v>7</v>
      </c>
      <c r="H9" s="366">
        <f t="shared" si="2"/>
        <v>8</v>
      </c>
      <c r="I9" s="366">
        <f t="shared" si="2"/>
        <v>9</v>
      </c>
      <c r="J9" s="366">
        <f t="shared" si="2"/>
        <v>10</v>
      </c>
    </row>
    <row r="10" spans="1:51">
      <c r="A10" s="304" t="s">
        <v>730</v>
      </c>
      <c r="B10" s="363" t="s">
        <v>1296</v>
      </c>
      <c r="C10" s="363" t="s">
        <v>732</v>
      </c>
      <c r="D10" s="363" t="s">
        <v>463</v>
      </c>
      <c r="E10" s="363" t="s">
        <v>463</v>
      </c>
      <c r="F10" s="363" t="s">
        <v>463</v>
      </c>
      <c r="G10" s="363" t="s">
        <v>734</v>
      </c>
      <c r="H10" s="363" t="s">
        <v>737</v>
      </c>
      <c r="I10" s="368">
        <v>0</v>
      </c>
      <c r="J10" s="304" t="s">
        <v>796</v>
      </c>
      <c r="AY10" s="304">
        <f>COM_N_2012!$E$59</f>
        <v>3</v>
      </c>
    </row>
    <row r="11" spans="1:51">
      <c r="A11" s="304" t="s">
        <v>735</v>
      </c>
      <c r="B11" s="363" t="s">
        <v>1296</v>
      </c>
      <c r="C11" s="363" t="s">
        <v>732</v>
      </c>
      <c r="D11" s="363" t="s">
        <v>463</v>
      </c>
      <c r="E11" s="363" t="s">
        <v>463</v>
      </c>
      <c r="F11" s="363" t="s">
        <v>463</v>
      </c>
      <c r="G11" s="363" t="s">
        <v>734</v>
      </c>
      <c r="H11" s="363" t="s">
        <v>797</v>
      </c>
      <c r="I11" s="368">
        <v>0</v>
      </c>
      <c r="J11" s="304" t="s">
        <v>667</v>
      </c>
      <c r="AY11" s="304">
        <f>COM_N_2012!$F$59</f>
        <v>4</v>
      </c>
    </row>
    <row r="12" spans="1:51">
      <c r="A12" s="304" t="s">
        <v>709</v>
      </c>
      <c r="B12" s="363"/>
      <c r="C12" s="363"/>
      <c r="D12" s="363"/>
      <c r="E12" s="363"/>
      <c r="F12" s="363"/>
      <c r="G12" s="363"/>
      <c r="H12" s="363"/>
      <c r="I12" s="368"/>
    </row>
    <row r="13" spans="1:51">
      <c r="A13" s="304" t="str">
        <f ca="1">IF(LEFT(OFFSET(COM_N_2012!$A$60,AX13,0),2)="\I","*","")</f>
        <v/>
      </c>
      <c r="B13" s="369" t="str">
        <f t="shared" ref="B13:B44" ca="1" si="3">IF(A13="*","",VLOOKUP("*"&amp;AW13,$A$9:$B$11,2,FALSE))</f>
        <v>FLO_MRKPRD</v>
      </c>
      <c r="C13" s="369" t="str">
        <f ca="1">IF($A13="*","",OFFSET(COM_N_2012!$B$60,AX13,0))</f>
        <v>CNCELCCHIL-E</v>
      </c>
      <c r="D13" s="369" t="str">
        <f t="shared" ref="D13:D44" ca="1" si="4">IF($A13="*","",LEFT(C13,3))</f>
        <v>CNC</v>
      </c>
      <c r="E13" s="369" t="str">
        <f t="shared" ref="E13:E32" ca="1" si="5">IF($A13="*","",VLOOKUP($B13,$B$10:$I$11,E$9,FALSE))</f>
        <v>-</v>
      </c>
      <c r="F13" s="370" t="str">
        <f t="shared" ref="F13:I32" ca="1" si="6">IF($A13="*","",VLOOKUP("*"&amp;$AW13,$A$10:$I$11,F$9,FALSE))</f>
        <v>-</v>
      </c>
      <c r="G13" s="370" t="str">
        <f t="shared" ca="1" si="6"/>
        <v>ANNUAL</v>
      </c>
      <c r="H13" s="370" t="str">
        <f t="shared" ca="1" si="6"/>
        <v>UP</v>
      </c>
      <c r="I13" s="370">
        <f t="shared" ca="1" si="6"/>
        <v>0</v>
      </c>
      <c r="J13" s="391">
        <f ca="1">IFERROR(VLOOKUP($C13,COM_N_2012!$B$61:$AJ$122,MATCH(VLOOKUP("*"&amp;$AW13,$A$10:$J$11,$J$9,FALSE)&amp;J$7,COM_N_2012!$B$58:$AJ$58,0),FALSE),"")</f>
        <v>3.9646643109540636E-2</v>
      </c>
      <c r="K13" s="391" t="str">
        <f ca="1">IFERROR(VLOOKUP($C13,COM_N_2012!$B$61:$AJ$122,MATCH(VLOOKUP("*"&amp;$AW13,$A$10:$J$11,$J$9,FALSE)&amp;K$7,COM_N_2012!$B$58:$AJ$58,0),FALSE),"")</f>
        <v/>
      </c>
      <c r="L13" s="391" t="str">
        <f ca="1">IFERROR(VLOOKUP($C13,COM_N_2012!$B$61:$AJ$122,MATCH(VLOOKUP("*"&amp;$AW13,$A$10:$J$11,$J$9,FALSE)&amp;L$7,COM_N_2012!$B$58:$AJ$58,0),FALSE),"")</f>
        <v/>
      </c>
      <c r="M13" s="391">
        <f ca="1">IFERROR(VLOOKUP($C13,COM_N_2012!$B$61:$AJ$122,MATCH(VLOOKUP("*"&amp;$AW13,$A$10:$J$11,$J$9,FALSE)&amp;M$7,COM_N_2012!$B$58:$AJ$58,0),FALSE),"")</f>
        <v>3.9646643109540636E-2</v>
      </c>
      <c r="N13" s="391" t="str">
        <f ca="1">IFERROR(VLOOKUP($C13,COM_N_2012!$B$61:$AJ$122,MATCH(VLOOKUP("*"&amp;$AW13,$A$10:$J$11,$J$9,FALSE)&amp;N$7,COM_N_2012!$B$58:$AJ$58,0),FALSE),"")</f>
        <v/>
      </c>
      <c r="O13" s="391">
        <f ca="1">IF($A13="*","",IFERROR(VLOOKUP($C13,COM_N_2017!$B$61:$AJ$122,MATCH(VLOOKUP("*"&amp;$AW13,$A$10:$J$11,$J$9,FALSE)&amp;O$7,COM_N_2017!$B$58:$AJ$58,0),FALSE),""))</f>
        <v>3.9257950530035335E-2</v>
      </c>
      <c r="P13" s="391" t="str">
        <f ca="1">IFERROR(VLOOKUP($C13,COM_N_2012!$B$61:$AJ$122,MATCH(VLOOKUP("*"&amp;$AW13,$A$10:$J$11,$J$9,FALSE)&amp;P$7,COM_N_2012!$B$58:$AJ$58,0),FALSE),"")</f>
        <v/>
      </c>
      <c r="Q13" s="391" t="str">
        <f ca="1">IFERROR(VLOOKUP($C13,COM_N_2012!$B$61:$AJ$122,MATCH(VLOOKUP("*"&amp;$AW13,$A$10:$J$11,$J$9,FALSE)&amp;Q$7,COM_N_2012!$B$58:$AJ$58,0),FALSE),"")</f>
        <v/>
      </c>
      <c r="R13" s="391">
        <f ca="1">IF($A13="*","",IFERROR(VLOOKUP($C13,COM_N_2017!$B$61:$AJ$122,MATCH(VLOOKUP("*"&amp;$AW13,$A$10:$J$11,$J$9,FALSE)&amp;R$7,COM_N_2017!$B$58:$AJ$58,0),FALSE),""))</f>
        <v>6.9257950530035334E-2</v>
      </c>
      <c r="S13" s="391" t="str">
        <f ca="1">IFERROR(VLOOKUP($C13,COM_N_2012!$B$61:$AJ$122,MATCH(VLOOKUP("*"&amp;$AW13,$A$10:$J$11,$J$9,FALSE)&amp;S$7,COM_N_2012!$B$58:$AJ$58,0),FALSE),"")</f>
        <v/>
      </c>
      <c r="T13" s="391" t="str">
        <f ca="1">IFERROR(VLOOKUP($C13,COM_N_2012!$B$61:$AJ$122,MATCH(VLOOKUP("*"&amp;$AW13,$A$10:$J$11,$J$9,FALSE)&amp;T$7,COM_N_2012!$B$58:$AJ$58,0),FALSE),"")</f>
        <v/>
      </c>
      <c r="U13" s="391" t="str">
        <f ca="1">IFERROR(VLOOKUP($C13,COM_N_2012!$B$61:$AJ$122,MATCH(VLOOKUP("*"&amp;$AW13,$A$10:$J$11,$J$9,FALSE)&amp;U$7,COM_N_2012!$B$58:$AJ$58,0),FALSE),"")</f>
        <v/>
      </c>
      <c r="V13" s="391" t="str">
        <f ca="1">IFERROR(VLOOKUP($C13,COM_N_2012!$B$61:$AJ$122,MATCH(VLOOKUP("*"&amp;$AW13,$A$10:$J$11,$J$9,FALSE)&amp;V$7,COM_N_2012!$B$58:$AJ$58,0),FALSE),"")</f>
        <v/>
      </c>
      <c r="W13" s="391">
        <f ca="1">IF($A13="*","",IFERROR(VLOOKUP($C13,COM_N_2017!$B$61:$AJ$122,MATCH(VLOOKUP("*"&amp;$AW13,$A$10:$J$11,$J$9,FALSE)&amp;W$7,COM_N_2017!$B$58:$AJ$58,0),FALSE),""))</f>
        <v>0.13925795053003534</v>
      </c>
      <c r="X13" s="391" t="str">
        <f ca="1">IFERROR(VLOOKUP($C13,COM_N_2012!$B$61:$AJ$122,MATCH(VLOOKUP("*"&amp;$AW13,$A$10:$J$11,$J$9,FALSE)&amp;X$7,COM_N_2012!$B$58:$AJ$58,0),FALSE),"")</f>
        <v/>
      </c>
      <c r="Y13" s="391" t="str">
        <f ca="1">IFERROR(VLOOKUP($C13,COM_N_2012!$B$61:$AJ$122,MATCH(VLOOKUP("*"&amp;$AW13,$A$10:$J$11,$J$9,FALSE)&amp;Y$7,COM_N_2012!$B$58:$AJ$58,0),FALSE),"")</f>
        <v/>
      </c>
      <c r="Z13" s="391" t="str">
        <f ca="1">IFERROR(VLOOKUP($C13,COM_N_2012!$B$61:$AJ$122,MATCH(VLOOKUP("*"&amp;$AW13,$A$10:$J$11,$J$9,FALSE)&amp;Z$7,COM_N_2012!$B$58:$AJ$58,0),FALSE),"")</f>
        <v/>
      </c>
      <c r="AA13" s="391" t="str">
        <f ca="1">IFERROR(VLOOKUP($C13,COM_N_2012!$B$61:$AJ$122,MATCH(VLOOKUP("*"&amp;$AW13,$A$10:$J$11,$J$9,FALSE)&amp;AA$7,COM_N_2012!$B$58:$AJ$58,0),FALSE),"")</f>
        <v/>
      </c>
      <c r="AB13" s="391">
        <f ca="1">IF($A13="*","",IFERROR(VLOOKUP($C13,COM_N_2017!$B$61:$AJ$122,MATCH(VLOOKUP("*"&amp;$AW13,$A$10:$J$11,$J$9,FALSE)&amp;AB$7,COM_N_2017!$B$58:$AJ$58,0),FALSE),""))</f>
        <v>0.33925795053003532</v>
      </c>
      <c r="AC13" s="391" t="str">
        <f ca="1">IFERROR(VLOOKUP($C13,COM_N_2012!$B$61:$AJ$122,MATCH(VLOOKUP("*"&amp;$AW13,$A$10:$J$11,$J$9,FALSE)&amp;AC$7,COM_N_2012!$B$58:$AJ$58,0),FALSE),"")</f>
        <v/>
      </c>
      <c r="AD13" s="391" t="str">
        <f ca="1">IFERROR(VLOOKUP($C13,COM_N_2012!$B$61:$AJ$122,MATCH(VLOOKUP("*"&amp;$AW13,$A$10:$J$11,$J$9,FALSE)&amp;AD$7,COM_N_2012!$B$58:$AJ$58,0),FALSE),"")</f>
        <v/>
      </c>
      <c r="AE13" s="391" t="str">
        <f ca="1">IFERROR(VLOOKUP($C13,COM_N_2012!$B$61:$AJ$122,MATCH(VLOOKUP("*"&amp;$AW13,$A$10:$J$11,$J$9,FALSE)&amp;AE$7,COM_N_2012!$B$58:$AJ$58,0),FALSE),"")</f>
        <v/>
      </c>
      <c r="AF13" s="391" t="str">
        <f ca="1">IFERROR(VLOOKUP($C13,COM_N_2012!$B$61:$AJ$122,MATCH(VLOOKUP("*"&amp;$AW13,$A$10:$J$11,$J$9,FALSE)&amp;AF$7,COM_N_2012!$B$58:$AJ$58,0),FALSE),"")</f>
        <v/>
      </c>
      <c r="AG13" s="391">
        <f ca="1">IF($A13="*","",IFERROR(VLOOKUP($C13,COM_N_2017!$B$61:$AJ$122,MATCH(VLOOKUP("*"&amp;$AW13,$A$10:$J$11,$J$9,FALSE)&amp;AG$7,COM_N_2017!$B$58:$AJ$58,0),FALSE),""))</f>
        <v>0.53925795053003533</v>
      </c>
      <c r="AH13" s="391" t="str">
        <f ca="1">IFERROR(VLOOKUP($C13,COM_N_2012!$B$61:$AJ$122,MATCH(VLOOKUP("*"&amp;$AW13,$A$10:$J$11,$J$9,FALSE)&amp;AH$7,COM_N_2012!$B$58:$AJ$58,0),FALSE),"")</f>
        <v/>
      </c>
      <c r="AI13" s="391" t="str">
        <f ca="1">IFERROR(VLOOKUP($C13,COM_N_2012!$B$61:$AJ$122,MATCH(VLOOKUP("*"&amp;$AW13,$A$10:$J$11,$J$9,FALSE)&amp;AI$7,COM_N_2012!$B$58:$AJ$58,0),FALSE),"")</f>
        <v/>
      </c>
      <c r="AJ13" s="391" t="str">
        <f ca="1">IFERROR(VLOOKUP($C13,COM_N_2012!$B$61:$AJ$122,MATCH(VLOOKUP("*"&amp;$AW13,$A$10:$J$11,$J$9,FALSE)&amp;AJ$7,COM_N_2012!$B$58:$AJ$58,0),FALSE),"")</f>
        <v/>
      </c>
      <c r="AK13" s="391" t="str">
        <f ca="1">IFERROR(VLOOKUP($C13,COM_N_2012!$B$61:$AJ$122,MATCH(VLOOKUP("*"&amp;$AW13,$A$10:$J$11,$J$9,FALSE)&amp;AK$7,COM_N_2012!$B$58:$AJ$58,0),FALSE),"")</f>
        <v/>
      </c>
      <c r="AL13" s="391">
        <f ca="1">IF($A13="*","",IFERROR(VLOOKUP($C13,COM_N_2017!$B$61:$AJ$122,MATCH(VLOOKUP("*"&amp;$AW13,$A$10:$J$11,$J$9,FALSE)&amp;AL$7,COM_N_2017!$B$58:$AJ$58,0),FALSE),""))</f>
        <v>0.73925795053003529</v>
      </c>
      <c r="AM13" s="391">
        <f ca="1">IF($A13="*","",IFERROR(VLOOKUP($C13,COM_N_2017!$B$61:$AJ$122,MATCH(VLOOKUP("*"&amp;$AW13,$A$10:$J$11,$J$9,FALSE)&amp;AM$7,COM_N_2017!$B$58:$AJ$58,0),FALSE),""))</f>
        <v>0.93925795053003536</v>
      </c>
      <c r="AN13" s="391">
        <f ca="1">IF($A13="*","",IFERROR(VLOOKUP($C13,COM_N_2017!$B$61:$AJ$122,MATCH(VLOOKUP("*"&amp;$AW13,$A$10:$J$11,$J$9,FALSE)&amp;AN$7,COM_N_2017!$B$58:$AJ$58,0),FALSE),""))</f>
        <v>1</v>
      </c>
      <c r="AO13" s="391" t="str">
        <f ca="1">IFERROR(VLOOKUP($C13,COM_N_2012!$B$61:$AJ$122,MATCH(VLOOKUP("*"&amp;$AW13,$A$10:$J$11,$J$9,FALSE)&amp;AO$7,COM_N_2012!$B$58:$AJ$58,0),FALSE),"")</f>
        <v/>
      </c>
      <c r="AP13" s="391" t="str">
        <f ca="1">IFERROR(VLOOKUP($C13,COM_N_2012!$B$61:$AJ$122,MATCH(VLOOKUP("*"&amp;$AW13,$A$10:$J$11,$J$9,FALSE)&amp;AP$7,COM_N_2012!$B$58:$AJ$58,0),FALSE),"")</f>
        <v/>
      </c>
      <c r="AQ13" s="391" t="str">
        <f ca="1">IFERROR(VLOOKUP($C13,COM_N_2012!$B$61:$AJ$122,MATCH(VLOOKUP("*"&amp;$AW13,$A$10:$J$11,$J$9,FALSE)&amp;AQ$7,COM_N_2012!$B$58:$AJ$58,0),FALSE),"")</f>
        <v/>
      </c>
      <c r="AR13" s="391" t="str">
        <f ca="1">IFERROR(VLOOKUP($C13,COM_N_2012!$B$61:$AJ$122,MATCH(VLOOKUP("*"&amp;$AW13,$A$10:$J$11,$J$9,FALSE)&amp;AR$7,COM_N_2012!$B$58:$AJ$58,0),FALSE),"")</f>
        <v/>
      </c>
      <c r="AS13" s="391" t="str">
        <f ca="1">IFERROR(VLOOKUP($C13,COM_N_2012!$B$61:$AJ$122,MATCH(VLOOKUP("*"&amp;$AW13,$A$10:$J$11,$J$9,FALSE)&amp;AS$7,COM_N_2012!$B$58:$AJ$58,0),FALSE),"")</f>
        <v/>
      </c>
      <c r="AT13" s="391" t="str">
        <f ca="1">IFERROR(VLOOKUP($C13,COM_N_2012!$B$61:$AJ$122,MATCH(VLOOKUP("*"&amp;$AW13,$A$10:$J$11,$J$9,FALSE)&amp;AT$7,COM_N_2012!$B$58:$AJ$58,0),FALSE),"")</f>
        <v/>
      </c>
      <c r="AU13" s="391" t="str">
        <f ca="1">IFERROR(VLOOKUP($C13,COM_N_2012!$B$61:$AJ$122,MATCH(VLOOKUP("*"&amp;$AW13,$A$10:$J$11,$J$9,FALSE)&amp;AU$7,COM_N_2012!$B$58:$AJ$58,0),FALSE),"")</f>
        <v/>
      </c>
      <c r="AV13" s="391" t="str">
        <f ca="1">IFERROR(VLOOKUP($C13,COM_N_2012!$B$61:$AJ$122,MATCH(VLOOKUP("*"&amp;$AW13,$A$10:$J$11,$J$9,FALSE)&amp;AV$7,COM_N_2012!$B$58:$AJ$58,0),FALSE),"")</f>
        <v/>
      </c>
      <c r="AW13" s="304">
        <v>1</v>
      </c>
      <c r="AX13" s="304">
        <v>1</v>
      </c>
    </row>
    <row r="14" spans="1:51">
      <c r="A14" s="304" t="str">
        <f ca="1">IF(LEFT(OFFSET(COM_N_2012!$A$60,AX14,0),2)="\I","*","")</f>
        <v/>
      </c>
      <c r="B14" s="369" t="str">
        <f t="shared" ca="1" si="3"/>
        <v>FLO_MRKPRD</v>
      </c>
      <c r="C14" s="369" t="str">
        <f ca="1">IF($A14="*","",OFFSET(COM_N_2012!$B$60,AX14,0))</f>
        <v>CNCELCCEN-E</v>
      </c>
      <c r="D14" s="369" t="str">
        <f t="shared" ca="1" si="4"/>
        <v>CNC</v>
      </c>
      <c r="E14" s="369" t="str">
        <f t="shared" ca="1" si="5"/>
        <v>-</v>
      </c>
      <c r="F14" s="370" t="str">
        <f t="shared" ca="1" si="6"/>
        <v>-</v>
      </c>
      <c r="G14" s="370" t="str">
        <f t="shared" ca="1" si="6"/>
        <v>ANNUAL</v>
      </c>
      <c r="H14" s="370" t="str">
        <f t="shared" ca="1" si="6"/>
        <v>UP</v>
      </c>
      <c r="I14" s="370">
        <f t="shared" ca="1" si="6"/>
        <v>0</v>
      </c>
      <c r="J14" s="391">
        <f ca="1">IFERROR(VLOOKUP($C14,COM_N_2012!$B$61:$AJ$122,MATCH(VLOOKUP("*"&amp;$AW14,$A$10:$J$11,$J$9,FALSE)&amp;J$7,COM_N_2012!$B$58:$AJ$58,0),FALSE),"")</f>
        <v>0.67038869257950529</v>
      </c>
      <c r="K14" s="391" t="str">
        <f ca="1">IFERROR(VLOOKUP($C14,COM_N_2012!$B$61:$AJ$122,MATCH(VLOOKUP("*"&amp;$AW14,$A$10:$J$11,$J$9,FALSE)&amp;K$7,COM_N_2012!$B$58:$AJ$58,0),FALSE),"")</f>
        <v/>
      </c>
      <c r="L14" s="391" t="str">
        <f ca="1">IFERROR(VLOOKUP($C14,COM_N_2012!$B$61:$AJ$122,MATCH(VLOOKUP("*"&amp;$AW14,$A$10:$J$11,$J$9,FALSE)&amp;L$7,COM_N_2012!$B$58:$AJ$58,0),FALSE),"")</f>
        <v/>
      </c>
      <c r="M14" s="391">
        <f ca="1">IFERROR(VLOOKUP($C14,COM_N_2012!$B$61:$AJ$122,MATCH(VLOOKUP("*"&amp;$AW14,$A$10:$J$11,$J$9,FALSE)&amp;M$7,COM_N_2012!$B$58:$AJ$58,0),FALSE),"")</f>
        <v>0.67038869257950529</v>
      </c>
      <c r="N14" s="391" t="str">
        <f ca="1">IFERROR(VLOOKUP($C14,COM_N_2012!$B$61:$AJ$122,MATCH(VLOOKUP("*"&amp;$AW14,$A$10:$J$11,$J$9,FALSE)&amp;N$7,COM_N_2012!$B$58:$AJ$58,0),FALSE),"")</f>
        <v/>
      </c>
      <c r="O14" s="391">
        <f ca="1">IF($A14="*","",IFERROR(VLOOKUP($C14,COM_N_2017!$B$61:$AJ$122,MATCH(VLOOKUP("*"&amp;$AW14,$A$10:$J$11,$J$9,FALSE)&amp;O$7,COM_N_2017!$B$58:$AJ$58,0),FALSE),""))</f>
        <v>0.66381625441696124</v>
      </c>
      <c r="P14" s="391" t="str">
        <f ca="1">IFERROR(VLOOKUP($C14,COM_N_2012!$B$61:$AJ$122,MATCH(VLOOKUP("*"&amp;$AW14,$A$10:$J$11,$J$9,FALSE)&amp;P$7,COM_N_2012!$B$58:$AJ$58,0),FALSE),"")</f>
        <v/>
      </c>
      <c r="Q14" s="391" t="str">
        <f ca="1">IFERROR(VLOOKUP($C14,COM_N_2012!$B$61:$AJ$122,MATCH(VLOOKUP("*"&amp;$AW14,$A$10:$J$11,$J$9,FALSE)&amp;Q$7,COM_N_2012!$B$58:$AJ$58,0),FALSE),"")</f>
        <v/>
      </c>
      <c r="R14" s="391">
        <f ca="1">IF($A14="*","",IFERROR(VLOOKUP($C14,COM_N_2017!$B$61:$AJ$122,MATCH(VLOOKUP("*"&amp;$AW14,$A$10:$J$11,$J$9,FALSE)&amp;R$7,COM_N_2017!$B$58:$AJ$58,0),FALSE),""))</f>
        <v>0.69381625441696126</v>
      </c>
      <c r="S14" s="391" t="str">
        <f ca="1">IFERROR(VLOOKUP($C14,COM_N_2012!$B$61:$AJ$122,MATCH(VLOOKUP("*"&amp;$AW14,$A$10:$J$11,$J$9,FALSE)&amp;S$7,COM_N_2012!$B$58:$AJ$58,0),FALSE),"")</f>
        <v/>
      </c>
      <c r="T14" s="391" t="str">
        <f ca="1">IFERROR(VLOOKUP($C14,COM_N_2012!$B$61:$AJ$122,MATCH(VLOOKUP("*"&amp;$AW14,$A$10:$J$11,$J$9,FALSE)&amp;T$7,COM_N_2012!$B$58:$AJ$58,0),FALSE),"")</f>
        <v/>
      </c>
      <c r="U14" s="391" t="str">
        <f ca="1">IFERROR(VLOOKUP($C14,COM_N_2012!$B$61:$AJ$122,MATCH(VLOOKUP("*"&amp;$AW14,$A$10:$J$11,$J$9,FALSE)&amp;U$7,COM_N_2012!$B$58:$AJ$58,0),FALSE),"")</f>
        <v/>
      </c>
      <c r="V14" s="391" t="str">
        <f ca="1">IFERROR(VLOOKUP($C14,COM_N_2012!$B$61:$AJ$122,MATCH(VLOOKUP("*"&amp;$AW14,$A$10:$J$11,$J$9,FALSE)&amp;V$7,COM_N_2012!$B$58:$AJ$58,0),FALSE),"")</f>
        <v/>
      </c>
      <c r="W14" s="391">
        <f ca="1">IF($A14="*","",IFERROR(VLOOKUP($C14,COM_N_2017!$B$61:$AJ$122,MATCH(VLOOKUP("*"&amp;$AW14,$A$10:$J$11,$J$9,FALSE)&amp;W$7,COM_N_2017!$B$58:$AJ$58,0),FALSE),""))</f>
        <v>0.76381625441696122</v>
      </c>
      <c r="X14" s="391" t="str">
        <f ca="1">IFERROR(VLOOKUP($C14,COM_N_2012!$B$61:$AJ$122,MATCH(VLOOKUP("*"&amp;$AW14,$A$10:$J$11,$J$9,FALSE)&amp;X$7,COM_N_2012!$B$58:$AJ$58,0),FALSE),"")</f>
        <v/>
      </c>
      <c r="Y14" s="391" t="str">
        <f ca="1">IFERROR(VLOOKUP($C14,COM_N_2012!$B$61:$AJ$122,MATCH(VLOOKUP("*"&amp;$AW14,$A$10:$J$11,$J$9,FALSE)&amp;Y$7,COM_N_2012!$B$58:$AJ$58,0),FALSE),"")</f>
        <v/>
      </c>
      <c r="Z14" s="391" t="str">
        <f ca="1">IFERROR(VLOOKUP($C14,COM_N_2012!$B$61:$AJ$122,MATCH(VLOOKUP("*"&amp;$AW14,$A$10:$J$11,$J$9,FALSE)&amp;Z$7,COM_N_2012!$B$58:$AJ$58,0),FALSE),"")</f>
        <v/>
      </c>
      <c r="AA14" s="391" t="str">
        <f ca="1">IFERROR(VLOOKUP($C14,COM_N_2012!$B$61:$AJ$122,MATCH(VLOOKUP("*"&amp;$AW14,$A$10:$J$11,$J$9,FALSE)&amp;AA$7,COM_N_2012!$B$58:$AJ$58,0),FALSE),"")</f>
        <v/>
      </c>
      <c r="AB14" s="391">
        <f ca="1">IF($A14="*","",IFERROR(VLOOKUP($C14,COM_N_2017!$B$61:$AJ$122,MATCH(VLOOKUP("*"&amp;$AW14,$A$10:$J$11,$J$9,FALSE)&amp;AB$7,COM_N_2017!$B$58:$AJ$58,0),FALSE),""))</f>
        <v>0.96381625441696128</v>
      </c>
      <c r="AC14" s="391" t="str">
        <f ca="1">IFERROR(VLOOKUP($C14,COM_N_2012!$B$61:$AJ$122,MATCH(VLOOKUP("*"&amp;$AW14,$A$10:$J$11,$J$9,FALSE)&amp;AC$7,COM_N_2012!$B$58:$AJ$58,0),FALSE),"")</f>
        <v/>
      </c>
      <c r="AD14" s="391" t="str">
        <f ca="1">IFERROR(VLOOKUP($C14,COM_N_2012!$B$61:$AJ$122,MATCH(VLOOKUP("*"&amp;$AW14,$A$10:$J$11,$J$9,FALSE)&amp;AD$7,COM_N_2012!$B$58:$AJ$58,0),FALSE),"")</f>
        <v/>
      </c>
      <c r="AE14" s="391" t="str">
        <f ca="1">IFERROR(VLOOKUP($C14,COM_N_2012!$B$61:$AJ$122,MATCH(VLOOKUP("*"&amp;$AW14,$A$10:$J$11,$J$9,FALSE)&amp;AE$7,COM_N_2012!$B$58:$AJ$58,0),FALSE),"")</f>
        <v/>
      </c>
      <c r="AF14" s="391" t="str">
        <f ca="1">IFERROR(VLOOKUP($C14,COM_N_2012!$B$61:$AJ$122,MATCH(VLOOKUP("*"&amp;$AW14,$A$10:$J$11,$J$9,FALSE)&amp;AF$7,COM_N_2012!$B$58:$AJ$58,0),FALSE),"")</f>
        <v/>
      </c>
      <c r="AG14" s="391">
        <f ca="1">IF($A14="*","",IFERROR(VLOOKUP($C14,COM_N_2017!$B$61:$AJ$122,MATCH(VLOOKUP("*"&amp;$AW14,$A$10:$J$11,$J$9,FALSE)&amp;AG$7,COM_N_2017!$B$58:$AJ$58,0),FALSE),""))</f>
        <v>1</v>
      </c>
      <c r="AH14" s="391" t="str">
        <f ca="1">IFERROR(VLOOKUP($C14,COM_N_2012!$B$61:$AJ$122,MATCH(VLOOKUP("*"&amp;$AW14,$A$10:$J$11,$J$9,FALSE)&amp;AH$7,COM_N_2012!$B$58:$AJ$58,0),FALSE),"")</f>
        <v/>
      </c>
      <c r="AI14" s="391" t="str">
        <f ca="1">IFERROR(VLOOKUP($C14,COM_N_2012!$B$61:$AJ$122,MATCH(VLOOKUP("*"&amp;$AW14,$A$10:$J$11,$J$9,FALSE)&amp;AI$7,COM_N_2012!$B$58:$AJ$58,0),FALSE),"")</f>
        <v/>
      </c>
      <c r="AJ14" s="391" t="str">
        <f ca="1">IFERROR(VLOOKUP($C14,COM_N_2012!$B$61:$AJ$122,MATCH(VLOOKUP("*"&amp;$AW14,$A$10:$J$11,$J$9,FALSE)&amp;AJ$7,COM_N_2012!$B$58:$AJ$58,0),FALSE),"")</f>
        <v/>
      </c>
      <c r="AK14" s="391" t="str">
        <f ca="1">IFERROR(VLOOKUP($C14,COM_N_2012!$B$61:$AJ$122,MATCH(VLOOKUP("*"&amp;$AW14,$A$10:$J$11,$J$9,FALSE)&amp;AK$7,COM_N_2012!$B$58:$AJ$58,0),FALSE),"")</f>
        <v/>
      </c>
      <c r="AL14" s="391">
        <f ca="1">IF($A14="*","",IFERROR(VLOOKUP($C14,COM_N_2017!$B$61:$AJ$122,MATCH(VLOOKUP("*"&amp;$AW14,$A$10:$J$11,$J$9,FALSE)&amp;AL$7,COM_N_2017!$B$58:$AJ$58,0),FALSE),""))</f>
        <v>1</v>
      </c>
      <c r="AM14" s="391">
        <f ca="1">IF($A14="*","",IFERROR(VLOOKUP($C14,COM_N_2017!$B$61:$AJ$122,MATCH(VLOOKUP("*"&amp;$AW14,$A$10:$J$11,$J$9,FALSE)&amp;AM$7,COM_N_2017!$B$58:$AJ$58,0),FALSE),""))</f>
        <v>1</v>
      </c>
      <c r="AN14" s="391">
        <f ca="1">IF($A14="*","",IFERROR(VLOOKUP($C14,COM_N_2017!$B$61:$AJ$122,MATCH(VLOOKUP("*"&amp;$AW14,$A$10:$J$11,$J$9,FALSE)&amp;AN$7,COM_N_2017!$B$58:$AJ$58,0),FALSE),""))</f>
        <v>1</v>
      </c>
      <c r="AO14" s="391" t="str">
        <f ca="1">IFERROR(VLOOKUP($C14,COM_N_2012!$B$61:$AJ$122,MATCH(VLOOKUP("*"&amp;$AW14,$A$10:$J$11,$J$9,FALSE)&amp;AO$7,COM_N_2012!$B$58:$AJ$58,0),FALSE),"")</f>
        <v/>
      </c>
      <c r="AP14" s="391" t="str">
        <f ca="1">IFERROR(VLOOKUP($C14,COM_N_2012!$B$61:$AJ$122,MATCH(VLOOKUP("*"&amp;$AW14,$A$10:$J$11,$J$9,FALSE)&amp;AP$7,COM_N_2012!$B$58:$AJ$58,0),FALSE),"")</f>
        <v/>
      </c>
      <c r="AQ14" s="391" t="str">
        <f ca="1">IFERROR(VLOOKUP($C14,COM_N_2012!$B$61:$AJ$122,MATCH(VLOOKUP("*"&amp;$AW14,$A$10:$J$11,$J$9,FALSE)&amp;AQ$7,COM_N_2012!$B$58:$AJ$58,0),FALSE),"")</f>
        <v/>
      </c>
      <c r="AR14" s="391" t="str">
        <f ca="1">IFERROR(VLOOKUP($C14,COM_N_2012!$B$61:$AJ$122,MATCH(VLOOKUP("*"&amp;$AW14,$A$10:$J$11,$J$9,FALSE)&amp;AR$7,COM_N_2012!$B$58:$AJ$58,0),FALSE),"")</f>
        <v/>
      </c>
      <c r="AS14" s="391" t="str">
        <f ca="1">IFERROR(VLOOKUP($C14,COM_N_2012!$B$61:$AJ$122,MATCH(VLOOKUP("*"&amp;$AW14,$A$10:$J$11,$J$9,FALSE)&amp;AS$7,COM_N_2012!$B$58:$AJ$58,0),FALSE),"")</f>
        <v/>
      </c>
      <c r="AT14" s="391" t="str">
        <f ca="1">IFERROR(VLOOKUP($C14,COM_N_2012!$B$61:$AJ$122,MATCH(VLOOKUP("*"&amp;$AW14,$A$10:$J$11,$J$9,FALSE)&amp;AT$7,COM_N_2012!$B$58:$AJ$58,0),FALSE),"")</f>
        <v/>
      </c>
      <c r="AU14" s="391" t="str">
        <f ca="1">IFERROR(VLOOKUP($C14,COM_N_2012!$B$61:$AJ$122,MATCH(VLOOKUP("*"&amp;$AW14,$A$10:$J$11,$J$9,FALSE)&amp;AU$7,COM_N_2012!$B$58:$AJ$58,0),FALSE),"")</f>
        <v/>
      </c>
      <c r="AV14" s="391" t="str">
        <f ca="1">IFERROR(VLOOKUP($C14,COM_N_2012!$B$61:$AJ$122,MATCH(VLOOKUP("*"&amp;$AW14,$A$10:$J$11,$J$9,FALSE)&amp;AV$7,COM_N_2012!$B$58:$AJ$58,0),FALSE),"")</f>
        <v/>
      </c>
      <c r="AW14" s="304">
        <f>IF(AX13=COM_N_2012!$AK$121,AW13+1,AW13)</f>
        <v>1</v>
      </c>
      <c r="AX14" s="304">
        <f t="shared" ref="AX14:AX45" si="7">IF(AW14=AW13,AX13+1,1)</f>
        <v>2</v>
      </c>
    </row>
    <row r="15" spans="1:51">
      <c r="A15" s="304" t="str">
        <f ca="1">IF(LEFT(OFFSET(COM_N_2012!$A$60,AX15,0),2)="\I","*","")</f>
        <v/>
      </c>
      <c r="B15" s="369" t="str">
        <f t="shared" ca="1" si="3"/>
        <v>FLO_MRKPRD</v>
      </c>
      <c r="C15" s="369" t="str">
        <f ca="1">IF($A15="*","",OFFSET(COM_N_2012!$B$60,AX15,0))</f>
        <v>CNCELCHP-E</v>
      </c>
      <c r="D15" s="369" t="str">
        <f t="shared" ca="1" si="4"/>
        <v>CNC</v>
      </c>
      <c r="E15" s="369" t="str">
        <f t="shared" ca="1" si="5"/>
        <v>-</v>
      </c>
      <c r="F15" s="370" t="str">
        <f t="shared" ca="1" si="6"/>
        <v>-</v>
      </c>
      <c r="G15" s="370" t="str">
        <f t="shared" ca="1" si="6"/>
        <v>ANNUAL</v>
      </c>
      <c r="H15" s="370" t="str">
        <f t="shared" ca="1" si="6"/>
        <v>UP</v>
      </c>
      <c r="I15" s="370">
        <f t="shared" ca="1" si="6"/>
        <v>0</v>
      </c>
      <c r="J15" s="391">
        <f ca="1">IFERROR(VLOOKUP($C15,COM_N_2012!$B$61:$AJ$122,MATCH(VLOOKUP("*"&amp;$AW15,$A$10:$J$11,$J$9,FALSE)&amp;J$7,COM_N_2012!$B$58:$AJ$58,0),FALSE),"")</f>
        <v>0.18021201413427559</v>
      </c>
      <c r="K15" s="391" t="str">
        <f ca="1">IFERROR(VLOOKUP($C15,COM_N_2012!$B$61:$AJ$122,MATCH(VLOOKUP("*"&amp;$AW15,$A$10:$J$11,$J$9,FALSE)&amp;K$7,COM_N_2012!$B$58:$AJ$58,0),FALSE),"")</f>
        <v/>
      </c>
      <c r="L15" s="391" t="str">
        <f ca="1">IFERROR(VLOOKUP($C15,COM_N_2012!$B$61:$AJ$122,MATCH(VLOOKUP("*"&amp;$AW15,$A$10:$J$11,$J$9,FALSE)&amp;L$7,COM_N_2012!$B$58:$AJ$58,0),FALSE),"")</f>
        <v/>
      </c>
      <c r="M15" s="391">
        <f ca="1">IFERROR(VLOOKUP($C15,COM_N_2012!$B$61:$AJ$122,MATCH(VLOOKUP("*"&amp;$AW15,$A$10:$J$11,$J$9,FALSE)&amp;M$7,COM_N_2012!$B$58:$AJ$58,0),FALSE),"")</f>
        <v>0.18021201413427559</v>
      </c>
      <c r="N15" s="391" t="str">
        <f ca="1">IFERROR(VLOOKUP($C15,COM_N_2012!$B$61:$AJ$122,MATCH(VLOOKUP("*"&amp;$AW15,$A$10:$J$11,$J$9,FALSE)&amp;N$7,COM_N_2012!$B$58:$AJ$58,0),FALSE),"")</f>
        <v/>
      </c>
      <c r="O15" s="391">
        <f ca="1">IF($A15="*","",IFERROR(VLOOKUP($C15,COM_N_2017!$B$61:$AJ$122,MATCH(VLOOKUP("*"&amp;$AW15,$A$10:$J$11,$J$9,FALSE)&amp;O$7,COM_N_2017!$B$58:$AJ$58,0),FALSE),""))</f>
        <v>0.17844522968197882</v>
      </c>
      <c r="P15" s="391" t="str">
        <f ca="1">IFERROR(VLOOKUP($C15,COM_N_2012!$B$61:$AJ$122,MATCH(VLOOKUP("*"&amp;$AW15,$A$10:$J$11,$J$9,FALSE)&amp;P$7,COM_N_2012!$B$58:$AJ$58,0),FALSE),"")</f>
        <v/>
      </c>
      <c r="Q15" s="391" t="str">
        <f ca="1">IFERROR(VLOOKUP($C15,COM_N_2012!$B$61:$AJ$122,MATCH(VLOOKUP("*"&amp;$AW15,$A$10:$J$11,$J$9,FALSE)&amp;Q$7,COM_N_2012!$B$58:$AJ$58,0),FALSE),"")</f>
        <v/>
      </c>
      <c r="R15" s="391">
        <f ca="1">IF($A15="*","",IFERROR(VLOOKUP($C15,COM_N_2017!$B$61:$AJ$122,MATCH(VLOOKUP("*"&amp;$AW15,$A$10:$J$11,$J$9,FALSE)&amp;R$7,COM_N_2017!$B$58:$AJ$58,0),FALSE),""))</f>
        <v>0.20844522968197882</v>
      </c>
      <c r="S15" s="391" t="str">
        <f ca="1">IFERROR(VLOOKUP($C15,COM_N_2012!$B$61:$AJ$122,MATCH(VLOOKUP("*"&amp;$AW15,$A$10:$J$11,$J$9,FALSE)&amp;S$7,COM_N_2012!$B$58:$AJ$58,0),FALSE),"")</f>
        <v/>
      </c>
      <c r="T15" s="391" t="str">
        <f ca="1">IFERROR(VLOOKUP($C15,COM_N_2012!$B$61:$AJ$122,MATCH(VLOOKUP("*"&amp;$AW15,$A$10:$J$11,$J$9,FALSE)&amp;T$7,COM_N_2012!$B$58:$AJ$58,0),FALSE),"")</f>
        <v/>
      </c>
      <c r="U15" s="391" t="str">
        <f ca="1">IFERROR(VLOOKUP($C15,COM_N_2012!$B$61:$AJ$122,MATCH(VLOOKUP("*"&amp;$AW15,$A$10:$J$11,$J$9,FALSE)&amp;U$7,COM_N_2012!$B$58:$AJ$58,0),FALSE),"")</f>
        <v/>
      </c>
      <c r="V15" s="391" t="str">
        <f ca="1">IFERROR(VLOOKUP($C15,COM_N_2012!$B$61:$AJ$122,MATCH(VLOOKUP("*"&amp;$AW15,$A$10:$J$11,$J$9,FALSE)&amp;V$7,COM_N_2012!$B$58:$AJ$58,0),FALSE),"")</f>
        <v/>
      </c>
      <c r="W15" s="391">
        <f ca="1">IF($A15="*","",IFERROR(VLOOKUP($C15,COM_N_2017!$B$61:$AJ$122,MATCH(VLOOKUP("*"&amp;$AW15,$A$10:$J$11,$J$9,FALSE)&amp;W$7,COM_N_2017!$B$58:$AJ$58,0),FALSE),""))</f>
        <v>0.27844522968197882</v>
      </c>
      <c r="X15" s="391" t="str">
        <f ca="1">IFERROR(VLOOKUP($C15,COM_N_2012!$B$61:$AJ$122,MATCH(VLOOKUP("*"&amp;$AW15,$A$10:$J$11,$J$9,FALSE)&amp;X$7,COM_N_2012!$B$58:$AJ$58,0),FALSE),"")</f>
        <v/>
      </c>
      <c r="Y15" s="391" t="str">
        <f ca="1">IFERROR(VLOOKUP($C15,COM_N_2012!$B$61:$AJ$122,MATCH(VLOOKUP("*"&amp;$AW15,$A$10:$J$11,$J$9,FALSE)&amp;Y$7,COM_N_2012!$B$58:$AJ$58,0),FALSE),"")</f>
        <v/>
      </c>
      <c r="Z15" s="391" t="str">
        <f ca="1">IFERROR(VLOOKUP($C15,COM_N_2012!$B$61:$AJ$122,MATCH(VLOOKUP("*"&amp;$AW15,$A$10:$J$11,$J$9,FALSE)&amp;Z$7,COM_N_2012!$B$58:$AJ$58,0),FALSE),"")</f>
        <v/>
      </c>
      <c r="AA15" s="391" t="str">
        <f ca="1">IFERROR(VLOOKUP($C15,COM_N_2012!$B$61:$AJ$122,MATCH(VLOOKUP("*"&amp;$AW15,$A$10:$J$11,$J$9,FALSE)&amp;AA$7,COM_N_2012!$B$58:$AJ$58,0),FALSE),"")</f>
        <v/>
      </c>
      <c r="AB15" s="391">
        <f ca="1">IF($A15="*","",IFERROR(VLOOKUP($C15,COM_N_2017!$B$61:$AJ$122,MATCH(VLOOKUP("*"&amp;$AW15,$A$10:$J$11,$J$9,FALSE)&amp;AB$7,COM_N_2017!$B$58:$AJ$58,0),FALSE),""))</f>
        <v>0.47844522968197878</v>
      </c>
      <c r="AC15" s="391" t="str">
        <f ca="1">IFERROR(VLOOKUP($C15,COM_N_2012!$B$61:$AJ$122,MATCH(VLOOKUP("*"&amp;$AW15,$A$10:$J$11,$J$9,FALSE)&amp;AC$7,COM_N_2012!$B$58:$AJ$58,0),FALSE),"")</f>
        <v/>
      </c>
      <c r="AD15" s="391" t="str">
        <f ca="1">IFERROR(VLOOKUP($C15,COM_N_2012!$B$61:$AJ$122,MATCH(VLOOKUP("*"&amp;$AW15,$A$10:$J$11,$J$9,FALSE)&amp;AD$7,COM_N_2012!$B$58:$AJ$58,0),FALSE),"")</f>
        <v/>
      </c>
      <c r="AE15" s="391" t="str">
        <f ca="1">IFERROR(VLOOKUP($C15,COM_N_2012!$B$61:$AJ$122,MATCH(VLOOKUP("*"&amp;$AW15,$A$10:$J$11,$J$9,FALSE)&amp;AE$7,COM_N_2012!$B$58:$AJ$58,0),FALSE),"")</f>
        <v/>
      </c>
      <c r="AF15" s="391" t="str">
        <f ca="1">IFERROR(VLOOKUP($C15,COM_N_2012!$B$61:$AJ$122,MATCH(VLOOKUP("*"&amp;$AW15,$A$10:$J$11,$J$9,FALSE)&amp;AF$7,COM_N_2012!$B$58:$AJ$58,0),FALSE),"")</f>
        <v/>
      </c>
      <c r="AG15" s="391">
        <f ca="1">IF($A15="*","",IFERROR(VLOOKUP($C15,COM_N_2017!$B$61:$AJ$122,MATCH(VLOOKUP("*"&amp;$AW15,$A$10:$J$11,$J$9,FALSE)&amp;AG$7,COM_N_2017!$B$58:$AJ$58,0),FALSE),""))</f>
        <v>0.67844522968197885</v>
      </c>
      <c r="AH15" s="391" t="str">
        <f ca="1">IFERROR(VLOOKUP($C15,COM_N_2012!$B$61:$AJ$122,MATCH(VLOOKUP("*"&amp;$AW15,$A$10:$J$11,$J$9,FALSE)&amp;AH$7,COM_N_2012!$B$58:$AJ$58,0),FALSE),"")</f>
        <v/>
      </c>
      <c r="AI15" s="391" t="str">
        <f ca="1">IFERROR(VLOOKUP($C15,COM_N_2012!$B$61:$AJ$122,MATCH(VLOOKUP("*"&amp;$AW15,$A$10:$J$11,$J$9,FALSE)&amp;AI$7,COM_N_2012!$B$58:$AJ$58,0),FALSE),"")</f>
        <v/>
      </c>
      <c r="AJ15" s="391" t="str">
        <f ca="1">IFERROR(VLOOKUP($C15,COM_N_2012!$B$61:$AJ$122,MATCH(VLOOKUP("*"&amp;$AW15,$A$10:$J$11,$J$9,FALSE)&amp;AJ$7,COM_N_2012!$B$58:$AJ$58,0),FALSE),"")</f>
        <v/>
      </c>
      <c r="AK15" s="391" t="str">
        <f ca="1">IFERROR(VLOOKUP($C15,COM_N_2012!$B$61:$AJ$122,MATCH(VLOOKUP("*"&amp;$AW15,$A$10:$J$11,$J$9,FALSE)&amp;AK$7,COM_N_2012!$B$58:$AJ$58,0),FALSE),"")</f>
        <v/>
      </c>
      <c r="AL15" s="391">
        <f ca="1">IF($A15="*","",IFERROR(VLOOKUP($C15,COM_N_2017!$B$61:$AJ$122,MATCH(VLOOKUP("*"&amp;$AW15,$A$10:$J$11,$J$9,FALSE)&amp;AL$7,COM_N_2017!$B$58:$AJ$58,0),FALSE),""))</f>
        <v>0.8784452296819788</v>
      </c>
      <c r="AM15" s="391">
        <f ca="1">IF($A15="*","",IFERROR(VLOOKUP($C15,COM_N_2017!$B$61:$AJ$122,MATCH(VLOOKUP("*"&amp;$AW15,$A$10:$J$11,$J$9,FALSE)&amp;AM$7,COM_N_2017!$B$58:$AJ$58,0),FALSE),""))</f>
        <v>1</v>
      </c>
      <c r="AN15" s="391">
        <f ca="1">IF($A15="*","",IFERROR(VLOOKUP($C15,COM_N_2017!$B$61:$AJ$122,MATCH(VLOOKUP("*"&amp;$AW15,$A$10:$J$11,$J$9,FALSE)&amp;AN$7,COM_N_2017!$B$58:$AJ$58,0),FALSE),""))</f>
        <v>1</v>
      </c>
      <c r="AO15" s="391" t="str">
        <f ca="1">IFERROR(VLOOKUP($C15,COM_N_2012!$B$61:$AJ$122,MATCH(VLOOKUP("*"&amp;$AW15,$A$10:$J$11,$J$9,FALSE)&amp;AO$7,COM_N_2012!$B$58:$AJ$58,0),FALSE),"")</f>
        <v/>
      </c>
      <c r="AP15" s="391" t="str">
        <f ca="1">IFERROR(VLOOKUP($C15,COM_N_2012!$B$61:$AJ$122,MATCH(VLOOKUP("*"&amp;$AW15,$A$10:$J$11,$J$9,FALSE)&amp;AP$7,COM_N_2012!$B$58:$AJ$58,0),FALSE),"")</f>
        <v/>
      </c>
      <c r="AQ15" s="391" t="str">
        <f ca="1">IFERROR(VLOOKUP($C15,COM_N_2012!$B$61:$AJ$122,MATCH(VLOOKUP("*"&amp;$AW15,$A$10:$J$11,$J$9,FALSE)&amp;AQ$7,COM_N_2012!$B$58:$AJ$58,0),FALSE),"")</f>
        <v/>
      </c>
      <c r="AR15" s="391" t="str">
        <f ca="1">IFERROR(VLOOKUP($C15,COM_N_2012!$B$61:$AJ$122,MATCH(VLOOKUP("*"&amp;$AW15,$A$10:$J$11,$J$9,FALSE)&amp;AR$7,COM_N_2012!$B$58:$AJ$58,0),FALSE),"")</f>
        <v/>
      </c>
      <c r="AS15" s="391" t="str">
        <f ca="1">IFERROR(VLOOKUP($C15,COM_N_2012!$B$61:$AJ$122,MATCH(VLOOKUP("*"&amp;$AW15,$A$10:$J$11,$J$9,FALSE)&amp;AS$7,COM_N_2012!$B$58:$AJ$58,0),FALSE),"")</f>
        <v/>
      </c>
      <c r="AT15" s="391" t="str">
        <f ca="1">IFERROR(VLOOKUP($C15,COM_N_2012!$B$61:$AJ$122,MATCH(VLOOKUP("*"&amp;$AW15,$A$10:$J$11,$J$9,FALSE)&amp;AT$7,COM_N_2012!$B$58:$AJ$58,0),FALSE),"")</f>
        <v/>
      </c>
      <c r="AU15" s="391" t="str">
        <f ca="1">IFERROR(VLOOKUP($C15,COM_N_2012!$B$61:$AJ$122,MATCH(VLOOKUP("*"&amp;$AW15,$A$10:$J$11,$J$9,FALSE)&amp;AU$7,COM_N_2012!$B$58:$AJ$58,0),FALSE),"")</f>
        <v/>
      </c>
      <c r="AV15" s="391" t="str">
        <f ca="1">IFERROR(VLOOKUP($C15,COM_N_2012!$B$61:$AJ$122,MATCH(VLOOKUP("*"&amp;$AW15,$A$10:$J$11,$J$9,FALSE)&amp;AV$7,COM_N_2012!$B$58:$AJ$58,0),FALSE),"")</f>
        <v/>
      </c>
      <c r="AW15" s="304">
        <f>IF(AX14=COM_N_2012!$AK$121,AW14+1,AW14)</f>
        <v>1</v>
      </c>
      <c r="AX15" s="304">
        <f t="shared" si="7"/>
        <v>3</v>
      </c>
    </row>
    <row r="16" spans="1:51">
      <c r="A16" s="304" t="str">
        <f ca="1">IF(LEFT(OFFSET(COM_N_2012!$A$60,AX16,0),2)="\I","*","")</f>
        <v/>
      </c>
      <c r="B16" s="369" t="str">
        <f t="shared" ca="1" si="3"/>
        <v>FLO_MRKPRD</v>
      </c>
      <c r="C16" s="369" t="str">
        <f ca="1">IF($A16="*","",OFFSET(COM_N_2012!$B$60,AX16,0))</f>
        <v>CNCELCROOM-E</v>
      </c>
      <c r="D16" s="369" t="str">
        <f t="shared" ca="1" si="4"/>
        <v>CNC</v>
      </c>
      <c r="E16" s="369" t="str">
        <f t="shared" ca="1" si="5"/>
        <v>-</v>
      </c>
      <c r="F16" s="370" t="str">
        <f t="shared" ca="1" si="6"/>
        <v>-</v>
      </c>
      <c r="G16" s="370" t="str">
        <f t="shared" ca="1" si="6"/>
        <v>ANNUAL</v>
      </c>
      <c r="H16" s="370" t="str">
        <f t="shared" ca="1" si="6"/>
        <v>UP</v>
      </c>
      <c r="I16" s="370">
        <f t="shared" ca="1" si="6"/>
        <v>0</v>
      </c>
      <c r="J16" s="391">
        <f ca="1">IFERROR(VLOOKUP($C16,COM_N_2012!$B$61:$AJ$122,MATCH(VLOOKUP("*"&amp;$AW16,$A$10:$J$11,$J$9,FALSE)&amp;J$7,COM_N_2012!$B$58:$AJ$58,0),FALSE),"")</f>
        <v>0.12975265017667845</v>
      </c>
      <c r="K16" s="391" t="str">
        <f ca="1">IFERROR(VLOOKUP($C16,COM_N_2012!$B$61:$AJ$122,MATCH(VLOOKUP("*"&amp;$AW16,$A$10:$J$11,$J$9,FALSE)&amp;K$7,COM_N_2012!$B$58:$AJ$58,0),FALSE),"")</f>
        <v/>
      </c>
      <c r="L16" s="391" t="str">
        <f ca="1">IFERROR(VLOOKUP($C16,COM_N_2012!$B$61:$AJ$122,MATCH(VLOOKUP("*"&amp;$AW16,$A$10:$J$11,$J$9,FALSE)&amp;L$7,COM_N_2012!$B$58:$AJ$58,0),FALSE),"")</f>
        <v/>
      </c>
      <c r="M16" s="391">
        <f ca="1">IFERROR(VLOOKUP($C16,COM_N_2012!$B$61:$AJ$122,MATCH(VLOOKUP("*"&amp;$AW16,$A$10:$J$11,$J$9,FALSE)&amp;M$7,COM_N_2012!$B$58:$AJ$58,0),FALSE),"")</f>
        <v>0.12975265017667845</v>
      </c>
      <c r="N16" s="391" t="str">
        <f ca="1">IFERROR(VLOOKUP($C16,COM_N_2012!$B$61:$AJ$122,MATCH(VLOOKUP("*"&amp;$AW16,$A$10:$J$11,$J$9,FALSE)&amp;N$7,COM_N_2012!$B$58:$AJ$58,0),FALSE),"")</f>
        <v/>
      </c>
      <c r="O16" s="391">
        <f ca="1">IF($A16="*","",IFERROR(VLOOKUP($C16,COM_N_2017!$B$61:$AJ$122,MATCH(VLOOKUP("*"&amp;$AW16,$A$10:$J$11,$J$9,FALSE)&amp;O$7,COM_N_2017!$B$58:$AJ$58,0),FALSE),""))</f>
        <v>0.1284805653710247</v>
      </c>
      <c r="P16" s="391" t="str">
        <f ca="1">IFERROR(VLOOKUP($C16,COM_N_2012!$B$61:$AJ$122,MATCH(VLOOKUP("*"&amp;$AW16,$A$10:$J$11,$J$9,FALSE)&amp;P$7,COM_N_2012!$B$58:$AJ$58,0),FALSE),"")</f>
        <v/>
      </c>
      <c r="Q16" s="391" t="str">
        <f ca="1">IFERROR(VLOOKUP($C16,COM_N_2012!$B$61:$AJ$122,MATCH(VLOOKUP("*"&amp;$AW16,$A$10:$J$11,$J$9,FALSE)&amp;Q$7,COM_N_2012!$B$58:$AJ$58,0),FALSE),"")</f>
        <v/>
      </c>
      <c r="R16" s="391">
        <f ca="1">IF($A16="*","",IFERROR(VLOOKUP($C16,COM_N_2017!$B$61:$AJ$122,MATCH(VLOOKUP("*"&amp;$AW16,$A$10:$J$11,$J$9,FALSE)&amp;R$7,COM_N_2017!$B$58:$AJ$58,0),FALSE),""))</f>
        <v>0.1584805653710247</v>
      </c>
      <c r="S16" s="391" t="str">
        <f ca="1">IFERROR(VLOOKUP($C16,COM_N_2012!$B$61:$AJ$122,MATCH(VLOOKUP("*"&amp;$AW16,$A$10:$J$11,$J$9,FALSE)&amp;S$7,COM_N_2012!$B$58:$AJ$58,0),FALSE),"")</f>
        <v/>
      </c>
      <c r="T16" s="391" t="str">
        <f ca="1">IFERROR(VLOOKUP($C16,COM_N_2012!$B$61:$AJ$122,MATCH(VLOOKUP("*"&amp;$AW16,$A$10:$J$11,$J$9,FALSE)&amp;T$7,COM_N_2012!$B$58:$AJ$58,0),FALSE),"")</f>
        <v/>
      </c>
      <c r="U16" s="391" t="str">
        <f ca="1">IFERROR(VLOOKUP($C16,COM_N_2012!$B$61:$AJ$122,MATCH(VLOOKUP("*"&amp;$AW16,$A$10:$J$11,$J$9,FALSE)&amp;U$7,COM_N_2012!$B$58:$AJ$58,0),FALSE),"")</f>
        <v/>
      </c>
      <c r="V16" s="391" t="str">
        <f ca="1">IFERROR(VLOOKUP($C16,COM_N_2012!$B$61:$AJ$122,MATCH(VLOOKUP("*"&amp;$AW16,$A$10:$J$11,$J$9,FALSE)&amp;V$7,COM_N_2012!$B$58:$AJ$58,0),FALSE),"")</f>
        <v/>
      </c>
      <c r="W16" s="391">
        <f ca="1">IF($A16="*","",IFERROR(VLOOKUP($C16,COM_N_2017!$B$61:$AJ$122,MATCH(VLOOKUP("*"&amp;$AW16,$A$10:$J$11,$J$9,FALSE)&amp;W$7,COM_N_2017!$B$58:$AJ$58,0),FALSE),""))</f>
        <v>0.22848056537102471</v>
      </c>
      <c r="X16" s="391" t="str">
        <f ca="1">IFERROR(VLOOKUP($C16,COM_N_2012!$B$61:$AJ$122,MATCH(VLOOKUP("*"&amp;$AW16,$A$10:$J$11,$J$9,FALSE)&amp;X$7,COM_N_2012!$B$58:$AJ$58,0),FALSE),"")</f>
        <v/>
      </c>
      <c r="Y16" s="391" t="str">
        <f ca="1">IFERROR(VLOOKUP($C16,COM_N_2012!$B$61:$AJ$122,MATCH(VLOOKUP("*"&amp;$AW16,$A$10:$J$11,$J$9,FALSE)&amp;Y$7,COM_N_2012!$B$58:$AJ$58,0),FALSE),"")</f>
        <v/>
      </c>
      <c r="Z16" s="391" t="str">
        <f ca="1">IFERROR(VLOOKUP($C16,COM_N_2012!$B$61:$AJ$122,MATCH(VLOOKUP("*"&amp;$AW16,$A$10:$J$11,$J$9,FALSE)&amp;Z$7,COM_N_2012!$B$58:$AJ$58,0),FALSE),"")</f>
        <v/>
      </c>
      <c r="AA16" s="391" t="str">
        <f ca="1">IFERROR(VLOOKUP($C16,COM_N_2012!$B$61:$AJ$122,MATCH(VLOOKUP("*"&amp;$AW16,$A$10:$J$11,$J$9,FALSE)&amp;AA$7,COM_N_2012!$B$58:$AJ$58,0),FALSE),"")</f>
        <v/>
      </c>
      <c r="AB16" s="391">
        <f ca="1">IF($A16="*","",IFERROR(VLOOKUP($C16,COM_N_2017!$B$61:$AJ$122,MATCH(VLOOKUP("*"&amp;$AW16,$A$10:$J$11,$J$9,FALSE)&amp;AB$7,COM_N_2017!$B$58:$AJ$58,0),FALSE),""))</f>
        <v>0.42848056537102469</v>
      </c>
      <c r="AC16" s="391" t="str">
        <f ca="1">IFERROR(VLOOKUP($C16,COM_N_2012!$B$61:$AJ$122,MATCH(VLOOKUP("*"&amp;$AW16,$A$10:$J$11,$J$9,FALSE)&amp;AC$7,COM_N_2012!$B$58:$AJ$58,0),FALSE),"")</f>
        <v/>
      </c>
      <c r="AD16" s="391" t="str">
        <f ca="1">IFERROR(VLOOKUP($C16,COM_N_2012!$B$61:$AJ$122,MATCH(VLOOKUP("*"&amp;$AW16,$A$10:$J$11,$J$9,FALSE)&amp;AD$7,COM_N_2012!$B$58:$AJ$58,0),FALSE),"")</f>
        <v/>
      </c>
      <c r="AE16" s="391" t="str">
        <f ca="1">IFERROR(VLOOKUP($C16,COM_N_2012!$B$61:$AJ$122,MATCH(VLOOKUP("*"&amp;$AW16,$A$10:$J$11,$J$9,FALSE)&amp;AE$7,COM_N_2012!$B$58:$AJ$58,0),FALSE),"")</f>
        <v/>
      </c>
      <c r="AF16" s="391" t="str">
        <f ca="1">IFERROR(VLOOKUP($C16,COM_N_2012!$B$61:$AJ$122,MATCH(VLOOKUP("*"&amp;$AW16,$A$10:$J$11,$J$9,FALSE)&amp;AF$7,COM_N_2012!$B$58:$AJ$58,0),FALSE),"")</f>
        <v/>
      </c>
      <c r="AG16" s="391">
        <f ca="1">IF($A16="*","",IFERROR(VLOOKUP($C16,COM_N_2017!$B$61:$AJ$122,MATCH(VLOOKUP("*"&amp;$AW16,$A$10:$J$11,$J$9,FALSE)&amp;AG$7,COM_N_2017!$B$58:$AJ$58,0),FALSE),""))</f>
        <v>0.6284805653710247</v>
      </c>
      <c r="AH16" s="391" t="str">
        <f ca="1">IFERROR(VLOOKUP($C16,COM_N_2012!$B$61:$AJ$122,MATCH(VLOOKUP("*"&amp;$AW16,$A$10:$J$11,$J$9,FALSE)&amp;AH$7,COM_N_2012!$B$58:$AJ$58,0),FALSE),"")</f>
        <v/>
      </c>
      <c r="AI16" s="391" t="str">
        <f ca="1">IFERROR(VLOOKUP($C16,COM_N_2012!$B$61:$AJ$122,MATCH(VLOOKUP("*"&amp;$AW16,$A$10:$J$11,$J$9,FALSE)&amp;AI$7,COM_N_2012!$B$58:$AJ$58,0),FALSE),"")</f>
        <v/>
      </c>
      <c r="AJ16" s="391" t="str">
        <f ca="1">IFERROR(VLOOKUP($C16,COM_N_2012!$B$61:$AJ$122,MATCH(VLOOKUP("*"&amp;$AW16,$A$10:$J$11,$J$9,FALSE)&amp;AJ$7,COM_N_2012!$B$58:$AJ$58,0),FALSE),"")</f>
        <v/>
      </c>
      <c r="AK16" s="391" t="str">
        <f ca="1">IFERROR(VLOOKUP($C16,COM_N_2012!$B$61:$AJ$122,MATCH(VLOOKUP("*"&amp;$AW16,$A$10:$J$11,$J$9,FALSE)&amp;AK$7,COM_N_2012!$B$58:$AJ$58,0),FALSE),"")</f>
        <v/>
      </c>
      <c r="AL16" s="391">
        <f ca="1">IF($A16="*","",IFERROR(VLOOKUP($C16,COM_N_2017!$B$61:$AJ$122,MATCH(VLOOKUP("*"&amp;$AW16,$A$10:$J$11,$J$9,FALSE)&amp;AL$7,COM_N_2017!$B$58:$AJ$58,0),FALSE),""))</f>
        <v>0.82848056537102466</v>
      </c>
      <c r="AM16" s="391">
        <f ca="1">IF($A16="*","",IFERROR(VLOOKUP($C16,COM_N_2017!$B$61:$AJ$122,MATCH(VLOOKUP("*"&amp;$AW16,$A$10:$J$11,$J$9,FALSE)&amp;AM$7,COM_N_2017!$B$58:$AJ$58,0),FALSE),""))</f>
        <v>1</v>
      </c>
      <c r="AN16" s="391">
        <f ca="1">IF($A16="*","",IFERROR(VLOOKUP($C16,COM_N_2017!$B$61:$AJ$122,MATCH(VLOOKUP("*"&amp;$AW16,$A$10:$J$11,$J$9,FALSE)&amp;AN$7,COM_N_2017!$B$58:$AJ$58,0),FALSE),""))</f>
        <v>1</v>
      </c>
      <c r="AO16" s="391" t="str">
        <f ca="1">IFERROR(VLOOKUP($C16,COM_N_2012!$B$61:$AJ$122,MATCH(VLOOKUP("*"&amp;$AW16,$A$10:$J$11,$J$9,FALSE)&amp;AO$7,COM_N_2012!$B$58:$AJ$58,0),FALSE),"")</f>
        <v/>
      </c>
      <c r="AP16" s="391" t="str">
        <f ca="1">IFERROR(VLOOKUP($C16,COM_N_2012!$B$61:$AJ$122,MATCH(VLOOKUP("*"&amp;$AW16,$A$10:$J$11,$J$9,FALSE)&amp;AP$7,COM_N_2012!$B$58:$AJ$58,0),FALSE),"")</f>
        <v/>
      </c>
      <c r="AQ16" s="391" t="str">
        <f ca="1">IFERROR(VLOOKUP($C16,COM_N_2012!$B$61:$AJ$122,MATCH(VLOOKUP("*"&amp;$AW16,$A$10:$J$11,$J$9,FALSE)&amp;AQ$7,COM_N_2012!$B$58:$AJ$58,0),FALSE),"")</f>
        <v/>
      </c>
      <c r="AR16" s="391" t="str">
        <f ca="1">IFERROR(VLOOKUP($C16,COM_N_2012!$B$61:$AJ$122,MATCH(VLOOKUP("*"&amp;$AW16,$A$10:$J$11,$J$9,FALSE)&amp;AR$7,COM_N_2012!$B$58:$AJ$58,0),FALSE),"")</f>
        <v/>
      </c>
      <c r="AS16" s="391" t="str">
        <f ca="1">IFERROR(VLOOKUP($C16,COM_N_2012!$B$61:$AJ$122,MATCH(VLOOKUP("*"&amp;$AW16,$A$10:$J$11,$J$9,FALSE)&amp;AS$7,COM_N_2012!$B$58:$AJ$58,0),FALSE),"")</f>
        <v/>
      </c>
      <c r="AT16" s="391" t="str">
        <f ca="1">IFERROR(VLOOKUP($C16,COM_N_2012!$B$61:$AJ$122,MATCH(VLOOKUP("*"&amp;$AW16,$A$10:$J$11,$J$9,FALSE)&amp;AT$7,COM_N_2012!$B$58:$AJ$58,0),FALSE),"")</f>
        <v/>
      </c>
      <c r="AU16" s="391" t="str">
        <f ca="1">IFERROR(VLOOKUP($C16,COM_N_2012!$B$61:$AJ$122,MATCH(VLOOKUP("*"&amp;$AW16,$A$10:$J$11,$J$9,FALSE)&amp;AU$7,COM_N_2012!$B$58:$AJ$58,0),FALSE),"")</f>
        <v/>
      </c>
      <c r="AV16" s="391" t="str">
        <f ca="1">IFERROR(VLOOKUP($C16,COM_N_2012!$B$61:$AJ$122,MATCH(VLOOKUP("*"&amp;$AW16,$A$10:$J$11,$J$9,FALSE)&amp;AV$7,COM_N_2012!$B$58:$AJ$58,0),FALSE),"")</f>
        <v/>
      </c>
      <c r="AW16" s="304">
        <f>IF(AX15=COM_N_2012!$AK$121,AW15+1,AW15)</f>
        <v>1</v>
      </c>
      <c r="AX16" s="304">
        <f t="shared" si="7"/>
        <v>4</v>
      </c>
    </row>
    <row r="17" spans="1:50">
      <c r="A17" s="304" t="str">
        <f ca="1">IF(LEFT(OFFSET(COM_N_2012!$A$60,AX17,0),2)="\I","*","")</f>
        <v/>
      </c>
      <c r="B17" s="369" t="str">
        <f t="shared" ca="1" si="3"/>
        <v>FLO_MRKPRD</v>
      </c>
      <c r="C17" s="369" t="str">
        <f ca="1">IF($A17="*","",OFFSET(COM_N_2012!$B$60,AX17,0))</f>
        <v>CNCELCCEN-N</v>
      </c>
      <c r="D17" s="369" t="str">
        <f t="shared" ca="1" si="4"/>
        <v>CNC</v>
      </c>
      <c r="E17" s="369" t="str">
        <f t="shared" ca="1" si="5"/>
        <v>-</v>
      </c>
      <c r="F17" s="370" t="str">
        <f t="shared" ca="1" si="6"/>
        <v>-</v>
      </c>
      <c r="G17" s="370" t="str">
        <f t="shared" ca="1" si="6"/>
        <v>ANNUAL</v>
      </c>
      <c r="H17" s="370" t="str">
        <f t="shared" ca="1" si="6"/>
        <v>UP</v>
      </c>
      <c r="I17" s="370">
        <f t="shared" ca="1" si="6"/>
        <v>0</v>
      </c>
      <c r="J17" s="391">
        <f ca="1">IFERROR(VLOOKUP($C17,COM_N_2012!$B$61:$AJ$122,MATCH(VLOOKUP("*"&amp;$AW17,$A$10:$J$11,$J$9,FALSE)&amp;J$7,COM_N_2012!$B$58:$AJ$58,0),FALSE),"")</f>
        <v>0</v>
      </c>
      <c r="K17" s="391" t="str">
        <f ca="1">IFERROR(VLOOKUP($C17,COM_N_2012!$B$61:$AJ$122,MATCH(VLOOKUP("*"&amp;$AW17,$A$10:$J$11,$J$9,FALSE)&amp;K$7,COM_N_2012!$B$58:$AJ$58,0),FALSE),"")</f>
        <v/>
      </c>
      <c r="L17" s="391" t="str">
        <f ca="1">IFERROR(VLOOKUP($C17,COM_N_2012!$B$61:$AJ$122,MATCH(VLOOKUP("*"&amp;$AW17,$A$10:$J$11,$J$9,FALSE)&amp;L$7,COM_N_2012!$B$58:$AJ$58,0),FALSE),"")</f>
        <v/>
      </c>
      <c r="M17" s="391">
        <f ca="1">IFERROR(VLOOKUP($C17,COM_N_2012!$B$61:$AJ$122,MATCH(VLOOKUP("*"&amp;$AW17,$A$10:$J$11,$J$9,FALSE)&amp;M$7,COM_N_2012!$B$58:$AJ$58,0),FALSE),"")</f>
        <v>0</v>
      </c>
      <c r="N17" s="391" t="str">
        <f ca="1">IFERROR(VLOOKUP($C17,COM_N_2012!$B$61:$AJ$122,MATCH(VLOOKUP("*"&amp;$AW17,$A$10:$J$11,$J$9,FALSE)&amp;N$7,COM_N_2012!$B$58:$AJ$58,0),FALSE),"")</f>
        <v/>
      </c>
      <c r="O17" s="391">
        <f ca="1">IF($A17="*","",IFERROR(VLOOKUP($C17,COM_N_2017!$B$61:$AJ$122,MATCH(VLOOKUP("*"&amp;$AW17,$A$10:$J$11,$J$9,FALSE)&amp;O$7,COM_N_2017!$B$58:$AJ$58,0),FALSE),""))</f>
        <v>0</v>
      </c>
      <c r="P17" s="391" t="str">
        <f ca="1">IFERROR(VLOOKUP($C17,COM_N_2012!$B$61:$AJ$122,MATCH(VLOOKUP("*"&amp;$AW17,$A$10:$J$11,$J$9,FALSE)&amp;P$7,COM_N_2012!$B$58:$AJ$58,0),FALSE),"")</f>
        <v/>
      </c>
      <c r="Q17" s="391" t="str">
        <f ca="1">IFERROR(VLOOKUP($C17,COM_N_2012!$B$61:$AJ$122,MATCH(VLOOKUP("*"&amp;$AW17,$A$10:$J$11,$J$9,FALSE)&amp;Q$7,COM_N_2012!$B$58:$AJ$58,0),FALSE),"")</f>
        <v/>
      </c>
      <c r="R17" s="391">
        <f ca="1">IF($A17="*","",IFERROR(VLOOKUP($C17,COM_N_2017!$B$61:$AJ$122,MATCH(VLOOKUP("*"&amp;$AW17,$A$10:$J$11,$J$9,FALSE)&amp;R$7,COM_N_2017!$B$58:$AJ$58,0),FALSE),""))</f>
        <v>0.03</v>
      </c>
      <c r="S17" s="391" t="str">
        <f ca="1">IFERROR(VLOOKUP($C17,COM_N_2012!$B$61:$AJ$122,MATCH(VLOOKUP("*"&amp;$AW17,$A$10:$J$11,$J$9,FALSE)&amp;S$7,COM_N_2012!$B$58:$AJ$58,0),FALSE),"")</f>
        <v/>
      </c>
      <c r="T17" s="391" t="str">
        <f ca="1">IFERROR(VLOOKUP($C17,COM_N_2012!$B$61:$AJ$122,MATCH(VLOOKUP("*"&amp;$AW17,$A$10:$J$11,$J$9,FALSE)&amp;T$7,COM_N_2012!$B$58:$AJ$58,0),FALSE),"")</f>
        <v/>
      </c>
      <c r="U17" s="391" t="str">
        <f ca="1">IFERROR(VLOOKUP($C17,COM_N_2012!$B$61:$AJ$122,MATCH(VLOOKUP("*"&amp;$AW17,$A$10:$J$11,$J$9,FALSE)&amp;U$7,COM_N_2012!$B$58:$AJ$58,0),FALSE),"")</f>
        <v/>
      </c>
      <c r="V17" s="391" t="str">
        <f ca="1">IFERROR(VLOOKUP($C17,COM_N_2012!$B$61:$AJ$122,MATCH(VLOOKUP("*"&amp;$AW17,$A$10:$J$11,$J$9,FALSE)&amp;V$7,COM_N_2012!$B$58:$AJ$58,0),FALSE),"")</f>
        <v/>
      </c>
      <c r="W17" s="391">
        <f ca="1">IF($A17="*","",IFERROR(VLOOKUP($C17,COM_N_2017!$B$61:$AJ$122,MATCH(VLOOKUP("*"&amp;$AW17,$A$10:$J$11,$J$9,FALSE)&amp;W$7,COM_N_2017!$B$58:$AJ$58,0),FALSE),""))</f>
        <v>0.1</v>
      </c>
      <c r="X17" s="391" t="str">
        <f ca="1">IFERROR(VLOOKUP($C17,COM_N_2012!$B$61:$AJ$122,MATCH(VLOOKUP("*"&amp;$AW17,$A$10:$J$11,$J$9,FALSE)&amp;X$7,COM_N_2012!$B$58:$AJ$58,0),FALSE),"")</f>
        <v/>
      </c>
      <c r="Y17" s="391" t="str">
        <f ca="1">IFERROR(VLOOKUP($C17,COM_N_2012!$B$61:$AJ$122,MATCH(VLOOKUP("*"&amp;$AW17,$A$10:$J$11,$J$9,FALSE)&amp;Y$7,COM_N_2012!$B$58:$AJ$58,0),FALSE),"")</f>
        <v/>
      </c>
      <c r="Z17" s="391" t="str">
        <f ca="1">IFERROR(VLOOKUP($C17,COM_N_2012!$B$61:$AJ$122,MATCH(VLOOKUP("*"&amp;$AW17,$A$10:$J$11,$J$9,FALSE)&amp;Z$7,COM_N_2012!$B$58:$AJ$58,0),FALSE),"")</f>
        <v/>
      </c>
      <c r="AA17" s="391" t="str">
        <f ca="1">IFERROR(VLOOKUP($C17,COM_N_2012!$B$61:$AJ$122,MATCH(VLOOKUP("*"&amp;$AW17,$A$10:$J$11,$J$9,FALSE)&amp;AA$7,COM_N_2012!$B$58:$AJ$58,0),FALSE),"")</f>
        <v/>
      </c>
      <c r="AB17" s="391">
        <f ca="1">IF($A17="*","",IFERROR(VLOOKUP($C17,COM_N_2017!$B$61:$AJ$122,MATCH(VLOOKUP("*"&amp;$AW17,$A$10:$J$11,$J$9,FALSE)&amp;AB$7,COM_N_2017!$B$58:$AJ$58,0),FALSE),""))</f>
        <v>0.3</v>
      </c>
      <c r="AC17" s="391" t="str">
        <f ca="1">IFERROR(VLOOKUP($C17,COM_N_2012!$B$61:$AJ$122,MATCH(VLOOKUP("*"&amp;$AW17,$A$10:$J$11,$J$9,FALSE)&amp;AC$7,COM_N_2012!$B$58:$AJ$58,0),FALSE),"")</f>
        <v/>
      </c>
      <c r="AD17" s="391" t="str">
        <f ca="1">IFERROR(VLOOKUP($C17,COM_N_2012!$B$61:$AJ$122,MATCH(VLOOKUP("*"&amp;$AW17,$A$10:$J$11,$J$9,FALSE)&amp;AD$7,COM_N_2012!$B$58:$AJ$58,0),FALSE),"")</f>
        <v/>
      </c>
      <c r="AE17" s="391" t="str">
        <f ca="1">IFERROR(VLOOKUP($C17,COM_N_2012!$B$61:$AJ$122,MATCH(VLOOKUP("*"&amp;$AW17,$A$10:$J$11,$J$9,FALSE)&amp;AE$7,COM_N_2012!$B$58:$AJ$58,0),FALSE),"")</f>
        <v/>
      </c>
      <c r="AF17" s="391" t="str">
        <f ca="1">IFERROR(VLOOKUP($C17,COM_N_2012!$B$61:$AJ$122,MATCH(VLOOKUP("*"&amp;$AW17,$A$10:$J$11,$J$9,FALSE)&amp;AF$7,COM_N_2012!$B$58:$AJ$58,0),FALSE),"")</f>
        <v/>
      </c>
      <c r="AG17" s="391">
        <f ca="1">IF($A17="*","",IFERROR(VLOOKUP($C17,COM_N_2017!$B$61:$AJ$122,MATCH(VLOOKUP("*"&amp;$AW17,$A$10:$J$11,$J$9,FALSE)&amp;AG$7,COM_N_2017!$B$58:$AJ$58,0),FALSE),""))</f>
        <v>0.5</v>
      </c>
      <c r="AH17" s="391" t="str">
        <f ca="1">IFERROR(VLOOKUP($C17,COM_N_2012!$B$61:$AJ$122,MATCH(VLOOKUP("*"&amp;$AW17,$A$10:$J$11,$J$9,FALSE)&amp;AH$7,COM_N_2012!$B$58:$AJ$58,0),FALSE),"")</f>
        <v/>
      </c>
      <c r="AI17" s="391" t="str">
        <f ca="1">IFERROR(VLOOKUP($C17,COM_N_2012!$B$61:$AJ$122,MATCH(VLOOKUP("*"&amp;$AW17,$A$10:$J$11,$J$9,FALSE)&amp;AI$7,COM_N_2012!$B$58:$AJ$58,0),FALSE),"")</f>
        <v/>
      </c>
      <c r="AJ17" s="391" t="str">
        <f ca="1">IFERROR(VLOOKUP($C17,COM_N_2012!$B$61:$AJ$122,MATCH(VLOOKUP("*"&amp;$AW17,$A$10:$J$11,$J$9,FALSE)&amp;AJ$7,COM_N_2012!$B$58:$AJ$58,0),FALSE),"")</f>
        <v/>
      </c>
      <c r="AK17" s="391" t="str">
        <f ca="1">IFERROR(VLOOKUP($C17,COM_N_2012!$B$61:$AJ$122,MATCH(VLOOKUP("*"&amp;$AW17,$A$10:$J$11,$J$9,FALSE)&amp;AK$7,COM_N_2012!$B$58:$AJ$58,0),FALSE),"")</f>
        <v/>
      </c>
      <c r="AL17" s="391">
        <f ca="1">IF($A17="*","",IFERROR(VLOOKUP($C17,COM_N_2017!$B$61:$AJ$122,MATCH(VLOOKUP("*"&amp;$AW17,$A$10:$J$11,$J$9,FALSE)&amp;AL$7,COM_N_2017!$B$58:$AJ$58,0),FALSE),""))</f>
        <v>0.7</v>
      </c>
      <c r="AM17" s="391">
        <f ca="1">IF($A17="*","",IFERROR(VLOOKUP($C17,COM_N_2017!$B$61:$AJ$122,MATCH(VLOOKUP("*"&amp;$AW17,$A$10:$J$11,$J$9,FALSE)&amp;AM$7,COM_N_2017!$B$58:$AJ$58,0),FALSE),""))</f>
        <v>0.9</v>
      </c>
      <c r="AN17" s="391">
        <f ca="1">IF($A17="*","",IFERROR(VLOOKUP($C17,COM_N_2017!$B$61:$AJ$122,MATCH(VLOOKUP("*"&amp;$AW17,$A$10:$J$11,$J$9,FALSE)&amp;AN$7,COM_N_2017!$B$58:$AJ$58,0),FALSE),""))</f>
        <v>1</v>
      </c>
      <c r="AO17" s="391" t="str">
        <f ca="1">IFERROR(VLOOKUP($C17,COM_N_2012!$B$61:$AJ$122,MATCH(VLOOKUP("*"&amp;$AW17,$A$10:$J$11,$J$9,FALSE)&amp;AO$7,COM_N_2012!$B$58:$AJ$58,0),FALSE),"")</f>
        <v/>
      </c>
      <c r="AP17" s="391" t="str">
        <f ca="1">IFERROR(VLOOKUP($C17,COM_N_2012!$B$61:$AJ$122,MATCH(VLOOKUP("*"&amp;$AW17,$A$10:$J$11,$J$9,FALSE)&amp;AP$7,COM_N_2012!$B$58:$AJ$58,0),FALSE),"")</f>
        <v/>
      </c>
      <c r="AQ17" s="391" t="str">
        <f ca="1">IFERROR(VLOOKUP($C17,COM_N_2012!$B$61:$AJ$122,MATCH(VLOOKUP("*"&amp;$AW17,$A$10:$J$11,$J$9,FALSE)&amp;AQ$7,COM_N_2012!$B$58:$AJ$58,0),FALSE),"")</f>
        <v/>
      </c>
      <c r="AR17" s="391" t="str">
        <f ca="1">IFERROR(VLOOKUP($C17,COM_N_2012!$B$61:$AJ$122,MATCH(VLOOKUP("*"&amp;$AW17,$A$10:$J$11,$J$9,FALSE)&amp;AR$7,COM_N_2012!$B$58:$AJ$58,0),FALSE),"")</f>
        <v/>
      </c>
      <c r="AS17" s="391" t="str">
        <f ca="1">IFERROR(VLOOKUP($C17,COM_N_2012!$B$61:$AJ$122,MATCH(VLOOKUP("*"&amp;$AW17,$A$10:$J$11,$J$9,FALSE)&amp;AS$7,COM_N_2012!$B$58:$AJ$58,0),FALSE),"")</f>
        <v/>
      </c>
      <c r="AT17" s="391" t="str">
        <f ca="1">IFERROR(VLOOKUP($C17,COM_N_2012!$B$61:$AJ$122,MATCH(VLOOKUP("*"&amp;$AW17,$A$10:$J$11,$J$9,FALSE)&amp;AT$7,COM_N_2012!$B$58:$AJ$58,0),FALSE),"")</f>
        <v/>
      </c>
      <c r="AU17" s="391" t="str">
        <f ca="1">IFERROR(VLOOKUP($C17,COM_N_2012!$B$61:$AJ$122,MATCH(VLOOKUP("*"&amp;$AW17,$A$10:$J$11,$J$9,FALSE)&amp;AU$7,COM_N_2012!$B$58:$AJ$58,0),FALSE),"")</f>
        <v/>
      </c>
      <c r="AV17" s="391" t="str">
        <f ca="1">IFERROR(VLOOKUP($C17,COM_N_2012!$B$61:$AJ$122,MATCH(VLOOKUP("*"&amp;$AW17,$A$10:$J$11,$J$9,FALSE)&amp;AV$7,COM_N_2012!$B$58:$AJ$58,0),FALSE),"")</f>
        <v/>
      </c>
      <c r="AW17" s="304">
        <f>IF(AX16=COM_N_2012!$AK$121,AW16+1,AW16)</f>
        <v>1</v>
      </c>
      <c r="AX17" s="304">
        <f t="shared" si="7"/>
        <v>5</v>
      </c>
    </row>
    <row r="18" spans="1:50">
      <c r="A18" s="304" t="str">
        <f ca="1">IF(LEFT(OFFSET(COM_N_2012!$A$60,AX18,0),2)="\I","*","")</f>
        <v/>
      </c>
      <c r="B18" s="369" t="str">
        <f t="shared" ca="1" si="3"/>
        <v>FLO_MRKPRD</v>
      </c>
      <c r="C18" s="369" t="str">
        <f ca="1">IF($A18="*","",OFFSET(COM_N_2012!$B$60,AX18,0))</f>
        <v>CNCELCHP-N</v>
      </c>
      <c r="D18" s="369" t="str">
        <f t="shared" ca="1" si="4"/>
        <v>CNC</v>
      </c>
      <c r="E18" s="369" t="str">
        <f t="shared" ca="1" si="5"/>
        <v>-</v>
      </c>
      <c r="F18" s="370" t="str">
        <f t="shared" ca="1" si="6"/>
        <v>-</v>
      </c>
      <c r="G18" s="370" t="str">
        <f t="shared" ca="1" si="6"/>
        <v>ANNUAL</v>
      </c>
      <c r="H18" s="370" t="str">
        <f t="shared" ca="1" si="6"/>
        <v>UP</v>
      </c>
      <c r="I18" s="370">
        <f t="shared" ca="1" si="6"/>
        <v>0</v>
      </c>
      <c r="J18" s="391">
        <f ca="1">IFERROR(VLOOKUP($C18,COM_N_2012!$B$61:$AJ$122,MATCH(VLOOKUP("*"&amp;$AW18,$A$10:$J$11,$J$9,FALSE)&amp;J$7,COM_N_2012!$B$58:$AJ$58,0),FALSE),"")</f>
        <v>0</v>
      </c>
      <c r="K18" s="391" t="str">
        <f ca="1">IFERROR(VLOOKUP($C18,COM_N_2012!$B$61:$AJ$122,MATCH(VLOOKUP("*"&amp;$AW18,$A$10:$J$11,$J$9,FALSE)&amp;K$7,COM_N_2012!$B$58:$AJ$58,0),FALSE),"")</f>
        <v/>
      </c>
      <c r="L18" s="391" t="str">
        <f ca="1">IFERROR(VLOOKUP($C18,COM_N_2012!$B$61:$AJ$122,MATCH(VLOOKUP("*"&amp;$AW18,$A$10:$J$11,$J$9,FALSE)&amp;L$7,COM_N_2012!$B$58:$AJ$58,0),FALSE),"")</f>
        <v/>
      </c>
      <c r="M18" s="391">
        <f ca="1">IFERROR(VLOOKUP($C18,COM_N_2012!$B$61:$AJ$122,MATCH(VLOOKUP("*"&amp;$AW18,$A$10:$J$11,$J$9,FALSE)&amp;M$7,COM_N_2012!$B$58:$AJ$58,0),FALSE),"")</f>
        <v>0</v>
      </c>
      <c r="N18" s="391" t="str">
        <f ca="1">IFERROR(VLOOKUP($C18,COM_N_2012!$B$61:$AJ$122,MATCH(VLOOKUP("*"&amp;$AW18,$A$10:$J$11,$J$9,FALSE)&amp;N$7,COM_N_2012!$B$58:$AJ$58,0),FALSE),"")</f>
        <v/>
      </c>
      <c r="O18" s="391">
        <f ca="1">IF($A18="*","",IFERROR(VLOOKUP($C18,COM_N_2017!$B$61:$AJ$122,MATCH(VLOOKUP("*"&amp;$AW18,$A$10:$J$11,$J$9,FALSE)&amp;O$7,COM_N_2017!$B$58:$AJ$58,0),FALSE),""))</f>
        <v>0</v>
      </c>
      <c r="P18" s="391" t="str">
        <f ca="1">IFERROR(VLOOKUP($C18,COM_N_2012!$B$61:$AJ$122,MATCH(VLOOKUP("*"&amp;$AW18,$A$10:$J$11,$J$9,FALSE)&amp;P$7,COM_N_2012!$B$58:$AJ$58,0),FALSE),"")</f>
        <v/>
      </c>
      <c r="Q18" s="391" t="str">
        <f ca="1">IFERROR(VLOOKUP($C18,COM_N_2012!$B$61:$AJ$122,MATCH(VLOOKUP("*"&amp;$AW18,$A$10:$J$11,$J$9,FALSE)&amp;Q$7,COM_N_2012!$B$58:$AJ$58,0),FALSE),"")</f>
        <v/>
      </c>
      <c r="R18" s="391">
        <f ca="1">IF($A18="*","",IFERROR(VLOOKUP($C18,COM_N_2017!$B$61:$AJ$122,MATCH(VLOOKUP("*"&amp;$AW18,$A$10:$J$11,$J$9,FALSE)&amp;R$7,COM_N_2017!$B$58:$AJ$58,0),FALSE),""))</f>
        <v>0.03</v>
      </c>
      <c r="S18" s="391" t="str">
        <f ca="1">IFERROR(VLOOKUP($C18,COM_N_2012!$B$61:$AJ$122,MATCH(VLOOKUP("*"&amp;$AW18,$A$10:$J$11,$J$9,FALSE)&amp;S$7,COM_N_2012!$B$58:$AJ$58,0),FALSE),"")</f>
        <v/>
      </c>
      <c r="T18" s="391" t="str">
        <f ca="1">IFERROR(VLOOKUP($C18,COM_N_2012!$B$61:$AJ$122,MATCH(VLOOKUP("*"&amp;$AW18,$A$10:$J$11,$J$9,FALSE)&amp;T$7,COM_N_2012!$B$58:$AJ$58,0),FALSE),"")</f>
        <v/>
      </c>
      <c r="U18" s="391" t="str">
        <f ca="1">IFERROR(VLOOKUP($C18,COM_N_2012!$B$61:$AJ$122,MATCH(VLOOKUP("*"&amp;$AW18,$A$10:$J$11,$J$9,FALSE)&amp;U$7,COM_N_2012!$B$58:$AJ$58,0),FALSE),"")</f>
        <v/>
      </c>
      <c r="V18" s="391" t="str">
        <f ca="1">IFERROR(VLOOKUP($C18,COM_N_2012!$B$61:$AJ$122,MATCH(VLOOKUP("*"&amp;$AW18,$A$10:$J$11,$J$9,FALSE)&amp;V$7,COM_N_2012!$B$58:$AJ$58,0),FALSE),"")</f>
        <v/>
      </c>
      <c r="W18" s="391">
        <f ca="1">IF($A18="*","",IFERROR(VLOOKUP($C18,COM_N_2017!$B$61:$AJ$122,MATCH(VLOOKUP("*"&amp;$AW18,$A$10:$J$11,$J$9,FALSE)&amp;W$7,COM_N_2017!$B$58:$AJ$58,0),FALSE),""))</f>
        <v>0.1</v>
      </c>
      <c r="X18" s="391" t="str">
        <f ca="1">IFERROR(VLOOKUP($C18,COM_N_2012!$B$61:$AJ$122,MATCH(VLOOKUP("*"&amp;$AW18,$A$10:$J$11,$J$9,FALSE)&amp;X$7,COM_N_2012!$B$58:$AJ$58,0),FALSE),"")</f>
        <v/>
      </c>
      <c r="Y18" s="391" t="str">
        <f ca="1">IFERROR(VLOOKUP($C18,COM_N_2012!$B$61:$AJ$122,MATCH(VLOOKUP("*"&amp;$AW18,$A$10:$J$11,$J$9,FALSE)&amp;Y$7,COM_N_2012!$B$58:$AJ$58,0),FALSE),"")</f>
        <v/>
      </c>
      <c r="Z18" s="391" t="str">
        <f ca="1">IFERROR(VLOOKUP($C18,COM_N_2012!$B$61:$AJ$122,MATCH(VLOOKUP("*"&amp;$AW18,$A$10:$J$11,$J$9,FALSE)&amp;Z$7,COM_N_2012!$B$58:$AJ$58,0),FALSE),"")</f>
        <v/>
      </c>
      <c r="AA18" s="391" t="str">
        <f ca="1">IFERROR(VLOOKUP($C18,COM_N_2012!$B$61:$AJ$122,MATCH(VLOOKUP("*"&amp;$AW18,$A$10:$J$11,$J$9,FALSE)&amp;AA$7,COM_N_2012!$B$58:$AJ$58,0),FALSE),"")</f>
        <v/>
      </c>
      <c r="AB18" s="391">
        <f ca="1">IF($A18="*","",IFERROR(VLOOKUP($C18,COM_N_2017!$B$61:$AJ$122,MATCH(VLOOKUP("*"&amp;$AW18,$A$10:$J$11,$J$9,FALSE)&amp;AB$7,COM_N_2017!$B$58:$AJ$58,0),FALSE),""))</f>
        <v>0.3</v>
      </c>
      <c r="AC18" s="391" t="str">
        <f ca="1">IFERROR(VLOOKUP($C18,COM_N_2012!$B$61:$AJ$122,MATCH(VLOOKUP("*"&amp;$AW18,$A$10:$J$11,$J$9,FALSE)&amp;AC$7,COM_N_2012!$B$58:$AJ$58,0),FALSE),"")</f>
        <v/>
      </c>
      <c r="AD18" s="391" t="str">
        <f ca="1">IFERROR(VLOOKUP($C18,COM_N_2012!$B$61:$AJ$122,MATCH(VLOOKUP("*"&amp;$AW18,$A$10:$J$11,$J$9,FALSE)&amp;AD$7,COM_N_2012!$B$58:$AJ$58,0),FALSE),"")</f>
        <v/>
      </c>
      <c r="AE18" s="391" t="str">
        <f ca="1">IFERROR(VLOOKUP($C18,COM_N_2012!$B$61:$AJ$122,MATCH(VLOOKUP("*"&amp;$AW18,$A$10:$J$11,$J$9,FALSE)&amp;AE$7,COM_N_2012!$B$58:$AJ$58,0),FALSE),"")</f>
        <v/>
      </c>
      <c r="AF18" s="391" t="str">
        <f ca="1">IFERROR(VLOOKUP($C18,COM_N_2012!$B$61:$AJ$122,MATCH(VLOOKUP("*"&amp;$AW18,$A$10:$J$11,$J$9,FALSE)&amp;AF$7,COM_N_2012!$B$58:$AJ$58,0),FALSE),"")</f>
        <v/>
      </c>
      <c r="AG18" s="391">
        <f ca="1">IF($A18="*","",IFERROR(VLOOKUP($C18,COM_N_2017!$B$61:$AJ$122,MATCH(VLOOKUP("*"&amp;$AW18,$A$10:$J$11,$J$9,FALSE)&amp;AG$7,COM_N_2017!$B$58:$AJ$58,0),FALSE),""))</f>
        <v>0.5</v>
      </c>
      <c r="AH18" s="391" t="str">
        <f ca="1">IFERROR(VLOOKUP($C18,COM_N_2012!$B$61:$AJ$122,MATCH(VLOOKUP("*"&amp;$AW18,$A$10:$J$11,$J$9,FALSE)&amp;AH$7,COM_N_2012!$B$58:$AJ$58,0),FALSE),"")</f>
        <v/>
      </c>
      <c r="AI18" s="391" t="str">
        <f ca="1">IFERROR(VLOOKUP($C18,COM_N_2012!$B$61:$AJ$122,MATCH(VLOOKUP("*"&amp;$AW18,$A$10:$J$11,$J$9,FALSE)&amp;AI$7,COM_N_2012!$B$58:$AJ$58,0),FALSE),"")</f>
        <v/>
      </c>
      <c r="AJ18" s="391" t="str">
        <f ca="1">IFERROR(VLOOKUP($C18,COM_N_2012!$B$61:$AJ$122,MATCH(VLOOKUP("*"&amp;$AW18,$A$10:$J$11,$J$9,FALSE)&amp;AJ$7,COM_N_2012!$B$58:$AJ$58,0),FALSE),"")</f>
        <v/>
      </c>
      <c r="AK18" s="391" t="str">
        <f ca="1">IFERROR(VLOOKUP($C18,COM_N_2012!$B$61:$AJ$122,MATCH(VLOOKUP("*"&amp;$AW18,$A$10:$J$11,$J$9,FALSE)&amp;AK$7,COM_N_2012!$B$58:$AJ$58,0),FALSE),"")</f>
        <v/>
      </c>
      <c r="AL18" s="391">
        <f ca="1">IF($A18="*","",IFERROR(VLOOKUP($C18,COM_N_2017!$B$61:$AJ$122,MATCH(VLOOKUP("*"&amp;$AW18,$A$10:$J$11,$J$9,FALSE)&amp;AL$7,COM_N_2017!$B$58:$AJ$58,0),FALSE),""))</f>
        <v>0.7</v>
      </c>
      <c r="AM18" s="391">
        <f ca="1">IF($A18="*","",IFERROR(VLOOKUP($C18,COM_N_2017!$B$61:$AJ$122,MATCH(VLOOKUP("*"&amp;$AW18,$A$10:$J$11,$J$9,FALSE)&amp;AM$7,COM_N_2017!$B$58:$AJ$58,0),FALSE),""))</f>
        <v>0.9</v>
      </c>
      <c r="AN18" s="391">
        <f ca="1">IF($A18="*","",IFERROR(VLOOKUP($C18,COM_N_2017!$B$61:$AJ$122,MATCH(VLOOKUP("*"&amp;$AW18,$A$10:$J$11,$J$9,FALSE)&amp;AN$7,COM_N_2017!$B$58:$AJ$58,0),FALSE),""))</f>
        <v>1</v>
      </c>
      <c r="AO18" s="391" t="str">
        <f ca="1">IFERROR(VLOOKUP($C18,COM_N_2012!$B$61:$AJ$122,MATCH(VLOOKUP("*"&amp;$AW18,$A$10:$J$11,$J$9,FALSE)&amp;AO$7,COM_N_2012!$B$58:$AJ$58,0),FALSE),"")</f>
        <v/>
      </c>
      <c r="AP18" s="391" t="str">
        <f ca="1">IFERROR(VLOOKUP($C18,COM_N_2012!$B$61:$AJ$122,MATCH(VLOOKUP("*"&amp;$AW18,$A$10:$J$11,$J$9,FALSE)&amp;AP$7,COM_N_2012!$B$58:$AJ$58,0),FALSE),"")</f>
        <v/>
      </c>
      <c r="AQ18" s="391" t="str">
        <f ca="1">IFERROR(VLOOKUP($C18,COM_N_2012!$B$61:$AJ$122,MATCH(VLOOKUP("*"&amp;$AW18,$A$10:$J$11,$J$9,FALSE)&amp;AQ$7,COM_N_2012!$B$58:$AJ$58,0),FALSE),"")</f>
        <v/>
      </c>
      <c r="AR18" s="391" t="str">
        <f ca="1">IFERROR(VLOOKUP($C18,COM_N_2012!$B$61:$AJ$122,MATCH(VLOOKUP("*"&amp;$AW18,$A$10:$J$11,$J$9,FALSE)&amp;AR$7,COM_N_2012!$B$58:$AJ$58,0),FALSE),"")</f>
        <v/>
      </c>
      <c r="AS18" s="391" t="str">
        <f ca="1">IFERROR(VLOOKUP($C18,COM_N_2012!$B$61:$AJ$122,MATCH(VLOOKUP("*"&amp;$AW18,$A$10:$J$11,$J$9,FALSE)&amp;AS$7,COM_N_2012!$B$58:$AJ$58,0),FALSE),"")</f>
        <v/>
      </c>
      <c r="AT18" s="391" t="str">
        <f ca="1">IFERROR(VLOOKUP($C18,COM_N_2012!$B$61:$AJ$122,MATCH(VLOOKUP("*"&amp;$AW18,$A$10:$J$11,$J$9,FALSE)&amp;AT$7,COM_N_2012!$B$58:$AJ$58,0),FALSE),"")</f>
        <v/>
      </c>
      <c r="AU18" s="391" t="str">
        <f ca="1">IFERROR(VLOOKUP($C18,COM_N_2012!$B$61:$AJ$122,MATCH(VLOOKUP("*"&amp;$AW18,$A$10:$J$11,$J$9,FALSE)&amp;AU$7,COM_N_2012!$B$58:$AJ$58,0),FALSE),"")</f>
        <v/>
      </c>
      <c r="AV18" s="391" t="str">
        <f ca="1">IFERROR(VLOOKUP($C18,COM_N_2012!$B$61:$AJ$122,MATCH(VLOOKUP("*"&amp;$AW18,$A$10:$J$11,$J$9,FALSE)&amp;AV$7,COM_N_2012!$B$58:$AJ$58,0),FALSE),"")</f>
        <v/>
      </c>
      <c r="AW18" s="304">
        <f>IF(AX17=COM_N_2012!$AK$121,AW17+1,AW17)</f>
        <v>1</v>
      </c>
      <c r="AX18" s="304">
        <f t="shared" si="7"/>
        <v>6</v>
      </c>
    </row>
    <row r="19" spans="1:50">
      <c r="A19" s="304" t="str">
        <f ca="1">IF(LEFT(OFFSET(COM_N_2012!$A$60,AX19,0),2)="\I","*","")</f>
        <v>*</v>
      </c>
      <c r="B19" s="369" t="str">
        <f t="shared" ca="1" si="3"/>
        <v/>
      </c>
      <c r="C19" s="369" t="str">
        <f ca="1">IF($A19="*","",OFFSET(COM_N_2012!$B$60,AX19,0))</f>
        <v/>
      </c>
      <c r="D19" s="369" t="str">
        <f t="shared" ca="1" si="4"/>
        <v/>
      </c>
      <c r="E19" s="369" t="str">
        <f t="shared" ca="1" si="5"/>
        <v/>
      </c>
      <c r="F19" s="370" t="str">
        <f t="shared" ca="1" si="6"/>
        <v/>
      </c>
      <c r="G19" s="370" t="str">
        <f t="shared" ca="1" si="6"/>
        <v/>
      </c>
      <c r="H19" s="370" t="str">
        <f t="shared" ca="1" si="6"/>
        <v/>
      </c>
      <c r="I19" s="370" t="str">
        <f t="shared" ca="1" si="6"/>
        <v/>
      </c>
      <c r="J19" s="391" t="str">
        <f ca="1">IFERROR(VLOOKUP($C19,COM_N_2012!$B$61:$AJ$122,MATCH(VLOOKUP("*"&amp;$AW19,$A$10:$J$11,$J$9,FALSE)&amp;J$7,COM_N_2012!$B$58:$AJ$58,0),FALSE),"")</f>
        <v/>
      </c>
      <c r="K19" s="391" t="str">
        <f ca="1">IFERROR(VLOOKUP($C19,COM_N_2012!$B$61:$AJ$122,MATCH(VLOOKUP("*"&amp;$AW19,$A$10:$J$11,$J$9,FALSE)&amp;K$7,COM_N_2012!$B$58:$AJ$58,0),FALSE),"")</f>
        <v/>
      </c>
      <c r="L19" s="391" t="str">
        <f ca="1">IFERROR(VLOOKUP($C19,COM_N_2012!$B$61:$AJ$122,MATCH(VLOOKUP("*"&amp;$AW19,$A$10:$J$11,$J$9,FALSE)&amp;L$7,COM_N_2012!$B$58:$AJ$58,0),FALSE),"")</f>
        <v/>
      </c>
      <c r="M19" s="391" t="str">
        <f ca="1">IFERROR(VLOOKUP($C19,COM_N_2012!$B$61:$AJ$122,MATCH(VLOOKUP("*"&amp;$AW19,$A$10:$J$11,$J$9,FALSE)&amp;M$7,COM_N_2012!$B$58:$AJ$58,0),FALSE),"")</f>
        <v/>
      </c>
      <c r="N19" s="391" t="str">
        <f ca="1">IFERROR(VLOOKUP($C19,COM_N_2012!$B$61:$AJ$122,MATCH(VLOOKUP("*"&amp;$AW19,$A$10:$J$11,$J$9,FALSE)&amp;N$7,COM_N_2012!$B$58:$AJ$58,0),FALSE),"")</f>
        <v/>
      </c>
      <c r="O19" s="391" t="str">
        <f ca="1">IF($A19="*","",IFERROR(VLOOKUP($C19,COM_N_2017!$B$61:$AJ$122,MATCH(VLOOKUP("*"&amp;$AW19,$A$10:$J$11,$J$9,FALSE)&amp;O$7,COM_N_2017!$B$58:$AJ$58,0),FALSE),""))</f>
        <v/>
      </c>
      <c r="P19" s="391" t="str">
        <f ca="1">IFERROR(VLOOKUP($C19,COM_N_2012!$B$61:$AJ$122,MATCH(VLOOKUP("*"&amp;$AW19,$A$10:$J$11,$J$9,FALSE)&amp;P$7,COM_N_2012!$B$58:$AJ$58,0),FALSE),"")</f>
        <v/>
      </c>
      <c r="Q19" s="391" t="str">
        <f ca="1">IFERROR(VLOOKUP($C19,COM_N_2012!$B$61:$AJ$122,MATCH(VLOOKUP("*"&amp;$AW19,$A$10:$J$11,$J$9,FALSE)&amp;Q$7,COM_N_2012!$B$58:$AJ$58,0),FALSE),"")</f>
        <v/>
      </c>
      <c r="R19" s="391" t="str">
        <f ca="1">IF($A19="*","",IFERROR(VLOOKUP($C19,COM_N_2017!$B$61:$AJ$122,MATCH(VLOOKUP("*"&amp;$AW19,$A$10:$J$11,$J$9,FALSE)&amp;R$7,COM_N_2017!$B$58:$AJ$58,0),FALSE),""))</f>
        <v/>
      </c>
      <c r="S19" s="391" t="str">
        <f ca="1">IFERROR(VLOOKUP($C19,COM_N_2012!$B$61:$AJ$122,MATCH(VLOOKUP("*"&amp;$AW19,$A$10:$J$11,$J$9,FALSE)&amp;S$7,COM_N_2012!$B$58:$AJ$58,0),FALSE),"")</f>
        <v/>
      </c>
      <c r="T19" s="391" t="str">
        <f ca="1">IFERROR(VLOOKUP($C19,COM_N_2012!$B$61:$AJ$122,MATCH(VLOOKUP("*"&amp;$AW19,$A$10:$J$11,$J$9,FALSE)&amp;T$7,COM_N_2012!$B$58:$AJ$58,0),FALSE),"")</f>
        <v/>
      </c>
      <c r="U19" s="391" t="str">
        <f ca="1">IFERROR(VLOOKUP($C19,COM_N_2012!$B$61:$AJ$122,MATCH(VLOOKUP("*"&amp;$AW19,$A$10:$J$11,$J$9,FALSE)&amp;U$7,COM_N_2012!$B$58:$AJ$58,0),FALSE),"")</f>
        <v/>
      </c>
      <c r="V19" s="391" t="str">
        <f ca="1">IFERROR(VLOOKUP($C19,COM_N_2012!$B$61:$AJ$122,MATCH(VLOOKUP("*"&amp;$AW19,$A$10:$J$11,$J$9,FALSE)&amp;V$7,COM_N_2012!$B$58:$AJ$58,0),FALSE),"")</f>
        <v/>
      </c>
      <c r="W19" s="391" t="str">
        <f ca="1">IF($A19="*","",IFERROR(VLOOKUP($C19,COM_N_2017!$B$61:$AJ$122,MATCH(VLOOKUP("*"&amp;$AW19,$A$10:$J$11,$J$9,FALSE)&amp;W$7,COM_N_2017!$B$58:$AJ$58,0),FALSE),""))</f>
        <v/>
      </c>
      <c r="X19" s="391" t="str">
        <f ca="1">IFERROR(VLOOKUP($C19,COM_N_2012!$B$61:$AJ$122,MATCH(VLOOKUP("*"&amp;$AW19,$A$10:$J$11,$J$9,FALSE)&amp;X$7,COM_N_2012!$B$58:$AJ$58,0),FALSE),"")</f>
        <v/>
      </c>
      <c r="Y19" s="391" t="str">
        <f ca="1">IFERROR(VLOOKUP($C19,COM_N_2012!$B$61:$AJ$122,MATCH(VLOOKUP("*"&amp;$AW19,$A$10:$J$11,$J$9,FALSE)&amp;Y$7,COM_N_2012!$B$58:$AJ$58,0),FALSE),"")</f>
        <v/>
      </c>
      <c r="Z19" s="391" t="str">
        <f ca="1">IFERROR(VLOOKUP($C19,COM_N_2012!$B$61:$AJ$122,MATCH(VLOOKUP("*"&amp;$AW19,$A$10:$J$11,$J$9,FALSE)&amp;Z$7,COM_N_2012!$B$58:$AJ$58,0),FALSE),"")</f>
        <v/>
      </c>
      <c r="AA19" s="391" t="str">
        <f ca="1">IFERROR(VLOOKUP($C19,COM_N_2012!$B$61:$AJ$122,MATCH(VLOOKUP("*"&amp;$AW19,$A$10:$J$11,$J$9,FALSE)&amp;AA$7,COM_N_2012!$B$58:$AJ$58,0),FALSE),"")</f>
        <v/>
      </c>
      <c r="AB19" s="391" t="str">
        <f ca="1">IF($A19="*","",IFERROR(VLOOKUP($C19,COM_N_2017!$B$61:$AJ$122,MATCH(VLOOKUP("*"&amp;$AW19,$A$10:$J$11,$J$9,FALSE)&amp;AB$7,COM_N_2017!$B$58:$AJ$58,0),FALSE),""))</f>
        <v/>
      </c>
      <c r="AC19" s="391" t="str">
        <f ca="1">IFERROR(VLOOKUP($C19,COM_N_2012!$B$61:$AJ$122,MATCH(VLOOKUP("*"&amp;$AW19,$A$10:$J$11,$J$9,FALSE)&amp;AC$7,COM_N_2012!$B$58:$AJ$58,0),FALSE),"")</f>
        <v/>
      </c>
      <c r="AD19" s="391" t="str">
        <f ca="1">IFERROR(VLOOKUP($C19,COM_N_2012!$B$61:$AJ$122,MATCH(VLOOKUP("*"&amp;$AW19,$A$10:$J$11,$J$9,FALSE)&amp;AD$7,COM_N_2012!$B$58:$AJ$58,0),FALSE),"")</f>
        <v/>
      </c>
      <c r="AE19" s="391" t="str">
        <f ca="1">IFERROR(VLOOKUP($C19,COM_N_2012!$B$61:$AJ$122,MATCH(VLOOKUP("*"&amp;$AW19,$A$10:$J$11,$J$9,FALSE)&amp;AE$7,COM_N_2012!$B$58:$AJ$58,0),FALSE),"")</f>
        <v/>
      </c>
      <c r="AF19" s="391" t="str">
        <f ca="1">IFERROR(VLOOKUP($C19,COM_N_2012!$B$61:$AJ$122,MATCH(VLOOKUP("*"&amp;$AW19,$A$10:$J$11,$J$9,FALSE)&amp;AF$7,COM_N_2012!$B$58:$AJ$58,0),FALSE),"")</f>
        <v/>
      </c>
      <c r="AG19" s="391" t="str">
        <f ca="1">IF($A19="*","",IFERROR(VLOOKUP($C19,COM_N_2017!$B$61:$AJ$122,MATCH(VLOOKUP("*"&amp;$AW19,$A$10:$J$11,$J$9,FALSE)&amp;AG$7,COM_N_2017!$B$58:$AJ$58,0),FALSE),""))</f>
        <v/>
      </c>
      <c r="AH19" s="391" t="str">
        <f ca="1">IFERROR(VLOOKUP($C19,COM_N_2012!$B$61:$AJ$122,MATCH(VLOOKUP("*"&amp;$AW19,$A$10:$J$11,$J$9,FALSE)&amp;AH$7,COM_N_2012!$B$58:$AJ$58,0),FALSE),"")</f>
        <v/>
      </c>
      <c r="AI19" s="391" t="str">
        <f ca="1">IFERROR(VLOOKUP($C19,COM_N_2012!$B$61:$AJ$122,MATCH(VLOOKUP("*"&amp;$AW19,$A$10:$J$11,$J$9,FALSE)&amp;AI$7,COM_N_2012!$B$58:$AJ$58,0),FALSE),"")</f>
        <v/>
      </c>
      <c r="AJ19" s="391" t="str">
        <f ca="1">IFERROR(VLOOKUP($C19,COM_N_2012!$B$61:$AJ$122,MATCH(VLOOKUP("*"&amp;$AW19,$A$10:$J$11,$J$9,FALSE)&amp;AJ$7,COM_N_2012!$B$58:$AJ$58,0),FALSE),"")</f>
        <v/>
      </c>
      <c r="AK19" s="391" t="str">
        <f ca="1">IFERROR(VLOOKUP($C19,COM_N_2012!$B$61:$AJ$122,MATCH(VLOOKUP("*"&amp;$AW19,$A$10:$J$11,$J$9,FALSE)&amp;AK$7,COM_N_2012!$B$58:$AJ$58,0),FALSE),"")</f>
        <v/>
      </c>
      <c r="AL19" s="391" t="str">
        <f ca="1">IF($A19="*","",IFERROR(VLOOKUP($C19,COM_N_2017!$B$61:$AJ$122,MATCH(VLOOKUP("*"&amp;$AW19,$A$10:$J$11,$J$9,FALSE)&amp;AL$7,COM_N_2017!$B$58:$AJ$58,0),FALSE),""))</f>
        <v/>
      </c>
      <c r="AM19" s="391" t="str">
        <f ca="1">IF($A19="*","",IFERROR(VLOOKUP($C19,COM_N_2017!$B$61:$AJ$122,MATCH(VLOOKUP("*"&amp;$AW19,$A$10:$J$11,$J$9,FALSE)&amp;AM$7,COM_N_2017!$B$58:$AJ$58,0),FALSE),""))</f>
        <v/>
      </c>
      <c r="AN19" s="391" t="str">
        <f ca="1">IF($A19="*","",IFERROR(VLOOKUP($C19,COM_N_2017!$B$61:$AJ$122,MATCH(VLOOKUP("*"&amp;$AW19,$A$10:$J$11,$J$9,FALSE)&amp;AN$7,COM_N_2017!$B$58:$AJ$58,0),FALSE),""))</f>
        <v/>
      </c>
      <c r="AO19" s="391" t="str">
        <f ca="1">IFERROR(VLOOKUP($C19,COM_N_2012!$B$61:$AJ$122,MATCH(VLOOKUP("*"&amp;$AW19,$A$10:$J$11,$J$9,FALSE)&amp;AO$7,COM_N_2012!$B$58:$AJ$58,0),FALSE),"")</f>
        <v/>
      </c>
      <c r="AP19" s="391" t="str">
        <f ca="1">IFERROR(VLOOKUP($C19,COM_N_2012!$B$61:$AJ$122,MATCH(VLOOKUP("*"&amp;$AW19,$A$10:$J$11,$J$9,FALSE)&amp;AP$7,COM_N_2012!$B$58:$AJ$58,0),FALSE),"")</f>
        <v/>
      </c>
      <c r="AQ19" s="391" t="str">
        <f ca="1">IFERROR(VLOOKUP($C19,COM_N_2012!$B$61:$AJ$122,MATCH(VLOOKUP("*"&amp;$AW19,$A$10:$J$11,$J$9,FALSE)&amp;AQ$7,COM_N_2012!$B$58:$AJ$58,0),FALSE),"")</f>
        <v/>
      </c>
      <c r="AR19" s="391" t="str">
        <f ca="1">IFERROR(VLOOKUP($C19,COM_N_2012!$B$61:$AJ$122,MATCH(VLOOKUP("*"&amp;$AW19,$A$10:$J$11,$J$9,FALSE)&amp;AR$7,COM_N_2012!$B$58:$AJ$58,0),FALSE),"")</f>
        <v/>
      </c>
      <c r="AS19" s="391" t="str">
        <f ca="1">IFERROR(VLOOKUP($C19,COM_N_2012!$B$61:$AJ$122,MATCH(VLOOKUP("*"&amp;$AW19,$A$10:$J$11,$J$9,FALSE)&amp;AS$7,COM_N_2012!$B$58:$AJ$58,0),FALSE),"")</f>
        <v/>
      </c>
      <c r="AT19" s="391" t="str">
        <f ca="1">IFERROR(VLOOKUP($C19,COM_N_2012!$B$61:$AJ$122,MATCH(VLOOKUP("*"&amp;$AW19,$A$10:$J$11,$J$9,FALSE)&amp;AT$7,COM_N_2012!$B$58:$AJ$58,0),FALSE),"")</f>
        <v/>
      </c>
      <c r="AU19" s="391" t="str">
        <f ca="1">IFERROR(VLOOKUP($C19,COM_N_2012!$B$61:$AJ$122,MATCH(VLOOKUP("*"&amp;$AW19,$A$10:$J$11,$J$9,FALSE)&amp;AU$7,COM_N_2012!$B$58:$AJ$58,0),FALSE),"")</f>
        <v/>
      </c>
      <c r="AV19" s="391" t="str">
        <f ca="1">IFERROR(VLOOKUP($C19,COM_N_2012!$B$61:$AJ$122,MATCH(VLOOKUP("*"&amp;$AW19,$A$10:$J$11,$J$9,FALSE)&amp;AV$7,COM_N_2012!$B$58:$AJ$58,0),FALSE),"")</f>
        <v/>
      </c>
      <c r="AW19" s="304">
        <f>IF(AX18=COM_N_2012!$AK$121,AW18+1,AW18)</f>
        <v>1</v>
      </c>
      <c r="AX19" s="304">
        <f t="shared" si="7"/>
        <v>7</v>
      </c>
    </row>
    <row r="20" spans="1:50">
      <c r="A20" s="304" t="str">
        <f ca="1">IF(LEFT(OFFSET(COM_N_2012!$A$60,AX20,0),2)="\I","*","")</f>
        <v>*</v>
      </c>
      <c r="B20" s="369" t="str">
        <f t="shared" ca="1" si="3"/>
        <v/>
      </c>
      <c r="C20" s="369" t="str">
        <f ca="1">IF($A20="*","",OFFSET(COM_N_2012!$B$60,AX20,0))</f>
        <v/>
      </c>
      <c r="D20" s="369" t="str">
        <f t="shared" ca="1" si="4"/>
        <v/>
      </c>
      <c r="E20" s="369" t="str">
        <f t="shared" ca="1" si="5"/>
        <v/>
      </c>
      <c r="F20" s="370" t="str">
        <f t="shared" ca="1" si="6"/>
        <v/>
      </c>
      <c r="G20" s="370" t="str">
        <f t="shared" ca="1" si="6"/>
        <v/>
      </c>
      <c r="H20" s="370" t="str">
        <f t="shared" ca="1" si="6"/>
        <v/>
      </c>
      <c r="I20" s="370" t="str">
        <f t="shared" ca="1" si="6"/>
        <v/>
      </c>
      <c r="J20" s="391" t="str">
        <f ca="1">IFERROR(VLOOKUP($C20,COM_N_2012!$B$61:$AJ$122,MATCH(VLOOKUP("*"&amp;$AW20,$A$10:$J$11,$J$9,FALSE)&amp;J$7,COM_N_2012!$B$58:$AJ$58,0),FALSE),"")</f>
        <v/>
      </c>
      <c r="K20" s="391" t="str">
        <f ca="1">IFERROR(VLOOKUP($C20,COM_N_2012!$B$61:$AJ$122,MATCH(VLOOKUP("*"&amp;$AW20,$A$10:$J$11,$J$9,FALSE)&amp;K$7,COM_N_2012!$B$58:$AJ$58,0),FALSE),"")</f>
        <v/>
      </c>
      <c r="L20" s="391" t="str">
        <f ca="1">IFERROR(VLOOKUP($C20,COM_N_2012!$B$61:$AJ$122,MATCH(VLOOKUP("*"&amp;$AW20,$A$10:$J$11,$J$9,FALSE)&amp;L$7,COM_N_2012!$B$58:$AJ$58,0),FALSE),"")</f>
        <v/>
      </c>
      <c r="M20" s="391" t="str">
        <f ca="1">IFERROR(VLOOKUP($C20,COM_N_2012!$B$61:$AJ$122,MATCH(VLOOKUP("*"&amp;$AW20,$A$10:$J$11,$J$9,FALSE)&amp;M$7,COM_N_2012!$B$58:$AJ$58,0),FALSE),"")</f>
        <v/>
      </c>
      <c r="N20" s="391" t="str">
        <f ca="1">IFERROR(VLOOKUP($C20,COM_N_2012!$B$61:$AJ$122,MATCH(VLOOKUP("*"&amp;$AW20,$A$10:$J$11,$J$9,FALSE)&amp;N$7,COM_N_2012!$B$58:$AJ$58,0),FALSE),"")</f>
        <v/>
      </c>
      <c r="O20" s="391" t="str">
        <f ca="1">IF($A20="*","",IFERROR(VLOOKUP($C20,COM_N_2017!$B$61:$AJ$122,MATCH(VLOOKUP("*"&amp;$AW20,$A$10:$J$11,$J$9,FALSE)&amp;O$7,COM_N_2017!$B$58:$AJ$58,0),FALSE),""))</f>
        <v/>
      </c>
      <c r="P20" s="391" t="str">
        <f ca="1">IFERROR(VLOOKUP($C20,COM_N_2012!$B$61:$AJ$122,MATCH(VLOOKUP("*"&amp;$AW20,$A$10:$J$11,$J$9,FALSE)&amp;P$7,COM_N_2012!$B$58:$AJ$58,0),FALSE),"")</f>
        <v/>
      </c>
      <c r="Q20" s="391" t="str">
        <f ca="1">IFERROR(VLOOKUP($C20,COM_N_2012!$B$61:$AJ$122,MATCH(VLOOKUP("*"&amp;$AW20,$A$10:$J$11,$J$9,FALSE)&amp;Q$7,COM_N_2012!$B$58:$AJ$58,0),FALSE),"")</f>
        <v/>
      </c>
      <c r="R20" s="391" t="str">
        <f ca="1">IF($A20="*","",IFERROR(VLOOKUP($C20,COM_N_2017!$B$61:$AJ$122,MATCH(VLOOKUP("*"&amp;$AW20,$A$10:$J$11,$J$9,FALSE)&amp;R$7,COM_N_2017!$B$58:$AJ$58,0),FALSE),""))</f>
        <v/>
      </c>
      <c r="S20" s="391" t="str">
        <f ca="1">IFERROR(VLOOKUP($C20,COM_N_2012!$B$61:$AJ$122,MATCH(VLOOKUP("*"&amp;$AW20,$A$10:$J$11,$J$9,FALSE)&amp;S$7,COM_N_2012!$B$58:$AJ$58,0),FALSE),"")</f>
        <v/>
      </c>
      <c r="T20" s="391" t="str">
        <f ca="1">IFERROR(VLOOKUP($C20,COM_N_2012!$B$61:$AJ$122,MATCH(VLOOKUP("*"&amp;$AW20,$A$10:$J$11,$J$9,FALSE)&amp;T$7,COM_N_2012!$B$58:$AJ$58,0),FALSE),"")</f>
        <v/>
      </c>
      <c r="U20" s="391" t="str">
        <f ca="1">IFERROR(VLOOKUP($C20,COM_N_2012!$B$61:$AJ$122,MATCH(VLOOKUP("*"&amp;$AW20,$A$10:$J$11,$J$9,FALSE)&amp;U$7,COM_N_2012!$B$58:$AJ$58,0),FALSE),"")</f>
        <v/>
      </c>
      <c r="V20" s="391" t="str">
        <f ca="1">IFERROR(VLOOKUP($C20,COM_N_2012!$B$61:$AJ$122,MATCH(VLOOKUP("*"&amp;$AW20,$A$10:$J$11,$J$9,FALSE)&amp;V$7,COM_N_2012!$B$58:$AJ$58,0),FALSE),"")</f>
        <v/>
      </c>
      <c r="W20" s="391" t="str">
        <f ca="1">IF($A20="*","",IFERROR(VLOOKUP($C20,COM_N_2017!$B$61:$AJ$122,MATCH(VLOOKUP("*"&amp;$AW20,$A$10:$J$11,$J$9,FALSE)&amp;W$7,COM_N_2017!$B$58:$AJ$58,0),FALSE),""))</f>
        <v/>
      </c>
      <c r="X20" s="391" t="str">
        <f ca="1">IFERROR(VLOOKUP($C20,COM_N_2012!$B$61:$AJ$122,MATCH(VLOOKUP("*"&amp;$AW20,$A$10:$J$11,$J$9,FALSE)&amp;X$7,COM_N_2012!$B$58:$AJ$58,0),FALSE),"")</f>
        <v/>
      </c>
      <c r="Y20" s="391" t="str">
        <f ca="1">IFERROR(VLOOKUP($C20,COM_N_2012!$B$61:$AJ$122,MATCH(VLOOKUP("*"&amp;$AW20,$A$10:$J$11,$J$9,FALSE)&amp;Y$7,COM_N_2012!$B$58:$AJ$58,0),FALSE),"")</f>
        <v/>
      </c>
      <c r="Z20" s="391" t="str">
        <f ca="1">IFERROR(VLOOKUP($C20,COM_N_2012!$B$61:$AJ$122,MATCH(VLOOKUP("*"&amp;$AW20,$A$10:$J$11,$J$9,FALSE)&amp;Z$7,COM_N_2012!$B$58:$AJ$58,0),FALSE),"")</f>
        <v/>
      </c>
      <c r="AA20" s="391" t="str">
        <f ca="1">IFERROR(VLOOKUP($C20,COM_N_2012!$B$61:$AJ$122,MATCH(VLOOKUP("*"&amp;$AW20,$A$10:$J$11,$J$9,FALSE)&amp;AA$7,COM_N_2012!$B$58:$AJ$58,0),FALSE),"")</f>
        <v/>
      </c>
      <c r="AB20" s="391" t="str">
        <f ca="1">IF($A20="*","",IFERROR(VLOOKUP($C20,COM_N_2017!$B$61:$AJ$122,MATCH(VLOOKUP("*"&amp;$AW20,$A$10:$J$11,$J$9,FALSE)&amp;AB$7,COM_N_2017!$B$58:$AJ$58,0),FALSE),""))</f>
        <v/>
      </c>
      <c r="AC20" s="391" t="str">
        <f ca="1">IFERROR(VLOOKUP($C20,COM_N_2012!$B$61:$AJ$122,MATCH(VLOOKUP("*"&amp;$AW20,$A$10:$J$11,$J$9,FALSE)&amp;AC$7,COM_N_2012!$B$58:$AJ$58,0),FALSE),"")</f>
        <v/>
      </c>
      <c r="AD20" s="391" t="str">
        <f ca="1">IFERROR(VLOOKUP($C20,COM_N_2012!$B$61:$AJ$122,MATCH(VLOOKUP("*"&amp;$AW20,$A$10:$J$11,$J$9,FALSE)&amp;AD$7,COM_N_2012!$B$58:$AJ$58,0),FALSE),"")</f>
        <v/>
      </c>
      <c r="AE20" s="391" t="str">
        <f ca="1">IFERROR(VLOOKUP($C20,COM_N_2012!$B$61:$AJ$122,MATCH(VLOOKUP("*"&amp;$AW20,$A$10:$J$11,$J$9,FALSE)&amp;AE$7,COM_N_2012!$B$58:$AJ$58,0),FALSE),"")</f>
        <v/>
      </c>
      <c r="AF20" s="391" t="str">
        <f ca="1">IFERROR(VLOOKUP($C20,COM_N_2012!$B$61:$AJ$122,MATCH(VLOOKUP("*"&amp;$AW20,$A$10:$J$11,$J$9,FALSE)&amp;AF$7,COM_N_2012!$B$58:$AJ$58,0),FALSE),"")</f>
        <v/>
      </c>
      <c r="AG20" s="391" t="str">
        <f ca="1">IF($A20="*","",IFERROR(VLOOKUP($C20,COM_N_2017!$B$61:$AJ$122,MATCH(VLOOKUP("*"&amp;$AW20,$A$10:$J$11,$J$9,FALSE)&amp;AG$7,COM_N_2017!$B$58:$AJ$58,0),FALSE),""))</f>
        <v/>
      </c>
      <c r="AH20" s="391" t="str">
        <f ca="1">IFERROR(VLOOKUP($C20,COM_N_2012!$B$61:$AJ$122,MATCH(VLOOKUP("*"&amp;$AW20,$A$10:$J$11,$J$9,FALSE)&amp;AH$7,COM_N_2012!$B$58:$AJ$58,0),FALSE),"")</f>
        <v/>
      </c>
      <c r="AI20" s="391" t="str">
        <f ca="1">IFERROR(VLOOKUP($C20,COM_N_2012!$B$61:$AJ$122,MATCH(VLOOKUP("*"&amp;$AW20,$A$10:$J$11,$J$9,FALSE)&amp;AI$7,COM_N_2012!$B$58:$AJ$58,0),FALSE),"")</f>
        <v/>
      </c>
      <c r="AJ20" s="391" t="str">
        <f ca="1">IFERROR(VLOOKUP($C20,COM_N_2012!$B$61:$AJ$122,MATCH(VLOOKUP("*"&amp;$AW20,$A$10:$J$11,$J$9,FALSE)&amp;AJ$7,COM_N_2012!$B$58:$AJ$58,0),FALSE),"")</f>
        <v/>
      </c>
      <c r="AK20" s="391" t="str">
        <f ca="1">IFERROR(VLOOKUP($C20,COM_N_2012!$B$61:$AJ$122,MATCH(VLOOKUP("*"&amp;$AW20,$A$10:$J$11,$J$9,FALSE)&amp;AK$7,COM_N_2012!$B$58:$AJ$58,0),FALSE),"")</f>
        <v/>
      </c>
      <c r="AL20" s="391" t="str">
        <f ca="1">IF($A20="*","",IFERROR(VLOOKUP($C20,COM_N_2017!$B$61:$AJ$122,MATCH(VLOOKUP("*"&amp;$AW20,$A$10:$J$11,$J$9,FALSE)&amp;AL$7,COM_N_2017!$B$58:$AJ$58,0),FALSE),""))</f>
        <v/>
      </c>
      <c r="AM20" s="391" t="str">
        <f ca="1">IF($A20="*","",IFERROR(VLOOKUP($C20,COM_N_2017!$B$61:$AJ$122,MATCH(VLOOKUP("*"&amp;$AW20,$A$10:$J$11,$J$9,FALSE)&amp;AM$7,COM_N_2017!$B$58:$AJ$58,0),FALSE),""))</f>
        <v/>
      </c>
      <c r="AN20" s="391" t="str">
        <f ca="1">IF($A20="*","",IFERROR(VLOOKUP($C20,COM_N_2017!$B$61:$AJ$122,MATCH(VLOOKUP("*"&amp;$AW20,$A$10:$J$11,$J$9,FALSE)&amp;AN$7,COM_N_2017!$B$58:$AJ$58,0),FALSE),""))</f>
        <v/>
      </c>
      <c r="AO20" s="391" t="str">
        <f ca="1">IFERROR(VLOOKUP($C20,COM_N_2012!$B$61:$AJ$122,MATCH(VLOOKUP("*"&amp;$AW20,$A$10:$J$11,$J$9,FALSE)&amp;AO$7,COM_N_2012!$B$58:$AJ$58,0),FALSE),"")</f>
        <v/>
      </c>
      <c r="AP20" s="391" t="str">
        <f ca="1">IFERROR(VLOOKUP($C20,COM_N_2012!$B$61:$AJ$122,MATCH(VLOOKUP("*"&amp;$AW20,$A$10:$J$11,$J$9,FALSE)&amp;AP$7,COM_N_2012!$B$58:$AJ$58,0),FALSE),"")</f>
        <v/>
      </c>
      <c r="AQ20" s="391" t="str">
        <f ca="1">IFERROR(VLOOKUP($C20,COM_N_2012!$B$61:$AJ$122,MATCH(VLOOKUP("*"&amp;$AW20,$A$10:$J$11,$J$9,FALSE)&amp;AQ$7,COM_N_2012!$B$58:$AJ$58,0),FALSE),"")</f>
        <v/>
      </c>
      <c r="AR20" s="391" t="str">
        <f ca="1">IFERROR(VLOOKUP($C20,COM_N_2012!$B$61:$AJ$122,MATCH(VLOOKUP("*"&amp;$AW20,$A$10:$J$11,$J$9,FALSE)&amp;AR$7,COM_N_2012!$B$58:$AJ$58,0),FALSE),"")</f>
        <v/>
      </c>
      <c r="AS20" s="391" t="str">
        <f ca="1">IFERROR(VLOOKUP($C20,COM_N_2012!$B$61:$AJ$122,MATCH(VLOOKUP("*"&amp;$AW20,$A$10:$J$11,$J$9,FALSE)&amp;AS$7,COM_N_2012!$B$58:$AJ$58,0),FALSE),"")</f>
        <v/>
      </c>
      <c r="AT20" s="391" t="str">
        <f ca="1">IFERROR(VLOOKUP($C20,COM_N_2012!$B$61:$AJ$122,MATCH(VLOOKUP("*"&amp;$AW20,$A$10:$J$11,$J$9,FALSE)&amp;AT$7,COM_N_2012!$B$58:$AJ$58,0),FALSE),"")</f>
        <v/>
      </c>
      <c r="AU20" s="391" t="str">
        <f ca="1">IFERROR(VLOOKUP($C20,COM_N_2012!$B$61:$AJ$122,MATCH(VLOOKUP("*"&amp;$AW20,$A$10:$J$11,$J$9,FALSE)&amp;AU$7,COM_N_2012!$B$58:$AJ$58,0),FALSE),"")</f>
        <v/>
      </c>
      <c r="AV20" s="391" t="str">
        <f ca="1">IFERROR(VLOOKUP($C20,COM_N_2012!$B$61:$AJ$122,MATCH(VLOOKUP("*"&amp;$AW20,$A$10:$J$11,$J$9,FALSE)&amp;AV$7,COM_N_2012!$B$58:$AJ$58,0),FALSE),"")</f>
        <v/>
      </c>
      <c r="AW20" s="304">
        <f>IF(AX19=COM_N_2012!$AK$121,AW19+1,AW19)</f>
        <v>1</v>
      </c>
      <c r="AX20" s="304">
        <f t="shared" si="7"/>
        <v>8</v>
      </c>
    </row>
    <row r="21" spans="1:50">
      <c r="A21" s="304" t="str">
        <f ca="1">IF(LEFT(OFFSET(COM_N_2012!$A$60,AX21,0),2)="\I","*","")</f>
        <v/>
      </c>
      <c r="B21" s="369" t="str">
        <f t="shared" ca="1" si="3"/>
        <v>FLO_MRKPRD</v>
      </c>
      <c r="C21" s="369" t="str">
        <f ca="1">IF($A21="*","",OFFSET(COM_N_2012!$B$60,AX21,0))</f>
        <v>CNHCOA-E</v>
      </c>
      <c r="D21" s="369" t="str">
        <f t="shared" ca="1" si="4"/>
        <v>CNH</v>
      </c>
      <c r="E21" s="369" t="str">
        <f t="shared" ca="1" si="5"/>
        <v>-</v>
      </c>
      <c r="F21" s="370" t="str">
        <f t="shared" ca="1" si="6"/>
        <v>-</v>
      </c>
      <c r="G21" s="370" t="str">
        <f t="shared" ca="1" si="6"/>
        <v>ANNUAL</v>
      </c>
      <c r="H21" s="370" t="str">
        <f t="shared" ca="1" si="6"/>
        <v>UP</v>
      </c>
      <c r="I21" s="370">
        <f t="shared" ca="1" si="6"/>
        <v>0</v>
      </c>
      <c r="J21" s="391">
        <f ca="1">IFERROR(VLOOKUP($C21,COM_N_2012!$B$61:$AJ$122,MATCH(VLOOKUP("*"&amp;$AW21,$A$10:$J$11,$J$9,FALSE)&amp;J$7,COM_N_2012!$B$58:$AJ$58,0),FALSE),"")</f>
        <v>0.63615577566920256</v>
      </c>
      <c r="K21" s="391" t="str">
        <f ca="1">IFERROR(VLOOKUP($C21,COM_N_2012!$B$61:$AJ$122,MATCH(VLOOKUP("*"&amp;$AW21,$A$10:$J$11,$J$9,FALSE)&amp;K$7,COM_N_2012!$B$58:$AJ$58,0),FALSE),"")</f>
        <v/>
      </c>
      <c r="L21" s="391" t="str">
        <f ca="1">IFERROR(VLOOKUP($C21,COM_N_2012!$B$61:$AJ$122,MATCH(VLOOKUP("*"&amp;$AW21,$A$10:$J$11,$J$9,FALSE)&amp;L$7,COM_N_2012!$B$58:$AJ$58,0),FALSE),"")</f>
        <v/>
      </c>
      <c r="M21" s="391">
        <f ca="1">IFERROR(VLOOKUP($C21,COM_N_2012!$B$61:$AJ$122,MATCH(VLOOKUP("*"&amp;$AW21,$A$10:$J$11,$J$9,FALSE)&amp;M$7,COM_N_2012!$B$58:$AJ$58,0),FALSE),"")</f>
        <v>0.63615577566920256</v>
      </c>
      <c r="N21" s="391" t="str">
        <f ca="1">IFERROR(VLOOKUP($C21,COM_N_2012!$B$61:$AJ$122,MATCH(VLOOKUP("*"&amp;$AW21,$A$10:$J$11,$J$9,FALSE)&amp;N$7,COM_N_2012!$B$58:$AJ$58,0),FALSE),"")</f>
        <v/>
      </c>
      <c r="O21" s="391">
        <f ca="1">IF($A21="*","",IFERROR(VLOOKUP($C21,COM_N_2017!$B$61:$AJ$122,MATCH(VLOOKUP("*"&amp;$AW21,$A$10:$J$11,$J$9,FALSE)&amp;O$7,COM_N_2017!$B$58:$AJ$58,0),FALSE),""))</f>
        <v>0.76486979209673167</v>
      </c>
      <c r="P21" s="494" t="str">
        <f ca="1">IFERROR(VLOOKUP($C21,COM_N_2012!$B$61:$AJ$122,MATCH(VLOOKUP("*"&amp;$AW21,$A$10:$J$11,$J$9,FALSE)&amp;P$7,COM_N_2012!$B$58:$AJ$58,0),FALSE),"")</f>
        <v/>
      </c>
      <c r="Q21" s="391" t="str">
        <f ca="1">IFERROR(VLOOKUP($C21,COM_N_2012!$B$61:$AJ$122,MATCH(VLOOKUP("*"&amp;$AW21,$A$10:$J$11,$J$9,FALSE)&amp;Q$7,COM_N_2012!$B$58:$AJ$58,0),FALSE),"")</f>
        <v/>
      </c>
      <c r="R21" s="391">
        <f ca="1">IF($A21="*","",IFERROR(VLOOKUP($C21,COM_N_2017!$B$61:$AJ$122,MATCH(VLOOKUP("*"&amp;$AW21,$A$10:$J$11,$J$9,FALSE)&amp;R$7,COM_N_2017!$B$58:$AJ$58,0),FALSE),""))</f>
        <v>0.76486979209673167</v>
      </c>
      <c r="S21" s="391" t="str">
        <f ca="1">IFERROR(VLOOKUP($C21,COM_N_2012!$B$61:$AJ$122,MATCH(VLOOKUP("*"&amp;$AW21,$A$10:$J$11,$J$9,FALSE)&amp;S$7,COM_N_2012!$B$58:$AJ$58,0),FALSE),"")</f>
        <v/>
      </c>
      <c r="T21" s="391" t="str">
        <f ca="1">IFERROR(VLOOKUP($C21,COM_N_2012!$B$61:$AJ$122,MATCH(VLOOKUP("*"&amp;$AW21,$A$10:$J$11,$J$9,FALSE)&amp;T$7,COM_N_2012!$B$58:$AJ$58,0),FALSE),"")</f>
        <v/>
      </c>
      <c r="U21" s="391" t="str">
        <f ca="1">IFERROR(VLOOKUP($C21,COM_N_2012!$B$61:$AJ$122,MATCH(VLOOKUP("*"&amp;$AW21,$A$10:$J$11,$J$9,FALSE)&amp;U$7,COM_N_2012!$B$58:$AJ$58,0),FALSE),"")</f>
        <v/>
      </c>
      <c r="V21" s="391" t="str">
        <f ca="1">IFERROR(VLOOKUP($C21,COM_N_2012!$B$61:$AJ$122,MATCH(VLOOKUP("*"&amp;$AW21,$A$10:$J$11,$J$9,FALSE)&amp;V$7,COM_N_2012!$B$58:$AJ$58,0),FALSE),"")</f>
        <v/>
      </c>
      <c r="W21" s="391">
        <f ca="1">IF($A21="*","",IFERROR(VLOOKUP($C21,COM_N_2017!$B$61:$AJ$122,MATCH(VLOOKUP("*"&amp;$AW21,$A$10:$J$11,$J$9,FALSE)&amp;W$7,COM_N_2017!$B$58:$AJ$58,0),FALSE),""))</f>
        <v>0.76486979209673167</v>
      </c>
      <c r="X21" s="391" t="str">
        <f ca="1">IFERROR(VLOOKUP($C21,COM_N_2012!$B$61:$AJ$122,MATCH(VLOOKUP("*"&amp;$AW21,$A$10:$J$11,$J$9,FALSE)&amp;X$7,COM_N_2012!$B$58:$AJ$58,0),FALSE),"")</f>
        <v/>
      </c>
      <c r="Y21" s="391" t="str">
        <f ca="1">IFERROR(VLOOKUP($C21,COM_N_2012!$B$61:$AJ$122,MATCH(VLOOKUP("*"&amp;$AW21,$A$10:$J$11,$J$9,FALSE)&amp;Y$7,COM_N_2012!$B$58:$AJ$58,0),FALSE),"")</f>
        <v/>
      </c>
      <c r="Z21" s="391" t="str">
        <f ca="1">IFERROR(VLOOKUP($C21,COM_N_2012!$B$61:$AJ$122,MATCH(VLOOKUP("*"&amp;$AW21,$A$10:$J$11,$J$9,FALSE)&amp;Z$7,COM_N_2012!$B$58:$AJ$58,0),FALSE),"")</f>
        <v/>
      </c>
      <c r="AA21" s="391" t="str">
        <f ca="1">IFERROR(VLOOKUP($C21,COM_N_2012!$B$61:$AJ$122,MATCH(VLOOKUP("*"&amp;$AW21,$A$10:$J$11,$J$9,FALSE)&amp;AA$7,COM_N_2012!$B$58:$AJ$58,0),FALSE),"")</f>
        <v/>
      </c>
      <c r="AB21" s="391">
        <f ca="1">IF($A21="*","",IFERROR(VLOOKUP($C21,COM_N_2017!$B$61:$AJ$122,MATCH(VLOOKUP("*"&amp;$AW21,$A$10:$J$11,$J$9,FALSE)&amp;AB$7,COM_N_2017!$B$58:$AJ$58,0),FALSE),""))</f>
        <v>0.76486979209673167</v>
      </c>
      <c r="AC21" s="391" t="str">
        <f ca="1">IFERROR(VLOOKUP($C21,COM_N_2012!$B$61:$AJ$122,MATCH(VLOOKUP("*"&amp;$AW21,$A$10:$J$11,$J$9,FALSE)&amp;AC$7,COM_N_2012!$B$58:$AJ$58,0),FALSE),"")</f>
        <v/>
      </c>
      <c r="AD21" s="391" t="str">
        <f ca="1">IFERROR(VLOOKUP($C21,COM_N_2012!$B$61:$AJ$122,MATCH(VLOOKUP("*"&amp;$AW21,$A$10:$J$11,$J$9,FALSE)&amp;AD$7,COM_N_2012!$B$58:$AJ$58,0),FALSE),"")</f>
        <v/>
      </c>
      <c r="AE21" s="391" t="str">
        <f ca="1">IFERROR(VLOOKUP($C21,COM_N_2012!$B$61:$AJ$122,MATCH(VLOOKUP("*"&amp;$AW21,$A$10:$J$11,$J$9,FALSE)&amp;AE$7,COM_N_2012!$B$58:$AJ$58,0),FALSE),"")</f>
        <v/>
      </c>
      <c r="AF21" s="391" t="str">
        <f ca="1">IFERROR(VLOOKUP($C21,COM_N_2012!$B$61:$AJ$122,MATCH(VLOOKUP("*"&amp;$AW21,$A$10:$J$11,$J$9,FALSE)&amp;AF$7,COM_N_2012!$B$58:$AJ$58,0),FALSE),"")</f>
        <v/>
      </c>
      <c r="AG21" s="391">
        <f ca="1">IF($A21="*","",IFERROR(VLOOKUP($C21,COM_N_2017!$B$61:$AJ$122,MATCH(VLOOKUP("*"&amp;$AW21,$A$10:$J$11,$J$9,FALSE)&amp;AG$7,COM_N_2017!$B$58:$AJ$58,0),FALSE),""))</f>
        <v>0.76486979209673167</v>
      </c>
      <c r="AH21" s="391" t="str">
        <f ca="1">IFERROR(VLOOKUP($C21,COM_N_2012!$B$61:$AJ$122,MATCH(VLOOKUP("*"&amp;$AW21,$A$10:$J$11,$J$9,FALSE)&amp;AH$7,COM_N_2012!$B$58:$AJ$58,0),FALSE),"")</f>
        <v/>
      </c>
      <c r="AI21" s="391" t="str">
        <f ca="1">IFERROR(VLOOKUP($C21,COM_N_2012!$B$61:$AJ$122,MATCH(VLOOKUP("*"&amp;$AW21,$A$10:$J$11,$J$9,FALSE)&amp;AI$7,COM_N_2012!$B$58:$AJ$58,0),FALSE),"")</f>
        <v/>
      </c>
      <c r="AJ21" s="391" t="str">
        <f ca="1">IFERROR(VLOOKUP($C21,COM_N_2012!$B$61:$AJ$122,MATCH(VLOOKUP("*"&amp;$AW21,$A$10:$J$11,$J$9,FALSE)&amp;AJ$7,COM_N_2012!$B$58:$AJ$58,0),FALSE),"")</f>
        <v/>
      </c>
      <c r="AK21" s="391" t="str">
        <f ca="1">IFERROR(VLOOKUP($C21,COM_N_2012!$B$61:$AJ$122,MATCH(VLOOKUP("*"&amp;$AW21,$A$10:$J$11,$J$9,FALSE)&amp;AK$7,COM_N_2012!$B$58:$AJ$58,0),FALSE),"")</f>
        <v/>
      </c>
      <c r="AL21" s="391">
        <f ca="1">IF($A21="*","",IFERROR(VLOOKUP($C21,COM_N_2017!$B$61:$AJ$122,MATCH(VLOOKUP("*"&amp;$AW21,$A$10:$J$11,$J$9,FALSE)&amp;AL$7,COM_N_2017!$B$58:$AJ$58,0),FALSE),""))</f>
        <v>0.76486979209673167</v>
      </c>
      <c r="AM21" s="391">
        <f ca="1">IF($A21="*","",IFERROR(VLOOKUP($C21,COM_N_2017!$B$61:$AJ$122,MATCH(VLOOKUP("*"&amp;$AW21,$A$10:$J$11,$J$9,FALSE)&amp;AM$7,COM_N_2017!$B$58:$AJ$58,0),FALSE),""))</f>
        <v>0.76486979209673167</v>
      </c>
      <c r="AN21" s="391">
        <f ca="1">IF($A21="*","",IFERROR(VLOOKUP($C21,COM_N_2017!$B$61:$AJ$122,MATCH(VLOOKUP("*"&amp;$AW21,$A$10:$J$11,$J$9,FALSE)&amp;AN$7,COM_N_2017!$B$58:$AJ$58,0),FALSE),""))</f>
        <v>0.76486979209673167</v>
      </c>
      <c r="AO21" s="391" t="str">
        <f ca="1">IFERROR(VLOOKUP($C21,COM_N_2012!$B$61:$AJ$122,MATCH(VLOOKUP("*"&amp;$AW21,$A$10:$J$11,$J$9,FALSE)&amp;AO$7,COM_N_2012!$B$58:$AJ$58,0),FALSE),"")</f>
        <v/>
      </c>
      <c r="AP21" s="391" t="str">
        <f ca="1">IFERROR(VLOOKUP($C21,COM_N_2012!$B$61:$AJ$122,MATCH(VLOOKUP("*"&amp;$AW21,$A$10:$J$11,$J$9,FALSE)&amp;AP$7,COM_N_2012!$B$58:$AJ$58,0),FALSE),"")</f>
        <v/>
      </c>
      <c r="AQ21" s="391" t="str">
        <f ca="1">IFERROR(VLOOKUP($C21,COM_N_2012!$B$61:$AJ$122,MATCH(VLOOKUP("*"&amp;$AW21,$A$10:$J$11,$J$9,FALSE)&amp;AQ$7,COM_N_2012!$B$58:$AJ$58,0),FALSE),"")</f>
        <v/>
      </c>
      <c r="AR21" s="391" t="str">
        <f ca="1">IFERROR(VLOOKUP($C21,COM_N_2012!$B$61:$AJ$122,MATCH(VLOOKUP("*"&amp;$AW21,$A$10:$J$11,$J$9,FALSE)&amp;AR$7,COM_N_2012!$B$58:$AJ$58,0),FALSE),"")</f>
        <v/>
      </c>
      <c r="AS21" s="391" t="str">
        <f ca="1">IFERROR(VLOOKUP($C21,COM_N_2012!$B$61:$AJ$122,MATCH(VLOOKUP("*"&amp;$AW21,$A$10:$J$11,$J$9,FALSE)&amp;AS$7,COM_N_2012!$B$58:$AJ$58,0),FALSE),"")</f>
        <v/>
      </c>
      <c r="AT21" s="391" t="str">
        <f ca="1">IFERROR(VLOOKUP($C21,COM_N_2012!$B$61:$AJ$122,MATCH(VLOOKUP("*"&amp;$AW21,$A$10:$J$11,$J$9,FALSE)&amp;AT$7,COM_N_2012!$B$58:$AJ$58,0),FALSE),"")</f>
        <v/>
      </c>
      <c r="AU21" s="391" t="str">
        <f ca="1">IFERROR(VLOOKUP($C21,COM_N_2012!$B$61:$AJ$122,MATCH(VLOOKUP("*"&amp;$AW21,$A$10:$J$11,$J$9,FALSE)&amp;AU$7,COM_N_2012!$B$58:$AJ$58,0),FALSE),"")</f>
        <v/>
      </c>
      <c r="AV21" s="391" t="str">
        <f ca="1">IFERROR(VLOOKUP($C21,COM_N_2012!$B$61:$AJ$122,MATCH(VLOOKUP("*"&amp;$AW21,$A$10:$J$11,$J$9,FALSE)&amp;AV$7,COM_N_2012!$B$58:$AJ$58,0),FALSE),"")</f>
        <v/>
      </c>
      <c r="AW21" s="304">
        <f>IF(AX20=COM_N_2012!$AK$121,AW20+1,AW20)</f>
        <v>1</v>
      </c>
      <c r="AX21" s="304">
        <f t="shared" si="7"/>
        <v>9</v>
      </c>
    </row>
    <row r="22" spans="1:50">
      <c r="A22" s="304" t="str">
        <f ca="1">IF(LEFT(OFFSET(COM_N_2012!$A$60,AX22,0),2)="\I","*","")</f>
        <v/>
      </c>
      <c r="B22" s="369" t="str">
        <f t="shared" ca="1" si="3"/>
        <v>FLO_MRKPRD</v>
      </c>
      <c r="C22" s="369" t="str">
        <f ca="1">IF($A22="*","",OFFSET(COM_N_2012!$B$60,AX22,0))</f>
        <v>CNHELC-E</v>
      </c>
      <c r="D22" s="369" t="str">
        <f t="shared" ca="1" si="4"/>
        <v>CNH</v>
      </c>
      <c r="E22" s="369" t="str">
        <f t="shared" ca="1" si="5"/>
        <v>-</v>
      </c>
      <c r="F22" s="370" t="str">
        <f t="shared" ca="1" si="6"/>
        <v>-</v>
      </c>
      <c r="G22" s="370" t="str">
        <f t="shared" ca="1" si="6"/>
        <v>ANNUAL</v>
      </c>
      <c r="H22" s="370" t="str">
        <f t="shared" ca="1" si="6"/>
        <v>UP</v>
      </c>
      <c r="I22" s="370">
        <f t="shared" ca="1" si="6"/>
        <v>0</v>
      </c>
      <c r="J22" s="391">
        <f ca="1">IFERROR(VLOOKUP($C22,COM_N_2012!$B$61:$AJ$122,MATCH(VLOOKUP("*"&amp;$AW22,$A$10:$J$11,$J$9,FALSE)&amp;J$7,COM_N_2012!$B$58:$AJ$58,0),FALSE),"")</f>
        <v>0.38293886686584999</v>
      </c>
      <c r="K22" s="391" t="str">
        <f ca="1">IFERROR(VLOOKUP($C22,COM_N_2012!$B$61:$AJ$122,MATCH(VLOOKUP("*"&amp;$AW22,$A$10:$J$11,$J$9,FALSE)&amp;K$7,COM_N_2012!$B$58:$AJ$58,0),FALSE),"")</f>
        <v/>
      </c>
      <c r="L22" s="391" t="str">
        <f ca="1">IFERROR(VLOOKUP($C22,COM_N_2012!$B$61:$AJ$122,MATCH(VLOOKUP("*"&amp;$AW22,$A$10:$J$11,$J$9,FALSE)&amp;L$7,COM_N_2012!$B$58:$AJ$58,0),FALSE),"")</f>
        <v/>
      </c>
      <c r="M22" s="391">
        <f ca="1">IFERROR(VLOOKUP($C22,COM_N_2012!$B$61:$AJ$122,MATCH(VLOOKUP("*"&amp;$AW22,$A$10:$J$11,$J$9,FALSE)&amp;M$7,COM_N_2012!$B$58:$AJ$58,0),FALSE),"")</f>
        <v>0.38293886686584999</v>
      </c>
      <c r="N22" s="391" t="str">
        <f ca="1">IFERROR(VLOOKUP($C22,COM_N_2012!$B$61:$AJ$122,MATCH(VLOOKUP("*"&amp;$AW22,$A$10:$J$11,$J$9,FALSE)&amp;N$7,COM_N_2012!$B$58:$AJ$58,0),FALSE),"")</f>
        <v/>
      </c>
      <c r="O22" s="391">
        <f ca="1">IF($A22="*","",IFERROR(VLOOKUP($C22,COM_N_2017!$B$61:$AJ$122,MATCH(VLOOKUP("*"&amp;$AW22,$A$10:$J$11,$J$9,FALSE)&amp;O$7,COM_N_2017!$B$58:$AJ$58,0),FALSE),""))</f>
        <v>0.22353038951450355</v>
      </c>
      <c r="P22" s="494" t="str">
        <f ca="1">IFERROR(VLOOKUP($C22,COM_N_2012!$B$61:$AJ$122,MATCH(VLOOKUP("*"&amp;$AW22,$A$10:$J$11,$J$9,FALSE)&amp;P$7,COM_N_2012!$B$58:$AJ$58,0),FALSE),"")</f>
        <v/>
      </c>
      <c r="Q22" s="391" t="str">
        <f ca="1">IFERROR(VLOOKUP($C22,COM_N_2012!$B$61:$AJ$122,MATCH(VLOOKUP("*"&amp;$AW22,$A$10:$J$11,$J$9,FALSE)&amp;Q$7,COM_N_2012!$B$58:$AJ$58,0),FALSE),"")</f>
        <v/>
      </c>
      <c r="R22" s="391">
        <f ca="1">IF($A22="*","",IFERROR(VLOOKUP($C22,COM_N_2017!$B$61:$AJ$122,MATCH(VLOOKUP("*"&amp;$AW22,$A$10:$J$11,$J$9,FALSE)&amp;R$7,COM_N_2017!$B$58:$AJ$58,0),FALSE),""))</f>
        <v>0.25353038951450357</v>
      </c>
      <c r="S22" s="391" t="str">
        <f ca="1">IFERROR(VLOOKUP($C22,COM_N_2012!$B$61:$AJ$122,MATCH(VLOOKUP("*"&amp;$AW22,$A$10:$J$11,$J$9,FALSE)&amp;S$7,COM_N_2012!$B$58:$AJ$58,0),FALSE),"")</f>
        <v/>
      </c>
      <c r="T22" s="391" t="str">
        <f ca="1">IFERROR(VLOOKUP($C22,COM_N_2012!$B$61:$AJ$122,MATCH(VLOOKUP("*"&amp;$AW22,$A$10:$J$11,$J$9,FALSE)&amp;T$7,COM_N_2012!$B$58:$AJ$58,0),FALSE),"")</f>
        <v/>
      </c>
      <c r="U22" s="391" t="str">
        <f ca="1">IFERROR(VLOOKUP($C22,COM_N_2012!$B$61:$AJ$122,MATCH(VLOOKUP("*"&amp;$AW22,$A$10:$J$11,$J$9,FALSE)&amp;U$7,COM_N_2012!$B$58:$AJ$58,0),FALSE),"")</f>
        <v/>
      </c>
      <c r="V22" s="391" t="str">
        <f ca="1">IFERROR(VLOOKUP($C22,COM_N_2012!$B$61:$AJ$122,MATCH(VLOOKUP("*"&amp;$AW22,$A$10:$J$11,$J$9,FALSE)&amp;V$7,COM_N_2012!$B$58:$AJ$58,0),FALSE),"")</f>
        <v/>
      </c>
      <c r="W22" s="391">
        <f ca="1">IF($A22="*","",IFERROR(VLOOKUP($C22,COM_N_2017!$B$61:$AJ$122,MATCH(VLOOKUP("*"&amp;$AW22,$A$10:$J$11,$J$9,FALSE)&amp;W$7,COM_N_2017!$B$58:$AJ$58,0),FALSE),""))</f>
        <v>0.32353038951450352</v>
      </c>
      <c r="X22" s="391" t="str">
        <f ca="1">IFERROR(VLOOKUP($C22,COM_N_2012!$B$61:$AJ$122,MATCH(VLOOKUP("*"&amp;$AW22,$A$10:$J$11,$J$9,FALSE)&amp;X$7,COM_N_2012!$B$58:$AJ$58,0),FALSE),"")</f>
        <v/>
      </c>
      <c r="Y22" s="391" t="str">
        <f ca="1">IFERROR(VLOOKUP($C22,COM_N_2012!$B$61:$AJ$122,MATCH(VLOOKUP("*"&amp;$AW22,$A$10:$J$11,$J$9,FALSE)&amp;Y$7,COM_N_2012!$B$58:$AJ$58,0),FALSE),"")</f>
        <v/>
      </c>
      <c r="Z22" s="391" t="str">
        <f ca="1">IFERROR(VLOOKUP($C22,COM_N_2012!$B$61:$AJ$122,MATCH(VLOOKUP("*"&amp;$AW22,$A$10:$J$11,$J$9,FALSE)&amp;Z$7,COM_N_2012!$B$58:$AJ$58,0),FALSE),"")</f>
        <v/>
      </c>
      <c r="AA22" s="391" t="str">
        <f ca="1">IFERROR(VLOOKUP($C22,COM_N_2012!$B$61:$AJ$122,MATCH(VLOOKUP("*"&amp;$AW22,$A$10:$J$11,$J$9,FALSE)&amp;AA$7,COM_N_2012!$B$58:$AJ$58,0),FALSE),"")</f>
        <v/>
      </c>
      <c r="AB22" s="391">
        <f ca="1">IF($A22="*","",IFERROR(VLOOKUP($C22,COM_N_2017!$B$61:$AJ$122,MATCH(VLOOKUP("*"&amp;$AW22,$A$10:$J$11,$J$9,FALSE)&amp;AB$7,COM_N_2017!$B$58:$AJ$58,0),FALSE),""))</f>
        <v>0.52353038951450359</v>
      </c>
      <c r="AC22" s="391" t="str">
        <f ca="1">IFERROR(VLOOKUP($C22,COM_N_2012!$B$61:$AJ$122,MATCH(VLOOKUP("*"&amp;$AW22,$A$10:$J$11,$J$9,FALSE)&amp;AC$7,COM_N_2012!$B$58:$AJ$58,0),FALSE),"")</f>
        <v/>
      </c>
      <c r="AD22" s="391" t="str">
        <f ca="1">IFERROR(VLOOKUP($C22,COM_N_2012!$B$61:$AJ$122,MATCH(VLOOKUP("*"&amp;$AW22,$A$10:$J$11,$J$9,FALSE)&amp;AD$7,COM_N_2012!$B$58:$AJ$58,0),FALSE),"")</f>
        <v/>
      </c>
      <c r="AE22" s="391" t="str">
        <f ca="1">IFERROR(VLOOKUP($C22,COM_N_2012!$B$61:$AJ$122,MATCH(VLOOKUP("*"&amp;$AW22,$A$10:$J$11,$J$9,FALSE)&amp;AE$7,COM_N_2012!$B$58:$AJ$58,0),FALSE),"")</f>
        <v/>
      </c>
      <c r="AF22" s="391" t="str">
        <f ca="1">IFERROR(VLOOKUP($C22,COM_N_2012!$B$61:$AJ$122,MATCH(VLOOKUP("*"&amp;$AW22,$A$10:$J$11,$J$9,FALSE)&amp;AF$7,COM_N_2012!$B$58:$AJ$58,0),FALSE),"")</f>
        <v/>
      </c>
      <c r="AG22" s="391">
        <f ca="1">IF($A22="*","",IFERROR(VLOOKUP($C22,COM_N_2017!$B$61:$AJ$122,MATCH(VLOOKUP("*"&amp;$AW22,$A$10:$J$11,$J$9,FALSE)&amp;AG$7,COM_N_2017!$B$58:$AJ$58,0),FALSE),""))</f>
        <v>0.72353038951450355</v>
      </c>
      <c r="AH22" s="391" t="str">
        <f ca="1">IFERROR(VLOOKUP($C22,COM_N_2012!$B$61:$AJ$122,MATCH(VLOOKUP("*"&amp;$AW22,$A$10:$J$11,$J$9,FALSE)&amp;AH$7,COM_N_2012!$B$58:$AJ$58,0),FALSE),"")</f>
        <v/>
      </c>
      <c r="AI22" s="391" t="str">
        <f ca="1">IFERROR(VLOOKUP($C22,COM_N_2012!$B$61:$AJ$122,MATCH(VLOOKUP("*"&amp;$AW22,$A$10:$J$11,$J$9,FALSE)&amp;AI$7,COM_N_2012!$B$58:$AJ$58,0),FALSE),"")</f>
        <v/>
      </c>
      <c r="AJ22" s="391" t="str">
        <f ca="1">IFERROR(VLOOKUP($C22,COM_N_2012!$B$61:$AJ$122,MATCH(VLOOKUP("*"&amp;$AW22,$A$10:$J$11,$J$9,FALSE)&amp;AJ$7,COM_N_2012!$B$58:$AJ$58,0),FALSE),"")</f>
        <v/>
      </c>
      <c r="AK22" s="391" t="str">
        <f ca="1">IFERROR(VLOOKUP($C22,COM_N_2012!$B$61:$AJ$122,MATCH(VLOOKUP("*"&amp;$AW22,$A$10:$J$11,$J$9,FALSE)&amp;AK$7,COM_N_2012!$B$58:$AJ$58,0),FALSE),"")</f>
        <v/>
      </c>
      <c r="AL22" s="391">
        <f ca="1">IF($A22="*","",IFERROR(VLOOKUP($C22,COM_N_2017!$B$61:$AJ$122,MATCH(VLOOKUP("*"&amp;$AW22,$A$10:$J$11,$J$9,FALSE)&amp;AL$7,COM_N_2017!$B$58:$AJ$58,0),FALSE),""))</f>
        <v>0.9235303895145035</v>
      </c>
      <c r="AM22" s="391">
        <f ca="1">IF($A22="*","",IFERROR(VLOOKUP($C22,COM_N_2017!$B$61:$AJ$122,MATCH(VLOOKUP("*"&amp;$AW22,$A$10:$J$11,$J$9,FALSE)&amp;AM$7,COM_N_2017!$B$58:$AJ$58,0),FALSE),""))</f>
        <v>1</v>
      </c>
      <c r="AN22" s="391">
        <f ca="1">IF($A22="*","",IFERROR(VLOOKUP($C22,COM_N_2017!$B$61:$AJ$122,MATCH(VLOOKUP("*"&amp;$AW22,$A$10:$J$11,$J$9,FALSE)&amp;AN$7,COM_N_2017!$B$58:$AJ$58,0),FALSE),""))</f>
        <v>1</v>
      </c>
      <c r="AO22" s="391" t="str">
        <f ca="1">IFERROR(VLOOKUP($C22,COM_N_2012!$B$61:$AJ$122,MATCH(VLOOKUP("*"&amp;$AW22,$A$10:$J$11,$J$9,FALSE)&amp;AO$7,COM_N_2012!$B$58:$AJ$58,0),FALSE),"")</f>
        <v/>
      </c>
      <c r="AP22" s="391" t="str">
        <f ca="1">IFERROR(VLOOKUP($C22,COM_N_2012!$B$61:$AJ$122,MATCH(VLOOKUP("*"&amp;$AW22,$A$10:$J$11,$J$9,FALSE)&amp;AP$7,COM_N_2012!$B$58:$AJ$58,0),FALSE),"")</f>
        <v/>
      </c>
      <c r="AQ22" s="391" t="str">
        <f ca="1">IFERROR(VLOOKUP($C22,COM_N_2012!$B$61:$AJ$122,MATCH(VLOOKUP("*"&amp;$AW22,$A$10:$J$11,$J$9,FALSE)&amp;AQ$7,COM_N_2012!$B$58:$AJ$58,0),FALSE),"")</f>
        <v/>
      </c>
      <c r="AR22" s="391" t="str">
        <f ca="1">IFERROR(VLOOKUP($C22,COM_N_2012!$B$61:$AJ$122,MATCH(VLOOKUP("*"&amp;$AW22,$A$10:$J$11,$J$9,FALSE)&amp;AR$7,COM_N_2012!$B$58:$AJ$58,0),FALSE),"")</f>
        <v/>
      </c>
      <c r="AS22" s="391" t="str">
        <f ca="1">IFERROR(VLOOKUP($C22,COM_N_2012!$B$61:$AJ$122,MATCH(VLOOKUP("*"&amp;$AW22,$A$10:$J$11,$J$9,FALSE)&amp;AS$7,COM_N_2012!$B$58:$AJ$58,0),FALSE),"")</f>
        <v/>
      </c>
      <c r="AT22" s="391" t="str">
        <f ca="1">IFERROR(VLOOKUP($C22,COM_N_2012!$B$61:$AJ$122,MATCH(VLOOKUP("*"&amp;$AW22,$A$10:$J$11,$J$9,FALSE)&amp;AT$7,COM_N_2012!$B$58:$AJ$58,0),FALSE),"")</f>
        <v/>
      </c>
      <c r="AU22" s="391" t="str">
        <f ca="1">IFERROR(VLOOKUP($C22,COM_N_2012!$B$61:$AJ$122,MATCH(VLOOKUP("*"&amp;$AW22,$A$10:$J$11,$J$9,FALSE)&amp;AU$7,COM_N_2012!$B$58:$AJ$58,0),FALSE),"")</f>
        <v/>
      </c>
      <c r="AV22" s="391" t="str">
        <f ca="1">IFERROR(VLOOKUP($C22,COM_N_2012!$B$61:$AJ$122,MATCH(VLOOKUP("*"&amp;$AW22,$A$10:$J$11,$J$9,FALSE)&amp;AV$7,COM_N_2012!$B$58:$AJ$58,0),FALSE),"")</f>
        <v/>
      </c>
      <c r="AW22" s="304">
        <f>IF(AX21=COM_N_2012!$AK$121,AW21+1,AW21)</f>
        <v>1</v>
      </c>
      <c r="AX22" s="304">
        <f t="shared" si="7"/>
        <v>10</v>
      </c>
    </row>
    <row r="23" spans="1:50">
      <c r="A23" s="304" t="str">
        <f ca="1">IF(LEFT(OFFSET(COM_N_2012!$A$60,AX23,0),2)="\I","*","")</f>
        <v/>
      </c>
      <c r="B23" s="369" t="str">
        <f t="shared" ca="1" si="3"/>
        <v>FLO_MRKPRD</v>
      </c>
      <c r="C23" s="369" t="str">
        <f ca="1">IF($A23="*","",OFFSET(COM_N_2012!$B$60,AX23,0))</f>
        <v>CNHGAS-E</v>
      </c>
      <c r="D23" s="369" t="str">
        <f t="shared" ca="1" si="4"/>
        <v>CNH</v>
      </c>
      <c r="E23" s="369" t="str">
        <f t="shared" ca="1" si="5"/>
        <v>-</v>
      </c>
      <c r="F23" s="370" t="str">
        <f t="shared" ca="1" si="6"/>
        <v>-</v>
      </c>
      <c r="G23" s="370" t="str">
        <f t="shared" ca="1" si="6"/>
        <v>ANNUAL</v>
      </c>
      <c r="H23" s="370" t="str">
        <f t="shared" ca="1" si="6"/>
        <v>UP</v>
      </c>
      <c r="I23" s="370">
        <f t="shared" ca="1" si="6"/>
        <v>0</v>
      </c>
      <c r="J23" s="391">
        <f ca="1">IFERROR(VLOOKUP($C23,COM_N_2012!$B$61:$AJ$122,MATCH(VLOOKUP("*"&amp;$AW23,$A$10:$J$11,$J$9,FALSE)&amp;J$7,COM_N_2012!$B$58:$AJ$58,0),FALSE),"")</f>
        <v>9.0535746494739208E-4</v>
      </c>
      <c r="K23" s="391" t="str">
        <f ca="1">IFERROR(VLOOKUP($C23,COM_N_2012!$B$61:$AJ$122,MATCH(VLOOKUP("*"&amp;$AW23,$A$10:$J$11,$J$9,FALSE)&amp;K$7,COM_N_2012!$B$58:$AJ$58,0),FALSE),"")</f>
        <v/>
      </c>
      <c r="L23" s="391" t="str">
        <f ca="1">IFERROR(VLOOKUP($C23,COM_N_2012!$B$61:$AJ$122,MATCH(VLOOKUP("*"&amp;$AW23,$A$10:$J$11,$J$9,FALSE)&amp;L$7,COM_N_2012!$B$58:$AJ$58,0),FALSE),"")</f>
        <v/>
      </c>
      <c r="M23" s="391">
        <f ca="1">IFERROR(VLOOKUP($C23,COM_N_2012!$B$61:$AJ$122,MATCH(VLOOKUP("*"&amp;$AW23,$A$10:$J$11,$J$9,FALSE)&amp;M$7,COM_N_2012!$B$58:$AJ$58,0),FALSE),"")</f>
        <v>9.0535746494739208E-4</v>
      </c>
      <c r="N23" s="391" t="str">
        <f ca="1">IFERROR(VLOOKUP($C23,COM_N_2012!$B$61:$AJ$122,MATCH(VLOOKUP("*"&amp;$AW23,$A$10:$J$11,$J$9,FALSE)&amp;N$7,COM_N_2012!$B$58:$AJ$58,0),FALSE),"")</f>
        <v/>
      </c>
      <c r="O23" s="391">
        <f ca="1">IF($A23="*","",IFERROR(VLOOKUP($C23,COM_N_2017!$B$61:$AJ$122,MATCH(VLOOKUP("*"&amp;$AW23,$A$10:$J$11,$J$9,FALSE)&amp;O$7,COM_N_2017!$B$58:$AJ$58,0),FALSE),""))</f>
        <v>2.1599818388764753E-2</v>
      </c>
      <c r="P23" s="494" t="str">
        <f ca="1">IFERROR(VLOOKUP($C23,COM_N_2012!$B$61:$AJ$122,MATCH(VLOOKUP("*"&amp;$AW23,$A$10:$J$11,$J$9,FALSE)&amp;P$7,COM_N_2012!$B$58:$AJ$58,0),FALSE),"")</f>
        <v/>
      </c>
      <c r="Q23" s="391" t="str">
        <f ca="1">IFERROR(VLOOKUP($C23,COM_N_2012!$B$61:$AJ$122,MATCH(VLOOKUP("*"&amp;$AW23,$A$10:$J$11,$J$9,FALSE)&amp;Q$7,COM_N_2012!$B$58:$AJ$58,0),FALSE),"")</f>
        <v/>
      </c>
      <c r="R23" s="391">
        <f ca="1">IF($A23="*","",IFERROR(VLOOKUP($C23,COM_N_2017!$B$61:$AJ$122,MATCH(VLOOKUP("*"&amp;$AW23,$A$10:$J$11,$J$9,FALSE)&amp;R$7,COM_N_2017!$B$58:$AJ$58,0),FALSE),""))</f>
        <v>5.1599818388764748E-2</v>
      </c>
      <c r="S23" s="391" t="str">
        <f ca="1">IFERROR(VLOOKUP($C23,COM_N_2012!$B$61:$AJ$122,MATCH(VLOOKUP("*"&amp;$AW23,$A$10:$J$11,$J$9,FALSE)&amp;S$7,COM_N_2012!$B$58:$AJ$58,0),FALSE),"")</f>
        <v/>
      </c>
      <c r="T23" s="391" t="str">
        <f ca="1">IFERROR(VLOOKUP($C23,COM_N_2012!$B$61:$AJ$122,MATCH(VLOOKUP("*"&amp;$AW23,$A$10:$J$11,$J$9,FALSE)&amp;T$7,COM_N_2012!$B$58:$AJ$58,0),FALSE),"")</f>
        <v/>
      </c>
      <c r="U23" s="391" t="str">
        <f ca="1">IFERROR(VLOOKUP($C23,COM_N_2012!$B$61:$AJ$122,MATCH(VLOOKUP("*"&amp;$AW23,$A$10:$J$11,$J$9,FALSE)&amp;U$7,COM_N_2012!$B$58:$AJ$58,0),FALSE),"")</f>
        <v/>
      </c>
      <c r="V23" s="391" t="str">
        <f ca="1">IFERROR(VLOOKUP($C23,COM_N_2012!$B$61:$AJ$122,MATCH(VLOOKUP("*"&amp;$AW23,$A$10:$J$11,$J$9,FALSE)&amp;V$7,COM_N_2012!$B$58:$AJ$58,0),FALSE),"")</f>
        <v/>
      </c>
      <c r="W23" s="391">
        <f ca="1">IF($A23="*","",IFERROR(VLOOKUP($C23,COM_N_2017!$B$61:$AJ$122,MATCH(VLOOKUP("*"&amp;$AW23,$A$10:$J$11,$J$9,FALSE)&amp;W$7,COM_N_2017!$B$58:$AJ$58,0),FALSE),""))</f>
        <v>0.12159981838876475</v>
      </c>
      <c r="X23" s="391" t="str">
        <f ca="1">IFERROR(VLOOKUP($C23,COM_N_2012!$B$61:$AJ$122,MATCH(VLOOKUP("*"&amp;$AW23,$A$10:$J$11,$J$9,FALSE)&amp;X$7,COM_N_2012!$B$58:$AJ$58,0),FALSE),"")</f>
        <v/>
      </c>
      <c r="Y23" s="391" t="str">
        <f ca="1">IFERROR(VLOOKUP($C23,COM_N_2012!$B$61:$AJ$122,MATCH(VLOOKUP("*"&amp;$AW23,$A$10:$J$11,$J$9,FALSE)&amp;Y$7,COM_N_2012!$B$58:$AJ$58,0),FALSE),"")</f>
        <v/>
      </c>
      <c r="Z23" s="391" t="str">
        <f ca="1">IFERROR(VLOOKUP($C23,COM_N_2012!$B$61:$AJ$122,MATCH(VLOOKUP("*"&amp;$AW23,$A$10:$J$11,$J$9,FALSE)&amp;Z$7,COM_N_2012!$B$58:$AJ$58,0),FALSE),"")</f>
        <v/>
      </c>
      <c r="AA23" s="391" t="str">
        <f ca="1">IFERROR(VLOOKUP($C23,COM_N_2012!$B$61:$AJ$122,MATCH(VLOOKUP("*"&amp;$AW23,$A$10:$J$11,$J$9,FALSE)&amp;AA$7,COM_N_2012!$B$58:$AJ$58,0),FALSE),"")</f>
        <v/>
      </c>
      <c r="AB23" s="391">
        <f ca="1">IF($A23="*","",IFERROR(VLOOKUP($C23,COM_N_2017!$B$61:$AJ$122,MATCH(VLOOKUP("*"&amp;$AW23,$A$10:$J$11,$J$9,FALSE)&amp;AB$7,COM_N_2017!$B$58:$AJ$58,0),FALSE),""))</f>
        <v>0.32159981838876472</v>
      </c>
      <c r="AC23" s="391" t="str">
        <f ca="1">IFERROR(VLOOKUP($C23,COM_N_2012!$B$61:$AJ$122,MATCH(VLOOKUP("*"&amp;$AW23,$A$10:$J$11,$J$9,FALSE)&amp;AC$7,COM_N_2012!$B$58:$AJ$58,0),FALSE),"")</f>
        <v/>
      </c>
      <c r="AD23" s="391" t="str">
        <f ca="1">IFERROR(VLOOKUP($C23,COM_N_2012!$B$61:$AJ$122,MATCH(VLOOKUP("*"&amp;$AW23,$A$10:$J$11,$J$9,FALSE)&amp;AD$7,COM_N_2012!$B$58:$AJ$58,0),FALSE),"")</f>
        <v/>
      </c>
      <c r="AE23" s="391" t="str">
        <f ca="1">IFERROR(VLOOKUP($C23,COM_N_2012!$B$61:$AJ$122,MATCH(VLOOKUP("*"&amp;$AW23,$A$10:$J$11,$J$9,FALSE)&amp;AE$7,COM_N_2012!$B$58:$AJ$58,0),FALSE),"")</f>
        <v/>
      </c>
      <c r="AF23" s="391" t="str">
        <f ca="1">IFERROR(VLOOKUP($C23,COM_N_2012!$B$61:$AJ$122,MATCH(VLOOKUP("*"&amp;$AW23,$A$10:$J$11,$J$9,FALSE)&amp;AF$7,COM_N_2012!$B$58:$AJ$58,0),FALSE),"")</f>
        <v/>
      </c>
      <c r="AG23" s="391">
        <f ca="1">IF($A23="*","",IFERROR(VLOOKUP($C23,COM_N_2017!$B$61:$AJ$122,MATCH(VLOOKUP("*"&amp;$AW23,$A$10:$J$11,$J$9,FALSE)&amp;AG$7,COM_N_2017!$B$58:$AJ$58,0),FALSE),""))</f>
        <v>0.52159981838876479</v>
      </c>
      <c r="AH23" s="391" t="str">
        <f ca="1">IFERROR(VLOOKUP($C23,COM_N_2012!$B$61:$AJ$122,MATCH(VLOOKUP("*"&amp;$AW23,$A$10:$J$11,$J$9,FALSE)&amp;AH$7,COM_N_2012!$B$58:$AJ$58,0),FALSE),"")</f>
        <v/>
      </c>
      <c r="AI23" s="391" t="str">
        <f ca="1">IFERROR(VLOOKUP($C23,COM_N_2012!$B$61:$AJ$122,MATCH(VLOOKUP("*"&amp;$AW23,$A$10:$J$11,$J$9,FALSE)&amp;AI$7,COM_N_2012!$B$58:$AJ$58,0),FALSE),"")</f>
        <v/>
      </c>
      <c r="AJ23" s="391" t="str">
        <f ca="1">IFERROR(VLOOKUP($C23,COM_N_2012!$B$61:$AJ$122,MATCH(VLOOKUP("*"&amp;$AW23,$A$10:$J$11,$J$9,FALSE)&amp;AJ$7,COM_N_2012!$B$58:$AJ$58,0),FALSE),"")</f>
        <v/>
      </c>
      <c r="AK23" s="391" t="str">
        <f ca="1">IFERROR(VLOOKUP($C23,COM_N_2012!$B$61:$AJ$122,MATCH(VLOOKUP("*"&amp;$AW23,$A$10:$J$11,$J$9,FALSE)&amp;AK$7,COM_N_2012!$B$58:$AJ$58,0),FALSE),"")</f>
        <v/>
      </c>
      <c r="AL23" s="391">
        <f ca="1">IF($A23="*","",IFERROR(VLOOKUP($C23,COM_N_2017!$B$61:$AJ$122,MATCH(VLOOKUP("*"&amp;$AW23,$A$10:$J$11,$J$9,FALSE)&amp;AL$7,COM_N_2017!$B$58:$AJ$58,0),FALSE),""))</f>
        <v>0.72159981838876475</v>
      </c>
      <c r="AM23" s="391">
        <f ca="1">IF($A23="*","",IFERROR(VLOOKUP($C23,COM_N_2017!$B$61:$AJ$122,MATCH(VLOOKUP("*"&amp;$AW23,$A$10:$J$11,$J$9,FALSE)&amp;AM$7,COM_N_2017!$B$58:$AJ$58,0),FALSE),""))</f>
        <v>0.92159981838876481</v>
      </c>
      <c r="AN23" s="391">
        <f ca="1">IF($A23="*","",IFERROR(VLOOKUP($C23,COM_N_2017!$B$61:$AJ$122,MATCH(VLOOKUP("*"&amp;$AW23,$A$10:$J$11,$J$9,FALSE)&amp;AN$7,COM_N_2017!$B$58:$AJ$58,0),FALSE),""))</f>
        <v>1</v>
      </c>
      <c r="AO23" s="391" t="str">
        <f ca="1">IFERROR(VLOOKUP($C23,COM_N_2012!$B$61:$AJ$122,MATCH(VLOOKUP("*"&amp;$AW23,$A$10:$J$11,$J$9,FALSE)&amp;AO$7,COM_N_2012!$B$58:$AJ$58,0),FALSE),"")</f>
        <v/>
      </c>
      <c r="AP23" s="391" t="str">
        <f ca="1">IFERROR(VLOOKUP($C23,COM_N_2012!$B$61:$AJ$122,MATCH(VLOOKUP("*"&amp;$AW23,$A$10:$J$11,$J$9,FALSE)&amp;AP$7,COM_N_2012!$B$58:$AJ$58,0),FALSE),"")</f>
        <v/>
      </c>
      <c r="AQ23" s="391" t="str">
        <f ca="1">IFERROR(VLOOKUP($C23,COM_N_2012!$B$61:$AJ$122,MATCH(VLOOKUP("*"&amp;$AW23,$A$10:$J$11,$J$9,FALSE)&amp;AQ$7,COM_N_2012!$B$58:$AJ$58,0),FALSE),"")</f>
        <v/>
      </c>
      <c r="AR23" s="391" t="str">
        <f ca="1">IFERROR(VLOOKUP($C23,COM_N_2012!$B$61:$AJ$122,MATCH(VLOOKUP("*"&amp;$AW23,$A$10:$J$11,$J$9,FALSE)&amp;AR$7,COM_N_2012!$B$58:$AJ$58,0),FALSE),"")</f>
        <v/>
      </c>
      <c r="AS23" s="391" t="str">
        <f ca="1">IFERROR(VLOOKUP($C23,COM_N_2012!$B$61:$AJ$122,MATCH(VLOOKUP("*"&amp;$AW23,$A$10:$J$11,$J$9,FALSE)&amp;AS$7,COM_N_2012!$B$58:$AJ$58,0),FALSE),"")</f>
        <v/>
      </c>
      <c r="AT23" s="391" t="str">
        <f ca="1">IFERROR(VLOOKUP($C23,COM_N_2012!$B$61:$AJ$122,MATCH(VLOOKUP("*"&amp;$AW23,$A$10:$J$11,$J$9,FALSE)&amp;AT$7,COM_N_2012!$B$58:$AJ$58,0),FALSE),"")</f>
        <v/>
      </c>
      <c r="AU23" s="391" t="str">
        <f ca="1">IFERROR(VLOOKUP($C23,COM_N_2012!$B$61:$AJ$122,MATCH(VLOOKUP("*"&amp;$AW23,$A$10:$J$11,$J$9,FALSE)&amp;AU$7,COM_N_2012!$B$58:$AJ$58,0),FALSE),"")</f>
        <v/>
      </c>
      <c r="AV23" s="391" t="str">
        <f ca="1">IFERROR(VLOOKUP($C23,COM_N_2012!$B$61:$AJ$122,MATCH(VLOOKUP("*"&amp;$AW23,$A$10:$J$11,$J$9,FALSE)&amp;AV$7,COM_N_2012!$B$58:$AJ$58,0),FALSE),"")</f>
        <v/>
      </c>
      <c r="AW23" s="304">
        <f>IF(AX22=COM_N_2012!$AK$121,AW22+1,AW22)</f>
        <v>1</v>
      </c>
      <c r="AX23" s="304">
        <f t="shared" si="7"/>
        <v>11</v>
      </c>
    </row>
    <row r="24" spans="1:50">
      <c r="A24" s="304" t="str">
        <f ca="1">IF(LEFT(OFFSET(COM_N_2012!$A$60,AX24,0),2)="\I","*","")</f>
        <v/>
      </c>
      <c r="B24" s="369" t="str">
        <f t="shared" ca="1" si="3"/>
        <v>FLO_MRKPRD</v>
      </c>
      <c r="C24" s="369" t="str">
        <f ca="1">IF($A24="*","",OFFSET(COM_N_2012!$B$60,AX24,0))</f>
        <v>CNHELC-N</v>
      </c>
      <c r="D24" s="369" t="str">
        <f t="shared" ca="1" si="4"/>
        <v>CNH</v>
      </c>
      <c r="E24" s="369" t="str">
        <f t="shared" ca="1" si="5"/>
        <v>-</v>
      </c>
      <c r="F24" s="370" t="str">
        <f t="shared" ca="1" si="6"/>
        <v>-</v>
      </c>
      <c r="G24" s="370" t="str">
        <f t="shared" ca="1" si="6"/>
        <v>ANNUAL</v>
      </c>
      <c r="H24" s="370" t="str">
        <f t="shared" ca="1" si="6"/>
        <v>UP</v>
      </c>
      <c r="I24" s="370">
        <f t="shared" ca="1" si="6"/>
        <v>0</v>
      </c>
      <c r="J24" s="391">
        <f ca="1">IFERROR(VLOOKUP($C24,COM_N_2012!$B$61:$AJ$122,MATCH(VLOOKUP("*"&amp;$AW24,$A$10:$J$11,$J$9,FALSE)&amp;J$7,COM_N_2012!$B$58:$AJ$58,0),FALSE),"")</f>
        <v>0</v>
      </c>
      <c r="K24" s="391" t="str">
        <f ca="1">IFERROR(VLOOKUP($C24,COM_N_2012!$B$61:$AJ$122,MATCH(VLOOKUP("*"&amp;$AW24,$A$10:$J$11,$J$9,FALSE)&amp;K$7,COM_N_2012!$B$58:$AJ$58,0),FALSE),"")</f>
        <v/>
      </c>
      <c r="L24" s="391" t="str">
        <f ca="1">IFERROR(VLOOKUP($C24,COM_N_2012!$B$61:$AJ$122,MATCH(VLOOKUP("*"&amp;$AW24,$A$10:$J$11,$J$9,FALSE)&amp;L$7,COM_N_2012!$B$58:$AJ$58,0),FALSE),"")</f>
        <v/>
      </c>
      <c r="M24" s="391">
        <f ca="1">IFERROR(VLOOKUP($C24,COM_N_2012!$B$61:$AJ$122,MATCH(VLOOKUP("*"&amp;$AW24,$A$10:$J$11,$J$9,FALSE)&amp;M$7,COM_N_2012!$B$58:$AJ$58,0),FALSE),"")</f>
        <v>0</v>
      </c>
      <c r="N24" s="391" t="str">
        <f ca="1">IFERROR(VLOOKUP($C24,COM_N_2012!$B$61:$AJ$122,MATCH(VLOOKUP("*"&amp;$AW24,$A$10:$J$11,$J$9,FALSE)&amp;N$7,COM_N_2012!$B$58:$AJ$58,0),FALSE),"")</f>
        <v/>
      </c>
      <c r="O24" s="391">
        <f ca="1">IF($A24="*","",IFERROR(VLOOKUP($C24,COM_N_2017!$B$61:$AJ$122,MATCH(VLOOKUP("*"&amp;$AW24,$A$10:$J$11,$J$9,FALSE)&amp;O$7,COM_N_2017!$B$58:$AJ$58,0),FALSE),""))</f>
        <v>0</v>
      </c>
      <c r="P24" s="494" t="str">
        <f ca="1">IFERROR(VLOOKUP($C24,COM_N_2012!$B$61:$AJ$122,MATCH(VLOOKUP("*"&amp;$AW24,$A$10:$J$11,$J$9,FALSE)&amp;P$7,COM_N_2012!$B$58:$AJ$58,0),FALSE),"")</f>
        <v/>
      </c>
      <c r="Q24" s="391" t="str">
        <f ca="1">IFERROR(VLOOKUP($C24,COM_N_2012!$B$61:$AJ$122,MATCH(VLOOKUP("*"&amp;$AW24,$A$10:$J$11,$J$9,FALSE)&amp;Q$7,COM_N_2012!$B$58:$AJ$58,0),FALSE),"")</f>
        <v/>
      </c>
      <c r="R24" s="391">
        <f ca="1">IF($A24="*","",IFERROR(VLOOKUP($C24,COM_N_2017!$B$61:$AJ$122,MATCH(VLOOKUP("*"&amp;$AW24,$A$10:$J$11,$J$9,FALSE)&amp;R$7,COM_N_2017!$B$58:$AJ$58,0),FALSE),""))</f>
        <v>0.03</v>
      </c>
      <c r="S24" s="391" t="str">
        <f ca="1">IFERROR(VLOOKUP($C24,COM_N_2012!$B$61:$AJ$122,MATCH(VLOOKUP("*"&amp;$AW24,$A$10:$J$11,$J$9,FALSE)&amp;S$7,COM_N_2012!$B$58:$AJ$58,0),FALSE),"")</f>
        <v/>
      </c>
      <c r="T24" s="391" t="str">
        <f ca="1">IFERROR(VLOOKUP($C24,COM_N_2012!$B$61:$AJ$122,MATCH(VLOOKUP("*"&amp;$AW24,$A$10:$J$11,$J$9,FALSE)&amp;T$7,COM_N_2012!$B$58:$AJ$58,0),FALSE),"")</f>
        <v/>
      </c>
      <c r="U24" s="391" t="str">
        <f ca="1">IFERROR(VLOOKUP($C24,COM_N_2012!$B$61:$AJ$122,MATCH(VLOOKUP("*"&amp;$AW24,$A$10:$J$11,$J$9,FALSE)&amp;U$7,COM_N_2012!$B$58:$AJ$58,0),FALSE),"")</f>
        <v/>
      </c>
      <c r="V24" s="391" t="str">
        <f ca="1">IFERROR(VLOOKUP($C24,COM_N_2012!$B$61:$AJ$122,MATCH(VLOOKUP("*"&amp;$AW24,$A$10:$J$11,$J$9,FALSE)&amp;V$7,COM_N_2012!$B$58:$AJ$58,0),FALSE),"")</f>
        <v/>
      </c>
      <c r="W24" s="391">
        <f ca="1">IF($A24="*","",IFERROR(VLOOKUP($C24,COM_N_2017!$B$61:$AJ$122,MATCH(VLOOKUP("*"&amp;$AW24,$A$10:$J$11,$J$9,FALSE)&amp;W$7,COM_N_2017!$B$58:$AJ$58,0),FALSE),""))</f>
        <v>0.1</v>
      </c>
      <c r="X24" s="391" t="str">
        <f ca="1">IFERROR(VLOOKUP($C24,COM_N_2012!$B$61:$AJ$122,MATCH(VLOOKUP("*"&amp;$AW24,$A$10:$J$11,$J$9,FALSE)&amp;X$7,COM_N_2012!$B$58:$AJ$58,0),FALSE),"")</f>
        <v/>
      </c>
      <c r="Y24" s="391" t="str">
        <f ca="1">IFERROR(VLOOKUP($C24,COM_N_2012!$B$61:$AJ$122,MATCH(VLOOKUP("*"&amp;$AW24,$A$10:$J$11,$J$9,FALSE)&amp;Y$7,COM_N_2012!$B$58:$AJ$58,0),FALSE),"")</f>
        <v/>
      </c>
      <c r="Z24" s="391" t="str">
        <f ca="1">IFERROR(VLOOKUP($C24,COM_N_2012!$B$61:$AJ$122,MATCH(VLOOKUP("*"&amp;$AW24,$A$10:$J$11,$J$9,FALSE)&amp;Z$7,COM_N_2012!$B$58:$AJ$58,0),FALSE),"")</f>
        <v/>
      </c>
      <c r="AA24" s="391" t="str">
        <f ca="1">IFERROR(VLOOKUP($C24,COM_N_2012!$B$61:$AJ$122,MATCH(VLOOKUP("*"&amp;$AW24,$A$10:$J$11,$J$9,FALSE)&amp;AA$7,COM_N_2012!$B$58:$AJ$58,0),FALSE),"")</f>
        <v/>
      </c>
      <c r="AB24" s="391">
        <f ca="1">IF($A24="*","",IFERROR(VLOOKUP($C24,COM_N_2017!$B$61:$AJ$122,MATCH(VLOOKUP("*"&amp;$AW24,$A$10:$J$11,$J$9,FALSE)&amp;AB$7,COM_N_2017!$B$58:$AJ$58,0),FALSE),""))</f>
        <v>0.3</v>
      </c>
      <c r="AC24" s="391" t="str">
        <f ca="1">IFERROR(VLOOKUP($C24,COM_N_2012!$B$61:$AJ$122,MATCH(VLOOKUP("*"&amp;$AW24,$A$10:$J$11,$J$9,FALSE)&amp;AC$7,COM_N_2012!$B$58:$AJ$58,0),FALSE),"")</f>
        <v/>
      </c>
      <c r="AD24" s="391" t="str">
        <f ca="1">IFERROR(VLOOKUP($C24,COM_N_2012!$B$61:$AJ$122,MATCH(VLOOKUP("*"&amp;$AW24,$A$10:$J$11,$J$9,FALSE)&amp;AD$7,COM_N_2012!$B$58:$AJ$58,0),FALSE),"")</f>
        <v/>
      </c>
      <c r="AE24" s="391" t="str">
        <f ca="1">IFERROR(VLOOKUP($C24,COM_N_2012!$B$61:$AJ$122,MATCH(VLOOKUP("*"&amp;$AW24,$A$10:$J$11,$J$9,FALSE)&amp;AE$7,COM_N_2012!$B$58:$AJ$58,0),FALSE),"")</f>
        <v/>
      </c>
      <c r="AF24" s="391" t="str">
        <f ca="1">IFERROR(VLOOKUP($C24,COM_N_2012!$B$61:$AJ$122,MATCH(VLOOKUP("*"&amp;$AW24,$A$10:$J$11,$J$9,FALSE)&amp;AF$7,COM_N_2012!$B$58:$AJ$58,0),FALSE),"")</f>
        <v/>
      </c>
      <c r="AG24" s="391">
        <f ca="1">IF($A24="*","",IFERROR(VLOOKUP($C24,COM_N_2017!$B$61:$AJ$122,MATCH(VLOOKUP("*"&amp;$AW24,$A$10:$J$11,$J$9,FALSE)&amp;AG$7,COM_N_2017!$B$58:$AJ$58,0),FALSE),""))</f>
        <v>0.5</v>
      </c>
      <c r="AH24" s="391" t="str">
        <f ca="1">IFERROR(VLOOKUP($C24,COM_N_2012!$B$61:$AJ$122,MATCH(VLOOKUP("*"&amp;$AW24,$A$10:$J$11,$J$9,FALSE)&amp;AH$7,COM_N_2012!$B$58:$AJ$58,0),FALSE),"")</f>
        <v/>
      </c>
      <c r="AI24" s="391" t="str">
        <f ca="1">IFERROR(VLOOKUP($C24,COM_N_2012!$B$61:$AJ$122,MATCH(VLOOKUP("*"&amp;$AW24,$A$10:$J$11,$J$9,FALSE)&amp;AI$7,COM_N_2012!$B$58:$AJ$58,0),FALSE),"")</f>
        <v/>
      </c>
      <c r="AJ24" s="391" t="str">
        <f ca="1">IFERROR(VLOOKUP($C24,COM_N_2012!$B$61:$AJ$122,MATCH(VLOOKUP("*"&amp;$AW24,$A$10:$J$11,$J$9,FALSE)&amp;AJ$7,COM_N_2012!$B$58:$AJ$58,0),FALSE),"")</f>
        <v/>
      </c>
      <c r="AK24" s="391" t="str">
        <f ca="1">IFERROR(VLOOKUP($C24,COM_N_2012!$B$61:$AJ$122,MATCH(VLOOKUP("*"&amp;$AW24,$A$10:$J$11,$J$9,FALSE)&amp;AK$7,COM_N_2012!$B$58:$AJ$58,0),FALSE),"")</f>
        <v/>
      </c>
      <c r="AL24" s="391">
        <f ca="1">IF($A24="*","",IFERROR(VLOOKUP($C24,COM_N_2017!$B$61:$AJ$122,MATCH(VLOOKUP("*"&amp;$AW24,$A$10:$J$11,$J$9,FALSE)&amp;AL$7,COM_N_2017!$B$58:$AJ$58,0),FALSE),""))</f>
        <v>0.7</v>
      </c>
      <c r="AM24" s="391">
        <f ca="1">IF($A24="*","",IFERROR(VLOOKUP($C24,COM_N_2017!$B$61:$AJ$122,MATCH(VLOOKUP("*"&amp;$AW24,$A$10:$J$11,$J$9,FALSE)&amp;AM$7,COM_N_2017!$B$58:$AJ$58,0),FALSE),""))</f>
        <v>0.9</v>
      </c>
      <c r="AN24" s="391">
        <f ca="1">IF($A24="*","",IFERROR(VLOOKUP($C24,COM_N_2017!$B$61:$AJ$122,MATCH(VLOOKUP("*"&amp;$AW24,$A$10:$J$11,$J$9,FALSE)&amp;AN$7,COM_N_2017!$B$58:$AJ$58,0),FALSE),""))</f>
        <v>1</v>
      </c>
      <c r="AO24" s="391" t="str">
        <f ca="1">IFERROR(VLOOKUP($C24,COM_N_2012!$B$61:$AJ$122,MATCH(VLOOKUP("*"&amp;$AW24,$A$10:$J$11,$J$9,FALSE)&amp;AO$7,COM_N_2012!$B$58:$AJ$58,0),FALSE),"")</f>
        <v/>
      </c>
      <c r="AP24" s="391" t="str">
        <f ca="1">IFERROR(VLOOKUP($C24,COM_N_2012!$B$61:$AJ$122,MATCH(VLOOKUP("*"&amp;$AW24,$A$10:$J$11,$J$9,FALSE)&amp;AP$7,COM_N_2012!$B$58:$AJ$58,0),FALSE),"")</f>
        <v/>
      </c>
      <c r="AQ24" s="391" t="str">
        <f ca="1">IFERROR(VLOOKUP($C24,COM_N_2012!$B$61:$AJ$122,MATCH(VLOOKUP("*"&amp;$AW24,$A$10:$J$11,$J$9,FALSE)&amp;AQ$7,COM_N_2012!$B$58:$AJ$58,0),FALSE),"")</f>
        <v/>
      </c>
      <c r="AR24" s="391" t="str">
        <f ca="1">IFERROR(VLOOKUP($C24,COM_N_2012!$B$61:$AJ$122,MATCH(VLOOKUP("*"&amp;$AW24,$A$10:$J$11,$J$9,FALSE)&amp;AR$7,COM_N_2012!$B$58:$AJ$58,0),FALSE),"")</f>
        <v/>
      </c>
      <c r="AS24" s="391" t="str">
        <f ca="1">IFERROR(VLOOKUP($C24,COM_N_2012!$B$61:$AJ$122,MATCH(VLOOKUP("*"&amp;$AW24,$A$10:$J$11,$J$9,FALSE)&amp;AS$7,COM_N_2012!$B$58:$AJ$58,0),FALSE),"")</f>
        <v/>
      </c>
      <c r="AT24" s="391" t="str">
        <f ca="1">IFERROR(VLOOKUP($C24,COM_N_2012!$B$61:$AJ$122,MATCH(VLOOKUP("*"&amp;$AW24,$A$10:$J$11,$J$9,FALSE)&amp;AT$7,COM_N_2012!$B$58:$AJ$58,0),FALSE),"")</f>
        <v/>
      </c>
      <c r="AU24" s="391" t="str">
        <f ca="1">IFERROR(VLOOKUP($C24,COM_N_2012!$B$61:$AJ$122,MATCH(VLOOKUP("*"&amp;$AW24,$A$10:$J$11,$J$9,FALSE)&amp;AU$7,COM_N_2012!$B$58:$AJ$58,0),FALSE),"")</f>
        <v/>
      </c>
      <c r="AV24" s="391" t="str">
        <f ca="1">IFERROR(VLOOKUP($C24,COM_N_2012!$B$61:$AJ$122,MATCH(VLOOKUP("*"&amp;$AW24,$A$10:$J$11,$J$9,FALSE)&amp;AV$7,COM_N_2012!$B$58:$AJ$58,0),FALSE),"")</f>
        <v/>
      </c>
      <c r="AW24" s="304">
        <f>IF(AX23=COM_N_2012!$AK$121,AW23+1,AW23)</f>
        <v>1</v>
      </c>
      <c r="AX24" s="304">
        <f t="shared" si="7"/>
        <v>12</v>
      </c>
    </row>
    <row r="25" spans="1:50">
      <c r="A25" s="304" t="str">
        <f ca="1">IF(LEFT(OFFSET(COM_N_2012!$A$60,AX25,0),2)="\I","*","")</f>
        <v/>
      </c>
      <c r="B25" s="369" t="str">
        <f t="shared" ca="1" si="3"/>
        <v>FLO_MRKPRD</v>
      </c>
      <c r="C25" s="369" t="str">
        <f ca="1">IF($A25="*","",OFFSET(COM_N_2012!$B$60,AX25,0))</f>
        <v>CNHGAS-N</v>
      </c>
      <c r="D25" s="369" t="str">
        <f t="shared" ca="1" si="4"/>
        <v>CNH</v>
      </c>
      <c r="E25" s="369" t="str">
        <f t="shared" ca="1" si="5"/>
        <v>-</v>
      </c>
      <c r="F25" s="370" t="str">
        <f t="shared" ca="1" si="6"/>
        <v>-</v>
      </c>
      <c r="G25" s="370" t="str">
        <f t="shared" ca="1" si="6"/>
        <v>ANNUAL</v>
      </c>
      <c r="H25" s="370" t="str">
        <f t="shared" ca="1" si="6"/>
        <v>UP</v>
      </c>
      <c r="I25" s="370">
        <f t="shared" ca="1" si="6"/>
        <v>0</v>
      </c>
      <c r="J25" s="391">
        <f ca="1">IFERROR(VLOOKUP($C25,COM_N_2012!$B$61:$AJ$122,MATCH(VLOOKUP("*"&amp;$AW25,$A$10:$J$11,$J$9,FALSE)&amp;J$7,COM_N_2012!$B$58:$AJ$58,0),FALSE),"")</f>
        <v>0</v>
      </c>
      <c r="K25" s="391" t="str">
        <f ca="1">IFERROR(VLOOKUP($C25,COM_N_2012!$B$61:$AJ$122,MATCH(VLOOKUP("*"&amp;$AW25,$A$10:$J$11,$J$9,FALSE)&amp;K$7,COM_N_2012!$B$58:$AJ$58,0),FALSE),"")</f>
        <v/>
      </c>
      <c r="L25" s="391" t="str">
        <f ca="1">IFERROR(VLOOKUP($C25,COM_N_2012!$B$61:$AJ$122,MATCH(VLOOKUP("*"&amp;$AW25,$A$10:$J$11,$J$9,FALSE)&amp;L$7,COM_N_2012!$B$58:$AJ$58,0),FALSE),"")</f>
        <v/>
      </c>
      <c r="M25" s="391">
        <f ca="1">IFERROR(VLOOKUP($C25,COM_N_2012!$B$61:$AJ$122,MATCH(VLOOKUP("*"&amp;$AW25,$A$10:$J$11,$J$9,FALSE)&amp;M$7,COM_N_2012!$B$58:$AJ$58,0),FALSE),"")</f>
        <v>0</v>
      </c>
      <c r="N25" s="391" t="str">
        <f ca="1">IFERROR(VLOOKUP($C25,COM_N_2012!$B$61:$AJ$122,MATCH(VLOOKUP("*"&amp;$AW25,$A$10:$J$11,$J$9,FALSE)&amp;N$7,COM_N_2012!$B$58:$AJ$58,0),FALSE),"")</f>
        <v/>
      </c>
      <c r="O25" s="391">
        <f ca="1">IF($A25="*","",IFERROR(VLOOKUP($C25,COM_N_2017!$B$61:$AJ$122,MATCH(VLOOKUP("*"&amp;$AW25,$A$10:$J$11,$J$9,FALSE)&amp;O$7,COM_N_2017!$B$58:$AJ$58,0),FALSE),""))</f>
        <v>0</v>
      </c>
      <c r="P25" s="391" t="str">
        <f ca="1">IFERROR(VLOOKUP($C25,COM_N_2012!$B$61:$AJ$122,MATCH(VLOOKUP("*"&amp;$AW25,$A$10:$J$11,$J$9,FALSE)&amp;P$7,COM_N_2012!$B$58:$AJ$58,0),FALSE),"")</f>
        <v/>
      </c>
      <c r="Q25" s="391" t="str">
        <f ca="1">IFERROR(VLOOKUP($C25,COM_N_2012!$B$61:$AJ$122,MATCH(VLOOKUP("*"&amp;$AW25,$A$10:$J$11,$J$9,FALSE)&amp;Q$7,COM_N_2012!$B$58:$AJ$58,0),FALSE),"")</f>
        <v/>
      </c>
      <c r="R25" s="391">
        <f ca="1">IF($A25="*","",IFERROR(VLOOKUP($C25,COM_N_2017!$B$61:$AJ$122,MATCH(VLOOKUP("*"&amp;$AW25,$A$10:$J$11,$J$9,FALSE)&amp;R$7,COM_N_2017!$B$58:$AJ$58,0),FALSE),""))</f>
        <v>0.03</v>
      </c>
      <c r="S25" s="391" t="str">
        <f ca="1">IFERROR(VLOOKUP($C25,COM_N_2012!$B$61:$AJ$122,MATCH(VLOOKUP("*"&amp;$AW25,$A$10:$J$11,$J$9,FALSE)&amp;S$7,COM_N_2012!$B$58:$AJ$58,0),FALSE),"")</f>
        <v/>
      </c>
      <c r="T25" s="391" t="str">
        <f ca="1">IFERROR(VLOOKUP($C25,COM_N_2012!$B$61:$AJ$122,MATCH(VLOOKUP("*"&amp;$AW25,$A$10:$J$11,$J$9,FALSE)&amp;T$7,COM_N_2012!$B$58:$AJ$58,0),FALSE),"")</f>
        <v/>
      </c>
      <c r="U25" s="391" t="str">
        <f ca="1">IFERROR(VLOOKUP($C25,COM_N_2012!$B$61:$AJ$122,MATCH(VLOOKUP("*"&amp;$AW25,$A$10:$J$11,$J$9,FALSE)&amp;U$7,COM_N_2012!$B$58:$AJ$58,0),FALSE),"")</f>
        <v/>
      </c>
      <c r="V25" s="391" t="str">
        <f ca="1">IFERROR(VLOOKUP($C25,COM_N_2012!$B$61:$AJ$122,MATCH(VLOOKUP("*"&amp;$AW25,$A$10:$J$11,$J$9,FALSE)&amp;V$7,COM_N_2012!$B$58:$AJ$58,0),FALSE),"")</f>
        <v/>
      </c>
      <c r="W25" s="391">
        <f ca="1">IF($A25="*","",IFERROR(VLOOKUP($C25,COM_N_2017!$B$61:$AJ$122,MATCH(VLOOKUP("*"&amp;$AW25,$A$10:$J$11,$J$9,FALSE)&amp;W$7,COM_N_2017!$B$58:$AJ$58,0),FALSE),""))</f>
        <v>0.1</v>
      </c>
      <c r="X25" s="391" t="str">
        <f ca="1">IFERROR(VLOOKUP($C25,COM_N_2012!$B$61:$AJ$122,MATCH(VLOOKUP("*"&amp;$AW25,$A$10:$J$11,$J$9,FALSE)&amp;X$7,COM_N_2012!$B$58:$AJ$58,0),FALSE),"")</f>
        <v/>
      </c>
      <c r="Y25" s="391" t="str">
        <f ca="1">IFERROR(VLOOKUP($C25,COM_N_2012!$B$61:$AJ$122,MATCH(VLOOKUP("*"&amp;$AW25,$A$10:$J$11,$J$9,FALSE)&amp;Y$7,COM_N_2012!$B$58:$AJ$58,0),FALSE),"")</f>
        <v/>
      </c>
      <c r="Z25" s="391" t="str">
        <f ca="1">IFERROR(VLOOKUP($C25,COM_N_2012!$B$61:$AJ$122,MATCH(VLOOKUP("*"&amp;$AW25,$A$10:$J$11,$J$9,FALSE)&amp;Z$7,COM_N_2012!$B$58:$AJ$58,0),FALSE),"")</f>
        <v/>
      </c>
      <c r="AA25" s="391" t="str">
        <f ca="1">IFERROR(VLOOKUP($C25,COM_N_2012!$B$61:$AJ$122,MATCH(VLOOKUP("*"&amp;$AW25,$A$10:$J$11,$J$9,FALSE)&amp;AA$7,COM_N_2012!$B$58:$AJ$58,0),FALSE),"")</f>
        <v/>
      </c>
      <c r="AB25" s="391">
        <f ca="1">IF($A25="*","",IFERROR(VLOOKUP($C25,COM_N_2017!$B$61:$AJ$122,MATCH(VLOOKUP("*"&amp;$AW25,$A$10:$J$11,$J$9,FALSE)&amp;AB$7,COM_N_2017!$B$58:$AJ$58,0),FALSE),""))</f>
        <v>0.3</v>
      </c>
      <c r="AC25" s="391" t="str">
        <f ca="1">IFERROR(VLOOKUP($C25,COM_N_2012!$B$61:$AJ$122,MATCH(VLOOKUP("*"&amp;$AW25,$A$10:$J$11,$J$9,FALSE)&amp;AC$7,COM_N_2012!$B$58:$AJ$58,0),FALSE),"")</f>
        <v/>
      </c>
      <c r="AD25" s="391" t="str">
        <f ca="1">IFERROR(VLOOKUP($C25,COM_N_2012!$B$61:$AJ$122,MATCH(VLOOKUP("*"&amp;$AW25,$A$10:$J$11,$J$9,FALSE)&amp;AD$7,COM_N_2012!$B$58:$AJ$58,0),FALSE),"")</f>
        <v/>
      </c>
      <c r="AE25" s="391" t="str">
        <f ca="1">IFERROR(VLOOKUP($C25,COM_N_2012!$B$61:$AJ$122,MATCH(VLOOKUP("*"&amp;$AW25,$A$10:$J$11,$J$9,FALSE)&amp;AE$7,COM_N_2012!$B$58:$AJ$58,0),FALSE),"")</f>
        <v/>
      </c>
      <c r="AF25" s="391" t="str">
        <f ca="1">IFERROR(VLOOKUP($C25,COM_N_2012!$B$61:$AJ$122,MATCH(VLOOKUP("*"&amp;$AW25,$A$10:$J$11,$J$9,FALSE)&amp;AF$7,COM_N_2012!$B$58:$AJ$58,0),FALSE),"")</f>
        <v/>
      </c>
      <c r="AG25" s="391">
        <f ca="1">IF($A25="*","",IFERROR(VLOOKUP($C25,COM_N_2017!$B$61:$AJ$122,MATCH(VLOOKUP("*"&amp;$AW25,$A$10:$J$11,$J$9,FALSE)&amp;AG$7,COM_N_2017!$B$58:$AJ$58,0),FALSE),""))</f>
        <v>0.5</v>
      </c>
      <c r="AH25" s="391" t="str">
        <f ca="1">IFERROR(VLOOKUP($C25,COM_N_2012!$B$61:$AJ$122,MATCH(VLOOKUP("*"&amp;$AW25,$A$10:$J$11,$J$9,FALSE)&amp;AH$7,COM_N_2012!$B$58:$AJ$58,0),FALSE),"")</f>
        <v/>
      </c>
      <c r="AI25" s="391" t="str">
        <f ca="1">IFERROR(VLOOKUP($C25,COM_N_2012!$B$61:$AJ$122,MATCH(VLOOKUP("*"&amp;$AW25,$A$10:$J$11,$J$9,FALSE)&amp;AI$7,COM_N_2012!$B$58:$AJ$58,0),FALSE),"")</f>
        <v/>
      </c>
      <c r="AJ25" s="391" t="str">
        <f ca="1">IFERROR(VLOOKUP($C25,COM_N_2012!$B$61:$AJ$122,MATCH(VLOOKUP("*"&amp;$AW25,$A$10:$J$11,$J$9,FALSE)&amp;AJ$7,COM_N_2012!$B$58:$AJ$58,0),FALSE),"")</f>
        <v/>
      </c>
      <c r="AK25" s="391" t="str">
        <f ca="1">IFERROR(VLOOKUP($C25,COM_N_2012!$B$61:$AJ$122,MATCH(VLOOKUP("*"&amp;$AW25,$A$10:$J$11,$J$9,FALSE)&amp;AK$7,COM_N_2012!$B$58:$AJ$58,0),FALSE),"")</f>
        <v/>
      </c>
      <c r="AL25" s="391">
        <f ca="1">IF($A25="*","",IFERROR(VLOOKUP($C25,COM_N_2017!$B$61:$AJ$122,MATCH(VLOOKUP("*"&amp;$AW25,$A$10:$J$11,$J$9,FALSE)&amp;AL$7,COM_N_2017!$B$58:$AJ$58,0),FALSE),""))</f>
        <v>0.7</v>
      </c>
      <c r="AM25" s="391">
        <f ca="1">IF($A25="*","",IFERROR(VLOOKUP($C25,COM_N_2017!$B$61:$AJ$122,MATCH(VLOOKUP("*"&amp;$AW25,$A$10:$J$11,$J$9,FALSE)&amp;AM$7,COM_N_2017!$B$58:$AJ$58,0),FALSE),""))</f>
        <v>0.9</v>
      </c>
      <c r="AN25" s="391">
        <f ca="1">IF($A25="*","",IFERROR(VLOOKUP($C25,COM_N_2017!$B$61:$AJ$122,MATCH(VLOOKUP("*"&amp;$AW25,$A$10:$J$11,$J$9,FALSE)&amp;AN$7,COM_N_2017!$B$58:$AJ$58,0),FALSE),""))</f>
        <v>1</v>
      </c>
      <c r="AO25" s="391" t="str">
        <f ca="1">IFERROR(VLOOKUP($C25,COM_N_2012!$B$61:$AJ$122,MATCH(VLOOKUP("*"&amp;$AW25,$A$10:$J$11,$J$9,FALSE)&amp;AO$7,COM_N_2012!$B$58:$AJ$58,0),FALSE),"")</f>
        <v/>
      </c>
      <c r="AP25" s="391" t="str">
        <f ca="1">IFERROR(VLOOKUP($C25,COM_N_2012!$B$61:$AJ$122,MATCH(VLOOKUP("*"&amp;$AW25,$A$10:$J$11,$J$9,FALSE)&amp;AP$7,COM_N_2012!$B$58:$AJ$58,0),FALSE),"")</f>
        <v/>
      </c>
      <c r="AQ25" s="391" t="str">
        <f ca="1">IFERROR(VLOOKUP($C25,COM_N_2012!$B$61:$AJ$122,MATCH(VLOOKUP("*"&amp;$AW25,$A$10:$J$11,$J$9,FALSE)&amp;AQ$7,COM_N_2012!$B$58:$AJ$58,0),FALSE),"")</f>
        <v/>
      </c>
      <c r="AR25" s="391" t="str">
        <f ca="1">IFERROR(VLOOKUP($C25,COM_N_2012!$B$61:$AJ$122,MATCH(VLOOKUP("*"&amp;$AW25,$A$10:$J$11,$J$9,FALSE)&amp;AR$7,COM_N_2012!$B$58:$AJ$58,0),FALSE),"")</f>
        <v/>
      </c>
      <c r="AS25" s="391" t="str">
        <f ca="1">IFERROR(VLOOKUP($C25,COM_N_2012!$B$61:$AJ$122,MATCH(VLOOKUP("*"&amp;$AW25,$A$10:$J$11,$J$9,FALSE)&amp;AS$7,COM_N_2012!$B$58:$AJ$58,0),FALSE),"")</f>
        <v/>
      </c>
      <c r="AT25" s="391" t="str">
        <f ca="1">IFERROR(VLOOKUP($C25,COM_N_2012!$B$61:$AJ$122,MATCH(VLOOKUP("*"&amp;$AW25,$A$10:$J$11,$J$9,FALSE)&amp;AT$7,COM_N_2012!$B$58:$AJ$58,0),FALSE),"")</f>
        <v/>
      </c>
      <c r="AU25" s="391" t="str">
        <f ca="1">IFERROR(VLOOKUP($C25,COM_N_2012!$B$61:$AJ$122,MATCH(VLOOKUP("*"&amp;$AW25,$A$10:$J$11,$J$9,FALSE)&amp;AU$7,COM_N_2012!$B$58:$AJ$58,0),FALSE),"")</f>
        <v/>
      </c>
      <c r="AV25" s="391" t="str">
        <f ca="1">IFERROR(VLOOKUP($C25,COM_N_2012!$B$61:$AJ$122,MATCH(VLOOKUP("*"&amp;$AW25,$A$10:$J$11,$J$9,FALSE)&amp;AV$7,COM_N_2012!$B$58:$AJ$58,0),FALSE),"")</f>
        <v/>
      </c>
      <c r="AW25" s="304">
        <f>IF(AX24=COM_N_2012!$AK$121,AW24+1,AW24)</f>
        <v>1</v>
      </c>
      <c r="AX25" s="304">
        <f t="shared" si="7"/>
        <v>13</v>
      </c>
    </row>
    <row r="26" spans="1:50">
      <c r="A26" s="304" t="str">
        <f ca="1">IF(LEFT(OFFSET(COM_N_2012!$A$60,AX26,0),2)="\I","*","")</f>
        <v>*</v>
      </c>
      <c r="B26" s="369" t="str">
        <f t="shared" ca="1" si="3"/>
        <v/>
      </c>
      <c r="C26" s="369" t="str">
        <f ca="1">IF($A26="*","",OFFSET(COM_N_2012!$B$60,AX26,0))</f>
        <v/>
      </c>
      <c r="D26" s="369" t="str">
        <f t="shared" ca="1" si="4"/>
        <v/>
      </c>
      <c r="E26" s="369" t="str">
        <f t="shared" ca="1" si="5"/>
        <v/>
      </c>
      <c r="F26" s="370" t="str">
        <f t="shared" ca="1" si="6"/>
        <v/>
      </c>
      <c r="G26" s="370" t="str">
        <f t="shared" ca="1" si="6"/>
        <v/>
      </c>
      <c r="H26" s="370" t="str">
        <f t="shared" ca="1" si="6"/>
        <v/>
      </c>
      <c r="I26" s="370" t="str">
        <f t="shared" ca="1" si="6"/>
        <v/>
      </c>
      <c r="J26" s="391" t="str">
        <f ca="1">IFERROR(VLOOKUP($C26,COM_N_2012!$B$61:$AJ$122,MATCH(VLOOKUP("*"&amp;$AW26,$A$10:$J$11,$J$9,FALSE)&amp;J$7,COM_N_2012!$B$58:$AJ$58,0),FALSE),"")</f>
        <v/>
      </c>
      <c r="K26" s="391" t="str">
        <f ca="1">IFERROR(VLOOKUP($C26,COM_N_2012!$B$61:$AJ$122,MATCH(VLOOKUP("*"&amp;$AW26,$A$10:$J$11,$J$9,FALSE)&amp;K$7,COM_N_2012!$B$58:$AJ$58,0),FALSE),"")</f>
        <v/>
      </c>
      <c r="L26" s="391" t="str">
        <f ca="1">IFERROR(VLOOKUP($C26,COM_N_2012!$B$61:$AJ$122,MATCH(VLOOKUP("*"&amp;$AW26,$A$10:$J$11,$J$9,FALSE)&amp;L$7,COM_N_2012!$B$58:$AJ$58,0),FALSE),"")</f>
        <v/>
      </c>
      <c r="M26" s="391" t="str">
        <f ca="1">IFERROR(VLOOKUP($C26,COM_N_2012!$B$61:$AJ$122,MATCH(VLOOKUP("*"&amp;$AW26,$A$10:$J$11,$J$9,FALSE)&amp;M$7,COM_N_2012!$B$58:$AJ$58,0),FALSE),"")</f>
        <v/>
      </c>
      <c r="N26" s="391" t="str">
        <f ca="1">IFERROR(VLOOKUP($C26,COM_N_2012!$B$61:$AJ$122,MATCH(VLOOKUP("*"&amp;$AW26,$A$10:$J$11,$J$9,FALSE)&amp;N$7,COM_N_2012!$B$58:$AJ$58,0),FALSE),"")</f>
        <v/>
      </c>
      <c r="O26" s="391" t="str">
        <f ca="1">IF($A26="*","",IFERROR(VLOOKUP($C26,COM_N_2017!$B$61:$AJ$122,MATCH(VLOOKUP("*"&amp;$AW26,$A$10:$J$11,$J$9,FALSE)&amp;O$7,COM_N_2017!$B$58:$AJ$58,0),FALSE),""))</f>
        <v/>
      </c>
      <c r="P26" s="391" t="str">
        <f ca="1">IFERROR(VLOOKUP($C26,COM_N_2012!$B$61:$AJ$122,MATCH(VLOOKUP("*"&amp;$AW26,$A$10:$J$11,$J$9,FALSE)&amp;P$7,COM_N_2012!$B$58:$AJ$58,0),FALSE),"")</f>
        <v/>
      </c>
      <c r="Q26" s="391" t="str">
        <f ca="1">IFERROR(VLOOKUP($C26,COM_N_2012!$B$61:$AJ$122,MATCH(VLOOKUP("*"&amp;$AW26,$A$10:$J$11,$J$9,FALSE)&amp;Q$7,COM_N_2012!$B$58:$AJ$58,0),FALSE),"")</f>
        <v/>
      </c>
      <c r="R26" s="391" t="str">
        <f ca="1">IF($A26="*","",IFERROR(VLOOKUP($C26,COM_N_2017!$B$61:$AJ$122,MATCH(VLOOKUP("*"&amp;$AW26,$A$10:$J$11,$J$9,FALSE)&amp;R$7,COM_N_2017!$B$58:$AJ$58,0),FALSE),""))</f>
        <v/>
      </c>
      <c r="S26" s="391" t="str">
        <f ca="1">IFERROR(VLOOKUP($C26,COM_N_2012!$B$61:$AJ$122,MATCH(VLOOKUP("*"&amp;$AW26,$A$10:$J$11,$J$9,FALSE)&amp;S$7,COM_N_2012!$B$58:$AJ$58,0),FALSE),"")</f>
        <v/>
      </c>
      <c r="T26" s="391" t="str">
        <f ca="1">IFERROR(VLOOKUP($C26,COM_N_2012!$B$61:$AJ$122,MATCH(VLOOKUP("*"&amp;$AW26,$A$10:$J$11,$J$9,FALSE)&amp;T$7,COM_N_2012!$B$58:$AJ$58,0),FALSE),"")</f>
        <v/>
      </c>
      <c r="U26" s="391" t="str">
        <f ca="1">IFERROR(VLOOKUP($C26,COM_N_2012!$B$61:$AJ$122,MATCH(VLOOKUP("*"&amp;$AW26,$A$10:$J$11,$J$9,FALSE)&amp;U$7,COM_N_2012!$B$58:$AJ$58,0),FALSE),"")</f>
        <v/>
      </c>
      <c r="V26" s="391" t="str">
        <f ca="1">IFERROR(VLOOKUP($C26,COM_N_2012!$B$61:$AJ$122,MATCH(VLOOKUP("*"&amp;$AW26,$A$10:$J$11,$J$9,FALSE)&amp;V$7,COM_N_2012!$B$58:$AJ$58,0),FALSE),"")</f>
        <v/>
      </c>
      <c r="W26" s="391" t="str">
        <f ca="1">IF($A26="*","",IFERROR(VLOOKUP($C26,COM_N_2017!$B$61:$AJ$122,MATCH(VLOOKUP("*"&amp;$AW26,$A$10:$J$11,$J$9,FALSE)&amp;W$7,COM_N_2017!$B$58:$AJ$58,0),FALSE),""))</f>
        <v/>
      </c>
      <c r="X26" s="391" t="str">
        <f ca="1">IFERROR(VLOOKUP($C26,COM_N_2012!$B$61:$AJ$122,MATCH(VLOOKUP("*"&amp;$AW26,$A$10:$J$11,$J$9,FALSE)&amp;X$7,COM_N_2012!$B$58:$AJ$58,0),FALSE),"")</f>
        <v/>
      </c>
      <c r="Y26" s="391" t="str">
        <f ca="1">IFERROR(VLOOKUP($C26,COM_N_2012!$B$61:$AJ$122,MATCH(VLOOKUP("*"&amp;$AW26,$A$10:$J$11,$J$9,FALSE)&amp;Y$7,COM_N_2012!$B$58:$AJ$58,0),FALSE),"")</f>
        <v/>
      </c>
      <c r="Z26" s="391" t="str">
        <f ca="1">IFERROR(VLOOKUP($C26,COM_N_2012!$B$61:$AJ$122,MATCH(VLOOKUP("*"&amp;$AW26,$A$10:$J$11,$J$9,FALSE)&amp;Z$7,COM_N_2012!$B$58:$AJ$58,0),FALSE),"")</f>
        <v/>
      </c>
      <c r="AA26" s="391" t="str">
        <f ca="1">IFERROR(VLOOKUP($C26,COM_N_2012!$B$61:$AJ$122,MATCH(VLOOKUP("*"&amp;$AW26,$A$10:$J$11,$J$9,FALSE)&amp;AA$7,COM_N_2012!$B$58:$AJ$58,0),FALSE),"")</f>
        <v/>
      </c>
      <c r="AB26" s="391" t="str">
        <f ca="1">IF($A26="*","",IFERROR(VLOOKUP($C26,COM_N_2017!$B$61:$AJ$122,MATCH(VLOOKUP("*"&amp;$AW26,$A$10:$J$11,$J$9,FALSE)&amp;AB$7,COM_N_2017!$B$58:$AJ$58,0),FALSE),""))</f>
        <v/>
      </c>
      <c r="AC26" s="391" t="str">
        <f ca="1">IFERROR(VLOOKUP($C26,COM_N_2012!$B$61:$AJ$122,MATCH(VLOOKUP("*"&amp;$AW26,$A$10:$J$11,$J$9,FALSE)&amp;AC$7,COM_N_2012!$B$58:$AJ$58,0),FALSE),"")</f>
        <v/>
      </c>
      <c r="AD26" s="391" t="str">
        <f ca="1">IFERROR(VLOOKUP($C26,COM_N_2012!$B$61:$AJ$122,MATCH(VLOOKUP("*"&amp;$AW26,$A$10:$J$11,$J$9,FALSE)&amp;AD$7,COM_N_2012!$B$58:$AJ$58,0),FALSE),"")</f>
        <v/>
      </c>
      <c r="AE26" s="391" t="str">
        <f ca="1">IFERROR(VLOOKUP($C26,COM_N_2012!$B$61:$AJ$122,MATCH(VLOOKUP("*"&amp;$AW26,$A$10:$J$11,$J$9,FALSE)&amp;AE$7,COM_N_2012!$B$58:$AJ$58,0),FALSE),"")</f>
        <v/>
      </c>
      <c r="AF26" s="391" t="str">
        <f ca="1">IFERROR(VLOOKUP($C26,COM_N_2012!$B$61:$AJ$122,MATCH(VLOOKUP("*"&amp;$AW26,$A$10:$J$11,$J$9,FALSE)&amp;AF$7,COM_N_2012!$B$58:$AJ$58,0),FALSE),"")</f>
        <v/>
      </c>
      <c r="AG26" s="391" t="str">
        <f ca="1">IF($A26="*","",IFERROR(VLOOKUP($C26,COM_N_2017!$B$61:$AJ$122,MATCH(VLOOKUP("*"&amp;$AW26,$A$10:$J$11,$J$9,FALSE)&amp;AG$7,COM_N_2017!$B$58:$AJ$58,0),FALSE),""))</f>
        <v/>
      </c>
      <c r="AH26" s="391" t="str">
        <f ca="1">IFERROR(VLOOKUP($C26,COM_N_2012!$B$61:$AJ$122,MATCH(VLOOKUP("*"&amp;$AW26,$A$10:$J$11,$J$9,FALSE)&amp;AH$7,COM_N_2012!$B$58:$AJ$58,0),FALSE),"")</f>
        <v/>
      </c>
      <c r="AI26" s="391" t="str">
        <f ca="1">IFERROR(VLOOKUP($C26,COM_N_2012!$B$61:$AJ$122,MATCH(VLOOKUP("*"&amp;$AW26,$A$10:$J$11,$J$9,FALSE)&amp;AI$7,COM_N_2012!$B$58:$AJ$58,0),FALSE),"")</f>
        <v/>
      </c>
      <c r="AJ26" s="391" t="str">
        <f ca="1">IFERROR(VLOOKUP($C26,COM_N_2012!$B$61:$AJ$122,MATCH(VLOOKUP("*"&amp;$AW26,$A$10:$J$11,$J$9,FALSE)&amp;AJ$7,COM_N_2012!$B$58:$AJ$58,0),FALSE),"")</f>
        <v/>
      </c>
      <c r="AK26" s="391" t="str">
        <f ca="1">IFERROR(VLOOKUP($C26,COM_N_2012!$B$61:$AJ$122,MATCH(VLOOKUP("*"&amp;$AW26,$A$10:$J$11,$J$9,FALSE)&amp;AK$7,COM_N_2012!$B$58:$AJ$58,0),FALSE),"")</f>
        <v/>
      </c>
      <c r="AL26" s="391" t="str">
        <f ca="1">IF($A26="*","",IFERROR(VLOOKUP($C26,COM_N_2017!$B$61:$AJ$122,MATCH(VLOOKUP("*"&amp;$AW26,$A$10:$J$11,$J$9,FALSE)&amp;AL$7,COM_N_2017!$B$58:$AJ$58,0),FALSE),""))</f>
        <v/>
      </c>
      <c r="AM26" s="391" t="str">
        <f ca="1">IF($A26="*","",IFERROR(VLOOKUP($C26,COM_N_2017!$B$61:$AJ$122,MATCH(VLOOKUP("*"&amp;$AW26,$A$10:$J$11,$J$9,FALSE)&amp;AM$7,COM_N_2017!$B$58:$AJ$58,0),FALSE),""))</f>
        <v/>
      </c>
      <c r="AN26" s="391" t="str">
        <f ca="1">IF($A26="*","",IFERROR(VLOOKUP($C26,COM_N_2017!$B$61:$AJ$122,MATCH(VLOOKUP("*"&amp;$AW26,$A$10:$J$11,$J$9,FALSE)&amp;AN$7,COM_N_2017!$B$58:$AJ$58,0),FALSE),""))</f>
        <v/>
      </c>
      <c r="AO26" s="391" t="str">
        <f ca="1">IFERROR(VLOOKUP($C26,COM_N_2012!$B$61:$AJ$122,MATCH(VLOOKUP("*"&amp;$AW26,$A$10:$J$11,$J$9,FALSE)&amp;AO$7,COM_N_2012!$B$58:$AJ$58,0),FALSE),"")</f>
        <v/>
      </c>
      <c r="AP26" s="391" t="str">
        <f ca="1">IFERROR(VLOOKUP($C26,COM_N_2012!$B$61:$AJ$122,MATCH(VLOOKUP("*"&amp;$AW26,$A$10:$J$11,$J$9,FALSE)&amp;AP$7,COM_N_2012!$B$58:$AJ$58,0),FALSE),"")</f>
        <v/>
      </c>
      <c r="AQ26" s="391" t="str">
        <f ca="1">IFERROR(VLOOKUP($C26,COM_N_2012!$B$61:$AJ$122,MATCH(VLOOKUP("*"&amp;$AW26,$A$10:$J$11,$J$9,FALSE)&amp;AQ$7,COM_N_2012!$B$58:$AJ$58,0),FALSE),"")</f>
        <v/>
      </c>
      <c r="AR26" s="391" t="str">
        <f ca="1">IFERROR(VLOOKUP($C26,COM_N_2012!$B$61:$AJ$122,MATCH(VLOOKUP("*"&amp;$AW26,$A$10:$J$11,$J$9,FALSE)&amp;AR$7,COM_N_2012!$B$58:$AJ$58,0),FALSE),"")</f>
        <v/>
      </c>
      <c r="AS26" s="391" t="str">
        <f ca="1">IFERROR(VLOOKUP($C26,COM_N_2012!$B$61:$AJ$122,MATCH(VLOOKUP("*"&amp;$AW26,$A$10:$J$11,$J$9,FALSE)&amp;AS$7,COM_N_2012!$B$58:$AJ$58,0),FALSE),"")</f>
        <v/>
      </c>
      <c r="AT26" s="391" t="str">
        <f ca="1">IFERROR(VLOOKUP($C26,COM_N_2012!$B$61:$AJ$122,MATCH(VLOOKUP("*"&amp;$AW26,$A$10:$J$11,$J$9,FALSE)&amp;AT$7,COM_N_2012!$B$58:$AJ$58,0),FALSE),"")</f>
        <v/>
      </c>
      <c r="AU26" s="391" t="str">
        <f ca="1">IFERROR(VLOOKUP($C26,COM_N_2012!$B$61:$AJ$122,MATCH(VLOOKUP("*"&amp;$AW26,$A$10:$J$11,$J$9,FALSE)&amp;AU$7,COM_N_2012!$B$58:$AJ$58,0),FALSE),"")</f>
        <v/>
      </c>
      <c r="AV26" s="391" t="str">
        <f ca="1">IFERROR(VLOOKUP($C26,COM_N_2012!$B$61:$AJ$122,MATCH(VLOOKUP("*"&amp;$AW26,$A$10:$J$11,$J$9,FALSE)&amp;AV$7,COM_N_2012!$B$58:$AJ$58,0),FALSE),"")</f>
        <v/>
      </c>
      <c r="AW26" s="304">
        <f>IF(AX25=COM_N_2012!$AK$121,AW25+1,AW25)</f>
        <v>1</v>
      </c>
      <c r="AX26" s="304">
        <f t="shared" si="7"/>
        <v>14</v>
      </c>
    </row>
    <row r="27" spans="1:50">
      <c r="A27" s="304" t="str">
        <f ca="1">IF(LEFT(OFFSET(COM_N_2012!$A$60,AX27,0),2)="\I","*","")</f>
        <v>*</v>
      </c>
      <c r="B27" s="369" t="str">
        <f t="shared" ca="1" si="3"/>
        <v/>
      </c>
      <c r="C27" s="369" t="str">
        <f ca="1">IF($A27="*","",OFFSET(COM_N_2012!$B$60,AX27,0))</f>
        <v/>
      </c>
      <c r="D27" s="369" t="str">
        <f t="shared" ca="1" si="4"/>
        <v/>
      </c>
      <c r="E27" s="369" t="str">
        <f t="shared" ca="1" si="5"/>
        <v/>
      </c>
      <c r="F27" s="370" t="str">
        <f t="shared" ca="1" si="6"/>
        <v/>
      </c>
      <c r="G27" s="370" t="str">
        <f t="shared" ca="1" si="6"/>
        <v/>
      </c>
      <c r="H27" s="370" t="str">
        <f t="shared" ca="1" si="6"/>
        <v/>
      </c>
      <c r="I27" s="370" t="str">
        <f t="shared" ca="1" si="6"/>
        <v/>
      </c>
      <c r="J27" s="391" t="str">
        <f ca="1">IFERROR(VLOOKUP($C27,COM_N_2012!$B$61:$AJ$122,MATCH(VLOOKUP("*"&amp;$AW27,$A$10:$J$11,$J$9,FALSE)&amp;J$7,COM_N_2012!$B$58:$AJ$58,0),FALSE),"")</f>
        <v/>
      </c>
      <c r="K27" s="391" t="str">
        <f ca="1">IFERROR(VLOOKUP($C27,COM_N_2012!$B$61:$AJ$122,MATCH(VLOOKUP("*"&amp;$AW27,$A$10:$J$11,$J$9,FALSE)&amp;K$7,COM_N_2012!$B$58:$AJ$58,0),FALSE),"")</f>
        <v/>
      </c>
      <c r="L27" s="391" t="str">
        <f ca="1">IFERROR(VLOOKUP($C27,COM_N_2012!$B$61:$AJ$122,MATCH(VLOOKUP("*"&amp;$AW27,$A$10:$J$11,$J$9,FALSE)&amp;L$7,COM_N_2012!$B$58:$AJ$58,0),FALSE),"")</f>
        <v/>
      </c>
      <c r="M27" s="391" t="str">
        <f ca="1">IFERROR(VLOOKUP($C27,COM_N_2012!$B$61:$AJ$122,MATCH(VLOOKUP("*"&amp;$AW27,$A$10:$J$11,$J$9,FALSE)&amp;M$7,COM_N_2012!$B$58:$AJ$58,0),FALSE),"")</f>
        <v/>
      </c>
      <c r="N27" s="391" t="str">
        <f ca="1">IFERROR(VLOOKUP($C27,COM_N_2012!$B$61:$AJ$122,MATCH(VLOOKUP("*"&amp;$AW27,$A$10:$J$11,$J$9,FALSE)&amp;N$7,COM_N_2012!$B$58:$AJ$58,0),FALSE),"")</f>
        <v/>
      </c>
      <c r="O27" s="391" t="str">
        <f ca="1">IF($A27="*","",IFERROR(VLOOKUP($C27,COM_N_2017!$B$61:$AJ$122,MATCH(VLOOKUP("*"&amp;$AW27,$A$10:$J$11,$J$9,FALSE)&amp;O$7,COM_N_2017!$B$58:$AJ$58,0),FALSE),""))</f>
        <v/>
      </c>
      <c r="P27" s="391" t="str">
        <f ca="1">IFERROR(VLOOKUP($C27,COM_N_2012!$B$61:$AJ$122,MATCH(VLOOKUP("*"&amp;$AW27,$A$10:$J$11,$J$9,FALSE)&amp;P$7,COM_N_2012!$B$58:$AJ$58,0),FALSE),"")</f>
        <v/>
      </c>
      <c r="Q27" s="391" t="str">
        <f ca="1">IFERROR(VLOOKUP($C27,COM_N_2012!$B$61:$AJ$122,MATCH(VLOOKUP("*"&amp;$AW27,$A$10:$J$11,$J$9,FALSE)&amp;Q$7,COM_N_2012!$B$58:$AJ$58,0),FALSE),"")</f>
        <v/>
      </c>
      <c r="R27" s="391" t="str">
        <f ca="1">IF($A27="*","",IFERROR(VLOOKUP($C27,COM_N_2017!$B$61:$AJ$122,MATCH(VLOOKUP("*"&amp;$AW27,$A$10:$J$11,$J$9,FALSE)&amp;R$7,COM_N_2017!$B$58:$AJ$58,0),FALSE),""))</f>
        <v/>
      </c>
      <c r="S27" s="391" t="str">
        <f ca="1">IFERROR(VLOOKUP($C27,COM_N_2012!$B$61:$AJ$122,MATCH(VLOOKUP("*"&amp;$AW27,$A$10:$J$11,$J$9,FALSE)&amp;S$7,COM_N_2012!$B$58:$AJ$58,0),FALSE),"")</f>
        <v/>
      </c>
      <c r="T27" s="391" t="str">
        <f ca="1">IFERROR(VLOOKUP($C27,COM_N_2012!$B$61:$AJ$122,MATCH(VLOOKUP("*"&amp;$AW27,$A$10:$J$11,$J$9,FALSE)&amp;T$7,COM_N_2012!$B$58:$AJ$58,0),FALSE),"")</f>
        <v/>
      </c>
      <c r="U27" s="391" t="str">
        <f ca="1">IFERROR(VLOOKUP($C27,COM_N_2012!$B$61:$AJ$122,MATCH(VLOOKUP("*"&amp;$AW27,$A$10:$J$11,$J$9,FALSE)&amp;U$7,COM_N_2012!$B$58:$AJ$58,0),FALSE),"")</f>
        <v/>
      </c>
      <c r="V27" s="391" t="str">
        <f ca="1">IFERROR(VLOOKUP($C27,COM_N_2012!$B$61:$AJ$122,MATCH(VLOOKUP("*"&amp;$AW27,$A$10:$J$11,$J$9,FALSE)&amp;V$7,COM_N_2012!$B$58:$AJ$58,0),FALSE),"")</f>
        <v/>
      </c>
      <c r="W27" s="391" t="str">
        <f ca="1">IF($A27="*","",IFERROR(VLOOKUP($C27,COM_N_2017!$B$61:$AJ$122,MATCH(VLOOKUP("*"&amp;$AW27,$A$10:$J$11,$J$9,FALSE)&amp;W$7,COM_N_2017!$B$58:$AJ$58,0),FALSE),""))</f>
        <v/>
      </c>
      <c r="X27" s="391" t="str">
        <f ca="1">IFERROR(VLOOKUP($C27,COM_N_2012!$B$61:$AJ$122,MATCH(VLOOKUP("*"&amp;$AW27,$A$10:$J$11,$J$9,FALSE)&amp;X$7,COM_N_2012!$B$58:$AJ$58,0),FALSE),"")</f>
        <v/>
      </c>
      <c r="Y27" s="391" t="str">
        <f ca="1">IFERROR(VLOOKUP($C27,COM_N_2012!$B$61:$AJ$122,MATCH(VLOOKUP("*"&amp;$AW27,$A$10:$J$11,$J$9,FALSE)&amp;Y$7,COM_N_2012!$B$58:$AJ$58,0),FALSE),"")</f>
        <v/>
      </c>
      <c r="Z27" s="391" t="str">
        <f ca="1">IFERROR(VLOOKUP($C27,COM_N_2012!$B$61:$AJ$122,MATCH(VLOOKUP("*"&amp;$AW27,$A$10:$J$11,$J$9,FALSE)&amp;Z$7,COM_N_2012!$B$58:$AJ$58,0),FALSE),"")</f>
        <v/>
      </c>
      <c r="AA27" s="391" t="str">
        <f ca="1">IFERROR(VLOOKUP($C27,COM_N_2012!$B$61:$AJ$122,MATCH(VLOOKUP("*"&amp;$AW27,$A$10:$J$11,$J$9,FALSE)&amp;AA$7,COM_N_2012!$B$58:$AJ$58,0),FALSE),"")</f>
        <v/>
      </c>
      <c r="AB27" s="391" t="str">
        <f ca="1">IF($A27="*","",IFERROR(VLOOKUP($C27,COM_N_2017!$B$61:$AJ$122,MATCH(VLOOKUP("*"&amp;$AW27,$A$10:$J$11,$J$9,FALSE)&amp;AB$7,COM_N_2017!$B$58:$AJ$58,0),FALSE),""))</f>
        <v/>
      </c>
      <c r="AC27" s="391" t="str">
        <f ca="1">IFERROR(VLOOKUP($C27,COM_N_2012!$B$61:$AJ$122,MATCH(VLOOKUP("*"&amp;$AW27,$A$10:$J$11,$J$9,FALSE)&amp;AC$7,COM_N_2012!$B$58:$AJ$58,0),FALSE),"")</f>
        <v/>
      </c>
      <c r="AD27" s="391" t="str">
        <f ca="1">IFERROR(VLOOKUP($C27,COM_N_2012!$B$61:$AJ$122,MATCH(VLOOKUP("*"&amp;$AW27,$A$10:$J$11,$J$9,FALSE)&amp;AD$7,COM_N_2012!$B$58:$AJ$58,0),FALSE),"")</f>
        <v/>
      </c>
      <c r="AE27" s="391" t="str">
        <f ca="1">IFERROR(VLOOKUP($C27,COM_N_2012!$B$61:$AJ$122,MATCH(VLOOKUP("*"&amp;$AW27,$A$10:$J$11,$J$9,FALSE)&amp;AE$7,COM_N_2012!$B$58:$AJ$58,0),FALSE),"")</f>
        <v/>
      </c>
      <c r="AF27" s="391" t="str">
        <f ca="1">IFERROR(VLOOKUP($C27,COM_N_2012!$B$61:$AJ$122,MATCH(VLOOKUP("*"&amp;$AW27,$A$10:$J$11,$J$9,FALSE)&amp;AF$7,COM_N_2012!$B$58:$AJ$58,0),FALSE),"")</f>
        <v/>
      </c>
      <c r="AG27" s="391" t="str">
        <f ca="1">IF($A27="*","",IFERROR(VLOOKUP($C27,COM_N_2017!$B$61:$AJ$122,MATCH(VLOOKUP("*"&amp;$AW27,$A$10:$J$11,$J$9,FALSE)&amp;AG$7,COM_N_2017!$B$58:$AJ$58,0),FALSE),""))</f>
        <v/>
      </c>
      <c r="AH27" s="391" t="str">
        <f ca="1">IFERROR(VLOOKUP($C27,COM_N_2012!$B$61:$AJ$122,MATCH(VLOOKUP("*"&amp;$AW27,$A$10:$J$11,$J$9,FALSE)&amp;AH$7,COM_N_2012!$B$58:$AJ$58,0),FALSE),"")</f>
        <v/>
      </c>
      <c r="AI27" s="391" t="str">
        <f ca="1">IFERROR(VLOOKUP($C27,COM_N_2012!$B$61:$AJ$122,MATCH(VLOOKUP("*"&amp;$AW27,$A$10:$J$11,$J$9,FALSE)&amp;AI$7,COM_N_2012!$B$58:$AJ$58,0),FALSE),"")</f>
        <v/>
      </c>
      <c r="AJ27" s="391" t="str">
        <f ca="1">IFERROR(VLOOKUP($C27,COM_N_2012!$B$61:$AJ$122,MATCH(VLOOKUP("*"&amp;$AW27,$A$10:$J$11,$J$9,FALSE)&amp;AJ$7,COM_N_2012!$B$58:$AJ$58,0),FALSE),"")</f>
        <v/>
      </c>
      <c r="AK27" s="391" t="str">
        <f ca="1">IFERROR(VLOOKUP($C27,COM_N_2012!$B$61:$AJ$122,MATCH(VLOOKUP("*"&amp;$AW27,$A$10:$J$11,$J$9,FALSE)&amp;AK$7,COM_N_2012!$B$58:$AJ$58,0),FALSE),"")</f>
        <v/>
      </c>
      <c r="AL27" s="391" t="str">
        <f ca="1">IF($A27="*","",IFERROR(VLOOKUP($C27,COM_N_2017!$B$61:$AJ$122,MATCH(VLOOKUP("*"&amp;$AW27,$A$10:$J$11,$J$9,FALSE)&amp;AL$7,COM_N_2017!$B$58:$AJ$58,0),FALSE),""))</f>
        <v/>
      </c>
      <c r="AM27" s="391" t="str">
        <f ca="1">IF($A27="*","",IFERROR(VLOOKUP($C27,COM_N_2017!$B$61:$AJ$122,MATCH(VLOOKUP("*"&amp;$AW27,$A$10:$J$11,$J$9,FALSE)&amp;AM$7,COM_N_2017!$B$58:$AJ$58,0),FALSE),""))</f>
        <v/>
      </c>
      <c r="AN27" s="391" t="str">
        <f ca="1">IF($A27="*","",IFERROR(VLOOKUP($C27,COM_N_2017!$B$61:$AJ$122,MATCH(VLOOKUP("*"&amp;$AW27,$A$10:$J$11,$J$9,FALSE)&amp;AN$7,COM_N_2017!$B$58:$AJ$58,0),FALSE),""))</f>
        <v/>
      </c>
      <c r="AO27" s="391" t="str">
        <f ca="1">IFERROR(VLOOKUP($C27,COM_N_2012!$B$61:$AJ$122,MATCH(VLOOKUP("*"&amp;$AW27,$A$10:$J$11,$J$9,FALSE)&amp;AO$7,COM_N_2012!$B$58:$AJ$58,0),FALSE),"")</f>
        <v/>
      </c>
      <c r="AP27" s="391" t="str">
        <f ca="1">IFERROR(VLOOKUP($C27,COM_N_2012!$B$61:$AJ$122,MATCH(VLOOKUP("*"&amp;$AW27,$A$10:$J$11,$J$9,FALSE)&amp;AP$7,COM_N_2012!$B$58:$AJ$58,0),FALSE),"")</f>
        <v/>
      </c>
      <c r="AQ27" s="391" t="str">
        <f ca="1">IFERROR(VLOOKUP($C27,COM_N_2012!$B$61:$AJ$122,MATCH(VLOOKUP("*"&amp;$AW27,$A$10:$J$11,$J$9,FALSE)&amp;AQ$7,COM_N_2012!$B$58:$AJ$58,0),FALSE),"")</f>
        <v/>
      </c>
      <c r="AR27" s="391" t="str">
        <f ca="1">IFERROR(VLOOKUP($C27,COM_N_2012!$B$61:$AJ$122,MATCH(VLOOKUP("*"&amp;$AW27,$A$10:$J$11,$J$9,FALSE)&amp;AR$7,COM_N_2012!$B$58:$AJ$58,0),FALSE),"")</f>
        <v/>
      </c>
      <c r="AS27" s="391" t="str">
        <f ca="1">IFERROR(VLOOKUP($C27,COM_N_2012!$B$61:$AJ$122,MATCH(VLOOKUP("*"&amp;$AW27,$A$10:$J$11,$J$9,FALSE)&amp;AS$7,COM_N_2012!$B$58:$AJ$58,0),FALSE),"")</f>
        <v/>
      </c>
      <c r="AT27" s="391" t="str">
        <f ca="1">IFERROR(VLOOKUP($C27,COM_N_2012!$B$61:$AJ$122,MATCH(VLOOKUP("*"&amp;$AW27,$A$10:$J$11,$J$9,FALSE)&amp;AT$7,COM_N_2012!$B$58:$AJ$58,0),FALSE),"")</f>
        <v/>
      </c>
      <c r="AU27" s="391" t="str">
        <f ca="1">IFERROR(VLOOKUP($C27,COM_N_2012!$B$61:$AJ$122,MATCH(VLOOKUP("*"&amp;$AW27,$A$10:$J$11,$J$9,FALSE)&amp;AU$7,COM_N_2012!$B$58:$AJ$58,0),FALSE),"")</f>
        <v/>
      </c>
      <c r="AV27" s="391" t="str">
        <f ca="1">IFERROR(VLOOKUP($C27,COM_N_2012!$B$61:$AJ$122,MATCH(VLOOKUP("*"&amp;$AW27,$A$10:$J$11,$J$9,FALSE)&amp;AV$7,COM_N_2012!$B$58:$AJ$58,0),FALSE),"")</f>
        <v/>
      </c>
      <c r="AW27" s="304">
        <f>IF(AX26=COM_N_2012!$AK$121,AW26+1,AW26)</f>
        <v>1</v>
      </c>
      <c r="AX27" s="304">
        <f t="shared" si="7"/>
        <v>15</v>
      </c>
    </row>
    <row r="28" spans="1:50">
      <c r="A28" s="304" t="str">
        <f ca="1">IF(LEFT(OFFSET(COM_N_2012!$A$60,AX28,0),2)="\I","*","")</f>
        <v/>
      </c>
      <c r="B28" s="369" t="str">
        <f t="shared" ca="1" si="3"/>
        <v>FLO_MRKPRD</v>
      </c>
      <c r="C28" s="369" t="str">
        <f ca="1">IF($A28="*","",OFFSET(COM_N_2012!$B$60,AX28,0))</f>
        <v>CNKOLP-E</v>
      </c>
      <c r="D28" s="369" t="str">
        <f t="shared" ca="1" si="4"/>
        <v>CNK</v>
      </c>
      <c r="E28" s="369" t="str">
        <f t="shared" ca="1" si="5"/>
        <v>-</v>
      </c>
      <c r="F28" s="370" t="str">
        <f t="shared" ca="1" si="6"/>
        <v>-</v>
      </c>
      <c r="G28" s="370" t="str">
        <f t="shared" ca="1" si="6"/>
        <v>ANNUAL</v>
      </c>
      <c r="H28" s="370" t="str">
        <f t="shared" ca="1" si="6"/>
        <v>UP</v>
      </c>
      <c r="I28" s="370">
        <f t="shared" ca="1" si="6"/>
        <v>0</v>
      </c>
      <c r="J28" s="391">
        <f ca="1">IFERROR(VLOOKUP($C28,COM_N_2012!$B$61:$AJ$122,MATCH(VLOOKUP("*"&amp;$AW28,$A$10:$J$11,$J$9,FALSE)&amp;J$7,COM_N_2012!$B$58:$AJ$58,0),FALSE),"")</f>
        <v>3.7822397751343918E-2</v>
      </c>
      <c r="K28" s="391" t="str">
        <f ca="1">IFERROR(VLOOKUP($C28,COM_N_2012!$B$61:$AJ$122,MATCH(VLOOKUP("*"&amp;$AW28,$A$10:$J$11,$J$9,FALSE)&amp;K$7,COM_N_2012!$B$58:$AJ$58,0),FALSE),"")</f>
        <v/>
      </c>
      <c r="L28" s="391" t="str">
        <f ca="1">IFERROR(VLOOKUP($C28,COM_N_2012!$B$61:$AJ$122,MATCH(VLOOKUP("*"&amp;$AW28,$A$10:$J$11,$J$9,FALSE)&amp;L$7,COM_N_2012!$B$58:$AJ$58,0),FALSE),"")</f>
        <v/>
      </c>
      <c r="M28" s="391">
        <f ca="1">IFERROR(VLOOKUP($C28,COM_N_2012!$B$61:$AJ$122,MATCH(VLOOKUP("*"&amp;$AW28,$A$10:$J$11,$J$9,FALSE)&amp;M$7,COM_N_2012!$B$58:$AJ$58,0),FALSE),"")</f>
        <v>3.7822397751343918E-2</v>
      </c>
      <c r="N28" s="391" t="str">
        <f ca="1">IFERROR(VLOOKUP($C28,COM_N_2012!$B$61:$AJ$122,MATCH(VLOOKUP("*"&amp;$AW28,$A$10:$J$11,$J$9,FALSE)&amp;N$7,COM_N_2012!$B$58:$AJ$58,0),FALSE),"")</f>
        <v/>
      </c>
      <c r="O28" s="391">
        <f ca="1">IF($A28="*","",IFERROR(VLOOKUP($C28,COM_N_2017!$B$61:$AJ$122,MATCH(VLOOKUP("*"&amp;$AW28,$A$10:$J$11,$J$9,FALSE)&amp;O$7,COM_N_2017!$B$58:$AJ$58,0),FALSE),""))</f>
        <v>4.84800835839391E-3</v>
      </c>
      <c r="P28" s="391" t="str">
        <f ca="1">IFERROR(VLOOKUP($C28,COM_N_2012!$B$61:$AJ$122,MATCH(VLOOKUP("*"&amp;$AW28,$A$10:$J$11,$J$9,FALSE)&amp;P$7,COM_N_2012!$B$58:$AJ$58,0),FALSE),"")</f>
        <v/>
      </c>
      <c r="Q28" s="391" t="str">
        <f ca="1">IFERROR(VLOOKUP($C28,COM_N_2012!$B$61:$AJ$122,MATCH(VLOOKUP("*"&amp;$AW28,$A$10:$J$11,$J$9,FALSE)&amp;Q$7,COM_N_2012!$B$58:$AJ$58,0),FALSE),"")</f>
        <v/>
      </c>
      <c r="R28" s="391">
        <f ca="1">IF($A28="*","",IFERROR(VLOOKUP($C28,COM_N_2017!$B$61:$AJ$122,MATCH(VLOOKUP("*"&amp;$AW28,$A$10:$J$11,$J$9,FALSE)&amp;R$7,COM_N_2017!$B$58:$AJ$58,0),FALSE),""))</f>
        <v>3.4848008358393912E-2</v>
      </c>
      <c r="S28" s="391" t="str">
        <f ca="1">IFERROR(VLOOKUP($C28,COM_N_2012!$B$61:$AJ$122,MATCH(VLOOKUP("*"&amp;$AW28,$A$10:$J$11,$J$9,FALSE)&amp;S$7,COM_N_2012!$B$58:$AJ$58,0),FALSE),"")</f>
        <v/>
      </c>
      <c r="T28" s="391" t="str">
        <f ca="1">IFERROR(VLOOKUP($C28,COM_N_2012!$B$61:$AJ$122,MATCH(VLOOKUP("*"&amp;$AW28,$A$10:$J$11,$J$9,FALSE)&amp;T$7,COM_N_2012!$B$58:$AJ$58,0),FALSE),"")</f>
        <v/>
      </c>
      <c r="U28" s="391" t="str">
        <f ca="1">IFERROR(VLOOKUP($C28,COM_N_2012!$B$61:$AJ$122,MATCH(VLOOKUP("*"&amp;$AW28,$A$10:$J$11,$J$9,FALSE)&amp;U$7,COM_N_2012!$B$58:$AJ$58,0),FALSE),"")</f>
        <v/>
      </c>
      <c r="V28" s="391" t="str">
        <f ca="1">IFERROR(VLOOKUP($C28,COM_N_2012!$B$61:$AJ$122,MATCH(VLOOKUP("*"&amp;$AW28,$A$10:$J$11,$J$9,FALSE)&amp;V$7,COM_N_2012!$B$58:$AJ$58,0),FALSE),"")</f>
        <v/>
      </c>
      <c r="W28" s="391">
        <f ca="1">IF($A28="*","",IFERROR(VLOOKUP($C28,COM_N_2017!$B$61:$AJ$122,MATCH(VLOOKUP("*"&amp;$AW28,$A$10:$J$11,$J$9,FALSE)&amp;W$7,COM_N_2017!$B$58:$AJ$58,0),FALSE),""))</f>
        <v>0.10484800835839392</v>
      </c>
      <c r="X28" s="391" t="str">
        <f ca="1">IFERROR(VLOOKUP($C28,COM_N_2012!$B$61:$AJ$122,MATCH(VLOOKUP("*"&amp;$AW28,$A$10:$J$11,$J$9,FALSE)&amp;X$7,COM_N_2012!$B$58:$AJ$58,0),FALSE),"")</f>
        <v/>
      </c>
      <c r="Y28" s="391" t="str">
        <f ca="1">IFERROR(VLOOKUP($C28,COM_N_2012!$B$61:$AJ$122,MATCH(VLOOKUP("*"&amp;$AW28,$A$10:$J$11,$J$9,FALSE)&amp;Y$7,COM_N_2012!$B$58:$AJ$58,0),FALSE),"")</f>
        <v/>
      </c>
      <c r="Z28" s="391" t="str">
        <f ca="1">IFERROR(VLOOKUP($C28,COM_N_2012!$B$61:$AJ$122,MATCH(VLOOKUP("*"&amp;$AW28,$A$10:$J$11,$J$9,FALSE)&amp;Z$7,COM_N_2012!$B$58:$AJ$58,0),FALSE),"")</f>
        <v/>
      </c>
      <c r="AA28" s="391" t="str">
        <f ca="1">IFERROR(VLOOKUP($C28,COM_N_2012!$B$61:$AJ$122,MATCH(VLOOKUP("*"&amp;$AW28,$A$10:$J$11,$J$9,FALSE)&amp;AA$7,COM_N_2012!$B$58:$AJ$58,0),FALSE),"")</f>
        <v/>
      </c>
      <c r="AB28" s="391">
        <f ca="1">IF($A28="*","",IFERROR(VLOOKUP($C28,COM_N_2017!$B$61:$AJ$122,MATCH(VLOOKUP("*"&amp;$AW28,$A$10:$J$11,$J$9,FALSE)&amp;AB$7,COM_N_2017!$B$58:$AJ$58,0),FALSE),""))</f>
        <v>0.30484800835839387</v>
      </c>
      <c r="AC28" s="391" t="str">
        <f ca="1">IFERROR(VLOOKUP($C28,COM_N_2012!$B$61:$AJ$122,MATCH(VLOOKUP("*"&amp;$AW28,$A$10:$J$11,$J$9,FALSE)&amp;AC$7,COM_N_2012!$B$58:$AJ$58,0),FALSE),"")</f>
        <v/>
      </c>
      <c r="AD28" s="391" t="str">
        <f ca="1">IFERROR(VLOOKUP($C28,COM_N_2012!$B$61:$AJ$122,MATCH(VLOOKUP("*"&amp;$AW28,$A$10:$J$11,$J$9,FALSE)&amp;AD$7,COM_N_2012!$B$58:$AJ$58,0),FALSE),"")</f>
        <v/>
      </c>
      <c r="AE28" s="391" t="str">
        <f ca="1">IFERROR(VLOOKUP($C28,COM_N_2012!$B$61:$AJ$122,MATCH(VLOOKUP("*"&amp;$AW28,$A$10:$J$11,$J$9,FALSE)&amp;AE$7,COM_N_2012!$B$58:$AJ$58,0),FALSE),"")</f>
        <v/>
      </c>
      <c r="AF28" s="391" t="str">
        <f ca="1">IFERROR(VLOOKUP($C28,COM_N_2012!$B$61:$AJ$122,MATCH(VLOOKUP("*"&amp;$AW28,$A$10:$J$11,$J$9,FALSE)&amp;AF$7,COM_N_2012!$B$58:$AJ$58,0),FALSE),"")</f>
        <v/>
      </c>
      <c r="AG28" s="391">
        <f ca="1">IF($A28="*","",IFERROR(VLOOKUP($C28,COM_N_2017!$B$61:$AJ$122,MATCH(VLOOKUP("*"&amp;$AW28,$A$10:$J$11,$J$9,FALSE)&amp;AG$7,COM_N_2017!$B$58:$AJ$58,0),FALSE),""))</f>
        <v>0.50484800835839394</v>
      </c>
      <c r="AH28" s="391" t="str">
        <f ca="1">IFERROR(VLOOKUP($C28,COM_N_2012!$B$61:$AJ$122,MATCH(VLOOKUP("*"&amp;$AW28,$A$10:$J$11,$J$9,FALSE)&amp;AH$7,COM_N_2012!$B$58:$AJ$58,0),FALSE),"")</f>
        <v/>
      </c>
      <c r="AI28" s="391" t="str">
        <f ca="1">IFERROR(VLOOKUP($C28,COM_N_2012!$B$61:$AJ$122,MATCH(VLOOKUP("*"&amp;$AW28,$A$10:$J$11,$J$9,FALSE)&amp;AI$7,COM_N_2012!$B$58:$AJ$58,0),FALSE),"")</f>
        <v/>
      </c>
      <c r="AJ28" s="391" t="str">
        <f ca="1">IFERROR(VLOOKUP($C28,COM_N_2012!$B$61:$AJ$122,MATCH(VLOOKUP("*"&amp;$AW28,$A$10:$J$11,$J$9,FALSE)&amp;AJ$7,COM_N_2012!$B$58:$AJ$58,0),FALSE),"")</f>
        <v/>
      </c>
      <c r="AK28" s="391" t="str">
        <f ca="1">IFERROR(VLOOKUP($C28,COM_N_2012!$B$61:$AJ$122,MATCH(VLOOKUP("*"&amp;$AW28,$A$10:$J$11,$J$9,FALSE)&amp;AK$7,COM_N_2012!$B$58:$AJ$58,0),FALSE),"")</f>
        <v/>
      </c>
      <c r="AL28" s="391">
        <f ca="1">IF($A28="*","",IFERROR(VLOOKUP($C28,COM_N_2017!$B$61:$AJ$122,MATCH(VLOOKUP("*"&amp;$AW28,$A$10:$J$11,$J$9,FALSE)&amp;AL$7,COM_N_2017!$B$58:$AJ$58,0),FALSE),""))</f>
        <v>0.7048480083583939</v>
      </c>
      <c r="AM28" s="391">
        <f ca="1">IF($A28="*","",IFERROR(VLOOKUP($C28,COM_N_2017!$B$61:$AJ$122,MATCH(VLOOKUP("*"&amp;$AW28,$A$10:$J$11,$J$9,FALSE)&amp;AM$7,COM_N_2017!$B$58:$AJ$58,0),FALSE),""))</f>
        <v>0.90484800835839396</v>
      </c>
      <c r="AN28" s="391">
        <f ca="1">IF($A28="*","",IFERROR(VLOOKUP($C28,COM_N_2017!$B$61:$AJ$122,MATCH(VLOOKUP("*"&amp;$AW28,$A$10:$J$11,$J$9,FALSE)&amp;AN$7,COM_N_2017!$B$58:$AJ$58,0),FALSE),""))</f>
        <v>1</v>
      </c>
      <c r="AO28" s="391" t="str">
        <f ca="1">IFERROR(VLOOKUP($C28,COM_N_2012!$B$61:$AJ$122,MATCH(VLOOKUP("*"&amp;$AW28,$A$10:$J$11,$J$9,FALSE)&amp;AO$7,COM_N_2012!$B$58:$AJ$58,0),FALSE),"")</f>
        <v/>
      </c>
      <c r="AP28" s="391" t="str">
        <f ca="1">IFERROR(VLOOKUP($C28,COM_N_2012!$B$61:$AJ$122,MATCH(VLOOKUP("*"&amp;$AW28,$A$10:$J$11,$J$9,FALSE)&amp;AP$7,COM_N_2012!$B$58:$AJ$58,0),FALSE),"")</f>
        <v/>
      </c>
      <c r="AQ28" s="391" t="str">
        <f ca="1">IFERROR(VLOOKUP($C28,COM_N_2012!$B$61:$AJ$122,MATCH(VLOOKUP("*"&amp;$AW28,$A$10:$J$11,$J$9,FALSE)&amp;AQ$7,COM_N_2012!$B$58:$AJ$58,0),FALSE),"")</f>
        <v/>
      </c>
      <c r="AR28" s="391" t="str">
        <f ca="1">IFERROR(VLOOKUP($C28,COM_N_2012!$B$61:$AJ$122,MATCH(VLOOKUP("*"&amp;$AW28,$A$10:$J$11,$J$9,FALSE)&amp;AR$7,COM_N_2012!$B$58:$AJ$58,0),FALSE),"")</f>
        <v/>
      </c>
      <c r="AS28" s="391" t="str">
        <f ca="1">IFERROR(VLOOKUP($C28,COM_N_2012!$B$61:$AJ$122,MATCH(VLOOKUP("*"&amp;$AW28,$A$10:$J$11,$J$9,FALSE)&amp;AS$7,COM_N_2012!$B$58:$AJ$58,0),FALSE),"")</f>
        <v/>
      </c>
      <c r="AT28" s="391" t="str">
        <f ca="1">IFERROR(VLOOKUP($C28,COM_N_2012!$B$61:$AJ$122,MATCH(VLOOKUP("*"&amp;$AW28,$A$10:$J$11,$J$9,FALSE)&amp;AT$7,COM_N_2012!$B$58:$AJ$58,0),FALSE),"")</f>
        <v/>
      </c>
      <c r="AU28" s="391" t="str">
        <f ca="1">IFERROR(VLOOKUP($C28,COM_N_2012!$B$61:$AJ$122,MATCH(VLOOKUP("*"&amp;$AW28,$A$10:$J$11,$J$9,FALSE)&amp;AU$7,COM_N_2012!$B$58:$AJ$58,0),FALSE),"")</f>
        <v/>
      </c>
      <c r="AV28" s="391" t="str">
        <f ca="1">IFERROR(VLOOKUP($C28,COM_N_2012!$B$61:$AJ$122,MATCH(VLOOKUP("*"&amp;$AW28,$A$10:$J$11,$J$9,FALSE)&amp;AV$7,COM_N_2012!$B$58:$AJ$58,0),FALSE),"")</f>
        <v/>
      </c>
      <c r="AW28" s="304">
        <f>IF(AX27=COM_N_2012!$AK$121,AW27+1,AW27)</f>
        <v>1</v>
      </c>
      <c r="AX28" s="304">
        <f t="shared" si="7"/>
        <v>16</v>
      </c>
    </row>
    <row r="29" spans="1:50">
      <c r="A29" s="304" t="str">
        <f ca="1">IF(LEFT(OFFSET(COM_N_2012!$A$60,AX29,0),2)="\I","*","")</f>
        <v/>
      </c>
      <c r="B29" s="369" t="str">
        <f t="shared" ca="1" si="3"/>
        <v>FLO_MRKPRD</v>
      </c>
      <c r="C29" s="369" t="str">
        <f ca="1">IF($A29="*","",OFFSET(COM_N_2012!$B$60,AX29,0))</f>
        <v>CNKELC-E</v>
      </c>
      <c r="D29" s="369" t="str">
        <f t="shared" ca="1" si="4"/>
        <v>CNK</v>
      </c>
      <c r="E29" s="369" t="str">
        <f t="shared" ca="1" si="5"/>
        <v>-</v>
      </c>
      <c r="F29" s="370" t="str">
        <f t="shared" ca="1" si="6"/>
        <v>-</v>
      </c>
      <c r="G29" s="370" t="str">
        <f t="shared" ca="1" si="6"/>
        <v>ANNUAL</v>
      </c>
      <c r="H29" s="370" t="str">
        <f t="shared" ca="1" si="6"/>
        <v>UP</v>
      </c>
      <c r="I29" s="370">
        <f t="shared" ca="1" si="6"/>
        <v>0</v>
      </c>
      <c r="J29" s="391">
        <f ca="1">IFERROR(VLOOKUP($C29,COM_N_2012!$B$61:$AJ$122,MATCH(VLOOKUP("*"&amp;$AW29,$A$10:$J$11,$J$9,FALSE)&amp;J$7,COM_N_2012!$B$58:$AJ$58,0),FALSE),"")</f>
        <v>0.98134847962742833</v>
      </c>
      <c r="K29" s="391" t="str">
        <f ca="1">IFERROR(VLOOKUP($C29,COM_N_2012!$B$61:$AJ$122,MATCH(VLOOKUP("*"&amp;$AW29,$A$10:$J$11,$J$9,FALSE)&amp;K$7,COM_N_2012!$B$58:$AJ$58,0),FALSE),"")</f>
        <v/>
      </c>
      <c r="L29" s="391" t="str">
        <f ca="1">IFERROR(VLOOKUP($C29,COM_N_2012!$B$61:$AJ$122,MATCH(VLOOKUP("*"&amp;$AW29,$A$10:$J$11,$J$9,FALSE)&amp;L$7,COM_N_2012!$B$58:$AJ$58,0),FALSE),"")</f>
        <v/>
      </c>
      <c r="M29" s="391">
        <f ca="1">IFERROR(VLOOKUP($C29,COM_N_2012!$B$61:$AJ$122,MATCH(VLOOKUP("*"&amp;$AW29,$A$10:$J$11,$J$9,FALSE)&amp;M$7,COM_N_2012!$B$58:$AJ$58,0),FALSE),"")</f>
        <v>0.98134847962742833</v>
      </c>
      <c r="N29" s="391" t="str">
        <f ca="1">IFERROR(VLOOKUP($C29,COM_N_2012!$B$61:$AJ$122,MATCH(VLOOKUP("*"&amp;$AW29,$A$10:$J$11,$J$9,FALSE)&amp;N$7,COM_N_2012!$B$58:$AJ$58,0),FALSE),"")</f>
        <v/>
      </c>
      <c r="O29" s="391">
        <f ca="1">IF($A29="*","",IFERROR(VLOOKUP($C29,COM_N_2017!$B$61:$AJ$122,MATCH(VLOOKUP("*"&amp;$AW29,$A$10:$J$11,$J$9,FALSE)&amp;O$7,COM_N_2017!$B$58:$AJ$58,0),FALSE),""))</f>
        <v>0.99342318385878692</v>
      </c>
      <c r="P29" s="391" t="str">
        <f ca="1">IFERROR(VLOOKUP($C29,COM_N_2012!$B$61:$AJ$122,MATCH(VLOOKUP("*"&amp;$AW29,$A$10:$J$11,$J$9,FALSE)&amp;P$7,COM_N_2012!$B$58:$AJ$58,0),FALSE),"")</f>
        <v/>
      </c>
      <c r="Q29" s="391" t="str">
        <f ca="1">IFERROR(VLOOKUP($C29,COM_N_2012!$B$61:$AJ$122,MATCH(VLOOKUP("*"&amp;$AW29,$A$10:$J$11,$J$9,FALSE)&amp;Q$7,COM_N_2012!$B$58:$AJ$58,0),FALSE),"")</f>
        <v/>
      </c>
      <c r="R29" s="391">
        <f ca="1">IF($A29="*","",IFERROR(VLOOKUP($C29,COM_N_2017!$B$61:$AJ$122,MATCH(VLOOKUP("*"&amp;$AW29,$A$10:$J$11,$J$9,FALSE)&amp;R$7,COM_N_2017!$B$58:$AJ$58,0),FALSE),""))</f>
        <v>1</v>
      </c>
      <c r="S29" s="391" t="str">
        <f ca="1">IFERROR(VLOOKUP($C29,COM_N_2012!$B$61:$AJ$122,MATCH(VLOOKUP("*"&amp;$AW29,$A$10:$J$11,$J$9,FALSE)&amp;S$7,COM_N_2012!$B$58:$AJ$58,0),FALSE),"")</f>
        <v/>
      </c>
      <c r="T29" s="391" t="str">
        <f ca="1">IFERROR(VLOOKUP($C29,COM_N_2012!$B$61:$AJ$122,MATCH(VLOOKUP("*"&amp;$AW29,$A$10:$J$11,$J$9,FALSE)&amp;T$7,COM_N_2012!$B$58:$AJ$58,0),FALSE),"")</f>
        <v/>
      </c>
      <c r="U29" s="391" t="str">
        <f ca="1">IFERROR(VLOOKUP($C29,COM_N_2012!$B$61:$AJ$122,MATCH(VLOOKUP("*"&amp;$AW29,$A$10:$J$11,$J$9,FALSE)&amp;U$7,COM_N_2012!$B$58:$AJ$58,0),FALSE),"")</f>
        <v/>
      </c>
      <c r="V29" s="391" t="str">
        <f ca="1">IFERROR(VLOOKUP($C29,COM_N_2012!$B$61:$AJ$122,MATCH(VLOOKUP("*"&amp;$AW29,$A$10:$J$11,$J$9,FALSE)&amp;V$7,COM_N_2012!$B$58:$AJ$58,0),FALSE),"")</f>
        <v/>
      </c>
      <c r="W29" s="391">
        <f ca="1">IF($A29="*","",IFERROR(VLOOKUP($C29,COM_N_2017!$B$61:$AJ$122,MATCH(VLOOKUP("*"&amp;$AW29,$A$10:$J$11,$J$9,FALSE)&amp;W$7,COM_N_2017!$B$58:$AJ$58,0),FALSE),""))</f>
        <v>1</v>
      </c>
      <c r="X29" s="391" t="str">
        <f ca="1">IFERROR(VLOOKUP($C29,COM_N_2012!$B$61:$AJ$122,MATCH(VLOOKUP("*"&amp;$AW29,$A$10:$J$11,$J$9,FALSE)&amp;X$7,COM_N_2012!$B$58:$AJ$58,0),FALSE),"")</f>
        <v/>
      </c>
      <c r="Y29" s="391" t="str">
        <f ca="1">IFERROR(VLOOKUP($C29,COM_N_2012!$B$61:$AJ$122,MATCH(VLOOKUP("*"&amp;$AW29,$A$10:$J$11,$J$9,FALSE)&amp;Y$7,COM_N_2012!$B$58:$AJ$58,0),FALSE),"")</f>
        <v/>
      </c>
      <c r="Z29" s="391" t="str">
        <f ca="1">IFERROR(VLOOKUP($C29,COM_N_2012!$B$61:$AJ$122,MATCH(VLOOKUP("*"&amp;$AW29,$A$10:$J$11,$J$9,FALSE)&amp;Z$7,COM_N_2012!$B$58:$AJ$58,0),FALSE),"")</f>
        <v/>
      </c>
      <c r="AA29" s="391" t="str">
        <f ca="1">IFERROR(VLOOKUP($C29,COM_N_2012!$B$61:$AJ$122,MATCH(VLOOKUP("*"&amp;$AW29,$A$10:$J$11,$J$9,FALSE)&amp;AA$7,COM_N_2012!$B$58:$AJ$58,0),FALSE),"")</f>
        <v/>
      </c>
      <c r="AB29" s="391">
        <f ca="1">IF($A29="*","",IFERROR(VLOOKUP($C29,COM_N_2017!$B$61:$AJ$122,MATCH(VLOOKUP("*"&amp;$AW29,$A$10:$J$11,$J$9,FALSE)&amp;AB$7,COM_N_2017!$B$58:$AJ$58,0),FALSE),""))</f>
        <v>1</v>
      </c>
      <c r="AC29" s="391" t="str">
        <f ca="1">IFERROR(VLOOKUP($C29,COM_N_2012!$B$61:$AJ$122,MATCH(VLOOKUP("*"&amp;$AW29,$A$10:$J$11,$J$9,FALSE)&amp;AC$7,COM_N_2012!$B$58:$AJ$58,0),FALSE),"")</f>
        <v/>
      </c>
      <c r="AD29" s="391" t="str">
        <f ca="1">IFERROR(VLOOKUP($C29,COM_N_2012!$B$61:$AJ$122,MATCH(VLOOKUP("*"&amp;$AW29,$A$10:$J$11,$J$9,FALSE)&amp;AD$7,COM_N_2012!$B$58:$AJ$58,0),FALSE),"")</f>
        <v/>
      </c>
      <c r="AE29" s="391" t="str">
        <f ca="1">IFERROR(VLOOKUP($C29,COM_N_2012!$B$61:$AJ$122,MATCH(VLOOKUP("*"&amp;$AW29,$A$10:$J$11,$J$9,FALSE)&amp;AE$7,COM_N_2012!$B$58:$AJ$58,0),FALSE),"")</f>
        <v/>
      </c>
      <c r="AF29" s="391" t="str">
        <f ca="1">IFERROR(VLOOKUP($C29,COM_N_2012!$B$61:$AJ$122,MATCH(VLOOKUP("*"&amp;$AW29,$A$10:$J$11,$J$9,FALSE)&amp;AF$7,COM_N_2012!$B$58:$AJ$58,0),FALSE),"")</f>
        <v/>
      </c>
      <c r="AG29" s="391">
        <f ca="1">IF($A29="*","",IFERROR(VLOOKUP($C29,COM_N_2017!$B$61:$AJ$122,MATCH(VLOOKUP("*"&amp;$AW29,$A$10:$J$11,$J$9,FALSE)&amp;AG$7,COM_N_2017!$B$58:$AJ$58,0),FALSE),""))</f>
        <v>1</v>
      </c>
      <c r="AH29" s="391" t="str">
        <f ca="1">IFERROR(VLOOKUP($C29,COM_N_2012!$B$61:$AJ$122,MATCH(VLOOKUP("*"&amp;$AW29,$A$10:$J$11,$J$9,FALSE)&amp;AH$7,COM_N_2012!$B$58:$AJ$58,0),FALSE),"")</f>
        <v/>
      </c>
      <c r="AI29" s="391" t="str">
        <f ca="1">IFERROR(VLOOKUP($C29,COM_N_2012!$B$61:$AJ$122,MATCH(VLOOKUP("*"&amp;$AW29,$A$10:$J$11,$J$9,FALSE)&amp;AI$7,COM_N_2012!$B$58:$AJ$58,0),FALSE),"")</f>
        <v/>
      </c>
      <c r="AJ29" s="391" t="str">
        <f ca="1">IFERROR(VLOOKUP($C29,COM_N_2012!$B$61:$AJ$122,MATCH(VLOOKUP("*"&amp;$AW29,$A$10:$J$11,$J$9,FALSE)&amp;AJ$7,COM_N_2012!$B$58:$AJ$58,0),FALSE),"")</f>
        <v/>
      </c>
      <c r="AK29" s="391" t="str">
        <f ca="1">IFERROR(VLOOKUP($C29,COM_N_2012!$B$61:$AJ$122,MATCH(VLOOKUP("*"&amp;$AW29,$A$10:$J$11,$J$9,FALSE)&amp;AK$7,COM_N_2012!$B$58:$AJ$58,0),FALSE),"")</f>
        <v/>
      </c>
      <c r="AL29" s="391">
        <f ca="1">IF($A29="*","",IFERROR(VLOOKUP($C29,COM_N_2017!$B$61:$AJ$122,MATCH(VLOOKUP("*"&amp;$AW29,$A$10:$J$11,$J$9,FALSE)&amp;AL$7,COM_N_2017!$B$58:$AJ$58,0),FALSE),""))</f>
        <v>1</v>
      </c>
      <c r="AM29" s="391">
        <f ca="1">IF($A29="*","",IFERROR(VLOOKUP($C29,COM_N_2017!$B$61:$AJ$122,MATCH(VLOOKUP("*"&amp;$AW29,$A$10:$J$11,$J$9,FALSE)&amp;AM$7,COM_N_2017!$B$58:$AJ$58,0),FALSE),""))</f>
        <v>1</v>
      </c>
      <c r="AN29" s="391">
        <f ca="1">IF($A29="*","",IFERROR(VLOOKUP($C29,COM_N_2017!$B$61:$AJ$122,MATCH(VLOOKUP("*"&amp;$AW29,$A$10:$J$11,$J$9,FALSE)&amp;AN$7,COM_N_2017!$B$58:$AJ$58,0),FALSE),""))</f>
        <v>1</v>
      </c>
      <c r="AO29" s="391" t="str">
        <f ca="1">IFERROR(VLOOKUP($C29,COM_N_2012!$B$61:$AJ$122,MATCH(VLOOKUP("*"&amp;$AW29,$A$10:$J$11,$J$9,FALSE)&amp;AO$7,COM_N_2012!$B$58:$AJ$58,0),FALSE),"")</f>
        <v/>
      </c>
      <c r="AP29" s="391" t="str">
        <f ca="1">IFERROR(VLOOKUP($C29,COM_N_2012!$B$61:$AJ$122,MATCH(VLOOKUP("*"&amp;$AW29,$A$10:$J$11,$J$9,FALSE)&amp;AP$7,COM_N_2012!$B$58:$AJ$58,0),FALSE),"")</f>
        <v/>
      </c>
      <c r="AQ29" s="391" t="str">
        <f ca="1">IFERROR(VLOOKUP($C29,COM_N_2012!$B$61:$AJ$122,MATCH(VLOOKUP("*"&amp;$AW29,$A$10:$J$11,$J$9,FALSE)&amp;AQ$7,COM_N_2012!$B$58:$AJ$58,0),FALSE),"")</f>
        <v/>
      </c>
      <c r="AR29" s="391" t="str">
        <f ca="1">IFERROR(VLOOKUP($C29,COM_N_2012!$B$61:$AJ$122,MATCH(VLOOKUP("*"&amp;$AW29,$A$10:$J$11,$J$9,FALSE)&amp;AR$7,COM_N_2012!$B$58:$AJ$58,0),FALSE),"")</f>
        <v/>
      </c>
      <c r="AS29" s="391" t="str">
        <f ca="1">IFERROR(VLOOKUP($C29,COM_N_2012!$B$61:$AJ$122,MATCH(VLOOKUP("*"&amp;$AW29,$A$10:$J$11,$J$9,FALSE)&amp;AS$7,COM_N_2012!$B$58:$AJ$58,0),FALSE),"")</f>
        <v/>
      </c>
      <c r="AT29" s="391" t="str">
        <f ca="1">IFERROR(VLOOKUP($C29,COM_N_2012!$B$61:$AJ$122,MATCH(VLOOKUP("*"&amp;$AW29,$A$10:$J$11,$J$9,FALSE)&amp;AT$7,COM_N_2012!$B$58:$AJ$58,0),FALSE),"")</f>
        <v/>
      </c>
      <c r="AU29" s="391" t="str">
        <f ca="1">IFERROR(VLOOKUP($C29,COM_N_2012!$B$61:$AJ$122,MATCH(VLOOKUP("*"&amp;$AW29,$A$10:$J$11,$J$9,FALSE)&amp;AU$7,COM_N_2012!$B$58:$AJ$58,0),FALSE),"")</f>
        <v/>
      </c>
      <c r="AV29" s="391" t="str">
        <f ca="1">IFERROR(VLOOKUP($C29,COM_N_2012!$B$61:$AJ$122,MATCH(VLOOKUP("*"&amp;$AW29,$A$10:$J$11,$J$9,FALSE)&amp;AV$7,COM_N_2012!$B$58:$AJ$58,0),FALSE),"")</f>
        <v/>
      </c>
      <c r="AW29" s="304">
        <f>IF(AX28=COM_N_2012!$AK$121,AW28+1,AW28)</f>
        <v>1</v>
      </c>
      <c r="AX29" s="304">
        <f t="shared" si="7"/>
        <v>17</v>
      </c>
    </row>
    <row r="30" spans="1:50">
      <c r="A30" s="304" t="str">
        <f ca="1">IF(LEFT(OFFSET(COM_N_2012!$A$60,AX30,0),2)="\I","*","")</f>
        <v/>
      </c>
      <c r="B30" s="369" t="str">
        <f t="shared" ca="1" si="3"/>
        <v>FLO_MRKPRD</v>
      </c>
      <c r="C30" s="369" t="str">
        <f ca="1">IF($A30="*","",OFFSET(COM_N_2012!$B$60,AX30,0))</f>
        <v>CNKCOA-E</v>
      </c>
      <c r="D30" s="369" t="str">
        <f t="shared" ca="1" si="4"/>
        <v>CNK</v>
      </c>
      <c r="E30" s="369" t="str">
        <f t="shared" ca="1" si="5"/>
        <v>-</v>
      </c>
      <c r="F30" s="370" t="str">
        <f t="shared" ca="1" si="6"/>
        <v>-</v>
      </c>
      <c r="G30" s="370" t="str">
        <f t="shared" ca="1" si="6"/>
        <v>ANNUAL</v>
      </c>
      <c r="H30" s="370" t="str">
        <f t="shared" ca="1" si="6"/>
        <v>UP</v>
      </c>
      <c r="I30" s="370">
        <f t="shared" ca="1" si="6"/>
        <v>0</v>
      </c>
      <c r="J30" s="391">
        <f ca="1">IFERROR(VLOOKUP($C30,COM_N_2012!$B$61:$AJ$122,MATCH(VLOOKUP("*"&amp;$AW30,$A$10:$J$11,$J$9,FALSE)&amp;J$7,COM_N_2012!$B$58:$AJ$58,0),FALSE),"")</f>
        <v>8.2912262122784278E-4</v>
      </c>
      <c r="K30" s="391" t="str">
        <f ca="1">IFERROR(VLOOKUP($C30,COM_N_2012!$B$61:$AJ$122,MATCH(VLOOKUP("*"&amp;$AW30,$A$10:$J$11,$J$9,FALSE)&amp;K$7,COM_N_2012!$B$58:$AJ$58,0),FALSE),"")</f>
        <v/>
      </c>
      <c r="L30" s="391" t="str">
        <f ca="1">IFERROR(VLOOKUP($C30,COM_N_2012!$B$61:$AJ$122,MATCH(VLOOKUP("*"&amp;$AW30,$A$10:$J$11,$J$9,FALSE)&amp;L$7,COM_N_2012!$B$58:$AJ$58,0),FALSE),"")</f>
        <v/>
      </c>
      <c r="M30" s="391">
        <f ca="1">IFERROR(VLOOKUP($C30,COM_N_2012!$B$61:$AJ$122,MATCH(VLOOKUP("*"&amp;$AW30,$A$10:$J$11,$J$9,FALSE)&amp;M$7,COM_N_2012!$B$58:$AJ$58,0),FALSE),"")</f>
        <v>1.8291226212278429E-3</v>
      </c>
      <c r="N30" s="391" t="str">
        <f ca="1">IFERROR(VLOOKUP($C30,COM_N_2012!$B$61:$AJ$122,MATCH(VLOOKUP("*"&amp;$AW30,$A$10:$J$11,$J$9,FALSE)&amp;N$7,COM_N_2012!$B$58:$AJ$58,0),FALSE),"")</f>
        <v/>
      </c>
      <c r="O30" s="391">
        <f ca="1">IF($A30="*","",IFERROR(VLOOKUP($C30,COM_N_2017!$B$61:$AJ$122,MATCH(VLOOKUP("*"&amp;$AW30,$A$10:$J$11,$J$9,FALSE)&amp;O$7,COM_N_2017!$B$58:$AJ$58,0),FALSE),""))</f>
        <v>1.7288077828194047E-3</v>
      </c>
      <c r="P30" s="489" t="str">
        <f ca="1">IFERROR(VLOOKUP($C30,COM_N_2012!$B$61:$AJ$122,MATCH(VLOOKUP("*"&amp;$AW30,$A$10:$J$11,$J$9,FALSE)&amp;P$7,COM_N_2012!$B$58:$AJ$58,0),FALSE),"")</f>
        <v/>
      </c>
      <c r="Q30" s="391" t="str">
        <f ca="1">IFERROR(VLOOKUP($C30,COM_N_2012!$B$61:$AJ$122,MATCH(VLOOKUP("*"&amp;$AW30,$A$10:$J$11,$J$9,FALSE)&amp;Q$7,COM_N_2012!$B$58:$AJ$58,0),FALSE),"")</f>
        <v/>
      </c>
      <c r="R30" s="391">
        <f ca="1">IF($A30="*","",IFERROR(VLOOKUP($C30,COM_N_2017!$B$61:$AJ$122,MATCH(VLOOKUP("*"&amp;$AW30,$A$10:$J$11,$J$9,FALSE)&amp;R$7,COM_N_2017!$B$58:$AJ$58,0),FALSE),""))</f>
        <v>1.7288077828194047E-3</v>
      </c>
      <c r="S30" s="391" t="str">
        <f ca="1">IFERROR(VLOOKUP($C30,COM_N_2012!$B$61:$AJ$122,MATCH(VLOOKUP("*"&amp;$AW30,$A$10:$J$11,$J$9,FALSE)&amp;S$7,COM_N_2012!$B$58:$AJ$58,0),FALSE),"")</f>
        <v/>
      </c>
      <c r="T30" s="391" t="str">
        <f ca="1">IFERROR(VLOOKUP($C30,COM_N_2012!$B$61:$AJ$122,MATCH(VLOOKUP("*"&amp;$AW30,$A$10:$J$11,$J$9,FALSE)&amp;T$7,COM_N_2012!$B$58:$AJ$58,0),FALSE),"")</f>
        <v/>
      </c>
      <c r="U30" s="391" t="str">
        <f ca="1">IFERROR(VLOOKUP($C30,COM_N_2012!$B$61:$AJ$122,MATCH(VLOOKUP("*"&amp;$AW30,$A$10:$J$11,$J$9,FALSE)&amp;U$7,COM_N_2012!$B$58:$AJ$58,0),FALSE),"")</f>
        <v/>
      </c>
      <c r="V30" s="391" t="str">
        <f ca="1">IFERROR(VLOOKUP($C30,COM_N_2012!$B$61:$AJ$122,MATCH(VLOOKUP("*"&amp;$AW30,$A$10:$J$11,$J$9,FALSE)&amp;V$7,COM_N_2012!$B$58:$AJ$58,0),FALSE),"")</f>
        <v/>
      </c>
      <c r="W30" s="391">
        <f ca="1">IF($A30="*","",IFERROR(VLOOKUP($C30,COM_N_2017!$B$61:$AJ$122,MATCH(VLOOKUP("*"&amp;$AW30,$A$10:$J$11,$J$9,FALSE)&amp;W$7,COM_N_2017!$B$58:$AJ$58,0),FALSE),""))</f>
        <v>1.7288077828194047E-3</v>
      </c>
      <c r="X30" s="391" t="str">
        <f ca="1">IFERROR(VLOOKUP($C30,COM_N_2012!$B$61:$AJ$122,MATCH(VLOOKUP("*"&amp;$AW30,$A$10:$J$11,$J$9,FALSE)&amp;X$7,COM_N_2012!$B$58:$AJ$58,0),FALSE),"")</f>
        <v/>
      </c>
      <c r="Y30" s="391" t="str">
        <f ca="1">IFERROR(VLOOKUP($C30,COM_N_2012!$B$61:$AJ$122,MATCH(VLOOKUP("*"&amp;$AW30,$A$10:$J$11,$J$9,FALSE)&amp;Y$7,COM_N_2012!$B$58:$AJ$58,0),FALSE),"")</f>
        <v/>
      </c>
      <c r="Z30" s="391" t="str">
        <f ca="1">IFERROR(VLOOKUP($C30,COM_N_2012!$B$61:$AJ$122,MATCH(VLOOKUP("*"&amp;$AW30,$A$10:$J$11,$J$9,FALSE)&amp;Z$7,COM_N_2012!$B$58:$AJ$58,0),FALSE),"")</f>
        <v/>
      </c>
      <c r="AA30" s="391" t="str">
        <f ca="1">IFERROR(VLOOKUP($C30,COM_N_2012!$B$61:$AJ$122,MATCH(VLOOKUP("*"&amp;$AW30,$A$10:$J$11,$J$9,FALSE)&amp;AA$7,COM_N_2012!$B$58:$AJ$58,0),FALSE),"")</f>
        <v/>
      </c>
      <c r="AB30" s="391">
        <f ca="1">IF($A30="*","",IFERROR(VLOOKUP($C30,COM_N_2017!$B$61:$AJ$122,MATCH(VLOOKUP("*"&amp;$AW30,$A$10:$J$11,$J$9,FALSE)&amp;AB$7,COM_N_2017!$B$58:$AJ$58,0),FALSE),""))</f>
        <v>1.7288077828194047E-3</v>
      </c>
      <c r="AC30" s="391" t="str">
        <f ca="1">IFERROR(VLOOKUP($C30,COM_N_2012!$B$61:$AJ$122,MATCH(VLOOKUP("*"&amp;$AW30,$A$10:$J$11,$J$9,FALSE)&amp;AC$7,COM_N_2012!$B$58:$AJ$58,0),FALSE),"")</f>
        <v/>
      </c>
      <c r="AD30" s="391" t="str">
        <f ca="1">IFERROR(VLOOKUP($C30,COM_N_2012!$B$61:$AJ$122,MATCH(VLOOKUP("*"&amp;$AW30,$A$10:$J$11,$J$9,FALSE)&amp;AD$7,COM_N_2012!$B$58:$AJ$58,0),FALSE),"")</f>
        <v/>
      </c>
      <c r="AE30" s="391" t="str">
        <f ca="1">IFERROR(VLOOKUP($C30,COM_N_2012!$B$61:$AJ$122,MATCH(VLOOKUP("*"&amp;$AW30,$A$10:$J$11,$J$9,FALSE)&amp;AE$7,COM_N_2012!$B$58:$AJ$58,0),FALSE),"")</f>
        <v/>
      </c>
      <c r="AF30" s="391" t="str">
        <f ca="1">IFERROR(VLOOKUP($C30,COM_N_2012!$B$61:$AJ$122,MATCH(VLOOKUP("*"&amp;$AW30,$A$10:$J$11,$J$9,FALSE)&amp;AF$7,COM_N_2012!$B$58:$AJ$58,0),FALSE),"")</f>
        <v/>
      </c>
      <c r="AG30" s="391">
        <f ca="1">IF($A30="*","",IFERROR(VLOOKUP($C30,COM_N_2017!$B$61:$AJ$122,MATCH(VLOOKUP("*"&amp;$AW30,$A$10:$J$11,$J$9,FALSE)&amp;AG$7,COM_N_2017!$B$58:$AJ$58,0),FALSE),""))</f>
        <v>1.7288077828194047E-3</v>
      </c>
      <c r="AH30" s="391" t="str">
        <f ca="1">IFERROR(VLOOKUP($C30,COM_N_2012!$B$61:$AJ$122,MATCH(VLOOKUP("*"&amp;$AW30,$A$10:$J$11,$J$9,FALSE)&amp;AH$7,COM_N_2012!$B$58:$AJ$58,0),FALSE),"")</f>
        <v/>
      </c>
      <c r="AI30" s="391" t="str">
        <f ca="1">IFERROR(VLOOKUP($C30,COM_N_2012!$B$61:$AJ$122,MATCH(VLOOKUP("*"&amp;$AW30,$A$10:$J$11,$J$9,FALSE)&amp;AI$7,COM_N_2012!$B$58:$AJ$58,0),FALSE),"")</f>
        <v/>
      </c>
      <c r="AJ30" s="391" t="str">
        <f ca="1">IFERROR(VLOOKUP($C30,COM_N_2012!$B$61:$AJ$122,MATCH(VLOOKUP("*"&amp;$AW30,$A$10:$J$11,$J$9,FALSE)&amp;AJ$7,COM_N_2012!$B$58:$AJ$58,0),FALSE),"")</f>
        <v/>
      </c>
      <c r="AK30" s="391" t="str">
        <f ca="1">IFERROR(VLOOKUP($C30,COM_N_2012!$B$61:$AJ$122,MATCH(VLOOKUP("*"&amp;$AW30,$A$10:$J$11,$J$9,FALSE)&amp;AK$7,COM_N_2012!$B$58:$AJ$58,0),FALSE),"")</f>
        <v/>
      </c>
      <c r="AL30" s="391">
        <f ca="1">IF($A30="*","",IFERROR(VLOOKUP($C30,COM_N_2017!$B$61:$AJ$122,MATCH(VLOOKUP("*"&amp;$AW30,$A$10:$J$11,$J$9,FALSE)&amp;AL$7,COM_N_2017!$B$58:$AJ$58,0),FALSE),""))</f>
        <v>1.7288077828194047E-3</v>
      </c>
      <c r="AM30" s="391">
        <f ca="1">IF($A30="*","",IFERROR(VLOOKUP($C30,COM_N_2017!$B$61:$AJ$122,MATCH(VLOOKUP("*"&amp;$AW30,$A$10:$J$11,$J$9,FALSE)&amp;AM$7,COM_N_2017!$B$58:$AJ$58,0),FALSE),""))</f>
        <v>1.7288077828194047E-3</v>
      </c>
      <c r="AN30" s="391">
        <f ca="1">IF($A30="*","",IFERROR(VLOOKUP($C30,COM_N_2017!$B$61:$AJ$122,MATCH(VLOOKUP("*"&amp;$AW30,$A$10:$J$11,$J$9,FALSE)&amp;AN$7,COM_N_2017!$B$58:$AJ$58,0),FALSE),""))</f>
        <v>1.7288077828194047E-3</v>
      </c>
      <c r="AO30" s="391" t="str">
        <f ca="1">IFERROR(VLOOKUP($C30,COM_N_2012!$B$61:$AJ$122,MATCH(VLOOKUP("*"&amp;$AW30,$A$10:$J$11,$J$9,FALSE)&amp;AO$7,COM_N_2012!$B$58:$AJ$58,0),FALSE),"")</f>
        <v/>
      </c>
      <c r="AP30" s="391" t="str">
        <f ca="1">IFERROR(VLOOKUP($C30,COM_N_2012!$B$61:$AJ$122,MATCH(VLOOKUP("*"&amp;$AW30,$A$10:$J$11,$J$9,FALSE)&amp;AP$7,COM_N_2012!$B$58:$AJ$58,0),FALSE),"")</f>
        <v/>
      </c>
      <c r="AQ30" s="391" t="str">
        <f ca="1">IFERROR(VLOOKUP($C30,COM_N_2012!$B$61:$AJ$122,MATCH(VLOOKUP("*"&amp;$AW30,$A$10:$J$11,$J$9,FALSE)&amp;AQ$7,COM_N_2012!$B$58:$AJ$58,0),FALSE),"")</f>
        <v/>
      </c>
      <c r="AR30" s="391" t="str">
        <f ca="1">IFERROR(VLOOKUP($C30,COM_N_2012!$B$61:$AJ$122,MATCH(VLOOKUP("*"&amp;$AW30,$A$10:$J$11,$J$9,FALSE)&amp;AR$7,COM_N_2012!$B$58:$AJ$58,0),FALSE),"")</f>
        <v/>
      </c>
      <c r="AS30" s="391" t="str">
        <f ca="1">IFERROR(VLOOKUP($C30,COM_N_2012!$B$61:$AJ$122,MATCH(VLOOKUP("*"&amp;$AW30,$A$10:$J$11,$J$9,FALSE)&amp;AS$7,COM_N_2012!$B$58:$AJ$58,0),FALSE),"")</f>
        <v/>
      </c>
      <c r="AT30" s="391" t="str">
        <f ca="1">IFERROR(VLOOKUP($C30,COM_N_2012!$B$61:$AJ$122,MATCH(VLOOKUP("*"&amp;$AW30,$A$10:$J$11,$J$9,FALSE)&amp;AT$7,COM_N_2012!$B$58:$AJ$58,0),FALSE),"")</f>
        <v/>
      </c>
      <c r="AU30" s="391" t="str">
        <f ca="1">IFERROR(VLOOKUP($C30,COM_N_2012!$B$61:$AJ$122,MATCH(VLOOKUP("*"&amp;$AW30,$A$10:$J$11,$J$9,FALSE)&amp;AU$7,COM_N_2012!$B$58:$AJ$58,0),FALSE),"")</f>
        <v/>
      </c>
      <c r="AV30" s="391" t="str">
        <f ca="1">IFERROR(VLOOKUP($C30,COM_N_2012!$B$61:$AJ$122,MATCH(VLOOKUP("*"&amp;$AW30,$A$10:$J$11,$J$9,FALSE)&amp;AV$7,COM_N_2012!$B$58:$AJ$58,0),FALSE),"")</f>
        <v/>
      </c>
      <c r="AW30" s="304">
        <f>IF(AX29=COM_N_2012!$AK$121,AW29+1,AW29)</f>
        <v>1</v>
      </c>
      <c r="AX30" s="304">
        <f t="shared" si="7"/>
        <v>18</v>
      </c>
    </row>
    <row r="31" spans="1:50">
      <c r="A31" s="304" t="str">
        <f ca="1">IF(LEFT(OFFSET(COM_N_2012!$A$60,AX31,0),2)="\I","*","")</f>
        <v>*</v>
      </c>
      <c r="B31" s="369" t="str">
        <f t="shared" ca="1" si="3"/>
        <v/>
      </c>
      <c r="C31" s="369" t="str">
        <f ca="1">IF($A31="*","",OFFSET(COM_N_2012!$B$60,AX31,0))</f>
        <v/>
      </c>
      <c r="D31" s="369" t="str">
        <f t="shared" ca="1" si="4"/>
        <v/>
      </c>
      <c r="E31" s="369" t="str">
        <f t="shared" ca="1" si="5"/>
        <v/>
      </c>
      <c r="F31" s="370" t="str">
        <f t="shared" ca="1" si="6"/>
        <v/>
      </c>
      <c r="G31" s="370" t="str">
        <f t="shared" ca="1" si="6"/>
        <v/>
      </c>
      <c r="H31" s="370" t="str">
        <f t="shared" ca="1" si="6"/>
        <v/>
      </c>
      <c r="I31" s="370" t="str">
        <f t="shared" ca="1" si="6"/>
        <v/>
      </c>
      <c r="J31" s="391" t="str">
        <f ca="1">IFERROR(VLOOKUP($C31,COM_N_2012!$B$61:$AJ$122,MATCH(VLOOKUP("*"&amp;$AW31,$A$10:$J$11,$J$9,FALSE)&amp;J$7,COM_N_2012!$B$58:$AJ$58,0),FALSE),"")</f>
        <v/>
      </c>
      <c r="K31" s="391" t="str">
        <f ca="1">IFERROR(VLOOKUP($C31,COM_N_2012!$B$61:$AJ$122,MATCH(VLOOKUP("*"&amp;$AW31,$A$10:$J$11,$J$9,FALSE)&amp;K$7,COM_N_2012!$B$58:$AJ$58,0),FALSE),"")</f>
        <v/>
      </c>
      <c r="L31" s="391" t="str">
        <f ca="1">IFERROR(VLOOKUP($C31,COM_N_2012!$B$61:$AJ$122,MATCH(VLOOKUP("*"&amp;$AW31,$A$10:$J$11,$J$9,FALSE)&amp;L$7,COM_N_2012!$B$58:$AJ$58,0),FALSE),"")</f>
        <v/>
      </c>
      <c r="M31" s="391" t="str">
        <f ca="1">IFERROR(VLOOKUP($C31,COM_N_2012!$B$61:$AJ$122,MATCH(VLOOKUP("*"&amp;$AW31,$A$10:$J$11,$J$9,FALSE)&amp;M$7,COM_N_2012!$B$58:$AJ$58,0),FALSE),"")</f>
        <v/>
      </c>
      <c r="N31" s="391" t="str">
        <f ca="1">IFERROR(VLOOKUP($C31,COM_N_2012!$B$61:$AJ$122,MATCH(VLOOKUP("*"&amp;$AW31,$A$10:$J$11,$J$9,FALSE)&amp;N$7,COM_N_2012!$B$58:$AJ$58,0),FALSE),"")</f>
        <v/>
      </c>
      <c r="O31" s="391" t="str">
        <f ca="1">IF($A31="*","",IFERROR(VLOOKUP($C31,COM_N_2017!$B$61:$AJ$122,MATCH(VLOOKUP("*"&amp;$AW31,$A$10:$J$11,$J$9,FALSE)&amp;O$7,COM_N_2017!$B$58:$AJ$58,0),FALSE),""))</f>
        <v/>
      </c>
      <c r="P31" s="489" t="str">
        <f ca="1">IFERROR(VLOOKUP($C31,COM_N_2012!$B$61:$AJ$122,MATCH(VLOOKUP("*"&amp;$AW31,$A$10:$J$11,$J$9,FALSE)&amp;P$7,COM_N_2012!$B$58:$AJ$58,0),FALSE),"")</f>
        <v/>
      </c>
      <c r="Q31" s="391" t="str">
        <f ca="1">IFERROR(VLOOKUP($C31,COM_N_2012!$B$61:$AJ$122,MATCH(VLOOKUP("*"&amp;$AW31,$A$10:$J$11,$J$9,FALSE)&amp;Q$7,COM_N_2012!$B$58:$AJ$58,0),FALSE),"")</f>
        <v/>
      </c>
      <c r="R31" s="391" t="str">
        <f ca="1">IF($A31="*","",IFERROR(VLOOKUP($C31,COM_N_2017!$B$61:$AJ$122,MATCH(VLOOKUP("*"&amp;$AW31,$A$10:$J$11,$J$9,FALSE)&amp;R$7,COM_N_2017!$B$58:$AJ$58,0),FALSE),""))</f>
        <v/>
      </c>
      <c r="S31" s="391" t="str">
        <f ca="1">IFERROR(VLOOKUP($C31,COM_N_2012!$B$61:$AJ$122,MATCH(VLOOKUP("*"&amp;$AW31,$A$10:$J$11,$J$9,FALSE)&amp;S$7,COM_N_2012!$B$58:$AJ$58,0),FALSE),"")</f>
        <v/>
      </c>
      <c r="T31" s="391" t="str">
        <f ca="1">IFERROR(VLOOKUP($C31,COM_N_2012!$B$61:$AJ$122,MATCH(VLOOKUP("*"&amp;$AW31,$A$10:$J$11,$J$9,FALSE)&amp;T$7,COM_N_2012!$B$58:$AJ$58,0),FALSE),"")</f>
        <v/>
      </c>
      <c r="U31" s="391" t="str">
        <f ca="1">IFERROR(VLOOKUP($C31,COM_N_2012!$B$61:$AJ$122,MATCH(VLOOKUP("*"&amp;$AW31,$A$10:$J$11,$J$9,FALSE)&amp;U$7,COM_N_2012!$B$58:$AJ$58,0),FALSE),"")</f>
        <v/>
      </c>
      <c r="V31" s="391" t="str">
        <f ca="1">IFERROR(VLOOKUP($C31,COM_N_2012!$B$61:$AJ$122,MATCH(VLOOKUP("*"&amp;$AW31,$A$10:$J$11,$J$9,FALSE)&amp;V$7,COM_N_2012!$B$58:$AJ$58,0),FALSE),"")</f>
        <v/>
      </c>
      <c r="W31" s="391" t="str">
        <f ca="1">IF($A31="*","",IFERROR(VLOOKUP($C31,COM_N_2017!$B$61:$AJ$122,MATCH(VLOOKUP("*"&amp;$AW31,$A$10:$J$11,$J$9,FALSE)&amp;W$7,COM_N_2017!$B$58:$AJ$58,0),FALSE),""))</f>
        <v/>
      </c>
      <c r="X31" s="391" t="str">
        <f ca="1">IFERROR(VLOOKUP($C31,COM_N_2012!$B$61:$AJ$122,MATCH(VLOOKUP("*"&amp;$AW31,$A$10:$J$11,$J$9,FALSE)&amp;X$7,COM_N_2012!$B$58:$AJ$58,0),FALSE),"")</f>
        <v/>
      </c>
      <c r="Y31" s="391" t="str">
        <f ca="1">IFERROR(VLOOKUP($C31,COM_N_2012!$B$61:$AJ$122,MATCH(VLOOKUP("*"&amp;$AW31,$A$10:$J$11,$J$9,FALSE)&amp;Y$7,COM_N_2012!$B$58:$AJ$58,0),FALSE),"")</f>
        <v/>
      </c>
      <c r="Z31" s="391" t="str">
        <f ca="1">IFERROR(VLOOKUP($C31,COM_N_2012!$B$61:$AJ$122,MATCH(VLOOKUP("*"&amp;$AW31,$A$10:$J$11,$J$9,FALSE)&amp;Z$7,COM_N_2012!$B$58:$AJ$58,0),FALSE),"")</f>
        <v/>
      </c>
      <c r="AA31" s="391" t="str">
        <f ca="1">IFERROR(VLOOKUP($C31,COM_N_2012!$B$61:$AJ$122,MATCH(VLOOKUP("*"&amp;$AW31,$A$10:$J$11,$J$9,FALSE)&amp;AA$7,COM_N_2012!$B$58:$AJ$58,0),FALSE),"")</f>
        <v/>
      </c>
      <c r="AB31" s="391" t="str">
        <f ca="1">IF($A31="*","",IFERROR(VLOOKUP($C31,COM_N_2017!$B$61:$AJ$122,MATCH(VLOOKUP("*"&amp;$AW31,$A$10:$J$11,$J$9,FALSE)&amp;AB$7,COM_N_2017!$B$58:$AJ$58,0),FALSE),""))</f>
        <v/>
      </c>
      <c r="AC31" s="391" t="str">
        <f ca="1">IFERROR(VLOOKUP($C31,COM_N_2012!$B$61:$AJ$122,MATCH(VLOOKUP("*"&amp;$AW31,$A$10:$J$11,$J$9,FALSE)&amp;AC$7,COM_N_2012!$B$58:$AJ$58,0),FALSE),"")</f>
        <v/>
      </c>
      <c r="AD31" s="391" t="str">
        <f ca="1">IFERROR(VLOOKUP($C31,COM_N_2012!$B$61:$AJ$122,MATCH(VLOOKUP("*"&amp;$AW31,$A$10:$J$11,$J$9,FALSE)&amp;AD$7,COM_N_2012!$B$58:$AJ$58,0),FALSE),"")</f>
        <v/>
      </c>
      <c r="AE31" s="391" t="str">
        <f ca="1">IFERROR(VLOOKUP($C31,COM_N_2012!$B$61:$AJ$122,MATCH(VLOOKUP("*"&amp;$AW31,$A$10:$J$11,$J$9,FALSE)&amp;AE$7,COM_N_2012!$B$58:$AJ$58,0),FALSE),"")</f>
        <v/>
      </c>
      <c r="AF31" s="391" t="str">
        <f ca="1">IFERROR(VLOOKUP($C31,COM_N_2012!$B$61:$AJ$122,MATCH(VLOOKUP("*"&amp;$AW31,$A$10:$J$11,$J$9,FALSE)&amp;AF$7,COM_N_2012!$B$58:$AJ$58,0),FALSE),"")</f>
        <v/>
      </c>
      <c r="AG31" s="391" t="str">
        <f ca="1">IF($A31="*","",IFERROR(VLOOKUP($C31,COM_N_2017!$B$61:$AJ$122,MATCH(VLOOKUP("*"&amp;$AW31,$A$10:$J$11,$J$9,FALSE)&amp;AG$7,COM_N_2017!$B$58:$AJ$58,0),FALSE),""))</f>
        <v/>
      </c>
      <c r="AH31" s="391" t="str">
        <f ca="1">IFERROR(VLOOKUP($C31,COM_N_2012!$B$61:$AJ$122,MATCH(VLOOKUP("*"&amp;$AW31,$A$10:$J$11,$J$9,FALSE)&amp;AH$7,COM_N_2012!$B$58:$AJ$58,0),FALSE),"")</f>
        <v/>
      </c>
      <c r="AI31" s="391" t="str">
        <f ca="1">IFERROR(VLOOKUP($C31,COM_N_2012!$B$61:$AJ$122,MATCH(VLOOKUP("*"&amp;$AW31,$A$10:$J$11,$J$9,FALSE)&amp;AI$7,COM_N_2012!$B$58:$AJ$58,0),FALSE),"")</f>
        <v/>
      </c>
      <c r="AJ31" s="391" t="str">
        <f ca="1">IFERROR(VLOOKUP($C31,COM_N_2012!$B$61:$AJ$122,MATCH(VLOOKUP("*"&amp;$AW31,$A$10:$J$11,$J$9,FALSE)&amp;AJ$7,COM_N_2012!$B$58:$AJ$58,0),FALSE),"")</f>
        <v/>
      </c>
      <c r="AK31" s="391" t="str">
        <f ca="1">IFERROR(VLOOKUP($C31,COM_N_2012!$B$61:$AJ$122,MATCH(VLOOKUP("*"&amp;$AW31,$A$10:$J$11,$J$9,FALSE)&amp;AK$7,COM_N_2012!$B$58:$AJ$58,0),FALSE),"")</f>
        <v/>
      </c>
      <c r="AL31" s="391" t="str">
        <f ca="1">IF($A31="*","",IFERROR(VLOOKUP($C31,COM_N_2017!$B$61:$AJ$122,MATCH(VLOOKUP("*"&amp;$AW31,$A$10:$J$11,$J$9,FALSE)&amp;AL$7,COM_N_2017!$B$58:$AJ$58,0),FALSE),""))</f>
        <v/>
      </c>
      <c r="AM31" s="391" t="str">
        <f ca="1">IF($A31="*","",IFERROR(VLOOKUP($C31,COM_N_2017!$B$61:$AJ$122,MATCH(VLOOKUP("*"&amp;$AW31,$A$10:$J$11,$J$9,FALSE)&amp;AM$7,COM_N_2017!$B$58:$AJ$58,0),FALSE),""))</f>
        <v/>
      </c>
      <c r="AN31" s="391" t="str">
        <f ca="1">IF($A31="*","",IFERROR(VLOOKUP($C31,COM_N_2017!$B$61:$AJ$122,MATCH(VLOOKUP("*"&amp;$AW31,$A$10:$J$11,$J$9,FALSE)&amp;AN$7,COM_N_2017!$B$58:$AJ$58,0),FALSE),""))</f>
        <v/>
      </c>
      <c r="AO31" s="391" t="str">
        <f ca="1">IFERROR(VLOOKUP($C31,COM_N_2012!$B$61:$AJ$122,MATCH(VLOOKUP("*"&amp;$AW31,$A$10:$J$11,$J$9,FALSE)&amp;AO$7,COM_N_2012!$B$58:$AJ$58,0),FALSE),"")</f>
        <v/>
      </c>
      <c r="AP31" s="391" t="str">
        <f ca="1">IFERROR(VLOOKUP($C31,COM_N_2012!$B$61:$AJ$122,MATCH(VLOOKUP("*"&amp;$AW31,$A$10:$J$11,$J$9,FALSE)&amp;AP$7,COM_N_2012!$B$58:$AJ$58,0),FALSE),"")</f>
        <v/>
      </c>
      <c r="AQ31" s="391" t="str">
        <f ca="1">IFERROR(VLOOKUP($C31,COM_N_2012!$B$61:$AJ$122,MATCH(VLOOKUP("*"&amp;$AW31,$A$10:$J$11,$J$9,FALSE)&amp;AQ$7,COM_N_2012!$B$58:$AJ$58,0),FALSE),"")</f>
        <v/>
      </c>
      <c r="AR31" s="391" t="str">
        <f ca="1">IFERROR(VLOOKUP($C31,COM_N_2012!$B$61:$AJ$122,MATCH(VLOOKUP("*"&amp;$AW31,$A$10:$J$11,$J$9,FALSE)&amp;AR$7,COM_N_2012!$B$58:$AJ$58,0),FALSE),"")</f>
        <v/>
      </c>
      <c r="AS31" s="391" t="str">
        <f ca="1">IFERROR(VLOOKUP($C31,COM_N_2012!$B$61:$AJ$122,MATCH(VLOOKUP("*"&amp;$AW31,$A$10:$J$11,$J$9,FALSE)&amp;AS$7,COM_N_2012!$B$58:$AJ$58,0),FALSE),"")</f>
        <v/>
      </c>
      <c r="AT31" s="391" t="str">
        <f ca="1">IFERROR(VLOOKUP($C31,COM_N_2012!$B$61:$AJ$122,MATCH(VLOOKUP("*"&amp;$AW31,$A$10:$J$11,$J$9,FALSE)&amp;AT$7,COM_N_2012!$B$58:$AJ$58,0),FALSE),"")</f>
        <v/>
      </c>
      <c r="AU31" s="391" t="str">
        <f ca="1">IFERROR(VLOOKUP($C31,COM_N_2012!$B$61:$AJ$122,MATCH(VLOOKUP("*"&amp;$AW31,$A$10:$J$11,$J$9,FALSE)&amp;AU$7,COM_N_2012!$B$58:$AJ$58,0),FALSE),"")</f>
        <v/>
      </c>
      <c r="AV31" s="391" t="str">
        <f ca="1">IFERROR(VLOOKUP($C31,COM_N_2012!$B$61:$AJ$122,MATCH(VLOOKUP("*"&amp;$AW31,$A$10:$J$11,$J$9,FALSE)&amp;AV$7,COM_N_2012!$B$58:$AJ$58,0),FALSE),"")</f>
        <v/>
      </c>
      <c r="AW31" s="304">
        <f>IF(AX30=COM_N_2012!$AK$121,AW30+1,AW30)</f>
        <v>1</v>
      </c>
      <c r="AX31" s="304">
        <f t="shared" si="7"/>
        <v>19</v>
      </c>
    </row>
    <row r="32" spans="1:50">
      <c r="A32" s="304" t="str">
        <f ca="1">IF(LEFT(OFFSET(COM_N_2012!$A$60,AX32,0),2)="\I","*","")</f>
        <v>*</v>
      </c>
      <c r="B32" s="369" t="str">
        <f t="shared" ca="1" si="3"/>
        <v/>
      </c>
      <c r="C32" s="369" t="str">
        <f ca="1">IF($A32="*","",OFFSET(COM_N_2012!$B$60,AX32,0))</f>
        <v/>
      </c>
      <c r="D32" s="369" t="str">
        <f t="shared" ca="1" si="4"/>
        <v/>
      </c>
      <c r="E32" s="369" t="str">
        <f t="shared" ca="1" si="5"/>
        <v/>
      </c>
      <c r="F32" s="370" t="str">
        <f t="shared" ca="1" si="6"/>
        <v/>
      </c>
      <c r="G32" s="370" t="str">
        <f t="shared" ca="1" si="6"/>
        <v/>
      </c>
      <c r="H32" s="370" t="str">
        <f t="shared" ca="1" si="6"/>
        <v/>
      </c>
      <c r="I32" s="370" t="str">
        <f t="shared" ca="1" si="6"/>
        <v/>
      </c>
      <c r="J32" s="391" t="str">
        <f ca="1">IFERROR(VLOOKUP($C32,COM_N_2012!$B$61:$AJ$122,MATCH(VLOOKUP("*"&amp;$AW32,$A$10:$J$11,$J$9,FALSE)&amp;J$7,COM_N_2012!$B$58:$AJ$58,0),FALSE),"")</f>
        <v/>
      </c>
      <c r="K32" s="391" t="str">
        <f ca="1">IFERROR(VLOOKUP($C32,COM_N_2012!$B$61:$AJ$122,MATCH(VLOOKUP("*"&amp;$AW32,$A$10:$J$11,$J$9,FALSE)&amp;K$7,COM_N_2012!$B$58:$AJ$58,0),FALSE),"")</f>
        <v/>
      </c>
      <c r="L32" s="391" t="str">
        <f ca="1">IFERROR(VLOOKUP($C32,COM_N_2012!$B$61:$AJ$122,MATCH(VLOOKUP("*"&amp;$AW32,$A$10:$J$11,$J$9,FALSE)&amp;L$7,COM_N_2012!$B$58:$AJ$58,0),FALSE),"")</f>
        <v/>
      </c>
      <c r="M32" s="391" t="str">
        <f ca="1">IFERROR(VLOOKUP($C32,COM_N_2012!$B$61:$AJ$122,MATCH(VLOOKUP("*"&amp;$AW32,$A$10:$J$11,$J$9,FALSE)&amp;M$7,COM_N_2012!$B$58:$AJ$58,0),FALSE),"")</f>
        <v/>
      </c>
      <c r="N32" s="391" t="str">
        <f ca="1">IFERROR(VLOOKUP($C32,COM_N_2012!$B$61:$AJ$122,MATCH(VLOOKUP("*"&amp;$AW32,$A$10:$J$11,$J$9,FALSE)&amp;N$7,COM_N_2012!$B$58:$AJ$58,0),FALSE),"")</f>
        <v/>
      </c>
      <c r="O32" s="391" t="str">
        <f ca="1">IF($A32="*","",IFERROR(VLOOKUP($C32,COM_N_2017!$B$61:$AJ$122,MATCH(VLOOKUP("*"&amp;$AW32,$A$10:$J$11,$J$9,FALSE)&amp;O$7,COM_N_2017!$B$58:$AJ$58,0),FALSE),""))</f>
        <v/>
      </c>
      <c r="P32" s="489" t="str">
        <f ca="1">IFERROR(VLOOKUP($C32,COM_N_2012!$B$61:$AJ$122,MATCH(VLOOKUP("*"&amp;$AW32,$A$10:$J$11,$J$9,FALSE)&amp;P$7,COM_N_2012!$B$58:$AJ$58,0),FALSE),"")</f>
        <v/>
      </c>
      <c r="Q32" s="391" t="str">
        <f ca="1">IFERROR(VLOOKUP($C32,COM_N_2012!$B$61:$AJ$122,MATCH(VLOOKUP("*"&amp;$AW32,$A$10:$J$11,$J$9,FALSE)&amp;Q$7,COM_N_2012!$B$58:$AJ$58,0),FALSE),"")</f>
        <v/>
      </c>
      <c r="R32" s="391" t="str">
        <f ca="1">IF($A32="*","",IFERROR(VLOOKUP($C32,COM_N_2017!$B$61:$AJ$122,MATCH(VLOOKUP("*"&amp;$AW32,$A$10:$J$11,$J$9,FALSE)&amp;R$7,COM_N_2017!$B$58:$AJ$58,0),FALSE),""))</f>
        <v/>
      </c>
      <c r="S32" s="391" t="str">
        <f ca="1">IFERROR(VLOOKUP($C32,COM_N_2012!$B$61:$AJ$122,MATCH(VLOOKUP("*"&amp;$AW32,$A$10:$J$11,$J$9,FALSE)&amp;S$7,COM_N_2012!$B$58:$AJ$58,0),FALSE),"")</f>
        <v/>
      </c>
      <c r="T32" s="391" t="str">
        <f ca="1">IFERROR(VLOOKUP($C32,COM_N_2012!$B$61:$AJ$122,MATCH(VLOOKUP("*"&amp;$AW32,$A$10:$J$11,$J$9,FALSE)&amp;T$7,COM_N_2012!$B$58:$AJ$58,0),FALSE),"")</f>
        <v/>
      </c>
      <c r="U32" s="391" t="str">
        <f ca="1">IFERROR(VLOOKUP($C32,COM_N_2012!$B$61:$AJ$122,MATCH(VLOOKUP("*"&amp;$AW32,$A$10:$J$11,$J$9,FALSE)&amp;U$7,COM_N_2012!$B$58:$AJ$58,0),FALSE),"")</f>
        <v/>
      </c>
      <c r="V32" s="391" t="str">
        <f ca="1">IFERROR(VLOOKUP($C32,COM_N_2012!$B$61:$AJ$122,MATCH(VLOOKUP("*"&amp;$AW32,$A$10:$J$11,$J$9,FALSE)&amp;V$7,COM_N_2012!$B$58:$AJ$58,0),FALSE),"")</f>
        <v/>
      </c>
      <c r="W32" s="391" t="str">
        <f ca="1">IF($A32="*","",IFERROR(VLOOKUP($C32,COM_N_2017!$B$61:$AJ$122,MATCH(VLOOKUP("*"&amp;$AW32,$A$10:$J$11,$J$9,FALSE)&amp;W$7,COM_N_2017!$B$58:$AJ$58,0),FALSE),""))</f>
        <v/>
      </c>
      <c r="X32" s="391" t="str">
        <f ca="1">IFERROR(VLOOKUP($C32,COM_N_2012!$B$61:$AJ$122,MATCH(VLOOKUP("*"&amp;$AW32,$A$10:$J$11,$J$9,FALSE)&amp;X$7,COM_N_2012!$B$58:$AJ$58,0),FALSE),"")</f>
        <v/>
      </c>
      <c r="Y32" s="391" t="str">
        <f ca="1">IFERROR(VLOOKUP($C32,COM_N_2012!$B$61:$AJ$122,MATCH(VLOOKUP("*"&amp;$AW32,$A$10:$J$11,$J$9,FALSE)&amp;Y$7,COM_N_2012!$B$58:$AJ$58,0),FALSE),"")</f>
        <v/>
      </c>
      <c r="Z32" s="391" t="str">
        <f ca="1">IFERROR(VLOOKUP($C32,COM_N_2012!$B$61:$AJ$122,MATCH(VLOOKUP("*"&amp;$AW32,$A$10:$J$11,$J$9,FALSE)&amp;Z$7,COM_N_2012!$B$58:$AJ$58,0),FALSE),"")</f>
        <v/>
      </c>
      <c r="AA32" s="391" t="str">
        <f ca="1">IFERROR(VLOOKUP($C32,COM_N_2012!$B$61:$AJ$122,MATCH(VLOOKUP("*"&amp;$AW32,$A$10:$J$11,$J$9,FALSE)&amp;AA$7,COM_N_2012!$B$58:$AJ$58,0),FALSE),"")</f>
        <v/>
      </c>
      <c r="AB32" s="391" t="str">
        <f ca="1">IF($A32="*","",IFERROR(VLOOKUP($C32,COM_N_2017!$B$61:$AJ$122,MATCH(VLOOKUP("*"&amp;$AW32,$A$10:$J$11,$J$9,FALSE)&amp;AB$7,COM_N_2017!$B$58:$AJ$58,0),FALSE),""))</f>
        <v/>
      </c>
      <c r="AC32" s="391" t="str">
        <f ca="1">IFERROR(VLOOKUP($C32,COM_N_2012!$B$61:$AJ$122,MATCH(VLOOKUP("*"&amp;$AW32,$A$10:$J$11,$J$9,FALSE)&amp;AC$7,COM_N_2012!$B$58:$AJ$58,0),FALSE),"")</f>
        <v/>
      </c>
      <c r="AD32" s="391" t="str">
        <f ca="1">IFERROR(VLOOKUP($C32,COM_N_2012!$B$61:$AJ$122,MATCH(VLOOKUP("*"&amp;$AW32,$A$10:$J$11,$J$9,FALSE)&amp;AD$7,COM_N_2012!$B$58:$AJ$58,0),FALSE),"")</f>
        <v/>
      </c>
      <c r="AE32" s="391" t="str">
        <f ca="1">IFERROR(VLOOKUP($C32,COM_N_2012!$B$61:$AJ$122,MATCH(VLOOKUP("*"&amp;$AW32,$A$10:$J$11,$J$9,FALSE)&amp;AE$7,COM_N_2012!$B$58:$AJ$58,0),FALSE),"")</f>
        <v/>
      </c>
      <c r="AF32" s="391" t="str">
        <f ca="1">IFERROR(VLOOKUP($C32,COM_N_2012!$B$61:$AJ$122,MATCH(VLOOKUP("*"&amp;$AW32,$A$10:$J$11,$J$9,FALSE)&amp;AF$7,COM_N_2012!$B$58:$AJ$58,0),FALSE),"")</f>
        <v/>
      </c>
      <c r="AG32" s="391" t="str">
        <f ca="1">IF($A32="*","",IFERROR(VLOOKUP($C32,COM_N_2017!$B$61:$AJ$122,MATCH(VLOOKUP("*"&amp;$AW32,$A$10:$J$11,$J$9,FALSE)&amp;AG$7,COM_N_2017!$B$58:$AJ$58,0),FALSE),""))</f>
        <v/>
      </c>
      <c r="AH32" s="391" t="str">
        <f ca="1">IFERROR(VLOOKUP($C32,COM_N_2012!$B$61:$AJ$122,MATCH(VLOOKUP("*"&amp;$AW32,$A$10:$J$11,$J$9,FALSE)&amp;AH$7,COM_N_2012!$B$58:$AJ$58,0),FALSE),"")</f>
        <v/>
      </c>
      <c r="AI32" s="391" t="str">
        <f ca="1">IFERROR(VLOOKUP($C32,COM_N_2012!$B$61:$AJ$122,MATCH(VLOOKUP("*"&amp;$AW32,$A$10:$J$11,$J$9,FALSE)&amp;AI$7,COM_N_2012!$B$58:$AJ$58,0),FALSE),"")</f>
        <v/>
      </c>
      <c r="AJ32" s="391" t="str">
        <f ca="1">IFERROR(VLOOKUP($C32,COM_N_2012!$B$61:$AJ$122,MATCH(VLOOKUP("*"&amp;$AW32,$A$10:$J$11,$J$9,FALSE)&amp;AJ$7,COM_N_2012!$B$58:$AJ$58,0),FALSE),"")</f>
        <v/>
      </c>
      <c r="AK32" s="391" t="str">
        <f ca="1">IFERROR(VLOOKUP($C32,COM_N_2012!$B$61:$AJ$122,MATCH(VLOOKUP("*"&amp;$AW32,$A$10:$J$11,$J$9,FALSE)&amp;AK$7,COM_N_2012!$B$58:$AJ$58,0),FALSE),"")</f>
        <v/>
      </c>
      <c r="AL32" s="391" t="str">
        <f ca="1">IF($A32="*","",IFERROR(VLOOKUP($C32,COM_N_2017!$B$61:$AJ$122,MATCH(VLOOKUP("*"&amp;$AW32,$A$10:$J$11,$J$9,FALSE)&amp;AL$7,COM_N_2017!$B$58:$AJ$58,0),FALSE),""))</f>
        <v/>
      </c>
      <c r="AM32" s="391" t="str">
        <f ca="1">IF($A32="*","",IFERROR(VLOOKUP($C32,COM_N_2017!$B$61:$AJ$122,MATCH(VLOOKUP("*"&amp;$AW32,$A$10:$J$11,$J$9,FALSE)&amp;AM$7,COM_N_2017!$B$58:$AJ$58,0),FALSE),""))</f>
        <v/>
      </c>
      <c r="AN32" s="391" t="str">
        <f ca="1">IF($A32="*","",IFERROR(VLOOKUP($C32,COM_N_2017!$B$61:$AJ$122,MATCH(VLOOKUP("*"&amp;$AW32,$A$10:$J$11,$J$9,FALSE)&amp;AN$7,COM_N_2017!$B$58:$AJ$58,0),FALSE),""))</f>
        <v/>
      </c>
      <c r="AO32" s="391" t="str">
        <f ca="1">IFERROR(VLOOKUP($C32,COM_N_2012!$B$61:$AJ$122,MATCH(VLOOKUP("*"&amp;$AW32,$A$10:$J$11,$J$9,FALSE)&amp;AO$7,COM_N_2012!$B$58:$AJ$58,0),FALSE),"")</f>
        <v/>
      </c>
      <c r="AP32" s="391" t="str">
        <f ca="1">IFERROR(VLOOKUP($C32,COM_N_2012!$B$61:$AJ$122,MATCH(VLOOKUP("*"&amp;$AW32,$A$10:$J$11,$J$9,FALSE)&amp;AP$7,COM_N_2012!$B$58:$AJ$58,0),FALSE),"")</f>
        <v/>
      </c>
      <c r="AQ32" s="391" t="str">
        <f ca="1">IFERROR(VLOOKUP($C32,COM_N_2012!$B$61:$AJ$122,MATCH(VLOOKUP("*"&amp;$AW32,$A$10:$J$11,$J$9,FALSE)&amp;AQ$7,COM_N_2012!$B$58:$AJ$58,0),FALSE),"")</f>
        <v/>
      </c>
      <c r="AR32" s="391" t="str">
        <f ca="1">IFERROR(VLOOKUP($C32,COM_N_2012!$B$61:$AJ$122,MATCH(VLOOKUP("*"&amp;$AW32,$A$10:$J$11,$J$9,FALSE)&amp;AR$7,COM_N_2012!$B$58:$AJ$58,0),FALSE),"")</f>
        <v/>
      </c>
      <c r="AS32" s="391" t="str">
        <f ca="1">IFERROR(VLOOKUP($C32,COM_N_2012!$B$61:$AJ$122,MATCH(VLOOKUP("*"&amp;$AW32,$A$10:$J$11,$J$9,FALSE)&amp;AS$7,COM_N_2012!$B$58:$AJ$58,0),FALSE),"")</f>
        <v/>
      </c>
      <c r="AT32" s="391" t="str">
        <f ca="1">IFERROR(VLOOKUP($C32,COM_N_2012!$B$61:$AJ$122,MATCH(VLOOKUP("*"&amp;$AW32,$A$10:$J$11,$J$9,FALSE)&amp;AT$7,COM_N_2012!$B$58:$AJ$58,0),FALSE),"")</f>
        <v/>
      </c>
      <c r="AU32" s="391" t="str">
        <f ca="1">IFERROR(VLOOKUP($C32,COM_N_2012!$B$61:$AJ$122,MATCH(VLOOKUP("*"&amp;$AW32,$A$10:$J$11,$J$9,FALSE)&amp;AU$7,COM_N_2012!$B$58:$AJ$58,0),FALSE),"")</f>
        <v/>
      </c>
      <c r="AV32" s="391" t="str">
        <f ca="1">IFERROR(VLOOKUP($C32,COM_N_2012!$B$61:$AJ$122,MATCH(VLOOKUP("*"&amp;$AW32,$A$10:$J$11,$J$9,FALSE)&amp;AV$7,COM_N_2012!$B$58:$AJ$58,0),FALSE),"")</f>
        <v/>
      </c>
      <c r="AW32" s="304">
        <f>IF(AX31=COM_N_2012!$AK$121,AW31+1,AW31)</f>
        <v>1</v>
      </c>
      <c r="AX32" s="304">
        <f t="shared" si="7"/>
        <v>20</v>
      </c>
    </row>
    <row r="33" spans="1:50">
      <c r="A33" s="304" t="str">
        <f ca="1">IF(LEFT(OFFSET(COM_N_2012!$A$60,AX33,0),2)="\I","*","")</f>
        <v/>
      </c>
      <c r="B33" s="369" t="str">
        <f t="shared" ca="1" si="3"/>
        <v>FLO_MRKPRD</v>
      </c>
      <c r="C33" s="369" t="str">
        <f ca="1">IF($A33="*","",OFFSET(COM_N_2012!$B$60,AX33,0))</f>
        <v>CNLELCCFL-E</v>
      </c>
      <c r="D33" s="369" t="str">
        <f t="shared" ca="1" si="4"/>
        <v>CNL</v>
      </c>
      <c r="E33" s="369" t="str">
        <f t="shared" ref="E33:E52" ca="1" si="8">IF($A33="*","",VLOOKUP($B33,$B$10:$I$11,E$9,FALSE))</f>
        <v>-</v>
      </c>
      <c r="F33" s="370" t="str">
        <f t="shared" ref="F33:G96" ca="1" si="9">IF($A33="*","",VLOOKUP("*"&amp;$AW33,$A$10:$I$11,F$9,FALSE))</f>
        <v>-</v>
      </c>
      <c r="G33" s="370" t="str">
        <f t="shared" ca="1" si="9"/>
        <v>ANNUAL</v>
      </c>
      <c r="H33" s="370" t="str">
        <f t="shared" ref="H33:I52" ca="1" si="10">IF($A33="*","",VLOOKUP("*"&amp;$AW33,$A$10:$I$11,H$9,FALSE))</f>
        <v>UP</v>
      </c>
      <c r="I33" s="370">
        <f t="shared" ca="1" si="10"/>
        <v>0</v>
      </c>
      <c r="J33" s="391">
        <f ca="1">IFERROR(VLOOKUP($C33,COM_N_2012!$B$61:$AJ$122,MATCH(VLOOKUP("*"&amp;$AW33,$A$10:$J$11,$J$9,FALSE)&amp;J$7,COM_N_2012!$B$58:$AJ$58,0),FALSE),"")</f>
        <v>5.3802197802197797E-2</v>
      </c>
      <c r="K33" s="391" t="str">
        <f ca="1">IFERROR(VLOOKUP($C33,COM_N_2012!$B$61:$AJ$122,MATCH(VLOOKUP("*"&amp;$AW33,$A$10:$J$11,$J$9,FALSE)&amp;K$7,COM_N_2012!$B$58:$AJ$58,0),FALSE),"")</f>
        <v/>
      </c>
      <c r="L33" s="391" t="str">
        <f ca="1">IFERROR(VLOOKUP($C33,COM_N_2012!$B$61:$AJ$122,MATCH(VLOOKUP("*"&amp;$AW33,$A$10:$J$11,$J$9,FALSE)&amp;L$7,COM_N_2012!$B$58:$AJ$58,0),FALSE),"")</f>
        <v/>
      </c>
      <c r="M33" s="391">
        <f ca="1">IFERROR(VLOOKUP($C33,COM_N_2012!$B$61:$AJ$122,MATCH(VLOOKUP("*"&amp;$AW33,$A$10:$J$11,$J$9,FALSE)&amp;M$7,COM_N_2012!$B$58:$AJ$58,0),FALSE),"")</f>
        <v>5.3802197802197797E-2</v>
      </c>
      <c r="N33" s="391" t="str">
        <f ca="1">IFERROR(VLOOKUP($C33,COM_N_2012!$B$61:$AJ$122,MATCH(VLOOKUP("*"&amp;$AW33,$A$10:$J$11,$J$9,FALSE)&amp;N$7,COM_N_2012!$B$58:$AJ$58,0),FALSE),"")</f>
        <v/>
      </c>
      <c r="O33" s="391">
        <f ca="1">IF($A33="*","",IFERROR(VLOOKUP($C33,COM_N_2017!$B$61:$AJ$122,MATCH(VLOOKUP("*"&amp;$AW33,$A$10:$J$11,$J$9,FALSE)&amp;O$7,COM_N_2017!$B$58:$AJ$58,0),FALSE),""))</f>
        <v>5.3274725274725265E-2</v>
      </c>
      <c r="P33" s="489" t="str">
        <f ca="1">IFERROR(VLOOKUP($C33,COM_N_2012!$B$61:$AJ$122,MATCH(VLOOKUP("*"&amp;$AW33,$A$10:$J$11,$J$9,FALSE)&amp;P$7,COM_N_2012!$B$58:$AJ$58,0),FALSE),"")</f>
        <v/>
      </c>
      <c r="Q33" s="391" t="str">
        <f ca="1">IFERROR(VLOOKUP($C33,COM_N_2012!$B$61:$AJ$122,MATCH(VLOOKUP("*"&amp;$AW33,$A$10:$J$11,$J$9,FALSE)&amp;Q$7,COM_N_2012!$B$58:$AJ$58,0),FALSE),"")</f>
        <v/>
      </c>
      <c r="R33" s="391">
        <f ca="1">IF($A33="*","",IFERROR(VLOOKUP($C33,COM_N_2017!$B$61:$AJ$122,MATCH(VLOOKUP("*"&amp;$AW33,$A$10:$J$11,$J$9,FALSE)&amp;R$7,COM_N_2017!$B$58:$AJ$58,0),FALSE),""))</f>
        <v>8.3274725274725264E-2</v>
      </c>
      <c r="S33" s="391" t="str">
        <f ca="1">IFERROR(VLOOKUP($C33,COM_N_2012!$B$61:$AJ$122,MATCH(VLOOKUP("*"&amp;$AW33,$A$10:$J$11,$J$9,FALSE)&amp;S$7,COM_N_2012!$B$58:$AJ$58,0),FALSE),"")</f>
        <v/>
      </c>
      <c r="T33" s="391" t="str">
        <f ca="1">IFERROR(VLOOKUP($C33,COM_N_2012!$B$61:$AJ$122,MATCH(VLOOKUP("*"&amp;$AW33,$A$10:$J$11,$J$9,FALSE)&amp;T$7,COM_N_2012!$B$58:$AJ$58,0),FALSE),"")</f>
        <v/>
      </c>
      <c r="U33" s="391" t="str">
        <f ca="1">IFERROR(VLOOKUP($C33,COM_N_2012!$B$61:$AJ$122,MATCH(VLOOKUP("*"&amp;$AW33,$A$10:$J$11,$J$9,FALSE)&amp;U$7,COM_N_2012!$B$58:$AJ$58,0),FALSE),"")</f>
        <v/>
      </c>
      <c r="V33" s="391" t="str">
        <f ca="1">IFERROR(VLOOKUP($C33,COM_N_2012!$B$61:$AJ$122,MATCH(VLOOKUP("*"&amp;$AW33,$A$10:$J$11,$J$9,FALSE)&amp;V$7,COM_N_2012!$B$58:$AJ$58,0),FALSE),"")</f>
        <v/>
      </c>
      <c r="W33" s="391">
        <f ca="1">IF($A33="*","",IFERROR(VLOOKUP($C33,COM_N_2017!$B$61:$AJ$122,MATCH(VLOOKUP("*"&amp;$AW33,$A$10:$J$11,$J$9,FALSE)&amp;W$7,COM_N_2017!$B$58:$AJ$58,0),FALSE),""))</f>
        <v>0.15327472527472527</v>
      </c>
      <c r="X33" s="391" t="str">
        <f ca="1">IFERROR(VLOOKUP($C33,COM_N_2012!$B$61:$AJ$122,MATCH(VLOOKUP("*"&amp;$AW33,$A$10:$J$11,$J$9,FALSE)&amp;X$7,COM_N_2012!$B$58:$AJ$58,0),FALSE),"")</f>
        <v/>
      </c>
      <c r="Y33" s="391" t="str">
        <f ca="1">IFERROR(VLOOKUP($C33,COM_N_2012!$B$61:$AJ$122,MATCH(VLOOKUP("*"&amp;$AW33,$A$10:$J$11,$J$9,FALSE)&amp;Y$7,COM_N_2012!$B$58:$AJ$58,0),FALSE),"")</f>
        <v/>
      </c>
      <c r="Z33" s="391" t="str">
        <f ca="1">IFERROR(VLOOKUP($C33,COM_N_2012!$B$61:$AJ$122,MATCH(VLOOKUP("*"&amp;$AW33,$A$10:$J$11,$J$9,FALSE)&amp;Z$7,COM_N_2012!$B$58:$AJ$58,0),FALSE),"")</f>
        <v/>
      </c>
      <c r="AA33" s="391" t="str">
        <f ca="1">IFERROR(VLOOKUP($C33,COM_N_2012!$B$61:$AJ$122,MATCH(VLOOKUP("*"&amp;$AW33,$A$10:$J$11,$J$9,FALSE)&amp;AA$7,COM_N_2012!$B$58:$AJ$58,0),FALSE),"")</f>
        <v/>
      </c>
      <c r="AB33" s="391">
        <f ca="1">IF($A33="*","",IFERROR(VLOOKUP($C33,COM_N_2017!$B$61:$AJ$122,MATCH(VLOOKUP("*"&amp;$AW33,$A$10:$J$11,$J$9,FALSE)&amp;AB$7,COM_N_2017!$B$58:$AJ$58,0),FALSE),""))</f>
        <v>0.35327472527472525</v>
      </c>
      <c r="AC33" s="391" t="str">
        <f ca="1">IFERROR(VLOOKUP($C33,COM_N_2012!$B$61:$AJ$122,MATCH(VLOOKUP("*"&amp;$AW33,$A$10:$J$11,$J$9,FALSE)&amp;AC$7,COM_N_2012!$B$58:$AJ$58,0),FALSE),"")</f>
        <v/>
      </c>
      <c r="AD33" s="391" t="str">
        <f ca="1">IFERROR(VLOOKUP($C33,COM_N_2012!$B$61:$AJ$122,MATCH(VLOOKUP("*"&amp;$AW33,$A$10:$J$11,$J$9,FALSE)&amp;AD$7,COM_N_2012!$B$58:$AJ$58,0),FALSE),"")</f>
        <v/>
      </c>
      <c r="AE33" s="391" t="str">
        <f ca="1">IFERROR(VLOOKUP($C33,COM_N_2012!$B$61:$AJ$122,MATCH(VLOOKUP("*"&amp;$AW33,$A$10:$J$11,$J$9,FALSE)&amp;AE$7,COM_N_2012!$B$58:$AJ$58,0),FALSE),"")</f>
        <v/>
      </c>
      <c r="AF33" s="391" t="str">
        <f ca="1">IFERROR(VLOOKUP($C33,COM_N_2012!$B$61:$AJ$122,MATCH(VLOOKUP("*"&amp;$AW33,$A$10:$J$11,$J$9,FALSE)&amp;AF$7,COM_N_2012!$B$58:$AJ$58,0),FALSE),"")</f>
        <v/>
      </c>
      <c r="AG33" s="391">
        <f ca="1">IF($A33="*","",IFERROR(VLOOKUP($C33,COM_N_2017!$B$61:$AJ$122,MATCH(VLOOKUP("*"&amp;$AW33,$A$10:$J$11,$J$9,FALSE)&amp;AG$7,COM_N_2017!$B$58:$AJ$58,0),FALSE),""))</f>
        <v>0.55327472527472521</v>
      </c>
      <c r="AH33" s="391" t="str">
        <f ca="1">IFERROR(VLOOKUP($C33,COM_N_2012!$B$61:$AJ$122,MATCH(VLOOKUP("*"&amp;$AW33,$A$10:$J$11,$J$9,FALSE)&amp;AH$7,COM_N_2012!$B$58:$AJ$58,0),FALSE),"")</f>
        <v/>
      </c>
      <c r="AI33" s="391" t="str">
        <f ca="1">IFERROR(VLOOKUP($C33,COM_N_2012!$B$61:$AJ$122,MATCH(VLOOKUP("*"&amp;$AW33,$A$10:$J$11,$J$9,FALSE)&amp;AI$7,COM_N_2012!$B$58:$AJ$58,0),FALSE),"")</f>
        <v/>
      </c>
      <c r="AJ33" s="391" t="str">
        <f ca="1">IFERROR(VLOOKUP($C33,COM_N_2012!$B$61:$AJ$122,MATCH(VLOOKUP("*"&amp;$AW33,$A$10:$J$11,$J$9,FALSE)&amp;AJ$7,COM_N_2012!$B$58:$AJ$58,0),FALSE),"")</f>
        <v/>
      </c>
      <c r="AK33" s="391" t="str">
        <f ca="1">IFERROR(VLOOKUP($C33,COM_N_2012!$B$61:$AJ$122,MATCH(VLOOKUP("*"&amp;$AW33,$A$10:$J$11,$J$9,FALSE)&amp;AK$7,COM_N_2012!$B$58:$AJ$58,0),FALSE),"")</f>
        <v/>
      </c>
      <c r="AL33" s="391">
        <f ca="1">IF($A33="*","",IFERROR(VLOOKUP($C33,COM_N_2017!$B$61:$AJ$122,MATCH(VLOOKUP("*"&amp;$AW33,$A$10:$J$11,$J$9,FALSE)&amp;AL$7,COM_N_2017!$B$58:$AJ$58,0),FALSE),""))</f>
        <v>0.75327472527472517</v>
      </c>
      <c r="AM33" s="391">
        <f ca="1">IF($A33="*","",IFERROR(VLOOKUP($C33,COM_N_2017!$B$61:$AJ$122,MATCH(VLOOKUP("*"&amp;$AW33,$A$10:$J$11,$J$9,FALSE)&amp;AM$7,COM_N_2017!$B$58:$AJ$58,0),FALSE),""))</f>
        <v>0.95327472527472534</v>
      </c>
      <c r="AN33" s="391">
        <f ca="1">IF($A33="*","",IFERROR(VLOOKUP($C33,COM_N_2017!$B$61:$AJ$122,MATCH(VLOOKUP("*"&amp;$AW33,$A$10:$J$11,$J$9,FALSE)&amp;AN$7,COM_N_2017!$B$58:$AJ$58,0),FALSE),""))</f>
        <v>1</v>
      </c>
      <c r="AO33" s="391" t="str">
        <f ca="1">IFERROR(VLOOKUP($C33,COM_N_2012!$B$61:$AJ$122,MATCH(VLOOKUP("*"&amp;$AW33,$A$10:$J$11,$J$9,FALSE)&amp;AO$7,COM_N_2012!$B$58:$AJ$58,0),FALSE),"")</f>
        <v/>
      </c>
      <c r="AP33" s="391" t="str">
        <f ca="1">IFERROR(VLOOKUP($C33,COM_N_2012!$B$61:$AJ$122,MATCH(VLOOKUP("*"&amp;$AW33,$A$10:$J$11,$J$9,FALSE)&amp;AP$7,COM_N_2012!$B$58:$AJ$58,0),FALSE),"")</f>
        <v/>
      </c>
      <c r="AQ33" s="391" t="str">
        <f ca="1">IFERROR(VLOOKUP($C33,COM_N_2012!$B$61:$AJ$122,MATCH(VLOOKUP("*"&amp;$AW33,$A$10:$J$11,$J$9,FALSE)&amp;AQ$7,COM_N_2012!$B$58:$AJ$58,0),FALSE),"")</f>
        <v/>
      </c>
      <c r="AR33" s="391" t="str">
        <f ca="1">IFERROR(VLOOKUP($C33,COM_N_2012!$B$61:$AJ$122,MATCH(VLOOKUP("*"&amp;$AW33,$A$10:$J$11,$J$9,FALSE)&amp;AR$7,COM_N_2012!$B$58:$AJ$58,0),FALSE),"")</f>
        <v/>
      </c>
      <c r="AS33" s="391" t="str">
        <f ca="1">IFERROR(VLOOKUP($C33,COM_N_2012!$B$61:$AJ$122,MATCH(VLOOKUP("*"&amp;$AW33,$A$10:$J$11,$J$9,FALSE)&amp;AS$7,COM_N_2012!$B$58:$AJ$58,0),FALSE),"")</f>
        <v/>
      </c>
      <c r="AT33" s="391" t="str">
        <f ca="1">IFERROR(VLOOKUP($C33,COM_N_2012!$B$61:$AJ$122,MATCH(VLOOKUP("*"&amp;$AW33,$A$10:$J$11,$J$9,FALSE)&amp;AT$7,COM_N_2012!$B$58:$AJ$58,0),FALSE),"")</f>
        <v/>
      </c>
      <c r="AU33" s="391" t="str">
        <f ca="1">IFERROR(VLOOKUP($C33,COM_N_2012!$B$61:$AJ$122,MATCH(VLOOKUP("*"&amp;$AW33,$A$10:$J$11,$J$9,FALSE)&amp;AU$7,COM_N_2012!$B$58:$AJ$58,0),FALSE),"")</f>
        <v/>
      </c>
      <c r="AV33" s="391" t="str">
        <f ca="1">IFERROR(VLOOKUP($C33,COM_N_2012!$B$61:$AJ$122,MATCH(VLOOKUP("*"&amp;$AW33,$A$10:$J$11,$J$9,FALSE)&amp;AV$7,COM_N_2012!$B$58:$AJ$58,0),FALSE),"")</f>
        <v/>
      </c>
      <c r="AW33" s="304">
        <f>IF(AX32=COM_N_2012!$AK$121,AW32+1,AW32)</f>
        <v>1</v>
      </c>
      <c r="AX33" s="304">
        <f t="shared" si="7"/>
        <v>21</v>
      </c>
    </row>
    <row r="34" spans="1:50">
      <c r="A34" s="304" t="str">
        <f ca="1">IF(LEFT(OFFSET(COM_N_2012!$A$60,AX34,0),2)="\I","*","")</f>
        <v/>
      </c>
      <c r="B34" s="369" t="str">
        <f t="shared" ca="1" si="3"/>
        <v>FLO_MRKPRD</v>
      </c>
      <c r="C34" s="369" t="str">
        <f ca="1">IF($A34="*","",OFFSET(COM_N_2012!$B$60,AX34,0))</f>
        <v>CNLELCFLU-E</v>
      </c>
      <c r="D34" s="369" t="str">
        <f t="shared" ca="1" si="4"/>
        <v>CNL</v>
      </c>
      <c r="E34" s="369" t="str">
        <f t="shared" ca="1" si="8"/>
        <v>-</v>
      </c>
      <c r="F34" s="370" t="str">
        <f t="shared" ca="1" si="9"/>
        <v>-</v>
      </c>
      <c r="G34" s="370" t="str">
        <f t="shared" ca="1" si="9"/>
        <v>ANNUAL</v>
      </c>
      <c r="H34" s="370" t="str">
        <f t="shared" ca="1" si="10"/>
        <v>UP</v>
      </c>
      <c r="I34" s="370">
        <f t="shared" ca="1" si="10"/>
        <v>0</v>
      </c>
      <c r="J34" s="391">
        <f ca="1">IFERROR(VLOOKUP($C34,COM_N_2012!$B$61:$AJ$122,MATCH(VLOOKUP("*"&amp;$AW34,$A$10:$J$11,$J$9,FALSE)&amp;J$7,COM_N_2012!$B$58:$AJ$58,0),FALSE),"")</f>
        <v>0.70615384615384602</v>
      </c>
      <c r="K34" s="391" t="str">
        <f ca="1">IFERROR(VLOOKUP($C34,COM_N_2012!$B$61:$AJ$122,MATCH(VLOOKUP("*"&amp;$AW34,$A$10:$J$11,$J$9,FALSE)&amp;K$7,COM_N_2012!$B$58:$AJ$58,0),FALSE),"")</f>
        <v/>
      </c>
      <c r="L34" s="391" t="str">
        <f ca="1">IFERROR(VLOOKUP($C34,COM_N_2012!$B$61:$AJ$122,MATCH(VLOOKUP("*"&amp;$AW34,$A$10:$J$11,$J$9,FALSE)&amp;L$7,COM_N_2012!$B$58:$AJ$58,0),FALSE),"")</f>
        <v/>
      </c>
      <c r="M34" s="391">
        <f ca="1">IFERROR(VLOOKUP($C34,COM_N_2012!$B$61:$AJ$122,MATCH(VLOOKUP("*"&amp;$AW34,$A$10:$J$11,$J$9,FALSE)&amp;M$7,COM_N_2012!$B$58:$AJ$58,0),FALSE),"")</f>
        <v>0.70615384615384602</v>
      </c>
      <c r="N34" s="391" t="str">
        <f ca="1">IFERROR(VLOOKUP($C34,COM_N_2012!$B$61:$AJ$122,MATCH(VLOOKUP("*"&amp;$AW34,$A$10:$J$11,$J$9,FALSE)&amp;N$7,COM_N_2012!$B$58:$AJ$58,0),FALSE),"")</f>
        <v/>
      </c>
      <c r="O34" s="391">
        <f ca="1">IF($A34="*","",IFERROR(VLOOKUP($C34,COM_N_2017!$B$61:$AJ$122,MATCH(VLOOKUP("*"&amp;$AW34,$A$10:$J$11,$J$9,FALSE)&amp;O$7,COM_N_2017!$B$58:$AJ$58,0),FALSE),""))</f>
        <v>0.70615384615384602</v>
      </c>
      <c r="P34" s="391" t="str">
        <f ca="1">IFERROR(VLOOKUP($C34,COM_N_2012!$B$61:$AJ$122,MATCH(VLOOKUP("*"&amp;$AW34,$A$10:$J$11,$J$9,FALSE)&amp;P$7,COM_N_2012!$B$58:$AJ$58,0),FALSE),"")</f>
        <v/>
      </c>
      <c r="Q34" s="391" t="str">
        <f ca="1">IFERROR(VLOOKUP($C34,COM_N_2012!$B$61:$AJ$122,MATCH(VLOOKUP("*"&amp;$AW34,$A$10:$J$11,$J$9,FALSE)&amp;Q$7,COM_N_2012!$B$58:$AJ$58,0),FALSE),"")</f>
        <v/>
      </c>
      <c r="R34" s="391">
        <f ca="1">IF($A34="*","",IFERROR(VLOOKUP($C34,COM_N_2017!$B$61:$AJ$122,MATCH(VLOOKUP("*"&amp;$AW34,$A$10:$J$11,$J$9,FALSE)&amp;R$7,COM_N_2017!$B$58:$AJ$58,0),FALSE),""))</f>
        <v>0.73615384615384605</v>
      </c>
      <c r="S34" s="391" t="str">
        <f ca="1">IFERROR(VLOOKUP($C34,COM_N_2012!$B$61:$AJ$122,MATCH(VLOOKUP("*"&amp;$AW34,$A$10:$J$11,$J$9,FALSE)&amp;S$7,COM_N_2012!$B$58:$AJ$58,0),FALSE),"")</f>
        <v/>
      </c>
      <c r="T34" s="391" t="str">
        <f ca="1">IFERROR(VLOOKUP($C34,COM_N_2012!$B$61:$AJ$122,MATCH(VLOOKUP("*"&amp;$AW34,$A$10:$J$11,$J$9,FALSE)&amp;T$7,COM_N_2012!$B$58:$AJ$58,0),FALSE),"")</f>
        <v/>
      </c>
      <c r="U34" s="391" t="str">
        <f ca="1">IFERROR(VLOOKUP($C34,COM_N_2012!$B$61:$AJ$122,MATCH(VLOOKUP("*"&amp;$AW34,$A$10:$J$11,$J$9,FALSE)&amp;U$7,COM_N_2012!$B$58:$AJ$58,0),FALSE),"")</f>
        <v/>
      </c>
      <c r="V34" s="391" t="str">
        <f ca="1">IFERROR(VLOOKUP($C34,COM_N_2012!$B$61:$AJ$122,MATCH(VLOOKUP("*"&amp;$AW34,$A$10:$J$11,$J$9,FALSE)&amp;V$7,COM_N_2012!$B$58:$AJ$58,0),FALSE),"")</f>
        <v/>
      </c>
      <c r="W34" s="391">
        <f ca="1">IF($A34="*","",IFERROR(VLOOKUP($C34,COM_N_2017!$B$61:$AJ$122,MATCH(VLOOKUP("*"&amp;$AW34,$A$10:$J$11,$J$9,FALSE)&amp;W$7,COM_N_2017!$B$58:$AJ$58,0),FALSE),""))</f>
        <v>0.806153846153846</v>
      </c>
      <c r="X34" s="391" t="str">
        <f ca="1">IFERROR(VLOOKUP($C34,COM_N_2012!$B$61:$AJ$122,MATCH(VLOOKUP("*"&amp;$AW34,$A$10:$J$11,$J$9,FALSE)&amp;X$7,COM_N_2012!$B$58:$AJ$58,0),FALSE),"")</f>
        <v/>
      </c>
      <c r="Y34" s="391" t="str">
        <f ca="1">IFERROR(VLOOKUP($C34,COM_N_2012!$B$61:$AJ$122,MATCH(VLOOKUP("*"&amp;$AW34,$A$10:$J$11,$J$9,FALSE)&amp;Y$7,COM_N_2012!$B$58:$AJ$58,0),FALSE),"")</f>
        <v/>
      </c>
      <c r="Z34" s="391" t="str">
        <f ca="1">IFERROR(VLOOKUP($C34,COM_N_2012!$B$61:$AJ$122,MATCH(VLOOKUP("*"&amp;$AW34,$A$10:$J$11,$J$9,FALSE)&amp;Z$7,COM_N_2012!$B$58:$AJ$58,0),FALSE),"")</f>
        <v/>
      </c>
      <c r="AA34" s="391" t="str">
        <f ca="1">IFERROR(VLOOKUP($C34,COM_N_2012!$B$61:$AJ$122,MATCH(VLOOKUP("*"&amp;$AW34,$A$10:$J$11,$J$9,FALSE)&amp;AA$7,COM_N_2012!$B$58:$AJ$58,0),FALSE),"")</f>
        <v/>
      </c>
      <c r="AB34" s="391">
        <f ca="1">IF($A34="*","",IFERROR(VLOOKUP($C34,COM_N_2017!$B$61:$AJ$122,MATCH(VLOOKUP("*"&amp;$AW34,$A$10:$J$11,$J$9,FALSE)&amp;AB$7,COM_N_2017!$B$58:$AJ$58,0),FALSE),""))</f>
        <v>1</v>
      </c>
      <c r="AC34" s="391" t="str">
        <f ca="1">IFERROR(VLOOKUP($C34,COM_N_2012!$B$61:$AJ$122,MATCH(VLOOKUP("*"&amp;$AW34,$A$10:$J$11,$J$9,FALSE)&amp;AC$7,COM_N_2012!$B$58:$AJ$58,0),FALSE),"")</f>
        <v/>
      </c>
      <c r="AD34" s="391" t="str">
        <f ca="1">IFERROR(VLOOKUP($C34,COM_N_2012!$B$61:$AJ$122,MATCH(VLOOKUP("*"&amp;$AW34,$A$10:$J$11,$J$9,FALSE)&amp;AD$7,COM_N_2012!$B$58:$AJ$58,0),FALSE),"")</f>
        <v/>
      </c>
      <c r="AE34" s="391" t="str">
        <f ca="1">IFERROR(VLOOKUP($C34,COM_N_2012!$B$61:$AJ$122,MATCH(VLOOKUP("*"&amp;$AW34,$A$10:$J$11,$J$9,FALSE)&amp;AE$7,COM_N_2012!$B$58:$AJ$58,0),FALSE),"")</f>
        <v/>
      </c>
      <c r="AF34" s="391" t="str">
        <f ca="1">IFERROR(VLOOKUP($C34,COM_N_2012!$B$61:$AJ$122,MATCH(VLOOKUP("*"&amp;$AW34,$A$10:$J$11,$J$9,FALSE)&amp;AF$7,COM_N_2012!$B$58:$AJ$58,0),FALSE),"")</f>
        <v/>
      </c>
      <c r="AG34" s="391">
        <f ca="1">IF($A34="*","",IFERROR(VLOOKUP($C34,COM_N_2017!$B$61:$AJ$122,MATCH(VLOOKUP("*"&amp;$AW34,$A$10:$J$11,$J$9,FALSE)&amp;AG$7,COM_N_2017!$B$58:$AJ$58,0),FALSE),""))</f>
        <v>1</v>
      </c>
      <c r="AH34" s="391" t="str">
        <f ca="1">IFERROR(VLOOKUP($C34,COM_N_2012!$B$61:$AJ$122,MATCH(VLOOKUP("*"&amp;$AW34,$A$10:$J$11,$J$9,FALSE)&amp;AH$7,COM_N_2012!$B$58:$AJ$58,0),FALSE),"")</f>
        <v/>
      </c>
      <c r="AI34" s="391" t="str">
        <f ca="1">IFERROR(VLOOKUP($C34,COM_N_2012!$B$61:$AJ$122,MATCH(VLOOKUP("*"&amp;$AW34,$A$10:$J$11,$J$9,FALSE)&amp;AI$7,COM_N_2012!$B$58:$AJ$58,0),FALSE),"")</f>
        <v/>
      </c>
      <c r="AJ34" s="391" t="str">
        <f ca="1">IFERROR(VLOOKUP($C34,COM_N_2012!$B$61:$AJ$122,MATCH(VLOOKUP("*"&amp;$AW34,$A$10:$J$11,$J$9,FALSE)&amp;AJ$7,COM_N_2012!$B$58:$AJ$58,0),FALSE),"")</f>
        <v/>
      </c>
      <c r="AK34" s="391" t="str">
        <f ca="1">IFERROR(VLOOKUP($C34,COM_N_2012!$B$61:$AJ$122,MATCH(VLOOKUP("*"&amp;$AW34,$A$10:$J$11,$J$9,FALSE)&amp;AK$7,COM_N_2012!$B$58:$AJ$58,0),FALSE),"")</f>
        <v/>
      </c>
      <c r="AL34" s="391">
        <f ca="1">IF($A34="*","",IFERROR(VLOOKUP($C34,COM_N_2017!$B$61:$AJ$122,MATCH(VLOOKUP("*"&amp;$AW34,$A$10:$J$11,$J$9,FALSE)&amp;AL$7,COM_N_2017!$B$58:$AJ$58,0),FALSE),""))</f>
        <v>1</v>
      </c>
      <c r="AM34" s="391">
        <f ca="1">IF($A34="*","",IFERROR(VLOOKUP($C34,COM_N_2017!$B$61:$AJ$122,MATCH(VLOOKUP("*"&amp;$AW34,$A$10:$J$11,$J$9,FALSE)&amp;AM$7,COM_N_2017!$B$58:$AJ$58,0),FALSE),""))</f>
        <v>1</v>
      </c>
      <c r="AN34" s="391">
        <f ca="1">IF($A34="*","",IFERROR(VLOOKUP($C34,COM_N_2017!$B$61:$AJ$122,MATCH(VLOOKUP("*"&amp;$AW34,$A$10:$J$11,$J$9,FALSE)&amp;AN$7,COM_N_2017!$B$58:$AJ$58,0),FALSE),""))</f>
        <v>1</v>
      </c>
      <c r="AO34" s="391" t="str">
        <f ca="1">IFERROR(VLOOKUP($C34,COM_N_2012!$B$61:$AJ$122,MATCH(VLOOKUP("*"&amp;$AW34,$A$10:$J$11,$J$9,FALSE)&amp;AO$7,COM_N_2012!$B$58:$AJ$58,0),FALSE),"")</f>
        <v/>
      </c>
      <c r="AP34" s="391" t="str">
        <f ca="1">IFERROR(VLOOKUP($C34,COM_N_2012!$B$61:$AJ$122,MATCH(VLOOKUP("*"&amp;$AW34,$A$10:$J$11,$J$9,FALSE)&amp;AP$7,COM_N_2012!$B$58:$AJ$58,0),FALSE),"")</f>
        <v/>
      </c>
      <c r="AQ34" s="391" t="str">
        <f ca="1">IFERROR(VLOOKUP($C34,COM_N_2012!$B$61:$AJ$122,MATCH(VLOOKUP("*"&amp;$AW34,$A$10:$J$11,$J$9,FALSE)&amp;AQ$7,COM_N_2012!$B$58:$AJ$58,0),FALSE),"")</f>
        <v/>
      </c>
      <c r="AR34" s="391" t="str">
        <f ca="1">IFERROR(VLOOKUP($C34,COM_N_2012!$B$61:$AJ$122,MATCH(VLOOKUP("*"&amp;$AW34,$A$10:$J$11,$J$9,FALSE)&amp;AR$7,COM_N_2012!$B$58:$AJ$58,0),FALSE),"")</f>
        <v/>
      </c>
      <c r="AS34" s="391" t="str">
        <f ca="1">IFERROR(VLOOKUP($C34,COM_N_2012!$B$61:$AJ$122,MATCH(VLOOKUP("*"&amp;$AW34,$A$10:$J$11,$J$9,FALSE)&amp;AS$7,COM_N_2012!$B$58:$AJ$58,0),FALSE),"")</f>
        <v/>
      </c>
      <c r="AT34" s="391" t="str">
        <f ca="1">IFERROR(VLOOKUP($C34,COM_N_2012!$B$61:$AJ$122,MATCH(VLOOKUP("*"&amp;$AW34,$A$10:$J$11,$J$9,FALSE)&amp;AT$7,COM_N_2012!$B$58:$AJ$58,0),FALSE),"")</f>
        <v/>
      </c>
      <c r="AU34" s="391" t="str">
        <f ca="1">IFERROR(VLOOKUP($C34,COM_N_2012!$B$61:$AJ$122,MATCH(VLOOKUP("*"&amp;$AW34,$A$10:$J$11,$J$9,FALSE)&amp;AU$7,COM_N_2012!$B$58:$AJ$58,0),FALSE),"")</f>
        <v/>
      </c>
      <c r="AV34" s="391" t="str">
        <f ca="1">IFERROR(VLOOKUP($C34,COM_N_2012!$B$61:$AJ$122,MATCH(VLOOKUP("*"&amp;$AW34,$A$10:$J$11,$J$9,FALSE)&amp;AV$7,COM_N_2012!$B$58:$AJ$58,0),FALSE),"")</f>
        <v/>
      </c>
      <c r="AW34" s="304">
        <f>IF(AX33=COM_N_2012!$AK$121,AW33+1,AW33)</f>
        <v>1</v>
      </c>
      <c r="AX34" s="304">
        <f t="shared" si="7"/>
        <v>22</v>
      </c>
    </row>
    <row r="35" spans="1:50">
      <c r="A35" s="304" t="str">
        <f ca="1">IF(LEFT(OFFSET(COM_N_2012!$A$60,AX35,0),2)="\I","*","")</f>
        <v/>
      </c>
      <c r="B35" s="369" t="str">
        <f t="shared" ca="1" si="3"/>
        <v>FLO_MRKPRD</v>
      </c>
      <c r="C35" s="369" t="str">
        <f ca="1">IF($A35="*","",OFFSET(COM_N_2012!$B$60,AX35,0))</f>
        <v>CNLELCHAL-E</v>
      </c>
      <c r="D35" s="369" t="str">
        <f t="shared" ca="1" si="4"/>
        <v>CNL</v>
      </c>
      <c r="E35" s="369" t="str">
        <f t="shared" ca="1" si="8"/>
        <v>-</v>
      </c>
      <c r="F35" s="370" t="str">
        <f t="shared" ca="1" si="9"/>
        <v>-</v>
      </c>
      <c r="G35" s="370" t="str">
        <f t="shared" ca="1" si="9"/>
        <v>ANNUAL</v>
      </c>
      <c r="H35" s="370" t="str">
        <f t="shared" ca="1" si="10"/>
        <v>UP</v>
      </c>
      <c r="I35" s="370">
        <f t="shared" ca="1" si="10"/>
        <v>0</v>
      </c>
      <c r="J35" s="391">
        <f ca="1">IFERROR(VLOOKUP($C35,COM_N_2012!$B$61:$AJ$122,MATCH(VLOOKUP("*"&amp;$AW35,$A$10:$J$11,$J$9,FALSE)&amp;J$7,COM_N_2012!$B$58:$AJ$58,0),FALSE),"")</f>
        <v>8.9670329670329656E-3</v>
      </c>
      <c r="K35" s="391" t="str">
        <f ca="1">IFERROR(VLOOKUP($C35,COM_N_2012!$B$61:$AJ$122,MATCH(VLOOKUP("*"&amp;$AW35,$A$10:$J$11,$J$9,FALSE)&amp;K$7,COM_N_2012!$B$58:$AJ$58,0),FALSE),"")</f>
        <v/>
      </c>
      <c r="L35" s="391" t="str">
        <f ca="1">IFERROR(VLOOKUP($C35,COM_N_2012!$B$61:$AJ$122,MATCH(VLOOKUP("*"&amp;$AW35,$A$10:$J$11,$J$9,FALSE)&amp;L$7,COM_N_2012!$B$58:$AJ$58,0),FALSE),"")</f>
        <v/>
      </c>
      <c r="M35" s="391">
        <f ca="1">IFERROR(VLOOKUP($C35,COM_N_2012!$B$61:$AJ$122,MATCH(VLOOKUP("*"&amp;$AW35,$A$10:$J$11,$J$9,FALSE)&amp;M$7,COM_N_2012!$B$58:$AJ$58,0),FALSE),"")</f>
        <v>8.9670329670329656E-3</v>
      </c>
      <c r="N35" s="391" t="str">
        <f ca="1">IFERROR(VLOOKUP($C35,COM_N_2012!$B$61:$AJ$122,MATCH(VLOOKUP("*"&amp;$AW35,$A$10:$J$11,$J$9,FALSE)&amp;N$7,COM_N_2012!$B$58:$AJ$58,0),FALSE),"")</f>
        <v/>
      </c>
      <c r="O35" s="391">
        <f ca="1">IF($A35="*","",IFERROR(VLOOKUP($C35,COM_N_2017!$B$61:$AJ$122,MATCH(VLOOKUP("*"&amp;$AW35,$A$10:$J$11,$J$9,FALSE)&amp;O$7,COM_N_2017!$B$58:$AJ$58,0),FALSE),""))</f>
        <v>8.9670329670329656E-3</v>
      </c>
      <c r="P35" s="391" t="str">
        <f ca="1">IFERROR(VLOOKUP($C35,COM_N_2012!$B$61:$AJ$122,MATCH(VLOOKUP("*"&amp;$AW35,$A$10:$J$11,$J$9,FALSE)&amp;P$7,COM_N_2012!$B$58:$AJ$58,0),FALSE),"")</f>
        <v/>
      </c>
      <c r="Q35" s="391" t="str">
        <f ca="1">IFERROR(VLOOKUP($C35,COM_N_2012!$B$61:$AJ$122,MATCH(VLOOKUP("*"&amp;$AW35,$A$10:$J$11,$J$9,FALSE)&amp;Q$7,COM_N_2012!$B$58:$AJ$58,0),FALSE),"")</f>
        <v/>
      </c>
      <c r="R35" s="391">
        <f ca="1">IF($A35="*","",IFERROR(VLOOKUP($C35,COM_N_2017!$B$61:$AJ$122,MATCH(VLOOKUP("*"&amp;$AW35,$A$10:$J$11,$J$9,FALSE)&amp;R$7,COM_N_2017!$B$58:$AJ$58,0),FALSE),""))</f>
        <v>3.8967032967032966E-2</v>
      </c>
      <c r="S35" s="391" t="str">
        <f ca="1">IFERROR(VLOOKUP($C35,COM_N_2012!$B$61:$AJ$122,MATCH(VLOOKUP("*"&amp;$AW35,$A$10:$J$11,$J$9,FALSE)&amp;S$7,COM_N_2012!$B$58:$AJ$58,0),FALSE),"")</f>
        <v/>
      </c>
      <c r="T35" s="391" t="str">
        <f ca="1">IFERROR(VLOOKUP($C35,COM_N_2012!$B$61:$AJ$122,MATCH(VLOOKUP("*"&amp;$AW35,$A$10:$J$11,$J$9,FALSE)&amp;T$7,COM_N_2012!$B$58:$AJ$58,0),FALSE),"")</f>
        <v/>
      </c>
      <c r="U35" s="391" t="str">
        <f ca="1">IFERROR(VLOOKUP($C35,COM_N_2012!$B$61:$AJ$122,MATCH(VLOOKUP("*"&amp;$AW35,$A$10:$J$11,$J$9,FALSE)&amp;U$7,COM_N_2012!$B$58:$AJ$58,0),FALSE),"")</f>
        <v/>
      </c>
      <c r="V35" s="391" t="str">
        <f ca="1">IFERROR(VLOOKUP($C35,COM_N_2012!$B$61:$AJ$122,MATCH(VLOOKUP("*"&amp;$AW35,$A$10:$J$11,$J$9,FALSE)&amp;V$7,COM_N_2012!$B$58:$AJ$58,0),FALSE),"")</f>
        <v/>
      </c>
      <c r="W35" s="391">
        <f ca="1">IF($A35="*","",IFERROR(VLOOKUP($C35,COM_N_2017!$B$61:$AJ$122,MATCH(VLOOKUP("*"&amp;$AW35,$A$10:$J$11,$J$9,FALSE)&amp;W$7,COM_N_2017!$B$58:$AJ$58,0),FALSE),""))</f>
        <v>0.10896703296703297</v>
      </c>
      <c r="X35" s="391" t="str">
        <f ca="1">IFERROR(VLOOKUP($C35,COM_N_2012!$B$61:$AJ$122,MATCH(VLOOKUP("*"&amp;$AW35,$A$10:$J$11,$J$9,FALSE)&amp;X$7,COM_N_2012!$B$58:$AJ$58,0),FALSE),"")</f>
        <v/>
      </c>
      <c r="Y35" s="391" t="str">
        <f ca="1">IFERROR(VLOOKUP($C35,COM_N_2012!$B$61:$AJ$122,MATCH(VLOOKUP("*"&amp;$AW35,$A$10:$J$11,$J$9,FALSE)&amp;Y$7,COM_N_2012!$B$58:$AJ$58,0),FALSE),"")</f>
        <v/>
      </c>
      <c r="Z35" s="391" t="str">
        <f ca="1">IFERROR(VLOOKUP($C35,COM_N_2012!$B$61:$AJ$122,MATCH(VLOOKUP("*"&amp;$AW35,$A$10:$J$11,$J$9,FALSE)&amp;Z$7,COM_N_2012!$B$58:$AJ$58,0),FALSE),"")</f>
        <v/>
      </c>
      <c r="AA35" s="391" t="str">
        <f ca="1">IFERROR(VLOOKUP($C35,COM_N_2012!$B$61:$AJ$122,MATCH(VLOOKUP("*"&amp;$AW35,$A$10:$J$11,$J$9,FALSE)&amp;AA$7,COM_N_2012!$B$58:$AJ$58,0),FALSE),"")</f>
        <v/>
      </c>
      <c r="AB35" s="391">
        <f ca="1">IF($A35="*","",IFERROR(VLOOKUP($C35,COM_N_2017!$B$61:$AJ$122,MATCH(VLOOKUP("*"&amp;$AW35,$A$10:$J$11,$J$9,FALSE)&amp;AB$7,COM_N_2017!$B$58:$AJ$58,0),FALSE),""))</f>
        <v>0.30896703296703293</v>
      </c>
      <c r="AC35" s="391" t="str">
        <f ca="1">IFERROR(VLOOKUP($C35,COM_N_2012!$B$61:$AJ$122,MATCH(VLOOKUP("*"&amp;$AW35,$A$10:$J$11,$J$9,FALSE)&amp;AC$7,COM_N_2012!$B$58:$AJ$58,0),FALSE),"")</f>
        <v/>
      </c>
      <c r="AD35" s="391" t="str">
        <f ca="1">IFERROR(VLOOKUP($C35,COM_N_2012!$B$61:$AJ$122,MATCH(VLOOKUP("*"&amp;$AW35,$A$10:$J$11,$J$9,FALSE)&amp;AD$7,COM_N_2012!$B$58:$AJ$58,0),FALSE),"")</f>
        <v/>
      </c>
      <c r="AE35" s="391" t="str">
        <f ca="1">IFERROR(VLOOKUP($C35,COM_N_2012!$B$61:$AJ$122,MATCH(VLOOKUP("*"&amp;$AW35,$A$10:$J$11,$J$9,FALSE)&amp;AE$7,COM_N_2012!$B$58:$AJ$58,0),FALSE),"")</f>
        <v/>
      </c>
      <c r="AF35" s="391" t="str">
        <f ca="1">IFERROR(VLOOKUP($C35,COM_N_2012!$B$61:$AJ$122,MATCH(VLOOKUP("*"&amp;$AW35,$A$10:$J$11,$J$9,FALSE)&amp;AF$7,COM_N_2012!$B$58:$AJ$58,0),FALSE),"")</f>
        <v/>
      </c>
      <c r="AG35" s="391">
        <f ca="1">IF($A35="*","",IFERROR(VLOOKUP($C35,COM_N_2017!$B$61:$AJ$122,MATCH(VLOOKUP("*"&amp;$AW35,$A$10:$J$11,$J$9,FALSE)&amp;AG$7,COM_N_2017!$B$58:$AJ$58,0),FALSE),""))</f>
        <v>0.50896703296703294</v>
      </c>
      <c r="AH35" s="391" t="str">
        <f ca="1">IFERROR(VLOOKUP($C35,COM_N_2012!$B$61:$AJ$122,MATCH(VLOOKUP("*"&amp;$AW35,$A$10:$J$11,$J$9,FALSE)&amp;AH$7,COM_N_2012!$B$58:$AJ$58,0),FALSE),"")</f>
        <v/>
      </c>
      <c r="AI35" s="391" t="str">
        <f ca="1">IFERROR(VLOOKUP($C35,COM_N_2012!$B$61:$AJ$122,MATCH(VLOOKUP("*"&amp;$AW35,$A$10:$J$11,$J$9,FALSE)&amp;AI$7,COM_N_2012!$B$58:$AJ$58,0),FALSE),"")</f>
        <v/>
      </c>
      <c r="AJ35" s="391" t="str">
        <f ca="1">IFERROR(VLOOKUP($C35,COM_N_2012!$B$61:$AJ$122,MATCH(VLOOKUP("*"&amp;$AW35,$A$10:$J$11,$J$9,FALSE)&amp;AJ$7,COM_N_2012!$B$58:$AJ$58,0),FALSE),"")</f>
        <v/>
      </c>
      <c r="AK35" s="391" t="str">
        <f ca="1">IFERROR(VLOOKUP($C35,COM_N_2012!$B$61:$AJ$122,MATCH(VLOOKUP("*"&amp;$AW35,$A$10:$J$11,$J$9,FALSE)&amp;AK$7,COM_N_2012!$B$58:$AJ$58,0),FALSE),"")</f>
        <v/>
      </c>
      <c r="AL35" s="391">
        <f ca="1">IF($A35="*","",IFERROR(VLOOKUP($C35,COM_N_2017!$B$61:$AJ$122,MATCH(VLOOKUP("*"&amp;$AW35,$A$10:$J$11,$J$9,FALSE)&amp;AL$7,COM_N_2017!$B$58:$AJ$58,0),FALSE),""))</f>
        <v>0.7089670329670329</v>
      </c>
      <c r="AM35" s="391">
        <f ca="1">IF($A35="*","",IFERROR(VLOOKUP($C35,COM_N_2017!$B$61:$AJ$122,MATCH(VLOOKUP("*"&amp;$AW35,$A$10:$J$11,$J$9,FALSE)&amp;AM$7,COM_N_2017!$B$58:$AJ$58,0),FALSE),""))</f>
        <v>0.90896703296703296</v>
      </c>
      <c r="AN35" s="391">
        <f ca="1">IF($A35="*","",IFERROR(VLOOKUP($C35,COM_N_2017!$B$61:$AJ$122,MATCH(VLOOKUP("*"&amp;$AW35,$A$10:$J$11,$J$9,FALSE)&amp;AN$7,COM_N_2017!$B$58:$AJ$58,0),FALSE),""))</f>
        <v>1</v>
      </c>
      <c r="AO35" s="391" t="str">
        <f ca="1">IFERROR(VLOOKUP($C35,COM_N_2012!$B$61:$AJ$122,MATCH(VLOOKUP("*"&amp;$AW35,$A$10:$J$11,$J$9,FALSE)&amp;AO$7,COM_N_2012!$B$58:$AJ$58,0),FALSE),"")</f>
        <v/>
      </c>
      <c r="AP35" s="391" t="str">
        <f ca="1">IFERROR(VLOOKUP($C35,COM_N_2012!$B$61:$AJ$122,MATCH(VLOOKUP("*"&amp;$AW35,$A$10:$J$11,$J$9,FALSE)&amp;AP$7,COM_N_2012!$B$58:$AJ$58,0),FALSE),"")</f>
        <v/>
      </c>
      <c r="AQ35" s="391" t="str">
        <f ca="1">IFERROR(VLOOKUP($C35,COM_N_2012!$B$61:$AJ$122,MATCH(VLOOKUP("*"&amp;$AW35,$A$10:$J$11,$J$9,FALSE)&amp;AQ$7,COM_N_2012!$B$58:$AJ$58,0),FALSE),"")</f>
        <v/>
      </c>
      <c r="AR35" s="391" t="str">
        <f ca="1">IFERROR(VLOOKUP($C35,COM_N_2012!$B$61:$AJ$122,MATCH(VLOOKUP("*"&amp;$AW35,$A$10:$J$11,$J$9,FALSE)&amp;AR$7,COM_N_2012!$B$58:$AJ$58,0),FALSE),"")</f>
        <v/>
      </c>
      <c r="AS35" s="391" t="str">
        <f ca="1">IFERROR(VLOOKUP($C35,COM_N_2012!$B$61:$AJ$122,MATCH(VLOOKUP("*"&amp;$AW35,$A$10:$J$11,$J$9,FALSE)&amp;AS$7,COM_N_2012!$B$58:$AJ$58,0),FALSE),"")</f>
        <v/>
      </c>
      <c r="AT35" s="391" t="str">
        <f ca="1">IFERROR(VLOOKUP($C35,COM_N_2012!$B$61:$AJ$122,MATCH(VLOOKUP("*"&amp;$AW35,$A$10:$J$11,$J$9,FALSE)&amp;AT$7,COM_N_2012!$B$58:$AJ$58,0),FALSE),"")</f>
        <v/>
      </c>
      <c r="AU35" s="391" t="str">
        <f ca="1">IFERROR(VLOOKUP($C35,COM_N_2012!$B$61:$AJ$122,MATCH(VLOOKUP("*"&amp;$AW35,$A$10:$J$11,$J$9,FALSE)&amp;AU$7,COM_N_2012!$B$58:$AJ$58,0),FALSE),"")</f>
        <v/>
      </c>
      <c r="AV35" s="391" t="str">
        <f ca="1">IFERROR(VLOOKUP($C35,COM_N_2012!$B$61:$AJ$122,MATCH(VLOOKUP("*"&amp;$AW35,$A$10:$J$11,$J$9,FALSE)&amp;AV$7,COM_N_2012!$B$58:$AJ$58,0),FALSE),"")</f>
        <v/>
      </c>
      <c r="AW35" s="304">
        <f>IF(AX34=COM_N_2012!$AK$121,AW34+1,AW34)</f>
        <v>1</v>
      </c>
      <c r="AX35" s="304">
        <f t="shared" si="7"/>
        <v>23</v>
      </c>
    </row>
    <row r="36" spans="1:50">
      <c r="A36" s="304" t="str">
        <f ca="1">IF(LEFT(OFFSET(COM_N_2012!$A$60,AX36,0),2)="\I","*","")</f>
        <v/>
      </c>
      <c r="B36" s="369" t="str">
        <f t="shared" ca="1" si="3"/>
        <v>FLO_MRKPRD</v>
      </c>
      <c r="C36" s="369" t="str">
        <f ca="1">IF($A36="*","",OFFSET(COM_N_2012!$B$60,AX36,0))</f>
        <v>CNLELCHID-E</v>
      </c>
      <c r="D36" s="369" t="str">
        <f t="shared" ca="1" si="4"/>
        <v>CNL</v>
      </c>
      <c r="E36" s="369" t="str">
        <f t="shared" ca="1" si="8"/>
        <v>-</v>
      </c>
      <c r="F36" s="370" t="str">
        <f t="shared" ca="1" si="9"/>
        <v>-</v>
      </c>
      <c r="G36" s="370" t="str">
        <f t="shared" ca="1" si="9"/>
        <v>ANNUAL</v>
      </c>
      <c r="H36" s="370" t="str">
        <f t="shared" ca="1" si="10"/>
        <v>UP</v>
      </c>
      <c r="I36" s="370">
        <f t="shared" ca="1" si="10"/>
        <v>0</v>
      </c>
      <c r="J36" s="391">
        <f ca="1">IFERROR(VLOOKUP($C36,COM_N_2012!$B$61:$AJ$122,MATCH(VLOOKUP("*"&amp;$AW36,$A$10:$J$11,$J$9,FALSE)&amp;J$7,COM_N_2012!$B$58:$AJ$58,0),FALSE),"")</f>
        <v>0.23538461538461539</v>
      </c>
      <c r="K36" s="391" t="str">
        <f ca="1">IFERROR(VLOOKUP($C36,COM_N_2012!$B$61:$AJ$122,MATCH(VLOOKUP("*"&amp;$AW36,$A$10:$J$11,$J$9,FALSE)&amp;K$7,COM_N_2012!$B$58:$AJ$58,0),FALSE),"")</f>
        <v/>
      </c>
      <c r="L36" s="391" t="str">
        <f ca="1">IFERROR(VLOOKUP($C36,COM_N_2012!$B$61:$AJ$122,MATCH(VLOOKUP("*"&amp;$AW36,$A$10:$J$11,$J$9,FALSE)&amp;L$7,COM_N_2012!$B$58:$AJ$58,0),FALSE),"")</f>
        <v/>
      </c>
      <c r="M36" s="391">
        <f ca="1">IFERROR(VLOOKUP($C36,COM_N_2012!$B$61:$AJ$122,MATCH(VLOOKUP("*"&amp;$AW36,$A$10:$J$11,$J$9,FALSE)&amp;M$7,COM_N_2012!$B$58:$AJ$58,0),FALSE),"")</f>
        <v>0.23538461538461539</v>
      </c>
      <c r="N36" s="391" t="str">
        <f ca="1">IFERROR(VLOOKUP($C36,COM_N_2012!$B$61:$AJ$122,MATCH(VLOOKUP("*"&amp;$AW36,$A$10:$J$11,$J$9,FALSE)&amp;N$7,COM_N_2012!$B$58:$AJ$58,0),FALSE),"")</f>
        <v/>
      </c>
      <c r="O36" s="391">
        <f ca="1">IF($A36="*","",IFERROR(VLOOKUP($C36,COM_N_2017!$B$61:$AJ$122,MATCH(VLOOKUP("*"&amp;$AW36,$A$10:$J$11,$J$9,FALSE)&amp;O$7,COM_N_2017!$B$58:$AJ$58,0),FALSE),""))</f>
        <v>0.23538461538461539</v>
      </c>
      <c r="P36" s="391" t="str">
        <f ca="1">IFERROR(VLOOKUP($C36,COM_N_2012!$B$61:$AJ$122,MATCH(VLOOKUP("*"&amp;$AW36,$A$10:$J$11,$J$9,FALSE)&amp;P$7,COM_N_2012!$B$58:$AJ$58,0),FALSE),"")</f>
        <v/>
      </c>
      <c r="Q36" s="391" t="str">
        <f ca="1">IFERROR(VLOOKUP($C36,COM_N_2012!$B$61:$AJ$122,MATCH(VLOOKUP("*"&amp;$AW36,$A$10:$J$11,$J$9,FALSE)&amp;Q$7,COM_N_2012!$B$58:$AJ$58,0),FALSE),"")</f>
        <v/>
      </c>
      <c r="R36" s="391">
        <f ca="1">IF($A36="*","",IFERROR(VLOOKUP($C36,COM_N_2017!$B$61:$AJ$122,MATCH(VLOOKUP("*"&amp;$AW36,$A$10:$J$11,$J$9,FALSE)&amp;R$7,COM_N_2017!$B$58:$AJ$58,0),FALSE),""))</f>
        <v>0.26538461538461539</v>
      </c>
      <c r="S36" s="391" t="str">
        <f ca="1">IFERROR(VLOOKUP($C36,COM_N_2012!$B$61:$AJ$122,MATCH(VLOOKUP("*"&amp;$AW36,$A$10:$J$11,$J$9,FALSE)&amp;S$7,COM_N_2012!$B$58:$AJ$58,0),FALSE),"")</f>
        <v/>
      </c>
      <c r="T36" s="391" t="str">
        <f ca="1">IFERROR(VLOOKUP($C36,COM_N_2012!$B$61:$AJ$122,MATCH(VLOOKUP("*"&amp;$AW36,$A$10:$J$11,$J$9,FALSE)&amp;T$7,COM_N_2012!$B$58:$AJ$58,0),FALSE),"")</f>
        <v/>
      </c>
      <c r="U36" s="391" t="str">
        <f ca="1">IFERROR(VLOOKUP($C36,COM_N_2012!$B$61:$AJ$122,MATCH(VLOOKUP("*"&amp;$AW36,$A$10:$J$11,$J$9,FALSE)&amp;U$7,COM_N_2012!$B$58:$AJ$58,0),FALSE),"")</f>
        <v/>
      </c>
      <c r="V36" s="391" t="str">
        <f ca="1">IFERROR(VLOOKUP($C36,COM_N_2012!$B$61:$AJ$122,MATCH(VLOOKUP("*"&amp;$AW36,$A$10:$J$11,$J$9,FALSE)&amp;V$7,COM_N_2012!$B$58:$AJ$58,0),FALSE),"")</f>
        <v/>
      </c>
      <c r="W36" s="391">
        <f ca="1">IF($A36="*","",IFERROR(VLOOKUP($C36,COM_N_2017!$B$61:$AJ$122,MATCH(VLOOKUP("*"&amp;$AW36,$A$10:$J$11,$J$9,FALSE)&amp;W$7,COM_N_2017!$B$58:$AJ$58,0),FALSE),""))</f>
        <v>0.33538461538461539</v>
      </c>
      <c r="X36" s="391" t="str">
        <f ca="1">IFERROR(VLOOKUP($C36,COM_N_2012!$B$61:$AJ$122,MATCH(VLOOKUP("*"&amp;$AW36,$A$10:$J$11,$J$9,FALSE)&amp;X$7,COM_N_2012!$B$58:$AJ$58,0),FALSE),"")</f>
        <v/>
      </c>
      <c r="Y36" s="391" t="str">
        <f ca="1">IFERROR(VLOOKUP($C36,COM_N_2012!$B$61:$AJ$122,MATCH(VLOOKUP("*"&amp;$AW36,$A$10:$J$11,$J$9,FALSE)&amp;Y$7,COM_N_2012!$B$58:$AJ$58,0),FALSE),"")</f>
        <v/>
      </c>
      <c r="Z36" s="391" t="str">
        <f ca="1">IFERROR(VLOOKUP($C36,COM_N_2012!$B$61:$AJ$122,MATCH(VLOOKUP("*"&amp;$AW36,$A$10:$J$11,$J$9,FALSE)&amp;Z$7,COM_N_2012!$B$58:$AJ$58,0),FALSE),"")</f>
        <v/>
      </c>
      <c r="AA36" s="391" t="str">
        <f ca="1">IFERROR(VLOOKUP($C36,COM_N_2012!$B$61:$AJ$122,MATCH(VLOOKUP("*"&amp;$AW36,$A$10:$J$11,$J$9,FALSE)&amp;AA$7,COM_N_2012!$B$58:$AJ$58,0),FALSE),"")</f>
        <v/>
      </c>
      <c r="AB36" s="391">
        <f ca="1">IF($A36="*","",IFERROR(VLOOKUP($C36,COM_N_2017!$B$61:$AJ$122,MATCH(VLOOKUP("*"&amp;$AW36,$A$10:$J$11,$J$9,FALSE)&amp;AB$7,COM_N_2017!$B$58:$AJ$58,0),FALSE),""))</f>
        <v>0.53538461538461535</v>
      </c>
      <c r="AC36" s="391" t="str">
        <f ca="1">IFERROR(VLOOKUP($C36,COM_N_2012!$B$61:$AJ$122,MATCH(VLOOKUP("*"&amp;$AW36,$A$10:$J$11,$J$9,FALSE)&amp;AC$7,COM_N_2012!$B$58:$AJ$58,0),FALSE),"")</f>
        <v/>
      </c>
      <c r="AD36" s="391" t="str">
        <f ca="1">IFERROR(VLOOKUP($C36,COM_N_2012!$B$61:$AJ$122,MATCH(VLOOKUP("*"&amp;$AW36,$A$10:$J$11,$J$9,FALSE)&amp;AD$7,COM_N_2012!$B$58:$AJ$58,0),FALSE),"")</f>
        <v/>
      </c>
      <c r="AE36" s="391" t="str">
        <f ca="1">IFERROR(VLOOKUP($C36,COM_N_2012!$B$61:$AJ$122,MATCH(VLOOKUP("*"&amp;$AW36,$A$10:$J$11,$J$9,FALSE)&amp;AE$7,COM_N_2012!$B$58:$AJ$58,0),FALSE),"")</f>
        <v/>
      </c>
      <c r="AF36" s="391" t="str">
        <f ca="1">IFERROR(VLOOKUP($C36,COM_N_2012!$B$61:$AJ$122,MATCH(VLOOKUP("*"&amp;$AW36,$A$10:$J$11,$J$9,FALSE)&amp;AF$7,COM_N_2012!$B$58:$AJ$58,0),FALSE),"")</f>
        <v/>
      </c>
      <c r="AG36" s="391">
        <f ca="1">IF($A36="*","",IFERROR(VLOOKUP($C36,COM_N_2017!$B$61:$AJ$122,MATCH(VLOOKUP("*"&amp;$AW36,$A$10:$J$11,$J$9,FALSE)&amp;AG$7,COM_N_2017!$B$58:$AJ$58,0),FALSE),""))</f>
        <v>0.73538461538461541</v>
      </c>
      <c r="AH36" s="391" t="str">
        <f ca="1">IFERROR(VLOOKUP($C36,COM_N_2012!$B$61:$AJ$122,MATCH(VLOOKUP("*"&amp;$AW36,$A$10:$J$11,$J$9,FALSE)&amp;AH$7,COM_N_2012!$B$58:$AJ$58,0),FALSE),"")</f>
        <v/>
      </c>
      <c r="AI36" s="391" t="str">
        <f ca="1">IFERROR(VLOOKUP($C36,COM_N_2012!$B$61:$AJ$122,MATCH(VLOOKUP("*"&amp;$AW36,$A$10:$J$11,$J$9,FALSE)&amp;AI$7,COM_N_2012!$B$58:$AJ$58,0),FALSE),"")</f>
        <v/>
      </c>
      <c r="AJ36" s="391" t="str">
        <f ca="1">IFERROR(VLOOKUP($C36,COM_N_2012!$B$61:$AJ$122,MATCH(VLOOKUP("*"&amp;$AW36,$A$10:$J$11,$J$9,FALSE)&amp;AJ$7,COM_N_2012!$B$58:$AJ$58,0),FALSE),"")</f>
        <v/>
      </c>
      <c r="AK36" s="391" t="str">
        <f ca="1">IFERROR(VLOOKUP($C36,COM_N_2012!$B$61:$AJ$122,MATCH(VLOOKUP("*"&amp;$AW36,$A$10:$J$11,$J$9,FALSE)&amp;AK$7,COM_N_2012!$B$58:$AJ$58,0),FALSE),"")</f>
        <v/>
      </c>
      <c r="AL36" s="391">
        <f ca="1">IF($A36="*","",IFERROR(VLOOKUP($C36,COM_N_2017!$B$61:$AJ$122,MATCH(VLOOKUP("*"&amp;$AW36,$A$10:$J$11,$J$9,FALSE)&amp;AL$7,COM_N_2017!$B$58:$AJ$58,0),FALSE),""))</f>
        <v>0.93538461538461537</v>
      </c>
      <c r="AM36" s="391">
        <f ca="1">IF($A36="*","",IFERROR(VLOOKUP($C36,COM_N_2017!$B$61:$AJ$122,MATCH(VLOOKUP("*"&amp;$AW36,$A$10:$J$11,$J$9,FALSE)&amp;AM$7,COM_N_2017!$B$58:$AJ$58,0),FALSE),""))</f>
        <v>1</v>
      </c>
      <c r="AN36" s="391">
        <f ca="1">IF($A36="*","",IFERROR(VLOOKUP($C36,COM_N_2017!$B$61:$AJ$122,MATCH(VLOOKUP("*"&amp;$AW36,$A$10:$J$11,$J$9,FALSE)&amp;AN$7,COM_N_2017!$B$58:$AJ$58,0),FALSE),""))</f>
        <v>1</v>
      </c>
      <c r="AO36" s="391" t="str">
        <f ca="1">IFERROR(VLOOKUP($C36,COM_N_2012!$B$61:$AJ$122,MATCH(VLOOKUP("*"&amp;$AW36,$A$10:$J$11,$J$9,FALSE)&amp;AO$7,COM_N_2012!$B$58:$AJ$58,0),FALSE),"")</f>
        <v/>
      </c>
      <c r="AP36" s="391" t="str">
        <f ca="1">IFERROR(VLOOKUP($C36,COM_N_2012!$B$61:$AJ$122,MATCH(VLOOKUP("*"&amp;$AW36,$A$10:$J$11,$J$9,FALSE)&amp;AP$7,COM_N_2012!$B$58:$AJ$58,0),FALSE),"")</f>
        <v/>
      </c>
      <c r="AQ36" s="391" t="str">
        <f ca="1">IFERROR(VLOOKUP($C36,COM_N_2012!$B$61:$AJ$122,MATCH(VLOOKUP("*"&amp;$AW36,$A$10:$J$11,$J$9,FALSE)&amp;AQ$7,COM_N_2012!$B$58:$AJ$58,0),FALSE),"")</f>
        <v/>
      </c>
      <c r="AR36" s="391" t="str">
        <f ca="1">IFERROR(VLOOKUP($C36,COM_N_2012!$B$61:$AJ$122,MATCH(VLOOKUP("*"&amp;$AW36,$A$10:$J$11,$J$9,FALSE)&amp;AR$7,COM_N_2012!$B$58:$AJ$58,0),FALSE),"")</f>
        <v/>
      </c>
      <c r="AS36" s="391" t="str">
        <f ca="1">IFERROR(VLOOKUP($C36,COM_N_2012!$B$61:$AJ$122,MATCH(VLOOKUP("*"&amp;$AW36,$A$10:$J$11,$J$9,FALSE)&amp;AS$7,COM_N_2012!$B$58:$AJ$58,0),FALSE),"")</f>
        <v/>
      </c>
      <c r="AT36" s="391" t="str">
        <f ca="1">IFERROR(VLOOKUP($C36,COM_N_2012!$B$61:$AJ$122,MATCH(VLOOKUP("*"&amp;$AW36,$A$10:$J$11,$J$9,FALSE)&amp;AT$7,COM_N_2012!$B$58:$AJ$58,0),FALSE),"")</f>
        <v/>
      </c>
      <c r="AU36" s="391" t="str">
        <f ca="1">IFERROR(VLOOKUP($C36,COM_N_2012!$B$61:$AJ$122,MATCH(VLOOKUP("*"&amp;$AW36,$A$10:$J$11,$J$9,FALSE)&amp;AU$7,COM_N_2012!$B$58:$AJ$58,0),FALSE),"")</f>
        <v/>
      </c>
      <c r="AV36" s="391" t="str">
        <f ca="1">IFERROR(VLOOKUP($C36,COM_N_2012!$B$61:$AJ$122,MATCH(VLOOKUP("*"&amp;$AW36,$A$10:$J$11,$J$9,FALSE)&amp;AV$7,COM_N_2012!$B$58:$AJ$58,0),FALSE),"")</f>
        <v/>
      </c>
      <c r="AW36" s="304">
        <f>IF(AX35=COM_N_2012!$AK$121,AW35+1,AW35)</f>
        <v>1</v>
      </c>
      <c r="AX36" s="304">
        <f t="shared" si="7"/>
        <v>24</v>
      </c>
    </row>
    <row r="37" spans="1:50">
      <c r="A37" s="304" t="str">
        <f ca="1">IF(LEFT(OFFSET(COM_N_2012!$A$60,AX37,0),2)="\I","*","")</f>
        <v/>
      </c>
      <c r="B37" s="369" t="str">
        <f t="shared" ca="1" si="3"/>
        <v>FLO_MRKPRD</v>
      </c>
      <c r="C37" s="369" t="str">
        <f ca="1">IF($A37="*","",OFFSET(COM_N_2012!$B$60,AX37,0))</f>
        <v>CNLELCINC-E</v>
      </c>
      <c r="D37" s="369" t="str">
        <f t="shared" ca="1" si="4"/>
        <v>CNL</v>
      </c>
      <c r="E37" s="369" t="str">
        <f t="shared" ca="1" si="8"/>
        <v>-</v>
      </c>
      <c r="F37" s="370" t="str">
        <f t="shared" ca="1" si="9"/>
        <v>-</v>
      </c>
      <c r="G37" s="370" t="str">
        <f t="shared" ca="1" si="9"/>
        <v>ANNUAL</v>
      </c>
      <c r="H37" s="370" t="str">
        <f t="shared" ca="1" si="10"/>
        <v>UP</v>
      </c>
      <c r="I37" s="370">
        <f t="shared" ca="1" si="10"/>
        <v>0</v>
      </c>
      <c r="J37" s="391">
        <f ca="1">IFERROR(VLOOKUP($C37,COM_N_2012!$B$61:$AJ$122,MATCH(VLOOKUP("*"&amp;$AW37,$A$10:$J$11,$J$9,FALSE)&amp;J$7,COM_N_2012!$B$58:$AJ$58,0),FALSE),"")</f>
        <v>1.5692307692307693E-2</v>
      </c>
      <c r="K37" s="391" t="str">
        <f ca="1">IFERROR(VLOOKUP($C37,COM_N_2012!$B$61:$AJ$122,MATCH(VLOOKUP("*"&amp;$AW37,$A$10:$J$11,$J$9,FALSE)&amp;K$7,COM_N_2012!$B$58:$AJ$58,0),FALSE),"")</f>
        <v/>
      </c>
      <c r="L37" s="391" t="str">
        <f ca="1">IFERROR(VLOOKUP($C37,COM_N_2012!$B$61:$AJ$122,MATCH(VLOOKUP("*"&amp;$AW37,$A$10:$J$11,$J$9,FALSE)&amp;L$7,COM_N_2012!$B$58:$AJ$58,0),FALSE),"")</f>
        <v/>
      </c>
      <c r="M37" s="391">
        <f ca="1">IFERROR(VLOOKUP($C37,COM_N_2012!$B$61:$AJ$122,MATCH(VLOOKUP("*"&amp;$AW37,$A$10:$J$11,$J$9,FALSE)&amp;M$7,COM_N_2012!$B$58:$AJ$58,0),FALSE),"")</f>
        <v>1.5692307692307693E-2</v>
      </c>
      <c r="N37" s="391" t="str">
        <f ca="1">IFERROR(VLOOKUP($C37,COM_N_2012!$B$61:$AJ$122,MATCH(VLOOKUP("*"&amp;$AW37,$A$10:$J$11,$J$9,FALSE)&amp;N$7,COM_N_2012!$B$58:$AJ$58,0),FALSE),"")</f>
        <v/>
      </c>
      <c r="O37" s="391">
        <f ca="1">IF($A37="*","",IFERROR(VLOOKUP($C37,COM_N_2017!$B$61:$AJ$122,MATCH(VLOOKUP("*"&amp;$AW37,$A$10:$J$11,$J$9,FALSE)&amp;O$7,COM_N_2017!$B$58:$AJ$58,0),FALSE),""))</f>
        <v>1.5692307692307693E-2</v>
      </c>
      <c r="P37" s="391" t="str">
        <f ca="1">IFERROR(VLOOKUP($C37,COM_N_2012!$B$61:$AJ$122,MATCH(VLOOKUP("*"&amp;$AW37,$A$10:$J$11,$J$9,FALSE)&amp;P$7,COM_N_2012!$B$58:$AJ$58,0),FALSE),"")</f>
        <v/>
      </c>
      <c r="Q37" s="391" t="str">
        <f ca="1">IFERROR(VLOOKUP($C37,COM_N_2012!$B$61:$AJ$122,MATCH(VLOOKUP("*"&amp;$AW37,$A$10:$J$11,$J$9,FALSE)&amp;Q$7,COM_N_2012!$B$58:$AJ$58,0),FALSE),"")</f>
        <v/>
      </c>
      <c r="R37" s="391">
        <f ca="1">IF($A37="*","",IFERROR(VLOOKUP($C37,COM_N_2017!$B$61:$AJ$122,MATCH(VLOOKUP("*"&amp;$AW37,$A$10:$J$11,$J$9,FALSE)&amp;R$7,COM_N_2017!$B$58:$AJ$58,0),FALSE),""))</f>
        <v>1.5692307692307693E-2</v>
      </c>
      <c r="S37" s="391" t="str">
        <f ca="1">IFERROR(VLOOKUP($C37,COM_N_2012!$B$61:$AJ$122,MATCH(VLOOKUP("*"&amp;$AW37,$A$10:$J$11,$J$9,FALSE)&amp;S$7,COM_N_2012!$B$58:$AJ$58,0),FALSE),"")</f>
        <v/>
      </c>
      <c r="T37" s="391" t="str">
        <f ca="1">IFERROR(VLOOKUP($C37,COM_N_2012!$B$61:$AJ$122,MATCH(VLOOKUP("*"&amp;$AW37,$A$10:$J$11,$J$9,FALSE)&amp;T$7,COM_N_2012!$B$58:$AJ$58,0),FALSE),"")</f>
        <v/>
      </c>
      <c r="U37" s="391" t="str">
        <f ca="1">IFERROR(VLOOKUP($C37,COM_N_2012!$B$61:$AJ$122,MATCH(VLOOKUP("*"&amp;$AW37,$A$10:$J$11,$J$9,FALSE)&amp;U$7,COM_N_2012!$B$58:$AJ$58,0),FALSE),"")</f>
        <v/>
      </c>
      <c r="V37" s="391" t="str">
        <f ca="1">IFERROR(VLOOKUP($C37,COM_N_2012!$B$61:$AJ$122,MATCH(VLOOKUP("*"&amp;$AW37,$A$10:$J$11,$J$9,FALSE)&amp;V$7,COM_N_2012!$B$58:$AJ$58,0),FALSE),"")</f>
        <v/>
      </c>
      <c r="W37" s="391">
        <f ca="1">IF($A37="*","",IFERROR(VLOOKUP($C37,COM_N_2017!$B$61:$AJ$122,MATCH(VLOOKUP("*"&amp;$AW37,$A$10:$J$11,$J$9,FALSE)&amp;W$7,COM_N_2017!$B$58:$AJ$58,0),FALSE),""))</f>
        <v>0.01</v>
      </c>
      <c r="X37" s="391" t="str">
        <f ca="1">IFERROR(VLOOKUP($C37,COM_N_2012!$B$61:$AJ$122,MATCH(VLOOKUP("*"&amp;$AW37,$A$10:$J$11,$J$9,FALSE)&amp;X$7,COM_N_2012!$B$58:$AJ$58,0),FALSE),"")</f>
        <v/>
      </c>
      <c r="Y37" s="391" t="str">
        <f ca="1">IFERROR(VLOOKUP($C37,COM_N_2012!$B$61:$AJ$122,MATCH(VLOOKUP("*"&amp;$AW37,$A$10:$J$11,$J$9,FALSE)&amp;Y$7,COM_N_2012!$B$58:$AJ$58,0),FALSE),"")</f>
        <v/>
      </c>
      <c r="Z37" s="391" t="str">
        <f ca="1">IFERROR(VLOOKUP($C37,COM_N_2012!$B$61:$AJ$122,MATCH(VLOOKUP("*"&amp;$AW37,$A$10:$J$11,$J$9,FALSE)&amp;Z$7,COM_N_2012!$B$58:$AJ$58,0),FALSE),"")</f>
        <v/>
      </c>
      <c r="AA37" s="391" t="str">
        <f ca="1">IFERROR(VLOOKUP($C37,COM_N_2012!$B$61:$AJ$122,MATCH(VLOOKUP("*"&amp;$AW37,$A$10:$J$11,$J$9,FALSE)&amp;AA$7,COM_N_2012!$B$58:$AJ$58,0),FALSE),"")</f>
        <v/>
      </c>
      <c r="AB37" s="391">
        <f ca="1">IF($A37="*","",IFERROR(VLOOKUP($C37,COM_N_2017!$B$61:$AJ$122,MATCH(VLOOKUP("*"&amp;$AW37,$A$10:$J$11,$J$9,FALSE)&amp;AB$7,COM_N_2017!$B$58:$AJ$58,0),FALSE),""))</f>
        <v>0.01</v>
      </c>
      <c r="AC37" s="391" t="str">
        <f ca="1">IFERROR(VLOOKUP($C37,COM_N_2012!$B$61:$AJ$122,MATCH(VLOOKUP("*"&amp;$AW37,$A$10:$J$11,$J$9,FALSE)&amp;AC$7,COM_N_2012!$B$58:$AJ$58,0),FALSE),"")</f>
        <v/>
      </c>
      <c r="AD37" s="391" t="str">
        <f ca="1">IFERROR(VLOOKUP($C37,COM_N_2012!$B$61:$AJ$122,MATCH(VLOOKUP("*"&amp;$AW37,$A$10:$J$11,$J$9,FALSE)&amp;AD$7,COM_N_2012!$B$58:$AJ$58,0),FALSE),"")</f>
        <v/>
      </c>
      <c r="AE37" s="391" t="str">
        <f ca="1">IFERROR(VLOOKUP($C37,COM_N_2012!$B$61:$AJ$122,MATCH(VLOOKUP("*"&amp;$AW37,$A$10:$J$11,$J$9,FALSE)&amp;AE$7,COM_N_2012!$B$58:$AJ$58,0),FALSE),"")</f>
        <v/>
      </c>
      <c r="AF37" s="391" t="str">
        <f ca="1">IFERROR(VLOOKUP($C37,COM_N_2012!$B$61:$AJ$122,MATCH(VLOOKUP("*"&amp;$AW37,$A$10:$J$11,$J$9,FALSE)&amp;AF$7,COM_N_2012!$B$58:$AJ$58,0),FALSE),"")</f>
        <v/>
      </c>
      <c r="AG37" s="391">
        <f ca="1">IF($A37="*","",IFERROR(VLOOKUP($C37,COM_N_2017!$B$61:$AJ$122,MATCH(VLOOKUP("*"&amp;$AW37,$A$10:$J$11,$J$9,FALSE)&amp;AG$7,COM_N_2017!$B$58:$AJ$58,0),FALSE),""))</f>
        <v>0.01</v>
      </c>
      <c r="AH37" s="391" t="str">
        <f ca="1">IFERROR(VLOOKUP($C37,COM_N_2012!$B$61:$AJ$122,MATCH(VLOOKUP("*"&amp;$AW37,$A$10:$J$11,$J$9,FALSE)&amp;AH$7,COM_N_2012!$B$58:$AJ$58,0),FALSE),"")</f>
        <v/>
      </c>
      <c r="AI37" s="391" t="str">
        <f ca="1">IFERROR(VLOOKUP($C37,COM_N_2012!$B$61:$AJ$122,MATCH(VLOOKUP("*"&amp;$AW37,$A$10:$J$11,$J$9,FALSE)&amp;AI$7,COM_N_2012!$B$58:$AJ$58,0),FALSE),"")</f>
        <v/>
      </c>
      <c r="AJ37" s="391" t="str">
        <f ca="1">IFERROR(VLOOKUP($C37,COM_N_2012!$B$61:$AJ$122,MATCH(VLOOKUP("*"&amp;$AW37,$A$10:$J$11,$J$9,FALSE)&amp;AJ$7,COM_N_2012!$B$58:$AJ$58,0),FALSE),"")</f>
        <v/>
      </c>
      <c r="AK37" s="391" t="str">
        <f ca="1">IFERROR(VLOOKUP($C37,COM_N_2012!$B$61:$AJ$122,MATCH(VLOOKUP("*"&amp;$AW37,$A$10:$J$11,$J$9,FALSE)&amp;AK$7,COM_N_2012!$B$58:$AJ$58,0),FALSE),"")</f>
        <v/>
      </c>
      <c r="AL37" s="391">
        <f ca="1">IF($A37="*","",IFERROR(VLOOKUP($C37,COM_N_2017!$B$61:$AJ$122,MATCH(VLOOKUP("*"&amp;$AW37,$A$10:$J$11,$J$9,FALSE)&amp;AL$7,COM_N_2017!$B$58:$AJ$58,0),FALSE),""))</f>
        <v>0.01</v>
      </c>
      <c r="AM37" s="391">
        <f ca="1">IF($A37="*","",IFERROR(VLOOKUP($C37,COM_N_2017!$B$61:$AJ$122,MATCH(VLOOKUP("*"&amp;$AW37,$A$10:$J$11,$J$9,FALSE)&amp;AM$7,COM_N_2017!$B$58:$AJ$58,0),FALSE),""))</f>
        <v>0.01</v>
      </c>
      <c r="AN37" s="391">
        <f ca="1">IF($A37="*","",IFERROR(VLOOKUP($C37,COM_N_2017!$B$61:$AJ$122,MATCH(VLOOKUP("*"&amp;$AW37,$A$10:$J$11,$J$9,FALSE)&amp;AN$7,COM_N_2017!$B$58:$AJ$58,0),FALSE),""))</f>
        <v>0.01</v>
      </c>
      <c r="AO37" s="391" t="str">
        <f ca="1">IFERROR(VLOOKUP($C37,COM_N_2012!$B$61:$AJ$122,MATCH(VLOOKUP("*"&amp;$AW37,$A$10:$J$11,$J$9,FALSE)&amp;AO$7,COM_N_2012!$B$58:$AJ$58,0),FALSE),"")</f>
        <v/>
      </c>
      <c r="AP37" s="391" t="str">
        <f ca="1">IFERROR(VLOOKUP($C37,COM_N_2012!$B$61:$AJ$122,MATCH(VLOOKUP("*"&amp;$AW37,$A$10:$J$11,$J$9,FALSE)&amp;AP$7,COM_N_2012!$B$58:$AJ$58,0),FALSE),"")</f>
        <v/>
      </c>
      <c r="AQ37" s="391" t="str">
        <f ca="1">IFERROR(VLOOKUP($C37,COM_N_2012!$B$61:$AJ$122,MATCH(VLOOKUP("*"&amp;$AW37,$A$10:$J$11,$J$9,FALSE)&amp;AQ$7,COM_N_2012!$B$58:$AJ$58,0),FALSE),"")</f>
        <v/>
      </c>
      <c r="AR37" s="391" t="str">
        <f ca="1">IFERROR(VLOOKUP($C37,COM_N_2012!$B$61:$AJ$122,MATCH(VLOOKUP("*"&amp;$AW37,$A$10:$J$11,$J$9,FALSE)&amp;AR$7,COM_N_2012!$B$58:$AJ$58,0),FALSE),"")</f>
        <v/>
      </c>
      <c r="AS37" s="391" t="str">
        <f ca="1">IFERROR(VLOOKUP($C37,COM_N_2012!$B$61:$AJ$122,MATCH(VLOOKUP("*"&amp;$AW37,$A$10:$J$11,$J$9,FALSE)&amp;AS$7,COM_N_2012!$B$58:$AJ$58,0),FALSE),"")</f>
        <v/>
      </c>
      <c r="AT37" s="391" t="str">
        <f ca="1">IFERROR(VLOOKUP($C37,COM_N_2012!$B$61:$AJ$122,MATCH(VLOOKUP("*"&amp;$AW37,$A$10:$J$11,$J$9,FALSE)&amp;AT$7,COM_N_2012!$B$58:$AJ$58,0),FALSE),"")</f>
        <v/>
      </c>
      <c r="AU37" s="391" t="str">
        <f ca="1">IFERROR(VLOOKUP($C37,COM_N_2012!$B$61:$AJ$122,MATCH(VLOOKUP("*"&amp;$AW37,$A$10:$J$11,$J$9,FALSE)&amp;AU$7,COM_N_2012!$B$58:$AJ$58,0),FALSE),"")</f>
        <v/>
      </c>
      <c r="AV37" s="391" t="str">
        <f ca="1">IFERROR(VLOOKUP($C37,COM_N_2012!$B$61:$AJ$122,MATCH(VLOOKUP("*"&amp;$AW37,$A$10:$J$11,$J$9,FALSE)&amp;AV$7,COM_N_2012!$B$58:$AJ$58,0),FALSE),"")</f>
        <v/>
      </c>
      <c r="AW37" s="304">
        <f>IF(AX36=COM_N_2012!$AK$121,AW36+1,AW36)</f>
        <v>1</v>
      </c>
      <c r="AX37" s="304">
        <f t="shared" si="7"/>
        <v>25</v>
      </c>
    </row>
    <row r="38" spans="1:50">
      <c r="A38" s="304" t="str">
        <f ca="1">IF(LEFT(OFFSET(COM_N_2012!$A$60,AX38,0),2)="\I","*","")</f>
        <v/>
      </c>
      <c r="B38" s="369" t="str">
        <f t="shared" ca="1" si="3"/>
        <v>FLO_MRKPRD</v>
      </c>
      <c r="C38" s="369" t="str">
        <f ca="1">IF($A38="*","",OFFSET(COM_N_2012!$B$60,AX38,0))</f>
        <v>CNLELCLED-N</v>
      </c>
      <c r="D38" s="369" t="str">
        <f t="shared" ca="1" si="4"/>
        <v>CNL</v>
      </c>
      <c r="E38" s="369" t="str">
        <f t="shared" ca="1" si="8"/>
        <v>-</v>
      </c>
      <c r="F38" s="370" t="str">
        <f t="shared" ca="1" si="9"/>
        <v>-</v>
      </c>
      <c r="G38" s="370" t="str">
        <f t="shared" ca="1" si="9"/>
        <v>ANNUAL</v>
      </c>
      <c r="H38" s="370" t="str">
        <f t="shared" ca="1" si="10"/>
        <v>UP</v>
      </c>
      <c r="I38" s="370">
        <f t="shared" ca="1" si="10"/>
        <v>0</v>
      </c>
      <c r="J38" s="391">
        <f ca="1">IFERROR(VLOOKUP($C38,COM_N_2012!$B$61:$AJ$122,MATCH(VLOOKUP("*"&amp;$AW38,$A$10:$J$11,$J$9,FALSE)&amp;J$7,COM_N_2012!$B$58:$AJ$58,0),FALSE),"")</f>
        <v>0</v>
      </c>
      <c r="K38" s="391" t="str">
        <f ca="1">IFERROR(VLOOKUP($C38,COM_N_2012!$B$61:$AJ$122,MATCH(VLOOKUP("*"&amp;$AW38,$A$10:$J$11,$J$9,FALSE)&amp;K$7,COM_N_2012!$B$58:$AJ$58,0),FALSE),"")</f>
        <v/>
      </c>
      <c r="L38" s="391" t="str">
        <f ca="1">IFERROR(VLOOKUP($C38,COM_N_2012!$B$61:$AJ$122,MATCH(VLOOKUP("*"&amp;$AW38,$A$10:$J$11,$J$9,FALSE)&amp;L$7,COM_N_2012!$B$58:$AJ$58,0),FALSE),"")</f>
        <v/>
      </c>
      <c r="M38" s="391">
        <f ca="1">IFERROR(VLOOKUP($C38,COM_N_2012!$B$61:$AJ$122,MATCH(VLOOKUP("*"&amp;$AW38,$A$10:$J$11,$J$9,FALSE)&amp;M$7,COM_N_2012!$B$58:$AJ$58,0),FALSE),"")</f>
        <v>0</v>
      </c>
      <c r="N38" s="391" t="str">
        <f ca="1">IFERROR(VLOOKUP($C38,COM_N_2012!$B$61:$AJ$122,MATCH(VLOOKUP("*"&amp;$AW38,$A$10:$J$11,$J$9,FALSE)&amp;N$7,COM_N_2012!$B$58:$AJ$58,0),FALSE),"")</f>
        <v/>
      </c>
      <c r="O38" s="391">
        <f ca="1">IF($A38="*","",IFERROR(VLOOKUP($C38,COM_N_2017!$B$61:$AJ$122,MATCH(VLOOKUP("*"&amp;$AW38,$A$10:$J$11,$J$9,FALSE)&amp;O$7,COM_N_2017!$B$58:$AJ$58,0),FALSE),""))</f>
        <v>0</v>
      </c>
      <c r="P38" s="391" t="str">
        <f ca="1">IFERROR(VLOOKUP($C38,COM_N_2012!$B$61:$AJ$122,MATCH(VLOOKUP("*"&amp;$AW38,$A$10:$J$11,$J$9,FALSE)&amp;P$7,COM_N_2012!$B$58:$AJ$58,0),FALSE),"")</f>
        <v/>
      </c>
      <c r="Q38" s="391" t="str">
        <f ca="1">IFERROR(VLOOKUP($C38,COM_N_2012!$B$61:$AJ$122,MATCH(VLOOKUP("*"&amp;$AW38,$A$10:$J$11,$J$9,FALSE)&amp;Q$7,COM_N_2012!$B$58:$AJ$58,0),FALSE),"")</f>
        <v/>
      </c>
      <c r="R38" s="391">
        <f ca="1">IF($A38="*","",IFERROR(VLOOKUP($C38,COM_N_2017!$B$61:$AJ$122,MATCH(VLOOKUP("*"&amp;$AW38,$A$10:$J$11,$J$9,FALSE)&amp;R$7,COM_N_2017!$B$58:$AJ$58,0),FALSE),""))</f>
        <v>0.03</v>
      </c>
      <c r="S38" s="391" t="str">
        <f ca="1">IFERROR(VLOOKUP($C38,COM_N_2012!$B$61:$AJ$122,MATCH(VLOOKUP("*"&amp;$AW38,$A$10:$J$11,$J$9,FALSE)&amp;S$7,COM_N_2012!$B$58:$AJ$58,0),FALSE),"")</f>
        <v/>
      </c>
      <c r="T38" s="391" t="str">
        <f ca="1">IFERROR(VLOOKUP($C38,COM_N_2012!$B$61:$AJ$122,MATCH(VLOOKUP("*"&amp;$AW38,$A$10:$J$11,$J$9,FALSE)&amp;T$7,COM_N_2012!$B$58:$AJ$58,0),FALSE),"")</f>
        <v/>
      </c>
      <c r="U38" s="391" t="str">
        <f ca="1">IFERROR(VLOOKUP($C38,COM_N_2012!$B$61:$AJ$122,MATCH(VLOOKUP("*"&amp;$AW38,$A$10:$J$11,$J$9,FALSE)&amp;U$7,COM_N_2012!$B$58:$AJ$58,0),FALSE),"")</f>
        <v/>
      </c>
      <c r="V38" s="391" t="str">
        <f ca="1">IFERROR(VLOOKUP($C38,COM_N_2012!$B$61:$AJ$122,MATCH(VLOOKUP("*"&amp;$AW38,$A$10:$J$11,$J$9,FALSE)&amp;V$7,COM_N_2012!$B$58:$AJ$58,0),FALSE),"")</f>
        <v/>
      </c>
      <c r="W38" s="391">
        <f ca="1">IF($A38="*","",IFERROR(VLOOKUP($C38,COM_N_2017!$B$61:$AJ$122,MATCH(VLOOKUP("*"&amp;$AW38,$A$10:$J$11,$J$9,FALSE)&amp;W$7,COM_N_2017!$B$58:$AJ$58,0),FALSE),""))</f>
        <v>0.1</v>
      </c>
      <c r="X38" s="391" t="str">
        <f ca="1">IFERROR(VLOOKUP($C38,COM_N_2012!$B$61:$AJ$122,MATCH(VLOOKUP("*"&amp;$AW38,$A$10:$J$11,$J$9,FALSE)&amp;X$7,COM_N_2012!$B$58:$AJ$58,0),FALSE),"")</f>
        <v/>
      </c>
      <c r="Y38" s="391" t="str">
        <f ca="1">IFERROR(VLOOKUP($C38,COM_N_2012!$B$61:$AJ$122,MATCH(VLOOKUP("*"&amp;$AW38,$A$10:$J$11,$J$9,FALSE)&amp;Y$7,COM_N_2012!$B$58:$AJ$58,0),FALSE),"")</f>
        <v/>
      </c>
      <c r="Z38" s="391" t="str">
        <f ca="1">IFERROR(VLOOKUP($C38,COM_N_2012!$B$61:$AJ$122,MATCH(VLOOKUP("*"&amp;$AW38,$A$10:$J$11,$J$9,FALSE)&amp;Z$7,COM_N_2012!$B$58:$AJ$58,0),FALSE),"")</f>
        <v/>
      </c>
      <c r="AA38" s="391" t="str">
        <f ca="1">IFERROR(VLOOKUP($C38,COM_N_2012!$B$61:$AJ$122,MATCH(VLOOKUP("*"&amp;$AW38,$A$10:$J$11,$J$9,FALSE)&amp;AA$7,COM_N_2012!$B$58:$AJ$58,0),FALSE),"")</f>
        <v/>
      </c>
      <c r="AB38" s="391">
        <f ca="1">IF($A38="*","",IFERROR(VLOOKUP($C38,COM_N_2017!$B$61:$AJ$122,MATCH(VLOOKUP("*"&amp;$AW38,$A$10:$J$11,$J$9,FALSE)&amp;AB$7,COM_N_2017!$B$58:$AJ$58,0),FALSE),""))</f>
        <v>0.3</v>
      </c>
      <c r="AC38" s="391" t="str">
        <f ca="1">IFERROR(VLOOKUP($C38,COM_N_2012!$B$61:$AJ$122,MATCH(VLOOKUP("*"&amp;$AW38,$A$10:$J$11,$J$9,FALSE)&amp;AC$7,COM_N_2012!$B$58:$AJ$58,0),FALSE),"")</f>
        <v/>
      </c>
      <c r="AD38" s="391" t="str">
        <f ca="1">IFERROR(VLOOKUP($C38,COM_N_2012!$B$61:$AJ$122,MATCH(VLOOKUP("*"&amp;$AW38,$A$10:$J$11,$J$9,FALSE)&amp;AD$7,COM_N_2012!$B$58:$AJ$58,0),FALSE),"")</f>
        <v/>
      </c>
      <c r="AE38" s="391" t="str">
        <f ca="1">IFERROR(VLOOKUP($C38,COM_N_2012!$B$61:$AJ$122,MATCH(VLOOKUP("*"&amp;$AW38,$A$10:$J$11,$J$9,FALSE)&amp;AE$7,COM_N_2012!$B$58:$AJ$58,0),FALSE),"")</f>
        <v/>
      </c>
      <c r="AF38" s="391" t="str">
        <f ca="1">IFERROR(VLOOKUP($C38,COM_N_2012!$B$61:$AJ$122,MATCH(VLOOKUP("*"&amp;$AW38,$A$10:$J$11,$J$9,FALSE)&amp;AF$7,COM_N_2012!$B$58:$AJ$58,0),FALSE),"")</f>
        <v/>
      </c>
      <c r="AG38" s="391">
        <f ca="1">IF($A38="*","",IFERROR(VLOOKUP($C38,COM_N_2017!$B$61:$AJ$122,MATCH(VLOOKUP("*"&amp;$AW38,$A$10:$J$11,$J$9,FALSE)&amp;AG$7,COM_N_2017!$B$58:$AJ$58,0),FALSE),""))</f>
        <v>0.5</v>
      </c>
      <c r="AH38" s="391" t="str">
        <f ca="1">IFERROR(VLOOKUP($C38,COM_N_2012!$B$61:$AJ$122,MATCH(VLOOKUP("*"&amp;$AW38,$A$10:$J$11,$J$9,FALSE)&amp;AH$7,COM_N_2012!$B$58:$AJ$58,0),FALSE),"")</f>
        <v/>
      </c>
      <c r="AI38" s="391" t="str">
        <f ca="1">IFERROR(VLOOKUP($C38,COM_N_2012!$B$61:$AJ$122,MATCH(VLOOKUP("*"&amp;$AW38,$A$10:$J$11,$J$9,FALSE)&amp;AI$7,COM_N_2012!$B$58:$AJ$58,0),FALSE),"")</f>
        <v/>
      </c>
      <c r="AJ38" s="391" t="str">
        <f ca="1">IFERROR(VLOOKUP($C38,COM_N_2012!$B$61:$AJ$122,MATCH(VLOOKUP("*"&amp;$AW38,$A$10:$J$11,$J$9,FALSE)&amp;AJ$7,COM_N_2012!$B$58:$AJ$58,0),FALSE),"")</f>
        <v/>
      </c>
      <c r="AK38" s="391" t="str">
        <f ca="1">IFERROR(VLOOKUP($C38,COM_N_2012!$B$61:$AJ$122,MATCH(VLOOKUP("*"&amp;$AW38,$A$10:$J$11,$J$9,FALSE)&amp;AK$7,COM_N_2012!$B$58:$AJ$58,0),FALSE),"")</f>
        <v/>
      </c>
      <c r="AL38" s="391">
        <f ca="1">IF($A38="*","",IFERROR(VLOOKUP($C38,COM_N_2017!$B$61:$AJ$122,MATCH(VLOOKUP("*"&amp;$AW38,$A$10:$J$11,$J$9,FALSE)&amp;AL$7,COM_N_2017!$B$58:$AJ$58,0),FALSE),""))</f>
        <v>0.7</v>
      </c>
      <c r="AM38" s="391">
        <f ca="1">IF($A38="*","",IFERROR(VLOOKUP($C38,COM_N_2017!$B$61:$AJ$122,MATCH(VLOOKUP("*"&amp;$AW38,$A$10:$J$11,$J$9,FALSE)&amp;AM$7,COM_N_2017!$B$58:$AJ$58,0),FALSE),""))</f>
        <v>0.9</v>
      </c>
      <c r="AN38" s="391">
        <f ca="1">IF($A38="*","",IFERROR(VLOOKUP($C38,COM_N_2017!$B$61:$AJ$122,MATCH(VLOOKUP("*"&amp;$AW38,$A$10:$J$11,$J$9,FALSE)&amp;AN$7,COM_N_2017!$B$58:$AJ$58,0),FALSE),""))</f>
        <v>1</v>
      </c>
      <c r="AO38" s="391" t="str">
        <f ca="1">IFERROR(VLOOKUP($C38,COM_N_2012!$B$61:$AJ$122,MATCH(VLOOKUP("*"&amp;$AW38,$A$10:$J$11,$J$9,FALSE)&amp;AO$7,COM_N_2012!$B$58:$AJ$58,0),FALSE),"")</f>
        <v/>
      </c>
      <c r="AP38" s="391" t="str">
        <f ca="1">IFERROR(VLOOKUP($C38,COM_N_2012!$B$61:$AJ$122,MATCH(VLOOKUP("*"&amp;$AW38,$A$10:$J$11,$J$9,FALSE)&amp;AP$7,COM_N_2012!$B$58:$AJ$58,0),FALSE),"")</f>
        <v/>
      </c>
      <c r="AQ38" s="391" t="str">
        <f ca="1">IFERROR(VLOOKUP($C38,COM_N_2012!$B$61:$AJ$122,MATCH(VLOOKUP("*"&amp;$AW38,$A$10:$J$11,$J$9,FALSE)&amp;AQ$7,COM_N_2012!$B$58:$AJ$58,0),FALSE),"")</f>
        <v/>
      </c>
      <c r="AR38" s="391" t="str">
        <f ca="1">IFERROR(VLOOKUP($C38,COM_N_2012!$B$61:$AJ$122,MATCH(VLOOKUP("*"&amp;$AW38,$A$10:$J$11,$J$9,FALSE)&amp;AR$7,COM_N_2012!$B$58:$AJ$58,0),FALSE),"")</f>
        <v/>
      </c>
      <c r="AS38" s="391" t="str">
        <f ca="1">IFERROR(VLOOKUP($C38,COM_N_2012!$B$61:$AJ$122,MATCH(VLOOKUP("*"&amp;$AW38,$A$10:$J$11,$J$9,FALSE)&amp;AS$7,COM_N_2012!$B$58:$AJ$58,0),FALSE),"")</f>
        <v/>
      </c>
      <c r="AT38" s="391" t="str">
        <f ca="1">IFERROR(VLOOKUP($C38,COM_N_2012!$B$61:$AJ$122,MATCH(VLOOKUP("*"&amp;$AW38,$A$10:$J$11,$J$9,FALSE)&amp;AT$7,COM_N_2012!$B$58:$AJ$58,0),FALSE),"")</f>
        <v/>
      </c>
      <c r="AU38" s="391" t="str">
        <f ca="1">IFERROR(VLOOKUP($C38,COM_N_2012!$B$61:$AJ$122,MATCH(VLOOKUP("*"&amp;$AW38,$A$10:$J$11,$J$9,FALSE)&amp;AU$7,COM_N_2012!$B$58:$AJ$58,0),FALSE),"")</f>
        <v/>
      </c>
      <c r="AV38" s="391" t="str">
        <f ca="1">IFERROR(VLOOKUP($C38,COM_N_2012!$B$61:$AJ$122,MATCH(VLOOKUP("*"&amp;$AW38,$A$10:$J$11,$J$9,FALSE)&amp;AV$7,COM_N_2012!$B$58:$AJ$58,0),FALSE),"")</f>
        <v/>
      </c>
      <c r="AW38" s="304">
        <f>IF(AX37=COM_N_2012!$AK$121,AW37+1,AW37)</f>
        <v>1</v>
      </c>
      <c r="AX38" s="304">
        <f t="shared" si="7"/>
        <v>26</v>
      </c>
    </row>
    <row r="39" spans="1:50">
      <c r="A39" s="304" t="str">
        <f ca="1">IF(LEFT(OFFSET(COM_N_2012!$A$60,AX39,0),2)="\I","*","")</f>
        <v>*</v>
      </c>
      <c r="B39" s="369" t="str">
        <f t="shared" ca="1" si="3"/>
        <v/>
      </c>
      <c r="C39" s="369" t="str">
        <f ca="1">IF($A39="*","",OFFSET(COM_N_2012!$B$60,AX39,0))</f>
        <v/>
      </c>
      <c r="D39" s="369" t="str">
        <f t="shared" ca="1" si="4"/>
        <v/>
      </c>
      <c r="E39" s="369" t="str">
        <f t="shared" ca="1" si="8"/>
        <v/>
      </c>
      <c r="F39" s="370" t="str">
        <f t="shared" ca="1" si="9"/>
        <v/>
      </c>
      <c r="G39" s="370" t="str">
        <f t="shared" ca="1" si="9"/>
        <v/>
      </c>
      <c r="H39" s="370" t="str">
        <f t="shared" ca="1" si="10"/>
        <v/>
      </c>
      <c r="I39" s="370" t="str">
        <f t="shared" ca="1" si="10"/>
        <v/>
      </c>
      <c r="J39" s="391" t="str">
        <f ca="1">IFERROR(VLOOKUP($C39,COM_N_2012!$B$61:$AJ$122,MATCH(VLOOKUP("*"&amp;$AW39,$A$10:$J$11,$J$9,FALSE)&amp;J$7,COM_N_2012!$B$58:$AJ$58,0),FALSE),"")</f>
        <v/>
      </c>
      <c r="K39" s="391" t="str">
        <f ca="1">IFERROR(VLOOKUP($C39,COM_N_2012!$B$61:$AJ$122,MATCH(VLOOKUP("*"&amp;$AW39,$A$10:$J$11,$J$9,FALSE)&amp;K$7,COM_N_2012!$B$58:$AJ$58,0),FALSE),"")</f>
        <v/>
      </c>
      <c r="L39" s="391" t="str">
        <f ca="1">IFERROR(VLOOKUP($C39,COM_N_2012!$B$61:$AJ$122,MATCH(VLOOKUP("*"&amp;$AW39,$A$10:$J$11,$J$9,FALSE)&amp;L$7,COM_N_2012!$B$58:$AJ$58,0),FALSE),"")</f>
        <v/>
      </c>
      <c r="M39" s="391" t="str">
        <f ca="1">IFERROR(VLOOKUP($C39,COM_N_2012!$B$61:$AJ$122,MATCH(VLOOKUP("*"&amp;$AW39,$A$10:$J$11,$J$9,FALSE)&amp;M$7,COM_N_2012!$B$58:$AJ$58,0),FALSE),"")</f>
        <v/>
      </c>
      <c r="N39" s="391" t="str">
        <f ca="1">IFERROR(VLOOKUP($C39,COM_N_2012!$B$61:$AJ$122,MATCH(VLOOKUP("*"&amp;$AW39,$A$10:$J$11,$J$9,FALSE)&amp;N$7,COM_N_2012!$B$58:$AJ$58,0),FALSE),"")</f>
        <v/>
      </c>
      <c r="O39" s="391" t="str">
        <f ca="1">IF($A39="*","",IFERROR(VLOOKUP($C39,COM_N_2017!$B$61:$AJ$122,MATCH(VLOOKUP("*"&amp;$AW39,$A$10:$J$11,$J$9,FALSE)&amp;O$7,COM_N_2017!$B$58:$AJ$58,0),FALSE),""))</f>
        <v/>
      </c>
      <c r="P39" s="391" t="str">
        <f ca="1">IFERROR(VLOOKUP($C39,COM_N_2012!$B$61:$AJ$122,MATCH(VLOOKUP("*"&amp;$AW39,$A$10:$J$11,$J$9,FALSE)&amp;P$7,COM_N_2012!$B$58:$AJ$58,0),FALSE),"")</f>
        <v/>
      </c>
      <c r="Q39" s="391" t="str">
        <f ca="1">IFERROR(VLOOKUP($C39,COM_N_2012!$B$61:$AJ$122,MATCH(VLOOKUP("*"&amp;$AW39,$A$10:$J$11,$J$9,FALSE)&amp;Q$7,COM_N_2012!$B$58:$AJ$58,0),FALSE),"")</f>
        <v/>
      </c>
      <c r="R39" s="391" t="str">
        <f ca="1">IF($A39="*","",IFERROR(VLOOKUP($C39,COM_N_2017!$B$61:$AJ$122,MATCH(VLOOKUP("*"&amp;$AW39,$A$10:$J$11,$J$9,FALSE)&amp;R$7,COM_N_2017!$B$58:$AJ$58,0),FALSE),""))</f>
        <v/>
      </c>
      <c r="S39" s="391" t="str">
        <f ca="1">IFERROR(VLOOKUP($C39,COM_N_2012!$B$61:$AJ$122,MATCH(VLOOKUP("*"&amp;$AW39,$A$10:$J$11,$J$9,FALSE)&amp;S$7,COM_N_2012!$B$58:$AJ$58,0),FALSE),"")</f>
        <v/>
      </c>
      <c r="T39" s="391" t="str">
        <f ca="1">IFERROR(VLOOKUP($C39,COM_N_2012!$B$61:$AJ$122,MATCH(VLOOKUP("*"&amp;$AW39,$A$10:$J$11,$J$9,FALSE)&amp;T$7,COM_N_2012!$B$58:$AJ$58,0),FALSE),"")</f>
        <v/>
      </c>
      <c r="U39" s="391" t="str">
        <f ca="1">IFERROR(VLOOKUP($C39,COM_N_2012!$B$61:$AJ$122,MATCH(VLOOKUP("*"&amp;$AW39,$A$10:$J$11,$J$9,FALSE)&amp;U$7,COM_N_2012!$B$58:$AJ$58,0),FALSE),"")</f>
        <v/>
      </c>
      <c r="V39" s="391" t="str">
        <f ca="1">IFERROR(VLOOKUP($C39,COM_N_2012!$B$61:$AJ$122,MATCH(VLOOKUP("*"&amp;$AW39,$A$10:$J$11,$J$9,FALSE)&amp;V$7,COM_N_2012!$B$58:$AJ$58,0),FALSE),"")</f>
        <v/>
      </c>
      <c r="W39" s="391" t="str">
        <f ca="1">IF($A39="*","",IFERROR(VLOOKUP($C39,COM_N_2017!$B$61:$AJ$122,MATCH(VLOOKUP("*"&amp;$AW39,$A$10:$J$11,$J$9,FALSE)&amp;W$7,COM_N_2017!$B$58:$AJ$58,0),FALSE),""))</f>
        <v/>
      </c>
      <c r="X39" s="391" t="str">
        <f ca="1">IFERROR(VLOOKUP($C39,COM_N_2012!$B$61:$AJ$122,MATCH(VLOOKUP("*"&amp;$AW39,$A$10:$J$11,$J$9,FALSE)&amp;X$7,COM_N_2012!$B$58:$AJ$58,0),FALSE),"")</f>
        <v/>
      </c>
      <c r="Y39" s="391" t="str">
        <f ca="1">IFERROR(VLOOKUP($C39,COM_N_2012!$B$61:$AJ$122,MATCH(VLOOKUP("*"&amp;$AW39,$A$10:$J$11,$J$9,FALSE)&amp;Y$7,COM_N_2012!$B$58:$AJ$58,0),FALSE),"")</f>
        <v/>
      </c>
      <c r="Z39" s="391" t="str">
        <f ca="1">IFERROR(VLOOKUP($C39,COM_N_2012!$B$61:$AJ$122,MATCH(VLOOKUP("*"&amp;$AW39,$A$10:$J$11,$J$9,FALSE)&amp;Z$7,COM_N_2012!$B$58:$AJ$58,0),FALSE),"")</f>
        <v/>
      </c>
      <c r="AA39" s="391" t="str">
        <f ca="1">IFERROR(VLOOKUP($C39,COM_N_2012!$B$61:$AJ$122,MATCH(VLOOKUP("*"&amp;$AW39,$A$10:$J$11,$J$9,FALSE)&amp;AA$7,COM_N_2012!$B$58:$AJ$58,0),FALSE),"")</f>
        <v/>
      </c>
      <c r="AB39" s="391" t="str">
        <f ca="1">IF($A39="*","",IFERROR(VLOOKUP($C39,COM_N_2017!$B$61:$AJ$122,MATCH(VLOOKUP("*"&amp;$AW39,$A$10:$J$11,$J$9,FALSE)&amp;AB$7,COM_N_2017!$B$58:$AJ$58,0),FALSE),""))</f>
        <v/>
      </c>
      <c r="AC39" s="391" t="str">
        <f ca="1">IFERROR(VLOOKUP($C39,COM_N_2012!$B$61:$AJ$122,MATCH(VLOOKUP("*"&amp;$AW39,$A$10:$J$11,$J$9,FALSE)&amp;AC$7,COM_N_2012!$B$58:$AJ$58,0),FALSE),"")</f>
        <v/>
      </c>
      <c r="AD39" s="391" t="str">
        <f ca="1">IFERROR(VLOOKUP($C39,COM_N_2012!$B$61:$AJ$122,MATCH(VLOOKUP("*"&amp;$AW39,$A$10:$J$11,$J$9,FALSE)&amp;AD$7,COM_N_2012!$B$58:$AJ$58,0),FALSE),"")</f>
        <v/>
      </c>
      <c r="AE39" s="391" t="str">
        <f ca="1">IFERROR(VLOOKUP($C39,COM_N_2012!$B$61:$AJ$122,MATCH(VLOOKUP("*"&amp;$AW39,$A$10:$J$11,$J$9,FALSE)&amp;AE$7,COM_N_2012!$B$58:$AJ$58,0),FALSE),"")</f>
        <v/>
      </c>
      <c r="AF39" s="391" t="str">
        <f ca="1">IFERROR(VLOOKUP($C39,COM_N_2012!$B$61:$AJ$122,MATCH(VLOOKUP("*"&amp;$AW39,$A$10:$J$11,$J$9,FALSE)&amp;AF$7,COM_N_2012!$B$58:$AJ$58,0),FALSE),"")</f>
        <v/>
      </c>
      <c r="AG39" s="391" t="str">
        <f ca="1">IF($A39="*","",IFERROR(VLOOKUP($C39,COM_N_2017!$B$61:$AJ$122,MATCH(VLOOKUP("*"&amp;$AW39,$A$10:$J$11,$J$9,FALSE)&amp;AG$7,COM_N_2017!$B$58:$AJ$58,0),FALSE),""))</f>
        <v/>
      </c>
      <c r="AH39" s="391" t="str">
        <f ca="1">IFERROR(VLOOKUP($C39,COM_N_2012!$B$61:$AJ$122,MATCH(VLOOKUP("*"&amp;$AW39,$A$10:$J$11,$J$9,FALSE)&amp;AH$7,COM_N_2012!$B$58:$AJ$58,0),FALSE),"")</f>
        <v/>
      </c>
      <c r="AI39" s="391" t="str">
        <f ca="1">IFERROR(VLOOKUP($C39,COM_N_2012!$B$61:$AJ$122,MATCH(VLOOKUP("*"&amp;$AW39,$A$10:$J$11,$J$9,FALSE)&amp;AI$7,COM_N_2012!$B$58:$AJ$58,0),FALSE),"")</f>
        <v/>
      </c>
      <c r="AJ39" s="391" t="str">
        <f ca="1">IFERROR(VLOOKUP($C39,COM_N_2012!$B$61:$AJ$122,MATCH(VLOOKUP("*"&amp;$AW39,$A$10:$J$11,$J$9,FALSE)&amp;AJ$7,COM_N_2012!$B$58:$AJ$58,0),FALSE),"")</f>
        <v/>
      </c>
      <c r="AK39" s="391" t="str">
        <f ca="1">IFERROR(VLOOKUP($C39,COM_N_2012!$B$61:$AJ$122,MATCH(VLOOKUP("*"&amp;$AW39,$A$10:$J$11,$J$9,FALSE)&amp;AK$7,COM_N_2012!$B$58:$AJ$58,0),FALSE),"")</f>
        <v/>
      </c>
      <c r="AL39" s="391" t="str">
        <f ca="1">IF($A39="*","",IFERROR(VLOOKUP($C39,COM_N_2017!$B$61:$AJ$122,MATCH(VLOOKUP("*"&amp;$AW39,$A$10:$J$11,$J$9,FALSE)&amp;AL$7,COM_N_2017!$B$58:$AJ$58,0),FALSE),""))</f>
        <v/>
      </c>
      <c r="AM39" s="391" t="str">
        <f ca="1">IF($A39="*","",IFERROR(VLOOKUP($C39,COM_N_2017!$B$61:$AJ$122,MATCH(VLOOKUP("*"&amp;$AW39,$A$10:$J$11,$J$9,FALSE)&amp;AM$7,COM_N_2017!$B$58:$AJ$58,0),FALSE),""))</f>
        <v/>
      </c>
      <c r="AN39" s="391" t="str">
        <f ca="1">IF($A39="*","",IFERROR(VLOOKUP($C39,COM_N_2017!$B$61:$AJ$122,MATCH(VLOOKUP("*"&amp;$AW39,$A$10:$J$11,$J$9,FALSE)&amp;AN$7,COM_N_2017!$B$58:$AJ$58,0),FALSE),""))</f>
        <v/>
      </c>
      <c r="AO39" s="391" t="str">
        <f ca="1">IFERROR(VLOOKUP($C39,COM_N_2012!$B$61:$AJ$122,MATCH(VLOOKUP("*"&amp;$AW39,$A$10:$J$11,$J$9,FALSE)&amp;AO$7,COM_N_2012!$B$58:$AJ$58,0),FALSE),"")</f>
        <v/>
      </c>
      <c r="AP39" s="391" t="str">
        <f ca="1">IFERROR(VLOOKUP($C39,COM_N_2012!$B$61:$AJ$122,MATCH(VLOOKUP("*"&amp;$AW39,$A$10:$J$11,$J$9,FALSE)&amp;AP$7,COM_N_2012!$B$58:$AJ$58,0),FALSE),"")</f>
        <v/>
      </c>
      <c r="AQ39" s="391" t="str">
        <f ca="1">IFERROR(VLOOKUP($C39,COM_N_2012!$B$61:$AJ$122,MATCH(VLOOKUP("*"&amp;$AW39,$A$10:$J$11,$J$9,FALSE)&amp;AQ$7,COM_N_2012!$B$58:$AJ$58,0),FALSE),"")</f>
        <v/>
      </c>
      <c r="AR39" s="391" t="str">
        <f ca="1">IFERROR(VLOOKUP($C39,COM_N_2012!$B$61:$AJ$122,MATCH(VLOOKUP("*"&amp;$AW39,$A$10:$J$11,$J$9,FALSE)&amp;AR$7,COM_N_2012!$B$58:$AJ$58,0),FALSE),"")</f>
        <v/>
      </c>
      <c r="AS39" s="391" t="str">
        <f ca="1">IFERROR(VLOOKUP($C39,COM_N_2012!$B$61:$AJ$122,MATCH(VLOOKUP("*"&amp;$AW39,$A$10:$J$11,$J$9,FALSE)&amp;AS$7,COM_N_2012!$B$58:$AJ$58,0),FALSE),"")</f>
        <v/>
      </c>
      <c r="AT39" s="391" t="str">
        <f ca="1">IFERROR(VLOOKUP($C39,COM_N_2012!$B$61:$AJ$122,MATCH(VLOOKUP("*"&amp;$AW39,$A$10:$J$11,$J$9,FALSE)&amp;AT$7,COM_N_2012!$B$58:$AJ$58,0),FALSE),"")</f>
        <v/>
      </c>
      <c r="AU39" s="391" t="str">
        <f ca="1">IFERROR(VLOOKUP($C39,COM_N_2012!$B$61:$AJ$122,MATCH(VLOOKUP("*"&amp;$AW39,$A$10:$J$11,$J$9,FALSE)&amp;AU$7,COM_N_2012!$B$58:$AJ$58,0),FALSE),"")</f>
        <v/>
      </c>
      <c r="AV39" s="391" t="str">
        <f ca="1">IFERROR(VLOOKUP($C39,COM_N_2012!$B$61:$AJ$122,MATCH(VLOOKUP("*"&amp;$AW39,$A$10:$J$11,$J$9,FALSE)&amp;AV$7,COM_N_2012!$B$58:$AJ$58,0),FALSE),"")</f>
        <v/>
      </c>
      <c r="AW39" s="304">
        <f>IF(AX38=COM_N_2012!$AK$121,AW38+1,AW38)</f>
        <v>1</v>
      </c>
      <c r="AX39" s="304">
        <f t="shared" si="7"/>
        <v>27</v>
      </c>
    </row>
    <row r="40" spans="1:50">
      <c r="A40" s="304" t="str">
        <f ca="1">IF(LEFT(OFFSET(COM_N_2012!$A$60,AX40,0),2)="\I","*","")</f>
        <v>*</v>
      </c>
      <c r="B40" s="369" t="str">
        <f t="shared" ca="1" si="3"/>
        <v/>
      </c>
      <c r="C40" s="369" t="str">
        <f ca="1">IF($A40="*","",OFFSET(COM_N_2012!$B$60,AX40,0))</f>
        <v/>
      </c>
      <c r="D40" s="369" t="str">
        <f t="shared" ca="1" si="4"/>
        <v/>
      </c>
      <c r="E40" s="369" t="str">
        <f t="shared" ca="1" si="8"/>
        <v/>
      </c>
      <c r="F40" s="370" t="str">
        <f t="shared" ca="1" si="9"/>
        <v/>
      </c>
      <c r="G40" s="370" t="str">
        <f t="shared" ca="1" si="9"/>
        <v/>
      </c>
      <c r="H40" s="370" t="str">
        <f t="shared" ca="1" si="10"/>
        <v/>
      </c>
      <c r="I40" s="370" t="str">
        <f t="shared" ca="1" si="10"/>
        <v/>
      </c>
      <c r="J40" s="391" t="str">
        <f ca="1">IFERROR(VLOOKUP($C40,COM_N_2012!$B$61:$AJ$122,MATCH(VLOOKUP("*"&amp;$AW40,$A$10:$J$11,$J$9,FALSE)&amp;J$7,COM_N_2012!$B$58:$AJ$58,0),FALSE),"")</f>
        <v/>
      </c>
      <c r="K40" s="391" t="str">
        <f ca="1">IFERROR(VLOOKUP($C40,COM_N_2012!$B$61:$AJ$122,MATCH(VLOOKUP("*"&amp;$AW40,$A$10:$J$11,$J$9,FALSE)&amp;K$7,COM_N_2012!$B$58:$AJ$58,0),FALSE),"")</f>
        <v/>
      </c>
      <c r="L40" s="391" t="str">
        <f ca="1">IFERROR(VLOOKUP($C40,COM_N_2012!$B$61:$AJ$122,MATCH(VLOOKUP("*"&amp;$AW40,$A$10:$J$11,$J$9,FALSE)&amp;L$7,COM_N_2012!$B$58:$AJ$58,0),FALSE),"")</f>
        <v/>
      </c>
      <c r="M40" s="391" t="str">
        <f ca="1">IFERROR(VLOOKUP($C40,COM_N_2012!$B$61:$AJ$122,MATCH(VLOOKUP("*"&amp;$AW40,$A$10:$J$11,$J$9,FALSE)&amp;M$7,COM_N_2012!$B$58:$AJ$58,0),FALSE),"")</f>
        <v/>
      </c>
      <c r="N40" s="391" t="str">
        <f ca="1">IFERROR(VLOOKUP($C40,COM_N_2012!$B$61:$AJ$122,MATCH(VLOOKUP("*"&amp;$AW40,$A$10:$J$11,$J$9,FALSE)&amp;N$7,COM_N_2012!$B$58:$AJ$58,0),FALSE),"")</f>
        <v/>
      </c>
      <c r="O40" s="391" t="str">
        <f ca="1">IF($A40="*","",IFERROR(VLOOKUP($C40,COM_N_2017!$B$61:$AJ$122,MATCH(VLOOKUP("*"&amp;$AW40,$A$10:$J$11,$J$9,FALSE)&amp;O$7,COM_N_2017!$B$58:$AJ$58,0),FALSE),""))</f>
        <v/>
      </c>
      <c r="P40" s="391" t="str">
        <f ca="1">IFERROR(VLOOKUP($C40,COM_N_2012!$B$61:$AJ$122,MATCH(VLOOKUP("*"&amp;$AW40,$A$10:$J$11,$J$9,FALSE)&amp;P$7,COM_N_2012!$B$58:$AJ$58,0),FALSE),"")</f>
        <v/>
      </c>
      <c r="Q40" s="391" t="str">
        <f ca="1">IFERROR(VLOOKUP($C40,COM_N_2012!$B$61:$AJ$122,MATCH(VLOOKUP("*"&amp;$AW40,$A$10:$J$11,$J$9,FALSE)&amp;Q$7,COM_N_2012!$B$58:$AJ$58,0),FALSE),"")</f>
        <v/>
      </c>
      <c r="R40" s="391" t="str">
        <f ca="1">IF($A40="*","",IFERROR(VLOOKUP($C40,COM_N_2017!$B$61:$AJ$122,MATCH(VLOOKUP("*"&amp;$AW40,$A$10:$J$11,$J$9,FALSE)&amp;R$7,COM_N_2017!$B$58:$AJ$58,0),FALSE),""))</f>
        <v/>
      </c>
      <c r="S40" s="391" t="str">
        <f ca="1">IFERROR(VLOOKUP($C40,COM_N_2012!$B$61:$AJ$122,MATCH(VLOOKUP("*"&amp;$AW40,$A$10:$J$11,$J$9,FALSE)&amp;S$7,COM_N_2012!$B$58:$AJ$58,0),FALSE),"")</f>
        <v/>
      </c>
      <c r="T40" s="391" t="str">
        <f ca="1">IFERROR(VLOOKUP($C40,COM_N_2012!$B$61:$AJ$122,MATCH(VLOOKUP("*"&amp;$AW40,$A$10:$J$11,$J$9,FALSE)&amp;T$7,COM_N_2012!$B$58:$AJ$58,0),FALSE),"")</f>
        <v/>
      </c>
      <c r="U40" s="391" t="str">
        <f ca="1">IFERROR(VLOOKUP($C40,COM_N_2012!$B$61:$AJ$122,MATCH(VLOOKUP("*"&amp;$AW40,$A$10:$J$11,$J$9,FALSE)&amp;U$7,COM_N_2012!$B$58:$AJ$58,0),FALSE),"")</f>
        <v/>
      </c>
      <c r="V40" s="391" t="str">
        <f ca="1">IFERROR(VLOOKUP($C40,COM_N_2012!$B$61:$AJ$122,MATCH(VLOOKUP("*"&amp;$AW40,$A$10:$J$11,$J$9,FALSE)&amp;V$7,COM_N_2012!$B$58:$AJ$58,0),FALSE),"")</f>
        <v/>
      </c>
      <c r="W40" s="391" t="str">
        <f ca="1">IF($A40="*","",IFERROR(VLOOKUP($C40,COM_N_2017!$B$61:$AJ$122,MATCH(VLOOKUP("*"&amp;$AW40,$A$10:$J$11,$J$9,FALSE)&amp;W$7,COM_N_2017!$B$58:$AJ$58,0),FALSE),""))</f>
        <v/>
      </c>
      <c r="X40" s="391" t="str">
        <f ca="1">IFERROR(VLOOKUP($C40,COM_N_2012!$B$61:$AJ$122,MATCH(VLOOKUP("*"&amp;$AW40,$A$10:$J$11,$J$9,FALSE)&amp;X$7,COM_N_2012!$B$58:$AJ$58,0),FALSE),"")</f>
        <v/>
      </c>
      <c r="Y40" s="391" t="str">
        <f ca="1">IFERROR(VLOOKUP($C40,COM_N_2012!$B$61:$AJ$122,MATCH(VLOOKUP("*"&amp;$AW40,$A$10:$J$11,$J$9,FALSE)&amp;Y$7,COM_N_2012!$B$58:$AJ$58,0),FALSE),"")</f>
        <v/>
      </c>
      <c r="Z40" s="391" t="str">
        <f ca="1">IFERROR(VLOOKUP($C40,COM_N_2012!$B$61:$AJ$122,MATCH(VLOOKUP("*"&amp;$AW40,$A$10:$J$11,$J$9,FALSE)&amp;Z$7,COM_N_2012!$B$58:$AJ$58,0),FALSE),"")</f>
        <v/>
      </c>
      <c r="AA40" s="391" t="str">
        <f ca="1">IFERROR(VLOOKUP($C40,COM_N_2012!$B$61:$AJ$122,MATCH(VLOOKUP("*"&amp;$AW40,$A$10:$J$11,$J$9,FALSE)&amp;AA$7,COM_N_2012!$B$58:$AJ$58,0),FALSE),"")</f>
        <v/>
      </c>
      <c r="AB40" s="391" t="str">
        <f ca="1">IF($A40="*","",IFERROR(VLOOKUP($C40,COM_N_2017!$B$61:$AJ$122,MATCH(VLOOKUP("*"&amp;$AW40,$A$10:$J$11,$J$9,FALSE)&amp;AB$7,COM_N_2017!$B$58:$AJ$58,0),FALSE),""))</f>
        <v/>
      </c>
      <c r="AC40" s="391" t="str">
        <f ca="1">IFERROR(VLOOKUP($C40,COM_N_2012!$B$61:$AJ$122,MATCH(VLOOKUP("*"&amp;$AW40,$A$10:$J$11,$J$9,FALSE)&amp;AC$7,COM_N_2012!$B$58:$AJ$58,0),FALSE),"")</f>
        <v/>
      </c>
      <c r="AD40" s="391" t="str">
        <f ca="1">IFERROR(VLOOKUP($C40,COM_N_2012!$B$61:$AJ$122,MATCH(VLOOKUP("*"&amp;$AW40,$A$10:$J$11,$J$9,FALSE)&amp;AD$7,COM_N_2012!$B$58:$AJ$58,0),FALSE),"")</f>
        <v/>
      </c>
      <c r="AE40" s="391" t="str">
        <f ca="1">IFERROR(VLOOKUP($C40,COM_N_2012!$B$61:$AJ$122,MATCH(VLOOKUP("*"&amp;$AW40,$A$10:$J$11,$J$9,FALSE)&amp;AE$7,COM_N_2012!$B$58:$AJ$58,0),FALSE),"")</f>
        <v/>
      </c>
      <c r="AF40" s="391" t="str">
        <f ca="1">IFERROR(VLOOKUP($C40,COM_N_2012!$B$61:$AJ$122,MATCH(VLOOKUP("*"&amp;$AW40,$A$10:$J$11,$J$9,FALSE)&amp;AF$7,COM_N_2012!$B$58:$AJ$58,0),FALSE),"")</f>
        <v/>
      </c>
      <c r="AG40" s="391" t="str">
        <f ca="1">IF($A40="*","",IFERROR(VLOOKUP($C40,COM_N_2017!$B$61:$AJ$122,MATCH(VLOOKUP("*"&amp;$AW40,$A$10:$J$11,$J$9,FALSE)&amp;AG$7,COM_N_2017!$B$58:$AJ$58,0),FALSE),""))</f>
        <v/>
      </c>
      <c r="AH40" s="391" t="str">
        <f ca="1">IFERROR(VLOOKUP($C40,COM_N_2012!$B$61:$AJ$122,MATCH(VLOOKUP("*"&amp;$AW40,$A$10:$J$11,$J$9,FALSE)&amp;AH$7,COM_N_2012!$B$58:$AJ$58,0),FALSE),"")</f>
        <v/>
      </c>
      <c r="AI40" s="391" t="str">
        <f ca="1">IFERROR(VLOOKUP($C40,COM_N_2012!$B$61:$AJ$122,MATCH(VLOOKUP("*"&amp;$AW40,$A$10:$J$11,$J$9,FALSE)&amp;AI$7,COM_N_2012!$B$58:$AJ$58,0),FALSE),"")</f>
        <v/>
      </c>
      <c r="AJ40" s="391" t="str">
        <f ca="1">IFERROR(VLOOKUP($C40,COM_N_2012!$B$61:$AJ$122,MATCH(VLOOKUP("*"&amp;$AW40,$A$10:$J$11,$J$9,FALSE)&amp;AJ$7,COM_N_2012!$B$58:$AJ$58,0),FALSE),"")</f>
        <v/>
      </c>
      <c r="AK40" s="391" t="str">
        <f ca="1">IFERROR(VLOOKUP($C40,COM_N_2012!$B$61:$AJ$122,MATCH(VLOOKUP("*"&amp;$AW40,$A$10:$J$11,$J$9,FALSE)&amp;AK$7,COM_N_2012!$B$58:$AJ$58,0),FALSE),"")</f>
        <v/>
      </c>
      <c r="AL40" s="391" t="str">
        <f ca="1">IF($A40="*","",IFERROR(VLOOKUP($C40,COM_N_2017!$B$61:$AJ$122,MATCH(VLOOKUP("*"&amp;$AW40,$A$10:$J$11,$J$9,FALSE)&amp;AL$7,COM_N_2017!$B$58:$AJ$58,0),FALSE),""))</f>
        <v/>
      </c>
      <c r="AM40" s="391" t="str">
        <f ca="1">IF($A40="*","",IFERROR(VLOOKUP($C40,COM_N_2017!$B$61:$AJ$122,MATCH(VLOOKUP("*"&amp;$AW40,$A$10:$J$11,$J$9,FALSE)&amp;AM$7,COM_N_2017!$B$58:$AJ$58,0),FALSE),""))</f>
        <v/>
      </c>
      <c r="AN40" s="391" t="str">
        <f ca="1">IF($A40="*","",IFERROR(VLOOKUP($C40,COM_N_2017!$B$61:$AJ$122,MATCH(VLOOKUP("*"&amp;$AW40,$A$10:$J$11,$J$9,FALSE)&amp;AN$7,COM_N_2017!$B$58:$AJ$58,0),FALSE),""))</f>
        <v/>
      </c>
      <c r="AO40" s="391" t="str">
        <f ca="1">IFERROR(VLOOKUP($C40,COM_N_2012!$B$61:$AJ$122,MATCH(VLOOKUP("*"&amp;$AW40,$A$10:$J$11,$J$9,FALSE)&amp;AO$7,COM_N_2012!$B$58:$AJ$58,0),FALSE),"")</f>
        <v/>
      </c>
      <c r="AP40" s="391" t="str">
        <f ca="1">IFERROR(VLOOKUP($C40,COM_N_2012!$B$61:$AJ$122,MATCH(VLOOKUP("*"&amp;$AW40,$A$10:$J$11,$J$9,FALSE)&amp;AP$7,COM_N_2012!$B$58:$AJ$58,0),FALSE),"")</f>
        <v/>
      </c>
      <c r="AQ40" s="391" t="str">
        <f ca="1">IFERROR(VLOOKUP($C40,COM_N_2012!$B$61:$AJ$122,MATCH(VLOOKUP("*"&amp;$AW40,$A$10:$J$11,$J$9,FALSE)&amp;AQ$7,COM_N_2012!$B$58:$AJ$58,0),FALSE),"")</f>
        <v/>
      </c>
      <c r="AR40" s="391" t="str">
        <f ca="1">IFERROR(VLOOKUP($C40,COM_N_2012!$B$61:$AJ$122,MATCH(VLOOKUP("*"&amp;$AW40,$A$10:$J$11,$J$9,FALSE)&amp;AR$7,COM_N_2012!$B$58:$AJ$58,0),FALSE),"")</f>
        <v/>
      </c>
      <c r="AS40" s="391" t="str">
        <f ca="1">IFERROR(VLOOKUP($C40,COM_N_2012!$B$61:$AJ$122,MATCH(VLOOKUP("*"&amp;$AW40,$A$10:$J$11,$J$9,FALSE)&amp;AS$7,COM_N_2012!$B$58:$AJ$58,0),FALSE),"")</f>
        <v/>
      </c>
      <c r="AT40" s="391" t="str">
        <f ca="1">IFERROR(VLOOKUP($C40,COM_N_2012!$B$61:$AJ$122,MATCH(VLOOKUP("*"&amp;$AW40,$A$10:$J$11,$J$9,FALSE)&amp;AT$7,COM_N_2012!$B$58:$AJ$58,0),FALSE),"")</f>
        <v/>
      </c>
      <c r="AU40" s="391" t="str">
        <f ca="1">IFERROR(VLOOKUP($C40,COM_N_2012!$B$61:$AJ$122,MATCH(VLOOKUP("*"&amp;$AW40,$A$10:$J$11,$J$9,FALSE)&amp;AU$7,COM_N_2012!$B$58:$AJ$58,0),FALSE),"")</f>
        <v/>
      </c>
      <c r="AV40" s="391" t="str">
        <f ca="1">IFERROR(VLOOKUP($C40,COM_N_2012!$B$61:$AJ$122,MATCH(VLOOKUP("*"&amp;$AW40,$A$10:$J$11,$J$9,FALSE)&amp;AV$7,COM_N_2012!$B$58:$AJ$58,0),FALSE),"")</f>
        <v/>
      </c>
      <c r="AW40" s="304">
        <f>IF(AX39=COM_N_2012!$AK$121,AW39+1,AW39)</f>
        <v>1</v>
      </c>
      <c r="AX40" s="304">
        <f t="shared" si="7"/>
        <v>28</v>
      </c>
    </row>
    <row r="41" spans="1:50">
      <c r="A41" s="304" t="str">
        <f ca="1">IF(LEFT(OFFSET(COM_N_2012!$A$60,AX41,0),2)="\I","*","")</f>
        <v/>
      </c>
      <c r="B41" s="369" t="str">
        <f t="shared" ca="1" si="3"/>
        <v>FLO_MRKPRD</v>
      </c>
      <c r="C41" s="369" t="str">
        <f ca="1">IF($A41="*","",OFFSET(COM_N_2012!$B$60,AX41,0))</f>
        <v>CNRELC-E</v>
      </c>
      <c r="D41" s="369" t="str">
        <f t="shared" ca="1" si="4"/>
        <v>CNR</v>
      </c>
      <c r="E41" s="369" t="str">
        <f t="shared" ca="1" si="8"/>
        <v>-</v>
      </c>
      <c r="F41" s="370" t="str">
        <f t="shared" ca="1" si="9"/>
        <v>-</v>
      </c>
      <c r="G41" s="370" t="str">
        <f t="shared" ca="1" si="9"/>
        <v>ANNUAL</v>
      </c>
      <c r="H41" s="370" t="str">
        <f t="shared" ca="1" si="10"/>
        <v>UP</v>
      </c>
      <c r="I41" s="370">
        <f t="shared" ca="1" si="10"/>
        <v>0</v>
      </c>
      <c r="J41" s="391">
        <f ca="1">IFERROR(VLOOKUP($C41,COM_N_2012!$B$61:$AJ$122,MATCH(VLOOKUP("*"&amp;$AW41,$A$10:$J$11,$J$9,FALSE)&amp;J$7,COM_N_2012!$B$58:$AJ$58,0),FALSE),"")</f>
        <v>1</v>
      </c>
      <c r="K41" s="391" t="str">
        <f ca="1">IFERROR(VLOOKUP($C41,COM_N_2012!$B$61:$AJ$122,MATCH(VLOOKUP("*"&amp;$AW41,$A$10:$J$11,$J$9,FALSE)&amp;K$7,COM_N_2012!$B$58:$AJ$58,0),FALSE),"")</f>
        <v/>
      </c>
      <c r="L41" s="391" t="str">
        <f ca="1">IFERROR(VLOOKUP($C41,COM_N_2012!$B$61:$AJ$122,MATCH(VLOOKUP("*"&amp;$AW41,$A$10:$J$11,$J$9,FALSE)&amp;L$7,COM_N_2012!$B$58:$AJ$58,0),FALSE),"")</f>
        <v/>
      </c>
      <c r="M41" s="391">
        <f ca="1">IFERROR(VLOOKUP($C41,COM_N_2012!$B$61:$AJ$122,MATCH(VLOOKUP("*"&amp;$AW41,$A$10:$J$11,$J$9,FALSE)&amp;M$7,COM_N_2012!$B$58:$AJ$58,0),FALSE),"")</f>
        <v>1</v>
      </c>
      <c r="N41" s="391" t="str">
        <f ca="1">IFERROR(VLOOKUP($C41,COM_N_2012!$B$61:$AJ$122,MATCH(VLOOKUP("*"&amp;$AW41,$A$10:$J$11,$J$9,FALSE)&amp;N$7,COM_N_2012!$B$58:$AJ$58,0),FALSE),"")</f>
        <v/>
      </c>
      <c r="O41" s="391">
        <f ca="1">IF($A41="*","",IFERROR(VLOOKUP($C41,COM_N_2017!$B$61:$AJ$122,MATCH(VLOOKUP("*"&amp;$AW41,$A$10:$J$11,$J$9,FALSE)&amp;O$7,COM_N_2017!$B$58:$AJ$58,0),FALSE),""))</f>
        <v>1</v>
      </c>
      <c r="P41" s="391" t="str">
        <f ca="1">IFERROR(VLOOKUP($C41,COM_N_2012!$B$61:$AJ$122,MATCH(VLOOKUP("*"&amp;$AW41,$A$10:$J$11,$J$9,FALSE)&amp;P$7,COM_N_2012!$B$58:$AJ$58,0),FALSE),"")</f>
        <v/>
      </c>
      <c r="Q41" s="391" t="str">
        <f ca="1">IFERROR(VLOOKUP($C41,COM_N_2012!$B$61:$AJ$122,MATCH(VLOOKUP("*"&amp;$AW41,$A$10:$J$11,$J$9,FALSE)&amp;Q$7,COM_N_2012!$B$58:$AJ$58,0),FALSE),"")</f>
        <v/>
      </c>
      <c r="R41" s="391">
        <f ca="1">IF($A41="*","",IFERROR(VLOOKUP($C41,COM_N_2017!$B$61:$AJ$122,MATCH(VLOOKUP("*"&amp;$AW41,$A$10:$J$11,$J$9,FALSE)&amp;R$7,COM_N_2017!$B$58:$AJ$58,0),FALSE),""))</f>
        <v>1</v>
      </c>
      <c r="S41" s="391" t="str">
        <f ca="1">IFERROR(VLOOKUP($C41,COM_N_2012!$B$61:$AJ$122,MATCH(VLOOKUP("*"&amp;$AW41,$A$10:$J$11,$J$9,FALSE)&amp;S$7,COM_N_2012!$B$58:$AJ$58,0),FALSE),"")</f>
        <v/>
      </c>
      <c r="T41" s="391" t="str">
        <f ca="1">IFERROR(VLOOKUP($C41,COM_N_2012!$B$61:$AJ$122,MATCH(VLOOKUP("*"&amp;$AW41,$A$10:$J$11,$J$9,FALSE)&amp;T$7,COM_N_2012!$B$58:$AJ$58,0),FALSE),"")</f>
        <v/>
      </c>
      <c r="U41" s="391" t="str">
        <f ca="1">IFERROR(VLOOKUP($C41,COM_N_2012!$B$61:$AJ$122,MATCH(VLOOKUP("*"&amp;$AW41,$A$10:$J$11,$J$9,FALSE)&amp;U$7,COM_N_2012!$B$58:$AJ$58,0),FALSE),"")</f>
        <v/>
      </c>
      <c r="V41" s="391" t="str">
        <f ca="1">IFERROR(VLOOKUP($C41,COM_N_2012!$B$61:$AJ$122,MATCH(VLOOKUP("*"&amp;$AW41,$A$10:$J$11,$J$9,FALSE)&amp;V$7,COM_N_2012!$B$58:$AJ$58,0),FALSE),"")</f>
        <v/>
      </c>
      <c r="W41" s="391">
        <f ca="1">IF($A41="*","",IFERROR(VLOOKUP($C41,COM_N_2017!$B$61:$AJ$122,MATCH(VLOOKUP("*"&amp;$AW41,$A$10:$J$11,$J$9,FALSE)&amp;W$7,COM_N_2017!$B$58:$AJ$58,0),FALSE),""))</f>
        <v>1</v>
      </c>
      <c r="X41" s="391" t="str">
        <f ca="1">IFERROR(VLOOKUP($C41,COM_N_2012!$B$61:$AJ$122,MATCH(VLOOKUP("*"&amp;$AW41,$A$10:$J$11,$J$9,FALSE)&amp;X$7,COM_N_2012!$B$58:$AJ$58,0),FALSE),"")</f>
        <v/>
      </c>
      <c r="Y41" s="391" t="str">
        <f ca="1">IFERROR(VLOOKUP($C41,COM_N_2012!$B$61:$AJ$122,MATCH(VLOOKUP("*"&amp;$AW41,$A$10:$J$11,$J$9,FALSE)&amp;Y$7,COM_N_2012!$B$58:$AJ$58,0),FALSE),"")</f>
        <v/>
      </c>
      <c r="Z41" s="391" t="str">
        <f ca="1">IFERROR(VLOOKUP($C41,COM_N_2012!$B$61:$AJ$122,MATCH(VLOOKUP("*"&amp;$AW41,$A$10:$J$11,$J$9,FALSE)&amp;Z$7,COM_N_2012!$B$58:$AJ$58,0),FALSE),"")</f>
        <v/>
      </c>
      <c r="AA41" s="391" t="str">
        <f ca="1">IFERROR(VLOOKUP($C41,COM_N_2012!$B$61:$AJ$122,MATCH(VLOOKUP("*"&amp;$AW41,$A$10:$J$11,$J$9,FALSE)&amp;AA$7,COM_N_2012!$B$58:$AJ$58,0),FALSE),"")</f>
        <v/>
      </c>
      <c r="AB41" s="391">
        <f ca="1">IF($A41="*","",IFERROR(VLOOKUP($C41,COM_N_2017!$B$61:$AJ$122,MATCH(VLOOKUP("*"&amp;$AW41,$A$10:$J$11,$J$9,FALSE)&amp;AB$7,COM_N_2017!$B$58:$AJ$58,0),FALSE),""))</f>
        <v>1</v>
      </c>
      <c r="AC41" s="391" t="str">
        <f ca="1">IFERROR(VLOOKUP($C41,COM_N_2012!$B$61:$AJ$122,MATCH(VLOOKUP("*"&amp;$AW41,$A$10:$J$11,$J$9,FALSE)&amp;AC$7,COM_N_2012!$B$58:$AJ$58,0),FALSE),"")</f>
        <v/>
      </c>
      <c r="AD41" s="391" t="str">
        <f ca="1">IFERROR(VLOOKUP($C41,COM_N_2012!$B$61:$AJ$122,MATCH(VLOOKUP("*"&amp;$AW41,$A$10:$J$11,$J$9,FALSE)&amp;AD$7,COM_N_2012!$B$58:$AJ$58,0),FALSE),"")</f>
        <v/>
      </c>
      <c r="AE41" s="391" t="str">
        <f ca="1">IFERROR(VLOOKUP($C41,COM_N_2012!$B$61:$AJ$122,MATCH(VLOOKUP("*"&amp;$AW41,$A$10:$J$11,$J$9,FALSE)&amp;AE$7,COM_N_2012!$B$58:$AJ$58,0),FALSE),"")</f>
        <v/>
      </c>
      <c r="AF41" s="391" t="str">
        <f ca="1">IFERROR(VLOOKUP($C41,COM_N_2012!$B$61:$AJ$122,MATCH(VLOOKUP("*"&amp;$AW41,$A$10:$J$11,$J$9,FALSE)&amp;AF$7,COM_N_2012!$B$58:$AJ$58,0),FALSE),"")</f>
        <v/>
      </c>
      <c r="AG41" s="391">
        <f ca="1">IF($A41="*","",IFERROR(VLOOKUP($C41,COM_N_2017!$B$61:$AJ$122,MATCH(VLOOKUP("*"&amp;$AW41,$A$10:$J$11,$J$9,FALSE)&amp;AG$7,COM_N_2017!$B$58:$AJ$58,0),FALSE),""))</f>
        <v>1</v>
      </c>
      <c r="AH41" s="391" t="str">
        <f ca="1">IFERROR(VLOOKUP($C41,COM_N_2012!$B$61:$AJ$122,MATCH(VLOOKUP("*"&amp;$AW41,$A$10:$J$11,$J$9,FALSE)&amp;AH$7,COM_N_2012!$B$58:$AJ$58,0),FALSE),"")</f>
        <v/>
      </c>
      <c r="AI41" s="391" t="str">
        <f ca="1">IFERROR(VLOOKUP($C41,COM_N_2012!$B$61:$AJ$122,MATCH(VLOOKUP("*"&amp;$AW41,$A$10:$J$11,$J$9,FALSE)&amp;AI$7,COM_N_2012!$B$58:$AJ$58,0),FALSE),"")</f>
        <v/>
      </c>
      <c r="AJ41" s="391" t="str">
        <f ca="1">IFERROR(VLOOKUP($C41,COM_N_2012!$B$61:$AJ$122,MATCH(VLOOKUP("*"&amp;$AW41,$A$10:$J$11,$J$9,FALSE)&amp;AJ$7,COM_N_2012!$B$58:$AJ$58,0),FALSE),"")</f>
        <v/>
      </c>
      <c r="AK41" s="391" t="str">
        <f ca="1">IFERROR(VLOOKUP($C41,COM_N_2012!$B$61:$AJ$122,MATCH(VLOOKUP("*"&amp;$AW41,$A$10:$J$11,$J$9,FALSE)&amp;AK$7,COM_N_2012!$B$58:$AJ$58,0),FALSE),"")</f>
        <v/>
      </c>
      <c r="AL41" s="391">
        <f ca="1">IF($A41="*","",IFERROR(VLOOKUP($C41,COM_N_2017!$B$61:$AJ$122,MATCH(VLOOKUP("*"&amp;$AW41,$A$10:$J$11,$J$9,FALSE)&amp;AL$7,COM_N_2017!$B$58:$AJ$58,0),FALSE),""))</f>
        <v>1</v>
      </c>
      <c r="AM41" s="391">
        <f ca="1">IF($A41="*","",IFERROR(VLOOKUP($C41,COM_N_2017!$B$61:$AJ$122,MATCH(VLOOKUP("*"&amp;$AW41,$A$10:$J$11,$J$9,FALSE)&amp;AM$7,COM_N_2017!$B$58:$AJ$58,0),FALSE),""))</f>
        <v>1</v>
      </c>
      <c r="AN41" s="391">
        <f ca="1">IF($A41="*","",IFERROR(VLOOKUP($C41,COM_N_2017!$B$61:$AJ$122,MATCH(VLOOKUP("*"&amp;$AW41,$A$10:$J$11,$J$9,FALSE)&amp;AN$7,COM_N_2017!$B$58:$AJ$58,0),FALSE),""))</f>
        <v>1</v>
      </c>
      <c r="AO41" s="391" t="str">
        <f ca="1">IFERROR(VLOOKUP($C41,COM_N_2012!$B$61:$AJ$122,MATCH(VLOOKUP("*"&amp;$AW41,$A$10:$J$11,$J$9,FALSE)&amp;AO$7,COM_N_2012!$B$58:$AJ$58,0),FALSE),"")</f>
        <v/>
      </c>
      <c r="AP41" s="391" t="str">
        <f ca="1">IFERROR(VLOOKUP($C41,COM_N_2012!$B$61:$AJ$122,MATCH(VLOOKUP("*"&amp;$AW41,$A$10:$J$11,$J$9,FALSE)&amp;AP$7,COM_N_2012!$B$58:$AJ$58,0),FALSE),"")</f>
        <v/>
      </c>
      <c r="AQ41" s="391" t="str">
        <f ca="1">IFERROR(VLOOKUP($C41,COM_N_2012!$B$61:$AJ$122,MATCH(VLOOKUP("*"&amp;$AW41,$A$10:$J$11,$J$9,FALSE)&amp;AQ$7,COM_N_2012!$B$58:$AJ$58,0),FALSE),"")</f>
        <v/>
      </c>
      <c r="AR41" s="391" t="str">
        <f ca="1">IFERROR(VLOOKUP($C41,COM_N_2012!$B$61:$AJ$122,MATCH(VLOOKUP("*"&amp;$AW41,$A$10:$J$11,$J$9,FALSE)&amp;AR$7,COM_N_2012!$B$58:$AJ$58,0),FALSE),"")</f>
        <v/>
      </c>
      <c r="AS41" s="391" t="str">
        <f ca="1">IFERROR(VLOOKUP($C41,COM_N_2012!$B$61:$AJ$122,MATCH(VLOOKUP("*"&amp;$AW41,$A$10:$J$11,$J$9,FALSE)&amp;AS$7,COM_N_2012!$B$58:$AJ$58,0),FALSE),"")</f>
        <v/>
      </c>
      <c r="AT41" s="391" t="str">
        <f ca="1">IFERROR(VLOOKUP($C41,COM_N_2012!$B$61:$AJ$122,MATCH(VLOOKUP("*"&amp;$AW41,$A$10:$J$11,$J$9,FALSE)&amp;AT$7,COM_N_2012!$B$58:$AJ$58,0),FALSE),"")</f>
        <v/>
      </c>
      <c r="AU41" s="391" t="str">
        <f ca="1">IFERROR(VLOOKUP($C41,COM_N_2012!$B$61:$AJ$122,MATCH(VLOOKUP("*"&amp;$AW41,$A$10:$J$11,$J$9,FALSE)&amp;AU$7,COM_N_2012!$B$58:$AJ$58,0),FALSE),"")</f>
        <v/>
      </c>
      <c r="AV41" s="391" t="str">
        <f ca="1">IFERROR(VLOOKUP($C41,COM_N_2012!$B$61:$AJ$122,MATCH(VLOOKUP("*"&amp;$AW41,$A$10:$J$11,$J$9,FALSE)&amp;AV$7,COM_N_2012!$B$58:$AJ$58,0),FALSE),"")</f>
        <v/>
      </c>
      <c r="AW41" s="304">
        <f>IF(AX40=COM_N_2012!$AK$121,AW40+1,AW40)</f>
        <v>1</v>
      </c>
      <c r="AX41" s="304">
        <f t="shared" si="7"/>
        <v>29</v>
      </c>
    </row>
    <row r="42" spans="1:50">
      <c r="A42" s="304" t="str">
        <f ca="1">IF(LEFT(OFFSET(COM_N_2012!$A$60,AX42,0),2)="\I","*","")</f>
        <v/>
      </c>
      <c r="B42" s="369" t="str">
        <f t="shared" ca="1" si="3"/>
        <v>FLO_MRKPRD</v>
      </c>
      <c r="C42" s="369" t="str">
        <f ca="1">IF($A42="*","",OFFSET(COM_N_2012!$B$60,AX42,0))</f>
        <v>CNRELC-N</v>
      </c>
      <c r="D42" s="369" t="str">
        <f t="shared" ca="1" si="4"/>
        <v>CNR</v>
      </c>
      <c r="E42" s="369" t="str">
        <f t="shared" ca="1" si="8"/>
        <v>-</v>
      </c>
      <c r="F42" s="370" t="str">
        <f t="shared" ca="1" si="9"/>
        <v>-</v>
      </c>
      <c r="G42" s="370" t="str">
        <f t="shared" ca="1" si="9"/>
        <v>ANNUAL</v>
      </c>
      <c r="H42" s="370" t="str">
        <f t="shared" ca="1" si="10"/>
        <v>UP</v>
      </c>
      <c r="I42" s="370">
        <f t="shared" ca="1" si="10"/>
        <v>0</v>
      </c>
      <c r="J42" s="391">
        <f ca="1">IFERROR(VLOOKUP($C42,COM_N_2012!$B$61:$AJ$122,MATCH(VLOOKUP("*"&amp;$AW42,$A$10:$J$11,$J$9,FALSE)&amp;J$7,COM_N_2012!$B$58:$AJ$58,0),FALSE),"")</f>
        <v>0</v>
      </c>
      <c r="K42" s="391" t="str">
        <f ca="1">IFERROR(VLOOKUP($C42,COM_N_2012!$B$61:$AJ$122,MATCH(VLOOKUP("*"&amp;$AW42,$A$10:$J$11,$J$9,FALSE)&amp;K$7,COM_N_2012!$B$58:$AJ$58,0),FALSE),"")</f>
        <v/>
      </c>
      <c r="L42" s="391" t="str">
        <f ca="1">IFERROR(VLOOKUP($C42,COM_N_2012!$B$61:$AJ$122,MATCH(VLOOKUP("*"&amp;$AW42,$A$10:$J$11,$J$9,FALSE)&amp;L$7,COM_N_2012!$B$58:$AJ$58,0),FALSE),"")</f>
        <v/>
      </c>
      <c r="M42" s="391">
        <f ca="1">IFERROR(VLOOKUP($C42,COM_N_2012!$B$61:$AJ$122,MATCH(VLOOKUP("*"&amp;$AW42,$A$10:$J$11,$J$9,FALSE)&amp;M$7,COM_N_2012!$B$58:$AJ$58,0),FALSE),"")</f>
        <v>0</v>
      </c>
      <c r="N42" s="391" t="str">
        <f ca="1">IFERROR(VLOOKUP($C42,COM_N_2012!$B$61:$AJ$122,MATCH(VLOOKUP("*"&amp;$AW42,$A$10:$J$11,$J$9,FALSE)&amp;N$7,COM_N_2012!$B$58:$AJ$58,0),FALSE),"")</f>
        <v/>
      </c>
      <c r="O42" s="391">
        <f ca="1">IF($A42="*","",IFERROR(VLOOKUP($C42,COM_N_2017!$B$61:$AJ$122,MATCH(VLOOKUP("*"&amp;$AW42,$A$10:$J$11,$J$9,FALSE)&amp;O$7,COM_N_2017!$B$58:$AJ$58,0),FALSE),""))</f>
        <v>0</v>
      </c>
      <c r="P42" s="391" t="str">
        <f ca="1">IFERROR(VLOOKUP($C42,COM_N_2012!$B$61:$AJ$122,MATCH(VLOOKUP("*"&amp;$AW42,$A$10:$J$11,$J$9,FALSE)&amp;P$7,COM_N_2012!$B$58:$AJ$58,0),FALSE),"")</f>
        <v/>
      </c>
      <c r="Q42" s="391" t="str">
        <f ca="1">IFERROR(VLOOKUP($C42,COM_N_2012!$B$61:$AJ$122,MATCH(VLOOKUP("*"&amp;$AW42,$A$10:$J$11,$J$9,FALSE)&amp;Q$7,COM_N_2012!$B$58:$AJ$58,0),FALSE),"")</f>
        <v/>
      </c>
      <c r="R42" s="391">
        <f ca="1">IF($A42="*","",IFERROR(VLOOKUP($C42,COM_N_2017!$B$61:$AJ$122,MATCH(VLOOKUP("*"&amp;$AW42,$A$10:$J$11,$J$9,FALSE)&amp;R$7,COM_N_2017!$B$58:$AJ$58,0),FALSE),""))</f>
        <v>0.03</v>
      </c>
      <c r="S42" s="391" t="str">
        <f ca="1">IFERROR(VLOOKUP($C42,COM_N_2012!$B$61:$AJ$122,MATCH(VLOOKUP("*"&amp;$AW42,$A$10:$J$11,$J$9,FALSE)&amp;S$7,COM_N_2012!$B$58:$AJ$58,0),FALSE),"")</f>
        <v/>
      </c>
      <c r="T42" s="391" t="str">
        <f ca="1">IFERROR(VLOOKUP($C42,COM_N_2012!$B$61:$AJ$122,MATCH(VLOOKUP("*"&amp;$AW42,$A$10:$J$11,$J$9,FALSE)&amp;T$7,COM_N_2012!$B$58:$AJ$58,0),FALSE),"")</f>
        <v/>
      </c>
      <c r="U42" s="391" t="str">
        <f ca="1">IFERROR(VLOOKUP($C42,COM_N_2012!$B$61:$AJ$122,MATCH(VLOOKUP("*"&amp;$AW42,$A$10:$J$11,$J$9,FALSE)&amp;U$7,COM_N_2012!$B$58:$AJ$58,0),FALSE),"")</f>
        <v/>
      </c>
      <c r="V42" s="391" t="str">
        <f ca="1">IFERROR(VLOOKUP($C42,COM_N_2012!$B$61:$AJ$122,MATCH(VLOOKUP("*"&amp;$AW42,$A$10:$J$11,$J$9,FALSE)&amp;V$7,COM_N_2012!$B$58:$AJ$58,0),FALSE),"")</f>
        <v/>
      </c>
      <c r="W42" s="391">
        <f ca="1">IF($A42="*","",IFERROR(VLOOKUP($C42,COM_N_2017!$B$61:$AJ$122,MATCH(VLOOKUP("*"&amp;$AW42,$A$10:$J$11,$J$9,FALSE)&amp;W$7,COM_N_2017!$B$58:$AJ$58,0),FALSE),""))</f>
        <v>0.1</v>
      </c>
      <c r="X42" s="391" t="str">
        <f ca="1">IFERROR(VLOOKUP($C42,COM_N_2012!$B$61:$AJ$122,MATCH(VLOOKUP("*"&amp;$AW42,$A$10:$J$11,$J$9,FALSE)&amp;X$7,COM_N_2012!$B$58:$AJ$58,0),FALSE),"")</f>
        <v/>
      </c>
      <c r="Y42" s="391" t="str">
        <f ca="1">IFERROR(VLOOKUP($C42,COM_N_2012!$B$61:$AJ$122,MATCH(VLOOKUP("*"&amp;$AW42,$A$10:$J$11,$J$9,FALSE)&amp;Y$7,COM_N_2012!$B$58:$AJ$58,0),FALSE),"")</f>
        <v/>
      </c>
      <c r="Z42" s="391" t="str">
        <f ca="1">IFERROR(VLOOKUP($C42,COM_N_2012!$B$61:$AJ$122,MATCH(VLOOKUP("*"&amp;$AW42,$A$10:$J$11,$J$9,FALSE)&amp;Z$7,COM_N_2012!$B$58:$AJ$58,0),FALSE),"")</f>
        <v/>
      </c>
      <c r="AA42" s="391" t="str">
        <f ca="1">IFERROR(VLOOKUP($C42,COM_N_2012!$B$61:$AJ$122,MATCH(VLOOKUP("*"&amp;$AW42,$A$10:$J$11,$J$9,FALSE)&amp;AA$7,COM_N_2012!$B$58:$AJ$58,0),FALSE),"")</f>
        <v/>
      </c>
      <c r="AB42" s="391">
        <f ca="1">IF($A42="*","",IFERROR(VLOOKUP($C42,COM_N_2017!$B$61:$AJ$122,MATCH(VLOOKUP("*"&amp;$AW42,$A$10:$J$11,$J$9,FALSE)&amp;AB$7,COM_N_2017!$B$58:$AJ$58,0),FALSE),""))</f>
        <v>0.3</v>
      </c>
      <c r="AC42" s="391" t="str">
        <f ca="1">IFERROR(VLOOKUP($C42,COM_N_2012!$B$61:$AJ$122,MATCH(VLOOKUP("*"&amp;$AW42,$A$10:$J$11,$J$9,FALSE)&amp;AC$7,COM_N_2012!$B$58:$AJ$58,0),FALSE),"")</f>
        <v/>
      </c>
      <c r="AD42" s="391" t="str">
        <f ca="1">IFERROR(VLOOKUP($C42,COM_N_2012!$B$61:$AJ$122,MATCH(VLOOKUP("*"&amp;$AW42,$A$10:$J$11,$J$9,FALSE)&amp;AD$7,COM_N_2012!$B$58:$AJ$58,0),FALSE),"")</f>
        <v/>
      </c>
      <c r="AE42" s="391" t="str">
        <f ca="1">IFERROR(VLOOKUP($C42,COM_N_2012!$B$61:$AJ$122,MATCH(VLOOKUP("*"&amp;$AW42,$A$10:$J$11,$J$9,FALSE)&amp;AE$7,COM_N_2012!$B$58:$AJ$58,0),FALSE),"")</f>
        <v/>
      </c>
      <c r="AF42" s="391" t="str">
        <f ca="1">IFERROR(VLOOKUP($C42,COM_N_2012!$B$61:$AJ$122,MATCH(VLOOKUP("*"&amp;$AW42,$A$10:$J$11,$J$9,FALSE)&amp;AF$7,COM_N_2012!$B$58:$AJ$58,0),FALSE),"")</f>
        <v/>
      </c>
      <c r="AG42" s="391">
        <f ca="1">IF($A42="*","",IFERROR(VLOOKUP($C42,COM_N_2017!$B$61:$AJ$122,MATCH(VLOOKUP("*"&amp;$AW42,$A$10:$J$11,$J$9,FALSE)&amp;AG$7,COM_N_2017!$B$58:$AJ$58,0),FALSE),""))</f>
        <v>0.5</v>
      </c>
      <c r="AH42" s="391" t="str">
        <f ca="1">IFERROR(VLOOKUP($C42,COM_N_2012!$B$61:$AJ$122,MATCH(VLOOKUP("*"&amp;$AW42,$A$10:$J$11,$J$9,FALSE)&amp;AH$7,COM_N_2012!$B$58:$AJ$58,0),FALSE),"")</f>
        <v/>
      </c>
      <c r="AI42" s="391" t="str">
        <f ca="1">IFERROR(VLOOKUP($C42,COM_N_2012!$B$61:$AJ$122,MATCH(VLOOKUP("*"&amp;$AW42,$A$10:$J$11,$J$9,FALSE)&amp;AI$7,COM_N_2012!$B$58:$AJ$58,0),FALSE),"")</f>
        <v/>
      </c>
      <c r="AJ42" s="391" t="str">
        <f ca="1">IFERROR(VLOOKUP($C42,COM_N_2012!$B$61:$AJ$122,MATCH(VLOOKUP("*"&amp;$AW42,$A$10:$J$11,$J$9,FALSE)&amp;AJ$7,COM_N_2012!$B$58:$AJ$58,0),FALSE),"")</f>
        <v/>
      </c>
      <c r="AK42" s="391" t="str">
        <f ca="1">IFERROR(VLOOKUP($C42,COM_N_2012!$B$61:$AJ$122,MATCH(VLOOKUP("*"&amp;$AW42,$A$10:$J$11,$J$9,FALSE)&amp;AK$7,COM_N_2012!$B$58:$AJ$58,0),FALSE),"")</f>
        <v/>
      </c>
      <c r="AL42" s="391">
        <f ca="1">IF($A42="*","",IFERROR(VLOOKUP($C42,COM_N_2017!$B$61:$AJ$122,MATCH(VLOOKUP("*"&amp;$AW42,$A$10:$J$11,$J$9,FALSE)&amp;AL$7,COM_N_2017!$B$58:$AJ$58,0),FALSE),""))</f>
        <v>0.7</v>
      </c>
      <c r="AM42" s="391">
        <f ca="1">IF($A42="*","",IFERROR(VLOOKUP($C42,COM_N_2017!$B$61:$AJ$122,MATCH(VLOOKUP("*"&amp;$AW42,$A$10:$J$11,$J$9,FALSE)&amp;AM$7,COM_N_2017!$B$58:$AJ$58,0),FALSE),""))</f>
        <v>0.9</v>
      </c>
      <c r="AN42" s="391">
        <f ca="1">IF($A42="*","",IFERROR(VLOOKUP($C42,COM_N_2017!$B$61:$AJ$122,MATCH(VLOOKUP("*"&amp;$AW42,$A$10:$J$11,$J$9,FALSE)&amp;AN$7,COM_N_2017!$B$58:$AJ$58,0),FALSE),""))</f>
        <v>1</v>
      </c>
      <c r="AO42" s="391" t="str">
        <f ca="1">IFERROR(VLOOKUP($C42,COM_N_2012!$B$61:$AJ$122,MATCH(VLOOKUP("*"&amp;$AW42,$A$10:$J$11,$J$9,FALSE)&amp;AO$7,COM_N_2012!$B$58:$AJ$58,0),FALSE),"")</f>
        <v/>
      </c>
      <c r="AP42" s="391" t="str">
        <f ca="1">IFERROR(VLOOKUP($C42,COM_N_2012!$B$61:$AJ$122,MATCH(VLOOKUP("*"&amp;$AW42,$A$10:$J$11,$J$9,FALSE)&amp;AP$7,COM_N_2012!$B$58:$AJ$58,0),FALSE),"")</f>
        <v/>
      </c>
      <c r="AQ42" s="391" t="str">
        <f ca="1">IFERROR(VLOOKUP($C42,COM_N_2012!$B$61:$AJ$122,MATCH(VLOOKUP("*"&amp;$AW42,$A$10:$J$11,$J$9,FALSE)&amp;AQ$7,COM_N_2012!$B$58:$AJ$58,0),FALSE),"")</f>
        <v/>
      </c>
      <c r="AR42" s="391" t="str">
        <f ca="1">IFERROR(VLOOKUP($C42,COM_N_2012!$B$61:$AJ$122,MATCH(VLOOKUP("*"&amp;$AW42,$A$10:$J$11,$J$9,FALSE)&amp;AR$7,COM_N_2012!$B$58:$AJ$58,0),FALSE),"")</f>
        <v/>
      </c>
      <c r="AS42" s="391" t="str">
        <f ca="1">IFERROR(VLOOKUP($C42,COM_N_2012!$B$61:$AJ$122,MATCH(VLOOKUP("*"&amp;$AW42,$A$10:$J$11,$J$9,FALSE)&amp;AS$7,COM_N_2012!$B$58:$AJ$58,0),FALSE),"")</f>
        <v/>
      </c>
      <c r="AT42" s="391" t="str">
        <f ca="1">IFERROR(VLOOKUP($C42,COM_N_2012!$B$61:$AJ$122,MATCH(VLOOKUP("*"&amp;$AW42,$A$10:$J$11,$J$9,FALSE)&amp;AT$7,COM_N_2012!$B$58:$AJ$58,0),FALSE),"")</f>
        <v/>
      </c>
      <c r="AU42" s="391" t="str">
        <f ca="1">IFERROR(VLOOKUP($C42,COM_N_2012!$B$61:$AJ$122,MATCH(VLOOKUP("*"&amp;$AW42,$A$10:$J$11,$J$9,FALSE)&amp;AU$7,COM_N_2012!$B$58:$AJ$58,0),FALSE),"")</f>
        <v/>
      </c>
      <c r="AV42" s="391" t="str">
        <f ca="1">IFERROR(VLOOKUP($C42,COM_N_2012!$B$61:$AJ$122,MATCH(VLOOKUP("*"&amp;$AW42,$A$10:$J$11,$J$9,FALSE)&amp;AV$7,COM_N_2012!$B$58:$AJ$58,0),FALSE),"")</f>
        <v/>
      </c>
      <c r="AW42" s="304">
        <f>IF(AX41=COM_N_2012!$AK$121,AW41+1,AW41)</f>
        <v>1</v>
      </c>
      <c r="AX42" s="304">
        <f t="shared" si="7"/>
        <v>30</v>
      </c>
    </row>
    <row r="43" spans="1:50">
      <c r="A43" s="304" t="str">
        <f ca="1">IF(LEFT(OFFSET(COM_N_2012!$A$60,AX43,0),2)="\I","*","")</f>
        <v>*</v>
      </c>
      <c r="B43" s="369" t="str">
        <f t="shared" ca="1" si="3"/>
        <v/>
      </c>
      <c r="C43" s="369" t="str">
        <f ca="1">IF($A43="*","",OFFSET(COM_N_2012!$B$60,AX43,0))</f>
        <v/>
      </c>
      <c r="D43" s="369" t="str">
        <f t="shared" ca="1" si="4"/>
        <v/>
      </c>
      <c r="E43" s="369" t="str">
        <f t="shared" ca="1" si="8"/>
        <v/>
      </c>
      <c r="F43" s="370" t="str">
        <f t="shared" ca="1" si="9"/>
        <v/>
      </c>
      <c r="G43" s="370" t="str">
        <f t="shared" ca="1" si="9"/>
        <v/>
      </c>
      <c r="H43" s="370" t="str">
        <f t="shared" ca="1" si="10"/>
        <v/>
      </c>
      <c r="I43" s="370" t="str">
        <f t="shared" ca="1" si="10"/>
        <v/>
      </c>
      <c r="J43" s="391" t="str">
        <f ca="1">IFERROR(VLOOKUP($C43,COM_N_2012!$B$61:$AJ$122,MATCH(VLOOKUP("*"&amp;$AW43,$A$10:$J$11,$J$9,FALSE)&amp;J$7,COM_N_2012!$B$58:$AJ$58,0),FALSE),"")</f>
        <v/>
      </c>
      <c r="K43" s="391" t="str">
        <f ca="1">IFERROR(VLOOKUP($C43,COM_N_2012!$B$61:$AJ$122,MATCH(VLOOKUP("*"&amp;$AW43,$A$10:$J$11,$J$9,FALSE)&amp;K$7,COM_N_2012!$B$58:$AJ$58,0),FALSE),"")</f>
        <v/>
      </c>
      <c r="L43" s="391" t="str">
        <f ca="1">IFERROR(VLOOKUP($C43,COM_N_2012!$B$61:$AJ$122,MATCH(VLOOKUP("*"&amp;$AW43,$A$10:$J$11,$J$9,FALSE)&amp;L$7,COM_N_2012!$B$58:$AJ$58,0),FALSE),"")</f>
        <v/>
      </c>
      <c r="M43" s="391" t="str">
        <f ca="1">IFERROR(VLOOKUP($C43,COM_N_2012!$B$61:$AJ$122,MATCH(VLOOKUP("*"&amp;$AW43,$A$10:$J$11,$J$9,FALSE)&amp;M$7,COM_N_2012!$B$58:$AJ$58,0),FALSE),"")</f>
        <v/>
      </c>
      <c r="N43" s="391" t="str">
        <f ca="1">IFERROR(VLOOKUP($C43,COM_N_2012!$B$61:$AJ$122,MATCH(VLOOKUP("*"&amp;$AW43,$A$10:$J$11,$J$9,FALSE)&amp;N$7,COM_N_2012!$B$58:$AJ$58,0),FALSE),"")</f>
        <v/>
      </c>
      <c r="O43" s="391" t="str">
        <f ca="1">IF($A43="*","",IFERROR(VLOOKUP($C43,COM_N_2017!$B$61:$AJ$122,MATCH(VLOOKUP("*"&amp;$AW43,$A$10:$J$11,$J$9,FALSE)&amp;O$7,COM_N_2017!$B$58:$AJ$58,0),FALSE),""))</f>
        <v/>
      </c>
      <c r="P43" s="391" t="str">
        <f ca="1">IFERROR(VLOOKUP($C43,COM_N_2012!$B$61:$AJ$122,MATCH(VLOOKUP("*"&amp;$AW43,$A$10:$J$11,$J$9,FALSE)&amp;P$7,COM_N_2012!$B$58:$AJ$58,0),FALSE),"")</f>
        <v/>
      </c>
      <c r="Q43" s="391" t="str">
        <f ca="1">IFERROR(VLOOKUP($C43,COM_N_2012!$B$61:$AJ$122,MATCH(VLOOKUP("*"&amp;$AW43,$A$10:$J$11,$J$9,FALSE)&amp;Q$7,COM_N_2012!$B$58:$AJ$58,0),FALSE),"")</f>
        <v/>
      </c>
      <c r="R43" s="391" t="str">
        <f ca="1">IF($A43="*","",IFERROR(VLOOKUP($C43,COM_N_2017!$B$61:$AJ$122,MATCH(VLOOKUP("*"&amp;$AW43,$A$10:$J$11,$J$9,FALSE)&amp;R$7,COM_N_2017!$B$58:$AJ$58,0),FALSE),""))</f>
        <v/>
      </c>
      <c r="S43" s="391" t="str">
        <f ca="1">IFERROR(VLOOKUP($C43,COM_N_2012!$B$61:$AJ$122,MATCH(VLOOKUP("*"&amp;$AW43,$A$10:$J$11,$J$9,FALSE)&amp;S$7,COM_N_2012!$B$58:$AJ$58,0),FALSE),"")</f>
        <v/>
      </c>
      <c r="T43" s="391" t="str">
        <f ca="1">IFERROR(VLOOKUP($C43,COM_N_2012!$B$61:$AJ$122,MATCH(VLOOKUP("*"&amp;$AW43,$A$10:$J$11,$J$9,FALSE)&amp;T$7,COM_N_2012!$B$58:$AJ$58,0),FALSE),"")</f>
        <v/>
      </c>
      <c r="U43" s="391" t="str">
        <f ca="1">IFERROR(VLOOKUP($C43,COM_N_2012!$B$61:$AJ$122,MATCH(VLOOKUP("*"&amp;$AW43,$A$10:$J$11,$J$9,FALSE)&amp;U$7,COM_N_2012!$B$58:$AJ$58,0),FALSE),"")</f>
        <v/>
      </c>
      <c r="V43" s="391" t="str">
        <f ca="1">IFERROR(VLOOKUP($C43,COM_N_2012!$B$61:$AJ$122,MATCH(VLOOKUP("*"&amp;$AW43,$A$10:$J$11,$J$9,FALSE)&amp;V$7,COM_N_2012!$B$58:$AJ$58,0),FALSE),"")</f>
        <v/>
      </c>
      <c r="W43" s="391" t="str">
        <f ca="1">IF($A43="*","",IFERROR(VLOOKUP($C43,COM_N_2017!$B$61:$AJ$122,MATCH(VLOOKUP("*"&amp;$AW43,$A$10:$J$11,$J$9,FALSE)&amp;W$7,COM_N_2017!$B$58:$AJ$58,0),FALSE),""))</f>
        <v/>
      </c>
      <c r="X43" s="391" t="str">
        <f ca="1">IFERROR(VLOOKUP($C43,COM_N_2012!$B$61:$AJ$122,MATCH(VLOOKUP("*"&amp;$AW43,$A$10:$J$11,$J$9,FALSE)&amp;X$7,COM_N_2012!$B$58:$AJ$58,0),FALSE),"")</f>
        <v/>
      </c>
      <c r="Y43" s="391" t="str">
        <f ca="1">IFERROR(VLOOKUP($C43,COM_N_2012!$B$61:$AJ$122,MATCH(VLOOKUP("*"&amp;$AW43,$A$10:$J$11,$J$9,FALSE)&amp;Y$7,COM_N_2012!$B$58:$AJ$58,0),FALSE),"")</f>
        <v/>
      </c>
      <c r="Z43" s="391" t="str">
        <f ca="1">IFERROR(VLOOKUP($C43,COM_N_2012!$B$61:$AJ$122,MATCH(VLOOKUP("*"&amp;$AW43,$A$10:$J$11,$J$9,FALSE)&amp;Z$7,COM_N_2012!$B$58:$AJ$58,0),FALSE),"")</f>
        <v/>
      </c>
      <c r="AA43" s="391" t="str">
        <f ca="1">IFERROR(VLOOKUP($C43,COM_N_2012!$B$61:$AJ$122,MATCH(VLOOKUP("*"&amp;$AW43,$A$10:$J$11,$J$9,FALSE)&amp;AA$7,COM_N_2012!$B$58:$AJ$58,0),FALSE),"")</f>
        <v/>
      </c>
      <c r="AB43" s="391" t="str">
        <f ca="1">IF($A43="*","",IFERROR(VLOOKUP($C43,COM_N_2017!$B$61:$AJ$122,MATCH(VLOOKUP("*"&amp;$AW43,$A$10:$J$11,$J$9,FALSE)&amp;AB$7,COM_N_2017!$B$58:$AJ$58,0),FALSE),""))</f>
        <v/>
      </c>
      <c r="AC43" s="391" t="str">
        <f ca="1">IFERROR(VLOOKUP($C43,COM_N_2012!$B$61:$AJ$122,MATCH(VLOOKUP("*"&amp;$AW43,$A$10:$J$11,$J$9,FALSE)&amp;AC$7,COM_N_2012!$B$58:$AJ$58,0),FALSE),"")</f>
        <v/>
      </c>
      <c r="AD43" s="391" t="str">
        <f ca="1">IFERROR(VLOOKUP($C43,COM_N_2012!$B$61:$AJ$122,MATCH(VLOOKUP("*"&amp;$AW43,$A$10:$J$11,$J$9,FALSE)&amp;AD$7,COM_N_2012!$B$58:$AJ$58,0),FALSE),"")</f>
        <v/>
      </c>
      <c r="AE43" s="391" t="str">
        <f ca="1">IFERROR(VLOOKUP($C43,COM_N_2012!$B$61:$AJ$122,MATCH(VLOOKUP("*"&amp;$AW43,$A$10:$J$11,$J$9,FALSE)&amp;AE$7,COM_N_2012!$B$58:$AJ$58,0),FALSE),"")</f>
        <v/>
      </c>
      <c r="AF43" s="391" t="str">
        <f ca="1">IFERROR(VLOOKUP($C43,COM_N_2012!$B$61:$AJ$122,MATCH(VLOOKUP("*"&amp;$AW43,$A$10:$J$11,$J$9,FALSE)&amp;AF$7,COM_N_2012!$B$58:$AJ$58,0),FALSE),"")</f>
        <v/>
      </c>
      <c r="AG43" s="391" t="str">
        <f ca="1">IF($A43="*","",IFERROR(VLOOKUP($C43,COM_N_2017!$B$61:$AJ$122,MATCH(VLOOKUP("*"&amp;$AW43,$A$10:$J$11,$J$9,FALSE)&amp;AG$7,COM_N_2017!$B$58:$AJ$58,0),FALSE),""))</f>
        <v/>
      </c>
      <c r="AH43" s="391" t="str">
        <f ca="1">IFERROR(VLOOKUP($C43,COM_N_2012!$B$61:$AJ$122,MATCH(VLOOKUP("*"&amp;$AW43,$A$10:$J$11,$J$9,FALSE)&amp;AH$7,COM_N_2012!$B$58:$AJ$58,0),FALSE),"")</f>
        <v/>
      </c>
      <c r="AI43" s="391" t="str">
        <f ca="1">IFERROR(VLOOKUP($C43,COM_N_2012!$B$61:$AJ$122,MATCH(VLOOKUP("*"&amp;$AW43,$A$10:$J$11,$J$9,FALSE)&amp;AI$7,COM_N_2012!$B$58:$AJ$58,0),FALSE),"")</f>
        <v/>
      </c>
      <c r="AJ43" s="391" t="str">
        <f ca="1">IFERROR(VLOOKUP($C43,COM_N_2012!$B$61:$AJ$122,MATCH(VLOOKUP("*"&amp;$AW43,$A$10:$J$11,$J$9,FALSE)&amp;AJ$7,COM_N_2012!$B$58:$AJ$58,0),FALSE),"")</f>
        <v/>
      </c>
      <c r="AK43" s="391" t="str">
        <f ca="1">IFERROR(VLOOKUP($C43,COM_N_2012!$B$61:$AJ$122,MATCH(VLOOKUP("*"&amp;$AW43,$A$10:$J$11,$J$9,FALSE)&amp;AK$7,COM_N_2012!$B$58:$AJ$58,0),FALSE),"")</f>
        <v/>
      </c>
      <c r="AL43" s="391" t="str">
        <f ca="1">IF($A43="*","",IFERROR(VLOOKUP($C43,COM_N_2017!$B$61:$AJ$122,MATCH(VLOOKUP("*"&amp;$AW43,$A$10:$J$11,$J$9,FALSE)&amp;AL$7,COM_N_2017!$B$58:$AJ$58,0),FALSE),""))</f>
        <v/>
      </c>
      <c r="AM43" s="391" t="str">
        <f ca="1">IF($A43="*","",IFERROR(VLOOKUP($C43,COM_N_2017!$B$61:$AJ$122,MATCH(VLOOKUP("*"&amp;$AW43,$A$10:$J$11,$J$9,FALSE)&amp;AM$7,COM_N_2017!$B$58:$AJ$58,0),FALSE),""))</f>
        <v/>
      </c>
      <c r="AN43" s="391" t="str">
        <f ca="1">IF($A43="*","",IFERROR(VLOOKUP($C43,COM_N_2017!$B$61:$AJ$122,MATCH(VLOOKUP("*"&amp;$AW43,$A$10:$J$11,$J$9,FALSE)&amp;AN$7,COM_N_2017!$B$58:$AJ$58,0),FALSE),""))</f>
        <v/>
      </c>
      <c r="AO43" s="391" t="str">
        <f ca="1">IFERROR(VLOOKUP($C43,COM_N_2012!$B$61:$AJ$122,MATCH(VLOOKUP("*"&amp;$AW43,$A$10:$J$11,$J$9,FALSE)&amp;AO$7,COM_N_2012!$B$58:$AJ$58,0),FALSE),"")</f>
        <v/>
      </c>
      <c r="AP43" s="391" t="str">
        <f ca="1">IFERROR(VLOOKUP($C43,COM_N_2012!$B$61:$AJ$122,MATCH(VLOOKUP("*"&amp;$AW43,$A$10:$J$11,$J$9,FALSE)&amp;AP$7,COM_N_2012!$B$58:$AJ$58,0),FALSE),"")</f>
        <v/>
      </c>
      <c r="AQ43" s="391" t="str">
        <f ca="1">IFERROR(VLOOKUP($C43,COM_N_2012!$B$61:$AJ$122,MATCH(VLOOKUP("*"&amp;$AW43,$A$10:$J$11,$J$9,FALSE)&amp;AQ$7,COM_N_2012!$B$58:$AJ$58,0),FALSE),"")</f>
        <v/>
      </c>
      <c r="AR43" s="391" t="str">
        <f ca="1">IFERROR(VLOOKUP($C43,COM_N_2012!$B$61:$AJ$122,MATCH(VLOOKUP("*"&amp;$AW43,$A$10:$J$11,$J$9,FALSE)&amp;AR$7,COM_N_2012!$B$58:$AJ$58,0),FALSE),"")</f>
        <v/>
      </c>
      <c r="AS43" s="391" t="str">
        <f ca="1">IFERROR(VLOOKUP($C43,COM_N_2012!$B$61:$AJ$122,MATCH(VLOOKUP("*"&amp;$AW43,$A$10:$J$11,$J$9,FALSE)&amp;AS$7,COM_N_2012!$B$58:$AJ$58,0),FALSE),"")</f>
        <v/>
      </c>
      <c r="AT43" s="391" t="str">
        <f ca="1">IFERROR(VLOOKUP($C43,COM_N_2012!$B$61:$AJ$122,MATCH(VLOOKUP("*"&amp;$AW43,$A$10:$J$11,$J$9,FALSE)&amp;AT$7,COM_N_2012!$B$58:$AJ$58,0),FALSE),"")</f>
        <v/>
      </c>
      <c r="AU43" s="391" t="str">
        <f ca="1">IFERROR(VLOOKUP($C43,COM_N_2012!$B$61:$AJ$122,MATCH(VLOOKUP("*"&amp;$AW43,$A$10:$J$11,$J$9,FALSE)&amp;AU$7,COM_N_2012!$B$58:$AJ$58,0),FALSE),"")</f>
        <v/>
      </c>
      <c r="AV43" s="391" t="str">
        <f ca="1">IFERROR(VLOOKUP($C43,COM_N_2012!$B$61:$AJ$122,MATCH(VLOOKUP("*"&amp;$AW43,$A$10:$J$11,$J$9,FALSE)&amp;AV$7,COM_N_2012!$B$58:$AJ$58,0),FALSE),"")</f>
        <v/>
      </c>
      <c r="AW43" s="304">
        <f>IF(AX42=COM_N_2012!$AK$121,AW42+1,AW42)</f>
        <v>1</v>
      </c>
      <c r="AX43" s="304">
        <f t="shared" si="7"/>
        <v>31</v>
      </c>
    </row>
    <row r="44" spans="1:50">
      <c r="A44" s="304" t="str">
        <f ca="1">IF(LEFT(OFFSET(COM_N_2012!$A$60,AX44,0),2)="\I","*","")</f>
        <v>*</v>
      </c>
      <c r="B44" s="369" t="str">
        <f t="shared" ca="1" si="3"/>
        <v/>
      </c>
      <c r="C44" s="369" t="str">
        <f ca="1">IF($A44="*","",OFFSET(COM_N_2012!$B$60,AX44,0))</f>
        <v/>
      </c>
      <c r="D44" s="369" t="str">
        <f t="shared" ca="1" si="4"/>
        <v/>
      </c>
      <c r="E44" s="369" t="str">
        <f t="shared" ca="1" si="8"/>
        <v/>
      </c>
      <c r="F44" s="370" t="str">
        <f t="shared" ca="1" si="9"/>
        <v/>
      </c>
      <c r="G44" s="370" t="str">
        <f t="shared" ca="1" si="9"/>
        <v/>
      </c>
      <c r="H44" s="370" t="str">
        <f t="shared" ca="1" si="10"/>
        <v/>
      </c>
      <c r="I44" s="370" t="str">
        <f t="shared" ca="1" si="10"/>
        <v/>
      </c>
      <c r="J44" s="391" t="str">
        <f ca="1">IFERROR(VLOOKUP($C44,COM_N_2012!$B$61:$AJ$122,MATCH(VLOOKUP("*"&amp;$AW44,$A$10:$J$11,$J$9,FALSE)&amp;J$7,COM_N_2012!$B$58:$AJ$58,0),FALSE),"")</f>
        <v/>
      </c>
      <c r="K44" s="391" t="str">
        <f ca="1">IFERROR(VLOOKUP($C44,COM_N_2012!$B$61:$AJ$122,MATCH(VLOOKUP("*"&amp;$AW44,$A$10:$J$11,$J$9,FALSE)&amp;K$7,COM_N_2012!$B$58:$AJ$58,0),FALSE),"")</f>
        <v/>
      </c>
      <c r="L44" s="391" t="str">
        <f ca="1">IFERROR(VLOOKUP($C44,COM_N_2012!$B$61:$AJ$122,MATCH(VLOOKUP("*"&amp;$AW44,$A$10:$J$11,$J$9,FALSE)&amp;L$7,COM_N_2012!$B$58:$AJ$58,0),FALSE),"")</f>
        <v/>
      </c>
      <c r="M44" s="391" t="str">
        <f ca="1">IFERROR(VLOOKUP($C44,COM_N_2012!$B$61:$AJ$122,MATCH(VLOOKUP("*"&amp;$AW44,$A$10:$J$11,$J$9,FALSE)&amp;M$7,COM_N_2012!$B$58:$AJ$58,0),FALSE),"")</f>
        <v/>
      </c>
      <c r="N44" s="391" t="str">
        <f ca="1">IFERROR(VLOOKUP($C44,COM_N_2012!$B$61:$AJ$122,MATCH(VLOOKUP("*"&amp;$AW44,$A$10:$J$11,$J$9,FALSE)&amp;N$7,COM_N_2012!$B$58:$AJ$58,0),FALSE),"")</f>
        <v/>
      </c>
      <c r="O44" s="391" t="str">
        <f ca="1">IF($A44="*","",IFERROR(VLOOKUP($C44,COM_N_2017!$B$61:$AJ$122,MATCH(VLOOKUP("*"&amp;$AW44,$A$10:$J$11,$J$9,FALSE)&amp;O$7,COM_N_2017!$B$58:$AJ$58,0),FALSE),""))</f>
        <v/>
      </c>
      <c r="P44" s="391" t="str">
        <f ca="1">IFERROR(VLOOKUP($C44,COM_N_2012!$B$61:$AJ$122,MATCH(VLOOKUP("*"&amp;$AW44,$A$10:$J$11,$J$9,FALSE)&amp;P$7,COM_N_2012!$B$58:$AJ$58,0),FALSE),"")</f>
        <v/>
      </c>
      <c r="Q44" s="391" t="str">
        <f ca="1">IFERROR(VLOOKUP($C44,COM_N_2012!$B$61:$AJ$122,MATCH(VLOOKUP("*"&amp;$AW44,$A$10:$J$11,$J$9,FALSE)&amp;Q$7,COM_N_2012!$B$58:$AJ$58,0),FALSE),"")</f>
        <v/>
      </c>
      <c r="R44" s="391" t="str">
        <f ca="1">IF($A44="*","",IFERROR(VLOOKUP($C44,COM_N_2017!$B$61:$AJ$122,MATCH(VLOOKUP("*"&amp;$AW44,$A$10:$J$11,$J$9,FALSE)&amp;R$7,COM_N_2017!$B$58:$AJ$58,0),FALSE),""))</f>
        <v/>
      </c>
      <c r="S44" s="391" t="str">
        <f ca="1">IFERROR(VLOOKUP($C44,COM_N_2012!$B$61:$AJ$122,MATCH(VLOOKUP("*"&amp;$AW44,$A$10:$J$11,$J$9,FALSE)&amp;S$7,COM_N_2012!$B$58:$AJ$58,0),FALSE),"")</f>
        <v/>
      </c>
      <c r="T44" s="391" t="str">
        <f ca="1">IFERROR(VLOOKUP($C44,COM_N_2012!$B$61:$AJ$122,MATCH(VLOOKUP("*"&amp;$AW44,$A$10:$J$11,$J$9,FALSE)&amp;T$7,COM_N_2012!$B$58:$AJ$58,0),FALSE),"")</f>
        <v/>
      </c>
      <c r="U44" s="391" t="str">
        <f ca="1">IFERROR(VLOOKUP($C44,COM_N_2012!$B$61:$AJ$122,MATCH(VLOOKUP("*"&amp;$AW44,$A$10:$J$11,$J$9,FALSE)&amp;U$7,COM_N_2012!$B$58:$AJ$58,0),FALSE),"")</f>
        <v/>
      </c>
      <c r="V44" s="391" t="str">
        <f ca="1">IFERROR(VLOOKUP($C44,COM_N_2012!$B$61:$AJ$122,MATCH(VLOOKUP("*"&amp;$AW44,$A$10:$J$11,$J$9,FALSE)&amp;V$7,COM_N_2012!$B$58:$AJ$58,0),FALSE),"")</f>
        <v/>
      </c>
      <c r="W44" s="391" t="str">
        <f ca="1">IF($A44="*","",IFERROR(VLOOKUP($C44,COM_N_2017!$B$61:$AJ$122,MATCH(VLOOKUP("*"&amp;$AW44,$A$10:$J$11,$J$9,FALSE)&amp;W$7,COM_N_2017!$B$58:$AJ$58,0),FALSE),""))</f>
        <v/>
      </c>
      <c r="X44" s="391" t="str">
        <f ca="1">IFERROR(VLOOKUP($C44,COM_N_2012!$B$61:$AJ$122,MATCH(VLOOKUP("*"&amp;$AW44,$A$10:$J$11,$J$9,FALSE)&amp;X$7,COM_N_2012!$B$58:$AJ$58,0),FALSE),"")</f>
        <v/>
      </c>
      <c r="Y44" s="391" t="str">
        <f ca="1">IFERROR(VLOOKUP($C44,COM_N_2012!$B$61:$AJ$122,MATCH(VLOOKUP("*"&amp;$AW44,$A$10:$J$11,$J$9,FALSE)&amp;Y$7,COM_N_2012!$B$58:$AJ$58,0),FALSE),"")</f>
        <v/>
      </c>
      <c r="Z44" s="391" t="str">
        <f ca="1">IFERROR(VLOOKUP($C44,COM_N_2012!$B$61:$AJ$122,MATCH(VLOOKUP("*"&amp;$AW44,$A$10:$J$11,$J$9,FALSE)&amp;Z$7,COM_N_2012!$B$58:$AJ$58,0),FALSE),"")</f>
        <v/>
      </c>
      <c r="AA44" s="391" t="str">
        <f ca="1">IFERROR(VLOOKUP($C44,COM_N_2012!$B$61:$AJ$122,MATCH(VLOOKUP("*"&amp;$AW44,$A$10:$J$11,$J$9,FALSE)&amp;AA$7,COM_N_2012!$B$58:$AJ$58,0),FALSE),"")</f>
        <v/>
      </c>
      <c r="AB44" s="391" t="str">
        <f ca="1">IF($A44="*","",IFERROR(VLOOKUP($C44,COM_N_2017!$B$61:$AJ$122,MATCH(VLOOKUP("*"&amp;$AW44,$A$10:$J$11,$J$9,FALSE)&amp;AB$7,COM_N_2017!$B$58:$AJ$58,0),FALSE),""))</f>
        <v/>
      </c>
      <c r="AC44" s="391" t="str">
        <f ca="1">IFERROR(VLOOKUP($C44,COM_N_2012!$B$61:$AJ$122,MATCH(VLOOKUP("*"&amp;$AW44,$A$10:$J$11,$J$9,FALSE)&amp;AC$7,COM_N_2012!$B$58:$AJ$58,0),FALSE),"")</f>
        <v/>
      </c>
      <c r="AD44" s="391" t="str">
        <f ca="1">IFERROR(VLOOKUP($C44,COM_N_2012!$B$61:$AJ$122,MATCH(VLOOKUP("*"&amp;$AW44,$A$10:$J$11,$J$9,FALSE)&amp;AD$7,COM_N_2012!$B$58:$AJ$58,0),FALSE),"")</f>
        <v/>
      </c>
      <c r="AE44" s="391" t="str">
        <f ca="1">IFERROR(VLOOKUP($C44,COM_N_2012!$B$61:$AJ$122,MATCH(VLOOKUP("*"&amp;$AW44,$A$10:$J$11,$J$9,FALSE)&amp;AE$7,COM_N_2012!$B$58:$AJ$58,0),FALSE),"")</f>
        <v/>
      </c>
      <c r="AF44" s="391" t="str">
        <f ca="1">IFERROR(VLOOKUP($C44,COM_N_2012!$B$61:$AJ$122,MATCH(VLOOKUP("*"&amp;$AW44,$A$10:$J$11,$J$9,FALSE)&amp;AF$7,COM_N_2012!$B$58:$AJ$58,0),FALSE),"")</f>
        <v/>
      </c>
      <c r="AG44" s="391" t="str">
        <f ca="1">IF($A44="*","",IFERROR(VLOOKUP($C44,COM_N_2017!$B$61:$AJ$122,MATCH(VLOOKUP("*"&amp;$AW44,$A$10:$J$11,$J$9,FALSE)&amp;AG$7,COM_N_2017!$B$58:$AJ$58,0),FALSE),""))</f>
        <v/>
      </c>
      <c r="AH44" s="391" t="str">
        <f ca="1">IFERROR(VLOOKUP($C44,COM_N_2012!$B$61:$AJ$122,MATCH(VLOOKUP("*"&amp;$AW44,$A$10:$J$11,$J$9,FALSE)&amp;AH$7,COM_N_2012!$B$58:$AJ$58,0),FALSE),"")</f>
        <v/>
      </c>
      <c r="AI44" s="391" t="str">
        <f ca="1">IFERROR(VLOOKUP($C44,COM_N_2012!$B$61:$AJ$122,MATCH(VLOOKUP("*"&amp;$AW44,$A$10:$J$11,$J$9,FALSE)&amp;AI$7,COM_N_2012!$B$58:$AJ$58,0),FALSE),"")</f>
        <v/>
      </c>
      <c r="AJ44" s="391" t="str">
        <f ca="1">IFERROR(VLOOKUP($C44,COM_N_2012!$B$61:$AJ$122,MATCH(VLOOKUP("*"&amp;$AW44,$A$10:$J$11,$J$9,FALSE)&amp;AJ$7,COM_N_2012!$B$58:$AJ$58,0),FALSE),"")</f>
        <v/>
      </c>
      <c r="AK44" s="391" t="str">
        <f ca="1">IFERROR(VLOOKUP($C44,COM_N_2012!$B$61:$AJ$122,MATCH(VLOOKUP("*"&amp;$AW44,$A$10:$J$11,$J$9,FALSE)&amp;AK$7,COM_N_2012!$B$58:$AJ$58,0),FALSE),"")</f>
        <v/>
      </c>
      <c r="AL44" s="391" t="str">
        <f ca="1">IF($A44="*","",IFERROR(VLOOKUP($C44,COM_N_2017!$B$61:$AJ$122,MATCH(VLOOKUP("*"&amp;$AW44,$A$10:$J$11,$J$9,FALSE)&amp;AL$7,COM_N_2017!$B$58:$AJ$58,0),FALSE),""))</f>
        <v/>
      </c>
      <c r="AM44" s="391" t="str">
        <f ca="1">IF($A44="*","",IFERROR(VLOOKUP($C44,COM_N_2017!$B$61:$AJ$122,MATCH(VLOOKUP("*"&amp;$AW44,$A$10:$J$11,$J$9,FALSE)&amp;AM$7,COM_N_2017!$B$58:$AJ$58,0),FALSE),""))</f>
        <v/>
      </c>
      <c r="AN44" s="391" t="str">
        <f ca="1">IF($A44="*","",IFERROR(VLOOKUP($C44,COM_N_2017!$B$61:$AJ$122,MATCH(VLOOKUP("*"&amp;$AW44,$A$10:$J$11,$J$9,FALSE)&amp;AN$7,COM_N_2017!$B$58:$AJ$58,0),FALSE),""))</f>
        <v/>
      </c>
      <c r="AO44" s="391" t="str">
        <f ca="1">IFERROR(VLOOKUP($C44,COM_N_2012!$B$61:$AJ$122,MATCH(VLOOKUP("*"&amp;$AW44,$A$10:$J$11,$J$9,FALSE)&amp;AO$7,COM_N_2012!$B$58:$AJ$58,0),FALSE),"")</f>
        <v/>
      </c>
      <c r="AP44" s="391" t="str">
        <f ca="1">IFERROR(VLOOKUP($C44,COM_N_2012!$B$61:$AJ$122,MATCH(VLOOKUP("*"&amp;$AW44,$A$10:$J$11,$J$9,FALSE)&amp;AP$7,COM_N_2012!$B$58:$AJ$58,0),FALSE),"")</f>
        <v/>
      </c>
      <c r="AQ44" s="391" t="str">
        <f ca="1">IFERROR(VLOOKUP($C44,COM_N_2012!$B$61:$AJ$122,MATCH(VLOOKUP("*"&amp;$AW44,$A$10:$J$11,$J$9,FALSE)&amp;AQ$7,COM_N_2012!$B$58:$AJ$58,0),FALSE),"")</f>
        <v/>
      </c>
      <c r="AR44" s="391" t="str">
        <f ca="1">IFERROR(VLOOKUP($C44,COM_N_2012!$B$61:$AJ$122,MATCH(VLOOKUP("*"&amp;$AW44,$A$10:$J$11,$J$9,FALSE)&amp;AR$7,COM_N_2012!$B$58:$AJ$58,0),FALSE),"")</f>
        <v/>
      </c>
      <c r="AS44" s="391" t="str">
        <f ca="1">IFERROR(VLOOKUP($C44,COM_N_2012!$B$61:$AJ$122,MATCH(VLOOKUP("*"&amp;$AW44,$A$10:$J$11,$J$9,FALSE)&amp;AS$7,COM_N_2012!$B$58:$AJ$58,0),FALSE),"")</f>
        <v/>
      </c>
      <c r="AT44" s="391" t="str">
        <f ca="1">IFERROR(VLOOKUP($C44,COM_N_2012!$B$61:$AJ$122,MATCH(VLOOKUP("*"&amp;$AW44,$A$10:$J$11,$J$9,FALSE)&amp;AT$7,COM_N_2012!$B$58:$AJ$58,0),FALSE),"")</f>
        <v/>
      </c>
      <c r="AU44" s="391" t="str">
        <f ca="1">IFERROR(VLOOKUP($C44,COM_N_2012!$B$61:$AJ$122,MATCH(VLOOKUP("*"&amp;$AW44,$A$10:$J$11,$J$9,FALSE)&amp;AU$7,COM_N_2012!$B$58:$AJ$58,0),FALSE),"")</f>
        <v/>
      </c>
      <c r="AV44" s="391" t="str">
        <f ca="1">IFERROR(VLOOKUP($C44,COM_N_2012!$B$61:$AJ$122,MATCH(VLOOKUP("*"&amp;$AW44,$A$10:$J$11,$J$9,FALSE)&amp;AV$7,COM_N_2012!$B$58:$AJ$58,0),FALSE),"")</f>
        <v/>
      </c>
      <c r="AW44" s="304">
        <f>IF(AX43=COM_N_2012!$AK$121,AW43+1,AW43)</f>
        <v>1</v>
      </c>
      <c r="AX44" s="304">
        <f t="shared" si="7"/>
        <v>32</v>
      </c>
    </row>
    <row r="45" spans="1:50">
      <c r="A45" s="304" t="str">
        <f ca="1">IF(LEFT(OFFSET(COM_N_2012!$A$60,AX45,0),2)="\I","*","")</f>
        <v/>
      </c>
      <c r="B45" s="369" t="str">
        <f t="shared" ref="B45:B76" ca="1" si="11">IF(A45="*","",VLOOKUP("*"&amp;AW45,$A$9:$B$11,2,FALSE))</f>
        <v>FLO_MRKPRD</v>
      </c>
      <c r="C45" s="369" t="str">
        <f ca="1">IF($A45="*","",OFFSET(COM_N_2012!$B$60,AX45,0))</f>
        <v>CNWELC-E</v>
      </c>
      <c r="D45" s="369" t="str">
        <f t="shared" ref="D45:D76" ca="1" si="12">IF($A45="*","",LEFT(C45,3))</f>
        <v>CNW</v>
      </c>
      <c r="E45" s="369" t="str">
        <f t="shared" ca="1" si="8"/>
        <v>-</v>
      </c>
      <c r="F45" s="370" t="str">
        <f t="shared" ca="1" si="9"/>
        <v>-</v>
      </c>
      <c r="G45" s="370" t="str">
        <f t="shared" ca="1" si="9"/>
        <v>ANNUAL</v>
      </c>
      <c r="H45" s="370" t="str">
        <f t="shared" ca="1" si="10"/>
        <v>UP</v>
      </c>
      <c r="I45" s="370">
        <f t="shared" ca="1" si="10"/>
        <v>0</v>
      </c>
      <c r="J45" s="391">
        <f ca="1">IFERROR(VLOOKUP($C45,COM_N_2012!$B$61:$AJ$122,MATCH(VLOOKUP("*"&amp;$AW45,$A$10:$J$11,$J$9,FALSE)&amp;J$7,COM_N_2012!$B$58:$AJ$58,0),FALSE),"")</f>
        <v>0.13613444707472483</v>
      </c>
      <c r="K45" s="391" t="str">
        <f ca="1">IFERROR(VLOOKUP($C45,COM_N_2012!$B$61:$AJ$122,MATCH(VLOOKUP("*"&amp;$AW45,$A$10:$J$11,$J$9,FALSE)&amp;K$7,COM_N_2012!$B$58:$AJ$58,0),FALSE),"")</f>
        <v/>
      </c>
      <c r="L45" s="391" t="str">
        <f ca="1">IFERROR(VLOOKUP($C45,COM_N_2012!$B$61:$AJ$122,MATCH(VLOOKUP("*"&amp;$AW45,$A$10:$J$11,$J$9,FALSE)&amp;L$7,COM_N_2012!$B$58:$AJ$58,0),FALSE),"")</f>
        <v/>
      </c>
      <c r="M45" s="391">
        <f ca="1">IFERROR(VLOOKUP($C45,COM_N_2012!$B$61:$AJ$122,MATCH(VLOOKUP("*"&amp;$AW45,$A$10:$J$11,$J$9,FALSE)&amp;M$7,COM_N_2012!$B$58:$AJ$58,0),FALSE),"")</f>
        <v>0.13613444707472483</v>
      </c>
      <c r="N45" s="391" t="str">
        <f ca="1">IFERROR(VLOOKUP($C45,COM_N_2012!$B$61:$AJ$122,MATCH(VLOOKUP("*"&amp;$AW45,$A$10:$J$11,$J$9,FALSE)&amp;N$7,COM_N_2012!$B$58:$AJ$58,0),FALSE),"")</f>
        <v/>
      </c>
      <c r="O45" s="391">
        <f ca="1">IF($A45="*","",IFERROR(VLOOKUP($C45,COM_N_2017!$B$61:$AJ$122,MATCH(VLOOKUP("*"&amp;$AW45,$A$10:$J$11,$J$9,FALSE)&amp;O$7,COM_N_2017!$B$58:$AJ$58,0),FALSE),""))</f>
        <v>0.11649695170636573</v>
      </c>
      <c r="P45" s="391" t="str">
        <f ca="1">IFERROR(VLOOKUP($C45,COM_N_2012!$B$61:$AJ$122,MATCH(VLOOKUP("*"&amp;$AW45,$A$10:$J$11,$J$9,FALSE)&amp;P$7,COM_N_2012!$B$58:$AJ$58,0),FALSE),"")</f>
        <v/>
      </c>
      <c r="Q45" s="391" t="str">
        <f ca="1">IFERROR(VLOOKUP($C45,COM_N_2012!$B$61:$AJ$122,MATCH(VLOOKUP("*"&amp;$AW45,$A$10:$J$11,$J$9,FALSE)&amp;Q$7,COM_N_2012!$B$58:$AJ$58,0),FALSE),"")</f>
        <v/>
      </c>
      <c r="R45" s="391">
        <f ca="1">IF($A45="*","",IFERROR(VLOOKUP($C45,COM_N_2017!$B$61:$AJ$122,MATCH(VLOOKUP("*"&amp;$AW45,$A$10:$J$11,$J$9,FALSE)&amp;R$7,COM_N_2017!$B$58:$AJ$58,0),FALSE),""))</f>
        <v>0.14649695170636573</v>
      </c>
      <c r="S45" s="391" t="str">
        <f ca="1">IFERROR(VLOOKUP($C45,COM_N_2012!$B$61:$AJ$122,MATCH(VLOOKUP("*"&amp;$AW45,$A$10:$J$11,$J$9,FALSE)&amp;S$7,COM_N_2012!$B$58:$AJ$58,0),FALSE),"")</f>
        <v/>
      </c>
      <c r="T45" s="391" t="str">
        <f ca="1">IFERROR(VLOOKUP($C45,COM_N_2012!$B$61:$AJ$122,MATCH(VLOOKUP("*"&amp;$AW45,$A$10:$J$11,$J$9,FALSE)&amp;T$7,COM_N_2012!$B$58:$AJ$58,0),FALSE),"")</f>
        <v/>
      </c>
      <c r="U45" s="391" t="str">
        <f ca="1">IFERROR(VLOOKUP($C45,COM_N_2012!$B$61:$AJ$122,MATCH(VLOOKUP("*"&amp;$AW45,$A$10:$J$11,$J$9,FALSE)&amp;U$7,COM_N_2012!$B$58:$AJ$58,0),FALSE),"")</f>
        <v/>
      </c>
      <c r="V45" s="391" t="str">
        <f ca="1">IFERROR(VLOOKUP($C45,COM_N_2012!$B$61:$AJ$122,MATCH(VLOOKUP("*"&amp;$AW45,$A$10:$J$11,$J$9,FALSE)&amp;V$7,COM_N_2012!$B$58:$AJ$58,0),FALSE),"")</f>
        <v/>
      </c>
      <c r="W45" s="391">
        <f ca="1">IF($A45="*","",IFERROR(VLOOKUP($C45,COM_N_2017!$B$61:$AJ$122,MATCH(VLOOKUP("*"&amp;$AW45,$A$10:$J$11,$J$9,FALSE)&amp;W$7,COM_N_2017!$B$58:$AJ$58,0),FALSE),""))</f>
        <v>0.21649695170636574</v>
      </c>
      <c r="X45" s="391" t="str">
        <f ca="1">IFERROR(VLOOKUP($C45,COM_N_2012!$B$61:$AJ$122,MATCH(VLOOKUP("*"&amp;$AW45,$A$10:$J$11,$J$9,FALSE)&amp;X$7,COM_N_2012!$B$58:$AJ$58,0),FALSE),"")</f>
        <v/>
      </c>
      <c r="Y45" s="391" t="str">
        <f ca="1">IFERROR(VLOOKUP($C45,COM_N_2012!$B$61:$AJ$122,MATCH(VLOOKUP("*"&amp;$AW45,$A$10:$J$11,$J$9,FALSE)&amp;Y$7,COM_N_2012!$B$58:$AJ$58,0),FALSE),"")</f>
        <v/>
      </c>
      <c r="Z45" s="391" t="str">
        <f ca="1">IFERROR(VLOOKUP($C45,COM_N_2012!$B$61:$AJ$122,MATCH(VLOOKUP("*"&amp;$AW45,$A$10:$J$11,$J$9,FALSE)&amp;Z$7,COM_N_2012!$B$58:$AJ$58,0),FALSE),"")</f>
        <v/>
      </c>
      <c r="AA45" s="391" t="str">
        <f ca="1">IFERROR(VLOOKUP($C45,COM_N_2012!$B$61:$AJ$122,MATCH(VLOOKUP("*"&amp;$AW45,$A$10:$J$11,$J$9,FALSE)&amp;AA$7,COM_N_2012!$B$58:$AJ$58,0),FALSE),"")</f>
        <v/>
      </c>
      <c r="AB45" s="391">
        <f ca="1">IF($A45="*","",IFERROR(VLOOKUP($C45,COM_N_2017!$B$61:$AJ$122,MATCH(VLOOKUP("*"&amp;$AW45,$A$10:$J$11,$J$9,FALSE)&amp;AB$7,COM_N_2017!$B$58:$AJ$58,0),FALSE),""))</f>
        <v>0.41649695170636569</v>
      </c>
      <c r="AC45" s="391" t="str">
        <f ca="1">IFERROR(VLOOKUP($C45,COM_N_2012!$B$61:$AJ$122,MATCH(VLOOKUP("*"&amp;$AW45,$A$10:$J$11,$J$9,FALSE)&amp;AC$7,COM_N_2012!$B$58:$AJ$58,0),FALSE),"")</f>
        <v/>
      </c>
      <c r="AD45" s="391" t="str">
        <f ca="1">IFERROR(VLOOKUP($C45,COM_N_2012!$B$61:$AJ$122,MATCH(VLOOKUP("*"&amp;$AW45,$A$10:$J$11,$J$9,FALSE)&amp;AD$7,COM_N_2012!$B$58:$AJ$58,0),FALSE),"")</f>
        <v/>
      </c>
      <c r="AE45" s="391" t="str">
        <f ca="1">IFERROR(VLOOKUP($C45,COM_N_2012!$B$61:$AJ$122,MATCH(VLOOKUP("*"&amp;$AW45,$A$10:$J$11,$J$9,FALSE)&amp;AE$7,COM_N_2012!$B$58:$AJ$58,0),FALSE),"")</f>
        <v/>
      </c>
      <c r="AF45" s="391" t="str">
        <f ca="1">IFERROR(VLOOKUP($C45,COM_N_2012!$B$61:$AJ$122,MATCH(VLOOKUP("*"&amp;$AW45,$A$10:$J$11,$J$9,FALSE)&amp;AF$7,COM_N_2012!$B$58:$AJ$58,0),FALSE),"")</f>
        <v/>
      </c>
      <c r="AG45" s="391">
        <f ca="1">IF($A45="*","",IFERROR(VLOOKUP($C45,COM_N_2017!$B$61:$AJ$122,MATCH(VLOOKUP("*"&amp;$AW45,$A$10:$J$11,$J$9,FALSE)&amp;AG$7,COM_N_2017!$B$58:$AJ$58,0),FALSE),""))</f>
        <v>0.61649695170636576</v>
      </c>
      <c r="AH45" s="391" t="str">
        <f ca="1">IFERROR(VLOOKUP($C45,COM_N_2012!$B$61:$AJ$122,MATCH(VLOOKUP("*"&amp;$AW45,$A$10:$J$11,$J$9,FALSE)&amp;AH$7,COM_N_2012!$B$58:$AJ$58,0),FALSE),"")</f>
        <v/>
      </c>
      <c r="AI45" s="391" t="str">
        <f ca="1">IFERROR(VLOOKUP($C45,COM_N_2012!$B$61:$AJ$122,MATCH(VLOOKUP("*"&amp;$AW45,$A$10:$J$11,$J$9,FALSE)&amp;AI$7,COM_N_2012!$B$58:$AJ$58,0),FALSE),"")</f>
        <v/>
      </c>
      <c r="AJ45" s="391" t="str">
        <f ca="1">IFERROR(VLOOKUP($C45,COM_N_2012!$B$61:$AJ$122,MATCH(VLOOKUP("*"&amp;$AW45,$A$10:$J$11,$J$9,FALSE)&amp;AJ$7,COM_N_2012!$B$58:$AJ$58,0),FALSE),"")</f>
        <v/>
      </c>
      <c r="AK45" s="391" t="str">
        <f ca="1">IFERROR(VLOOKUP($C45,COM_N_2012!$B$61:$AJ$122,MATCH(VLOOKUP("*"&amp;$AW45,$A$10:$J$11,$J$9,FALSE)&amp;AK$7,COM_N_2012!$B$58:$AJ$58,0),FALSE),"")</f>
        <v/>
      </c>
      <c r="AL45" s="391">
        <f ca="1">IF($A45="*","",IFERROR(VLOOKUP($C45,COM_N_2017!$B$61:$AJ$122,MATCH(VLOOKUP("*"&amp;$AW45,$A$10:$J$11,$J$9,FALSE)&amp;AL$7,COM_N_2017!$B$58:$AJ$58,0),FALSE),""))</f>
        <v>0.81649695170636571</v>
      </c>
      <c r="AM45" s="391">
        <f ca="1">IF($A45="*","",IFERROR(VLOOKUP($C45,COM_N_2017!$B$61:$AJ$122,MATCH(VLOOKUP("*"&amp;$AW45,$A$10:$J$11,$J$9,FALSE)&amp;AM$7,COM_N_2017!$B$58:$AJ$58,0),FALSE),""))</f>
        <v>1</v>
      </c>
      <c r="AN45" s="391">
        <f ca="1">IF($A45="*","",IFERROR(VLOOKUP($C45,COM_N_2017!$B$61:$AJ$122,MATCH(VLOOKUP("*"&amp;$AW45,$A$10:$J$11,$J$9,FALSE)&amp;AN$7,COM_N_2017!$B$58:$AJ$58,0),FALSE),""))</f>
        <v>1</v>
      </c>
      <c r="AO45" s="391" t="str">
        <f ca="1">IFERROR(VLOOKUP($C45,COM_N_2012!$B$61:$AJ$122,MATCH(VLOOKUP("*"&amp;$AW45,$A$10:$J$11,$J$9,FALSE)&amp;AO$7,COM_N_2012!$B$58:$AJ$58,0),FALSE),"")</f>
        <v/>
      </c>
      <c r="AP45" s="391" t="str">
        <f ca="1">IFERROR(VLOOKUP($C45,COM_N_2012!$B$61:$AJ$122,MATCH(VLOOKUP("*"&amp;$AW45,$A$10:$J$11,$J$9,FALSE)&amp;AP$7,COM_N_2012!$B$58:$AJ$58,0),FALSE),"")</f>
        <v/>
      </c>
      <c r="AQ45" s="391" t="str">
        <f ca="1">IFERROR(VLOOKUP($C45,COM_N_2012!$B$61:$AJ$122,MATCH(VLOOKUP("*"&amp;$AW45,$A$10:$J$11,$J$9,FALSE)&amp;AQ$7,COM_N_2012!$B$58:$AJ$58,0),FALSE),"")</f>
        <v/>
      </c>
      <c r="AR45" s="391" t="str">
        <f ca="1">IFERROR(VLOOKUP($C45,COM_N_2012!$B$61:$AJ$122,MATCH(VLOOKUP("*"&amp;$AW45,$A$10:$J$11,$J$9,FALSE)&amp;AR$7,COM_N_2012!$B$58:$AJ$58,0),FALSE),"")</f>
        <v/>
      </c>
      <c r="AS45" s="391" t="str">
        <f ca="1">IFERROR(VLOOKUP($C45,COM_N_2012!$B$61:$AJ$122,MATCH(VLOOKUP("*"&amp;$AW45,$A$10:$J$11,$J$9,FALSE)&amp;AS$7,COM_N_2012!$B$58:$AJ$58,0),FALSE),"")</f>
        <v/>
      </c>
      <c r="AT45" s="391" t="str">
        <f ca="1">IFERROR(VLOOKUP($C45,COM_N_2012!$B$61:$AJ$122,MATCH(VLOOKUP("*"&amp;$AW45,$A$10:$J$11,$J$9,FALSE)&amp;AT$7,COM_N_2012!$B$58:$AJ$58,0),FALSE),"")</f>
        <v/>
      </c>
      <c r="AU45" s="391" t="str">
        <f ca="1">IFERROR(VLOOKUP($C45,COM_N_2012!$B$61:$AJ$122,MATCH(VLOOKUP("*"&amp;$AW45,$A$10:$J$11,$J$9,FALSE)&amp;AU$7,COM_N_2012!$B$58:$AJ$58,0),FALSE),"")</f>
        <v/>
      </c>
      <c r="AV45" s="391" t="str">
        <f ca="1">IFERROR(VLOOKUP($C45,COM_N_2012!$B$61:$AJ$122,MATCH(VLOOKUP("*"&amp;$AW45,$A$10:$J$11,$J$9,FALSE)&amp;AV$7,COM_N_2012!$B$58:$AJ$58,0),FALSE),"")</f>
        <v/>
      </c>
      <c r="AW45" s="304">
        <f>IF(AX44=COM_N_2012!$AK$121,AW44+1,AW44)</f>
        <v>1</v>
      </c>
      <c r="AX45" s="304">
        <f t="shared" si="7"/>
        <v>33</v>
      </c>
    </row>
    <row r="46" spans="1:50">
      <c r="A46" s="304" t="str">
        <f ca="1">IF(LEFT(OFFSET(COM_N_2012!$A$60,AX46,0),2)="\I","*","")</f>
        <v/>
      </c>
      <c r="B46" s="369" t="str">
        <f t="shared" ca="1" si="11"/>
        <v>FLO_MRKPRD</v>
      </c>
      <c r="C46" s="369" t="str">
        <f ca="1">IF($A46="*","",OFFSET(COM_N_2012!$B$60,AX46,0))</f>
        <v>CNWCOA-E</v>
      </c>
      <c r="D46" s="369" t="str">
        <f t="shared" ca="1" si="12"/>
        <v>CNW</v>
      </c>
      <c r="E46" s="369" t="str">
        <f t="shared" ca="1" si="8"/>
        <v>-</v>
      </c>
      <c r="F46" s="370" t="str">
        <f t="shared" ca="1" si="9"/>
        <v>-</v>
      </c>
      <c r="G46" s="370" t="str">
        <f t="shared" ca="1" si="9"/>
        <v>ANNUAL</v>
      </c>
      <c r="H46" s="370" t="str">
        <f t="shared" ca="1" si="10"/>
        <v>UP</v>
      </c>
      <c r="I46" s="370">
        <f t="shared" ca="1" si="10"/>
        <v>0</v>
      </c>
      <c r="J46" s="391">
        <f ca="1">IFERROR(VLOOKUP($C46,COM_N_2012!$B$61:$AJ$122,MATCH(VLOOKUP("*"&amp;$AW46,$A$10:$J$11,$J$9,FALSE)&amp;J$7,COM_N_2012!$B$58:$AJ$58,0),FALSE),"")</f>
        <v>0.4331646447108356</v>
      </c>
      <c r="K46" s="391" t="str">
        <f ca="1">IFERROR(VLOOKUP($C46,COM_N_2012!$B$61:$AJ$122,MATCH(VLOOKUP("*"&amp;$AW46,$A$10:$J$11,$J$9,FALSE)&amp;K$7,COM_N_2012!$B$58:$AJ$58,0),FALSE),"")</f>
        <v/>
      </c>
      <c r="L46" s="391" t="str">
        <f ca="1">IFERROR(VLOOKUP($C46,COM_N_2012!$B$61:$AJ$122,MATCH(VLOOKUP("*"&amp;$AW46,$A$10:$J$11,$J$9,FALSE)&amp;L$7,COM_N_2012!$B$58:$AJ$58,0),FALSE),"")</f>
        <v/>
      </c>
      <c r="M46" s="391">
        <f ca="1">IFERROR(VLOOKUP($C46,COM_N_2012!$B$61:$AJ$122,MATCH(VLOOKUP("*"&amp;$AW46,$A$10:$J$11,$J$9,FALSE)&amp;M$7,COM_N_2012!$B$58:$AJ$58,0),FALSE),"")</f>
        <v>0.4331646447108356</v>
      </c>
      <c r="N46" s="391" t="str">
        <f ca="1">IFERROR(VLOOKUP($C46,COM_N_2012!$B$61:$AJ$122,MATCH(VLOOKUP("*"&amp;$AW46,$A$10:$J$11,$J$9,FALSE)&amp;N$7,COM_N_2012!$B$58:$AJ$58,0),FALSE),"")</f>
        <v/>
      </c>
      <c r="O46" s="391">
        <f ca="1">IF($A46="*","",IFERROR(VLOOKUP($C46,COM_N_2017!$B$61:$AJ$122,MATCH(VLOOKUP("*"&amp;$AW46,$A$10:$J$11,$J$9,FALSE)&amp;O$7,COM_N_2017!$B$58:$AJ$58,0),FALSE),""))</f>
        <v>0.7635130059510683</v>
      </c>
      <c r="P46" s="391" t="str">
        <f ca="1">IFERROR(VLOOKUP($C46,COM_N_2012!$B$61:$AJ$122,MATCH(VLOOKUP("*"&amp;$AW46,$A$10:$J$11,$J$9,FALSE)&amp;P$7,COM_N_2012!$B$58:$AJ$58,0),FALSE),"")</f>
        <v/>
      </c>
      <c r="Q46" s="391" t="str">
        <f ca="1">IFERROR(VLOOKUP($C46,COM_N_2012!$B$61:$AJ$122,MATCH(VLOOKUP("*"&amp;$AW46,$A$10:$J$11,$J$9,FALSE)&amp;Q$7,COM_N_2012!$B$58:$AJ$58,0),FALSE),"")</f>
        <v/>
      </c>
      <c r="R46" s="391">
        <f ca="1">IF($A46="*","",IFERROR(VLOOKUP($C46,COM_N_2017!$B$61:$AJ$122,MATCH(VLOOKUP("*"&amp;$AW46,$A$10:$J$11,$J$9,FALSE)&amp;R$7,COM_N_2017!$B$58:$AJ$58,0),FALSE),""))</f>
        <v>0.7635130059510683</v>
      </c>
      <c r="S46" s="391" t="str">
        <f ca="1">IFERROR(VLOOKUP($C46,COM_N_2012!$B$61:$AJ$122,MATCH(VLOOKUP("*"&amp;$AW46,$A$10:$J$11,$J$9,FALSE)&amp;S$7,COM_N_2012!$B$58:$AJ$58,0),FALSE),"")</f>
        <v/>
      </c>
      <c r="T46" s="391" t="str">
        <f ca="1">IFERROR(VLOOKUP($C46,COM_N_2012!$B$61:$AJ$122,MATCH(VLOOKUP("*"&amp;$AW46,$A$10:$J$11,$J$9,FALSE)&amp;T$7,COM_N_2012!$B$58:$AJ$58,0),FALSE),"")</f>
        <v/>
      </c>
      <c r="U46" s="391" t="str">
        <f ca="1">IFERROR(VLOOKUP($C46,COM_N_2012!$B$61:$AJ$122,MATCH(VLOOKUP("*"&amp;$AW46,$A$10:$J$11,$J$9,FALSE)&amp;U$7,COM_N_2012!$B$58:$AJ$58,0),FALSE),"")</f>
        <v/>
      </c>
      <c r="V46" s="391" t="str">
        <f ca="1">IFERROR(VLOOKUP($C46,COM_N_2012!$B$61:$AJ$122,MATCH(VLOOKUP("*"&amp;$AW46,$A$10:$J$11,$J$9,FALSE)&amp;V$7,COM_N_2012!$B$58:$AJ$58,0),FALSE),"")</f>
        <v/>
      </c>
      <c r="W46" s="391">
        <f ca="1">IF($A46="*","",IFERROR(VLOOKUP($C46,COM_N_2017!$B$61:$AJ$122,MATCH(VLOOKUP("*"&amp;$AW46,$A$10:$J$11,$J$9,FALSE)&amp;W$7,COM_N_2017!$B$58:$AJ$58,0),FALSE),""))</f>
        <v>0.7635130059510683</v>
      </c>
      <c r="X46" s="391" t="str">
        <f ca="1">IFERROR(VLOOKUP($C46,COM_N_2012!$B$61:$AJ$122,MATCH(VLOOKUP("*"&amp;$AW46,$A$10:$J$11,$J$9,FALSE)&amp;X$7,COM_N_2012!$B$58:$AJ$58,0),FALSE),"")</f>
        <v/>
      </c>
      <c r="Y46" s="391" t="str">
        <f ca="1">IFERROR(VLOOKUP($C46,COM_N_2012!$B$61:$AJ$122,MATCH(VLOOKUP("*"&amp;$AW46,$A$10:$J$11,$J$9,FALSE)&amp;Y$7,COM_N_2012!$B$58:$AJ$58,0),FALSE),"")</f>
        <v/>
      </c>
      <c r="Z46" s="391" t="str">
        <f ca="1">IFERROR(VLOOKUP($C46,COM_N_2012!$B$61:$AJ$122,MATCH(VLOOKUP("*"&amp;$AW46,$A$10:$J$11,$J$9,FALSE)&amp;Z$7,COM_N_2012!$B$58:$AJ$58,0),FALSE),"")</f>
        <v/>
      </c>
      <c r="AA46" s="391" t="str">
        <f ca="1">IFERROR(VLOOKUP($C46,COM_N_2012!$B$61:$AJ$122,MATCH(VLOOKUP("*"&amp;$AW46,$A$10:$J$11,$J$9,FALSE)&amp;AA$7,COM_N_2012!$B$58:$AJ$58,0),FALSE),"")</f>
        <v/>
      </c>
      <c r="AB46" s="391">
        <f ca="1">IF($A46="*","",IFERROR(VLOOKUP($C46,COM_N_2017!$B$61:$AJ$122,MATCH(VLOOKUP("*"&amp;$AW46,$A$10:$J$11,$J$9,FALSE)&amp;AB$7,COM_N_2017!$B$58:$AJ$58,0),FALSE),""))</f>
        <v>0.7635130059510683</v>
      </c>
      <c r="AC46" s="391" t="str">
        <f ca="1">IFERROR(VLOOKUP($C46,COM_N_2012!$B$61:$AJ$122,MATCH(VLOOKUP("*"&amp;$AW46,$A$10:$J$11,$J$9,FALSE)&amp;AC$7,COM_N_2012!$B$58:$AJ$58,0),FALSE),"")</f>
        <v/>
      </c>
      <c r="AD46" s="391" t="str">
        <f ca="1">IFERROR(VLOOKUP($C46,COM_N_2012!$B$61:$AJ$122,MATCH(VLOOKUP("*"&amp;$AW46,$A$10:$J$11,$J$9,FALSE)&amp;AD$7,COM_N_2012!$B$58:$AJ$58,0),FALSE),"")</f>
        <v/>
      </c>
      <c r="AE46" s="391" t="str">
        <f ca="1">IFERROR(VLOOKUP($C46,COM_N_2012!$B$61:$AJ$122,MATCH(VLOOKUP("*"&amp;$AW46,$A$10:$J$11,$J$9,FALSE)&amp;AE$7,COM_N_2012!$B$58:$AJ$58,0),FALSE),"")</f>
        <v/>
      </c>
      <c r="AF46" s="391" t="str">
        <f ca="1">IFERROR(VLOOKUP($C46,COM_N_2012!$B$61:$AJ$122,MATCH(VLOOKUP("*"&amp;$AW46,$A$10:$J$11,$J$9,FALSE)&amp;AF$7,COM_N_2012!$B$58:$AJ$58,0),FALSE),"")</f>
        <v/>
      </c>
      <c r="AG46" s="391">
        <f ca="1">IF($A46="*","",IFERROR(VLOOKUP($C46,COM_N_2017!$B$61:$AJ$122,MATCH(VLOOKUP("*"&amp;$AW46,$A$10:$J$11,$J$9,FALSE)&amp;AG$7,COM_N_2017!$B$58:$AJ$58,0),FALSE),""))</f>
        <v>0.7635130059510683</v>
      </c>
      <c r="AH46" s="391" t="str">
        <f ca="1">IFERROR(VLOOKUP($C46,COM_N_2012!$B$61:$AJ$122,MATCH(VLOOKUP("*"&amp;$AW46,$A$10:$J$11,$J$9,FALSE)&amp;AH$7,COM_N_2012!$B$58:$AJ$58,0),FALSE),"")</f>
        <v/>
      </c>
      <c r="AI46" s="391" t="str">
        <f ca="1">IFERROR(VLOOKUP($C46,COM_N_2012!$B$61:$AJ$122,MATCH(VLOOKUP("*"&amp;$AW46,$A$10:$J$11,$J$9,FALSE)&amp;AI$7,COM_N_2012!$B$58:$AJ$58,0),FALSE),"")</f>
        <v/>
      </c>
      <c r="AJ46" s="391" t="str">
        <f ca="1">IFERROR(VLOOKUP($C46,COM_N_2012!$B$61:$AJ$122,MATCH(VLOOKUP("*"&amp;$AW46,$A$10:$J$11,$J$9,FALSE)&amp;AJ$7,COM_N_2012!$B$58:$AJ$58,0),FALSE),"")</f>
        <v/>
      </c>
      <c r="AK46" s="391" t="str">
        <f ca="1">IFERROR(VLOOKUP($C46,COM_N_2012!$B$61:$AJ$122,MATCH(VLOOKUP("*"&amp;$AW46,$A$10:$J$11,$J$9,FALSE)&amp;AK$7,COM_N_2012!$B$58:$AJ$58,0),FALSE),"")</f>
        <v/>
      </c>
      <c r="AL46" s="391">
        <f ca="1">IF($A46="*","",IFERROR(VLOOKUP($C46,COM_N_2017!$B$61:$AJ$122,MATCH(VLOOKUP("*"&amp;$AW46,$A$10:$J$11,$J$9,FALSE)&amp;AL$7,COM_N_2017!$B$58:$AJ$58,0),FALSE),""))</f>
        <v>0.7635130059510683</v>
      </c>
      <c r="AM46" s="391">
        <f ca="1">IF($A46="*","",IFERROR(VLOOKUP($C46,COM_N_2017!$B$61:$AJ$122,MATCH(VLOOKUP("*"&amp;$AW46,$A$10:$J$11,$J$9,FALSE)&amp;AM$7,COM_N_2017!$B$58:$AJ$58,0),FALSE),""))</f>
        <v>0.7635130059510683</v>
      </c>
      <c r="AN46" s="391">
        <f ca="1">IF($A46="*","",IFERROR(VLOOKUP($C46,COM_N_2017!$B$61:$AJ$122,MATCH(VLOOKUP("*"&amp;$AW46,$A$10:$J$11,$J$9,FALSE)&amp;AN$7,COM_N_2017!$B$58:$AJ$58,0),FALSE),""))</f>
        <v>0.7635130059510683</v>
      </c>
      <c r="AO46" s="391" t="str">
        <f ca="1">IFERROR(VLOOKUP($C46,COM_N_2012!$B$61:$AJ$122,MATCH(VLOOKUP("*"&amp;$AW46,$A$10:$J$11,$J$9,FALSE)&amp;AO$7,COM_N_2012!$B$58:$AJ$58,0),FALSE),"")</f>
        <v/>
      </c>
      <c r="AP46" s="391" t="str">
        <f ca="1">IFERROR(VLOOKUP($C46,COM_N_2012!$B$61:$AJ$122,MATCH(VLOOKUP("*"&amp;$AW46,$A$10:$J$11,$J$9,FALSE)&amp;AP$7,COM_N_2012!$B$58:$AJ$58,0),FALSE),"")</f>
        <v/>
      </c>
      <c r="AQ46" s="391" t="str">
        <f ca="1">IFERROR(VLOOKUP($C46,COM_N_2012!$B$61:$AJ$122,MATCH(VLOOKUP("*"&amp;$AW46,$A$10:$J$11,$J$9,FALSE)&amp;AQ$7,COM_N_2012!$B$58:$AJ$58,0),FALSE),"")</f>
        <v/>
      </c>
      <c r="AR46" s="391" t="str">
        <f ca="1">IFERROR(VLOOKUP($C46,COM_N_2012!$B$61:$AJ$122,MATCH(VLOOKUP("*"&amp;$AW46,$A$10:$J$11,$J$9,FALSE)&amp;AR$7,COM_N_2012!$B$58:$AJ$58,0),FALSE),"")</f>
        <v/>
      </c>
      <c r="AS46" s="391" t="str">
        <f ca="1">IFERROR(VLOOKUP($C46,COM_N_2012!$B$61:$AJ$122,MATCH(VLOOKUP("*"&amp;$AW46,$A$10:$J$11,$J$9,FALSE)&amp;AS$7,COM_N_2012!$B$58:$AJ$58,0),FALSE),"")</f>
        <v/>
      </c>
      <c r="AT46" s="391" t="str">
        <f ca="1">IFERROR(VLOOKUP($C46,COM_N_2012!$B$61:$AJ$122,MATCH(VLOOKUP("*"&amp;$AW46,$A$10:$J$11,$J$9,FALSE)&amp;AT$7,COM_N_2012!$B$58:$AJ$58,0),FALSE),"")</f>
        <v/>
      </c>
      <c r="AU46" s="391" t="str">
        <f ca="1">IFERROR(VLOOKUP($C46,COM_N_2012!$B$61:$AJ$122,MATCH(VLOOKUP("*"&amp;$AW46,$A$10:$J$11,$J$9,FALSE)&amp;AU$7,COM_N_2012!$B$58:$AJ$58,0),FALSE),"")</f>
        <v/>
      </c>
      <c r="AV46" s="391" t="str">
        <f ca="1">IFERROR(VLOOKUP($C46,COM_N_2012!$B$61:$AJ$122,MATCH(VLOOKUP("*"&amp;$AW46,$A$10:$J$11,$J$9,FALSE)&amp;AV$7,COM_N_2012!$B$58:$AJ$58,0),FALSE),"")</f>
        <v/>
      </c>
      <c r="AW46" s="304">
        <f>IF(AX45=COM_N_2012!$AK$121,AW45+1,AW45)</f>
        <v>1</v>
      </c>
      <c r="AX46" s="304">
        <f t="shared" ref="AX46:AX98" si="13">IF(AW46=AW45,AX45+1,1)</f>
        <v>34</v>
      </c>
    </row>
    <row r="47" spans="1:50">
      <c r="A47" s="304" t="str">
        <f ca="1">IF(LEFT(OFFSET(COM_N_2012!$A$60,AX47,0),2)="\I","*","")</f>
        <v/>
      </c>
      <c r="B47" s="369" t="str">
        <f t="shared" ca="1" si="11"/>
        <v>FLO_MRKPRD</v>
      </c>
      <c r="C47" s="369" t="str">
        <f ca="1">IF($A47="*","",OFFSET(COM_N_2012!$B$60,AX47,0))</f>
        <v>CNWOLP-E</v>
      </c>
      <c r="D47" s="369" t="str">
        <f t="shared" ca="1" si="12"/>
        <v>CNW</v>
      </c>
      <c r="E47" s="369" t="str">
        <f t="shared" ca="1" si="8"/>
        <v>-</v>
      </c>
      <c r="F47" s="370" t="str">
        <f t="shared" ca="1" si="9"/>
        <v>-</v>
      </c>
      <c r="G47" s="370" t="str">
        <f t="shared" ca="1" si="9"/>
        <v>ANNUAL</v>
      </c>
      <c r="H47" s="370" t="str">
        <f t="shared" ca="1" si="10"/>
        <v>UP</v>
      </c>
      <c r="I47" s="370">
        <f t="shared" ca="1" si="10"/>
        <v>0</v>
      </c>
      <c r="J47" s="391">
        <f ca="1">IFERROR(VLOOKUP($C47,COM_N_2012!$B$61:$AJ$122,MATCH(VLOOKUP("*"&amp;$AW47,$A$10:$J$11,$J$9,FALSE)&amp;J$7,COM_N_2012!$B$58:$AJ$58,0),FALSE),"")</f>
        <v>0.25981655577708179</v>
      </c>
      <c r="K47" s="391" t="str">
        <f ca="1">IFERROR(VLOOKUP($C47,COM_N_2012!$B$61:$AJ$122,MATCH(VLOOKUP("*"&amp;$AW47,$A$10:$J$11,$J$9,FALSE)&amp;K$7,COM_N_2012!$B$58:$AJ$58,0),FALSE),"")</f>
        <v/>
      </c>
      <c r="L47" s="391" t="str">
        <f ca="1">IFERROR(VLOOKUP($C47,COM_N_2012!$B$61:$AJ$122,MATCH(VLOOKUP("*"&amp;$AW47,$A$10:$J$11,$J$9,FALSE)&amp;L$7,COM_N_2012!$B$58:$AJ$58,0),FALSE),"")</f>
        <v/>
      </c>
      <c r="M47" s="391">
        <f ca="1">IFERROR(VLOOKUP($C47,COM_N_2012!$B$61:$AJ$122,MATCH(VLOOKUP("*"&amp;$AW47,$A$10:$J$11,$J$9,FALSE)&amp;M$7,COM_N_2012!$B$58:$AJ$58,0),FALSE),"")</f>
        <v>0.25981655577708179</v>
      </c>
      <c r="N47" s="391" t="str">
        <f ca="1">IFERROR(VLOOKUP($C47,COM_N_2012!$B$61:$AJ$122,MATCH(VLOOKUP("*"&amp;$AW47,$A$10:$J$11,$J$9,FALSE)&amp;N$7,COM_N_2012!$B$58:$AJ$58,0),FALSE),"")</f>
        <v/>
      </c>
      <c r="O47" s="391">
        <f ca="1">IF($A47="*","",IFERROR(VLOOKUP($C47,COM_N_2017!$B$61:$AJ$122,MATCH(VLOOKUP("*"&amp;$AW47,$A$10:$J$11,$J$9,FALSE)&amp;O$7,COM_N_2017!$B$58:$AJ$58,0),FALSE),""))</f>
        <v>2.8152477272266215E-2</v>
      </c>
      <c r="P47" s="391" t="str">
        <f ca="1">IFERROR(VLOOKUP($C47,COM_N_2012!$B$61:$AJ$122,MATCH(VLOOKUP("*"&amp;$AW47,$A$10:$J$11,$J$9,FALSE)&amp;P$7,COM_N_2012!$B$58:$AJ$58,0),FALSE),"")</f>
        <v/>
      </c>
      <c r="Q47" s="391" t="str">
        <f ca="1">IFERROR(VLOOKUP($C47,COM_N_2012!$B$61:$AJ$122,MATCH(VLOOKUP("*"&amp;$AW47,$A$10:$J$11,$J$9,FALSE)&amp;Q$7,COM_N_2012!$B$58:$AJ$58,0),FALSE),"")</f>
        <v/>
      </c>
      <c r="R47" s="391">
        <f ca="1">IF($A47="*","",IFERROR(VLOOKUP($C47,COM_N_2017!$B$61:$AJ$122,MATCH(VLOOKUP("*"&amp;$AW47,$A$10:$J$11,$J$9,FALSE)&amp;R$7,COM_N_2017!$B$58:$AJ$58,0),FALSE),""))</f>
        <v>5.8152477272266218E-2</v>
      </c>
      <c r="S47" s="391" t="str">
        <f ca="1">IFERROR(VLOOKUP($C47,COM_N_2012!$B$61:$AJ$122,MATCH(VLOOKUP("*"&amp;$AW47,$A$10:$J$11,$J$9,FALSE)&amp;S$7,COM_N_2012!$B$58:$AJ$58,0),FALSE),"")</f>
        <v/>
      </c>
      <c r="T47" s="391" t="str">
        <f ca="1">IFERROR(VLOOKUP($C47,COM_N_2012!$B$61:$AJ$122,MATCH(VLOOKUP("*"&amp;$AW47,$A$10:$J$11,$J$9,FALSE)&amp;T$7,COM_N_2012!$B$58:$AJ$58,0),FALSE),"")</f>
        <v/>
      </c>
      <c r="U47" s="391" t="str">
        <f ca="1">IFERROR(VLOOKUP($C47,COM_N_2012!$B$61:$AJ$122,MATCH(VLOOKUP("*"&amp;$AW47,$A$10:$J$11,$J$9,FALSE)&amp;U$7,COM_N_2012!$B$58:$AJ$58,0),FALSE),"")</f>
        <v/>
      </c>
      <c r="V47" s="391" t="str">
        <f ca="1">IFERROR(VLOOKUP($C47,COM_N_2012!$B$61:$AJ$122,MATCH(VLOOKUP("*"&amp;$AW47,$A$10:$J$11,$J$9,FALSE)&amp;V$7,COM_N_2012!$B$58:$AJ$58,0),FALSE),"")</f>
        <v/>
      </c>
      <c r="W47" s="391">
        <f ca="1">IF($A47="*","",IFERROR(VLOOKUP($C47,COM_N_2017!$B$61:$AJ$122,MATCH(VLOOKUP("*"&amp;$AW47,$A$10:$J$11,$J$9,FALSE)&amp;W$7,COM_N_2017!$B$58:$AJ$58,0),FALSE),""))</f>
        <v>0.12815247727226622</v>
      </c>
      <c r="X47" s="391" t="str">
        <f ca="1">IFERROR(VLOOKUP($C47,COM_N_2012!$B$61:$AJ$122,MATCH(VLOOKUP("*"&amp;$AW47,$A$10:$J$11,$J$9,FALSE)&amp;X$7,COM_N_2012!$B$58:$AJ$58,0),FALSE),"")</f>
        <v/>
      </c>
      <c r="Y47" s="391" t="str">
        <f ca="1">IFERROR(VLOOKUP($C47,COM_N_2012!$B$61:$AJ$122,MATCH(VLOOKUP("*"&amp;$AW47,$A$10:$J$11,$J$9,FALSE)&amp;Y$7,COM_N_2012!$B$58:$AJ$58,0),FALSE),"")</f>
        <v/>
      </c>
      <c r="Z47" s="391" t="str">
        <f ca="1">IFERROR(VLOOKUP($C47,COM_N_2012!$B$61:$AJ$122,MATCH(VLOOKUP("*"&amp;$AW47,$A$10:$J$11,$J$9,FALSE)&amp;Z$7,COM_N_2012!$B$58:$AJ$58,0),FALSE),"")</f>
        <v/>
      </c>
      <c r="AA47" s="391" t="str">
        <f ca="1">IFERROR(VLOOKUP($C47,COM_N_2012!$B$61:$AJ$122,MATCH(VLOOKUP("*"&amp;$AW47,$A$10:$J$11,$J$9,FALSE)&amp;AA$7,COM_N_2012!$B$58:$AJ$58,0),FALSE),"")</f>
        <v/>
      </c>
      <c r="AB47" s="391">
        <f ca="1">IF($A47="*","",IFERROR(VLOOKUP($C47,COM_N_2017!$B$61:$AJ$122,MATCH(VLOOKUP("*"&amp;$AW47,$A$10:$J$11,$J$9,FALSE)&amp;AB$7,COM_N_2017!$B$58:$AJ$58,0),FALSE),""))</f>
        <v>0.32815247727226621</v>
      </c>
      <c r="AC47" s="391" t="str">
        <f ca="1">IFERROR(VLOOKUP($C47,COM_N_2012!$B$61:$AJ$122,MATCH(VLOOKUP("*"&amp;$AW47,$A$10:$J$11,$J$9,FALSE)&amp;AC$7,COM_N_2012!$B$58:$AJ$58,0),FALSE),"")</f>
        <v/>
      </c>
      <c r="AD47" s="391" t="str">
        <f ca="1">IFERROR(VLOOKUP($C47,COM_N_2012!$B$61:$AJ$122,MATCH(VLOOKUP("*"&amp;$AW47,$A$10:$J$11,$J$9,FALSE)&amp;AD$7,COM_N_2012!$B$58:$AJ$58,0),FALSE),"")</f>
        <v/>
      </c>
      <c r="AE47" s="391" t="str">
        <f ca="1">IFERROR(VLOOKUP($C47,COM_N_2012!$B$61:$AJ$122,MATCH(VLOOKUP("*"&amp;$AW47,$A$10:$J$11,$J$9,FALSE)&amp;AE$7,COM_N_2012!$B$58:$AJ$58,0),FALSE),"")</f>
        <v/>
      </c>
      <c r="AF47" s="391" t="str">
        <f ca="1">IFERROR(VLOOKUP($C47,COM_N_2012!$B$61:$AJ$122,MATCH(VLOOKUP("*"&amp;$AW47,$A$10:$J$11,$J$9,FALSE)&amp;AF$7,COM_N_2012!$B$58:$AJ$58,0),FALSE),"")</f>
        <v/>
      </c>
      <c r="AG47" s="391">
        <f ca="1">IF($A47="*","",IFERROR(VLOOKUP($C47,COM_N_2017!$B$61:$AJ$122,MATCH(VLOOKUP("*"&amp;$AW47,$A$10:$J$11,$J$9,FALSE)&amp;AG$7,COM_N_2017!$B$58:$AJ$58,0),FALSE),""))</f>
        <v>0.52815247727226622</v>
      </c>
      <c r="AH47" s="391" t="str">
        <f ca="1">IFERROR(VLOOKUP($C47,COM_N_2012!$B$61:$AJ$122,MATCH(VLOOKUP("*"&amp;$AW47,$A$10:$J$11,$J$9,FALSE)&amp;AH$7,COM_N_2012!$B$58:$AJ$58,0),FALSE),"")</f>
        <v/>
      </c>
      <c r="AI47" s="391" t="str">
        <f ca="1">IFERROR(VLOOKUP($C47,COM_N_2012!$B$61:$AJ$122,MATCH(VLOOKUP("*"&amp;$AW47,$A$10:$J$11,$J$9,FALSE)&amp;AI$7,COM_N_2012!$B$58:$AJ$58,0),FALSE),"")</f>
        <v/>
      </c>
      <c r="AJ47" s="391" t="str">
        <f ca="1">IFERROR(VLOOKUP($C47,COM_N_2012!$B$61:$AJ$122,MATCH(VLOOKUP("*"&amp;$AW47,$A$10:$J$11,$J$9,FALSE)&amp;AJ$7,COM_N_2012!$B$58:$AJ$58,0),FALSE),"")</f>
        <v/>
      </c>
      <c r="AK47" s="391" t="str">
        <f ca="1">IFERROR(VLOOKUP($C47,COM_N_2012!$B$61:$AJ$122,MATCH(VLOOKUP("*"&amp;$AW47,$A$10:$J$11,$J$9,FALSE)&amp;AK$7,COM_N_2012!$B$58:$AJ$58,0),FALSE),"")</f>
        <v/>
      </c>
      <c r="AL47" s="391">
        <f ca="1">IF($A47="*","",IFERROR(VLOOKUP($C47,COM_N_2017!$B$61:$AJ$122,MATCH(VLOOKUP("*"&amp;$AW47,$A$10:$J$11,$J$9,FALSE)&amp;AL$7,COM_N_2017!$B$58:$AJ$58,0),FALSE),""))</f>
        <v>0.72815247727226617</v>
      </c>
      <c r="AM47" s="391">
        <f ca="1">IF($A47="*","",IFERROR(VLOOKUP($C47,COM_N_2017!$B$61:$AJ$122,MATCH(VLOOKUP("*"&amp;$AW47,$A$10:$J$11,$J$9,FALSE)&amp;AM$7,COM_N_2017!$B$58:$AJ$58,0),FALSE),""))</f>
        <v>0.92815247727226624</v>
      </c>
      <c r="AN47" s="391">
        <f ca="1">IF($A47="*","",IFERROR(VLOOKUP($C47,COM_N_2017!$B$61:$AJ$122,MATCH(VLOOKUP("*"&amp;$AW47,$A$10:$J$11,$J$9,FALSE)&amp;AN$7,COM_N_2017!$B$58:$AJ$58,0),FALSE),""))</f>
        <v>1</v>
      </c>
      <c r="AO47" s="391" t="str">
        <f ca="1">IFERROR(VLOOKUP($C47,COM_N_2012!$B$61:$AJ$122,MATCH(VLOOKUP("*"&amp;$AW47,$A$10:$J$11,$J$9,FALSE)&amp;AO$7,COM_N_2012!$B$58:$AJ$58,0),FALSE),"")</f>
        <v/>
      </c>
      <c r="AP47" s="391" t="str">
        <f ca="1">IFERROR(VLOOKUP($C47,COM_N_2012!$B$61:$AJ$122,MATCH(VLOOKUP("*"&amp;$AW47,$A$10:$J$11,$J$9,FALSE)&amp;AP$7,COM_N_2012!$B$58:$AJ$58,0),FALSE),"")</f>
        <v/>
      </c>
      <c r="AQ47" s="391" t="str">
        <f ca="1">IFERROR(VLOOKUP($C47,COM_N_2012!$B$61:$AJ$122,MATCH(VLOOKUP("*"&amp;$AW47,$A$10:$J$11,$J$9,FALSE)&amp;AQ$7,COM_N_2012!$B$58:$AJ$58,0),FALSE),"")</f>
        <v/>
      </c>
      <c r="AR47" s="391" t="str">
        <f ca="1">IFERROR(VLOOKUP($C47,COM_N_2012!$B$61:$AJ$122,MATCH(VLOOKUP("*"&amp;$AW47,$A$10:$J$11,$J$9,FALSE)&amp;AR$7,COM_N_2012!$B$58:$AJ$58,0),FALSE),"")</f>
        <v/>
      </c>
      <c r="AS47" s="391" t="str">
        <f ca="1">IFERROR(VLOOKUP($C47,COM_N_2012!$B$61:$AJ$122,MATCH(VLOOKUP("*"&amp;$AW47,$A$10:$J$11,$J$9,FALSE)&amp;AS$7,COM_N_2012!$B$58:$AJ$58,0),FALSE),"")</f>
        <v/>
      </c>
      <c r="AT47" s="391" t="str">
        <f ca="1">IFERROR(VLOOKUP($C47,COM_N_2012!$B$61:$AJ$122,MATCH(VLOOKUP("*"&amp;$AW47,$A$10:$J$11,$J$9,FALSE)&amp;AT$7,COM_N_2012!$B$58:$AJ$58,0),FALSE),"")</f>
        <v/>
      </c>
      <c r="AU47" s="391" t="str">
        <f ca="1">IFERROR(VLOOKUP($C47,COM_N_2012!$B$61:$AJ$122,MATCH(VLOOKUP("*"&amp;$AW47,$A$10:$J$11,$J$9,FALSE)&amp;AU$7,COM_N_2012!$B$58:$AJ$58,0),FALSE),"")</f>
        <v/>
      </c>
      <c r="AV47" s="391" t="str">
        <f ca="1">IFERROR(VLOOKUP($C47,COM_N_2012!$B$61:$AJ$122,MATCH(VLOOKUP("*"&amp;$AW47,$A$10:$J$11,$J$9,FALSE)&amp;AV$7,COM_N_2012!$B$58:$AJ$58,0),FALSE),"")</f>
        <v/>
      </c>
      <c r="AW47" s="304">
        <f>IF(AX46=COM_N_2012!$AK$121,AW46+1,AW46)</f>
        <v>1</v>
      </c>
      <c r="AX47" s="304">
        <f t="shared" si="13"/>
        <v>35</v>
      </c>
    </row>
    <row r="48" spans="1:50">
      <c r="A48" s="304" t="str">
        <f ca="1">IF(LEFT(OFFSET(COM_N_2012!$A$60,AX48,0),2)="\I","*","")</f>
        <v/>
      </c>
      <c r="B48" s="369" t="str">
        <f t="shared" ca="1" si="11"/>
        <v>FLO_MRKPRD</v>
      </c>
      <c r="C48" s="369" t="str">
        <f ca="1">IF($A48="*","",OFFSET(COM_N_2012!$B$60,AX48,0))</f>
        <v>CNWGAS-E</v>
      </c>
      <c r="D48" s="369" t="str">
        <f t="shared" ca="1" si="12"/>
        <v>CNW</v>
      </c>
      <c r="E48" s="369" t="str">
        <f t="shared" ca="1" si="8"/>
        <v>-</v>
      </c>
      <c r="F48" s="370" t="str">
        <f t="shared" ca="1" si="9"/>
        <v>-</v>
      </c>
      <c r="G48" s="370" t="str">
        <f t="shared" ca="1" si="9"/>
        <v>ANNUAL</v>
      </c>
      <c r="H48" s="370" t="str">
        <f t="shared" ca="1" si="10"/>
        <v>UP</v>
      </c>
      <c r="I48" s="370">
        <f t="shared" ca="1" si="10"/>
        <v>0</v>
      </c>
      <c r="J48" s="391">
        <f ca="1">IFERROR(VLOOKUP($C48,COM_N_2012!$B$61:$AJ$122,MATCH(VLOOKUP("*"&amp;$AW48,$A$10:$J$11,$J$9,FALSE)&amp;J$7,COM_N_2012!$B$58:$AJ$58,0),FALSE),"")</f>
        <v>1.8097859932997725E-3</v>
      </c>
      <c r="K48" s="391" t="str">
        <f ca="1">IFERROR(VLOOKUP($C48,COM_N_2012!$B$61:$AJ$122,MATCH(VLOOKUP("*"&amp;$AW48,$A$10:$J$11,$J$9,FALSE)&amp;K$7,COM_N_2012!$B$58:$AJ$58,0),FALSE),"")</f>
        <v/>
      </c>
      <c r="L48" s="391" t="str">
        <f ca="1">IFERROR(VLOOKUP($C48,COM_N_2012!$B$61:$AJ$122,MATCH(VLOOKUP("*"&amp;$AW48,$A$10:$J$11,$J$9,FALSE)&amp;L$7,COM_N_2012!$B$58:$AJ$58,0),FALSE),"")</f>
        <v/>
      </c>
      <c r="M48" s="391">
        <f ca="1">IFERROR(VLOOKUP($C48,COM_N_2012!$B$61:$AJ$122,MATCH(VLOOKUP("*"&amp;$AW48,$A$10:$J$11,$J$9,FALSE)&amp;M$7,COM_N_2012!$B$58:$AJ$58,0),FALSE),"")</f>
        <v>1.8097859932997725E-3</v>
      </c>
      <c r="N48" s="391" t="str">
        <f ca="1">IFERROR(VLOOKUP($C48,COM_N_2012!$B$61:$AJ$122,MATCH(VLOOKUP("*"&amp;$AW48,$A$10:$J$11,$J$9,FALSE)&amp;N$7,COM_N_2012!$B$58:$AJ$58,0),FALSE),"")</f>
        <v/>
      </c>
      <c r="O48" s="391">
        <f ca="1">IF($A48="*","",IFERROR(VLOOKUP($C48,COM_N_2017!$B$61:$AJ$122,MATCH(VLOOKUP("*"&amp;$AW48,$A$10:$J$11,$J$9,FALSE)&amp;O$7,COM_N_2017!$B$58:$AJ$58,0),FALSE),""))</f>
        <v>6.3298969282823983E-2</v>
      </c>
      <c r="P48" s="391" t="str">
        <f ca="1">IFERROR(VLOOKUP($C48,COM_N_2012!$B$61:$AJ$122,MATCH(VLOOKUP("*"&amp;$AW48,$A$10:$J$11,$J$9,FALSE)&amp;P$7,COM_N_2012!$B$58:$AJ$58,0),FALSE),"")</f>
        <v/>
      </c>
      <c r="Q48" s="391" t="str">
        <f ca="1">IFERROR(VLOOKUP($C48,COM_N_2012!$B$61:$AJ$122,MATCH(VLOOKUP("*"&amp;$AW48,$A$10:$J$11,$J$9,FALSE)&amp;Q$7,COM_N_2012!$B$58:$AJ$58,0),FALSE),"")</f>
        <v/>
      </c>
      <c r="R48" s="391">
        <f ca="1">IF($A48="*","",IFERROR(VLOOKUP($C48,COM_N_2017!$B$61:$AJ$122,MATCH(VLOOKUP("*"&amp;$AW48,$A$10:$J$11,$J$9,FALSE)&amp;R$7,COM_N_2017!$B$58:$AJ$58,0),FALSE),""))</f>
        <v>9.3298969282823982E-2</v>
      </c>
      <c r="S48" s="391" t="str">
        <f ca="1">IFERROR(VLOOKUP($C48,COM_N_2012!$B$61:$AJ$122,MATCH(VLOOKUP("*"&amp;$AW48,$A$10:$J$11,$J$9,FALSE)&amp;S$7,COM_N_2012!$B$58:$AJ$58,0),FALSE),"")</f>
        <v/>
      </c>
      <c r="T48" s="391" t="str">
        <f ca="1">IFERROR(VLOOKUP($C48,COM_N_2012!$B$61:$AJ$122,MATCH(VLOOKUP("*"&amp;$AW48,$A$10:$J$11,$J$9,FALSE)&amp;T$7,COM_N_2012!$B$58:$AJ$58,0),FALSE),"")</f>
        <v/>
      </c>
      <c r="U48" s="391" t="str">
        <f ca="1">IFERROR(VLOOKUP($C48,COM_N_2012!$B$61:$AJ$122,MATCH(VLOOKUP("*"&amp;$AW48,$A$10:$J$11,$J$9,FALSE)&amp;U$7,COM_N_2012!$B$58:$AJ$58,0),FALSE),"")</f>
        <v/>
      </c>
      <c r="V48" s="391" t="str">
        <f ca="1">IFERROR(VLOOKUP($C48,COM_N_2012!$B$61:$AJ$122,MATCH(VLOOKUP("*"&amp;$AW48,$A$10:$J$11,$J$9,FALSE)&amp;V$7,COM_N_2012!$B$58:$AJ$58,0),FALSE),"")</f>
        <v/>
      </c>
      <c r="W48" s="391">
        <f ca="1">IF($A48="*","",IFERROR(VLOOKUP($C48,COM_N_2017!$B$61:$AJ$122,MATCH(VLOOKUP("*"&amp;$AW48,$A$10:$J$11,$J$9,FALSE)&amp;W$7,COM_N_2017!$B$58:$AJ$58,0),FALSE),""))</f>
        <v>0.163298969282824</v>
      </c>
      <c r="X48" s="391" t="str">
        <f ca="1">IFERROR(VLOOKUP($C48,COM_N_2012!$B$61:$AJ$122,MATCH(VLOOKUP("*"&amp;$AW48,$A$10:$J$11,$J$9,FALSE)&amp;X$7,COM_N_2012!$B$58:$AJ$58,0),FALSE),"")</f>
        <v/>
      </c>
      <c r="Y48" s="391" t="str">
        <f ca="1">IFERROR(VLOOKUP($C48,COM_N_2012!$B$61:$AJ$122,MATCH(VLOOKUP("*"&amp;$AW48,$A$10:$J$11,$J$9,FALSE)&amp;Y$7,COM_N_2012!$B$58:$AJ$58,0),FALSE),"")</f>
        <v/>
      </c>
      <c r="Z48" s="391" t="str">
        <f ca="1">IFERROR(VLOOKUP($C48,COM_N_2012!$B$61:$AJ$122,MATCH(VLOOKUP("*"&amp;$AW48,$A$10:$J$11,$J$9,FALSE)&amp;Z$7,COM_N_2012!$B$58:$AJ$58,0),FALSE),"")</f>
        <v/>
      </c>
      <c r="AA48" s="391" t="str">
        <f ca="1">IFERROR(VLOOKUP($C48,COM_N_2012!$B$61:$AJ$122,MATCH(VLOOKUP("*"&amp;$AW48,$A$10:$J$11,$J$9,FALSE)&amp;AA$7,COM_N_2012!$B$58:$AJ$58,0),FALSE),"")</f>
        <v/>
      </c>
      <c r="AB48" s="391">
        <f ca="1">IF($A48="*","",IFERROR(VLOOKUP($C48,COM_N_2017!$B$61:$AJ$122,MATCH(VLOOKUP("*"&amp;$AW48,$A$10:$J$11,$J$9,FALSE)&amp;AB$7,COM_N_2017!$B$58:$AJ$58,0),FALSE),""))</f>
        <v>0.36329896928282396</v>
      </c>
      <c r="AC48" s="391" t="str">
        <f ca="1">IFERROR(VLOOKUP($C48,COM_N_2012!$B$61:$AJ$122,MATCH(VLOOKUP("*"&amp;$AW48,$A$10:$J$11,$J$9,FALSE)&amp;AC$7,COM_N_2012!$B$58:$AJ$58,0),FALSE),"")</f>
        <v/>
      </c>
      <c r="AD48" s="391" t="str">
        <f ca="1">IFERROR(VLOOKUP($C48,COM_N_2012!$B$61:$AJ$122,MATCH(VLOOKUP("*"&amp;$AW48,$A$10:$J$11,$J$9,FALSE)&amp;AD$7,COM_N_2012!$B$58:$AJ$58,0),FALSE),"")</f>
        <v/>
      </c>
      <c r="AE48" s="391" t="str">
        <f ca="1">IFERROR(VLOOKUP($C48,COM_N_2012!$B$61:$AJ$122,MATCH(VLOOKUP("*"&amp;$AW48,$A$10:$J$11,$J$9,FALSE)&amp;AE$7,COM_N_2012!$B$58:$AJ$58,0),FALSE),"")</f>
        <v/>
      </c>
      <c r="AF48" s="391" t="str">
        <f ca="1">IFERROR(VLOOKUP($C48,COM_N_2012!$B$61:$AJ$122,MATCH(VLOOKUP("*"&amp;$AW48,$A$10:$J$11,$J$9,FALSE)&amp;AF$7,COM_N_2012!$B$58:$AJ$58,0),FALSE),"")</f>
        <v/>
      </c>
      <c r="AG48" s="391">
        <f ca="1">IF($A48="*","",IFERROR(VLOOKUP($C48,COM_N_2017!$B$61:$AJ$122,MATCH(VLOOKUP("*"&amp;$AW48,$A$10:$J$11,$J$9,FALSE)&amp;AG$7,COM_N_2017!$B$58:$AJ$58,0),FALSE),""))</f>
        <v>0.56329896928282397</v>
      </c>
      <c r="AH48" s="391" t="str">
        <f ca="1">IFERROR(VLOOKUP($C48,COM_N_2012!$B$61:$AJ$122,MATCH(VLOOKUP("*"&amp;$AW48,$A$10:$J$11,$J$9,FALSE)&amp;AH$7,COM_N_2012!$B$58:$AJ$58,0),FALSE),"")</f>
        <v/>
      </c>
      <c r="AI48" s="391" t="str">
        <f ca="1">IFERROR(VLOOKUP($C48,COM_N_2012!$B$61:$AJ$122,MATCH(VLOOKUP("*"&amp;$AW48,$A$10:$J$11,$J$9,FALSE)&amp;AI$7,COM_N_2012!$B$58:$AJ$58,0),FALSE),"")</f>
        <v/>
      </c>
      <c r="AJ48" s="391" t="str">
        <f ca="1">IFERROR(VLOOKUP($C48,COM_N_2012!$B$61:$AJ$122,MATCH(VLOOKUP("*"&amp;$AW48,$A$10:$J$11,$J$9,FALSE)&amp;AJ$7,COM_N_2012!$B$58:$AJ$58,0),FALSE),"")</f>
        <v/>
      </c>
      <c r="AK48" s="391" t="str">
        <f ca="1">IFERROR(VLOOKUP($C48,COM_N_2012!$B$61:$AJ$122,MATCH(VLOOKUP("*"&amp;$AW48,$A$10:$J$11,$J$9,FALSE)&amp;AK$7,COM_N_2012!$B$58:$AJ$58,0),FALSE),"")</f>
        <v/>
      </c>
      <c r="AL48" s="391">
        <f ca="1">IF($A48="*","",IFERROR(VLOOKUP($C48,COM_N_2017!$B$61:$AJ$122,MATCH(VLOOKUP("*"&amp;$AW48,$A$10:$J$11,$J$9,FALSE)&amp;AL$7,COM_N_2017!$B$58:$AJ$58,0),FALSE),""))</f>
        <v>0.76329896928282392</v>
      </c>
      <c r="AM48" s="391">
        <f ca="1">IF($A48="*","",IFERROR(VLOOKUP($C48,COM_N_2017!$B$61:$AJ$122,MATCH(VLOOKUP("*"&amp;$AW48,$A$10:$J$11,$J$9,FALSE)&amp;AM$7,COM_N_2017!$B$58:$AJ$58,0),FALSE),""))</f>
        <v>0.96329896928282399</v>
      </c>
      <c r="AN48" s="391">
        <f ca="1">IF($A48="*","",IFERROR(VLOOKUP($C48,COM_N_2017!$B$61:$AJ$122,MATCH(VLOOKUP("*"&amp;$AW48,$A$10:$J$11,$J$9,FALSE)&amp;AN$7,COM_N_2017!$B$58:$AJ$58,0),FALSE),""))</f>
        <v>1</v>
      </c>
      <c r="AO48" s="391" t="str">
        <f ca="1">IFERROR(VLOOKUP($C48,COM_N_2012!$B$61:$AJ$122,MATCH(VLOOKUP("*"&amp;$AW48,$A$10:$J$11,$J$9,FALSE)&amp;AO$7,COM_N_2012!$B$58:$AJ$58,0),FALSE),"")</f>
        <v/>
      </c>
      <c r="AP48" s="391" t="str">
        <f ca="1">IFERROR(VLOOKUP($C48,COM_N_2012!$B$61:$AJ$122,MATCH(VLOOKUP("*"&amp;$AW48,$A$10:$J$11,$J$9,FALSE)&amp;AP$7,COM_N_2012!$B$58:$AJ$58,0),FALSE),"")</f>
        <v/>
      </c>
      <c r="AQ48" s="391" t="str">
        <f ca="1">IFERROR(VLOOKUP($C48,COM_N_2012!$B$61:$AJ$122,MATCH(VLOOKUP("*"&amp;$AW48,$A$10:$J$11,$J$9,FALSE)&amp;AQ$7,COM_N_2012!$B$58:$AJ$58,0),FALSE),"")</f>
        <v/>
      </c>
      <c r="AR48" s="391" t="str">
        <f ca="1">IFERROR(VLOOKUP($C48,COM_N_2012!$B$61:$AJ$122,MATCH(VLOOKUP("*"&amp;$AW48,$A$10:$J$11,$J$9,FALSE)&amp;AR$7,COM_N_2012!$B$58:$AJ$58,0),FALSE),"")</f>
        <v/>
      </c>
      <c r="AS48" s="391" t="str">
        <f ca="1">IFERROR(VLOOKUP($C48,COM_N_2012!$B$61:$AJ$122,MATCH(VLOOKUP("*"&amp;$AW48,$A$10:$J$11,$J$9,FALSE)&amp;AS$7,COM_N_2012!$B$58:$AJ$58,0),FALSE),"")</f>
        <v/>
      </c>
      <c r="AT48" s="391" t="str">
        <f ca="1">IFERROR(VLOOKUP($C48,COM_N_2012!$B$61:$AJ$122,MATCH(VLOOKUP("*"&amp;$AW48,$A$10:$J$11,$J$9,FALSE)&amp;AT$7,COM_N_2012!$B$58:$AJ$58,0),FALSE),"")</f>
        <v/>
      </c>
      <c r="AU48" s="391" t="str">
        <f ca="1">IFERROR(VLOOKUP($C48,COM_N_2012!$B$61:$AJ$122,MATCH(VLOOKUP("*"&amp;$AW48,$A$10:$J$11,$J$9,FALSE)&amp;AU$7,COM_N_2012!$B$58:$AJ$58,0),FALSE),"")</f>
        <v/>
      </c>
      <c r="AV48" s="391" t="str">
        <f ca="1">IFERROR(VLOOKUP($C48,COM_N_2012!$B$61:$AJ$122,MATCH(VLOOKUP("*"&amp;$AW48,$A$10:$J$11,$J$9,FALSE)&amp;AV$7,COM_N_2012!$B$58:$AJ$58,0),FALSE),"")</f>
        <v/>
      </c>
      <c r="AW48" s="304">
        <f>IF(AX47=COM_N_2012!$AK$121,AW47+1,AW47)</f>
        <v>1</v>
      </c>
      <c r="AX48" s="304">
        <f t="shared" si="13"/>
        <v>36</v>
      </c>
    </row>
    <row r="49" spans="1:50">
      <c r="A49" s="304" t="str">
        <f ca="1">IF(LEFT(OFFSET(COM_N_2012!$A$60,AX49,0),2)="\I","*","")</f>
        <v/>
      </c>
      <c r="B49" s="369" t="str">
        <f t="shared" ca="1" si="11"/>
        <v>FLO_MRKPRD</v>
      </c>
      <c r="C49" s="369" t="str">
        <f ca="1">IF($A49="*","",OFFSET(COM_N_2012!$B$60,AX49,0))</f>
        <v>CNWOKE-E</v>
      </c>
      <c r="D49" s="369" t="str">
        <f t="shared" ca="1" si="12"/>
        <v>CNW</v>
      </c>
      <c r="E49" s="369" t="str">
        <f t="shared" ca="1" si="8"/>
        <v>-</v>
      </c>
      <c r="F49" s="370" t="str">
        <f t="shared" ca="1" si="9"/>
        <v>-</v>
      </c>
      <c r="G49" s="370" t="str">
        <f t="shared" ca="1" si="9"/>
        <v>ANNUAL</v>
      </c>
      <c r="H49" s="370" t="str">
        <f t="shared" ca="1" si="10"/>
        <v>UP</v>
      </c>
      <c r="I49" s="370">
        <f t="shared" ca="1" si="10"/>
        <v>0</v>
      </c>
      <c r="J49" s="391">
        <f ca="1">IFERROR(VLOOKUP($C49,COM_N_2012!$B$61:$AJ$122,MATCH(VLOOKUP("*"&amp;$AW49,$A$10:$J$11,$J$9,FALSE)&amp;J$7,COM_N_2012!$B$58:$AJ$58,0),FALSE),"")</f>
        <v>0.18907456644405796</v>
      </c>
      <c r="K49" s="391" t="str">
        <f ca="1">IFERROR(VLOOKUP($C49,COM_N_2012!$B$61:$AJ$122,MATCH(VLOOKUP("*"&amp;$AW49,$A$10:$J$11,$J$9,FALSE)&amp;K$7,COM_N_2012!$B$58:$AJ$58,0),FALSE),"")</f>
        <v/>
      </c>
      <c r="L49" s="391" t="str">
        <f ca="1">IFERROR(VLOOKUP($C49,COM_N_2012!$B$61:$AJ$122,MATCH(VLOOKUP("*"&amp;$AW49,$A$10:$J$11,$J$9,FALSE)&amp;L$7,COM_N_2012!$B$58:$AJ$58,0),FALSE),"")</f>
        <v/>
      </c>
      <c r="M49" s="391">
        <f ca="1">IFERROR(VLOOKUP($C49,COM_N_2012!$B$61:$AJ$122,MATCH(VLOOKUP("*"&amp;$AW49,$A$10:$J$11,$J$9,FALSE)&amp;M$7,COM_N_2012!$B$58:$AJ$58,0),FALSE),"")</f>
        <v>0.18907456644405796</v>
      </c>
      <c r="N49" s="391" t="str">
        <f ca="1">IFERROR(VLOOKUP($C49,COM_N_2012!$B$61:$AJ$122,MATCH(VLOOKUP("*"&amp;$AW49,$A$10:$J$11,$J$9,FALSE)&amp;N$7,COM_N_2012!$B$58:$AJ$58,0),FALSE),"")</f>
        <v/>
      </c>
      <c r="O49" s="391">
        <f ca="1">IF($A49="*","",IFERROR(VLOOKUP($C49,COM_N_2017!$B$61:$AJ$122,MATCH(VLOOKUP("*"&amp;$AW49,$A$10:$J$11,$J$9,FALSE)&amp;O$7,COM_N_2017!$B$58:$AJ$58,0),FALSE),""))</f>
        <v>3.8538595787475684E-2</v>
      </c>
      <c r="P49" s="391" t="str">
        <f ca="1">IFERROR(VLOOKUP($C49,COM_N_2012!$B$61:$AJ$122,MATCH(VLOOKUP("*"&amp;$AW49,$A$10:$J$11,$J$9,FALSE)&amp;P$7,COM_N_2012!$B$58:$AJ$58,0),FALSE),"")</f>
        <v/>
      </c>
      <c r="Q49" s="391" t="str">
        <f ca="1">IFERROR(VLOOKUP($C49,COM_N_2012!$B$61:$AJ$122,MATCH(VLOOKUP("*"&amp;$AW49,$A$10:$J$11,$J$9,FALSE)&amp;Q$7,COM_N_2012!$B$58:$AJ$58,0),FALSE),"")</f>
        <v/>
      </c>
      <c r="R49" s="391">
        <f ca="1">IF($A49="*","",IFERROR(VLOOKUP($C49,COM_N_2017!$B$61:$AJ$122,MATCH(VLOOKUP("*"&amp;$AW49,$A$10:$J$11,$J$9,FALSE)&amp;R$7,COM_N_2017!$B$58:$AJ$58,0),FALSE),""))</f>
        <v>3.8538595787475684E-2</v>
      </c>
      <c r="S49" s="391" t="str">
        <f ca="1">IFERROR(VLOOKUP($C49,COM_N_2012!$B$61:$AJ$122,MATCH(VLOOKUP("*"&amp;$AW49,$A$10:$J$11,$J$9,FALSE)&amp;S$7,COM_N_2012!$B$58:$AJ$58,0),FALSE),"")</f>
        <v/>
      </c>
      <c r="T49" s="391" t="str">
        <f ca="1">IFERROR(VLOOKUP($C49,COM_N_2012!$B$61:$AJ$122,MATCH(VLOOKUP("*"&amp;$AW49,$A$10:$J$11,$J$9,FALSE)&amp;T$7,COM_N_2012!$B$58:$AJ$58,0),FALSE),"")</f>
        <v/>
      </c>
      <c r="U49" s="391" t="str">
        <f ca="1">IFERROR(VLOOKUP($C49,COM_N_2012!$B$61:$AJ$122,MATCH(VLOOKUP("*"&amp;$AW49,$A$10:$J$11,$J$9,FALSE)&amp;U$7,COM_N_2012!$B$58:$AJ$58,0),FALSE),"")</f>
        <v/>
      </c>
      <c r="V49" s="391" t="str">
        <f ca="1">IFERROR(VLOOKUP($C49,COM_N_2012!$B$61:$AJ$122,MATCH(VLOOKUP("*"&amp;$AW49,$A$10:$J$11,$J$9,FALSE)&amp;V$7,COM_N_2012!$B$58:$AJ$58,0),FALSE),"")</f>
        <v/>
      </c>
      <c r="W49" s="391">
        <f ca="1">IF($A49="*","",IFERROR(VLOOKUP($C49,COM_N_2017!$B$61:$AJ$122,MATCH(VLOOKUP("*"&amp;$AW49,$A$10:$J$11,$J$9,FALSE)&amp;W$7,COM_N_2017!$B$58:$AJ$58,0),FALSE),""))</f>
        <v>3.8538595787475684E-2</v>
      </c>
      <c r="X49" s="391" t="str">
        <f ca="1">IFERROR(VLOOKUP($C49,COM_N_2012!$B$61:$AJ$122,MATCH(VLOOKUP("*"&amp;$AW49,$A$10:$J$11,$J$9,FALSE)&amp;X$7,COM_N_2012!$B$58:$AJ$58,0),FALSE),"")</f>
        <v/>
      </c>
      <c r="Y49" s="391" t="str">
        <f ca="1">IFERROR(VLOOKUP($C49,COM_N_2012!$B$61:$AJ$122,MATCH(VLOOKUP("*"&amp;$AW49,$A$10:$J$11,$J$9,FALSE)&amp;Y$7,COM_N_2012!$B$58:$AJ$58,0),FALSE),"")</f>
        <v/>
      </c>
      <c r="Z49" s="391" t="str">
        <f ca="1">IFERROR(VLOOKUP($C49,COM_N_2012!$B$61:$AJ$122,MATCH(VLOOKUP("*"&amp;$AW49,$A$10:$J$11,$J$9,FALSE)&amp;Z$7,COM_N_2012!$B$58:$AJ$58,0),FALSE),"")</f>
        <v/>
      </c>
      <c r="AA49" s="391" t="str">
        <f ca="1">IFERROR(VLOOKUP($C49,COM_N_2012!$B$61:$AJ$122,MATCH(VLOOKUP("*"&amp;$AW49,$A$10:$J$11,$J$9,FALSE)&amp;AA$7,COM_N_2012!$B$58:$AJ$58,0),FALSE),"")</f>
        <v/>
      </c>
      <c r="AB49" s="391">
        <f ca="1">IF($A49="*","",IFERROR(VLOOKUP($C49,COM_N_2017!$B$61:$AJ$122,MATCH(VLOOKUP("*"&amp;$AW49,$A$10:$J$11,$J$9,FALSE)&amp;AB$7,COM_N_2017!$B$58:$AJ$58,0),FALSE),""))</f>
        <v>3.8538595787475684E-2</v>
      </c>
      <c r="AC49" s="391" t="str">
        <f ca="1">IFERROR(VLOOKUP($C49,COM_N_2012!$B$61:$AJ$122,MATCH(VLOOKUP("*"&amp;$AW49,$A$10:$J$11,$J$9,FALSE)&amp;AC$7,COM_N_2012!$B$58:$AJ$58,0),FALSE),"")</f>
        <v/>
      </c>
      <c r="AD49" s="391" t="str">
        <f ca="1">IFERROR(VLOOKUP($C49,COM_N_2012!$B$61:$AJ$122,MATCH(VLOOKUP("*"&amp;$AW49,$A$10:$J$11,$J$9,FALSE)&amp;AD$7,COM_N_2012!$B$58:$AJ$58,0),FALSE),"")</f>
        <v/>
      </c>
      <c r="AE49" s="391" t="str">
        <f ca="1">IFERROR(VLOOKUP($C49,COM_N_2012!$B$61:$AJ$122,MATCH(VLOOKUP("*"&amp;$AW49,$A$10:$J$11,$J$9,FALSE)&amp;AE$7,COM_N_2012!$B$58:$AJ$58,0),FALSE),"")</f>
        <v/>
      </c>
      <c r="AF49" s="391" t="str">
        <f ca="1">IFERROR(VLOOKUP($C49,COM_N_2012!$B$61:$AJ$122,MATCH(VLOOKUP("*"&amp;$AW49,$A$10:$J$11,$J$9,FALSE)&amp;AF$7,COM_N_2012!$B$58:$AJ$58,0),FALSE),"")</f>
        <v/>
      </c>
      <c r="AG49" s="391">
        <f ca="1">IF($A49="*","",IFERROR(VLOOKUP($C49,COM_N_2017!$B$61:$AJ$122,MATCH(VLOOKUP("*"&amp;$AW49,$A$10:$J$11,$J$9,FALSE)&amp;AG$7,COM_N_2017!$B$58:$AJ$58,0),FALSE),""))</f>
        <v>3.8538595787475684E-2</v>
      </c>
      <c r="AH49" s="391" t="str">
        <f ca="1">IFERROR(VLOOKUP($C49,COM_N_2012!$B$61:$AJ$122,MATCH(VLOOKUP("*"&amp;$AW49,$A$10:$J$11,$J$9,FALSE)&amp;AH$7,COM_N_2012!$B$58:$AJ$58,0),FALSE),"")</f>
        <v/>
      </c>
      <c r="AI49" s="391" t="str">
        <f ca="1">IFERROR(VLOOKUP($C49,COM_N_2012!$B$61:$AJ$122,MATCH(VLOOKUP("*"&amp;$AW49,$A$10:$J$11,$J$9,FALSE)&amp;AI$7,COM_N_2012!$B$58:$AJ$58,0),FALSE),"")</f>
        <v/>
      </c>
      <c r="AJ49" s="391" t="str">
        <f ca="1">IFERROR(VLOOKUP($C49,COM_N_2012!$B$61:$AJ$122,MATCH(VLOOKUP("*"&amp;$AW49,$A$10:$J$11,$J$9,FALSE)&amp;AJ$7,COM_N_2012!$B$58:$AJ$58,0),FALSE),"")</f>
        <v/>
      </c>
      <c r="AK49" s="391" t="str">
        <f ca="1">IFERROR(VLOOKUP($C49,COM_N_2012!$B$61:$AJ$122,MATCH(VLOOKUP("*"&amp;$AW49,$A$10:$J$11,$J$9,FALSE)&amp;AK$7,COM_N_2012!$B$58:$AJ$58,0),FALSE),"")</f>
        <v/>
      </c>
      <c r="AL49" s="391">
        <f ca="1">IF($A49="*","",IFERROR(VLOOKUP($C49,COM_N_2017!$B$61:$AJ$122,MATCH(VLOOKUP("*"&amp;$AW49,$A$10:$J$11,$J$9,FALSE)&amp;AL$7,COM_N_2017!$B$58:$AJ$58,0),FALSE),""))</f>
        <v>3.8538595787475684E-2</v>
      </c>
      <c r="AM49" s="391">
        <f ca="1">IF($A49="*","",IFERROR(VLOOKUP($C49,COM_N_2017!$B$61:$AJ$122,MATCH(VLOOKUP("*"&amp;$AW49,$A$10:$J$11,$J$9,FALSE)&amp;AM$7,COM_N_2017!$B$58:$AJ$58,0),FALSE),""))</f>
        <v>3.8538595787475684E-2</v>
      </c>
      <c r="AN49" s="391">
        <f ca="1">IF($A49="*","",IFERROR(VLOOKUP($C49,COM_N_2017!$B$61:$AJ$122,MATCH(VLOOKUP("*"&amp;$AW49,$A$10:$J$11,$J$9,FALSE)&amp;AN$7,COM_N_2017!$B$58:$AJ$58,0),FALSE),""))</f>
        <v>3.8538595787475684E-2</v>
      </c>
      <c r="AO49" s="391" t="str">
        <f ca="1">IFERROR(VLOOKUP($C49,COM_N_2012!$B$61:$AJ$122,MATCH(VLOOKUP("*"&amp;$AW49,$A$10:$J$11,$J$9,FALSE)&amp;AO$7,COM_N_2012!$B$58:$AJ$58,0),FALSE),"")</f>
        <v/>
      </c>
      <c r="AP49" s="391" t="str">
        <f ca="1">IFERROR(VLOOKUP($C49,COM_N_2012!$B$61:$AJ$122,MATCH(VLOOKUP("*"&amp;$AW49,$A$10:$J$11,$J$9,FALSE)&amp;AP$7,COM_N_2012!$B$58:$AJ$58,0),FALSE),"")</f>
        <v/>
      </c>
      <c r="AQ49" s="391" t="str">
        <f ca="1">IFERROR(VLOOKUP($C49,COM_N_2012!$B$61:$AJ$122,MATCH(VLOOKUP("*"&amp;$AW49,$A$10:$J$11,$J$9,FALSE)&amp;AQ$7,COM_N_2012!$B$58:$AJ$58,0),FALSE),"")</f>
        <v/>
      </c>
      <c r="AR49" s="391" t="str">
        <f ca="1">IFERROR(VLOOKUP($C49,COM_N_2012!$B$61:$AJ$122,MATCH(VLOOKUP("*"&amp;$AW49,$A$10:$J$11,$J$9,FALSE)&amp;AR$7,COM_N_2012!$B$58:$AJ$58,0),FALSE),"")</f>
        <v/>
      </c>
      <c r="AS49" s="391" t="str">
        <f ca="1">IFERROR(VLOOKUP($C49,COM_N_2012!$B$61:$AJ$122,MATCH(VLOOKUP("*"&amp;$AW49,$A$10:$J$11,$J$9,FALSE)&amp;AS$7,COM_N_2012!$B$58:$AJ$58,0),FALSE),"")</f>
        <v/>
      </c>
      <c r="AT49" s="391" t="str">
        <f ca="1">IFERROR(VLOOKUP($C49,COM_N_2012!$B$61:$AJ$122,MATCH(VLOOKUP("*"&amp;$AW49,$A$10:$J$11,$J$9,FALSE)&amp;AT$7,COM_N_2012!$B$58:$AJ$58,0),FALSE),"")</f>
        <v/>
      </c>
      <c r="AU49" s="391" t="str">
        <f ca="1">IFERROR(VLOOKUP($C49,COM_N_2012!$B$61:$AJ$122,MATCH(VLOOKUP("*"&amp;$AW49,$A$10:$J$11,$J$9,FALSE)&amp;AU$7,COM_N_2012!$B$58:$AJ$58,0),FALSE),"")</f>
        <v/>
      </c>
      <c r="AV49" s="391" t="str">
        <f ca="1">IFERROR(VLOOKUP($C49,COM_N_2012!$B$61:$AJ$122,MATCH(VLOOKUP("*"&amp;$AW49,$A$10:$J$11,$J$9,FALSE)&amp;AV$7,COM_N_2012!$B$58:$AJ$58,0),FALSE),"")</f>
        <v/>
      </c>
      <c r="AW49" s="304">
        <f>IF(AX48=COM_N_2012!$AK$121,AW48+1,AW48)</f>
        <v>1</v>
      </c>
      <c r="AX49" s="304">
        <f t="shared" si="13"/>
        <v>37</v>
      </c>
    </row>
    <row r="50" spans="1:50">
      <c r="A50" s="304" t="str">
        <f ca="1">IF(LEFT(OFFSET(COM_N_2012!$A$60,AX50,0),2)="\I","*","")</f>
        <v/>
      </c>
      <c r="B50" s="369" t="str">
        <f t="shared" ca="1" si="11"/>
        <v>FLO_MRKPRD</v>
      </c>
      <c r="C50" s="369" t="str">
        <f ca="1">IF($A50="*","",OFFSET(COM_N_2012!$B$60,AX50,0))</f>
        <v>CNWELC-N</v>
      </c>
      <c r="D50" s="369" t="str">
        <f t="shared" ca="1" si="12"/>
        <v>CNW</v>
      </c>
      <c r="E50" s="369" t="str">
        <f t="shared" ca="1" si="8"/>
        <v>-</v>
      </c>
      <c r="F50" s="370" t="str">
        <f t="shared" ca="1" si="9"/>
        <v>-</v>
      </c>
      <c r="G50" s="370" t="str">
        <f t="shared" ca="1" si="9"/>
        <v>ANNUAL</v>
      </c>
      <c r="H50" s="370" t="str">
        <f t="shared" ca="1" si="10"/>
        <v>UP</v>
      </c>
      <c r="I50" s="370">
        <f t="shared" ca="1" si="10"/>
        <v>0</v>
      </c>
      <c r="J50" s="391">
        <f ca="1">IFERROR(VLOOKUP($C50,COM_N_2012!$B$61:$AJ$122,MATCH(VLOOKUP("*"&amp;$AW50,$A$10:$J$11,$J$9,FALSE)&amp;J$7,COM_N_2012!$B$58:$AJ$58,0),FALSE),"")</f>
        <v>0</v>
      </c>
      <c r="K50" s="391" t="str">
        <f ca="1">IFERROR(VLOOKUP($C50,COM_N_2012!$B$61:$AJ$122,MATCH(VLOOKUP("*"&amp;$AW50,$A$10:$J$11,$J$9,FALSE)&amp;K$7,COM_N_2012!$B$58:$AJ$58,0),FALSE),"")</f>
        <v/>
      </c>
      <c r="L50" s="391" t="str">
        <f ca="1">IFERROR(VLOOKUP($C50,COM_N_2012!$B$61:$AJ$122,MATCH(VLOOKUP("*"&amp;$AW50,$A$10:$J$11,$J$9,FALSE)&amp;L$7,COM_N_2012!$B$58:$AJ$58,0),FALSE),"")</f>
        <v/>
      </c>
      <c r="M50" s="391">
        <f ca="1">IFERROR(VLOOKUP($C50,COM_N_2012!$B$61:$AJ$122,MATCH(VLOOKUP("*"&amp;$AW50,$A$10:$J$11,$J$9,FALSE)&amp;M$7,COM_N_2012!$B$58:$AJ$58,0),FALSE),"")</f>
        <v>0</v>
      </c>
      <c r="N50" s="391" t="str">
        <f ca="1">IFERROR(VLOOKUP($C50,COM_N_2012!$B$61:$AJ$122,MATCH(VLOOKUP("*"&amp;$AW50,$A$10:$J$11,$J$9,FALSE)&amp;N$7,COM_N_2012!$B$58:$AJ$58,0),FALSE),"")</f>
        <v/>
      </c>
      <c r="O50" s="391">
        <f ca="1">IF($A50="*","",IFERROR(VLOOKUP($C50,COM_N_2017!$B$61:$AJ$122,MATCH(VLOOKUP("*"&amp;$AW50,$A$10:$J$11,$J$9,FALSE)&amp;O$7,COM_N_2017!$B$58:$AJ$58,0),FALSE),""))</f>
        <v>0</v>
      </c>
      <c r="P50" s="391" t="str">
        <f ca="1">IFERROR(VLOOKUP($C50,COM_N_2012!$B$61:$AJ$122,MATCH(VLOOKUP("*"&amp;$AW50,$A$10:$J$11,$J$9,FALSE)&amp;P$7,COM_N_2012!$B$58:$AJ$58,0),FALSE),"")</f>
        <v/>
      </c>
      <c r="Q50" s="391" t="str">
        <f ca="1">IFERROR(VLOOKUP($C50,COM_N_2012!$B$61:$AJ$122,MATCH(VLOOKUP("*"&amp;$AW50,$A$10:$J$11,$J$9,FALSE)&amp;Q$7,COM_N_2012!$B$58:$AJ$58,0),FALSE),"")</f>
        <v/>
      </c>
      <c r="R50" s="391">
        <f ca="1">IF($A50="*","",IFERROR(VLOOKUP($C50,COM_N_2017!$B$61:$AJ$122,MATCH(VLOOKUP("*"&amp;$AW50,$A$10:$J$11,$J$9,FALSE)&amp;R$7,COM_N_2017!$B$58:$AJ$58,0),FALSE),""))</f>
        <v>0.03</v>
      </c>
      <c r="S50" s="391" t="str">
        <f ca="1">IFERROR(VLOOKUP($C50,COM_N_2012!$B$61:$AJ$122,MATCH(VLOOKUP("*"&amp;$AW50,$A$10:$J$11,$J$9,FALSE)&amp;S$7,COM_N_2012!$B$58:$AJ$58,0),FALSE),"")</f>
        <v/>
      </c>
      <c r="T50" s="391" t="str">
        <f ca="1">IFERROR(VLOOKUP($C50,COM_N_2012!$B$61:$AJ$122,MATCH(VLOOKUP("*"&amp;$AW50,$A$10:$J$11,$J$9,FALSE)&amp;T$7,COM_N_2012!$B$58:$AJ$58,0),FALSE),"")</f>
        <v/>
      </c>
      <c r="U50" s="391" t="str">
        <f ca="1">IFERROR(VLOOKUP($C50,COM_N_2012!$B$61:$AJ$122,MATCH(VLOOKUP("*"&amp;$AW50,$A$10:$J$11,$J$9,FALSE)&amp;U$7,COM_N_2012!$B$58:$AJ$58,0),FALSE),"")</f>
        <v/>
      </c>
      <c r="V50" s="391" t="str">
        <f ca="1">IFERROR(VLOOKUP($C50,COM_N_2012!$B$61:$AJ$122,MATCH(VLOOKUP("*"&amp;$AW50,$A$10:$J$11,$J$9,FALSE)&amp;V$7,COM_N_2012!$B$58:$AJ$58,0),FALSE),"")</f>
        <v/>
      </c>
      <c r="W50" s="391">
        <f ca="1">IF($A50="*","",IFERROR(VLOOKUP($C50,COM_N_2017!$B$61:$AJ$122,MATCH(VLOOKUP("*"&amp;$AW50,$A$10:$J$11,$J$9,FALSE)&amp;W$7,COM_N_2017!$B$58:$AJ$58,0),FALSE),""))</f>
        <v>0.1</v>
      </c>
      <c r="X50" s="391" t="str">
        <f ca="1">IFERROR(VLOOKUP($C50,COM_N_2012!$B$61:$AJ$122,MATCH(VLOOKUP("*"&amp;$AW50,$A$10:$J$11,$J$9,FALSE)&amp;X$7,COM_N_2012!$B$58:$AJ$58,0),FALSE),"")</f>
        <v/>
      </c>
      <c r="Y50" s="391" t="str">
        <f ca="1">IFERROR(VLOOKUP($C50,COM_N_2012!$B$61:$AJ$122,MATCH(VLOOKUP("*"&amp;$AW50,$A$10:$J$11,$J$9,FALSE)&amp;Y$7,COM_N_2012!$B$58:$AJ$58,0),FALSE),"")</f>
        <v/>
      </c>
      <c r="Z50" s="391" t="str">
        <f ca="1">IFERROR(VLOOKUP($C50,COM_N_2012!$B$61:$AJ$122,MATCH(VLOOKUP("*"&amp;$AW50,$A$10:$J$11,$J$9,FALSE)&amp;Z$7,COM_N_2012!$B$58:$AJ$58,0),FALSE),"")</f>
        <v/>
      </c>
      <c r="AA50" s="391" t="str">
        <f ca="1">IFERROR(VLOOKUP($C50,COM_N_2012!$B$61:$AJ$122,MATCH(VLOOKUP("*"&amp;$AW50,$A$10:$J$11,$J$9,FALSE)&amp;AA$7,COM_N_2012!$B$58:$AJ$58,0),FALSE),"")</f>
        <v/>
      </c>
      <c r="AB50" s="391">
        <f ca="1">IF($A50="*","",IFERROR(VLOOKUP($C50,COM_N_2017!$B$61:$AJ$122,MATCH(VLOOKUP("*"&amp;$AW50,$A$10:$J$11,$J$9,FALSE)&amp;AB$7,COM_N_2017!$B$58:$AJ$58,0),FALSE),""))</f>
        <v>0.3</v>
      </c>
      <c r="AC50" s="391" t="str">
        <f ca="1">IFERROR(VLOOKUP($C50,COM_N_2012!$B$61:$AJ$122,MATCH(VLOOKUP("*"&amp;$AW50,$A$10:$J$11,$J$9,FALSE)&amp;AC$7,COM_N_2012!$B$58:$AJ$58,0),FALSE),"")</f>
        <v/>
      </c>
      <c r="AD50" s="391" t="str">
        <f ca="1">IFERROR(VLOOKUP($C50,COM_N_2012!$B$61:$AJ$122,MATCH(VLOOKUP("*"&amp;$AW50,$A$10:$J$11,$J$9,FALSE)&amp;AD$7,COM_N_2012!$B$58:$AJ$58,0),FALSE),"")</f>
        <v/>
      </c>
      <c r="AE50" s="391" t="str">
        <f ca="1">IFERROR(VLOOKUP($C50,COM_N_2012!$B$61:$AJ$122,MATCH(VLOOKUP("*"&amp;$AW50,$A$10:$J$11,$J$9,FALSE)&amp;AE$7,COM_N_2012!$B$58:$AJ$58,0),FALSE),"")</f>
        <v/>
      </c>
      <c r="AF50" s="391" t="str">
        <f ca="1">IFERROR(VLOOKUP($C50,COM_N_2012!$B$61:$AJ$122,MATCH(VLOOKUP("*"&amp;$AW50,$A$10:$J$11,$J$9,FALSE)&amp;AF$7,COM_N_2012!$B$58:$AJ$58,0),FALSE),"")</f>
        <v/>
      </c>
      <c r="AG50" s="391">
        <f ca="1">IF($A50="*","",IFERROR(VLOOKUP($C50,COM_N_2017!$B$61:$AJ$122,MATCH(VLOOKUP("*"&amp;$AW50,$A$10:$J$11,$J$9,FALSE)&amp;AG$7,COM_N_2017!$B$58:$AJ$58,0),FALSE),""))</f>
        <v>0.5</v>
      </c>
      <c r="AH50" s="391" t="str">
        <f ca="1">IFERROR(VLOOKUP($C50,COM_N_2012!$B$61:$AJ$122,MATCH(VLOOKUP("*"&amp;$AW50,$A$10:$J$11,$J$9,FALSE)&amp;AH$7,COM_N_2012!$B$58:$AJ$58,0),FALSE),"")</f>
        <v/>
      </c>
      <c r="AI50" s="391" t="str">
        <f ca="1">IFERROR(VLOOKUP($C50,COM_N_2012!$B$61:$AJ$122,MATCH(VLOOKUP("*"&amp;$AW50,$A$10:$J$11,$J$9,FALSE)&amp;AI$7,COM_N_2012!$B$58:$AJ$58,0),FALSE),"")</f>
        <v/>
      </c>
      <c r="AJ50" s="391" t="str">
        <f ca="1">IFERROR(VLOOKUP($C50,COM_N_2012!$B$61:$AJ$122,MATCH(VLOOKUP("*"&amp;$AW50,$A$10:$J$11,$J$9,FALSE)&amp;AJ$7,COM_N_2012!$B$58:$AJ$58,0),FALSE),"")</f>
        <v/>
      </c>
      <c r="AK50" s="391" t="str">
        <f ca="1">IFERROR(VLOOKUP($C50,COM_N_2012!$B$61:$AJ$122,MATCH(VLOOKUP("*"&amp;$AW50,$A$10:$J$11,$J$9,FALSE)&amp;AK$7,COM_N_2012!$B$58:$AJ$58,0),FALSE),"")</f>
        <v/>
      </c>
      <c r="AL50" s="391">
        <f ca="1">IF($A50="*","",IFERROR(VLOOKUP($C50,COM_N_2017!$B$61:$AJ$122,MATCH(VLOOKUP("*"&amp;$AW50,$A$10:$J$11,$J$9,FALSE)&amp;AL$7,COM_N_2017!$B$58:$AJ$58,0),FALSE),""))</f>
        <v>0.7</v>
      </c>
      <c r="AM50" s="391">
        <f ca="1">IF($A50="*","",IFERROR(VLOOKUP($C50,COM_N_2017!$B$61:$AJ$122,MATCH(VLOOKUP("*"&amp;$AW50,$A$10:$J$11,$J$9,FALSE)&amp;AM$7,COM_N_2017!$B$58:$AJ$58,0),FALSE),""))</f>
        <v>0.9</v>
      </c>
      <c r="AN50" s="391">
        <f ca="1">IF($A50="*","",IFERROR(VLOOKUP($C50,COM_N_2017!$B$61:$AJ$122,MATCH(VLOOKUP("*"&amp;$AW50,$A$10:$J$11,$J$9,FALSE)&amp;AN$7,COM_N_2017!$B$58:$AJ$58,0),FALSE),""))</f>
        <v>1</v>
      </c>
      <c r="AO50" s="391" t="str">
        <f ca="1">IFERROR(VLOOKUP($C50,COM_N_2012!$B$61:$AJ$122,MATCH(VLOOKUP("*"&amp;$AW50,$A$10:$J$11,$J$9,FALSE)&amp;AO$7,COM_N_2012!$B$58:$AJ$58,0),FALSE),"")</f>
        <v/>
      </c>
      <c r="AP50" s="391" t="str">
        <f ca="1">IFERROR(VLOOKUP($C50,COM_N_2012!$B$61:$AJ$122,MATCH(VLOOKUP("*"&amp;$AW50,$A$10:$J$11,$J$9,FALSE)&amp;AP$7,COM_N_2012!$B$58:$AJ$58,0),FALSE),"")</f>
        <v/>
      </c>
      <c r="AQ50" s="391" t="str">
        <f ca="1">IFERROR(VLOOKUP($C50,COM_N_2012!$B$61:$AJ$122,MATCH(VLOOKUP("*"&amp;$AW50,$A$10:$J$11,$J$9,FALSE)&amp;AQ$7,COM_N_2012!$B$58:$AJ$58,0),FALSE),"")</f>
        <v/>
      </c>
      <c r="AR50" s="391" t="str">
        <f ca="1">IFERROR(VLOOKUP($C50,COM_N_2012!$B$61:$AJ$122,MATCH(VLOOKUP("*"&amp;$AW50,$A$10:$J$11,$J$9,FALSE)&amp;AR$7,COM_N_2012!$B$58:$AJ$58,0),FALSE),"")</f>
        <v/>
      </c>
      <c r="AS50" s="391" t="str">
        <f ca="1">IFERROR(VLOOKUP($C50,COM_N_2012!$B$61:$AJ$122,MATCH(VLOOKUP("*"&amp;$AW50,$A$10:$J$11,$J$9,FALSE)&amp;AS$7,COM_N_2012!$B$58:$AJ$58,0),FALSE),"")</f>
        <v/>
      </c>
      <c r="AT50" s="391" t="str">
        <f ca="1">IFERROR(VLOOKUP($C50,COM_N_2012!$B$61:$AJ$122,MATCH(VLOOKUP("*"&amp;$AW50,$A$10:$J$11,$J$9,FALSE)&amp;AT$7,COM_N_2012!$B$58:$AJ$58,0),FALSE),"")</f>
        <v/>
      </c>
      <c r="AU50" s="391" t="str">
        <f ca="1">IFERROR(VLOOKUP($C50,COM_N_2012!$B$61:$AJ$122,MATCH(VLOOKUP("*"&amp;$AW50,$A$10:$J$11,$J$9,FALSE)&amp;AU$7,COM_N_2012!$B$58:$AJ$58,0),FALSE),"")</f>
        <v/>
      </c>
      <c r="AV50" s="391" t="str">
        <f ca="1">IFERROR(VLOOKUP($C50,COM_N_2012!$B$61:$AJ$122,MATCH(VLOOKUP("*"&amp;$AW50,$A$10:$J$11,$J$9,FALSE)&amp;AV$7,COM_N_2012!$B$58:$AJ$58,0),FALSE),"")</f>
        <v/>
      </c>
      <c r="AW50" s="304">
        <f>IF(AX49=COM_N_2012!$AK$121,AW49+1,AW49)</f>
        <v>1</v>
      </c>
      <c r="AX50" s="304">
        <f t="shared" si="13"/>
        <v>38</v>
      </c>
    </row>
    <row r="51" spans="1:50">
      <c r="A51" s="304" t="str">
        <f ca="1">IF(LEFT(OFFSET(COM_N_2012!$A$60,AX51,0),2)="\I","*","")</f>
        <v/>
      </c>
      <c r="B51" s="369" t="str">
        <f t="shared" ca="1" si="11"/>
        <v>FLO_MRKPRD</v>
      </c>
      <c r="C51" s="369" t="str">
        <f ca="1">IF($A51="*","",OFFSET(COM_N_2012!$B$60,AX51,0))</f>
        <v>CNWELCHP-N</v>
      </c>
      <c r="D51" s="369" t="str">
        <f t="shared" ca="1" si="12"/>
        <v>CNW</v>
      </c>
      <c r="E51" s="369" t="str">
        <f t="shared" ca="1" si="8"/>
        <v>-</v>
      </c>
      <c r="F51" s="370" t="str">
        <f t="shared" ca="1" si="9"/>
        <v>-</v>
      </c>
      <c r="G51" s="370" t="str">
        <f t="shared" ca="1" si="9"/>
        <v>ANNUAL</v>
      </c>
      <c r="H51" s="370" t="str">
        <f t="shared" ca="1" si="10"/>
        <v>UP</v>
      </c>
      <c r="I51" s="370">
        <f t="shared" ca="1" si="10"/>
        <v>0</v>
      </c>
      <c r="J51" s="391">
        <f ca="1">IFERROR(VLOOKUP($C51,COM_N_2012!$B$61:$AJ$122,MATCH(VLOOKUP("*"&amp;$AW51,$A$10:$J$11,$J$9,FALSE)&amp;J$7,COM_N_2012!$B$58:$AJ$58,0),FALSE),"")</f>
        <v>0</v>
      </c>
      <c r="K51" s="391" t="str">
        <f ca="1">IFERROR(VLOOKUP($C51,COM_N_2012!$B$61:$AJ$122,MATCH(VLOOKUP("*"&amp;$AW51,$A$10:$J$11,$J$9,FALSE)&amp;K$7,COM_N_2012!$B$58:$AJ$58,0),FALSE),"")</f>
        <v/>
      </c>
      <c r="L51" s="391" t="str">
        <f ca="1">IFERROR(VLOOKUP($C51,COM_N_2012!$B$61:$AJ$122,MATCH(VLOOKUP("*"&amp;$AW51,$A$10:$J$11,$J$9,FALSE)&amp;L$7,COM_N_2012!$B$58:$AJ$58,0),FALSE),"")</f>
        <v/>
      </c>
      <c r="M51" s="391">
        <f ca="1">IFERROR(VLOOKUP($C51,COM_N_2012!$B$61:$AJ$122,MATCH(VLOOKUP("*"&amp;$AW51,$A$10:$J$11,$J$9,FALSE)&amp;M$7,COM_N_2012!$B$58:$AJ$58,0),FALSE),"")</f>
        <v>0</v>
      </c>
      <c r="N51" s="391" t="str">
        <f ca="1">IFERROR(VLOOKUP($C51,COM_N_2012!$B$61:$AJ$122,MATCH(VLOOKUP("*"&amp;$AW51,$A$10:$J$11,$J$9,FALSE)&amp;N$7,COM_N_2012!$B$58:$AJ$58,0),FALSE),"")</f>
        <v/>
      </c>
      <c r="O51" s="391">
        <f ca="1">IF($A51="*","",IFERROR(VLOOKUP($C51,COM_N_2017!$B$61:$AJ$122,MATCH(VLOOKUP("*"&amp;$AW51,$A$10:$J$11,$J$9,FALSE)&amp;O$7,COM_N_2017!$B$58:$AJ$58,0),FALSE),""))</f>
        <v>0</v>
      </c>
      <c r="P51" s="391" t="str">
        <f ca="1">IFERROR(VLOOKUP($C51,COM_N_2012!$B$61:$AJ$122,MATCH(VLOOKUP("*"&amp;$AW51,$A$10:$J$11,$J$9,FALSE)&amp;P$7,COM_N_2012!$B$58:$AJ$58,0),FALSE),"")</f>
        <v/>
      </c>
      <c r="Q51" s="391" t="str">
        <f ca="1">IFERROR(VLOOKUP($C51,COM_N_2012!$B$61:$AJ$122,MATCH(VLOOKUP("*"&amp;$AW51,$A$10:$J$11,$J$9,FALSE)&amp;Q$7,COM_N_2012!$B$58:$AJ$58,0),FALSE),"")</f>
        <v/>
      </c>
      <c r="R51" s="391">
        <f ca="1">IF($A51="*","",IFERROR(VLOOKUP($C51,COM_N_2017!$B$61:$AJ$122,MATCH(VLOOKUP("*"&amp;$AW51,$A$10:$J$11,$J$9,FALSE)&amp;R$7,COM_N_2017!$B$58:$AJ$58,0),FALSE),""))</f>
        <v>0.03</v>
      </c>
      <c r="S51" s="391" t="str">
        <f ca="1">IFERROR(VLOOKUP($C51,COM_N_2012!$B$61:$AJ$122,MATCH(VLOOKUP("*"&amp;$AW51,$A$10:$J$11,$J$9,FALSE)&amp;S$7,COM_N_2012!$B$58:$AJ$58,0),FALSE),"")</f>
        <v/>
      </c>
      <c r="T51" s="391" t="str">
        <f ca="1">IFERROR(VLOOKUP($C51,COM_N_2012!$B$61:$AJ$122,MATCH(VLOOKUP("*"&amp;$AW51,$A$10:$J$11,$J$9,FALSE)&amp;T$7,COM_N_2012!$B$58:$AJ$58,0),FALSE),"")</f>
        <v/>
      </c>
      <c r="U51" s="391" t="str">
        <f ca="1">IFERROR(VLOOKUP($C51,COM_N_2012!$B$61:$AJ$122,MATCH(VLOOKUP("*"&amp;$AW51,$A$10:$J$11,$J$9,FALSE)&amp;U$7,COM_N_2012!$B$58:$AJ$58,0),FALSE),"")</f>
        <v/>
      </c>
      <c r="V51" s="391" t="str">
        <f ca="1">IFERROR(VLOOKUP($C51,COM_N_2012!$B$61:$AJ$122,MATCH(VLOOKUP("*"&amp;$AW51,$A$10:$J$11,$J$9,FALSE)&amp;V$7,COM_N_2012!$B$58:$AJ$58,0),FALSE),"")</f>
        <v/>
      </c>
      <c r="W51" s="391">
        <f ca="1">IF($A51="*","",IFERROR(VLOOKUP($C51,COM_N_2017!$B$61:$AJ$122,MATCH(VLOOKUP("*"&amp;$AW51,$A$10:$J$11,$J$9,FALSE)&amp;W$7,COM_N_2017!$B$58:$AJ$58,0),FALSE),""))</f>
        <v>0.1</v>
      </c>
      <c r="X51" s="391" t="str">
        <f ca="1">IFERROR(VLOOKUP($C51,COM_N_2012!$B$61:$AJ$122,MATCH(VLOOKUP("*"&amp;$AW51,$A$10:$J$11,$J$9,FALSE)&amp;X$7,COM_N_2012!$B$58:$AJ$58,0),FALSE),"")</f>
        <v/>
      </c>
      <c r="Y51" s="391" t="str">
        <f ca="1">IFERROR(VLOOKUP($C51,COM_N_2012!$B$61:$AJ$122,MATCH(VLOOKUP("*"&amp;$AW51,$A$10:$J$11,$J$9,FALSE)&amp;Y$7,COM_N_2012!$B$58:$AJ$58,0),FALSE),"")</f>
        <v/>
      </c>
      <c r="Z51" s="391" t="str">
        <f ca="1">IFERROR(VLOOKUP($C51,COM_N_2012!$B$61:$AJ$122,MATCH(VLOOKUP("*"&amp;$AW51,$A$10:$J$11,$J$9,FALSE)&amp;Z$7,COM_N_2012!$B$58:$AJ$58,0),FALSE),"")</f>
        <v/>
      </c>
      <c r="AA51" s="391" t="str">
        <f ca="1">IFERROR(VLOOKUP($C51,COM_N_2012!$B$61:$AJ$122,MATCH(VLOOKUP("*"&amp;$AW51,$A$10:$J$11,$J$9,FALSE)&amp;AA$7,COM_N_2012!$B$58:$AJ$58,0),FALSE),"")</f>
        <v/>
      </c>
      <c r="AB51" s="391">
        <f ca="1">IF($A51="*","",IFERROR(VLOOKUP($C51,COM_N_2017!$B$61:$AJ$122,MATCH(VLOOKUP("*"&amp;$AW51,$A$10:$J$11,$J$9,FALSE)&amp;AB$7,COM_N_2017!$B$58:$AJ$58,0),FALSE),""))</f>
        <v>0.3</v>
      </c>
      <c r="AC51" s="391" t="str">
        <f ca="1">IFERROR(VLOOKUP($C51,COM_N_2012!$B$61:$AJ$122,MATCH(VLOOKUP("*"&amp;$AW51,$A$10:$J$11,$J$9,FALSE)&amp;AC$7,COM_N_2012!$B$58:$AJ$58,0),FALSE),"")</f>
        <v/>
      </c>
      <c r="AD51" s="391" t="str">
        <f ca="1">IFERROR(VLOOKUP($C51,COM_N_2012!$B$61:$AJ$122,MATCH(VLOOKUP("*"&amp;$AW51,$A$10:$J$11,$J$9,FALSE)&amp;AD$7,COM_N_2012!$B$58:$AJ$58,0),FALSE),"")</f>
        <v/>
      </c>
      <c r="AE51" s="391" t="str">
        <f ca="1">IFERROR(VLOOKUP($C51,COM_N_2012!$B$61:$AJ$122,MATCH(VLOOKUP("*"&amp;$AW51,$A$10:$J$11,$J$9,FALSE)&amp;AE$7,COM_N_2012!$B$58:$AJ$58,0),FALSE),"")</f>
        <v/>
      </c>
      <c r="AF51" s="391" t="str">
        <f ca="1">IFERROR(VLOOKUP($C51,COM_N_2012!$B$61:$AJ$122,MATCH(VLOOKUP("*"&amp;$AW51,$A$10:$J$11,$J$9,FALSE)&amp;AF$7,COM_N_2012!$B$58:$AJ$58,0),FALSE),"")</f>
        <v/>
      </c>
      <c r="AG51" s="391">
        <f ca="1">IF($A51="*","",IFERROR(VLOOKUP($C51,COM_N_2017!$B$61:$AJ$122,MATCH(VLOOKUP("*"&amp;$AW51,$A$10:$J$11,$J$9,FALSE)&amp;AG$7,COM_N_2017!$B$58:$AJ$58,0),FALSE),""))</f>
        <v>0.5</v>
      </c>
      <c r="AH51" s="391" t="str">
        <f ca="1">IFERROR(VLOOKUP($C51,COM_N_2012!$B$61:$AJ$122,MATCH(VLOOKUP("*"&amp;$AW51,$A$10:$J$11,$J$9,FALSE)&amp;AH$7,COM_N_2012!$B$58:$AJ$58,0),FALSE),"")</f>
        <v/>
      </c>
      <c r="AI51" s="391" t="str">
        <f ca="1">IFERROR(VLOOKUP($C51,COM_N_2012!$B$61:$AJ$122,MATCH(VLOOKUP("*"&amp;$AW51,$A$10:$J$11,$J$9,FALSE)&amp;AI$7,COM_N_2012!$B$58:$AJ$58,0),FALSE),"")</f>
        <v/>
      </c>
      <c r="AJ51" s="391" t="str">
        <f ca="1">IFERROR(VLOOKUP($C51,COM_N_2012!$B$61:$AJ$122,MATCH(VLOOKUP("*"&amp;$AW51,$A$10:$J$11,$J$9,FALSE)&amp;AJ$7,COM_N_2012!$B$58:$AJ$58,0),FALSE),"")</f>
        <v/>
      </c>
      <c r="AK51" s="391" t="str">
        <f ca="1">IFERROR(VLOOKUP($C51,COM_N_2012!$B$61:$AJ$122,MATCH(VLOOKUP("*"&amp;$AW51,$A$10:$J$11,$J$9,FALSE)&amp;AK$7,COM_N_2012!$B$58:$AJ$58,0),FALSE),"")</f>
        <v/>
      </c>
      <c r="AL51" s="391">
        <f ca="1">IF($A51="*","",IFERROR(VLOOKUP($C51,COM_N_2017!$B$61:$AJ$122,MATCH(VLOOKUP("*"&amp;$AW51,$A$10:$J$11,$J$9,FALSE)&amp;AL$7,COM_N_2017!$B$58:$AJ$58,0),FALSE),""))</f>
        <v>0.7</v>
      </c>
      <c r="AM51" s="391">
        <f ca="1">IF($A51="*","",IFERROR(VLOOKUP($C51,COM_N_2017!$B$61:$AJ$122,MATCH(VLOOKUP("*"&amp;$AW51,$A$10:$J$11,$J$9,FALSE)&amp;AM$7,COM_N_2017!$B$58:$AJ$58,0),FALSE),""))</f>
        <v>0.9</v>
      </c>
      <c r="AN51" s="391">
        <f ca="1">IF($A51="*","",IFERROR(VLOOKUP($C51,COM_N_2017!$B$61:$AJ$122,MATCH(VLOOKUP("*"&amp;$AW51,$A$10:$J$11,$J$9,FALSE)&amp;AN$7,COM_N_2017!$B$58:$AJ$58,0),FALSE),""))</f>
        <v>1</v>
      </c>
      <c r="AO51" s="391" t="str">
        <f ca="1">IFERROR(VLOOKUP($C51,COM_N_2012!$B$61:$AJ$122,MATCH(VLOOKUP("*"&amp;$AW51,$A$10:$J$11,$J$9,FALSE)&amp;AO$7,COM_N_2012!$B$58:$AJ$58,0),FALSE),"")</f>
        <v/>
      </c>
      <c r="AP51" s="391" t="str">
        <f ca="1">IFERROR(VLOOKUP($C51,COM_N_2012!$B$61:$AJ$122,MATCH(VLOOKUP("*"&amp;$AW51,$A$10:$J$11,$J$9,FALSE)&amp;AP$7,COM_N_2012!$B$58:$AJ$58,0),FALSE),"")</f>
        <v/>
      </c>
      <c r="AQ51" s="391" t="str">
        <f ca="1">IFERROR(VLOOKUP($C51,COM_N_2012!$B$61:$AJ$122,MATCH(VLOOKUP("*"&amp;$AW51,$A$10:$J$11,$J$9,FALSE)&amp;AQ$7,COM_N_2012!$B$58:$AJ$58,0),FALSE),"")</f>
        <v/>
      </c>
      <c r="AR51" s="391" t="str">
        <f ca="1">IFERROR(VLOOKUP($C51,COM_N_2012!$B$61:$AJ$122,MATCH(VLOOKUP("*"&amp;$AW51,$A$10:$J$11,$J$9,FALSE)&amp;AR$7,COM_N_2012!$B$58:$AJ$58,0),FALSE),"")</f>
        <v/>
      </c>
      <c r="AS51" s="391" t="str">
        <f ca="1">IFERROR(VLOOKUP($C51,COM_N_2012!$B$61:$AJ$122,MATCH(VLOOKUP("*"&amp;$AW51,$A$10:$J$11,$J$9,FALSE)&amp;AS$7,COM_N_2012!$B$58:$AJ$58,0),FALSE),"")</f>
        <v/>
      </c>
      <c r="AT51" s="391" t="str">
        <f ca="1">IFERROR(VLOOKUP($C51,COM_N_2012!$B$61:$AJ$122,MATCH(VLOOKUP("*"&amp;$AW51,$A$10:$J$11,$J$9,FALSE)&amp;AT$7,COM_N_2012!$B$58:$AJ$58,0),FALSE),"")</f>
        <v/>
      </c>
      <c r="AU51" s="391" t="str">
        <f ca="1">IFERROR(VLOOKUP($C51,COM_N_2012!$B$61:$AJ$122,MATCH(VLOOKUP("*"&amp;$AW51,$A$10:$J$11,$J$9,FALSE)&amp;AU$7,COM_N_2012!$B$58:$AJ$58,0),FALSE),"")</f>
        <v/>
      </c>
      <c r="AV51" s="391" t="str">
        <f ca="1">IFERROR(VLOOKUP($C51,COM_N_2012!$B$61:$AJ$122,MATCH(VLOOKUP("*"&amp;$AW51,$A$10:$J$11,$J$9,FALSE)&amp;AV$7,COM_N_2012!$B$58:$AJ$58,0),FALSE),"")</f>
        <v/>
      </c>
      <c r="AW51" s="304">
        <f>IF(AX50=COM_N_2012!$AK$121,AW50+1,AW50)</f>
        <v>1</v>
      </c>
      <c r="AX51" s="304">
        <f t="shared" si="13"/>
        <v>39</v>
      </c>
    </row>
    <row r="52" spans="1:50">
      <c r="A52" s="304" t="str">
        <f ca="1">IF(LEFT(OFFSET(COM_N_2012!$A$60,AX52,0),2)="\I","*","")</f>
        <v>*</v>
      </c>
      <c r="B52" s="369" t="str">
        <f t="shared" ca="1" si="11"/>
        <v/>
      </c>
      <c r="C52" s="369" t="str">
        <f ca="1">IF($A52="*","",OFFSET(COM_N_2012!$B$60,AX52,0))</f>
        <v/>
      </c>
      <c r="D52" s="369" t="str">
        <f t="shared" ca="1" si="12"/>
        <v/>
      </c>
      <c r="E52" s="369" t="str">
        <f t="shared" ca="1" si="8"/>
        <v/>
      </c>
      <c r="F52" s="370" t="str">
        <f t="shared" ca="1" si="9"/>
        <v/>
      </c>
      <c r="G52" s="370" t="str">
        <f t="shared" ca="1" si="9"/>
        <v/>
      </c>
      <c r="H52" s="370" t="str">
        <f t="shared" ca="1" si="10"/>
        <v/>
      </c>
      <c r="I52" s="370" t="str">
        <f t="shared" ca="1" si="10"/>
        <v/>
      </c>
      <c r="J52" s="391" t="str">
        <f ca="1">IFERROR(VLOOKUP($C52,COM_N_2012!$B$61:$AJ$122,MATCH(VLOOKUP("*"&amp;$AW52,$A$10:$J$11,$J$9,FALSE)&amp;J$7,COM_N_2012!$B$58:$AJ$58,0),FALSE),"")</f>
        <v/>
      </c>
      <c r="K52" s="391" t="str">
        <f ca="1">IFERROR(VLOOKUP($C52,COM_N_2012!$B$61:$AJ$122,MATCH(VLOOKUP("*"&amp;$AW52,$A$10:$J$11,$J$9,FALSE)&amp;K$7,COM_N_2012!$B$58:$AJ$58,0),FALSE),"")</f>
        <v/>
      </c>
      <c r="L52" s="391" t="str">
        <f ca="1">IFERROR(VLOOKUP($C52,COM_N_2012!$B$61:$AJ$122,MATCH(VLOOKUP("*"&amp;$AW52,$A$10:$J$11,$J$9,FALSE)&amp;L$7,COM_N_2012!$B$58:$AJ$58,0),FALSE),"")</f>
        <v/>
      </c>
      <c r="M52" s="391" t="str">
        <f ca="1">IFERROR(VLOOKUP($C52,COM_N_2012!$B$61:$AJ$122,MATCH(VLOOKUP("*"&amp;$AW52,$A$10:$J$11,$J$9,FALSE)&amp;M$7,COM_N_2012!$B$58:$AJ$58,0),FALSE),"")</f>
        <v/>
      </c>
      <c r="N52" s="391" t="str">
        <f ca="1">IFERROR(VLOOKUP($C52,COM_N_2012!$B$61:$AJ$122,MATCH(VLOOKUP("*"&amp;$AW52,$A$10:$J$11,$J$9,FALSE)&amp;N$7,COM_N_2012!$B$58:$AJ$58,0),FALSE),"")</f>
        <v/>
      </c>
      <c r="O52" s="391" t="str">
        <f ca="1">IF($A52="*","",IFERROR(VLOOKUP($C52,COM_N_2017!$B$61:$AJ$122,MATCH(VLOOKUP("*"&amp;$AW52,$A$10:$J$11,$J$9,FALSE)&amp;O$7,COM_N_2017!$B$58:$AJ$58,0),FALSE),""))</f>
        <v/>
      </c>
      <c r="P52" s="391" t="str">
        <f ca="1">IFERROR(VLOOKUP($C52,COM_N_2012!$B$61:$AJ$122,MATCH(VLOOKUP("*"&amp;$AW52,$A$10:$J$11,$J$9,FALSE)&amp;P$7,COM_N_2012!$B$58:$AJ$58,0),FALSE),"")</f>
        <v/>
      </c>
      <c r="Q52" s="391" t="str">
        <f ca="1">IFERROR(VLOOKUP($C52,COM_N_2012!$B$61:$AJ$122,MATCH(VLOOKUP("*"&amp;$AW52,$A$10:$J$11,$J$9,FALSE)&amp;Q$7,COM_N_2012!$B$58:$AJ$58,0),FALSE),"")</f>
        <v/>
      </c>
      <c r="R52" s="391" t="str">
        <f ca="1">IF($A52="*","",IFERROR(VLOOKUP($C52,COM_N_2017!$B$61:$AJ$122,MATCH(VLOOKUP("*"&amp;$AW52,$A$10:$J$11,$J$9,FALSE)&amp;R$7,COM_N_2017!$B$58:$AJ$58,0),FALSE),""))</f>
        <v/>
      </c>
      <c r="S52" s="391" t="str">
        <f ca="1">IFERROR(VLOOKUP($C52,COM_N_2012!$B$61:$AJ$122,MATCH(VLOOKUP("*"&amp;$AW52,$A$10:$J$11,$J$9,FALSE)&amp;S$7,COM_N_2012!$B$58:$AJ$58,0),FALSE),"")</f>
        <v/>
      </c>
      <c r="T52" s="391" t="str">
        <f ca="1">IFERROR(VLOOKUP($C52,COM_N_2012!$B$61:$AJ$122,MATCH(VLOOKUP("*"&amp;$AW52,$A$10:$J$11,$J$9,FALSE)&amp;T$7,COM_N_2012!$B$58:$AJ$58,0),FALSE),"")</f>
        <v/>
      </c>
      <c r="U52" s="391" t="str">
        <f ca="1">IFERROR(VLOOKUP($C52,COM_N_2012!$B$61:$AJ$122,MATCH(VLOOKUP("*"&amp;$AW52,$A$10:$J$11,$J$9,FALSE)&amp;U$7,COM_N_2012!$B$58:$AJ$58,0),FALSE),"")</f>
        <v/>
      </c>
      <c r="V52" s="391" t="str">
        <f ca="1">IFERROR(VLOOKUP($C52,COM_N_2012!$B$61:$AJ$122,MATCH(VLOOKUP("*"&amp;$AW52,$A$10:$J$11,$J$9,FALSE)&amp;V$7,COM_N_2012!$B$58:$AJ$58,0),FALSE),"")</f>
        <v/>
      </c>
      <c r="W52" s="391" t="str">
        <f ca="1">IF($A52="*","",IFERROR(VLOOKUP($C52,COM_N_2017!$B$61:$AJ$122,MATCH(VLOOKUP("*"&amp;$AW52,$A$10:$J$11,$J$9,FALSE)&amp;W$7,COM_N_2017!$B$58:$AJ$58,0),FALSE),""))</f>
        <v/>
      </c>
      <c r="X52" s="391" t="str">
        <f ca="1">IFERROR(VLOOKUP($C52,COM_N_2012!$B$61:$AJ$122,MATCH(VLOOKUP("*"&amp;$AW52,$A$10:$J$11,$J$9,FALSE)&amp;X$7,COM_N_2012!$B$58:$AJ$58,0),FALSE),"")</f>
        <v/>
      </c>
      <c r="Y52" s="391" t="str">
        <f ca="1">IFERROR(VLOOKUP($C52,COM_N_2012!$B$61:$AJ$122,MATCH(VLOOKUP("*"&amp;$AW52,$A$10:$J$11,$J$9,FALSE)&amp;Y$7,COM_N_2012!$B$58:$AJ$58,0),FALSE),"")</f>
        <v/>
      </c>
      <c r="Z52" s="391" t="str">
        <f ca="1">IFERROR(VLOOKUP($C52,COM_N_2012!$B$61:$AJ$122,MATCH(VLOOKUP("*"&amp;$AW52,$A$10:$J$11,$J$9,FALSE)&amp;Z$7,COM_N_2012!$B$58:$AJ$58,0),FALSE),"")</f>
        <v/>
      </c>
      <c r="AA52" s="391" t="str">
        <f ca="1">IFERROR(VLOOKUP($C52,COM_N_2012!$B$61:$AJ$122,MATCH(VLOOKUP("*"&amp;$AW52,$A$10:$J$11,$J$9,FALSE)&amp;AA$7,COM_N_2012!$B$58:$AJ$58,0),FALSE),"")</f>
        <v/>
      </c>
      <c r="AB52" s="391" t="str">
        <f ca="1">IF($A52="*","",IFERROR(VLOOKUP($C52,COM_N_2017!$B$61:$AJ$122,MATCH(VLOOKUP("*"&amp;$AW52,$A$10:$J$11,$J$9,FALSE)&amp;AB$7,COM_N_2017!$B$58:$AJ$58,0),FALSE),""))</f>
        <v/>
      </c>
      <c r="AC52" s="391" t="str">
        <f ca="1">IFERROR(VLOOKUP($C52,COM_N_2012!$B$61:$AJ$122,MATCH(VLOOKUP("*"&amp;$AW52,$A$10:$J$11,$J$9,FALSE)&amp;AC$7,COM_N_2012!$B$58:$AJ$58,0),FALSE),"")</f>
        <v/>
      </c>
      <c r="AD52" s="391" t="str">
        <f ca="1">IFERROR(VLOOKUP($C52,COM_N_2012!$B$61:$AJ$122,MATCH(VLOOKUP("*"&amp;$AW52,$A$10:$J$11,$J$9,FALSE)&amp;AD$7,COM_N_2012!$B$58:$AJ$58,0),FALSE),"")</f>
        <v/>
      </c>
      <c r="AE52" s="391" t="str">
        <f ca="1">IFERROR(VLOOKUP($C52,COM_N_2012!$B$61:$AJ$122,MATCH(VLOOKUP("*"&amp;$AW52,$A$10:$J$11,$J$9,FALSE)&amp;AE$7,COM_N_2012!$B$58:$AJ$58,0),FALSE),"")</f>
        <v/>
      </c>
      <c r="AF52" s="391" t="str">
        <f ca="1">IFERROR(VLOOKUP($C52,COM_N_2012!$B$61:$AJ$122,MATCH(VLOOKUP("*"&amp;$AW52,$A$10:$J$11,$J$9,FALSE)&amp;AF$7,COM_N_2012!$B$58:$AJ$58,0),FALSE),"")</f>
        <v/>
      </c>
      <c r="AG52" s="391" t="str">
        <f ca="1">IF($A52="*","",IFERROR(VLOOKUP($C52,COM_N_2017!$B$61:$AJ$122,MATCH(VLOOKUP("*"&amp;$AW52,$A$10:$J$11,$J$9,FALSE)&amp;AG$7,COM_N_2017!$B$58:$AJ$58,0),FALSE),""))</f>
        <v/>
      </c>
      <c r="AH52" s="391" t="str">
        <f ca="1">IFERROR(VLOOKUP($C52,COM_N_2012!$B$61:$AJ$122,MATCH(VLOOKUP("*"&amp;$AW52,$A$10:$J$11,$J$9,FALSE)&amp;AH$7,COM_N_2012!$B$58:$AJ$58,0),FALSE),"")</f>
        <v/>
      </c>
      <c r="AI52" s="391" t="str">
        <f ca="1">IFERROR(VLOOKUP($C52,COM_N_2012!$B$61:$AJ$122,MATCH(VLOOKUP("*"&amp;$AW52,$A$10:$J$11,$J$9,FALSE)&amp;AI$7,COM_N_2012!$B$58:$AJ$58,0),FALSE),"")</f>
        <v/>
      </c>
      <c r="AJ52" s="391" t="str">
        <f ca="1">IFERROR(VLOOKUP($C52,COM_N_2012!$B$61:$AJ$122,MATCH(VLOOKUP("*"&amp;$AW52,$A$10:$J$11,$J$9,FALSE)&amp;AJ$7,COM_N_2012!$B$58:$AJ$58,0),FALSE),"")</f>
        <v/>
      </c>
      <c r="AK52" s="391" t="str">
        <f ca="1">IFERROR(VLOOKUP($C52,COM_N_2012!$B$61:$AJ$122,MATCH(VLOOKUP("*"&amp;$AW52,$A$10:$J$11,$J$9,FALSE)&amp;AK$7,COM_N_2012!$B$58:$AJ$58,0),FALSE),"")</f>
        <v/>
      </c>
      <c r="AL52" s="391" t="str">
        <f ca="1">IF($A52="*","",IFERROR(VLOOKUP($C52,COM_N_2017!$B$61:$AJ$122,MATCH(VLOOKUP("*"&amp;$AW52,$A$10:$J$11,$J$9,FALSE)&amp;AL$7,COM_N_2017!$B$58:$AJ$58,0),FALSE),""))</f>
        <v/>
      </c>
      <c r="AM52" s="391" t="str">
        <f ca="1">IF($A52="*","",IFERROR(VLOOKUP($C52,COM_N_2017!$B$61:$AJ$122,MATCH(VLOOKUP("*"&amp;$AW52,$A$10:$J$11,$J$9,FALSE)&amp;AM$7,COM_N_2017!$B$58:$AJ$58,0),FALSE),""))</f>
        <v/>
      </c>
      <c r="AN52" s="391" t="str">
        <f ca="1">IF($A52="*","",IFERROR(VLOOKUP($C52,COM_N_2017!$B$61:$AJ$122,MATCH(VLOOKUP("*"&amp;$AW52,$A$10:$J$11,$J$9,FALSE)&amp;AN$7,COM_N_2017!$B$58:$AJ$58,0),FALSE),""))</f>
        <v/>
      </c>
      <c r="AO52" s="391" t="str">
        <f ca="1">IFERROR(VLOOKUP($C52,COM_N_2012!$B$61:$AJ$122,MATCH(VLOOKUP("*"&amp;$AW52,$A$10:$J$11,$J$9,FALSE)&amp;AO$7,COM_N_2012!$B$58:$AJ$58,0),FALSE),"")</f>
        <v/>
      </c>
      <c r="AP52" s="391" t="str">
        <f ca="1">IFERROR(VLOOKUP($C52,COM_N_2012!$B$61:$AJ$122,MATCH(VLOOKUP("*"&amp;$AW52,$A$10:$J$11,$J$9,FALSE)&amp;AP$7,COM_N_2012!$B$58:$AJ$58,0),FALSE),"")</f>
        <v/>
      </c>
      <c r="AQ52" s="391" t="str">
        <f ca="1">IFERROR(VLOOKUP($C52,COM_N_2012!$B$61:$AJ$122,MATCH(VLOOKUP("*"&amp;$AW52,$A$10:$J$11,$J$9,FALSE)&amp;AQ$7,COM_N_2012!$B$58:$AJ$58,0),FALSE),"")</f>
        <v/>
      </c>
      <c r="AR52" s="391" t="str">
        <f ca="1">IFERROR(VLOOKUP($C52,COM_N_2012!$B$61:$AJ$122,MATCH(VLOOKUP("*"&amp;$AW52,$A$10:$J$11,$J$9,FALSE)&amp;AR$7,COM_N_2012!$B$58:$AJ$58,0),FALSE),"")</f>
        <v/>
      </c>
      <c r="AS52" s="391" t="str">
        <f ca="1">IFERROR(VLOOKUP($C52,COM_N_2012!$B$61:$AJ$122,MATCH(VLOOKUP("*"&amp;$AW52,$A$10:$J$11,$J$9,FALSE)&amp;AS$7,COM_N_2012!$B$58:$AJ$58,0),FALSE),"")</f>
        <v/>
      </c>
      <c r="AT52" s="391" t="str">
        <f ca="1">IFERROR(VLOOKUP($C52,COM_N_2012!$B$61:$AJ$122,MATCH(VLOOKUP("*"&amp;$AW52,$A$10:$J$11,$J$9,FALSE)&amp;AT$7,COM_N_2012!$B$58:$AJ$58,0),FALSE),"")</f>
        <v/>
      </c>
      <c r="AU52" s="391" t="str">
        <f ca="1">IFERROR(VLOOKUP($C52,COM_N_2012!$B$61:$AJ$122,MATCH(VLOOKUP("*"&amp;$AW52,$A$10:$J$11,$J$9,FALSE)&amp;AU$7,COM_N_2012!$B$58:$AJ$58,0),FALSE),"")</f>
        <v/>
      </c>
      <c r="AV52" s="391" t="str">
        <f ca="1">IFERROR(VLOOKUP($C52,COM_N_2012!$B$61:$AJ$122,MATCH(VLOOKUP("*"&amp;$AW52,$A$10:$J$11,$J$9,FALSE)&amp;AV$7,COM_N_2012!$B$58:$AJ$58,0),FALSE),"")</f>
        <v/>
      </c>
      <c r="AW52" s="304">
        <f>IF(AX51=COM_N_2012!$AK$121,AW51+1,AW51)</f>
        <v>1</v>
      </c>
      <c r="AX52" s="304">
        <f t="shared" si="13"/>
        <v>40</v>
      </c>
    </row>
    <row r="53" spans="1:50">
      <c r="A53" s="304" t="str">
        <f ca="1">IF(LEFT(OFFSET(COM_N_2012!$A$60,AX53,0),2)="\I","*","")</f>
        <v>*</v>
      </c>
      <c r="B53" s="369" t="str">
        <f t="shared" ca="1" si="11"/>
        <v/>
      </c>
      <c r="C53" s="369" t="str">
        <f ca="1">IF($A53="*","",OFFSET(COM_N_2012!$B$60,AX53,0))</f>
        <v/>
      </c>
      <c r="D53" s="369" t="str">
        <f t="shared" ca="1" si="12"/>
        <v/>
      </c>
      <c r="E53" s="369" t="str">
        <f t="shared" ref="E53:E72" ca="1" si="14">IF($A53="*","",VLOOKUP($B53,$B$10:$I$11,E$9,FALSE))</f>
        <v/>
      </c>
      <c r="F53" s="370" t="str">
        <f t="shared" ca="1" si="9"/>
        <v/>
      </c>
      <c r="G53" s="370" t="str">
        <f t="shared" ca="1" si="9"/>
        <v/>
      </c>
      <c r="H53" s="370" t="str">
        <f t="shared" ref="H53:I72" ca="1" si="15">IF($A53="*","",VLOOKUP("*"&amp;$AW53,$A$10:$I$11,H$9,FALSE))</f>
        <v/>
      </c>
      <c r="I53" s="370" t="str">
        <f t="shared" ca="1" si="15"/>
        <v/>
      </c>
      <c r="J53" s="391" t="str">
        <f ca="1">IFERROR(VLOOKUP($C53,COM_N_2012!$B$61:$AJ$122,MATCH(VLOOKUP("*"&amp;$AW53,$A$10:$J$11,$J$9,FALSE)&amp;J$7,COM_N_2012!$B$58:$AJ$58,0),FALSE),"")</f>
        <v/>
      </c>
      <c r="K53" s="391" t="str">
        <f ca="1">IFERROR(VLOOKUP($C53,COM_N_2012!$B$61:$AJ$122,MATCH(VLOOKUP("*"&amp;$AW53,$A$10:$J$11,$J$9,FALSE)&amp;K$7,COM_N_2012!$B$58:$AJ$58,0),FALSE),"")</f>
        <v/>
      </c>
      <c r="L53" s="391" t="str">
        <f ca="1">IFERROR(VLOOKUP($C53,COM_N_2012!$B$61:$AJ$122,MATCH(VLOOKUP("*"&amp;$AW53,$A$10:$J$11,$J$9,FALSE)&amp;L$7,COM_N_2012!$B$58:$AJ$58,0),FALSE),"")</f>
        <v/>
      </c>
      <c r="M53" s="391" t="str">
        <f ca="1">IFERROR(VLOOKUP($C53,COM_N_2012!$B$61:$AJ$122,MATCH(VLOOKUP("*"&amp;$AW53,$A$10:$J$11,$J$9,FALSE)&amp;M$7,COM_N_2012!$B$58:$AJ$58,0),FALSE),"")</f>
        <v/>
      </c>
      <c r="N53" s="391" t="str">
        <f ca="1">IFERROR(VLOOKUP($C53,COM_N_2012!$B$61:$AJ$122,MATCH(VLOOKUP("*"&amp;$AW53,$A$10:$J$11,$J$9,FALSE)&amp;N$7,COM_N_2012!$B$58:$AJ$58,0),FALSE),"")</f>
        <v/>
      </c>
      <c r="O53" s="391" t="str">
        <f ca="1">IF($A53="*","",IFERROR(VLOOKUP($C53,COM_N_2017!$B$61:$AJ$122,MATCH(VLOOKUP("*"&amp;$AW53,$A$10:$J$11,$J$9,FALSE)&amp;O$7,COM_N_2017!$B$58:$AJ$58,0),FALSE),""))</f>
        <v/>
      </c>
      <c r="P53" s="391" t="str">
        <f ca="1">IFERROR(VLOOKUP($C53,COM_N_2012!$B$61:$AJ$122,MATCH(VLOOKUP("*"&amp;$AW53,$A$10:$J$11,$J$9,FALSE)&amp;P$7,COM_N_2012!$B$58:$AJ$58,0),FALSE),"")</f>
        <v/>
      </c>
      <c r="Q53" s="391" t="str">
        <f ca="1">IFERROR(VLOOKUP($C53,COM_N_2012!$B$61:$AJ$122,MATCH(VLOOKUP("*"&amp;$AW53,$A$10:$J$11,$J$9,FALSE)&amp;Q$7,COM_N_2012!$B$58:$AJ$58,0),FALSE),"")</f>
        <v/>
      </c>
      <c r="R53" s="391" t="str">
        <f ca="1">IF($A53="*","",IFERROR(VLOOKUP($C53,COM_N_2017!$B$61:$AJ$122,MATCH(VLOOKUP("*"&amp;$AW53,$A$10:$J$11,$J$9,FALSE)&amp;R$7,COM_N_2017!$B$58:$AJ$58,0),FALSE),""))</f>
        <v/>
      </c>
      <c r="S53" s="391" t="str">
        <f ca="1">IFERROR(VLOOKUP($C53,COM_N_2012!$B$61:$AJ$122,MATCH(VLOOKUP("*"&amp;$AW53,$A$10:$J$11,$J$9,FALSE)&amp;S$7,COM_N_2012!$B$58:$AJ$58,0),FALSE),"")</f>
        <v/>
      </c>
      <c r="T53" s="391" t="str">
        <f ca="1">IFERROR(VLOOKUP($C53,COM_N_2012!$B$61:$AJ$122,MATCH(VLOOKUP("*"&amp;$AW53,$A$10:$J$11,$J$9,FALSE)&amp;T$7,COM_N_2012!$B$58:$AJ$58,0),FALSE),"")</f>
        <v/>
      </c>
      <c r="U53" s="391" t="str">
        <f ca="1">IFERROR(VLOOKUP($C53,COM_N_2012!$B$61:$AJ$122,MATCH(VLOOKUP("*"&amp;$AW53,$A$10:$J$11,$J$9,FALSE)&amp;U$7,COM_N_2012!$B$58:$AJ$58,0),FALSE),"")</f>
        <v/>
      </c>
      <c r="V53" s="391" t="str">
        <f ca="1">IFERROR(VLOOKUP($C53,COM_N_2012!$B$61:$AJ$122,MATCH(VLOOKUP("*"&amp;$AW53,$A$10:$J$11,$J$9,FALSE)&amp;V$7,COM_N_2012!$B$58:$AJ$58,0),FALSE),"")</f>
        <v/>
      </c>
      <c r="W53" s="391" t="str">
        <f ca="1">IF($A53="*","",IFERROR(VLOOKUP($C53,COM_N_2017!$B$61:$AJ$122,MATCH(VLOOKUP("*"&amp;$AW53,$A$10:$J$11,$J$9,FALSE)&amp;W$7,COM_N_2017!$B$58:$AJ$58,0),FALSE),""))</f>
        <v/>
      </c>
      <c r="X53" s="391" t="str">
        <f ca="1">IFERROR(VLOOKUP($C53,COM_N_2012!$B$61:$AJ$122,MATCH(VLOOKUP("*"&amp;$AW53,$A$10:$J$11,$J$9,FALSE)&amp;X$7,COM_N_2012!$B$58:$AJ$58,0),FALSE),"")</f>
        <v/>
      </c>
      <c r="Y53" s="391" t="str">
        <f ca="1">IFERROR(VLOOKUP($C53,COM_N_2012!$B$61:$AJ$122,MATCH(VLOOKUP("*"&amp;$AW53,$A$10:$J$11,$J$9,FALSE)&amp;Y$7,COM_N_2012!$B$58:$AJ$58,0),FALSE),"")</f>
        <v/>
      </c>
      <c r="Z53" s="391" t="str">
        <f ca="1">IFERROR(VLOOKUP($C53,COM_N_2012!$B$61:$AJ$122,MATCH(VLOOKUP("*"&amp;$AW53,$A$10:$J$11,$J$9,FALSE)&amp;Z$7,COM_N_2012!$B$58:$AJ$58,0),FALSE),"")</f>
        <v/>
      </c>
      <c r="AA53" s="391" t="str">
        <f ca="1">IFERROR(VLOOKUP($C53,COM_N_2012!$B$61:$AJ$122,MATCH(VLOOKUP("*"&amp;$AW53,$A$10:$J$11,$J$9,FALSE)&amp;AA$7,COM_N_2012!$B$58:$AJ$58,0),FALSE),"")</f>
        <v/>
      </c>
      <c r="AB53" s="391" t="str">
        <f ca="1">IF($A53="*","",IFERROR(VLOOKUP($C53,COM_N_2017!$B$61:$AJ$122,MATCH(VLOOKUP("*"&amp;$AW53,$A$10:$J$11,$J$9,FALSE)&amp;AB$7,COM_N_2017!$B$58:$AJ$58,0),FALSE),""))</f>
        <v/>
      </c>
      <c r="AC53" s="391" t="str">
        <f ca="1">IFERROR(VLOOKUP($C53,COM_N_2012!$B$61:$AJ$122,MATCH(VLOOKUP("*"&amp;$AW53,$A$10:$J$11,$J$9,FALSE)&amp;AC$7,COM_N_2012!$B$58:$AJ$58,0),FALSE),"")</f>
        <v/>
      </c>
      <c r="AD53" s="391" t="str">
        <f ca="1">IFERROR(VLOOKUP($C53,COM_N_2012!$B$61:$AJ$122,MATCH(VLOOKUP("*"&amp;$AW53,$A$10:$J$11,$J$9,FALSE)&amp;AD$7,COM_N_2012!$B$58:$AJ$58,0),FALSE),"")</f>
        <v/>
      </c>
      <c r="AE53" s="391" t="str">
        <f ca="1">IFERROR(VLOOKUP($C53,COM_N_2012!$B$61:$AJ$122,MATCH(VLOOKUP("*"&amp;$AW53,$A$10:$J$11,$J$9,FALSE)&amp;AE$7,COM_N_2012!$B$58:$AJ$58,0),FALSE),"")</f>
        <v/>
      </c>
      <c r="AF53" s="391" t="str">
        <f ca="1">IFERROR(VLOOKUP($C53,COM_N_2012!$B$61:$AJ$122,MATCH(VLOOKUP("*"&amp;$AW53,$A$10:$J$11,$J$9,FALSE)&amp;AF$7,COM_N_2012!$B$58:$AJ$58,0),FALSE),"")</f>
        <v/>
      </c>
      <c r="AG53" s="391" t="str">
        <f ca="1">IF($A53="*","",IFERROR(VLOOKUP($C53,COM_N_2017!$B$61:$AJ$122,MATCH(VLOOKUP("*"&amp;$AW53,$A$10:$J$11,$J$9,FALSE)&amp;AG$7,COM_N_2017!$B$58:$AJ$58,0),FALSE),""))</f>
        <v/>
      </c>
      <c r="AH53" s="391" t="str">
        <f ca="1">IFERROR(VLOOKUP($C53,COM_N_2012!$B$61:$AJ$122,MATCH(VLOOKUP("*"&amp;$AW53,$A$10:$J$11,$J$9,FALSE)&amp;AH$7,COM_N_2012!$B$58:$AJ$58,0),FALSE),"")</f>
        <v/>
      </c>
      <c r="AI53" s="391" t="str">
        <f ca="1">IFERROR(VLOOKUP($C53,COM_N_2012!$B$61:$AJ$122,MATCH(VLOOKUP("*"&amp;$AW53,$A$10:$J$11,$J$9,FALSE)&amp;AI$7,COM_N_2012!$B$58:$AJ$58,0),FALSE),"")</f>
        <v/>
      </c>
      <c r="AJ53" s="391" t="str">
        <f ca="1">IFERROR(VLOOKUP($C53,COM_N_2012!$B$61:$AJ$122,MATCH(VLOOKUP("*"&amp;$AW53,$A$10:$J$11,$J$9,FALSE)&amp;AJ$7,COM_N_2012!$B$58:$AJ$58,0),FALSE),"")</f>
        <v/>
      </c>
      <c r="AK53" s="391" t="str">
        <f ca="1">IFERROR(VLOOKUP($C53,COM_N_2012!$B$61:$AJ$122,MATCH(VLOOKUP("*"&amp;$AW53,$A$10:$J$11,$J$9,FALSE)&amp;AK$7,COM_N_2012!$B$58:$AJ$58,0),FALSE),"")</f>
        <v/>
      </c>
      <c r="AL53" s="391" t="str">
        <f ca="1">IF($A53="*","",IFERROR(VLOOKUP($C53,COM_N_2017!$B$61:$AJ$122,MATCH(VLOOKUP("*"&amp;$AW53,$A$10:$J$11,$J$9,FALSE)&amp;AL$7,COM_N_2017!$B$58:$AJ$58,0),FALSE),""))</f>
        <v/>
      </c>
      <c r="AM53" s="391" t="str">
        <f ca="1">IF($A53="*","",IFERROR(VLOOKUP($C53,COM_N_2017!$B$61:$AJ$122,MATCH(VLOOKUP("*"&amp;$AW53,$A$10:$J$11,$J$9,FALSE)&amp;AM$7,COM_N_2017!$B$58:$AJ$58,0),FALSE),""))</f>
        <v/>
      </c>
      <c r="AN53" s="391" t="str">
        <f ca="1">IF($A53="*","",IFERROR(VLOOKUP($C53,COM_N_2017!$B$61:$AJ$122,MATCH(VLOOKUP("*"&amp;$AW53,$A$10:$J$11,$J$9,FALSE)&amp;AN$7,COM_N_2017!$B$58:$AJ$58,0),FALSE),""))</f>
        <v/>
      </c>
      <c r="AO53" s="391" t="str">
        <f ca="1">IFERROR(VLOOKUP($C53,COM_N_2012!$B$61:$AJ$122,MATCH(VLOOKUP("*"&amp;$AW53,$A$10:$J$11,$J$9,FALSE)&amp;AO$7,COM_N_2012!$B$58:$AJ$58,0),FALSE),"")</f>
        <v/>
      </c>
      <c r="AP53" s="391" t="str">
        <f ca="1">IFERROR(VLOOKUP($C53,COM_N_2012!$B$61:$AJ$122,MATCH(VLOOKUP("*"&amp;$AW53,$A$10:$J$11,$J$9,FALSE)&amp;AP$7,COM_N_2012!$B$58:$AJ$58,0),FALSE),"")</f>
        <v/>
      </c>
      <c r="AQ53" s="391" t="str">
        <f ca="1">IFERROR(VLOOKUP($C53,COM_N_2012!$B$61:$AJ$122,MATCH(VLOOKUP("*"&amp;$AW53,$A$10:$J$11,$J$9,FALSE)&amp;AQ$7,COM_N_2012!$B$58:$AJ$58,0),FALSE),"")</f>
        <v/>
      </c>
      <c r="AR53" s="391" t="str">
        <f ca="1">IFERROR(VLOOKUP($C53,COM_N_2012!$B$61:$AJ$122,MATCH(VLOOKUP("*"&amp;$AW53,$A$10:$J$11,$J$9,FALSE)&amp;AR$7,COM_N_2012!$B$58:$AJ$58,0),FALSE),"")</f>
        <v/>
      </c>
      <c r="AS53" s="391" t="str">
        <f ca="1">IFERROR(VLOOKUP($C53,COM_N_2012!$B$61:$AJ$122,MATCH(VLOOKUP("*"&amp;$AW53,$A$10:$J$11,$J$9,FALSE)&amp;AS$7,COM_N_2012!$B$58:$AJ$58,0),FALSE),"")</f>
        <v/>
      </c>
      <c r="AT53" s="391" t="str">
        <f ca="1">IFERROR(VLOOKUP($C53,COM_N_2012!$B$61:$AJ$122,MATCH(VLOOKUP("*"&amp;$AW53,$A$10:$J$11,$J$9,FALSE)&amp;AT$7,COM_N_2012!$B$58:$AJ$58,0),FALSE),"")</f>
        <v/>
      </c>
      <c r="AU53" s="391" t="str">
        <f ca="1">IFERROR(VLOOKUP($C53,COM_N_2012!$B$61:$AJ$122,MATCH(VLOOKUP("*"&amp;$AW53,$A$10:$J$11,$J$9,FALSE)&amp;AU$7,COM_N_2012!$B$58:$AJ$58,0),FALSE),"")</f>
        <v/>
      </c>
      <c r="AV53" s="391" t="str">
        <f ca="1">IFERROR(VLOOKUP($C53,COM_N_2012!$B$61:$AJ$122,MATCH(VLOOKUP("*"&amp;$AW53,$A$10:$J$11,$J$9,FALSE)&amp;AV$7,COM_N_2012!$B$58:$AJ$58,0),FALSE),"")</f>
        <v/>
      </c>
      <c r="AW53" s="304">
        <f>IF(AX52=COM_N_2012!$AK$121,AW52+1,AW52)</f>
        <v>1</v>
      </c>
      <c r="AX53" s="304">
        <f t="shared" si="13"/>
        <v>41</v>
      </c>
    </row>
    <row r="54" spans="1:50">
      <c r="A54" s="304" t="str">
        <f ca="1">IF(LEFT(OFFSET(COM_N_2012!$A$60,AX54,0),2)="\I","*","")</f>
        <v/>
      </c>
      <c r="B54" s="369" t="str">
        <f t="shared" ca="1" si="11"/>
        <v>FLO_MRKPRD</v>
      </c>
      <c r="C54" s="369" t="str">
        <f ca="1">IF($A54="*","",OFFSET(COM_N_2012!$B$60,AX54,0))</f>
        <v>CNGELCINC-E</v>
      </c>
      <c r="D54" s="369" t="str">
        <f t="shared" ca="1" si="12"/>
        <v>CNG</v>
      </c>
      <c r="E54" s="369" t="str">
        <f t="shared" ca="1" si="14"/>
        <v>-</v>
      </c>
      <c r="F54" s="370" t="str">
        <f t="shared" ca="1" si="9"/>
        <v>-</v>
      </c>
      <c r="G54" s="370" t="str">
        <f t="shared" ca="1" si="9"/>
        <v>ANNUAL</v>
      </c>
      <c r="H54" s="370" t="str">
        <f t="shared" ca="1" si="15"/>
        <v>UP</v>
      </c>
      <c r="I54" s="370">
        <f t="shared" ca="1" si="15"/>
        <v>0</v>
      </c>
      <c r="J54" s="391">
        <f ca="1">IFERROR(VLOOKUP($C54,COM_N_2012!$B$61:$AJ$122,MATCH(VLOOKUP("*"&amp;$AW54,$A$10:$J$11,$J$9,FALSE)&amp;J$7,COM_N_2012!$B$58:$AJ$58,0),FALSE),"")</f>
        <v>1.4816772663351805E-2</v>
      </c>
      <c r="K54" s="391" t="str">
        <f ca="1">IFERROR(VLOOKUP($C54,COM_N_2012!$B$61:$AJ$122,MATCH(VLOOKUP("*"&amp;$AW54,$A$10:$J$11,$J$9,FALSE)&amp;K$7,COM_N_2012!$B$58:$AJ$58,0),FALSE),"")</f>
        <v/>
      </c>
      <c r="L54" s="391" t="str">
        <f ca="1">IFERROR(VLOOKUP($C54,COM_N_2012!$B$61:$AJ$122,MATCH(VLOOKUP("*"&amp;$AW54,$A$10:$J$11,$J$9,FALSE)&amp;L$7,COM_N_2012!$B$58:$AJ$58,0),FALSE),"")</f>
        <v/>
      </c>
      <c r="M54" s="391">
        <f ca="1">IFERROR(VLOOKUP($C54,COM_N_2012!$B$61:$AJ$122,MATCH(VLOOKUP("*"&amp;$AW54,$A$10:$J$11,$J$9,FALSE)&amp;M$7,COM_N_2012!$B$58:$AJ$58,0),FALSE),"")</f>
        <v>1.4816772663351805E-2</v>
      </c>
      <c r="N54" s="391" t="str">
        <f ca="1">IFERROR(VLOOKUP($C54,COM_N_2012!$B$61:$AJ$122,MATCH(VLOOKUP("*"&amp;$AW54,$A$10:$J$11,$J$9,FALSE)&amp;N$7,COM_N_2012!$B$58:$AJ$58,0),FALSE),"")</f>
        <v/>
      </c>
      <c r="O54" s="391">
        <f ca="1">IF($A54="*","",IFERROR(VLOOKUP($C54,COM_N_2017!$B$61:$AJ$122,MATCH(VLOOKUP("*"&amp;$AW54,$A$10:$J$11,$J$9,FALSE)&amp;O$7,COM_N_2017!$B$58:$AJ$58,0),FALSE),""))</f>
        <v>1.4671510186260122E-2</v>
      </c>
      <c r="P54" s="391" t="str">
        <f ca="1">IFERROR(VLOOKUP($C54,COM_N_2012!$B$61:$AJ$122,MATCH(VLOOKUP("*"&amp;$AW54,$A$10:$J$11,$J$9,FALSE)&amp;P$7,COM_N_2012!$B$58:$AJ$58,0),FALSE),"")</f>
        <v/>
      </c>
      <c r="Q54" s="391" t="str">
        <f ca="1">IFERROR(VLOOKUP($C54,COM_N_2012!$B$61:$AJ$122,MATCH(VLOOKUP("*"&amp;$AW54,$A$10:$J$11,$J$9,FALSE)&amp;Q$7,COM_N_2012!$B$58:$AJ$58,0),FALSE),"")</f>
        <v/>
      </c>
      <c r="R54" s="391">
        <f ca="1">IF($A54="*","",IFERROR(VLOOKUP($C54,COM_N_2017!$B$61:$AJ$122,MATCH(VLOOKUP("*"&amp;$AW54,$A$10:$J$11,$J$9,FALSE)&amp;R$7,COM_N_2017!$B$58:$AJ$58,0),FALSE),""))</f>
        <v>1.4671510186260122E-2</v>
      </c>
      <c r="S54" s="391" t="str">
        <f ca="1">IFERROR(VLOOKUP($C54,COM_N_2012!$B$61:$AJ$122,MATCH(VLOOKUP("*"&amp;$AW54,$A$10:$J$11,$J$9,FALSE)&amp;S$7,COM_N_2012!$B$58:$AJ$58,0),FALSE),"")</f>
        <v/>
      </c>
      <c r="T54" s="391" t="str">
        <f ca="1">IFERROR(VLOOKUP($C54,COM_N_2012!$B$61:$AJ$122,MATCH(VLOOKUP("*"&amp;$AW54,$A$10:$J$11,$J$9,FALSE)&amp;T$7,COM_N_2012!$B$58:$AJ$58,0),FALSE),"")</f>
        <v/>
      </c>
      <c r="U54" s="391" t="str">
        <f ca="1">IFERROR(VLOOKUP($C54,COM_N_2012!$B$61:$AJ$122,MATCH(VLOOKUP("*"&amp;$AW54,$A$10:$J$11,$J$9,FALSE)&amp;U$7,COM_N_2012!$B$58:$AJ$58,0),FALSE),"")</f>
        <v/>
      </c>
      <c r="V54" s="391" t="str">
        <f ca="1">IFERROR(VLOOKUP($C54,COM_N_2012!$B$61:$AJ$122,MATCH(VLOOKUP("*"&amp;$AW54,$A$10:$J$11,$J$9,FALSE)&amp;V$7,COM_N_2012!$B$58:$AJ$58,0),FALSE),"")</f>
        <v/>
      </c>
      <c r="W54" s="391">
        <f ca="1">IF($A54="*","",IFERROR(VLOOKUP($C54,COM_N_2017!$B$61:$AJ$122,MATCH(VLOOKUP("*"&amp;$AW54,$A$10:$J$11,$J$9,FALSE)&amp;W$7,COM_N_2017!$B$58:$AJ$58,0),FALSE),""))</f>
        <v>1.4671510186260122E-2</v>
      </c>
      <c r="X54" s="391" t="str">
        <f ca="1">IFERROR(VLOOKUP($C54,COM_N_2012!$B$61:$AJ$122,MATCH(VLOOKUP("*"&amp;$AW54,$A$10:$J$11,$J$9,FALSE)&amp;X$7,COM_N_2012!$B$58:$AJ$58,0),FALSE),"")</f>
        <v/>
      </c>
      <c r="Y54" s="391" t="str">
        <f ca="1">IFERROR(VLOOKUP($C54,COM_N_2012!$B$61:$AJ$122,MATCH(VLOOKUP("*"&amp;$AW54,$A$10:$J$11,$J$9,FALSE)&amp;Y$7,COM_N_2012!$B$58:$AJ$58,0),FALSE),"")</f>
        <v/>
      </c>
      <c r="Z54" s="391" t="str">
        <f ca="1">IFERROR(VLOOKUP($C54,COM_N_2012!$B$61:$AJ$122,MATCH(VLOOKUP("*"&amp;$AW54,$A$10:$J$11,$J$9,FALSE)&amp;Z$7,COM_N_2012!$B$58:$AJ$58,0),FALSE),"")</f>
        <v/>
      </c>
      <c r="AA54" s="391" t="str">
        <f ca="1">IFERROR(VLOOKUP($C54,COM_N_2012!$B$61:$AJ$122,MATCH(VLOOKUP("*"&amp;$AW54,$A$10:$J$11,$J$9,FALSE)&amp;AA$7,COM_N_2012!$B$58:$AJ$58,0),FALSE),"")</f>
        <v/>
      </c>
      <c r="AB54" s="391">
        <f ca="1">IF($A54="*","",IFERROR(VLOOKUP($C54,COM_N_2017!$B$61:$AJ$122,MATCH(VLOOKUP("*"&amp;$AW54,$A$10:$J$11,$J$9,FALSE)&amp;AB$7,COM_N_2017!$B$58:$AJ$58,0),FALSE),""))</f>
        <v>1.4671510186260122E-2</v>
      </c>
      <c r="AC54" s="391" t="str">
        <f ca="1">IFERROR(VLOOKUP($C54,COM_N_2012!$B$61:$AJ$122,MATCH(VLOOKUP("*"&amp;$AW54,$A$10:$J$11,$J$9,FALSE)&amp;AC$7,COM_N_2012!$B$58:$AJ$58,0),FALSE),"")</f>
        <v/>
      </c>
      <c r="AD54" s="391" t="str">
        <f ca="1">IFERROR(VLOOKUP($C54,COM_N_2012!$B$61:$AJ$122,MATCH(VLOOKUP("*"&amp;$AW54,$A$10:$J$11,$J$9,FALSE)&amp;AD$7,COM_N_2012!$B$58:$AJ$58,0),FALSE),"")</f>
        <v/>
      </c>
      <c r="AE54" s="391" t="str">
        <f ca="1">IFERROR(VLOOKUP($C54,COM_N_2012!$B$61:$AJ$122,MATCH(VLOOKUP("*"&amp;$AW54,$A$10:$J$11,$J$9,FALSE)&amp;AE$7,COM_N_2012!$B$58:$AJ$58,0),FALSE),"")</f>
        <v/>
      </c>
      <c r="AF54" s="391" t="str">
        <f ca="1">IFERROR(VLOOKUP($C54,COM_N_2012!$B$61:$AJ$122,MATCH(VLOOKUP("*"&amp;$AW54,$A$10:$J$11,$J$9,FALSE)&amp;AF$7,COM_N_2012!$B$58:$AJ$58,0),FALSE),"")</f>
        <v/>
      </c>
      <c r="AG54" s="391">
        <f ca="1">IF($A54="*","",IFERROR(VLOOKUP($C54,COM_N_2017!$B$61:$AJ$122,MATCH(VLOOKUP("*"&amp;$AW54,$A$10:$J$11,$J$9,FALSE)&amp;AG$7,COM_N_2017!$B$58:$AJ$58,0),FALSE),""))</f>
        <v>1.4671510186260122E-2</v>
      </c>
      <c r="AH54" s="391" t="str">
        <f ca="1">IFERROR(VLOOKUP($C54,COM_N_2012!$B$61:$AJ$122,MATCH(VLOOKUP("*"&amp;$AW54,$A$10:$J$11,$J$9,FALSE)&amp;AH$7,COM_N_2012!$B$58:$AJ$58,0),FALSE),"")</f>
        <v/>
      </c>
      <c r="AI54" s="391" t="str">
        <f ca="1">IFERROR(VLOOKUP($C54,COM_N_2012!$B$61:$AJ$122,MATCH(VLOOKUP("*"&amp;$AW54,$A$10:$J$11,$J$9,FALSE)&amp;AI$7,COM_N_2012!$B$58:$AJ$58,0),FALSE),"")</f>
        <v/>
      </c>
      <c r="AJ54" s="391" t="str">
        <f ca="1">IFERROR(VLOOKUP($C54,COM_N_2012!$B$61:$AJ$122,MATCH(VLOOKUP("*"&amp;$AW54,$A$10:$J$11,$J$9,FALSE)&amp;AJ$7,COM_N_2012!$B$58:$AJ$58,0),FALSE),"")</f>
        <v/>
      </c>
      <c r="AK54" s="391" t="str">
        <f ca="1">IFERROR(VLOOKUP($C54,COM_N_2012!$B$61:$AJ$122,MATCH(VLOOKUP("*"&amp;$AW54,$A$10:$J$11,$J$9,FALSE)&amp;AK$7,COM_N_2012!$B$58:$AJ$58,0),FALSE),"")</f>
        <v/>
      </c>
      <c r="AL54" s="391">
        <f ca="1">IF($A54="*","",IFERROR(VLOOKUP($C54,COM_N_2017!$B$61:$AJ$122,MATCH(VLOOKUP("*"&amp;$AW54,$A$10:$J$11,$J$9,FALSE)&amp;AL$7,COM_N_2017!$B$58:$AJ$58,0),FALSE),""))</f>
        <v>1.4671510186260122E-2</v>
      </c>
      <c r="AM54" s="391">
        <f ca="1">IF($A54="*","",IFERROR(VLOOKUP($C54,COM_N_2017!$B$61:$AJ$122,MATCH(VLOOKUP("*"&amp;$AW54,$A$10:$J$11,$J$9,FALSE)&amp;AM$7,COM_N_2017!$B$58:$AJ$58,0),FALSE),""))</f>
        <v>1.4671510186260122E-2</v>
      </c>
      <c r="AN54" s="391">
        <f ca="1">IF($A54="*","",IFERROR(VLOOKUP($C54,COM_N_2017!$B$61:$AJ$122,MATCH(VLOOKUP("*"&amp;$AW54,$A$10:$J$11,$J$9,FALSE)&amp;AN$7,COM_N_2017!$B$58:$AJ$58,0),FALSE),""))</f>
        <v>1.4671510186260122E-2</v>
      </c>
      <c r="AO54" s="391" t="str">
        <f ca="1">IFERROR(VLOOKUP($C54,COM_N_2012!$B$61:$AJ$122,MATCH(VLOOKUP("*"&amp;$AW54,$A$10:$J$11,$J$9,FALSE)&amp;AO$7,COM_N_2012!$B$58:$AJ$58,0),FALSE),"")</f>
        <v/>
      </c>
      <c r="AP54" s="391" t="str">
        <f ca="1">IFERROR(VLOOKUP($C54,COM_N_2012!$B$61:$AJ$122,MATCH(VLOOKUP("*"&amp;$AW54,$A$10:$J$11,$J$9,FALSE)&amp;AP$7,COM_N_2012!$B$58:$AJ$58,0),FALSE),"")</f>
        <v/>
      </c>
      <c r="AQ54" s="391" t="str">
        <f ca="1">IFERROR(VLOOKUP($C54,COM_N_2012!$B$61:$AJ$122,MATCH(VLOOKUP("*"&amp;$AW54,$A$10:$J$11,$J$9,FALSE)&amp;AQ$7,COM_N_2012!$B$58:$AJ$58,0),FALSE),"")</f>
        <v/>
      </c>
      <c r="AR54" s="391" t="str">
        <f ca="1">IFERROR(VLOOKUP($C54,COM_N_2012!$B$61:$AJ$122,MATCH(VLOOKUP("*"&amp;$AW54,$A$10:$J$11,$J$9,FALSE)&amp;AR$7,COM_N_2012!$B$58:$AJ$58,0),FALSE),"")</f>
        <v/>
      </c>
      <c r="AS54" s="391" t="str">
        <f ca="1">IFERROR(VLOOKUP($C54,COM_N_2012!$B$61:$AJ$122,MATCH(VLOOKUP("*"&amp;$AW54,$A$10:$J$11,$J$9,FALSE)&amp;AS$7,COM_N_2012!$B$58:$AJ$58,0),FALSE),"")</f>
        <v/>
      </c>
      <c r="AT54" s="391" t="str">
        <f ca="1">IFERROR(VLOOKUP($C54,COM_N_2012!$B$61:$AJ$122,MATCH(VLOOKUP("*"&amp;$AW54,$A$10:$J$11,$J$9,FALSE)&amp;AT$7,COM_N_2012!$B$58:$AJ$58,0),FALSE),"")</f>
        <v/>
      </c>
      <c r="AU54" s="391" t="str">
        <f ca="1">IFERROR(VLOOKUP($C54,COM_N_2012!$B$61:$AJ$122,MATCH(VLOOKUP("*"&amp;$AW54,$A$10:$J$11,$J$9,FALSE)&amp;AU$7,COM_N_2012!$B$58:$AJ$58,0),FALSE),"")</f>
        <v/>
      </c>
      <c r="AV54" s="391" t="str">
        <f ca="1">IFERROR(VLOOKUP($C54,COM_N_2012!$B$61:$AJ$122,MATCH(VLOOKUP("*"&amp;$AW54,$A$10:$J$11,$J$9,FALSE)&amp;AV$7,COM_N_2012!$B$58:$AJ$58,0),FALSE),"")</f>
        <v/>
      </c>
      <c r="AW54" s="304">
        <f>IF(AX53=COM_N_2012!$AK$121,AW53+1,AW53)</f>
        <v>1</v>
      </c>
      <c r="AX54" s="304">
        <f t="shared" si="13"/>
        <v>42</v>
      </c>
    </row>
    <row r="55" spans="1:50">
      <c r="A55" s="304" t="str">
        <f ca="1">IF(LEFT(OFFSET(COM_N_2012!$A$60,AX55,0),2)="\I","*","")</f>
        <v/>
      </c>
      <c r="B55" s="369" t="str">
        <f t="shared" ca="1" si="11"/>
        <v>FLO_MRKPRD</v>
      </c>
      <c r="C55" s="369" t="str">
        <f ca="1">IF($A55="*","",OFFSET(COM_N_2012!$B$60,AX55,0))</f>
        <v>CNGELCHAL-E</v>
      </c>
      <c r="D55" s="369" t="str">
        <f t="shared" ca="1" si="12"/>
        <v>CNG</v>
      </c>
      <c r="E55" s="369" t="str">
        <f t="shared" ca="1" si="14"/>
        <v>-</v>
      </c>
      <c r="F55" s="370" t="str">
        <f t="shared" ca="1" si="9"/>
        <v>-</v>
      </c>
      <c r="G55" s="370" t="str">
        <f t="shared" ca="1" si="9"/>
        <v>ANNUAL</v>
      </c>
      <c r="H55" s="370" t="str">
        <f t="shared" ca="1" si="15"/>
        <v>UP</v>
      </c>
      <c r="I55" s="370">
        <f t="shared" ca="1" si="15"/>
        <v>0</v>
      </c>
      <c r="J55" s="391">
        <f ca="1">IFERROR(VLOOKUP($C55,COM_N_2012!$B$61:$AJ$122,MATCH(VLOOKUP("*"&amp;$AW55,$A$10:$J$11,$J$9,FALSE)&amp;J$7,COM_N_2012!$B$58:$AJ$58,0),FALSE),"")</f>
        <v>2.9633545326703609E-2</v>
      </c>
      <c r="K55" s="391" t="str">
        <f ca="1">IFERROR(VLOOKUP($C55,COM_N_2012!$B$61:$AJ$122,MATCH(VLOOKUP("*"&amp;$AW55,$A$10:$J$11,$J$9,FALSE)&amp;K$7,COM_N_2012!$B$58:$AJ$58,0),FALSE),"")</f>
        <v/>
      </c>
      <c r="L55" s="391" t="str">
        <f ca="1">IFERROR(VLOOKUP($C55,COM_N_2012!$B$61:$AJ$122,MATCH(VLOOKUP("*"&amp;$AW55,$A$10:$J$11,$J$9,FALSE)&amp;L$7,COM_N_2012!$B$58:$AJ$58,0),FALSE),"")</f>
        <v/>
      </c>
      <c r="M55" s="391">
        <f ca="1">IFERROR(VLOOKUP($C55,COM_N_2012!$B$61:$AJ$122,MATCH(VLOOKUP("*"&amp;$AW55,$A$10:$J$11,$J$9,FALSE)&amp;M$7,COM_N_2012!$B$58:$AJ$58,0),FALSE),"")</f>
        <v>2.9633545326703609E-2</v>
      </c>
      <c r="N55" s="391" t="str">
        <f ca="1">IFERROR(VLOOKUP($C55,COM_N_2012!$B$61:$AJ$122,MATCH(VLOOKUP("*"&amp;$AW55,$A$10:$J$11,$J$9,FALSE)&amp;N$7,COM_N_2012!$B$58:$AJ$58,0),FALSE),"")</f>
        <v/>
      </c>
      <c r="O55" s="391">
        <f ca="1">IF($A55="*","",IFERROR(VLOOKUP($C55,COM_N_2017!$B$61:$AJ$122,MATCH(VLOOKUP("*"&amp;$AW55,$A$10:$J$11,$J$9,FALSE)&amp;O$7,COM_N_2017!$B$58:$AJ$58,0),FALSE),""))</f>
        <v>2.9343020372520245E-2</v>
      </c>
      <c r="P55" s="391" t="str">
        <f ca="1">IFERROR(VLOOKUP($C55,COM_N_2012!$B$61:$AJ$122,MATCH(VLOOKUP("*"&amp;$AW55,$A$10:$J$11,$J$9,FALSE)&amp;P$7,COM_N_2012!$B$58:$AJ$58,0),FALSE),"")</f>
        <v/>
      </c>
      <c r="Q55" s="391" t="str">
        <f ca="1">IFERROR(VLOOKUP($C55,COM_N_2012!$B$61:$AJ$122,MATCH(VLOOKUP("*"&amp;$AW55,$A$10:$J$11,$J$9,FALSE)&amp;Q$7,COM_N_2012!$B$58:$AJ$58,0),FALSE),"")</f>
        <v/>
      </c>
      <c r="R55" s="391">
        <f ca="1">IF($A55="*","",IFERROR(VLOOKUP($C55,COM_N_2017!$B$61:$AJ$122,MATCH(VLOOKUP("*"&amp;$AW55,$A$10:$J$11,$J$9,FALSE)&amp;R$7,COM_N_2017!$B$58:$AJ$58,0),FALSE),""))</f>
        <v>5.9343020372520247E-2</v>
      </c>
      <c r="S55" s="391" t="str">
        <f ca="1">IFERROR(VLOOKUP($C55,COM_N_2012!$B$61:$AJ$122,MATCH(VLOOKUP("*"&amp;$AW55,$A$10:$J$11,$J$9,FALSE)&amp;S$7,COM_N_2012!$B$58:$AJ$58,0),FALSE),"")</f>
        <v/>
      </c>
      <c r="T55" s="391" t="str">
        <f ca="1">IFERROR(VLOOKUP($C55,COM_N_2012!$B$61:$AJ$122,MATCH(VLOOKUP("*"&amp;$AW55,$A$10:$J$11,$J$9,FALSE)&amp;T$7,COM_N_2012!$B$58:$AJ$58,0),FALSE),"")</f>
        <v/>
      </c>
      <c r="U55" s="391" t="str">
        <f ca="1">IFERROR(VLOOKUP($C55,COM_N_2012!$B$61:$AJ$122,MATCH(VLOOKUP("*"&amp;$AW55,$A$10:$J$11,$J$9,FALSE)&amp;U$7,COM_N_2012!$B$58:$AJ$58,0),FALSE),"")</f>
        <v/>
      </c>
      <c r="V55" s="391" t="str">
        <f ca="1">IFERROR(VLOOKUP($C55,COM_N_2012!$B$61:$AJ$122,MATCH(VLOOKUP("*"&amp;$AW55,$A$10:$J$11,$J$9,FALSE)&amp;V$7,COM_N_2012!$B$58:$AJ$58,0),FALSE),"")</f>
        <v/>
      </c>
      <c r="W55" s="391">
        <f ca="1">IF($A55="*","",IFERROR(VLOOKUP($C55,COM_N_2017!$B$61:$AJ$122,MATCH(VLOOKUP("*"&amp;$AW55,$A$10:$J$11,$J$9,FALSE)&amp;W$7,COM_N_2017!$B$58:$AJ$58,0),FALSE),""))</f>
        <v>0.12934302037252024</v>
      </c>
      <c r="X55" s="391" t="str">
        <f ca="1">IFERROR(VLOOKUP($C55,COM_N_2012!$B$61:$AJ$122,MATCH(VLOOKUP("*"&amp;$AW55,$A$10:$J$11,$J$9,FALSE)&amp;X$7,COM_N_2012!$B$58:$AJ$58,0),FALSE),"")</f>
        <v/>
      </c>
      <c r="Y55" s="391" t="str">
        <f ca="1">IFERROR(VLOOKUP($C55,COM_N_2012!$B$61:$AJ$122,MATCH(VLOOKUP("*"&amp;$AW55,$A$10:$J$11,$J$9,FALSE)&amp;Y$7,COM_N_2012!$B$58:$AJ$58,0),FALSE),"")</f>
        <v/>
      </c>
      <c r="Z55" s="391" t="str">
        <f ca="1">IFERROR(VLOOKUP($C55,COM_N_2012!$B$61:$AJ$122,MATCH(VLOOKUP("*"&amp;$AW55,$A$10:$J$11,$J$9,FALSE)&amp;Z$7,COM_N_2012!$B$58:$AJ$58,0),FALSE),"")</f>
        <v/>
      </c>
      <c r="AA55" s="391" t="str">
        <f ca="1">IFERROR(VLOOKUP($C55,COM_N_2012!$B$61:$AJ$122,MATCH(VLOOKUP("*"&amp;$AW55,$A$10:$J$11,$J$9,FALSE)&amp;AA$7,COM_N_2012!$B$58:$AJ$58,0),FALSE),"")</f>
        <v/>
      </c>
      <c r="AB55" s="391">
        <f ca="1">IF($A55="*","",IFERROR(VLOOKUP($C55,COM_N_2017!$B$61:$AJ$122,MATCH(VLOOKUP("*"&amp;$AW55,$A$10:$J$11,$J$9,FALSE)&amp;AB$7,COM_N_2017!$B$58:$AJ$58,0),FALSE),""))</f>
        <v>0.32934302037252022</v>
      </c>
      <c r="AC55" s="391" t="str">
        <f ca="1">IFERROR(VLOOKUP($C55,COM_N_2012!$B$61:$AJ$122,MATCH(VLOOKUP("*"&amp;$AW55,$A$10:$J$11,$J$9,FALSE)&amp;AC$7,COM_N_2012!$B$58:$AJ$58,0),FALSE),"")</f>
        <v/>
      </c>
      <c r="AD55" s="391" t="str">
        <f ca="1">IFERROR(VLOOKUP($C55,COM_N_2012!$B$61:$AJ$122,MATCH(VLOOKUP("*"&amp;$AW55,$A$10:$J$11,$J$9,FALSE)&amp;AD$7,COM_N_2012!$B$58:$AJ$58,0),FALSE),"")</f>
        <v/>
      </c>
      <c r="AE55" s="391" t="str">
        <f ca="1">IFERROR(VLOOKUP($C55,COM_N_2012!$B$61:$AJ$122,MATCH(VLOOKUP("*"&amp;$AW55,$A$10:$J$11,$J$9,FALSE)&amp;AE$7,COM_N_2012!$B$58:$AJ$58,0),FALSE),"")</f>
        <v/>
      </c>
      <c r="AF55" s="391" t="str">
        <f ca="1">IFERROR(VLOOKUP($C55,COM_N_2012!$B$61:$AJ$122,MATCH(VLOOKUP("*"&amp;$AW55,$A$10:$J$11,$J$9,FALSE)&amp;AF$7,COM_N_2012!$B$58:$AJ$58,0),FALSE),"")</f>
        <v/>
      </c>
      <c r="AG55" s="391">
        <f ca="1">IF($A55="*","",IFERROR(VLOOKUP($C55,COM_N_2017!$B$61:$AJ$122,MATCH(VLOOKUP("*"&amp;$AW55,$A$10:$J$11,$J$9,FALSE)&amp;AG$7,COM_N_2017!$B$58:$AJ$58,0),FALSE),""))</f>
        <v>0.52934302037252023</v>
      </c>
      <c r="AH55" s="391" t="str">
        <f ca="1">IFERROR(VLOOKUP($C55,COM_N_2012!$B$61:$AJ$122,MATCH(VLOOKUP("*"&amp;$AW55,$A$10:$J$11,$J$9,FALSE)&amp;AH$7,COM_N_2012!$B$58:$AJ$58,0),FALSE),"")</f>
        <v/>
      </c>
      <c r="AI55" s="391" t="str">
        <f ca="1">IFERROR(VLOOKUP($C55,COM_N_2012!$B$61:$AJ$122,MATCH(VLOOKUP("*"&amp;$AW55,$A$10:$J$11,$J$9,FALSE)&amp;AI$7,COM_N_2012!$B$58:$AJ$58,0),FALSE),"")</f>
        <v/>
      </c>
      <c r="AJ55" s="391" t="str">
        <f ca="1">IFERROR(VLOOKUP($C55,COM_N_2012!$B$61:$AJ$122,MATCH(VLOOKUP("*"&amp;$AW55,$A$10:$J$11,$J$9,FALSE)&amp;AJ$7,COM_N_2012!$B$58:$AJ$58,0),FALSE),"")</f>
        <v/>
      </c>
      <c r="AK55" s="391" t="str">
        <f ca="1">IFERROR(VLOOKUP($C55,COM_N_2012!$B$61:$AJ$122,MATCH(VLOOKUP("*"&amp;$AW55,$A$10:$J$11,$J$9,FALSE)&amp;AK$7,COM_N_2012!$B$58:$AJ$58,0),FALSE),"")</f>
        <v/>
      </c>
      <c r="AL55" s="391">
        <f ca="1">IF($A55="*","",IFERROR(VLOOKUP($C55,COM_N_2017!$B$61:$AJ$122,MATCH(VLOOKUP("*"&amp;$AW55,$A$10:$J$11,$J$9,FALSE)&amp;AL$7,COM_N_2017!$B$58:$AJ$58,0),FALSE),""))</f>
        <v>0.72934302037252019</v>
      </c>
      <c r="AM55" s="391">
        <f ca="1">IF($A55="*","",IFERROR(VLOOKUP($C55,COM_N_2017!$B$61:$AJ$122,MATCH(VLOOKUP("*"&amp;$AW55,$A$10:$J$11,$J$9,FALSE)&amp;AM$7,COM_N_2017!$B$58:$AJ$58,0),FALSE),""))</f>
        <v>0.92934302037252026</v>
      </c>
      <c r="AN55" s="391">
        <f ca="1">IF($A55="*","",IFERROR(VLOOKUP($C55,COM_N_2017!$B$61:$AJ$122,MATCH(VLOOKUP("*"&amp;$AW55,$A$10:$J$11,$J$9,FALSE)&amp;AN$7,COM_N_2017!$B$58:$AJ$58,0),FALSE),""))</f>
        <v>1</v>
      </c>
      <c r="AO55" s="391" t="str">
        <f ca="1">IFERROR(VLOOKUP($C55,COM_N_2012!$B$61:$AJ$122,MATCH(VLOOKUP("*"&amp;$AW55,$A$10:$J$11,$J$9,FALSE)&amp;AO$7,COM_N_2012!$B$58:$AJ$58,0),FALSE),"")</f>
        <v/>
      </c>
      <c r="AP55" s="391" t="str">
        <f ca="1">IFERROR(VLOOKUP($C55,COM_N_2012!$B$61:$AJ$122,MATCH(VLOOKUP("*"&amp;$AW55,$A$10:$J$11,$J$9,FALSE)&amp;AP$7,COM_N_2012!$B$58:$AJ$58,0),FALSE),"")</f>
        <v/>
      </c>
      <c r="AQ55" s="391" t="str">
        <f ca="1">IFERROR(VLOOKUP($C55,COM_N_2012!$B$61:$AJ$122,MATCH(VLOOKUP("*"&amp;$AW55,$A$10:$J$11,$J$9,FALSE)&amp;AQ$7,COM_N_2012!$B$58:$AJ$58,0),FALSE),"")</f>
        <v/>
      </c>
      <c r="AR55" s="391" t="str">
        <f ca="1">IFERROR(VLOOKUP($C55,COM_N_2012!$B$61:$AJ$122,MATCH(VLOOKUP("*"&amp;$AW55,$A$10:$J$11,$J$9,FALSE)&amp;AR$7,COM_N_2012!$B$58:$AJ$58,0),FALSE),"")</f>
        <v/>
      </c>
      <c r="AS55" s="391" t="str">
        <f ca="1">IFERROR(VLOOKUP($C55,COM_N_2012!$B$61:$AJ$122,MATCH(VLOOKUP("*"&amp;$AW55,$A$10:$J$11,$J$9,FALSE)&amp;AS$7,COM_N_2012!$B$58:$AJ$58,0),FALSE),"")</f>
        <v/>
      </c>
      <c r="AT55" s="391" t="str">
        <f ca="1">IFERROR(VLOOKUP($C55,COM_N_2012!$B$61:$AJ$122,MATCH(VLOOKUP("*"&amp;$AW55,$A$10:$J$11,$J$9,FALSE)&amp;AT$7,COM_N_2012!$B$58:$AJ$58,0),FALSE),"")</f>
        <v/>
      </c>
      <c r="AU55" s="391" t="str">
        <f ca="1">IFERROR(VLOOKUP($C55,COM_N_2012!$B$61:$AJ$122,MATCH(VLOOKUP("*"&amp;$AW55,$A$10:$J$11,$J$9,FALSE)&amp;AU$7,COM_N_2012!$B$58:$AJ$58,0),FALSE),"")</f>
        <v/>
      </c>
      <c r="AV55" s="391" t="str">
        <f ca="1">IFERROR(VLOOKUP($C55,COM_N_2012!$B$61:$AJ$122,MATCH(VLOOKUP("*"&amp;$AW55,$A$10:$J$11,$J$9,FALSE)&amp;AV$7,COM_N_2012!$B$58:$AJ$58,0),FALSE),"")</f>
        <v/>
      </c>
      <c r="AW55" s="304">
        <f>IF(AX54=COM_N_2012!$AK$121,AW54+1,AW54)</f>
        <v>1</v>
      </c>
      <c r="AX55" s="304">
        <f t="shared" si="13"/>
        <v>43</v>
      </c>
    </row>
    <row r="56" spans="1:50">
      <c r="A56" s="304" t="str">
        <f ca="1">IF(LEFT(OFFSET(COM_N_2012!$A$60,AX56,0),2)="\I","*","")</f>
        <v/>
      </c>
      <c r="B56" s="369" t="str">
        <f t="shared" ca="1" si="11"/>
        <v>FLO_MRKPRD</v>
      </c>
      <c r="C56" s="369" t="str">
        <f ca="1">IF($A56="*","",OFFSET(COM_N_2012!$B$60,AX56,0))</f>
        <v>CNGELCHPM-E</v>
      </c>
      <c r="D56" s="369" t="str">
        <f t="shared" ca="1" si="12"/>
        <v>CNG</v>
      </c>
      <c r="E56" s="369" t="str">
        <f t="shared" ca="1" si="14"/>
        <v>-</v>
      </c>
      <c r="F56" s="370" t="str">
        <f t="shared" ca="1" si="9"/>
        <v>-</v>
      </c>
      <c r="G56" s="370" t="str">
        <f t="shared" ca="1" si="9"/>
        <v>ANNUAL</v>
      </c>
      <c r="H56" s="370" t="str">
        <f t="shared" ca="1" si="15"/>
        <v>UP</v>
      </c>
      <c r="I56" s="370">
        <f t="shared" ca="1" si="15"/>
        <v>0</v>
      </c>
      <c r="J56" s="391">
        <f ca="1">IFERROR(VLOOKUP($C56,COM_N_2012!$B$61:$AJ$122,MATCH(VLOOKUP("*"&amp;$AW56,$A$10:$J$11,$J$9,FALSE)&amp;J$7,COM_N_2012!$B$58:$AJ$58,0),FALSE),"")</f>
        <v>0.44968546066360116</v>
      </c>
      <c r="K56" s="391" t="str">
        <f ca="1">IFERROR(VLOOKUP($C56,COM_N_2012!$B$61:$AJ$122,MATCH(VLOOKUP("*"&amp;$AW56,$A$10:$J$11,$J$9,FALSE)&amp;K$7,COM_N_2012!$B$58:$AJ$58,0),FALSE),"")</f>
        <v/>
      </c>
      <c r="L56" s="391" t="str">
        <f ca="1">IFERROR(VLOOKUP($C56,COM_N_2012!$B$61:$AJ$122,MATCH(VLOOKUP("*"&amp;$AW56,$A$10:$J$11,$J$9,FALSE)&amp;L$7,COM_N_2012!$B$58:$AJ$58,0),FALSE),"")</f>
        <v/>
      </c>
      <c r="M56" s="391">
        <f ca="1">IFERROR(VLOOKUP($C56,COM_N_2012!$B$61:$AJ$122,MATCH(VLOOKUP("*"&amp;$AW56,$A$10:$J$11,$J$9,FALSE)&amp;M$7,COM_N_2012!$B$58:$AJ$58,0),FALSE),"")</f>
        <v>0.44968546066360116</v>
      </c>
      <c r="N56" s="391" t="str">
        <f ca="1">IFERROR(VLOOKUP($C56,COM_N_2012!$B$61:$AJ$122,MATCH(VLOOKUP("*"&amp;$AW56,$A$10:$J$11,$J$9,FALSE)&amp;N$7,COM_N_2012!$B$58:$AJ$58,0),FALSE),"")</f>
        <v/>
      </c>
      <c r="O56" s="391">
        <f ca="1">IF($A56="*","",IFERROR(VLOOKUP($C56,COM_N_2017!$B$61:$AJ$122,MATCH(VLOOKUP("*"&amp;$AW56,$A$10:$J$11,$J$9,FALSE)&amp;O$7,COM_N_2017!$B$58:$AJ$58,0),FALSE),""))</f>
        <v>0.4452767796767032</v>
      </c>
      <c r="P56" s="391" t="str">
        <f ca="1">IFERROR(VLOOKUP($C56,COM_N_2012!$B$61:$AJ$122,MATCH(VLOOKUP("*"&amp;$AW56,$A$10:$J$11,$J$9,FALSE)&amp;P$7,COM_N_2012!$B$58:$AJ$58,0),FALSE),"")</f>
        <v/>
      </c>
      <c r="Q56" s="391" t="str">
        <f ca="1">IFERROR(VLOOKUP($C56,COM_N_2012!$B$61:$AJ$122,MATCH(VLOOKUP("*"&amp;$AW56,$A$10:$J$11,$J$9,FALSE)&amp;Q$7,COM_N_2012!$B$58:$AJ$58,0),FALSE),"")</f>
        <v/>
      </c>
      <c r="R56" s="391">
        <f ca="1">IF($A56="*","",IFERROR(VLOOKUP($C56,COM_N_2017!$B$61:$AJ$122,MATCH(VLOOKUP("*"&amp;$AW56,$A$10:$J$11,$J$9,FALSE)&amp;R$7,COM_N_2017!$B$58:$AJ$58,0),FALSE),""))</f>
        <v>0.47527677967670323</v>
      </c>
      <c r="S56" s="391" t="str">
        <f ca="1">IFERROR(VLOOKUP($C56,COM_N_2012!$B$61:$AJ$122,MATCH(VLOOKUP("*"&amp;$AW56,$A$10:$J$11,$J$9,FALSE)&amp;S$7,COM_N_2012!$B$58:$AJ$58,0),FALSE),"")</f>
        <v/>
      </c>
      <c r="T56" s="391" t="str">
        <f ca="1">IFERROR(VLOOKUP($C56,COM_N_2012!$B$61:$AJ$122,MATCH(VLOOKUP("*"&amp;$AW56,$A$10:$J$11,$J$9,FALSE)&amp;T$7,COM_N_2012!$B$58:$AJ$58,0),FALSE),"")</f>
        <v/>
      </c>
      <c r="U56" s="391" t="str">
        <f ca="1">IFERROR(VLOOKUP($C56,COM_N_2012!$B$61:$AJ$122,MATCH(VLOOKUP("*"&amp;$AW56,$A$10:$J$11,$J$9,FALSE)&amp;U$7,COM_N_2012!$B$58:$AJ$58,0),FALSE),"")</f>
        <v/>
      </c>
      <c r="V56" s="391" t="str">
        <f ca="1">IFERROR(VLOOKUP($C56,COM_N_2012!$B$61:$AJ$122,MATCH(VLOOKUP("*"&amp;$AW56,$A$10:$J$11,$J$9,FALSE)&amp;V$7,COM_N_2012!$B$58:$AJ$58,0),FALSE),"")</f>
        <v/>
      </c>
      <c r="W56" s="391">
        <f ca="1">IF($A56="*","",IFERROR(VLOOKUP($C56,COM_N_2017!$B$61:$AJ$122,MATCH(VLOOKUP("*"&amp;$AW56,$A$10:$J$11,$J$9,FALSE)&amp;W$7,COM_N_2017!$B$58:$AJ$58,0),FALSE),""))</f>
        <v>0.54527677967670318</v>
      </c>
      <c r="X56" s="391" t="str">
        <f ca="1">IFERROR(VLOOKUP($C56,COM_N_2012!$B$61:$AJ$122,MATCH(VLOOKUP("*"&amp;$AW56,$A$10:$J$11,$J$9,FALSE)&amp;X$7,COM_N_2012!$B$58:$AJ$58,0),FALSE),"")</f>
        <v/>
      </c>
      <c r="Y56" s="391" t="str">
        <f ca="1">IFERROR(VLOOKUP($C56,COM_N_2012!$B$61:$AJ$122,MATCH(VLOOKUP("*"&amp;$AW56,$A$10:$J$11,$J$9,FALSE)&amp;Y$7,COM_N_2012!$B$58:$AJ$58,0),FALSE),"")</f>
        <v/>
      </c>
      <c r="Z56" s="391" t="str">
        <f ca="1">IFERROR(VLOOKUP($C56,COM_N_2012!$B$61:$AJ$122,MATCH(VLOOKUP("*"&amp;$AW56,$A$10:$J$11,$J$9,FALSE)&amp;Z$7,COM_N_2012!$B$58:$AJ$58,0),FALSE),"")</f>
        <v/>
      </c>
      <c r="AA56" s="391" t="str">
        <f ca="1">IFERROR(VLOOKUP($C56,COM_N_2012!$B$61:$AJ$122,MATCH(VLOOKUP("*"&amp;$AW56,$A$10:$J$11,$J$9,FALSE)&amp;AA$7,COM_N_2012!$B$58:$AJ$58,0),FALSE),"")</f>
        <v/>
      </c>
      <c r="AB56" s="391">
        <f ca="1">IF($A56="*","",IFERROR(VLOOKUP($C56,COM_N_2017!$B$61:$AJ$122,MATCH(VLOOKUP("*"&amp;$AW56,$A$10:$J$11,$J$9,FALSE)&amp;AB$7,COM_N_2017!$B$58:$AJ$58,0),FALSE),""))</f>
        <v>0.74527677967670325</v>
      </c>
      <c r="AC56" s="391" t="str">
        <f ca="1">IFERROR(VLOOKUP($C56,COM_N_2012!$B$61:$AJ$122,MATCH(VLOOKUP("*"&amp;$AW56,$A$10:$J$11,$J$9,FALSE)&amp;AC$7,COM_N_2012!$B$58:$AJ$58,0),FALSE),"")</f>
        <v/>
      </c>
      <c r="AD56" s="391" t="str">
        <f ca="1">IFERROR(VLOOKUP($C56,COM_N_2012!$B$61:$AJ$122,MATCH(VLOOKUP("*"&amp;$AW56,$A$10:$J$11,$J$9,FALSE)&amp;AD$7,COM_N_2012!$B$58:$AJ$58,0),FALSE),"")</f>
        <v/>
      </c>
      <c r="AE56" s="391" t="str">
        <f ca="1">IFERROR(VLOOKUP($C56,COM_N_2012!$B$61:$AJ$122,MATCH(VLOOKUP("*"&amp;$AW56,$A$10:$J$11,$J$9,FALSE)&amp;AE$7,COM_N_2012!$B$58:$AJ$58,0),FALSE),"")</f>
        <v/>
      </c>
      <c r="AF56" s="391" t="str">
        <f ca="1">IFERROR(VLOOKUP($C56,COM_N_2012!$B$61:$AJ$122,MATCH(VLOOKUP("*"&amp;$AW56,$A$10:$J$11,$J$9,FALSE)&amp;AF$7,COM_N_2012!$B$58:$AJ$58,0),FALSE),"")</f>
        <v/>
      </c>
      <c r="AG56" s="391">
        <f ca="1">IF($A56="*","",IFERROR(VLOOKUP($C56,COM_N_2017!$B$61:$AJ$122,MATCH(VLOOKUP("*"&amp;$AW56,$A$10:$J$11,$J$9,FALSE)&amp;AG$7,COM_N_2017!$B$58:$AJ$58,0),FALSE),""))</f>
        <v>0.9452767796767032</v>
      </c>
      <c r="AH56" s="391" t="str">
        <f ca="1">IFERROR(VLOOKUP($C56,COM_N_2012!$B$61:$AJ$122,MATCH(VLOOKUP("*"&amp;$AW56,$A$10:$J$11,$J$9,FALSE)&amp;AH$7,COM_N_2012!$B$58:$AJ$58,0),FALSE),"")</f>
        <v/>
      </c>
      <c r="AI56" s="391" t="str">
        <f ca="1">IFERROR(VLOOKUP($C56,COM_N_2012!$B$61:$AJ$122,MATCH(VLOOKUP("*"&amp;$AW56,$A$10:$J$11,$J$9,FALSE)&amp;AI$7,COM_N_2012!$B$58:$AJ$58,0),FALSE),"")</f>
        <v/>
      </c>
      <c r="AJ56" s="391" t="str">
        <f ca="1">IFERROR(VLOOKUP($C56,COM_N_2012!$B$61:$AJ$122,MATCH(VLOOKUP("*"&amp;$AW56,$A$10:$J$11,$J$9,FALSE)&amp;AJ$7,COM_N_2012!$B$58:$AJ$58,0),FALSE),"")</f>
        <v/>
      </c>
      <c r="AK56" s="391" t="str">
        <f ca="1">IFERROR(VLOOKUP($C56,COM_N_2012!$B$61:$AJ$122,MATCH(VLOOKUP("*"&amp;$AW56,$A$10:$J$11,$J$9,FALSE)&amp;AK$7,COM_N_2012!$B$58:$AJ$58,0),FALSE),"")</f>
        <v/>
      </c>
      <c r="AL56" s="391">
        <f ca="1">IF($A56="*","",IFERROR(VLOOKUP($C56,COM_N_2017!$B$61:$AJ$122,MATCH(VLOOKUP("*"&amp;$AW56,$A$10:$J$11,$J$9,FALSE)&amp;AL$7,COM_N_2017!$B$58:$AJ$58,0),FALSE),""))</f>
        <v>1</v>
      </c>
      <c r="AM56" s="391">
        <f ca="1">IF($A56="*","",IFERROR(VLOOKUP($C56,COM_N_2017!$B$61:$AJ$122,MATCH(VLOOKUP("*"&amp;$AW56,$A$10:$J$11,$J$9,FALSE)&amp;AM$7,COM_N_2017!$B$58:$AJ$58,0),FALSE),""))</f>
        <v>1</v>
      </c>
      <c r="AN56" s="391">
        <f ca="1">IF($A56="*","",IFERROR(VLOOKUP($C56,COM_N_2017!$B$61:$AJ$122,MATCH(VLOOKUP("*"&amp;$AW56,$A$10:$J$11,$J$9,FALSE)&amp;AN$7,COM_N_2017!$B$58:$AJ$58,0),FALSE),""))</f>
        <v>1</v>
      </c>
      <c r="AO56" s="391" t="str">
        <f ca="1">IFERROR(VLOOKUP($C56,COM_N_2012!$B$61:$AJ$122,MATCH(VLOOKUP("*"&amp;$AW56,$A$10:$J$11,$J$9,FALSE)&amp;AO$7,COM_N_2012!$B$58:$AJ$58,0),FALSE),"")</f>
        <v/>
      </c>
      <c r="AP56" s="391" t="str">
        <f ca="1">IFERROR(VLOOKUP($C56,COM_N_2012!$B$61:$AJ$122,MATCH(VLOOKUP("*"&amp;$AW56,$A$10:$J$11,$J$9,FALSE)&amp;AP$7,COM_N_2012!$B$58:$AJ$58,0),FALSE),"")</f>
        <v/>
      </c>
      <c r="AQ56" s="391" t="str">
        <f ca="1">IFERROR(VLOOKUP($C56,COM_N_2012!$B$61:$AJ$122,MATCH(VLOOKUP("*"&amp;$AW56,$A$10:$J$11,$J$9,FALSE)&amp;AQ$7,COM_N_2012!$B$58:$AJ$58,0),FALSE),"")</f>
        <v/>
      </c>
      <c r="AR56" s="391" t="str">
        <f ca="1">IFERROR(VLOOKUP($C56,COM_N_2012!$B$61:$AJ$122,MATCH(VLOOKUP("*"&amp;$AW56,$A$10:$J$11,$J$9,FALSE)&amp;AR$7,COM_N_2012!$B$58:$AJ$58,0),FALSE),"")</f>
        <v/>
      </c>
      <c r="AS56" s="391" t="str">
        <f ca="1">IFERROR(VLOOKUP($C56,COM_N_2012!$B$61:$AJ$122,MATCH(VLOOKUP("*"&amp;$AW56,$A$10:$J$11,$J$9,FALSE)&amp;AS$7,COM_N_2012!$B$58:$AJ$58,0),FALSE),"")</f>
        <v/>
      </c>
      <c r="AT56" s="391" t="str">
        <f ca="1">IFERROR(VLOOKUP($C56,COM_N_2012!$B$61:$AJ$122,MATCH(VLOOKUP("*"&amp;$AW56,$A$10:$J$11,$J$9,FALSE)&amp;AT$7,COM_N_2012!$B$58:$AJ$58,0),FALSE),"")</f>
        <v/>
      </c>
      <c r="AU56" s="391" t="str">
        <f ca="1">IFERROR(VLOOKUP($C56,COM_N_2012!$B$61:$AJ$122,MATCH(VLOOKUP("*"&amp;$AW56,$A$10:$J$11,$J$9,FALSE)&amp;AU$7,COM_N_2012!$B$58:$AJ$58,0),FALSE),"")</f>
        <v/>
      </c>
      <c r="AV56" s="391" t="str">
        <f ca="1">IFERROR(VLOOKUP($C56,COM_N_2012!$B$61:$AJ$122,MATCH(VLOOKUP("*"&amp;$AW56,$A$10:$J$11,$J$9,FALSE)&amp;AV$7,COM_N_2012!$B$58:$AJ$58,0),FALSE),"")</f>
        <v/>
      </c>
      <c r="AW56" s="304">
        <f>IF(AX55=COM_N_2012!$AK$121,AW55+1,AW55)</f>
        <v>1</v>
      </c>
      <c r="AX56" s="304">
        <f t="shared" si="13"/>
        <v>44</v>
      </c>
    </row>
    <row r="57" spans="1:50">
      <c r="A57" s="304" t="str">
        <f ca="1">IF(LEFT(OFFSET(COM_N_2012!$A$60,AX57,0),2)="\I","*","")</f>
        <v/>
      </c>
      <c r="B57" s="369" t="str">
        <f t="shared" ca="1" si="11"/>
        <v>FLO_MRKPRD</v>
      </c>
      <c r="C57" s="369" t="str">
        <f ca="1">IF($A57="*","",OFFSET(COM_N_2012!$B$60,AX57,0))</f>
        <v>CNGELCHPS-E</v>
      </c>
      <c r="D57" s="369" t="str">
        <f t="shared" ca="1" si="12"/>
        <v>CNG</v>
      </c>
      <c r="E57" s="369" t="str">
        <f t="shared" ca="1" si="14"/>
        <v>-</v>
      </c>
      <c r="F57" s="370" t="str">
        <f t="shared" ca="1" si="9"/>
        <v>-</v>
      </c>
      <c r="G57" s="370" t="str">
        <f t="shared" ca="1" si="9"/>
        <v>ANNUAL</v>
      </c>
      <c r="H57" s="370" t="str">
        <f t="shared" ca="1" si="15"/>
        <v>UP</v>
      </c>
      <c r="I57" s="370">
        <f t="shared" ca="1" si="15"/>
        <v>0</v>
      </c>
      <c r="J57" s="391">
        <f ca="1">IFERROR(VLOOKUP($C57,COM_N_2012!$B$61:$AJ$122,MATCH(VLOOKUP("*"&amp;$AW57,$A$10:$J$11,$J$9,FALSE)&amp;J$7,COM_N_2012!$B$58:$AJ$58,0),FALSE),"")</f>
        <v>0.51199853303890719</v>
      </c>
      <c r="K57" s="391" t="str">
        <f ca="1">IFERROR(VLOOKUP($C57,COM_N_2012!$B$61:$AJ$122,MATCH(VLOOKUP("*"&amp;$AW57,$A$10:$J$11,$J$9,FALSE)&amp;K$7,COM_N_2012!$B$58:$AJ$58,0),FALSE),"")</f>
        <v/>
      </c>
      <c r="L57" s="391" t="str">
        <f ca="1">IFERROR(VLOOKUP($C57,COM_N_2012!$B$61:$AJ$122,MATCH(VLOOKUP("*"&amp;$AW57,$A$10:$J$11,$J$9,FALSE)&amp;L$7,COM_N_2012!$B$58:$AJ$58,0),FALSE),"")</f>
        <v/>
      </c>
      <c r="M57" s="391">
        <f ca="1">IFERROR(VLOOKUP($C57,COM_N_2012!$B$61:$AJ$122,MATCH(VLOOKUP("*"&amp;$AW57,$A$10:$J$11,$J$9,FALSE)&amp;M$7,COM_N_2012!$B$58:$AJ$58,0),FALSE),"")</f>
        <v>0.51199853303890719</v>
      </c>
      <c r="N57" s="391" t="str">
        <f ca="1">IFERROR(VLOOKUP($C57,COM_N_2012!$B$61:$AJ$122,MATCH(VLOOKUP("*"&amp;$AW57,$A$10:$J$11,$J$9,FALSE)&amp;N$7,COM_N_2012!$B$58:$AJ$58,0),FALSE),"")</f>
        <v/>
      </c>
      <c r="O57" s="391">
        <f ca="1">IF($A57="*","",IFERROR(VLOOKUP($C57,COM_N_2017!$B$61:$AJ$122,MATCH(VLOOKUP("*"&amp;$AW57,$A$10:$J$11,$J$9,FALSE)&amp;O$7,COM_N_2017!$B$58:$AJ$58,0),FALSE),""))</f>
        <v>0.50697893957774143</v>
      </c>
      <c r="P57" s="391" t="str">
        <f ca="1">IFERROR(VLOOKUP($C57,COM_N_2012!$B$61:$AJ$122,MATCH(VLOOKUP("*"&amp;$AW57,$A$10:$J$11,$J$9,FALSE)&amp;P$7,COM_N_2012!$B$58:$AJ$58,0),FALSE),"")</f>
        <v/>
      </c>
      <c r="Q57" s="391" t="str">
        <f ca="1">IFERROR(VLOOKUP($C57,COM_N_2012!$B$61:$AJ$122,MATCH(VLOOKUP("*"&amp;$AW57,$A$10:$J$11,$J$9,FALSE)&amp;Q$7,COM_N_2012!$B$58:$AJ$58,0),FALSE),"")</f>
        <v/>
      </c>
      <c r="R57" s="391">
        <f ca="1">IF($A57="*","",IFERROR(VLOOKUP($C57,COM_N_2017!$B$61:$AJ$122,MATCH(VLOOKUP("*"&amp;$AW57,$A$10:$J$11,$J$9,FALSE)&amp;R$7,COM_N_2017!$B$58:$AJ$58,0),FALSE),""))</f>
        <v>0.53697893957774145</v>
      </c>
      <c r="S57" s="391" t="str">
        <f ca="1">IFERROR(VLOOKUP($C57,COM_N_2012!$B$61:$AJ$122,MATCH(VLOOKUP("*"&amp;$AW57,$A$10:$J$11,$J$9,FALSE)&amp;S$7,COM_N_2012!$B$58:$AJ$58,0),FALSE),"")</f>
        <v/>
      </c>
      <c r="T57" s="391" t="str">
        <f ca="1">IFERROR(VLOOKUP($C57,COM_N_2012!$B$61:$AJ$122,MATCH(VLOOKUP("*"&amp;$AW57,$A$10:$J$11,$J$9,FALSE)&amp;T$7,COM_N_2012!$B$58:$AJ$58,0),FALSE),"")</f>
        <v/>
      </c>
      <c r="U57" s="391" t="str">
        <f ca="1">IFERROR(VLOOKUP($C57,COM_N_2012!$B$61:$AJ$122,MATCH(VLOOKUP("*"&amp;$AW57,$A$10:$J$11,$J$9,FALSE)&amp;U$7,COM_N_2012!$B$58:$AJ$58,0),FALSE),"")</f>
        <v/>
      </c>
      <c r="V57" s="391" t="str">
        <f ca="1">IFERROR(VLOOKUP($C57,COM_N_2012!$B$61:$AJ$122,MATCH(VLOOKUP("*"&amp;$AW57,$A$10:$J$11,$J$9,FALSE)&amp;V$7,COM_N_2012!$B$58:$AJ$58,0),FALSE),"")</f>
        <v/>
      </c>
      <c r="W57" s="391">
        <f ca="1">IF($A57="*","",IFERROR(VLOOKUP($C57,COM_N_2017!$B$61:$AJ$122,MATCH(VLOOKUP("*"&amp;$AW57,$A$10:$J$11,$J$9,FALSE)&amp;W$7,COM_N_2017!$B$58:$AJ$58,0),FALSE),""))</f>
        <v>0.60697893957774141</v>
      </c>
      <c r="X57" s="391" t="str">
        <f ca="1">IFERROR(VLOOKUP($C57,COM_N_2012!$B$61:$AJ$122,MATCH(VLOOKUP("*"&amp;$AW57,$A$10:$J$11,$J$9,FALSE)&amp;X$7,COM_N_2012!$B$58:$AJ$58,0),FALSE),"")</f>
        <v/>
      </c>
      <c r="Y57" s="391" t="str">
        <f ca="1">IFERROR(VLOOKUP($C57,COM_N_2012!$B$61:$AJ$122,MATCH(VLOOKUP("*"&amp;$AW57,$A$10:$J$11,$J$9,FALSE)&amp;Y$7,COM_N_2012!$B$58:$AJ$58,0),FALSE),"")</f>
        <v/>
      </c>
      <c r="Z57" s="391" t="str">
        <f ca="1">IFERROR(VLOOKUP($C57,COM_N_2012!$B$61:$AJ$122,MATCH(VLOOKUP("*"&amp;$AW57,$A$10:$J$11,$J$9,FALSE)&amp;Z$7,COM_N_2012!$B$58:$AJ$58,0),FALSE),"")</f>
        <v/>
      </c>
      <c r="AA57" s="391" t="str">
        <f ca="1">IFERROR(VLOOKUP($C57,COM_N_2012!$B$61:$AJ$122,MATCH(VLOOKUP("*"&amp;$AW57,$A$10:$J$11,$J$9,FALSE)&amp;AA$7,COM_N_2012!$B$58:$AJ$58,0),FALSE),"")</f>
        <v/>
      </c>
      <c r="AB57" s="391">
        <f ca="1">IF($A57="*","",IFERROR(VLOOKUP($C57,COM_N_2017!$B$61:$AJ$122,MATCH(VLOOKUP("*"&amp;$AW57,$A$10:$J$11,$J$9,FALSE)&amp;AB$7,COM_N_2017!$B$58:$AJ$58,0),FALSE),""))</f>
        <v>0.80697893957774136</v>
      </c>
      <c r="AC57" s="391" t="str">
        <f ca="1">IFERROR(VLOOKUP($C57,COM_N_2012!$B$61:$AJ$122,MATCH(VLOOKUP("*"&amp;$AW57,$A$10:$J$11,$J$9,FALSE)&amp;AC$7,COM_N_2012!$B$58:$AJ$58,0),FALSE),"")</f>
        <v/>
      </c>
      <c r="AD57" s="391" t="str">
        <f ca="1">IFERROR(VLOOKUP($C57,COM_N_2012!$B$61:$AJ$122,MATCH(VLOOKUP("*"&amp;$AW57,$A$10:$J$11,$J$9,FALSE)&amp;AD$7,COM_N_2012!$B$58:$AJ$58,0),FALSE),"")</f>
        <v/>
      </c>
      <c r="AE57" s="391" t="str">
        <f ca="1">IFERROR(VLOOKUP($C57,COM_N_2012!$B$61:$AJ$122,MATCH(VLOOKUP("*"&amp;$AW57,$A$10:$J$11,$J$9,FALSE)&amp;AE$7,COM_N_2012!$B$58:$AJ$58,0),FALSE),"")</f>
        <v/>
      </c>
      <c r="AF57" s="391" t="str">
        <f ca="1">IFERROR(VLOOKUP($C57,COM_N_2012!$B$61:$AJ$122,MATCH(VLOOKUP("*"&amp;$AW57,$A$10:$J$11,$J$9,FALSE)&amp;AF$7,COM_N_2012!$B$58:$AJ$58,0),FALSE),"")</f>
        <v/>
      </c>
      <c r="AG57" s="391">
        <f ca="1">IF($A57="*","",IFERROR(VLOOKUP($C57,COM_N_2017!$B$61:$AJ$122,MATCH(VLOOKUP("*"&amp;$AW57,$A$10:$J$11,$J$9,FALSE)&amp;AG$7,COM_N_2017!$B$58:$AJ$58,0),FALSE),""))</f>
        <v>1</v>
      </c>
      <c r="AH57" s="391" t="str">
        <f ca="1">IFERROR(VLOOKUP($C57,COM_N_2012!$B$61:$AJ$122,MATCH(VLOOKUP("*"&amp;$AW57,$A$10:$J$11,$J$9,FALSE)&amp;AH$7,COM_N_2012!$B$58:$AJ$58,0),FALSE),"")</f>
        <v/>
      </c>
      <c r="AI57" s="391" t="str">
        <f ca="1">IFERROR(VLOOKUP($C57,COM_N_2012!$B$61:$AJ$122,MATCH(VLOOKUP("*"&amp;$AW57,$A$10:$J$11,$J$9,FALSE)&amp;AI$7,COM_N_2012!$B$58:$AJ$58,0),FALSE),"")</f>
        <v/>
      </c>
      <c r="AJ57" s="391" t="str">
        <f ca="1">IFERROR(VLOOKUP($C57,COM_N_2012!$B$61:$AJ$122,MATCH(VLOOKUP("*"&amp;$AW57,$A$10:$J$11,$J$9,FALSE)&amp;AJ$7,COM_N_2012!$B$58:$AJ$58,0),FALSE),"")</f>
        <v/>
      </c>
      <c r="AK57" s="391" t="str">
        <f ca="1">IFERROR(VLOOKUP($C57,COM_N_2012!$B$61:$AJ$122,MATCH(VLOOKUP("*"&amp;$AW57,$A$10:$J$11,$J$9,FALSE)&amp;AK$7,COM_N_2012!$B$58:$AJ$58,0),FALSE),"")</f>
        <v/>
      </c>
      <c r="AL57" s="391">
        <f ca="1">IF($A57="*","",IFERROR(VLOOKUP($C57,COM_N_2017!$B$61:$AJ$122,MATCH(VLOOKUP("*"&amp;$AW57,$A$10:$J$11,$J$9,FALSE)&amp;AL$7,COM_N_2017!$B$58:$AJ$58,0),FALSE),""))</f>
        <v>1</v>
      </c>
      <c r="AM57" s="391">
        <f ca="1">IF($A57="*","",IFERROR(VLOOKUP($C57,COM_N_2017!$B$61:$AJ$122,MATCH(VLOOKUP("*"&amp;$AW57,$A$10:$J$11,$J$9,FALSE)&amp;AM$7,COM_N_2017!$B$58:$AJ$58,0),FALSE),""))</f>
        <v>1</v>
      </c>
      <c r="AN57" s="391">
        <f ca="1">IF($A57="*","",IFERROR(VLOOKUP($C57,COM_N_2017!$B$61:$AJ$122,MATCH(VLOOKUP("*"&amp;$AW57,$A$10:$J$11,$J$9,FALSE)&amp;AN$7,COM_N_2017!$B$58:$AJ$58,0),FALSE),""))</f>
        <v>1</v>
      </c>
      <c r="AO57" s="391" t="str">
        <f ca="1">IFERROR(VLOOKUP($C57,COM_N_2012!$B$61:$AJ$122,MATCH(VLOOKUP("*"&amp;$AW57,$A$10:$J$11,$J$9,FALSE)&amp;AO$7,COM_N_2012!$B$58:$AJ$58,0),FALSE),"")</f>
        <v/>
      </c>
      <c r="AP57" s="391" t="str">
        <f ca="1">IFERROR(VLOOKUP($C57,COM_N_2012!$B$61:$AJ$122,MATCH(VLOOKUP("*"&amp;$AW57,$A$10:$J$11,$J$9,FALSE)&amp;AP$7,COM_N_2012!$B$58:$AJ$58,0),FALSE),"")</f>
        <v/>
      </c>
      <c r="AQ57" s="391" t="str">
        <f ca="1">IFERROR(VLOOKUP($C57,COM_N_2012!$B$61:$AJ$122,MATCH(VLOOKUP("*"&amp;$AW57,$A$10:$J$11,$J$9,FALSE)&amp;AQ$7,COM_N_2012!$B$58:$AJ$58,0),FALSE),"")</f>
        <v/>
      </c>
      <c r="AR57" s="391" t="str">
        <f ca="1">IFERROR(VLOOKUP($C57,COM_N_2012!$B$61:$AJ$122,MATCH(VLOOKUP("*"&amp;$AW57,$A$10:$J$11,$J$9,FALSE)&amp;AR$7,COM_N_2012!$B$58:$AJ$58,0),FALSE),"")</f>
        <v/>
      </c>
      <c r="AS57" s="391" t="str">
        <f ca="1">IFERROR(VLOOKUP($C57,COM_N_2012!$B$61:$AJ$122,MATCH(VLOOKUP("*"&amp;$AW57,$A$10:$J$11,$J$9,FALSE)&amp;AS$7,COM_N_2012!$B$58:$AJ$58,0),FALSE),"")</f>
        <v/>
      </c>
      <c r="AT57" s="391" t="str">
        <f ca="1">IFERROR(VLOOKUP($C57,COM_N_2012!$B$61:$AJ$122,MATCH(VLOOKUP("*"&amp;$AW57,$A$10:$J$11,$J$9,FALSE)&amp;AT$7,COM_N_2012!$B$58:$AJ$58,0),FALSE),"")</f>
        <v/>
      </c>
      <c r="AU57" s="391" t="str">
        <f ca="1">IFERROR(VLOOKUP($C57,COM_N_2012!$B$61:$AJ$122,MATCH(VLOOKUP("*"&amp;$AW57,$A$10:$J$11,$J$9,FALSE)&amp;AU$7,COM_N_2012!$B$58:$AJ$58,0),FALSE),"")</f>
        <v/>
      </c>
      <c r="AV57" s="391" t="str">
        <f ca="1">IFERROR(VLOOKUP($C57,COM_N_2012!$B$61:$AJ$122,MATCH(VLOOKUP("*"&amp;$AW57,$A$10:$J$11,$J$9,FALSE)&amp;AV$7,COM_N_2012!$B$58:$AJ$58,0),FALSE),"")</f>
        <v/>
      </c>
      <c r="AW57" s="304">
        <f>IF(AX56=COM_N_2012!$AK$121,AW56+1,AW56)</f>
        <v>1</v>
      </c>
      <c r="AX57" s="304">
        <f t="shared" si="13"/>
        <v>45</v>
      </c>
    </row>
    <row r="58" spans="1:50">
      <c r="A58" s="304" t="str">
        <f ca="1">IF(LEFT(OFFSET(COM_N_2012!$A$60,AX58,0),2)="\I","*","")</f>
        <v/>
      </c>
      <c r="B58" s="369" t="str">
        <f t="shared" ca="1" si="11"/>
        <v>FLO_MRKPRD</v>
      </c>
      <c r="C58" s="369" t="str">
        <f ca="1">IF($A58="*","",OFFSET(COM_N_2012!$B$60,AX58,0))</f>
        <v>CNGELCMHL-E</v>
      </c>
      <c r="D58" s="369" t="str">
        <f t="shared" ca="1" si="12"/>
        <v>CNG</v>
      </c>
      <c r="E58" s="369" t="str">
        <f t="shared" ca="1" si="14"/>
        <v>-</v>
      </c>
      <c r="F58" s="370" t="str">
        <f t="shared" ca="1" si="9"/>
        <v>-</v>
      </c>
      <c r="G58" s="370" t="str">
        <f t="shared" ca="1" si="9"/>
        <v>ANNUAL</v>
      </c>
      <c r="H58" s="370" t="str">
        <f t="shared" ca="1" si="15"/>
        <v>UP</v>
      </c>
      <c r="I58" s="370">
        <f t="shared" ca="1" si="15"/>
        <v>0</v>
      </c>
      <c r="J58" s="391">
        <f ca="1">IFERROR(VLOOKUP($C58,COM_N_2012!$B$61:$AJ$122,MATCH(VLOOKUP("*"&amp;$AW58,$A$10:$J$11,$J$9,FALSE)&amp;J$7,COM_N_2012!$B$58:$AJ$58,0),FALSE),"")</f>
        <v>1.3865688307436187E-2</v>
      </c>
      <c r="K58" s="391" t="str">
        <f ca="1">IFERROR(VLOOKUP($C58,COM_N_2012!$B$61:$AJ$122,MATCH(VLOOKUP("*"&amp;$AW58,$A$10:$J$11,$J$9,FALSE)&amp;K$7,COM_N_2012!$B$58:$AJ$58,0),FALSE),"")</f>
        <v/>
      </c>
      <c r="L58" s="391" t="str">
        <f ca="1">IFERROR(VLOOKUP($C58,COM_N_2012!$B$61:$AJ$122,MATCH(VLOOKUP("*"&amp;$AW58,$A$10:$J$11,$J$9,FALSE)&amp;L$7,COM_N_2012!$B$58:$AJ$58,0),FALSE),"")</f>
        <v/>
      </c>
      <c r="M58" s="391">
        <f ca="1">IFERROR(VLOOKUP($C58,COM_N_2012!$B$61:$AJ$122,MATCH(VLOOKUP("*"&amp;$AW58,$A$10:$J$11,$J$9,FALSE)&amp;M$7,COM_N_2012!$B$58:$AJ$58,0),FALSE),"")</f>
        <v>1.3865688307436187E-2</v>
      </c>
      <c r="N58" s="391" t="str">
        <f ca="1">IFERROR(VLOOKUP($C58,COM_N_2012!$B$61:$AJ$122,MATCH(VLOOKUP("*"&amp;$AW58,$A$10:$J$11,$J$9,FALSE)&amp;N$7,COM_N_2012!$B$58:$AJ$58,0),FALSE),"")</f>
        <v/>
      </c>
      <c r="O58" s="391">
        <f ca="1">IF($A58="*","",IFERROR(VLOOKUP($C58,COM_N_2017!$B$61:$AJ$122,MATCH(VLOOKUP("*"&amp;$AW58,$A$10:$J$11,$J$9,FALSE)&amp;O$7,COM_N_2017!$B$58:$AJ$58,0),FALSE),""))</f>
        <v>1.3729750186775049E-2</v>
      </c>
      <c r="P58" s="391" t="str">
        <f ca="1">IFERROR(VLOOKUP($C58,COM_N_2012!$B$61:$AJ$122,MATCH(VLOOKUP("*"&amp;$AW58,$A$10:$J$11,$J$9,FALSE)&amp;P$7,COM_N_2012!$B$58:$AJ$58,0),FALSE),"")</f>
        <v/>
      </c>
      <c r="Q58" s="391" t="str">
        <f ca="1">IFERROR(VLOOKUP($C58,COM_N_2012!$B$61:$AJ$122,MATCH(VLOOKUP("*"&amp;$AW58,$A$10:$J$11,$J$9,FALSE)&amp;Q$7,COM_N_2012!$B$58:$AJ$58,0),FALSE),"")</f>
        <v/>
      </c>
      <c r="R58" s="391">
        <f ca="1">IF($A58="*","",IFERROR(VLOOKUP($C58,COM_N_2017!$B$61:$AJ$122,MATCH(VLOOKUP("*"&amp;$AW58,$A$10:$J$11,$J$9,FALSE)&amp;R$7,COM_N_2017!$B$58:$AJ$58,0),FALSE),""))</f>
        <v>4.3729750186775052E-2</v>
      </c>
      <c r="S58" s="391" t="str">
        <f ca="1">IFERROR(VLOOKUP($C58,COM_N_2012!$B$61:$AJ$122,MATCH(VLOOKUP("*"&amp;$AW58,$A$10:$J$11,$J$9,FALSE)&amp;S$7,COM_N_2012!$B$58:$AJ$58,0),FALSE),"")</f>
        <v/>
      </c>
      <c r="T58" s="391" t="str">
        <f ca="1">IFERROR(VLOOKUP($C58,COM_N_2012!$B$61:$AJ$122,MATCH(VLOOKUP("*"&amp;$AW58,$A$10:$J$11,$J$9,FALSE)&amp;T$7,COM_N_2012!$B$58:$AJ$58,0),FALSE),"")</f>
        <v/>
      </c>
      <c r="U58" s="391" t="str">
        <f ca="1">IFERROR(VLOOKUP($C58,COM_N_2012!$B$61:$AJ$122,MATCH(VLOOKUP("*"&amp;$AW58,$A$10:$J$11,$J$9,FALSE)&amp;U$7,COM_N_2012!$B$58:$AJ$58,0),FALSE),"")</f>
        <v/>
      </c>
      <c r="V58" s="391" t="str">
        <f ca="1">IFERROR(VLOOKUP($C58,COM_N_2012!$B$61:$AJ$122,MATCH(VLOOKUP("*"&amp;$AW58,$A$10:$J$11,$J$9,FALSE)&amp;V$7,COM_N_2012!$B$58:$AJ$58,0),FALSE),"")</f>
        <v/>
      </c>
      <c r="W58" s="391">
        <f ca="1">IF($A58="*","",IFERROR(VLOOKUP($C58,COM_N_2017!$B$61:$AJ$122,MATCH(VLOOKUP("*"&amp;$AW58,$A$10:$J$11,$J$9,FALSE)&amp;W$7,COM_N_2017!$B$58:$AJ$58,0),FALSE),""))</f>
        <v>0.11372975018677506</v>
      </c>
      <c r="X58" s="391" t="str">
        <f ca="1">IFERROR(VLOOKUP($C58,COM_N_2012!$B$61:$AJ$122,MATCH(VLOOKUP("*"&amp;$AW58,$A$10:$J$11,$J$9,FALSE)&amp;X$7,COM_N_2012!$B$58:$AJ$58,0),FALSE),"")</f>
        <v/>
      </c>
      <c r="Y58" s="391" t="str">
        <f ca="1">IFERROR(VLOOKUP($C58,COM_N_2012!$B$61:$AJ$122,MATCH(VLOOKUP("*"&amp;$AW58,$A$10:$J$11,$J$9,FALSE)&amp;Y$7,COM_N_2012!$B$58:$AJ$58,0),FALSE),"")</f>
        <v/>
      </c>
      <c r="Z58" s="391" t="str">
        <f ca="1">IFERROR(VLOOKUP($C58,COM_N_2012!$B$61:$AJ$122,MATCH(VLOOKUP("*"&amp;$AW58,$A$10:$J$11,$J$9,FALSE)&amp;Z$7,COM_N_2012!$B$58:$AJ$58,0),FALSE),"")</f>
        <v/>
      </c>
      <c r="AA58" s="391" t="str">
        <f ca="1">IFERROR(VLOOKUP($C58,COM_N_2012!$B$61:$AJ$122,MATCH(VLOOKUP("*"&amp;$AW58,$A$10:$J$11,$J$9,FALSE)&amp;AA$7,COM_N_2012!$B$58:$AJ$58,0),FALSE),"")</f>
        <v/>
      </c>
      <c r="AB58" s="391">
        <f ca="1">IF($A58="*","",IFERROR(VLOOKUP($C58,COM_N_2017!$B$61:$AJ$122,MATCH(VLOOKUP("*"&amp;$AW58,$A$10:$J$11,$J$9,FALSE)&amp;AB$7,COM_N_2017!$B$58:$AJ$58,0),FALSE),""))</f>
        <v>0.31372975018677501</v>
      </c>
      <c r="AC58" s="391" t="str">
        <f ca="1">IFERROR(VLOOKUP($C58,COM_N_2012!$B$61:$AJ$122,MATCH(VLOOKUP("*"&amp;$AW58,$A$10:$J$11,$J$9,FALSE)&amp;AC$7,COM_N_2012!$B$58:$AJ$58,0),FALSE),"")</f>
        <v/>
      </c>
      <c r="AD58" s="391" t="str">
        <f ca="1">IFERROR(VLOOKUP($C58,COM_N_2012!$B$61:$AJ$122,MATCH(VLOOKUP("*"&amp;$AW58,$A$10:$J$11,$J$9,FALSE)&amp;AD$7,COM_N_2012!$B$58:$AJ$58,0),FALSE),"")</f>
        <v/>
      </c>
      <c r="AE58" s="391" t="str">
        <f ca="1">IFERROR(VLOOKUP($C58,COM_N_2012!$B$61:$AJ$122,MATCH(VLOOKUP("*"&amp;$AW58,$A$10:$J$11,$J$9,FALSE)&amp;AE$7,COM_N_2012!$B$58:$AJ$58,0),FALSE),"")</f>
        <v/>
      </c>
      <c r="AF58" s="391" t="str">
        <f ca="1">IFERROR(VLOOKUP($C58,COM_N_2012!$B$61:$AJ$122,MATCH(VLOOKUP("*"&amp;$AW58,$A$10:$J$11,$J$9,FALSE)&amp;AF$7,COM_N_2012!$B$58:$AJ$58,0),FALSE),"")</f>
        <v/>
      </c>
      <c r="AG58" s="391">
        <f ca="1">IF($A58="*","",IFERROR(VLOOKUP($C58,COM_N_2017!$B$61:$AJ$122,MATCH(VLOOKUP("*"&amp;$AW58,$A$10:$J$11,$J$9,FALSE)&amp;AG$7,COM_N_2017!$B$58:$AJ$58,0),FALSE),""))</f>
        <v>0.51372975018677502</v>
      </c>
      <c r="AH58" s="391" t="str">
        <f ca="1">IFERROR(VLOOKUP($C58,COM_N_2012!$B$61:$AJ$122,MATCH(VLOOKUP("*"&amp;$AW58,$A$10:$J$11,$J$9,FALSE)&amp;AH$7,COM_N_2012!$B$58:$AJ$58,0),FALSE),"")</f>
        <v/>
      </c>
      <c r="AI58" s="391" t="str">
        <f ca="1">IFERROR(VLOOKUP($C58,COM_N_2012!$B$61:$AJ$122,MATCH(VLOOKUP("*"&amp;$AW58,$A$10:$J$11,$J$9,FALSE)&amp;AI$7,COM_N_2012!$B$58:$AJ$58,0),FALSE),"")</f>
        <v/>
      </c>
      <c r="AJ58" s="391" t="str">
        <f ca="1">IFERROR(VLOOKUP($C58,COM_N_2012!$B$61:$AJ$122,MATCH(VLOOKUP("*"&amp;$AW58,$A$10:$J$11,$J$9,FALSE)&amp;AJ$7,COM_N_2012!$B$58:$AJ$58,0),FALSE),"")</f>
        <v/>
      </c>
      <c r="AK58" s="391" t="str">
        <f ca="1">IFERROR(VLOOKUP($C58,COM_N_2012!$B$61:$AJ$122,MATCH(VLOOKUP("*"&amp;$AW58,$A$10:$J$11,$J$9,FALSE)&amp;AK$7,COM_N_2012!$B$58:$AJ$58,0),FALSE),"")</f>
        <v/>
      </c>
      <c r="AL58" s="391">
        <f ca="1">IF($A58="*","",IFERROR(VLOOKUP($C58,COM_N_2017!$B$61:$AJ$122,MATCH(VLOOKUP("*"&amp;$AW58,$A$10:$J$11,$J$9,FALSE)&amp;AL$7,COM_N_2017!$B$58:$AJ$58,0),FALSE),""))</f>
        <v>0.71372975018677498</v>
      </c>
      <c r="AM58" s="391">
        <f ca="1">IF($A58="*","",IFERROR(VLOOKUP($C58,COM_N_2017!$B$61:$AJ$122,MATCH(VLOOKUP("*"&amp;$AW58,$A$10:$J$11,$J$9,FALSE)&amp;AM$7,COM_N_2017!$B$58:$AJ$58,0),FALSE),""))</f>
        <v>0.91372975018677505</v>
      </c>
      <c r="AN58" s="391">
        <f ca="1">IF($A58="*","",IFERROR(VLOOKUP($C58,COM_N_2017!$B$61:$AJ$122,MATCH(VLOOKUP("*"&amp;$AW58,$A$10:$J$11,$J$9,FALSE)&amp;AN$7,COM_N_2017!$B$58:$AJ$58,0),FALSE),""))</f>
        <v>1</v>
      </c>
      <c r="AO58" s="391" t="str">
        <f ca="1">IFERROR(VLOOKUP($C58,COM_N_2012!$B$61:$AJ$122,MATCH(VLOOKUP("*"&amp;$AW58,$A$10:$J$11,$J$9,FALSE)&amp;AO$7,COM_N_2012!$B$58:$AJ$58,0),FALSE),"")</f>
        <v/>
      </c>
      <c r="AP58" s="391" t="str">
        <f ca="1">IFERROR(VLOOKUP($C58,COM_N_2012!$B$61:$AJ$122,MATCH(VLOOKUP("*"&amp;$AW58,$A$10:$J$11,$J$9,FALSE)&amp;AP$7,COM_N_2012!$B$58:$AJ$58,0),FALSE),"")</f>
        <v/>
      </c>
      <c r="AQ58" s="391" t="str">
        <f ca="1">IFERROR(VLOOKUP($C58,COM_N_2012!$B$61:$AJ$122,MATCH(VLOOKUP("*"&amp;$AW58,$A$10:$J$11,$J$9,FALSE)&amp;AQ$7,COM_N_2012!$B$58:$AJ$58,0),FALSE),"")</f>
        <v/>
      </c>
      <c r="AR58" s="391" t="str">
        <f ca="1">IFERROR(VLOOKUP($C58,COM_N_2012!$B$61:$AJ$122,MATCH(VLOOKUP("*"&amp;$AW58,$A$10:$J$11,$J$9,FALSE)&amp;AR$7,COM_N_2012!$B$58:$AJ$58,0),FALSE),"")</f>
        <v/>
      </c>
      <c r="AS58" s="391" t="str">
        <f ca="1">IFERROR(VLOOKUP($C58,COM_N_2012!$B$61:$AJ$122,MATCH(VLOOKUP("*"&amp;$AW58,$A$10:$J$11,$J$9,FALSE)&amp;AS$7,COM_N_2012!$B$58:$AJ$58,0),FALSE),"")</f>
        <v/>
      </c>
      <c r="AT58" s="391" t="str">
        <f ca="1">IFERROR(VLOOKUP($C58,COM_N_2012!$B$61:$AJ$122,MATCH(VLOOKUP("*"&amp;$AW58,$A$10:$J$11,$J$9,FALSE)&amp;AT$7,COM_N_2012!$B$58:$AJ$58,0),FALSE),"")</f>
        <v/>
      </c>
      <c r="AU58" s="391" t="str">
        <f ca="1">IFERROR(VLOOKUP($C58,COM_N_2012!$B$61:$AJ$122,MATCH(VLOOKUP("*"&amp;$AW58,$A$10:$J$11,$J$9,FALSE)&amp;AU$7,COM_N_2012!$B$58:$AJ$58,0),FALSE),"")</f>
        <v/>
      </c>
      <c r="AV58" s="391" t="str">
        <f ca="1">IFERROR(VLOOKUP($C58,COM_N_2012!$B$61:$AJ$122,MATCH(VLOOKUP("*"&amp;$AW58,$A$10:$J$11,$J$9,FALSE)&amp;AV$7,COM_N_2012!$B$58:$AJ$58,0),FALSE),"")</f>
        <v/>
      </c>
      <c r="AW58" s="304">
        <f>IF(AX57=COM_N_2012!$AK$121,AW57+1,AW57)</f>
        <v>1</v>
      </c>
      <c r="AX58" s="304">
        <f t="shared" si="13"/>
        <v>46</v>
      </c>
    </row>
    <row r="59" spans="1:50">
      <c r="A59" s="304" t="str">
        <f ca="1">IF(LEFT(OFFSET(COM_N_2012!$A$60,AX59,0),2)="\I","*","")</f>
        <v/>
      </c>
      <c r="B59" s="369" t="str">
        <f t="shared" ca="1" si="11"/>
        <v>FLO_MRKPRD</v>
      </c>
      <c r="C59" s="369" t="str">
        <f ca="1">IF($A59="*","",OFFSET(COM_N_2012!$B$60,AX59,0))</f>
        <v>CNGELCLED-N</v>
      </c>
      <c r="D59" s="369" t="str">
        <f t="shared" ca="1" si="12"/>
        <v>CNG</v>
      </c>
      <c r="E59" s="369" t="str">
        <f t="shared" ca="1" si="14"/>
        <v>-</v>
      </c>
      <c r="F59" s="370" t="str">
        <f t="shared" ca="1" si="9"/>
        <v>-</v>
      </c>
      <c r="G59" s="370" t="str">
        <f t="shared" ca="1" si="9"/>
        <v>ANNUAL</v>
      </c>
      <c r="H59" s="370" t="str">
        <f t="shared" ca="1" si="15"/>
        <v>UP</v>
      </c>
      <c r="I59" s="370">
        <f t="shared" ca="1" si="15"/>
        <v>0</v>
      </c>
      <c r="J59" s="391">
        <f ca="1">IFERROR(VLOOKUP($C59,COM_N_2012!$B$61:$AJ$122,MATCH(VLOOKUP("*"&amp;$AW59,$A$10:$J$11,$J$9,FALSE)&amp;J$7,COM_N_2012!$B$58:$AJ$58,0),FALSE),"")</f>
        <v>0</v>
      </c>
      <c r="K59" s="391" t="str">
        <f ca="1">IFERROR(VLOOKUP($C59,COM_N_2012!$B$61:$AJ$122,MATCH(VLOOKUP("*"&amp;$AW59,$A$10:$J$11,$J$9,FALSE)&amp;K$7,COM_N_2012!$B$58:$AJ$58,0),FALSE),"")</f>
        <v/>
      </c>
      <c r="L59" s="391" t="str">
        <f ca="1">IFERROR(VLOOKUP($C59,COM_N_2012!$B$61:$AJ$122,MATCH(VLOOKUP("*"&amp;$AW59,$A$10:$J$11,$J$9,FALSE)&amp;L$7,COM_N_2012!$B$58:$AJ$58,0),FALSE),"")</f>
        <v/>
      </c>
      <c r="M59" s="391">
        <f ca="1">IFERROR(VLOOKUP($C59,COM_N_2012!$B$61:$AJ$122,MATCH(VLOOKUP("*"&amp;$AW59,$A$10:$J$11,$J$9,FALSE)&amp;M$7,COM_N_2012!$B$58:$AJ$58,0),FALSE),"")</f>
        <v>0</v>
      </c>
      <c r="N59" s="391" t="str">
        <f ca="1">IFERROR(VLOOKUP($C59,COM_N_2012!$B$61:$AJ$122,MATCH(VLOOKUP("*"&amp;$AW59,$A$10:$J$11,$J$9,FALSE)&amp;N$7,COM_N_2012!$B$58:$AJ$58,0),FALSE),"")</f>
        <v/>
      </c>
      <c r="O59" s="391">
        <f ca="1">IF($A59="*","",IFERROR(VLOOKUP($C59,COM_N_2017!$B$61:$AJ$122,MATCH(VLOOKUP("*"&amp;$AW59,$A$10:$J$11,$J$9,FALSE)&amp;O$7,COM_N_2017!$B$58:$AJ$58,0),FALSE),""))</f>
        <v>0</v>
      </c>
      <c r="P59" s="391" t="str">
        <f ca="1">IFERROR(VLOOKUP($C59,COM_N_2012!$B$61:$AJ$122,MATCH(VLOOKUP("*"&amp;$AW59,$A$10:$J$11,$J$9,FALSE)&amp;P$7,COM_N_2012!$B$58:$AJ$58,0),FALSE),"")</f>
        <v/>
      </c>
      <c r="Q59" s="391" t="str">
        <f ca="1">IFERROR(VLOOKUP($C59,COM_N_2012!$B$61:$AJ$122,MATCH(VLOOKUP("*"&amp;$AW59,$A$10:$J$11,$J$9,FALSE)&amp;Q$7,COM_N_2012!$B$58:$AJ$58,0),FALSE),"")</f>
        <v/>
      </c>
      <c r="R59" s="391">
        <f ca="1">IF($A59="*","",IFERROR(VLOOKUP($C59,COM_N_2017!$B$61:$AJ$122,MATCH(VLOOKUP("*"&amp;$AW59,$A$10:$J$11,$J$9,FALSE)&amp;R$7,COM_N_2017!$B$58:$AJ$58,0),FALSE),""))</f>
        <v>0.03</v>
      </c>
      <c r="S59" s="391" t="str">
        <f ca="1">IFERROR(VLOOKUP($C59,COM_N_2012!$B$61:$AJ$122,MATCH(VLOOKUP("*"&amp;$AW59,$A$10:$J$11,$J$9,FALSE)&amp;S$7,COM_N_2012!$B$58:$AJ$58,0),FALSE),"")</f>
        <v/>
      </c>
      <c r="T59" s="391" t="str">
        <f ca="1">IFERROR(VLOOKUP($C59,COM_N_2012!$B$61:$AJ$122,MATCH(VLOOKUP("*"&amp;$AW59,$A$10:$J$11,$J$9,FALSE)&amp;T$7,COM_N_2012!$B$58:$AJ$58,0),FALSE),"")</f>
        <v/>
      </c>
      <c r="U59" s="391" t="str">
        <f ca="1">IFERROR(VLOOKUP($C59,COM_N_2012!$B$61:$AJ$122,MATCH(VLOOKUP("*"&amp;$AW59,$A$10:$J$11,$J$9,FALSE)&amp;U$7,COM_N_2012!$B$58:$AJ$58,0),FALSE),"")</f>
        <v/>
      </c>
      <c r="V59" s="391" t="str">
        <f ca="1">IFERROR(VLOOKUP($C59,COM_N_2012!$B$61:$AJ$122,MATCH(VLOOKUP("*"&amp;$AW59,$A$10:$J$11,$J$9,FALSE)&amp;V$7,COM_N_2012!$B$58:$AJ$58,0),FALSE),"")</f>
        <v/>
      </c>
      <c r="W59" s="391">
        <f ca="1">IF($A59="*","",IFERROR(VLOOKUP($C59,COM_N_2017!$B$61:$AJ$122,MATCH(VLOOKUP("*"&amp;$AW59,$A$10:$J$11,$J$9,FALSE)&amp;W$7,COM_N_2017!$B$58:$AJ$58,0),FALSE),""))</f>
        <v>0.1</v>
      </c>
      <c r="X59" s="391" t="str">
        <f ca="1">IFERROR(VLOOKUP($C59,COM_N_2012!$B$61:$AJ$122,MATCH(VLOOKUP("*"&amp;$AW59,$A$10:$J$11,$J$9,FALSE)&amp;X$7,COM_N_2012!$B$58:$AJ$58,0),FALSE),"")</f>
        <v/>
      </c>
      <c r="Y59" s="391" t="str">
        <f ca="1">IFERROR(VLOOKUP($C59,COM_N_2012!$B$61:$AJ$122,MATCH(VLOOKUP("*"&amp;$AW59,$A$10:$J$11,$J$9,FALSE)&amp;Y$7,COM_N_2012!$B$58:$AJ$58,0),FALSE),"")</f>
        <v/>
      </c>
      <c r="Z59" s="391" t="str">
        <f ca="1">IFERROR(VLOOKUP($C59,COM_N_2012!$B$61:$AJ$122,MATCH(VLOOKUP("*"&amp;$AW59,$A$10:$J$11,$J$9,FALSE)&amp;Z$7,COM_N_2012!$B$58:$AJ$58,0),FALSE),"")</f>
        <v/>
      </c>
      <c r="AA59" s="391" t="str">
        <f ca="1">IFERROR(VLOOKUP($C59,COM_N_2012!$B$61:$AJ$122,MATCH(VLOOKUP("*"&amp;$AW59,$A$10:$J$11,$J$9,FALSE)&amp;AA$7,COM_N_2012!$B$58:$AJ$58,0),FALSE),"")</f>
        <v/>
      </c>
      <c r="AB59" s="391">
        <f ca="1">IF($A59="*","",IFERROR(VLOOKUP($C59,COM_N_2017!$B$61:$AJ$122,MATCH(VLOOKUP("*"&amp;$AW59,$A$10:$J$11,$J$9,FALSE)&amp;AB$7,COM_N_2017!$B$58:$AJ$58,0),FALSE),""))</f>
        <v>0.3</v>
      </c>
      <c r="AC59" s="391" t="str">
        <f ca="1">IFERROR(VLOOKUP($C59,COM_N_2012!$B$61:$AJ$122,MATCH(VLOOKUP("*"&amp;$AW59,$A$10:$J$11,$J$9,FALSE)&amp;AC$7,COM_N_2012!$B$58:$AJ$58,0),FALSE),"")</f>
        <v/>
      </c>
      <c r="AD59" s="391" t="str">
        <f ca="1">IFERROR(VLOOKUP($C59,COM_N_2012!$B$61:$AJ$122,MATCH(VLOOKUP("*"&amp;$AW59,$A$10:$J$11,$J$9,FALSE)&amp;AD$7,COM_N_2012!$B$58:$AJ$58,0),FALSE),"")</f>
        <v/>
      </c>
      <c r="AE59" s="391" t="str">
        <f ca="1">IFERROR(VLOOKUP($C59,COM_N_2012!$B$61:$AJ$122,MATCH(VLOOKUP("*"&amp;$AW59,$A$10:$J$11,$J$9,FALSE)&amp;AE$7,COM_N_2012!$B$58:$AJ$58,0),FALSE),"")</f>
        <v/>
      </c>
      <c r="AF59" s="391" t="str">
        <f ca="1">IFERROR(VLOOKUP($C59,COM_N_2012!$B$61:$AJ$122,MATCH(VLOOKUP("*"&amp;$AW59,$A$10:$J$11,$J$9,FALSE)&amp;AF$7,COM_N_2012!$B$58:$AJ$58,0),FALSE),"")</f>
        <v/>
      </c>
      <c r="AG59" s="391">
        <f ca="1">IF($A59="*","",IFERROR(VLOOKUP($C59,COM_N_2017!$B$61:$AJ$122,MATCH(VLOOKUP("*"&amp;$AW59,$A$10:$J$11,$J$9,FALSE)&amp;AG$7,COM_N_2017!$B$58:$AJ$58,0),FALSE),""))</f>
        <v>0.5</v>
      </c>
      <c r="AH59" s="391" t="str">
        <f ca="1">IFERROR(VLOOKUP($C59,COM_N_2012!$B$61:$AJ$122,MATCH(VLOOKUP("*"&amp;$AW59,$A$10:$J$11,$J$9,FALSE)&amp;AH$7,COM_N_2012!$B$58:$AJ$58,0),FALSE),"")</f>
        <v/>
      </c>
      <c r="AI59" s="391" t="str">
        <f ca="1">IFERROR(VLOOKUP($C59,COM_N_2012!$B$61:$AJ$122,MATCH(VLOOKUP("*"&amp;$AW59,$A$10:$J$11,$J$9,FALSE)&amp;AI$7,COM_N_2012!$B$58:$AJ$58,0),FALSE),"")</f>
        <v/>
      </c>
      <c r="AJ59" s="391" t="str">
        <f ca="1">IFERROR(VLOOKUP($C59,COM_N_2012!$B$61:$AJ$122,MATCH(VLOOKUP("*"&amp;$AW59,$A$10:$J$11,$J$9,FALSE)&amp;AJ$7,COM_N_2012!$B$58:$AJ$58,0),FALSE),"")</f>
        <v/>
      </c>
      <c r="AK59" s="391" t="str">
        <f ca="1">IFERROR(VLOOKUP($C59,COM_N_2012!$B$61:$AJ$122,MATCH(VLOOKUP("*"&amp;$AW59,$A$10:$J$11,$J$9,FALSE)&amp;AK$7,COM_N_2012!$B$58:$AJ$58,0),FALSE),"")</f>
        <v/>
      </c>
      <c r="AL59" s="391">
        <f ca="1">IF($A59="*","",IFERROR(VLOOKUP($C59,COM_N_2017!$B$61:$AJ$122,MATCH(VLOOKUP("*"&amp;$AW59,$A$10:$J$11,$J$9,FALSE)&amp;AL$7,COM_N_2017!$B$58:$AJ$58,0),FALSE),""))</f>
        <v>0.7</v>
      </c>
      <c r="AM59" s="391">
        <f ca="1">IF($A59="*","",IFERROR(VLOOKUP($C59,COM_N_2017!$B$61:$AJ$122,MATCH(VLOOKUP("*"&amp;$AW59,$A$10:$J$11,$J$9,FALSE)&amp;AM$7,COM_N_2017!$B$58:$AJ$58,0),FALSE),""))</f>
        <v>0.9</v>
      </c>
      <c r="AN59" s="391">
        <f ca="1">IF($A59="*","",IFERROR(VLOOKUP($C59,COM_N_2017!$B$61:$AJ$122,MATCH(VLOOKUP("*"&amp;$AW59,$A$10:$J$11,$J$9,FALSE)&amp;AN$7,COM_N_2017!$B$58:$AJ$58,0),FALSE),""))</f>
        <v>1</v>
      </c>
      <c r="AO59" s="391" t="str">
        <f ca="1">IFERROR(VLOOKUP($C59,COM_N_2012!$B$61:$AJ$122,MATCH(VLOOKUP("*"&amp;$AW59,$A$10:$J$11,$J$9,FALSE)&amp;AO$7,COM_N_2012!$B$58:$AJ$58,0),FALSE),"")</f>
        <v/>
      </c>
      <c r="AP59" s="391" t="str">
        <f ca="1">IFERROR(VLOOKUP($C59,COM_N_2012!$B$61:$AJ$122,MATCH(VLOOKUP("*"&amp;$AW59,$A$10:$J$11,$J$9,FALSE)&amp;AP$7,COM_N_2012!$B$58:$AJ$58,0),FALSE),"")</f>
        <v/>
      </c>
      <c r="AQ59" s="391" t="str">
        <f ca="1">IFERROR(VLOOKUP($C59,COM_N_2012!$B$61:$AJ$122,MATCH(VLOOKUP("*"&amp;$AW59,$A$10:$J$11,$J$9,FALSE)&amp;AQ$7,COM_N_2012!$B$58:$AJ$58,0),FALSE),"")</f>
        <v/>
      </c>
      <c r="AR59" s="391" t="str">
        <f ca="1">IFERROR(VLOOKUP($C59,COM_N_2012!$B$61:$AJ$122,MATCH(VLOOKUP("*"&amp;$AW59,$A$10:$J$11,$J$9,FALSE)&amp;AR$7,COM_N_2012!$B$58:$AJ$58,0),FALSE),"")</f>
        <v/>
      </c>
      <c r="AS59" s="391" t="str">
        <f ca="1">IFERROR(VLOOKUP($C59,COM_N_2012!$B$61:$AJ$122,MATCH(VLOOKUP("*"&amp;$AW59,$A$10:$J$11,$J$9,FALSE)&amp;AS$7,COM_N_2012!$B$58:$AJ$58,0),FALSE),"")</f>
        <v/>
      </c>
      <c r="AT59" s="391" t="str">
        <f ca="1">IFERROR(VLOOKUP($C59,COM_N_2012!$B$61:$AJ$122,MATCH(VLOOKUP("*"&amp;$AW59,$A$10:$J$11,$J$9,FALSE)&amp;AT$7,COM_N_2012!$B$58:$AJ$58,0),FALSE),"")</f>
        <v/>
      </c>
      <c r="AU59" s="391" t="str">
        <f ca="1">IFERROR(VLOOKUP($C59,COM_N_2012!$B$61:$AJ$122,MATCH(VLOOKUP("*"&amp;$AW59,$A$10:$J$11,$J$9,FALSE)&amp;AU$7,COM_N_2012!$B$58:$AJ$58,0),FALSE),"")</f>
        <v/>
      </c>
      <c r="AV59" s="391" t="str">
        <f ca="1">IFERROR(VLOOKUP($C59,COM_N_2012!$B$61:$AJ$122,MATCH(VLOOKUP("*"&amp;$AW59,$A$10:$J$11,$J$9,FALSE)&amp;AV$7,COM_N_2012!$B$58:$AJ$58,0),FALSE),"")</f>
        <v/>
      </c>
      <c r="AW59" s="304">
        <f>IF(AX58=COM_N_2012!$AK$121,AW58+1,AW58)</f>
        <v>1</v>
      </c>
      <c r="AX59" s="304">
        <f t="shared" si="13"/>
        <v>47</v>
      </c>
    </row>
    <row r="60" spans="1:50">
      <c r="A60" s="304" t="str">
        <f ca="1">IF(LEFT(OFFSET(COM_N_2012!$A$60,AX60,0),2)="\I","*","")</f>
        <v>*</v>
      </c>
      <c r="B60" s="369" t="str">
        <f t="shared" ca="1" si="11"/>
        <v/>
      </c>
      <c r="C60" s="369" t="str">
        <f ca="1">IF($A60="*","",OFFSET(COM_N_2012!$B$60,AX60,0))</f>
        <v/>
      </c>
      <c r="D60" s="369" t="str">
        <f t="shared" ca="1" si="12"/>
        <v/>
      </c>
      <c r="E60" s="369" t="str">
        <f t="shared" ca="1" si="14"/>
        <v/>
      </c>
      <c r="F60" s="370" t="str">
        <f t="shared" ca="1" si="9"/>
        <v/>
      </c>
      <c r="G60" s="370" t="str">
        <f t="shared" ca="1" si="9"/>
        <v/>
      </c>
      <c r="H60" s="370" t="str">
        <f t="shared" ca="1" si="15"/>
        <v/>
      </c>
      <c r="I60" s="370" t="str">
        <f t="shared" ca="1" si="15"/>
        <v/>
      </c>
      <c r="J60" s="391" t="str">
        <f ca="1">IFERROR(VLOOKUP($C60,COM_N_2012!$B$61:$AJ$122,MATCH(VLOOKUP("*"&amp;$AW60,$A$10:$J$11,$J$9,FALSE)&amp;J$7,COM_N_2012!$B$58:$AJ$58,0),FALSE),"")</f>
        <v/>
      </c>
      <c r="K60" s="391" t="str">
        <f ca="1">IFERROR(VLOOKUP($C60,COM_N_2012!$B$61:$AJ$122,MATCH(VLOOKUP("*"&amp;$AW60,$A$10:$J$11,$J$9,FALSE)&amp;K$7,COM_N_2012!$B$58:$AJ$58,0),FALSE),"")</f>
        <v/>
      </c>
      <c r="L60" s="391" t="str">
        <f ca="1">IFERROR(VLOOKUP($C60,COM_N_2012!$B$61:$AJ$122,MATCH(VLOOKUP("*"&amp;$AW60,$A$10:$J$11,$J$9,FALSE)&amp;L$7,COM_N_2012!$B$58:$AJ$58,0),FALSE),"")</f>
        <v/>
      </c>
      <c r="M60" s="391" t="str">
        <f ca="1">IFERROR(VLOOKUP($C60,COM_N_2012!$B$61:$AJ$122,MATCH(VLOOKUP("*"&amp;$AW60,$A$10:$J$11,$J$9,FALSE)&amp;M$7,COM_N_2012!$B$58:$AJ$58,0),FALSE),"")</f>
        <v/>
      </c>
      <c r="N60" s="391" t="str">
        <f ca="1">IFERROR(VLOOKUP($C60,COM_N_2012!$B$61:$AJ$122,MATCH(VLOOKUP("*"&amp;$AW60,$A$10:$J$11,$J$9,FALSE)&amp;N$7,COM_N_2012!$B$58:$AJ$58,0),FALSE),"")</f>
        <v/>
      </c>
      <c r="O60" s="391" t="str">
        <f ca="1">IF($A60="*","",IFERROR(VLOOKUP($C60,COM_N_2017!$B$61:$AJ$122,MATCH(VLOOKUP("*"&amp;$AW60,$A$10:$J$11,$J$9,FALSE)&amp;O$7,COM_N_2017!$B$58:$AJ$58,0),FALSE),""))</f>
        <v/>
      </c>
      <c r="P60" s="391" t="str">
        <f ca="1">IFERROR(VLOOKUP($C60,COM_N_2012!$B$61:$AJ$122,MATCH(VLOOKUP("*"&amp;$AW60,$A$10:$J$11,$J$9,FALSE)&amp;P$7,COM_N_2012!$B$58:$AJ$58,0),FALSE),"")</f>
        <v/>
      </c>
      <c r="Q60" s="391" t="str">
        <f ca="1">IFERROR(VLOOKUP($C60,COM_N_2012!$B$61:$AJ$122,MATCH(VLOOKUP("*"&amp;$AW60,$A$10:$J$11,$J$9,FALSE)&amp;Q$7,COM_N_2012!$B$58:$AJ$58,0),FALSE),"")</f>
        <v/>
      </c>
      <c r="R60" s="391" t="str">
        <f ca="1">IF($A60="*","",IFERROR(VLOOKUP($C60,COM_N_2017!$B$61:$AJ$122,MATCH(VLOOKUP("*"&amp;$AW60,$A$10:$J$11,$J$9,FALSE)&amp;R$7,COM_N_2017!$B$58:$AJ$58,0),FALSE),""))</f>
        <v/>
      </c>
      <c r="S60" s="391" t="str">
        <f ca="1">IFERROR(VLOOKUP($C60,COM_N_2012!$B$61:$AJ$122,MATCH(VLOOKUP("*"&amp;$AW60,$A$10:$J$11,$J$9,FALSE)&amp;S$7,COM_N_2012!$B$58:$AJ$58,0),FALSE),"")</f>
        <v/>
      </c>
      <c r="T60" s="391" t="str">
        <f ca="1">IFERROR(VLOOKUP($C60,COM_N_2012!$B$61:$AJ$122,MATCH(VLOOKUP("*"&amp;$AW60,$A$10:$J$11,$J$9,FALSE)&amp;T$7,COM_N_2012!$B$58:$AJ$58,0),FALSE),"")</f>
        <v/>
      </c>
      <c r="U60" s="391" t="str">
        <f ca="1">IFERROR(VLOOKUP($C60,COM_N_2012!$B$61:$AJ$122,MATCH(VLOOKUP("*"&amp;$AW60,$A$10:$J$11,$J$9,FALSE)&amp;U$7,COM_N_2012!$B$58:$AJ$58,0),FALSE),"")</f>
        <v/>
      </c>
      <c r="V60" s="391" t="str">
        <f ca="1">IFERROR(VLOOKUP($C60,COM_N_2012!$B$61:$AJ$122,MATCH(VLOOKUP("*"&amp;$AW60,$A$10:$J$11,$J$9,FALSE)&amp;V$7,COM_N_2012!$B$58:$AJ$58,0),FALSE),"")</f>
        <v/>
      </c>
      <c r="W60" s="391" t="str">
        <f ca="1">IF($A60="*","",IFERROR(VLOOKUP($C60,COM_N_2017!$B$61:$AJ$122,MATCH(VLOOKUP("*"&amp;$AW60,$A$10:$J$11,$J$9,FALSE)&amp;W$7,COM_N_2017!$B$58:$AJ$58,0),FALSE),""))</f>
        <v/>
      </c>
      <c r="X60" s="391" t="str">
        <f ca="1">IFERROR(VLOOKUP($C60,COM_N_2012!$B$61:$AJ$122,MATCH(VLOOKUP("*"&amp;$AW60,$A$10:$J$11,$J$9,FALSE)&amp;X$7,COM_N_2012!$B$58:$AJ$58,0),FALSE),"")</f>
        <v/>
      </c>
      <c r="Y60" s="391" t="str">
        <f ca="1">IFERROR(VLOOKUP($C60,COM_N_2012!$B$61:$AJ$122,MATCH(VLOOKUP("*"&amp;$AW60,$A$10:$J$11,$J$9,FALSE)&amp;Y$7,COM_N_2012!$B$58:$AJ$58,0),FALSE),"")</f>
        <v/>
      </c>
      <c r="Z60" s="391" t="str">
        <f ca="1">IFERROR(VLOOKUP($C60,COM_N_2012!$B$61:$AJ$122,MATCH(VLOOKUP("*"&amp;$AW60,$A$10:$J$11,$J$9,FALSE)&amp;Z$7,COM_N_2012!$B$58:$AJ$58,0),FALSE),"")</f>
        <v/>
      </c>
      <c r="AA60" s="391" t="str">
        <f ca="1">IFERROR(VLOOKUP($C60,COM_N_2012!$B$61:$AJ$122,MATCH(VLOOKUP("*"&amp;$AW60,$A$10:$J$11,$J$9,FALSE)&amp;AA$7,COM_N_2012!$B$58:$AJ$58,0),FALSE),"")</f>
        <v/>
      </c>
      <c r="AB60" s="391" t="str">
        <f ca="1">IF($A60="*","",IFERROR(VLOOKUP($C60,COM_N_2017!$B$61:$AJ$122,MATCH(VLOOKUP("*"&amp;$AW60,$A$10:$J$11,$J$9,FALSE)&amp;AB$7,COM_N_2017!$B$58:$AJ$58,0),FALSE),""))</f>
        <v/>
      </c>
      <c r="AC60" s="391" t="str">
        <f ca="1">IFERROR(VLOOKUP($C60,COM_N_2012!$B$61:$AJ$122,MATCH(VLOOKUP("*"&amp;$AW60,$A$10:$J$11,$J$9,FALSE)&amp;AC$7,COM_N_2012!$B$58:$AJ$58,0),FALSE),"")</f>
        <v/>
      </c>
      <c r="AD60" s="391" t="str">
        <f ca="1">IFERROR(VLOOKUP($C60,COM_N_2012!$B$61:$AJ$122,MATCH(VLOOKUP("*"&amp;$AW60,$A$10:$J$11,$J$9,FALSE)&amp;AD$7,COM_N_2012!$B$58:$AJ$58,0),FALSE),"")</f>
        <v/>
      </c>
      <c r="AE60" s="391" t="str">
        <f ca="1">IFERROR(VLOOKUP($C60,COM_N_2012!$B$61:$AJ$122,MATCH(VLOOKUP("*"&amp;$AW60,$A$10:$J$11,$J$9,FALSE)&amp;AE$7,COM_N_2012!$B$58:$AJ$58,0),FALSE),"")</f>
        <v/>
      </c>
      <c r="AF60" s="391" t="str">
        <f ca="1">IFERROR(VLOOKUP($C60,COM_N_2012!$B$61:$AJ$122,MATCH(VLOOKUP("*"&amp;$AW60,$A$10:$J$11,$J$9,FALSE)&amp;AF$7,COM_N_2012!$B$58:$AJ$58,0),FALSE),"")</f>
        <v/>
      </c>
      <c r="AG60" s="391" t="str">
        <f ca="1">IF($A60="*","",IFERROR(VLOOKUP($C60,COM_N_2017!$B$61:$AJ$122,MATCH(VLOOKUP("*"&amp;$AW60,$A$10:$J$11,$J$9,FALSE)&amp;AG$7,COM_N_2017!$B$58:$AJ$58,0),FALSE),""))</f>
        <v/>
      </c>
      <c r="AH60" s="391" t="str">
        <f ca="1">IFERROR(VLOOKUP($C60,COM_N_2012!$B$61:$AJ$122,MATCH(VLOOKUP("*"&amp;$AW60,$A$10:$J$11,$J$9,FALSE)&amp;AH$7,COM_N_2012!$B$58:$AJ$58,0),FALSE),"")</f>
        <v/>
      </c>
      <c r="AI60" s="391" t="str">
        <f ca="1">IFERROR(VLOOKUP($C60,COM_N_2012!$B$61:$AJ$122,MATCH(VLOOKUP("*"&amp;$AW60,$A$10:$J$11,$J$9,FALSE)&amp;AI$7,COM_N_2012!$B$58:$AJ$58,0),FALSE),"")</f>
        <v/>
      </c>
      <c r="AJ60" s="391" t="str">
        <f ca="1">IFERROR(VLOOKUP($C60,COM_N_2012!$B$61:$AJ$122,MATCH(VLOOKUP("*"&amp;$AW60,$A$10:$J$11,$J$9,FALSE)&amp;AJ$7,COM_N_2012!$B$58:$AJ$58,0),FALSE),"")</f>
        <v/>
      </c>
      <c r="AK60" s="391" t="str">
        <f ca="1">IFERROR(VLOOKUP($C60,COM_N_2012!$B$61:$AJ$122,MATCH(VLOOKUP("*"&amp;$AW60,$A$10:$J$11,$J$9,FALSE)&amp;AK$7,COM_N_2012!$B$58:$AJ$58,0),FALSE),"")</f>
        <v/>
      </c>
      <c r="AL60" s="391" t="str">
        <f ca="1">IF($A60="*","",IFERROR(VLOOKUP($C60,COM_N_2017!$B$61:$AJ$122,MATCH(VLOOKUP("*"&amp;$AW60,$A$10:$J$11,$J$9,FALSE)&amp;AL$7,COM_N_2017!$B$58:$AJ$58,0),FALSE),""))</f>
        <v/>
      </c>
      <c r="AM60" s="391" t="str">
        <f ca="1">IF($A60="*","",IFERROR(VLOOKUP($C60,COM_N_2017!$B$61:$AJ$122,MATCH(VLOOKUP("*"&amp;$AW60,$A$10:$J$11,$J$9,FALSE)&amp;AM$7,COM_N_2017!$B$58:$AJ$58,0),FALSE),""))</f>
        <v/>
      </c>
      <c r="AN60" s="391" t="str">
        <f ca="1">IF($A60="*","",IFERROR(VLOOKUP($C60,COM_N_2017!$B$61:$AJ$122,MATCH(VLOOKUP("*"&amp;$AW60,$A$10:$J$11,$J$9,FALSE)&amp;AN$7,COM_N_2017!$B$58:$AJ$58,0),FALSE),""))</f>
        <v/>
      </c>
      <c r="AO60" s="391" t="str">
        <f ca="1">IFERROR(VLOOKUP($C60,COM_N_2012!$B$61:$AJ$122,MATCH(VLOOKUP("*"&amp;$AW60,$A$10:$J$11,$J$9,FALSE)&amp;AO$7,COM_N_2012!$B$58:$AJ$58,0),FALSE),"")</f>
        <v/>
      </c>
      <c r="AP60" s="391" t="str">
        <f ca="1">IFERROR(VLOOKUP($C60,COM_N_2012!$B$61:$AJ$122,MATCH(VLOOKUP("*"&amp;$AW60,$A$10:$J$11,$J$9,FALSE)&amp;AP$7,COM_N_2012!$B$58:$AJ$58,0),FALSE),"")</f>
        <v/>
      </c>
      <c r="AQ60" s="391" t="str">
        <f ca="1">IFERROR(VLOOKUP($C60,COM_N_2012!$B$61:$AJ$122,MATCH(VLOOKUP("*"&amp;$AW60,$A$10:$J$11,$J$9,FALSE)&amp;AQ$7,COM_N_2012!$B$58:$AJ$58,0),FALSE),"")</f>
        <v/>
      </c>
      <c r="AR60" s="391" t="str">
        <f ca="1">IFERROR(VLOOKUP($C60,COM_N_2012!$B$61:$AJ$122,MATCH(VLOOKUP("*"&amp;$AW60,$A$10:$J$11,$J$9,FALSE)&amp;AR$7,COM_N_2012!$B$58:$AJ$58,0),FALSE),"")</f>
        <v/>
      </c>
      <c r="AS60" s="391" t="str">
        <f ca="1">IFERROR(VLOOKUP($C60,COM_N_2012!$B$61:$AJ$122,MATCH(VLOOKUP("*"&amp;$AW60,$A$10:$J$11,$J$9,FALSE)&amp;AS$7,COM_N_2012!$B$58:$AJ$58,0),FALSE),"")</f>
        <v/>
      </c>
      <c r="AT60" s="391" t="str">
        <f ca="1">IFERROR(VLOOKUP($C60,COM_N_2012!$B$61:$AJ$122,MATCH(VLOOKUP("*"&amp;$AW60,$A$10:$J$11,$J$9,FALSE)&amp;AT$7,COM_N_2012!$B$58:$AJ$58,0),FALSE),"")</f>
        <v/>
      </c>
      <c r="AU60" s="391" t="str">
        <f ca="1">IFERROR(VLOOKUP($C60,COM_N_2012!$B$61:$AJ$122,MATCH(VLOOKUP("*"&amp;$AW60,$A$10:$J$11,$J$9,FALSE)&amp;AU$7,COM_N_2012!$B$58:$AJ$58,0),FALSE),"")</f>
        <v/>
      </c>
      <c r="AV60" s="391" t="str">
        <f ca="1">IFERROR(VLOOKUP($C60,COM_N_2012!$B$61:$AJ$122,MATCH(VLOOKUP("*"&amp;$AW60,$A$10:$J$11,$J$9,FALSE)&amp;AV$7,COM_N_2012!$B$58:$AJ$58,0),FALSE),"")</f>
        <v/>
      </c>
      <c r="AW60" s="304">
        <f>IF(AX59=COM_N_2012!$AK$121,AW59+1,AW59)</f>
        <v>1</v>
      </c>
      <c r="AX60" s="304">
        <f t="shared" si="13"/>
        <v>48</v>
      </c>
    </row>
    <row r="61" spans="1:50">
      <c r="A61" s="304" t="str">
        <f ca="1">IF(LEFT(OFFSET(COM_N_2012!$A$60,AX61,0),2)="\I","*","")</f>
        <v>*</v>
      </c>
      <c r="B61" s="369" t="str">
        <f t="shared" ca="1" si="11"/>
        <v/>
      </c>
      <c r="C61" s="369" t="str">
        <f ca="1">IF($A61="*","",OFFSET(COM_N_2012!$B$60,AX61,0))</f>
        <v/>
      </c>
      <c r="D61" s="369" t="str">
        <f t="shared" ca="1" si="12"/>
        <v/>
      </c>
      <c r="E61" s="369" t="str">
        <f t="shared" ca="1" si="14"/>
        <v/>
      </c>
      <c r="F61" s="370" t="str">
        <f t="shared" ca="1" si="9"/>
        <v/>
      </c>
      <c r="G61" s="370" t="str">
        <f t="shared" ca="1" si="9"/>
        <v/>
      </c>
      <c r="H61" s="370" t="str">
        <f t="shared" ca="1" si="15"/>
        <v/>
      </c>
      <c r="I61" s="370" t="str">
        <f t="shared" ca="1" si="15"/>
        <v/>
      </c>
      <c r="J61" s="391" t="str">
        <f ca="1">IFERROR(VLOOKUP($C61,COM_N_2012!$B$61:$AJ$122,MATCH(VLOOKUP("*"&amp;$AW61,$A$10:$J$11,$J$9,FALSE)&amp;J$7,COM_N_2012!$B$58:$AJ$58,0),FALSE),"")</f>
        <v/>
      </c>
      <c r="K61" s="391" t="str">
        <f ca="1">IFERROR(VLOOKUP($C61,COM_N_2012!$B$61:$AJ$122,MATCH(VLOOKUP("*"&amp;$AW61,$A$10:$J$11,$J$9,FALSE)&amp;K$7,COM_N_2012!$B$58:$AJ$58,0),FALSE),"")</f>
        <v/>
      </c>
      <c r="L61" s="391" t="str">
        <f ca="1">IFERROR(VLOOKUP($C61,COM_N_2012!$B$61:$AJ$122,MATCH(VLOOKUP("*"&amp;$AW61,$A$10:$J$11,$J$9,FALSE)&amp;L$7,COM_N_2012!$B$58:$AJ$58,0),FALSE),"")</f>
        <v/>
      </c>
      <c r="M61" s="391" t="str">
        <f ca="1">IFERROR(VLOOKUP($C61,COM_N_2012!$B$61:$AJ$122,MATCH(VLOOKUP("*"&amp;$AW61,$A$10:$J$11,$J$9,FALSE)&amp;M$7,COM_N_2012!$B$58:$AJ$58,0),FALSE),"")</f>
        <v/>
      </c>
      <c r="N61" s="391" t="str">
        <f ca="1">IFERROR(VLOOKUP($C61,COM_N_2012!$B$61:$AJ$122,MATCH(VLOOKUP("*"&amp;$AW61,$A$10:$J$11,$J$9,FALSE)&amp;N$7,COM_N_2012!$B$58:$AJ$58,0),FALSE),"")</f>
        <v/>
      </c>
      <c r="O61" s="391" t="str">
        <f ca="1">IF($A61="*","",IFERROR(VLOOKUP($C61,COM_N_2017!$B$61:$AJ$122,MATCH(VLOOKUP("*"&amp;$AW61,$A$10:$J$11,$J$9,FALSE)&amp;O$7,COM_N_2017!$B$58:$AJ$58,0),FALSE),""))</f>
        <v/>
      </c>
      <c r="P61" s="391" t="str">
        <f ca="1">IFERROR(VLOOKUP($C61,COM_N_2012!$B$61:$AJ$122,MATCH(VLOOKUP("*"&amp;$AW61,$A$10:$J$11,$J$9,FALSE)&amp;P$7,COM_N_2012!$B$58:$AJ$58,0),FALSE),"")</f>
        <v/>
      </c>
      <c r="Q61" s="391" t="str">
        <f ca="1">IFERROR(VLOOKUP($C61,COM_N_2012!$B$61:$AJ$122,MATCH(VLOOKUP("*"&amp;$AW61,$A$10:$J$11,$J$9,FALSE)&amp;Q$7,COM_N_2012!$B$58:$AJ$58,0),FALSE),"")</f>
        <v/>
      </c>
      <c r="R61" s="391" t="str">
        <f ca="1">IF($A61="*","",IFERROR(VLOOKUP($C61,COM_N_2017!$B$61:$AJ$122,MATCH(VLOOKUP("*"&amp;$AW61,$A$10:$J$11,$J$9,FALSE)&amp;R$7,COM_N_2017!$B$58:$AJ$58,0),FALSE),""))</f>
        <v/>
      </c>
      <c r="S61" s="391" t="str">
        <f ca="1">IFERROR(VLOOKUP($C61,COM_N_2012!$B$61:$AJ$122,MATCH(VLOOKUP("*"&amp;$AW61,$A$10:$J$11,$J$9,FALSE)&amp;S$7,COM_N_2012!$B$58:$AJ$58,0),FALSE),"")</f>
        <v/>
      </c>
      <c r="T61" s="391" t="str">
        <f ca="1">IFERROR(VLOOKUP($C61,COM_N_2012!$B$61:$AJ$122,MATCH(VLOOKUP("*"&amp;$AW61,$A$10:$J$11,$J$9,FALSE)&amp;T$7,COM_N_2012!$B$58:$AJ$58,0),FALSE),"")</f>
        <v/>
      </c>
      <c r="U61" s="391" t="str">
        <f ca="1">IFERROR(VLOOKUP($C61,COM_N_2012!$B$61:$AJ$122,MATCH(VLOOKUP("*"&amp;$AW61,$A$10:$J$11,$J$9,FALSE)&amp;U$7,COM_N_2012!$B$58:$AJ$58,0),FALSE),"")</f>
        <v/>
      </c>
      <c r="V61" s="391" t="str">
        <f ca="1">IFERROR(VLOOKUP($C61,COM_N_2012!$B$61:$AJ$122,MATCH(VLOOKUP("*"&amp;$AW61,$A$10:$J$11,$J$9,FALSE)&amp;V$7,COM_N_2012!$B$58:$AJ$58,0),FALSE),"")</f>
        <v/>
      </c>
      <c r="W61" s="391" t="str">
        <f ca="1">IF($A61="*","",IFERROR(VLOOKUP($C61,COM_N_2017!$B$61:$AJ$122,MATCH(VLOOKUP("*"&amp;$AW61,$A$10:$J$11,$J$9,FALSE)&amp;W$7,COM_N_2017!$B$58:$AJ$58,0),FALSE),""))</f>
        <v/>
      </c>
      <c r="X61" s="391" t="str">
        <f ca="1">IFERROR(VLOOKUP($C61,COM_N_2012!$B$61:$AJ$122,MATCH(VLOOKUP("*"&amp;$AW61,$A$10:$J$11,$J$9,FALSE)&amp;X$7,COM_N_2012!$B$58:$AJ$58,0),FALSE),"")</f>
        <v/>
      </c>
      <c r="Y61" s="391" t="str">
        <f ca="1">IFERROR(VLOOKUP($C61,COM_N_2012!$B$61:$AJ$122,MATCH(VLOOKUP("*"&amp;$AW61,$A$10:$J$11,$J$9,FALSE)&amp;Y$7,COM_N_2012!$B$58:$AJ$58,0),FALSE),"")</f>
        <v/>
      </c>
      <c r="Z61" s="391" t="str">
        <f ca="1">IFERROR(VLOOKUP($C61,COM_N_2012!$B$61:$AJ$122,MATCH(VLOOKUP("*"&amp;$AW61,$A$10:$J$11,$J$9,FALSE)&amp;Z$7,COM_N_2012!$B$58:$AJ$58,0),FALSE),"")</f>
        <v/>
      </c>
      <c r="AA61" s="391" t="str">
        <f ca="1">IFERROR(VLOOKUP($C61,COM_N_2012!$B$61:$AJ$122,MATCH(VLOOKUP("*"&amp;$AW61,$A$10:$J$11,$J$9,FALSE)&amp;AA$7,COM_N_2012!$B$58:$AJ$58,0),FALSE),"")</f>
        <v/>
      </c>
      <c r="AB61" s="391" t="str">
        <f ca="1">IF($A61="*","",IFERROR(VLOOKUP($C61,COM_N_2017!$B$61:$AJ$122,MATCH(VLOOKUP("*"&amp;$AW61,$A$10:$J$11,$J$9,FALSE)&amp;AB$7,COM_N_2017!$B$58:$AJ$58,0),FALSE),""))</f>
        <v/>
      </c>
      <c r="AC61" s="391" t="str">
        <f ca="1">IFERROR(VLOOKUP($C61,COM_N_2012!$B$61:$AJ$122,MATCH(VLOOKUP("*"&amp;$AW61,$A$10:$J$11,$J$9,FALSE)&amp;AC$7,COM_N_2012!$B$58:$AJ$58,0),FALSE),"")</f>
        <v/>
      </c>
      <c r="AD61" s="391" t="str">
        <f ca="1">IFERROR(VLOOKUP($C61,COM_N_2012!$B$61:$AJ$122,MATCH(VLOOKUP("*"&amp;$AW61,$A$10:$J$11,$J$9,FALSE)&amp;AD$7,COM_N_2012!$B$58:$AJ$58,0),FALSE),"")</f>
        <v/>
      </c>
      <c r="AE61" s="391" t="str">
        <f ca="1">IFERROR(VLOOKUP($C61,COM_N_2012!$B$61:$AJ$122,MATCH(VLOOKUP("*"&amp;$AW61,$A$10:$J$11,$J$9,FALSE)&amp;AE$7,COM_N_2012!$B$58:$AJ$58,0),FALSE),"")</f>
        <v/>
      </c>
      <c r="AF61" s="391" t="str">
        <f ca="1">IFERROR(VLOOKUP($C61,COM_N_2012!$B$61:$AJ$122,MATCH(VLOOKUP("*"&amp;$AW61,$A$10:$J$11,$J$9,FALSE)&amp;AF$7,COM_N_2012!$B$58:$AJ$58,0),FALSE),"")</f>
        <v/>
      </c>
      <c r="AG61" s="391" t="str">
        <f ca="1">IF($A61="*","",IFERROR(VLOOKUP($C61,COM_N_2017!$B$61:$AJ$122,MATCH(VLOOKUP("*"&amp;$AW61,$A$10:$J$11,$J$9,FALSE)&amp;AG$7,COM_N_2017!$B$58:$AJ$58,0),FALSE),""))</f>
        <v/>
      </c>
      <c r="AH61" s="391" t="str">
        <f ca="1">IFERROR(VLOOKUP($C61,COM_N_2012!$B$61:$AJ$122,MATCH(VLOOKUP("*"&amp;$AW61,$A$10:$J$11,$J$9,FALSE)&amp;AH$7,COM_N_2012!$B$58:$AJ$58,0),FALSE),"")</f>
        <v/>
      </c>
      <c r="AI61" s="391" t="str">
        <f ca="1">IFERROR(VLOOKUP($C61,COM_N_2012!$B$61:$AJ$122,MATCH(VLOOKUP("*"&amp;$AW61,$A$10:$J$11,$J$9,FALSE)&amp;AI$7,COM_N_2012!$B$58:$AJ$58,0),FALSE),"")</f>
        <v/>
      </c>
      <c r="AJ61" s="391" t="str">
        <f ca="1">IFERROR(VLOOKUP($C61,COM_N_2012!$B$61:$AJ$122,MATCH(VLOOKUP("*"&amp;$AW61,$A$10:$J$11,$J$9,FALSE)&amp;AJ$7,COM_N_2012!$B$58:$AJ$58,0),FALSE),"")</f>
        <v/>
      </c>
      <c r="AK61" s="391" t="str">
        <f ca="1">IFERROR(VLOOKUP($C61,COM_N_2012!$B$61:$AJ$122,MATCH(VLOOKUP("*"&amp;$AW61,$A$10:$J$11,$J$9,FALSE)&amp;AK$7,COM_N_2012!$B$58:$AJ$58,0),FALSE),"")</f>
        <v/>
      </c>
      <c r="AL61" s="391" t="str">
        <f ca="1">IF($A61="*","",IFERROR(VLOOKUP($C61,COM_N_2017!$B$61:$AJ$122,MATCH(VLOOKUP("*"&amp;$AW61,$A$10:$J$11,$J$9,FALSE)&amp;AL$7,COM_N_2017!$B$58:$AJ$58,0),FALSE),""))</f>
        <v/>
      </c>
      <c r="AM61" s="391" t="str">
        <f ca="1">IF($A61="*","",IFERROR(VLOOKUP($C61,COM_N_2017!$B$61:$AJ$122,MATCH(VLOOKUP("*"&amp;$AW61,$A$10:$J$11,$J$9,FALSE)&amp;AM$7,COM_N_2017!$B$58:$AJ$58,0),FALSE),""))</f>
        <v/>
      </c>
      <c r="AN61" s="391" t="str">
        <f ca="1">IF($A61="*","",IFERROR(VLOOKUP($C61,COM_N_2017!$B$61:$AJ$122,MATCH(VLOOKUP("*"&amp;$AW61,$A$10:$J$11,$J$9,FALSE)&amp;AN$7,COM_N_2017!$B$58:$AJ$58,0),FALSE),""))</f>
        <v/>
      </c>
      <c r="AO61" s="391" t="str">
        <f ca="1">IFERROR(VLOOKUP($C61,COM_N_2012!$B$61:$AJ$122,MATCH(VLOOKUP("*"&amp;$AW61,$A$10:$J$11,$J$9,FALSE)&amp;AO$7,COM_N_2012!$B$58:$AJ$58,0),FALSE),"")</f>
        <v/>
      </c>
      <c r="AP61" s="391" t="str">
        <f ca="1">IFERROR(VLOOKUP($C61,COM_N_2012!$B$61:$AJ$122,MATCH(VLOOKUP("*"&amp;$AW61,$A$10:$J$11,$J$9,FALSE)&amp;AP$7,COM_N_2012!$B$58:$AJ$58,0),FALSE),"")</f>
        <v/>
      </c>
      <c r="AQ61" s="391" t="str">
        <f ca="1">IFERROR(VLOOKUP($C61,COM_N_2012!$B$61:$AJ$122,MATCH(VLOOKUP("*"&amp;$AW61,$A$10:$J$11,$J$9,FALSE)&amp;AQ$7,COM_N_2012!$B$58:$AJ$58,0),FALSE),"")</f>
        <v/>
      </c>
      <c r="AR61" s="391" t="str">
        <f ca="1">IFERROR(VLOOKUP($C61,COM_N_2012!$B$61:$AJ$122,MATCH(VLOOKUP("*"&amp;$AW61,$A$10:$J$11,$J$9,FALSE)&amp;AR$7,COM_N_2012!$B$58:$AJ$58,0),FALSE),"")</f>
        <v/>
      </c>
      <c r="AS61" s="391" t="str">
        <f ca="1">IFERROR(VLOOKUP($C61,COM_N_2012!$B$61:$AJ$122,MATCH(VLOOKUP("*"&amp;$AW61,$A$10:$J$11,$J$9,FALSE)&amp;AS$7,COM_N_2012!$B$58:$AJ$58,0),FALSE),"")</f>
        <v/>
      </c>
      <c r="AT61" s="391" t="str">
        <f ca="1">IFERROR(VLOOKUP($C61,COM_N_2012!$B$61:$AJ$122,MATCH(VLOOKUP("*"&amp;$AW61,$A$10:$J$11,$J$9,FALSE)&amp;AT$7,COM_N_2012!$B$58:$AJ$58,0),FALSE),"")</f>
        <v/>
      </c>
      <c r="AU61" s="391" t="str">
        <f ca="1">IFERROR(VLOOKUP($C61,COM_N_2012!$B$61:$AJ$122,MATCH(VLOOKUP("*"&amp;$AW61,$A$10:$J$11,$J$9,FALSE)&amp;AU$7,COM_N_2012!$B$58:$AJ$58,0),FALSE),"")</f>
        <v/>
      </c>
      <c r="AV61" s="391" t="str">
        <f ca="1">IFERROR(VLOOKUP($C61,COM_N_2012!$B$61:$AJ$122,MATCH(VLOOKUP("*"&amp;$AW61,$A$10:$J$11,$J$9,FALSE)&amp;AV$7,COM_N_2012!$B$58:$AJ$58,0),FALSE),"")</f>
        <v/>
      </c>
      <c r="AW61" s="304">
        <f>IF(AX60=COM_N_2012!$AK$121,AW60+1,AW60)</f>
        <v>1</v>
      </c>
      <c r="AX61" s="304">
        <f t="shared" si="13"/>
        <v>49</v>
      </c>
    </row>
    <row r="62" spans="1:50">
      <c r="A62" s="304" t="str">
        <f ca="1">IF(LEFT(OFFSET(COM_N_2012!$A$60,AX62,0),2)="\I","*","")</f>
        <v/>
      </c>
      <c r="B62" s="369" t="str">
        <f t="shared" ca="1" si="11"/>
        <v>FLO_MRKPRD</v>
      </c>
      <c r="C62" s="369" t="str">
        <f ca="1">IF($A62="*","",OFFSET(COM_N_2012!$B$60,AX62,0))</f>
        <v>CNTELC-E</v>
      </c>
      <c r="D62" s="369" t="str">
        <f t="shared" ca="1" si="12"/>
        <v>CNT</v>
      </c>
      <c r="E62" s="369" t="str">
        <f t="shared" ca="1" si="14"/>
        <v>-</v>
      </c>
      <c r="F62" s="370" t="str">
        <f t="shared" ca="1" si="9"/>
        <v>-</v>
      </c>
      <c r="G62" s="370" t="str">
        <f t="shared" ca="1" si="9"/>
        <v>ANNUAL</v>
      </c>
      <c r="H62" s="370" t="str">
        <f t="shared" ca="1" si="15"/>
        <v>UP</v>
      </c>
      <c r="I62" s="370">
        <f t="shared" ca="1" si="15"/>
        <v>0</v>
      </c>
      <c r="J62" s="391">
        <f ca="1">IFERROR(VLOOKUP($C62,COM_N_2012!$B$61:$AJ$122,MATCH(VLOOKUP("*"&amp;$AW62,$A$10:$J$11,$J$9,FALSE)&amp;J$7,COM_N_2012!$B$58:$AJ$58,0),FALSE),"")</f>
        <v>1</v>
      </c>
      <c r="K62" s="494" t="str">
        <f ca="1">IFERROR(VLOOKUP($C62,COM_N_2012!$B$61:$AJ$122,MATCH(VLOOKUP("*"&amp;$AW62,$A$10:$J$11,$J$9,FALSE)&amp;K$7,COM_N_2012!$B$58:$AJ$58,0),FALSE),"")</f>
        <v/>
      </c>
      <c r="L62" s="494" t="str">
        <f ca="1">IFERROR(VLOOKUP($C62,COM_N_2012!$B$61:$AJ$122,MATCH(VLOOKUP("*"&amp;$AW62,$A$10:$J$11,$J$9,FALSE)&amp;L$7,COM_N_2012!$B$58:$AJ$58,0),FALSE),"")</f>
        <v/>
      </c>
      <c r="M62" s="494">
        <f ca="1">IFERROR(VLOOKUP($C62,COM_N_2012!$B$61:$AJ$122,MATCH(VLOOKUP("*"&amp;$AW62,$A$10:$J$11,$J$9,FALSE)&amp;M$7,COM_N_2012!$B$58:$AJ$58,0),FALSE),"")</f>
        <v>1</v>
      </c>
      <c r="N62" s="494" t="str">
        <f ca="1">IFERROR(VLOOKUP($C62,COM_N_2012!$B$61:$AJ$122,MATCH(VLOOKUP("*"&amp;$AW62,$A$10:$J$11,$J$9,FALSE)&amp;N$7,COM_N_2012!$B$58:$AJ$58,0),FALSE),"")</f>
        <v/>
      </c>
      <c r="O62" s="391">
        <f ca="1">IF($A62="*","",IFERROR(VLOOKUP($C62,COM_N_2017!$B$61:$AJ$122,MATCH(VLOOKUP("*"&amp;$AW62,$A$10:$J$11,$J$9,FALSE)&amp;O$7,COM_N_2017!$B$58:$AJ$58,0),FALSE),""))</f>
        <v>1</v>
      </c>
      <c r="P62" s="494" t="str">
        <f ca="1">IFERROR(VLOOKUP($C62,COM_N_2012!$B$61:$AJ$122,MATCH(VLOOKUP("*"&amp;$AW62,$A$10:$J$11,$J$9,FALSE)&amp;P$7,COM_N_2012!$B$58:$AJ$58,0),FALSE),"")</f>
        <v/>
      </c>
      <c r="Q62" s="494" t="str">
        <f ca="1">IFERROR(VLOOKUP($C62,COM_N_2012!$B$61:$AJ$122,MATCH(VLOOKUP("*"&amp;$AW62,$A$10:$J$11,$J$9,FALSE)&amp;Q$7,COM_N_2012!$B$58:$AJ$58,0),FALSE),"")</f>
        <v/>
      </c>
      <c r="R62" s="391">
        <f ca="1">IF($A62="*","",IFERROR(VLOOKUP($C62,COM_N_2017!$B$61:$AJ$122,MATCH(VLOOKUP("*"&amp;$AW62,$A$10:$J$11,$J$9,FALSE)&amp;R$7,COM_N_2017!$B$58:$AJ$58,0),FALSE),""))</f>
        <v>1</v>
      </c>
      <c r="S62" s="494" t="str">
        <f ca="1">IFERROR(VLOOKUP($C62,COM_N_2012!$B$61:$AJ$122,MATCH(VLOOKUP("*"&amp;$AW62,$A$10:$J$11,$J$9,FALSE)&amp;S$7,COM_N_2012!$B$58:$AJ$58,0),FALSE),"")</f>
        <v/>
      </c>
      <c r="T62" s="494" t="str">
        <f ca="1">IFERROR(VLOOKUP($C62,COM_N_2012!$B$61:$AJ$122,MATCH(VLOOKUP("*"&amp;$AW62,$A$10:$J$11,$J$9,FALSE)&amp;T$7,COM_N_2012!$B$58:$AJ$58,0),FALSE),"")</f>
        <v/>
      </c>
      <c r="U62" s="494" t="str">
        <f ca="1">IFERROR(VLOOKUP($C62,COM_N_2012!$B$61:$AJ$122,MATCH(VLOOKUP("*"&amp;$AW62,$A$10:$J$11,$J$9,FALSE)&amp;U$7,COM_N_2012!$B$58:$AJ$58,0),FALSE),"")</f>
        <v/>
      </c>
      <c r="V62" s="494" t="str">
        <f ca="1">IFERROR(VLOOKUP($C62,COM_N_2012!$B$61:$AJ$122,MATCH(VLOOKUP("*"&amp;$AW62,$A$10:$J$11,$J$9,FALSE)&amp;V$7,COM_N_2012!$B$58:$AJ$58,0),FALSE),"")</f>
        <v/>
      </c>
      <c r="W62" s="391">
        <f ca="1">IF($A62="*","",IFERROR(VLOOKUP($C62,COM_N_2017!$B$61:$AJ$122,MATCH(VLOOKUP("*"&amp;$AW62,$A$10:$J$11,$J$9,FALSE)&amp;W$7,COM_N_2017!$B$58:$AJ$58,0),FALSE),""))</f>
        <v>1</v>
      </c>
      <c r="X62" s="494" t="str">
        <f ca="1">IFERROR(VLOOKUP($C62,COM_N_2012!$B$61:$AJ$122,MATCH(VLOOKUP("*"&amp;$AW62,$A$10:$J$11,$J$9,FALSE)&amp;X$7,COM_N_2012!$B$58:$AJ$58,0),FALSE),"")</f>
        <v/>
      </c>
      <c r="Y62" s="494" t="str">
        <f ca="1">IFERROR(VLOOKUP($C62,COM_N_2012!$B$61:$AJ$122,MATCH(VLOOKUP("*"&amp;$AW62,$A$10:$J$11,$J$9,FALSE)&amp;Y$7,COM_N_2012!$B$58:$AJ$58,0),FALSE),"")</f>
        <v/>
      </c>
      <c r="Z62" s="494" t="str">
        <f ca="1">IFERROR(VLOOKUP($C62,COM_N_2012!$B$61:$AJ$122,MATCH(VLOOKUP("*"&amp;$AW62,$A$10:$J$11,$J$9,FALSE)&amp;Z$7,COM_N_2012!$B$58:$AJ$58,0),FALSE),"")</f>
        <v/>
      </c>
      <c r="AA62" s="494" t="str">
        <f ca="1">IFERROR(VLOOKUP($C62,COM_N_2012!$B$61:$AJ$122,MATCH(VLOOKUP("*"&amp;$AW62,$A$10:$J$11,$J$9,FALSE)&amp;AA$7,COM_N_2012!$B$58:$AJ$58,0),FALSE),"")</f>
        <v/>
      </c>
      <c r="AB62" s="391">
        <f ca="1">IF($A62="*","",IFERROR(VLOOKUP($C62,COM_N_2017!$B$61:$AJ$122,MATCH(VLOOKUP("*"&amp;$AW62,$A$10:$J$11,$J$9,FALSE)&amp;AB$7,COM_N_2017!$B$58:$AJ$58,0),FALSE),""))</f>
        <v>1</v>
      </c>
      <c r="AC62" s="494" t="str">
        <f ca="1">IFERROR(VLOOKUP($C62,COM_N_2012!$B$61:$AJ$122,MATCH(VLOOKUP("*"&amp;$AW62,$A$10:$J$11,$J$9,FALSE)&amp;AC$7,COM_N_2012!$B$58:$AJ$58,0),FALSE),"")</f>
        <v/>
      </c>
      <c r="AD62" s="494" t="str">
        <f ca="1">IFERROR(VLOOKUP($C62,COM_N_2012!$B$61:$AJ$122,MATCH(VLOOKUP("*"&amp;$AW62,$A$10:$J$11,$J$9,FALSE)&amp;AD$7,COM_N_2012!$B$58:$AJ$58,0),FALSE),"")</f>
        <v/>
      </c>
      <c r="AE62" s="494" t="str">
        <f ca="1">IFERROR(VLOOKUP($C62,COM_N_2012!$B$61:$AJ$122,MATCH(VLOOKUP("*"&amp;$AW62,$A$10:$J$11,$J$9,FALSE)&amp;AE$7,COM_N_2012!$B$58:$AJ$58,0),FALSE),"")</f>
        <v/>
      </c>
      <c r="AF62" s="494" t="str">
        <f ca="1">IFERROR(VLOOKUP($C62,COM_N_2012!$B$61:$AJ$122,MATCH(VLOOKUP("*"&amp;$AW62,$A$10:$J$11,$J$9,FALSE)&amp;AF$7,COM_N_2012!$B$58:$AJ$58,0),FALSE),"")</f>
        <v/>
      </c>
      <c r="AG62" s="391">
        <f ca="1">IF($A62="*","",IFERROR(VLOOKUP($C62,COM_N_2017!$B$61:$AJ$122,MATCH(VLOOKUP("*"&amp;$AW62,$A$10:$J$11,$J$9,FALSE)&amp;AG$7,COM_N_2017!$B$58:$AJ$58,0),FALSE),""))</f>
        <v>1</v>
      </c>
      <c r="AH62" s="494" t="str">
        <f ca="1">IFERROR(VLOOKUP($C62,COM_N_2012!$B$61:$AJ$122,MATCH(VLOOKUP("*"&amp;$AW62,$A$10:$J$11,$J$9,FALSE)&amp;AH$7,COM_N_2012!$B$58:$AJ$58,0),FALSE),"")</f>
        <v/>
      </c>
      <c r="AI62" s="494" t="str">
        <f ca="1">IFERROR(VLOOKUP($C62,COM_N_2012!$B$61:$AJ$122,MATCH(VLOOKUP("*"&amp;$AW62,$A$10:$J$11,$J$9,FALSE)&amp;AI$7,COM_N_2012!$B$58:$AJ$58,0),FALSE),"")</f>
        <v/>
      </c>
      <c r="AJ62" s="494" t="str">
        <f ca="1">IFERROR(VLOOKUP($C62,COM_N_2012!$B$61:$AJ$122,MATCH(VLOOKUP("*"&amp;$AW62,$A$10:$J$11,$J$9,FALSE)&amp;AJ$7,COM_N_2012!$B$58:$AJ$58,0),FALSE),"")</f>
        <v/>
      </c>
      <c r="AK62" s="494" t="str">
        <f ca="1">IFERROR(VLOOKUP($C62,COM_N_2012!$B$61:$AJ$122,MATCH(VLOOKUP("*"&amp;$AW62,$A$10:$J$11,$J$9,FALSE)&amp;AK$7,COM_N_2012!$B$58:$AJ$58,0),FALSE),"")</f>
        <v/>
      </c>
      <c r="AL62" s="391">
        <f ca="1">IF($A62="*","",IFERROR(VLOOKUP($C62,COM_N_2017!$B$61:$AJ$122,MATCH(VLOOKUP("*"&amp;$AW62,$A$10:$J$11,$J$9,FALSE)&amp;AL$7,COM_N_2017!$B$58:$AJ$58,0),FALSE),""))</f>
        <v>1</v>
      </c>
      <c r="AM62" s="391">
        <f ca="1">IF($A62="*","",IFERROR(VLOOKUP($C62,COM_N_2017!$B$61:$AJ$122,MATCH(VLOOKUP("*"&amp;$AW62,$A$10:$J$11,$J$9,FALSE)&amp;AM$7,COM_N_2017!$B$58:$AJ$58,0),FALSE),""))</f>
        <v>1</v>
      </c>
      <c r="AN62" s="391">
        <f ca="1">IF($A62="*","",IFERROR(VLOOKUP($C62,COM_N_2017!$B$61:$AJ$122,MATCH(VLOOKUP("*"&amp;$AW62,$A$10:$J$11,$J$9,FALSE)&amp;AN$7,COM_N_2017!$B$58:$AJ$58,0),FALSE),""))</f>
        <v>1</v>
      </c>
      <c r="AO62" s="494" t="str">
        <f ca="1">IFERROR(VLOOKUP($C62,COM_N_2012!$B$61:$AJ$122,MATCH(VLOOKUP("*"&amp;$AW62,$A$10:$J$11,$J$9,FALSE)&amp;AO$7,COM_N_2012!$B$58:$AJ$58,0),FALSE),"")</f>
        <v/>
      </c>
      <c r="AP62" s="494" t="str">
        <f ca="1">IFERROR(VLOOKUP($C62,COM_N_2012!$B$61:$AJ$122,MATCH(VLOOKUP("*"&amp;$AW62,$A$10:$J$11,$J$9,FALSE)&amp;AP$7,COM_N_2012!$B$58:$AJ$58,0),FALSE),"")</f>
        <v/>
      </c>
      <c r="AQ62" s="494" t="str">
        <f ca="1">IFERROR(VLOOKUP($C62,COM_N_2012!$B$61:$AJ$122,MATCH(VLOOKUP("*"&amp;$AW62,$A$10:$J$11,$J$9,FALSE)&amp;AQ$7,COM_N_2012!$B$58:$AJ$58,0),FALSE),"")</f>
        <v/>
      </c>
      <c r="AR62" s="494" t="str">
        <f ca="1">IFERROR(VLOOKUP($C62,COM_N_2012!$B$61:$AJ$122,MATCH(VLOOKUP("*"&amp;$AW62,$A$10:$J$11,$J$9,FALSE)&amp;AR$7,COM_N_2012!$B$58:$AJ$58,0),FALSE),"")</f>
        <v/>
      </c>
      <c r="AS62" s="494" t="str">
        <f ca="1">IFERROR(VLOOKUP($C62,COM_N_2012!$B$61:$AJ$122,MATCH(VLOOKUP("*"&amp;$AW62,$A$10:$J$11,$J$9,FALSE)&amp;AS$7,COM_N_2012!$B$58:$AJ$58,0),FALSE),"")</f>
        <v/>
      </c>
      <c r="AT62" s="494" t="str">
        <f ca="1">IFERROR(VLOOKUP($C62,COM_N_2012!$B$61:$AJ$122,MATCH(VLOOKUP("*"&amp;$AW62,$A$10:$J$11,$J$9,FALSE)&amp;AT$7,COM_N_2012!$B$58:$AJ$58,0),FALSE),"")</f>
        <v/>
      </c>
      <c r="AU62" s="391" t="str">
        <f ca="1">IFERROR(VLOOKUP($C62,COM_N_2012!$B$61:$AJ$122,MATCH(VLOOKUP("*"&amp;$AW62,$A$10:$J$11,$J$9,FALSE)&amp;AU$7,COM_N_2012!$B$58:$AJ$58,0),FALSE),"")</f>
        <v/>
      </c>
      <c r="AV62" s="391" t="str">
        <f ca="1">IFERROR(VLOOKUP($C62,COM_N_2012!$B$61:$AJ$122,MATCH(VLOOKUP("*"&amp;$AW62,$A$10:$J$11,$J$9,FALSE)&amp;AV$7,COM_N_2012!$B$58:$AJ$58,0),FALSE),"")</f>
        <v/>
      </c>
      <c r="AW62" s="304">
        <f>IF(AX61=COM_N_2012!$AK$121,AW61+1,AW61)</f>
        <v>1</v>
      </c>
      <c r="AX62" s="304">
        <f t="shared" si="13"/>
        <v>50</v>
      </c>
    </row>
    <row r="63" spans="1:50">
      <c r="A63" s="304" t="str">
        <f ca="1">IF(LEFT(OFFSET(COM_N_2012!$A$60,AX63,0),2)="\I","*","")</f>
        <v>*</v>
      </c>
      <c r="B63" s="369" t="str">
        <f t="shared" ca="1" si="11"/>
        <v/>
      </c>
      <c r="C63" s="369" t="str">
        <f ca="1">IF($A63="*","",OFFSET(COM_N_2012!$B$60,AX63,0))</f>
        <v/>
      </c>
      <c r="D63" s="369" t="str">
        <f t="shared" ca="1" si="12"/>
        <v/>
      </c>
      <c r="E63" s="369" t="str">
        <f t="shared" ca="1" si="14"/>
        <v/>
      </c>
      <c r="F63" s="370" t="str">
        <f t="shared" ca="1" si="9"/>
        <v/>
      </c>
      <c r="G63" s="370" t="str">
        <f t="shared" ca="1" si="9"/>
        <v/>
      </c>
      <c r="H63" s="370" t="str">
        <f t="shared" ca="1" si="15"/>
        <v/>
      </c>
      <c r="I63" s="370" t="str">
        <f t="shared" ca="1" si="15"/>
        <v/>
      </c>
      <c r="J63" s="391" t="str">
        <f ca="1">IFERROR(VLOOKUP($C63,COM_N_2012!$B$61:$AJ$122,MATCH(VLOOKUP("*"&amp;$AW63,$A$10:$J$11,$J$9,FALSE)&amp;J$7,COM_N_2012!$B$58:$AJ$58,0),FALSE),"")</f>
        <v/>
      </c>
      <c r="K63" s="391" t="str">
        <f ca="1">IFERROR(VLOOKUP($C63,COM_N_2012!$B$61:$AJ$122,MATCH(VLOOKUP("*"&amp;$AW63,$A$10:$J$11,$J$9,FALSE)&amp;K$7,COM_N_2012!$B$58:$AJ$58,0),FALSE),"")</f>
        <v/>
      </c>
      <c r="L63" s="391" t="str">
        <f ca="1">IFERROR(VLOOKUP($C63,COM_N_2012!$B$61:$AJ$122,MATCH(VLOOKUP("*"&amp;$AW63,$A$10:$J$11,$J$9,FALSE)&amp;L$7,COM_N_2012!$B$58:$AJ$58,0),FALSE),"")</f>
        <v/>
      </c>
      <c r="M63" s="391" t="str">
        <f ca="1">IFERROR(VLOOKUP($C63,COM_N_2012!$B$61:$AJ$122,MATCH(VLOOKUP("*"&amp;$AW63,$A$10:$J$11,$J$9,FALSE)&amp;M$7,COM_N_2012!$B$58:$AJ$58,0),FALSE),"")</f>
        <v/>
      </c>
      <c r="N63" s="391" t="str">
        <f ca="1">IFERROR(VLOOKUP($C63,COM_N_2012!$B$61:$AJ$122,MATCH(VLOOKUP("*"&amp;$AW63,$A$10:$J$11,$J$9,FALSE)&amp;N$7,COM_N_2012!$B$58:$AJ$58,0),FALSE),"")</f>
        <v/>
      </c>
      <c r="O63" s="391" t="str">
        <f ca="1">IF($A63="*","",IFERROR(VLOOKUP($C63,COM_N_2017!$B$61:$AJ$122,MATCH(VLOOKUP("*"&amp;$AW63,$A$10:$J$11,$J$9,FALSE)&amp;O$7,COM_N_2017!$B$58:$AJ$58,0),FALSE),""))</f>
        <v/>
      </c>
      <c r="P63" s="391" t="str">
        <f ca="1">IFERROR(VLOOKUP($C63,COM_N_2012!$B$61:$AJ$122,MATCH(VLOOKUP("*"&amp;$AW63,$A$10:$J$11,$J$9,FALSE)&amp;P$7,COM_N_2012!$B$58:$AJ$58,0),FALSE),"")</f>
        <v/>
      </c>
      <c r="Q63" s="391" t="str">
        <f ca="1">IFERROR(VLOOKUP($C63,COM_N_2012!$B$61:$AJ$122,MATCH(VLOOKUP("*"&amp;$AW63,$A$10:$J$11,$J$9,FALSE)&amp;Q$7,COM_N_2012!$B$58:$AJ$58,0),FALSE),"")</f>
        <v/>
      </c>
      <c r="R63" s="391" t="str">
        <f ca="1">IF($A63="*","",IFERROR(VLOOKUP($C63,COM_N_2017!$B$61:$AJ$122,MATCH(VLOOKUP("*"&amp;$AW63,$A$10:$J$11,$J$9,FALSE)&amp;R$7,COM_N_2017!$B$58:$AJ$58,0),FALSE),""))</f>
        <v/>
      </c>
      <c r="S63" s="391" t="str">
        <f ca="1">IFERROR(VLOOKUP($C63,COM_N_2012!$B$61:$AJ$122,MATCH(VLOOKUP("*"&amp;$AW63,$A$10:$J$11,$J$9,FALSE)&amp;S$7,COM_N_2012!$B$58:$AJ$58,0),FALSE),"")</f>
        <v/>
      </c>
      <c r="T63" s="391" t="str">
        <f ca="1">IFERROR(VLOOKUP($C63,COM_N_2012!$B$61:$AJ$122,MATCH(VLOOKUP("*"&amp;$AW63,$A$10:$J$11,$J$9,FALSE)&amp;T$7,COM_N_2012!$B$58:$AJ$58,0),FALSE),"")</f>
        <v/>
      </c>
      <c r="U63" s="391" t="str">
        <f ca="1">IFERROR(VLOOKUP($C63,COM_N_2012!$B$61:$AJ$122,MATCH(VLOOKUP("*"&amp;$AW63,$A$10:$J$11,$J$9,FALSE)&amp;U$7,COM_N_2012!$B$58:$AJ$58,0),FALSE),"")</f>
        <v/>
      </c>
      <c r="V63" s="391" t="str">
        <f ca="1">IFERROR(VLOOKUP($C63,COM_N_2012!$B$61:$AJ$122,MATCH(VLOOKUP("*"&amp;$AW63,$A$10:$J$11,$J$9,FALSE)&amp;V$7,COM_N_2012!$B$58:$AJ$58,0),FALSE),"")</f>
        <v/>
      </c>
      <c r="W63" s="391" t="str">
        <f ca="1">IF($A63="*","",IFERROR(VLOOKUP($C63,COM_N_2017!$B$61:$AJ$122,MATCH(VLOOKUP("*"&amp;$AW63,$A$10:$J$11,$J$9,FALSE)&amp;W$7,COM_N_2017!$B$58:$AJ$58,0),FALSE),""))</f>
        <v/>
      </c>
      <c r="X63" s="391" t="str">
        <f ca="1">IFERROR(VLOOKUP($C63,COM_N_2012!$B$61:$AJ$122,MATCH(VLOOKUP("*"&amp;$AW63,$A$10:$J$11,$J$9,FALSE)&amp;X$7,COM_N_2012!$B$58:$AJ$58,0),FALSE),"")</f>
        <v/>
      </c>
      <c r="Y63" s="391" t="str">
        <f ca="1">IFERROR(VLOOKUP($C63,COM_N_2012!$B$61:$AJ$122,MATCH(VLOOKUP("*"&amp;$AW63,$A$10:$J$11,$J$9,FALSE)&amp;Y$7,COM_N_2012!$B$58:$AJ$58,0),FALSE),"")</f>
        <v/>
      </c>
      <c r="Z63" s="391" t="str">
        <f ca="1">IFERROR(VLOOKUP($C63,COM_N_2012!$B$61:$AJ$122,MATCH(VLOOKUP("*"&amp;$AW63,$A$10:$J$11,$J$9,FALSE)&amp;Z$7,COM_N_2012!$B$58:$AJ$58,0),FALSE),"")</f>
        <v/>
      </c>
      <c r="AA63" s="391" t="str">
        <f ca="1">IFERROR(VLOOKUP($C63,COM_N_2012!$B$61:$AJ$122,MATCH(VLOOKUP("*"&amp;$AW63,$A$10:$J$11,$J$9,FALSE)&amp;AA$7,COM_N_2012!$B$58:$AJ$58,0),FALSE),"")</f>
        <v/>
      </c>
      <c r="AB63" s="391" t="str">
        <f ca="1">IF($A63="*","",IFERROR(VLOOKUP($C63,COM_N_2017!$B$61:$AJ$122,MATCH(VLOOKUP("*"&amp;$AW63,$A$10:$J$11,$J$9,FALSE)&amp;AB$7,COM_N_2017!$B$58:$AJ$58,0),FALSE),""))</f>
        <v/>
      </c>
      <c r="AC63" s="391" t="str">
        <f ca="1">IFERROR(VLOOKUP($C63,COM_N_2012!$B$61:$AJ$122,MATCH(VLOOKUP("*"&amp;$AW63,$A$10:$J$11,$J$9,FALSE)&amp;AC$7,COM_N_2012!$B$58:$AJ$58,0),FALSE),"")</f>
        <v/>
      </c>
      <c r="AD63" s="391" t="str">
        <f ca="1">IFERROR(VLOOKUP($C63,COM_N_2012!$B$61:$AJ$122,MATCH(VLOOKUP("*"&amp;$AW63,$A$10:$J$11,$J$9,FALSE)&amp;AD$7,COM_N_2012!$B$58:$AJ$58,0),FALSE),"")</f>
        <v/>
      </c>
      <c r="AE63" s="391" t="str">
        <f ca="1">IFERROR(VLOOKUP($C63,COM_N_2012!$B$61:$AJ$122,MATCH(VLOOKUP("*"&amp;$AW63,$A$10:$J$11,$J$9,FALSE)&amp;AE$7,COM_N_2012!$B$58:$AJ$58,0),FALSE),"")</f>
        <v/>
      </c>
      <c r="AF63" s="391" t="str">
        <f ca="1">IFERROR(VLOOKUP($C63,COM_N_2012!$B$61:$AJ$122,MATCH(VLOOKUP("*"&amp;$AW63,$A$10:$J$11,$J$9,FALSE)&amp;AF$7,COM_N_2012!$B$58:$AJ$58,0),FALSE),"")</f>
        <v/>
      </c>
      <c r="AG63" s="391" t="str">
        <f ca="1">IF($A63="*","",IFERROR(VLOOKUP($C63,COM_N_2017!$B$61:$AJ$122,MATCH(VLOOKUP("*"&amp;$AW63,$A$10:$J$11,$J$9,FALSE)&amp;AG$7,COM_N_2017!$B$58:$AJ$58,0),FALSE),""))</f>
        <v/>
      </c>
      <c r="AH63" s="391" t="str">
        <f ca="1">IFERROR(VLOOKUP($C63,COM_N_2012!$B$61:$AJ$122,MATCH(VLOOKUP("*"&amp;$AW63,$A$10:$J$11,$J$9,FALSE)&amp;AH$7,COM_N_2012!$B$58:$AJ$58,0),FALSE),"")</f>
        <v/>
      </c>
      <c r="AI63" s="391" t="str">
        <f ca="1">IFERROR(VLOOKUP($C63,COM_N_2012!$B$61:$AJ$122,MATCH(VLOOKUP("*"&amp;$AW63,$A$10:$J$11,$J$9,FALSE)&amp;AI$7,COM_N_2012!$B$58:$AJ$58,0),FALSE),"")</f>
        <v/>
      </c>
      <c r="AJ63" s="391" t="str">
        <f ca="1">IFERROR(VLOOKUP($C63,COM_N_2012!$B$61:$AJ$122,MATCH(VLOOKUP("*"&amp;$AW63,$A$10:$J$11,$J$9,FALSE)&amp;AJ$7,COM_N_2012!$B$58:$AJ$58,0),FALSE),"")</f>
        <v/>
      </c>
      <c r="AK63" s="391" t="str">
        <f ca="1">IFERROR(VLOOKUP($C63,COM_N_2012!$B$61:$AJ$122,MATCH(VLOOKUP("*"&amp;$AW63,$A$10:$J$11,$J$9,FALSE)&amp;AK$7,COM_N_2012!$B$58:$AJ$58,0),FALSE),"")</f>
        <v/>
      </c>
      <c r="AL63" s="391" t="str">
        <f ca="1">IF($A63="*","",IFERROR(VLOOKUP($C63,COM_N_2017!$B$61:$AJ$122,MATCH(VLOOKUP("*"&amp;$AW63,$A$10:$J$11,$J$9,FALSE)&amp;AL$7,COM_N_2017!$B$58:$AJ$58,0),FALSE),""))</f>
        <v/>
      </c>
      <c r="AM63" s="391" t="str">
        <f ca="1">IF($A63="*","",IFERROR(VLOOKUP($C63,COM_N_2017!$B$61:$AJ$122,MATCH(VLOOKUP("*"&amp;$AW63,$A$10:$J$11,$J$9,FALSE)&amp;AM$7,COM_N_2017!$B$58:$AJ$58,0),FALSE),""))</f>
        <v/>
      </c>
      <c r="AN63" s="391" t="str">
        <f ca="1">IF($A63="*","",IFERROR(VLOOKUP($C63,COM_N_2017!$B$61:$AJ$122,MATCH(VLOOKUP("*"&amp;$AW63,$A$10:$J$11,$J$9,FALSE)&amp;AN$7,COM_N_2017!$B$58:$AJ$58,0),FALSE),""))</f>
        <v/>
      </c>
      <c r="AO63" s="391" t="str">
        <f ca="1">IFERROR(VLOOKUP($C63,COM_N_2012!$B$61:$AJ$122,MATCH(VLOOKUP("*"&amp;$AW63,$A$10:$J$11,$J$9,FALSE)&amp;AO$7,COM_N_2012!$B$58:$AJ$58,0),FALSE),"")</f>
        <v/>
      </c>
      <c r="AP63" s="391" t="str">
        <f ca="1">IFERROR(VLOOKUP($C63,COM_N_2012!$B$61:$AJ$122,MATCH(VLOOKUP("*"&amp;$AW63,$A$10:$J$11,$J$9,FALSE)&amp;AP$7,COM_N_2012!$B$58:$AJ$58,0),FALSE),"")</f>
        <v/>
      </c>
      <c r="AQ63" s="391" t="str">
        <f ca="1">IFERROR(VLOOKUP($C63,COM_N_2012!$B$61:$AJ$122,MATCH(VLOOKUP("*"&amp;$AW63,$A$10:$J$11,$J$9,FALSE)&amp;AQ$7,COM_N_2012!$B$58:$AJ$58,0),FALSE),"")</f>
        <v/>
      </c>
      <c r="AR63" s="391" t="str">
        <f ca="1">IFERROR(VLOOKUP($C63,COM_N_2012!$B$61:$AJ$122,MATCH(VLOOKUP("*"&amp;$AW63,$A$10:$J$11,$J$9,FALSE)&amp;AR$7,COM_N_2012!$B$58:$AJ$58,0),FALSE),"")</f>
        <v/>
      </c>
      <c r="AS63" s="391" t="str">
        <f ca="1">IFERROR(VLOOKUP($C63,COM_N_2012!$B$61:$AJ$122,MATCH(VLOOKUP("*"&amp;$AW63,$A$10:$J$11,$J$9,FALSE)&amp;AS$7,COM_N_2012!$B$58:$AJ$58,0),FALSE),"")</f>
        <v/>
      </c>
      <c r="AT63" s="391" t="str">
        <f ca="1">IFERROR(VLOOKUP($C63,COM_N_2012!$B$61:$AJ$122,MATCH(VLOOKUP("*"&amp;$AW63,$A$10:$J$11,$J$9,FALSE)&amp;AT$7,COM_N_2012!$B$58:$AJ$58,0),FALSE),"")</f>
        <v/>
      </c>
      <c r="AU63" s="391" t="str">
        <f ca="1">IFERROR(VLOOKUP($C63,COM_N_2012!$B$61:$AJ$122,MATCH(VLOOKUP("*"&amp;$AW63,$A$10:$J$11,$J$9,FALSE)&amp;AU$7,COM_N_2012!$B$58:$AJ$58,0),FALSE),"")</f>
        <v/>
      </c>
      <c r="AV63" s="391" t="str">
        <f ca="1">IFERROR(VLOOKUP($C63,COM_N_2012!$B$61:$AJ$122,MATCH(VLOOKUP("*"&amp;$AW63,$A$10:$J$11,$J$9,FALSE)&amp;AV$7,COM_N_2012!$B$58:$AJ$58,0),FALSE),"")</f>
        <v/>
      </c>
      <c r="AW63" s="304">
        <f>IF(AX62=COM_N_2012!$AK$121,AW62+1,AW62)</f>
        <v>1</v>
      </c>
      <c r="AX63" s="304">
        <f t="shared" si="13"/>
        <v>51</v>
      </c>
    </row>
    <row r="64" spans="1:50">
      <c r="A64" s="304" t="str">
        <f ca="1">IF(LEFT(OFFSET(COM_N_2012!$A$60,AX64,0),2)="\I","*","")</f>
        <v>*</v>
      </c>
      <c r="B64" s="369" t="str">
        <f t="shared" ca="1" si="11"/>
        <v/>
      </c>
      <c r="C64" s="369" t="str">
        <f ca="1">IF($A64="*","",OFFSET(COM_N_2012!$B$60,AX64,0))</f>
        <v/>
      </c>
      <c r="D64" s="369" t="str">
        <f t="shared" ca="1" si="12"/>
        <v/>
      </c>
      <c r="E64" s="369" t="str">
        <f t="shared" ca="1" si="14"/>
        <v/>
      </c>
      <c r="F64" s="370" t="str">
        <f t="shared" ca="1" si="9"/>
        <v/>
      </c>
      <c r="G64" s="370" t="str">
        <f t="shared" ca="1" si="9"/>
        <v/>
      </c>
      <c r="H64" s="370" t="str">
        <f t="shared" ca="1" si="15"/>
        <v/>
      </c>
      <c r="I64" s="370" t="str">
        <f t="shared" ca="1" si="15"/>
        <v/>
      </c>
      <c r="J64" s="391" t="str">
        <f ca="1">IFERROR(VLOOKUP($C64,COM_N_2012!$B$61:$AJ$122,MATCH(VLOOKUP("*"&amp;$AW64,$A$10:$J$11,$J$9,FALSE)&amp;J$7,COM_N_2012!$B$58:$AJ$58,0),FALSE),"")</f>
        <v/>
      </c>
      <c r="K64" s="391" t="str">
        <f ca="1">IFERROR(VLOOKUP($C64,COM_N_2012!$B$61:$AJ$122,MATCH(VLOOKUP("*"&amp;$AW64,$A$10:$J$11,$J$9,FALSE)&amp;K$7,COM_N_2012!$B$58:$AJ$58,0),FALSE),"")</f>
        <v/>
      </c>
      <c r="L64" s="391" t="str">
        <f ca="1">IFERROR(VLOOKUP($C64,COM_N_2012!$B$61:$AJ$122,MATCH(VLOOKUP("*"&amp;$AW64,$A$10:$J$11,$J$9,FALSE)&amp;L$7,COM_N_2012!$B$58:$AJ$58,0),FALSE),"")</f>
        <v/>
      </c>
      <c r="M64" s="391" t="str">
        <f ca="1">IFERROR(VLOOKUP($C64,COM_N_2012!$B$61:$AJ$122,MATCH(VLOOKUP("*"&amp;$AW64,$A$10:$J$11,$J$9,FALSE)&amp;M$7,COM_N_2012!$B$58:$AJ$58,0),FALSE),"")</f>
        <v/>
      </c>
      <c r="N64" s="391" t="str">
        <f ca="1">IFERROR(VLOOKUP($C64,COM_N_2012!$B$61:$AJ$122,MATCH(VLOOKUP("*"&amp;$AW64,$A$10:$J$11,$J$9,FALSE)&amp;N$7,COM_N_2012!$B$58:$AJ$58,0),FALSE),"")</f>
        <v/>
      </c>
      <c r="O64" s="391" t="str">
        <f ca="1">IF($A64="*","",IFERROR(VLOOKUP($C64,COM_N_2017!$B$61:$AJ$122,MATCH(VLOOKUP("*"&amp;$AW64,$A$10:$J$11,$J$9,FALSE)&amp;O$7,COM_N_2017!$B$58:$AJ$58,0),FALSE),""))</f>
        <v/>
      </c>
      <c r="P64" s="391" t="str">
        <f ca="1">IFERROR(VLOOKUP($C64,COM_N_2012!$B$61:$AJ$122,MATCH(VLOOKUP("*"&amp;$AW64,$A$10:$J$11,$J$9,FALSE)&amp;P$7,COM_N_2012!$B$58:$AJ$58,0),FALSE),"")</f>
        <v/>
      </c>
      <c r="Q64" s="391" t="str">
        <f ca="1">IFERROR(VLOOKUP($C64,COM_N_2012!$B$61:$AJ$122,MATCH(VLOOKUP("*"&amp;$AW64,$A$10:$J$11,$J$9,FALSE)&amp;Q$7,COM_N_2012!$B$58:$AJ$58,0),FALSE),"")</f>
        <v/>
      </c>
      <c r="R64" s="391" t="str">
        <f ca="1">IF($A64="*","",IFERROR(VLOOKUP($C64,COM_N_2017!$B$61:$AJ$122,MATCH(VLOOKUP("*"&amp;$AW64,$A$10:$J$11,$J$9,FALSE)&amp;R$7,COM_N_2017!$B$58:$AJ$58,0),FALSE),""))</f>
        <v/>
      </c>
      <c r="S64" s="391" t="str">
        <f ca="1">IFERROR(VLOOKUP($C64,COM_N_2012!$B$61:$AJ$122,MATCH(VLOOKUP("*"&amp;$AW64,$A$10:$J$11,$J$9,FALSE)&amp;S$7,COM_N_2012!$B$58:$AJ$58,0),FALSE),"")</f>
        <v/>
      </c>
      <c r="T64" s="391" t="str">
        <f ca="1">IFERROR(VLOOKUP($C64,COM_N_2012!$B$61:$AJ$122,MATCH(VLOOKUP("*"&amp;$AW64,$A$10:$J$11,$J$9,FALSE)&amp;T$7,COM_N_2012!$B$58:$AJ$58,0),FALSE),"")</f>
        <v/>
      </c>
      <c r="U64" s="391" t="str">
        <f ca="1">IFERROR(VLOOKUP($C64,COM_N_2012!$B$61:$AJ$122,MATCH(VLOOKUP("*"&amp;$AW64,$A$10:$J$11,$J$9,FALSE)&amp;U$7,COM_N_2012!$B$58:$AJ$58,0),FALSE),"")</f>
        <v/>
      </c>
      <c r="V64" s="391" t="str">
        <f ca="1">IFERROR(VLOOKUP($C64,COM_N_2012!$B$61:$AJ$122,MATCH(VLOOKUP("*"&amp;$AW64,$A$10:$J$11,$J$9,FALSE)&amp;V$7,COM_N_2012!$B$58:$AJ$58,0),FALSE),"")</f>
        <v/>
      </c>
      <c r="W64" s="391" t="str">
        <f ca="1">IF($A64="*","",IFERROR(VLOOKUP($C64,COM_N_2017!$B$61:$AJ$122,MATCH(VLOOKUP("*"&amp;$AW64,$A$10:$J$11,$J$9,FALSE)&amp;W$7,COM_N_2017!$B$58:$AJ$58,0),FALSE),""))</f>
        <v/>
      </c>
      <c r="X64" s="391" t="str">
        <f ca="1">IFERROR(VLOOKUP($C64,COM_N_2012!$B$61:$AJ$122,MATCH(VLOOKUP("*"&amp;$AW64,$A$10:$J$11,$J$9,FALSE)&amp;X$7,COM_N_2012!$B$58:$AJ$58,0),FALSE),"")</f>
        <v/>
      </c>
      <c r="Y64" s="391" t="str">
        <f ca="1">IFERROR(VLOOKUP($C64,COM_N_2012!$B$61:$AJ$122,MATCH(VLOOKUP("*"&amp;$AW64,$A$10:$J$11,$J$9,FALSE)&amp;Y$7,COM_N_2012!$B$58:$AJ$58,0),FALSE),"")</f>
        <v/>
      </c>
      <c r="Z64" s="391" t="str">
        <f ca="1">IFERROR(VLOOKUP($C64,COM_N_2012!$B$61:$AJ$122,MATCH(VLOOKUP("*"&amp;$AW64,$A$10:$J$11,$J$9,FALSE)&amp;Z$7,COM_N_2012!$B$58:$AJ$58,0),FALSE),"")</f>
        <v/>
      </c>
      <c r="AA64" s="391" t="str">
        <f ca="1">IFERROR(VLOOKUP($C64,COM_N_2012!$B$61:$AJ$122,MATCH(VLOOKUP("*"&amp;$AW64,$A$10:$J$11,$J$9,FALSE)&amp;AA$7,COM_N_2012!$B$58:$AJ$58,0),FALSE),"")</f>
        <v/>
      </c>
      <c r="AB64" s="391" t="str">
        <f ca="1">IF($A64="*","",IFERROR(VLOOKUP($C64,COM_N_2017!$B$61:$AJ$122,MATCH(VLOOKUP("*"&amp;$AW64,$A$10:$J$11,$J$9,FALSE)&amp;AB$7,COM_N_2017!$B$58:$AJ$58,0),FALSE),""))</f>
        <v/>
      </c>
      <c r="AC64" s="391" t="str">
        <f ca="1">IFERROR(VLOOKUP($C64,COM_N_2012!$B$61:$AJ$122,MATCH(VLOOKUP("*"&amp;$AW64,$A$10:$J$11,$J$9,FALSE)&amp;AC$7,COM_N_2012!$B$58:$AJ$58,0),FALSE),"")</f>
        <v/>
      </c>
      <c r="AD64" s="391" t="str">
        <f ca="1">IFERROR(VLOOKUP($C64,COM_N_2012!$B$61:$AJ$122,MATCH(VLOOKUP("*"&amp;$AW64,$A$10:$J$11,$J$9,FALSE)&amp;AD$7,COM_N_2012!$B$58:$AJ$58,0),FALSE),"")</f>
        <v/>
      </c>
      <c r="AE64" s="391" t="str">
        <f ca="1">IFERROR(VLOOKUP($C64,COM_N_2012!$B$61:$AJ$122,MATCH(VLOOKUP("*"&amp;$AW64,$A$10:$J$11,$J$9,FALSE)&amp;AE$7,COM_N_2012!$B$58:$AJ$58,0),FALSE),"")</f>
        <v/>
      </c>
      <c r="AF64" s="391" t="str">
        <f ca="1">IFERROR(VLOOKUP($C64,COM_N_2012!$B$61:$AJ$122,MATCH(VLOOKUP("*"&amp;$AW64,$A$10:$J$11,$J$9,FALSE)&amp;AF$7,COM_N_2012!$B$58:$AJ$58,0),FALSE),"")</f>
        <v/>
      </c>
      <c r="AG64" s="391" t="str">
        <f ca="1">IF($A64="*","",IFERROR(VLOOKUP($C64,COM_N_2017!$B$61:$AJ$122,MATCH(VLOOKUP("*"&amp;$AW64,$A$10:$J$11,$J$9,FALSE)&amp;AG$7,COM_N_2017!$B$58:$AJ$58,0),FALSE),""))</f>
        <v/>
      </c>
      <c r="AH64" s="391" t="str">
        <f ca="1">IFERROR(VLOOKUP($C64,COM_N_2012!$B$61:$AJ$122,MATCH(VLOOKUP("*"&amp;$AW64,$A$10:$J$11,$J$9,FALSE)&amp;AH$7,COM_N_2012!$B$58:$AJ$58,0),FALSE),"")</f>
        <v/>
      </c>
      <c r="AI64" s="391" t="str">
        <f ca="1">IFERROR(VLOOKUP($C64,COM_N_2012!$B$61:$AJ$122,MATCH(VLOOKUP("*"&amp;$AW64,$A$10:$J$11,$J$9,FALSE)&amp;AI$7,COM_N_2012!$B$58:$AJ$58,0),FALSE),"")</f>
        <v/>
      </c>
      <c r="AJ64" s="391" t="str">
        <f ca="1">IFERROR(VLOOKUP($C64,COM_N_2012!$B$61:$AJ$122,MATCH(VLOOKUP("*"&amp;$AW64,$A$10:$J$11,$J$9,FALSE)&amp;AJ$7,COM_N_2012!$B$58:$AJ$58,0),FALSE),"")</f>
        <v/>
      </c>
      <c r="AK64" s="391" t="str">
        <f ca="1">IFERROR(VLOOKUP($C64,COM_N_2012!$B$61:$AJ$122,MATCH(VLOOKUP("*"&amp;$AW64,$A$10:$J$11,$J$9,FALSE)&amp;AK$7,COM_N_2012!$B$58:$AJ$58,0),FALSE),"")</f>
        <v/>
      </c>
      <c r="AL64" s="391" t="str">
        <f ca="1">IF($A64="*","",IFERROR(VLOOKUP($C64,COM_N_2017!$B$61:$AJ$122,MATCH(VLOOKUP("*"&amp;$AW64,$A$10:$J$11,$J$9,FALSE)&amp;AL$7,COM_N_2017!$B$58:$AJ$58,0),FALSE),""))</f>
        <v/>
      </c>
      <c r="AM64" s="391" t="str">
        <f ca="1">IF($A64="*","",IFERROR(VLOOKUP($C64,COM_N_2017!$B$61:$AJ$122,MATCH(VLOOKUP("*"&amp;$AW64,$A$10:$J$11,$J$9,FALSE)&amp;AM$7,COM_N_2017!$B$58:$AJ$58,0),FALSE),""))</f>
        <v/>
      </c>
      <c r="AN64" s="391" t="str">
        <f ca="1">IF($A64="*","",IFERROR(VLOOKUP($C64,COM_N_2017!$B$61:$AJ$122,MATCH(VLOOKUP("*"&amp;$AW64,$A$10:$J$11,$J$9,FALSE)&amp;AN$7,COM_N_2017!$B$58:$AJ$58,0),FALSE),""))</f>
        <v/>
      </c>
      <c r="AO64" s="391" t="str">
        <f ca="1">IFERROR(VLOOKUP($C64,COM_N_2012!$B$61:$AJ$122,MATCH(VLOOKUP("*"&amp;$AW64,$A$10:$J$11,$J$9,FALSE)&amp;AO$7,COM_N_2012!$B$58:$AJ$58,0),FALSE),"")</f>
        <v/>
      </c>
      <c r="AP64" s="391" t="str">
        <f ca="1">IFERROR(VLOOKUP($C64,COM_N_2012!$B$61:$AJ$122,MATCH(VLOOKUP("*"&amp;$AW64,$A$10:$J$11,$J$9,FALSE)&amp;AP$7,COM_N_2012!$B$58:$AJ$58,0),FALSE),"")</f>
        <v/>
      </c>
      <c r="AQ64" s="391" t="str">
        <f ca="1">IFERROR(VLOOKUP($C64,COM_N_2012!$B$61:$AJ$122,MATCH(VLOOKUP("*"&amp;$AW64,$A$10:$J$11,$J$9,FALSE)&amp;AQ$7,COM_N_2012!$B$58:$AJ$58,0),FALSE),"")</f>
        <v/>
      </c>
      <c r="AR64" s="391" t="str">
        <f ca="1">IFERROR(VLOOKUP($C64,COM_N_2012!$B$61:$AJ$122,MATCH(VLOOKUP("*"&amp;$AW64,$A$10:$J$11,$J$9,FALSE)&amp;AR$7,COM_N_2012!$B$58:$AJ$58,0),FALSE),"")</f>
        <v/>
      </c>
      <c r="AS64" s="391" t="str">
        <f ca="1">IFERROR(VLOOKUP($C64,COM_N_2012!$B$61:$AJ$122,MATCH(VLOOKUP("*"&amp;$AW64,$A$10:$J$11,$J$9,FALSE)&amp;AS$7,COM_N_2012!$B$58:$AJ$58,0),FALSE),"")</f>
        <v/>
      </c>
      <c r="AT64" s="391" t="str">
        <f ca="1">IFERROR(VLOOKUP($C64,COM_N_2012!$B$61:$AJ$122,MATCH(VLOOKUP("*"&amp;$AW64,$A$10:$J$11,$J$9,FALSE)&amp;AT$7,COM_N_2012!$B$58:$AJ$58,0),FALSE),"")</f>
        <v/>
      </c>
      <c r="AU64" s="391" t="str">
        <f ca="1">IFERROR(VLOOKUP($C64,COM_N_2012!$B$61:$AJ$122,MATCH(VLOOKUP("*"&amp;$AW64,$A$10:$J$11,$J$9,FALSE)&amp;AU$7,COM_N_2012!$B$58:$AJ$58,0),FALSE),"")</f>
        <v/>
      </c>
      <c r="AV64" s="391" t="str">
        <f ca="1">IFERROR(VLOOKUP($C64,COM_N_2012!$B$61:$AJ$122,MATCH(VLOOKUP("*"&amp;$AW64,$A$10:$J$11,$J$9,FALSE)&amp;AV$7,COM_N_2012!$B$58:$AJ$58,0),FALSE),"")</f>
        <v/>
      </c>
      <c r="AW64" s="304">
        <f>IF(AX63=COM_N_2012!$AK$121,AW63+1,AW63)</f>
        <v>1</v>
      </c>
      <c r="AX64" s="304">
        <f t="shared" si="13"/>
        <v>52</v>
      </c>
    </row>
    <row r="65" spans="1:50">
      <c r="A65" s="304" t="str">
        <f ca="1">IF(LEFT(OFFSET(COM_N_2012!$A$60,AX65,0),2)="\I","*","")</f>
        <v/>
      </c>
      <c r="B65" s="369" t="str">
        <f t="shared" ca="1" si="11"/>
        <v>FLO_MRKPRD</v>
      </c>
      <c r="C65" s="369" t="str">
        <f ca="1">IF($A65="*","",OFFSET(COM_N_2012!$B$60,AX65,0))</f>
        <v>CNOCOA-E</v>
      </c>
      <c r="D65" s="369" t="str">
        <f t="shared" ca="1" si="12"/>
        <v>CNO</v>
      </c>
      <c r="E65" s="369" t="str">
        <f t="shared" ca="1" si="14"/>
        <v>-</v>
      </c>
      <c r="F65" s="370" t="str">
        <f t="shared" ca="1" si="9"/>
        <v>-</v>
      </c>
      <c r="G65" s="370" t="str">
        <f t="shared" ca="1" si="9"/>
        <v>ANNUAL</v>
      </c>
      <c r="H65" s="370" t="str">
        <f t="shared" ca="1" si="15"/>
        <v>UP</v>
      </c>
      <c r="I65" s="370">
        <f t="shared" ca="1" si="15"/>
        <v>0</v>
      </c>
      <c r="J65" s="391">
        <f ca="1">IFERROR(VLOOKUP($C65,COM_N_2012!$B$61:$AJ$122,MATCH(VLOOKUP("*"&amp;$AW65,$A$10:$J$11,$J$9,FALSE)&amp;J$7,COM_N_2012!$B$58:$AJ$58,0),FALSE),"")</f>
        <v>0</v>
      </c>
      <c r="K65" s="391" t="str">
        <f ca="1">IFERROR(VLOOKUP($C65,COM_N_2012!$B$61:$AJ$122,MATCH(VLOOKUP("*"&amp;$AW65,$A$10:$J$11,$J$9,FALSE)&amp;K$7,COM_N_2012!$B$58:$AJ$58,0),FALSE),"")</f>
        <v/>
      </c>
      <c r="L65" s="391" t="str">
        <f ca="1">IFERROR(VLOOKUP($C65,COM_N_2012!$B$61:$AJ$122,MATCH(VLOOKUP("*"&amp;$AW65,$A$10:$J$11,$J$9,FALSE)&amp;L$7,COM_N_2012!$B$58:$AJ$58,0),FALSE),"")</f>
        <v/>
      </c>
      <c r="M65" s="391">
        <f ca="1">IFERROR(VLOOKUP($C65,COM_N_2012!$B$61:$AJ$122,MATCH(VLOOKUP("*"&amp;$AW65,$A$10:$J$11,$J$9,FALSE)&amp;M$7,COM_N_2012!$B$58:$AJ$58,0),FALSE),"")</f>
        <v>0</v>
      </c>
      <c r="N65" s="391" t="str">
        <f ca="1">IFERROR(VLOOKUP($C65,COM_N_2012!$B$61:$AJ$122,MATCH(VLOOKUP("*"&amp;$AW65,$A$10:$J$11,$J$9,FALSE)&amp;N$7,COM_N_2012!$B$58:$AJ$58,0),FALSE),"")</f>
        <v/>
      </c>
      <c r="O65" s="391">
        <f ca="1">IF($A65="*","",IFERROR(VLOOKUP($C65,COM_N_2017!$B$61:$AJ$122,MATCH(VLOOKUP("*"&amp;$AW65,$A$10:$J$11,$J$9,FALSE)&amp;O$7,COM_N_2017!$B$58:$AJ$58,0),FALSE),""))</f>
        <v>0</v>
      </c>
      <c r="P65" s="391" t="str">
        <f ca="1">IFERROR(VLOOKUP($C65,COM_N_2012!$B$61:$AJ$122,MATCH(VLOOKUP("*"&amp;$AW65,$A$10:$J$11,$J$9,FALSE)&amp;P$7,COM_N_2012!$B$58:$AJ$58,0),FALSE),"")</f>
        <v/>
      </c>
      <c r="Q65" s="391" t="str">
        <f ca="1">IFERROR(VLOOKUP($C65,COM_N_2012!$B$61:$AJ$122,MATCH(VLOOKUP("*"&amp;$AW65,$A$10:$J$11,$J$9,FALSE)&amp;Q$7,COM_N_2012!$B$58:$AJ$58,0),FALSE),"")</f>
        <v/>
      </c>
      <c r="R65" s="391">
        <f ca="1">IF($A65="*","",IFERROR(VLOOKUP($C65,COM_N_2017!$B$61:$AJ$122,MATCH(VLOOKUP("*"&amp;$AW65,$A$10:$J$11,$J$9,FALSE)&amp;R$7,COM_N_2017!$B$58:$AJ$58,0),FALSE),""))</f>
        <v>0</v>
      </c>
      <c r="S65" s="391" t="str">
        <f ca="1">IFERROR(VLOOKUP($C65,COM_N_2012!$B$61:$AJ$122,MATCH(VLOOKUP("*"&amp;$AW65,$A$10:$J$11,$J$9,FALSE)&amp;S$7,COM_N_2012!$B$58:$AJ$58,0),FALSE),"")</f>
        <v/>
      </c>
      <c r="T65" s="391" t="str">
        <f ca="1">IFERROR(VLOOKUP($C65,COM_N_2012!$B$61:$AJ$122,MATCH(VLOOKUP("*"&amp;$AW65,$A$10:$J$11,$J$9,FALSE)&amp;T$7,COM_N_2012!$B$58:$AJ$58,0),FALSE),"")</f>
        <v/>
      </c>
      <c r="U65" s="391" t="str">
        <f ca="1">IFERROR(VLOOKUP($C65,COM_N_2012!$B$61:$AJ$122,MATCH(VLOOKUP("*"&amp;$AW65,$A$10:$J$11,$J$9,FALSE)&amp;U$7,COM_N_2012!$B$58:$AJ$58,0),FALSE),"")</f>
        <v/>
      </c>
      <c r="V65" s="391" t="str">
        <f ca="1">IFERROR(VLOOKUP($C65,COM_N_2012!$B$61:$AJ$122,MATCH(VLOOKUP("*"&amp;$AW65,$A$10:$J$11,$J$9,FALSE)&amp;V$7,COM_N_2012!$B$58:$AJ$58,0),FALSE),"")</f>
        <v/>
      </c>
      <c r="W65" s="391">
        <f ca="1">IF($A65="*","",IFERROR(VLOOKUP($C65,COM_N_2017!$B$61:$AJ$122,MATCH(VLOOKUP("*"&amp;$AW65,$A$10:$J$11,$J$9,FALSE)&amp;W$7,COM_N_2017!$B$58:$AJ$58,0),FALSE),""))</f>
        <v>0</v>
      </c>
      <c r="X65" s="391" t="str">
        <f ca="1">IFERROR(VLOOKUP($C65,COM_N_2012!$B$61:$AJ$122,MATCH(VLOOKUP("*"&amp;$AW65,$A$10:$J$11,$J$9,FALSE)&amp;X$7,COM_N_2012!$B$58:$AJ$58,0),FALSE),"")</f>
        <v/>
      </c>
      <c r="Y65" s="391" t="str">
        <f ca="1">IFERROR(VLOOKUP($C65,COM_N_2012!$B$61:$AJ$122,MATCH(VLOOKUP("*"&amp;$AW65,$A$10:$J$11,$J$9,FALSE)&amp;Y$7,COM_N_2012!$B$58:$AJ$58,0),FALSE),"")</f>
        <v/>
      </c>
      <c r="Z65" s="391" t="str">
        <f ca="1">IFERROR(VLOOKUP($C65,COM_N_2012!$B$61:$AJ$122,MATCH(VLOOKUP("*"&amp;$AW65,$A$10:$J$11,$J$9,FALSE)&amp;Z$7,COM_N_2012!$B$58:$AJ$58,0),FALSE),"")</f>
        <v/>
      </c>
      <c r="AA65" s="391" t="str">
        <f ca="1">IFERROR(VLOOKUP($C65,COM_N_2012!$B$61:$AJ$122,MATCH(VLOOKUP("*"&amp;$AW65,$A$10:$J$11,$J$9,FALSE)&amp;AA$7,COM_N_2012!$B$58:$AJ$58,0),FALSE),"")</f>
        <v/>
      </c>
      <c r="AB65" s="391">
        <f ca="1">IF($A65="*","",IFERROR(VLOOKUP($C65,COM_N_2017!$B$61:$AJ$122,MATCH(VLOOKUP("*"&amp;$AW65,$A$10:$J$11,$J$9,FALSE)&amp;AB$7,COM_N_2017!$B$58:$AJ$58,0),FALSE),""))</f>
        <v>0</v>
      </c>
      <c r="AC65" s="391" t="str">
        <f ca="1">IFERROR(VLOOKUP($C65,COM_N_2012!$B$61:$AJ$122,MATCH(VLOOKUP("*"&amp;$AW65,$A$10:$J$11,$J$9,FALSE)&amp;AC$7,COM_N_2012!$B$58:$AJ$58,0),FALSE),"")</f>
        <v/>
      </c>
      <c r="AD65" s="391" t="str">
        <f ca="1">IFERROR(VLOOKUP($C65,COM_N_2012!$B$61:$AJ$122,MATCH(VLOOKUP("*"&amp;$AW65,$A$10:$J$11,$J$9,FALSE)&amp;AD$7,COM_N_2012!$B$58:$AJ$58,0),FALSE),"")</f>
        <v/>
      </c>
      <c r="AE65" s="391" t="str">
        <f ca="1">IFERROR(VLOOKUP($C65,COM_N_2012!$B$61:$AJ$122,MATCH(VLOOKUP("*"&amp;$AW65,$A$10:$J$11,$J$9,FALSE)&amp;AE$7,COM_N_2012!$B$58:$AJ$58,0),FALSE),"")</f>
        <v/>
      </c>
      <c r="AF65" s="391" t="str">
        <f ca="1">IFERROR(VLOOKUP($C65,COM_N_2012!$B$61:$AJ$122,MATCH(VLOOKUP("*"&amp;$AW65,$A$10:$J$11,$J$9,FALSE)&amp;AF$7,COM_N_2012!$B$58:$AJ$58,0),FALSE),"")</f>
        <v/>
      </c>
      <c r="AG65" s="391">
        <f ca="1">IF($A65="*","",IFERROR(VLOOKUP($C65,COM_N_2017!$B$61:$AJ$122,MATCH(VLOOKUP("*"&amp;$AW65,$A$10:$J$11,$J$9,FALSE)&amp;AG$7,COM_N_2017!$B$58:$AJ$58,0),FALSE),""))</f>
        <v>0</v>
      </c>
      <c r="AH65" s="391" t="str">
        <f ca="1">IFERROR(VLOOKUP($C65,COM_N_2012!$B$61:$AJ$122,MATCH(VLOOKUP("*"&amp;$AW65,$A$10:$J$11,$J$9,FALSE)&amp;AH$7,COM_N_2012!$B$58:$AJ$58,0),FALSE),"")</f>
        <v/>
      </c>
      <c r="AI65" s="391" t="str">
        <f ca="1">IFERROR(VLOOKUP($C65,COM_N_2012!$B$61:$AJ$122,MATCH(VLOOKUP("*"&amp;$AW65,$A$10:$J$11,$J$9,FALSE)&amp;AI$7,COM_N_2012!$B$58:$AJ$58,0),FALSE),"")</f>
        <v/>
      </c>
      <c r="AJ65" s="391" t="str">
        <f ca="1">IFERROR(VLOOKUP($C65,COM_N_2012!$B$61:$AJ$122,MATCH(VLOOKUP("*"&amp;$AW65,$A$10:$J$11,$J$9,FALSE)&amp;AJ$7,COM_N_2012!$B$58:$AJ$58,0),FALSE),"")</f>
        <v/>
      </c>
      <c r="AK65" s="391" t="str">
        <f ca="1">IFERROR(VLOOKUP($C65,COM_N_2012!$B$61:$AJ$122,MATCH(VLOOKUP("*"&amp;$AW65,$A$10:$J$11,$J$9,FALSE)&amp;AK$7,COM_N_2012!$B$58:$AJ$58,0),FALSE),"")</f>
        <v/>
      </c>
      <c r="AL65" s="391">
        <f ca="1">IF($A65="*","",IFERROR(VLOOKUP($C65,COM_N_2017!$B$61:$AJ$122,MATCH(VLOOKUP("*"&amp;$AW65,$A$10:$J$11,$J$9,FALSE)&amp;AL$7,COM_N_2017!$B$58:$AJ$58,0),FALSE),""))</f>
        <v>0</v>
      </c>
      <c r="AM65" s="391">
        <f ca="1">IF($A65="*","",IFERROR(VLOOKUP($C65,COM_N_2017!$B$61:$AJ$122,MATCH(VLOOKUP("*"&amp;$AW65,$A$10:$J$11,$J$9,FALSE)&amp;AM$7,COM_N_2017!$B$58:$AJ$58,0),FALSE),""))</f>
        <v>0</v>
      </c>
      <c r="AN65" s="391">
        <f ca="1">IF($A65="*","",IFERROR(VLOOKUP($C65,COM_N_2017!$B$61:$AJ$122,MATCH(VLOOKUP("*"&amp;$AW65,$A$10:$J$11,$J$9,FALSE)&amp;AN$7,COM_N_2017!$B$58:$AJ$58,0),FALSE),""))</f>
        <v>0</v>
      </c>
      <c r="AO65" s="391" t="str">
        <f ca="1">IFERROR(VLOOKUP($C65,COM_N_2012!$B$61:$AJ$122,MATCH(VLOOKUP("*"&amp;$AW65,$A$10:$J$11,$J$9,FALSE)&amp;AO$7,COM_N_2012!$B$58:$AJ$58,0),FALSE),"")</f>
        <v/>
      </c>
      <c r="AP65" s="391" t="str">
        <f ca="1">IFERROR(VLOOKUP($C65,COM_N_2012!$B$61:$AJ$122,MATCH(VLOOKUP("*"&amp;$AW65,$A$10:$J$11,$J$9,FALSE)&amp;AP$7,COM_N_2012!$B$58:$AJ$58,0),FALSE),"")</f>
        <v/>
      </c>
      <c r="AQ65" s="391" t="str">
        <f ca="1">IFERROR(VLOOKUP($C65,COM_N_2012!$B$61:$AJ$122,MATCH(VLOOKUP("*"&amp;$AW65,$A$10:$J$11,$J$9,FALSE)&amp;AQ$7,COM_N_2012!$B$58:$AJ$58,0),FALSE),"")</f>
        <v/>
      </c>
      <c r="AR65" s="391" t="str">
        <f ca="1">IFERROR(VLOOKUP($C65,COM_N_2012!$B$61:$AJ$122,MATCH(VLOOKUP("*"&amp;$AW65,$A$10:$J$11,$J$9,FALSE)&amp;AR$7,COM_N_2012!$B$58:$AJ$58,0),FALSE),"")</f>
        <v/>
      </c>
      <c r="AS65" s="391" t="str">
        <f ca="1">IFERROR(VLOOKUP($C65,COM_N_2012!$B$61:$AJ$122,MATCH(VLOOKUP("*"&amp;$AW65,$A$10:$J$11,$J$9,FALSE)&amp;AS$7,COM_N_2012!$B$58:$AJ$58,0),FALSE),"")</f>
        <v/>
      </c>
      <c r="AT65" s="391" t="str">
        <f ca="1">IFERROR(VLOOKUP($C65,COM_N_2012!$B$61:$AJ$122,MATCH(VLOOKUP("*"&amp;$AW65,$A$10:$J$11,$J$9,FALSE)&amp;AT$7,COM_N_2012!$B$58:$AJ$58,0),FALSE),"")</f>
        <v/>
      </c>
      <c r="AU65" s="391" t="str">
        <f ca="1">IFERROR(VLOOKUP($C65,COM_N_2012!$B$61:$AJ$122,MATCH(VLOOKUP("*"&amp;$AW65,$A$10:$J$11,$J$9,FALSE)&amp;AU$7,COM_N_2012!$B$58:$AJ$58,0),FALSE),"")</f>
        <v/>
      </c>
      <c r="AV65" s="391" t="str">
        <f ca="1">IFERROR(VLOOKUP($C65,COM_N_2012!$B$61:$AJ$122,MATCH(VLOOKUP("*"&amp;$AW65,$A$10:$J$11,$J$9,FALSE)&amp;AV$7,COM_N_2012!$B$58:$AJ$58,0),FALSE),"")</f>
        <v/>
      </c>
      <c r="AW65" s="304">
        <f>IF(AX64=COM_N_2012!$AK$121,AW64+1,AW64)</f>
        <v>1</v>
      </c>
      <c r="AX65" s="304">
        <f t="shared" si="13"/>
        <v>53</v>
      </c>
    </row>
    <row r="66" spans="1:50">
      <c r="A66" s="304" t="str">
        <f ca="1">IF(LEFT(OFFSET(COM_N_2012!$A$60,AX66,0),2)="\I","*","")</f>
        <v/>
      </c>
      <c r="B66" s="369" t="str">
        <f t="shared" ca="1" si="11"/>
        <v>FLO_MRKPRD</v>
      </c>
      <c r="C66" s="369" t="str">
        <f ca="1">IF($A66="*","",OFFSET(COM_N_2012!$B$60,AX66,0))</f>
        <v>CNOODS-E</v>
      </c>
      <c r="D66" s="369" t="str">
        <f t="shared" ca="1" si="12"/>
        <v>CNO</v>
      </c>
      <c r="E66" s="369" t="str">
        <f t="shared" ca="1" si="14"/>
        <v>-</v>
      </c>
      <c r="F66" s="370" t="str">
        <f t="shared" ca="1" si="9"/>
        <v>-</v>
      </c>
      <c r="G66" s="370" t="str">
        <f t="shared" ca="1" si="9"/>
        <v>ANNUAL</v>
      </c>
      <c r="H66" s="370" t="str">
        <f t="shared" ca="1" si="15"/>
        <v>UP</v>
      </c>
      <c r="I66" s="370">
        <f t="shared" ca="1" si="15"/>
        <v>0</v>
      </c>
      <c r="J66" s="391">
        <f ca="1">IFERROR(VLOOKUP($C66,COM_N_2012!$B$61:$AJ$122,MATCH(VLOOKUP("*"&amp;$AW66,$A$10:$J$11,$J$9,FALSE)&amp;J$7,COM_N_2012!$B$58:$AJ$58,0),FALSE),"")</f>
        <v>3.4031958996781693E-2</v>
      </c>
      <c r="K66" s="391" t="str">
        <f ca="1">IFERROR(VLOOKUP($C66,COM_N_2012!$B$61:$AJ$122,MATCH(VLOOKUP("*"&amp;$AW66,$A$10:$J$11,$J$9,FALSE)&amp;K$7,COM_N_2012!$B$58:$AJ$58,0),FALSE),"")</f>
        <v/>
      </c>
      <c r="L66" s="391" t="str">
        <f ca="1">IFERROR(VLOOKUP($C66,COM_N_2012!$B$61:$AJ$122,MATCH(VLOOKUP("*"&amp;$AW66,$A$10:$J$11,$J$9,FALSE)&amp;L$7,COM_N_2012!$B$58:$AJ$58,0),FALSE),"")</f>
        <v/>
      </c>
      <c r="M66" s="391">
        <f ca="1">IFERROR(VLOOKUP($C66,COM_N_2012!$B$61:$AJ$122,MATCH(VLOOKUP("*"&amp;$AW66,$A$10:$J$11,$J$9,FALSE)&amp;M$7,COM_N_2012!$B$58:$AJ$58,0),FALSE),"")</f>
        <v>3.4031958996781693E-2</v>
      </c>
      <c r="N66" s="391" t="str">
        <f ca="1">IFERROR(VLOOKUP($C66,COM_N_2012!$B$61:$AJ$122,MATCH(VLOOKUP("*"&amp;$AW66,$A$10:$J$11,$J$9,FALSE)&amp;N$7,COM_N_2012!$B$58:$AJ$58,0),FALSE),"")</f>
        <v/>
      </c>
      <c r="O66" s="391">
        <f ca="1">IF($A66="*","",IFERROR(VLOOKUP($C66,COM_N_2017!$B$61:$AJ$122,MATCH(VLOOKUP("*"&amp;$AW66,$A$10:$J$11,$J$9,FALSE)&amp;O$7,COM_N_2017!$B$58:$AJ$58,0),FALSE),""))</f>
        <v>8.0155986977309329E-2</v>
      </c>
      <c r="P66" s="391" t="str">
        <f ca="1">IFERROR(VLOOKUP($C66,COM_N_2012!$B$61:$AJ$122,MATCH(VLOOKUP("*"&amp;$AW66,$A$10:$J$11,$J$9,FALSE)&amp;P$7,COM_N_2012!$B$58:$AJ$58,0),FALSE),"")</f>
        <v/>
      </c>
      <c r="Q66" s="391" t="str">
        <f ca="1">IFERROR(VLOOKUP($C66,COM_N_2012!$B$61:$AJ$122,MATCH(VLOOKUP("*"&amp;$AW66,$A$10:$J$11,$J$9,FALSE)&amp;Q$7,COM_N_2012!$B$58:$AJ$58,0),FALSE),"")</f>
        <v/>
      </c>
      <c r="R66" s="391">
        <f ca="1">IF($A66="*","",IFERROR(VLOOKUP($C66,COM_N_2017!$B$61:$AJ$122,MATCH(VLOOKUP("*"&amp;$AW66,$A$10:$J$11,$J$9,FALSE)&amp;R$7,COM_N_2017!$B$58:$AJ$58,0),FALSE),""))</f>
        <v>0.11015598697730933</v>
      </c>
      <c r="S66" s="391" t="str">
        <f ca="1">IFERROR(VLOOKUP($C66,COM_N_2012!$B$61:$AJ$122,MATCH(VLOOKUP("*"&amp;$AW66,$A$10:$J$11,$J$9,FALSE)&amp;S$7,COM_N_2012!$B$58:$AJ$58,0),FALSE),"")</f>
        <v/>
      </c>
      <c r="T66" s="391" t="str">
        <f ca="1">IFERROR(VLOOKUP($C66,COM_N_2012!$B$61:$AJ$122,MATCH(VLOOKUP("*"&amp;$AW66,$A$10:$J$11,$J$9,FALSE)&amp;T$7,COM_N_2012!$B$58:$AJ$58,0),FALSE),"")</f>
        <v/>
      </c>
      <c r="U66" s="391" t="str">
        <f ca="1">IFERROR(VLOOKUP($C66,COM_N_2012!$B$61:$AJ$122,MATCH(VLOOKUP("*"&amp;$AW66,$A$10:$J$11,$J$9,FALSE)&amp;U$7,COM_N_2012!$B$58:$AJ$58,0),FALSE),"")</f>
        <v/>
      </c>
      <c r="V66" s="391" t="str">
        <f ca="1">IFERROR(VLOOKUP($C66,COM_N_2012!$B$61:$AJ$122,MATCH(VLOOKUP("*"&amp;$AW66,$A$10:$J$11,$J$9,FALSE)&amp;V$7,COM_N_2012!$B$58:$AJ$58,0),FALSE),"")</f>
        <v/>
      </c>
      <c r="W66" s="391">
        <f ca="1">IF($A66="*","",IFERROR(VLOOKUP($C66,COM_N_2017!$B$61:$AJ$122,MATCH(VLOOKUP("*"&amp;$AW66,$A$10:$J$11,$J$9,FALSE)&amp;W$7,COM_N_2017!$B$58:$AJ$58,0),FALSE),""))</f>
        <v>0.18015598697730933</v>
      </c>
      <c r="X66" s="391" t="str">
        <f ca="1">IFERROR(VLOOKUP($C66,COM_N_2012!$B$61:$AJ$122,MATCH(VLOOKUP("*"&amp;$AW66,$A$10:$J$11,$J$9,FALSE)&amp;X$7,COM_N_2012!$B$58:$AJ$58,0),FALSE),"")</f>
        <v/>
      </c>
      <c r="Y66" s="391" t="str">
        <f ca="1">IFERROR(VLOOKUP($C66,COM_N_2012!$B$61:$AJ$122,MATCH(VLOOKUP("*"&amp;$AW66,$A$10:$J$11,$J$9,FALSE)&amp;Y$7,COM_N_2012!$B$58:$AJ$58,0),FALSE),"")</f>
        <v/>
      </c>
      <c r="Z66" s="391" t="str">
        <f ca="1">IFERROR(VLOOKUP($C66,COM_N_2012!$B$61:$AJ$122,MATCH(VLOOKUP("*"&amp;$AW66,$A$10:$J$11,$J$9,FALSE)&amp;Z$7,COM_N_2012!$B$58:$AJ$58,0),FALSE),"")</f>
        <v/>
      </c>
      <c r="AA66" s="391" t="str">
        <f ca="1">IFERROR(VLOOKUP($C66,COM_N_2012!$B$61:$AJ$122,MATCH(VLOOKUP("*"&amp;$AW66,$A$10:$J$11,$J$9,FALSE)&amp;AA$7,COM_N_2012!$B$58:$AJ$58,0),FALSE),"")</f>
        <v/>
      </c>
      <c r="AB66" s="391">
        <f ca="1">IF($A66="*","",IFERROR(VLOOKUP($C66,COM_N_2017!$B$61:$AJ$122,MATCH(VLOOKUP("*"&amp;$AW66,$A$10:$J$11,$J$9,FALSE)&amp;AB$7,COM_N_2017!$B$58:$AJ$58,0),FALSE),""))</f>
        <v>0.38015598697730935</v>
      </c>
      <c r="AC66" s="391" t="str">
        <f ca="1">IFERROR(VLOOKUP($C66,COM_N_2012!$B$61:$AJ$122,MATCH(VLOOKUP("*"&amp;$AW66,$A$10:$J$11,$J$9,FALSE)&amp;AC$7,COM_N_2012!$B$58:$AJ$58,0),FALSE),"")</f>
        <v/>
      </c>
      <c r="AD66" s="391" t="str">
        <f ca="1">IFERROR(VLOOKUP($C66,COM_N_2012!$B$61:$AJ$122,MATCH(VLOOKUP("*"&amp;$AW66,$A$10:$J$11,$J$9,FALSE)&amp;AD$7,COM_N_2012!$B$58:$AJ$58,0),FALSE),"")</f>
        <v/>
      </c>
      <c r="AE66" s="391" t="str">
        <f ca="1">IFERROR(VLOOKUP($C66,COM_N_2012!$B$61:$AJ$122,MATCH(VLOOKUP("*"&amp;$AW66,$A$10:$J$11,$J$9,FALSE)&amp;AE$7,COM_N_2012!$B$58:$AJ$58,0),FALSE),"")</f>
        <v/>
      </c>
      <c r="AF66" s="391" t="str">
        <f ca="1">IFERROR(VLOOKUP($C66,COM_N_2012!$B$61:$AJ$122,MATCH(VLOOKUP("*"&amp;$AW66,$A$10:$J$11,$J$9,FALSE)&amp;AF$7,COM_N_2012!$B$58:$AJ$58,0),FALSE),"")</f>
        <v/>
      </c>
      <c r="AG66" s="391">
        <f ca="1">IF($A66="*","",IFERROR(VLOOKUP($C66,COM_N_2017!$B$61:$AJ$122,MATCH(VLOOKUP("*"&amp;$AW66,$A$10:$J$11,$J$9,FALSE)&amp;AG$7,COM_N_2017!$B$58:$AJ$58,0),FALSE),""))</f>
        <v>0.5801559869773093</v>
      </c>
      <c r="AH66" s="391" t="str">
        <f ca="1">IFERROR(VLOOKUP($C66,COM_N_2012!$B$61:$AJ$122,MATCH(VLOOKUP("*"&amp;$AW66,$A$10:$J$11,$J$9,FALSE)&amp;AH$7,COM_N_2012!$B$58:$AJ$58,0),FALSE),"")</f>
        <v/>
      </c>
      <c r="AI66" s="391" t="str">
        <f ca="1">IFERROR(VLOOKUP($C66,COM_N_2012!$B$61:$AJ$122,MATCH(VLOOKUP("*"&amp;$AW66,$A$10:$J$11,$J$9,FALSE)&amp;AI$7,COM_N_2012!$B$58:$AJ$58,0),FALSE),"")</f>
        <v/>
      </c>
      <c r="AJ66" s="391" t="str">
        <f ca="1">IFERROR(VLOOKUP($C66,COM_N_2012!$B$61:$AJ$122,MATCH(VLOOKUP("*"&amp;$AW66,$A$10:$J$11,$J$9,FALSE)&amp;AJ$7,COM_N_2012!$B$58:$AJ$58,0),FALSE),"")</f>
        <v/>
      </c>
      <c r="AK66" s="391" t="str">
        <f ca="1">IFERROR(VLOOKUP($C66,COM_N_2012!$B$61:$AJ$122,MATCH(VLOOKUP("*"&amp;$AW66,$A$10:$J$11,$J$9,FALSE)&amp;AK$7,COM_N_2012!$B$58:$AJ$58,0),FALSE),"")</f>
        <v/>
      </c>
      <c r="AL66" s="391">
        <f ca="1">IF($A66="*","",IFERROR(VLOOKUP($C66,COM_N_2017!$B$61:$AJ$122,MATCH(VLOOKUP("*"&amp;$AW66,$A$10:$J$11,$J$9,FALSE)&amp;AL$7,COM_N_2017!$B$58:$AJ$58,0),FALSE),""))</f>
        <v>0.78015598697730926</v>
      </c>
      <c r="AM66" s="391">
        <f ca="1">IF($A66="*","",IFERROR(VLOOKUP($C66,COM_N_2017!$B$61:$AJ$122,MATCH(VLOOKUP("*"&amp;$AW66,$A$10:$J$11,$J$9,FALSE)&amp;AM$7,COM_N_2017!$B$58:$AJ$58,0),FALSE),""))</f>
        <v>0.98015598697730932</v>
      </c>
      <c r="AN66" s="391">
        <f ca="1">IF($A66="*","",IFERROR(VLOOKUP($C66,COM_N_2017!$B$61:$AJ$122,MATCH(VLOOKUP("*"&amp;$AW66,$A$10:$J$11,$J$9,FALSE)&amp;AN$7,COM_N_2017!$B$58:$AJ$58,0),FALSE),""))</f>
        <v>1</v>
      </c>
      <c r="AO66" s="391" t="str">
        <f ca="1">IFERROR(VLOOKUP($C66,COM_N_2012!$B$61:$AJ$122,MATCH(VLOOKUP("*"&amp;$AW66,$A$10:$J$11,$J$9,FALSE)&amp;AO$7,COM_N_2012!$B$58:$AJ$58,0),FALSE),"")</f>
        <v/>
      </c>
      <c r="AP66" s="391" t="str">
        <f ca="1">IFERROR(VLOOKUP($C66,COM_N_2012!$B$61:$AJ$122,MATCH(VLOOKUP("*"&amp;$AW66,$A$10:$J$11,$J$9,FALSE)&amp;AP$7,COM_N_2012!$B$58:$AJ$58,0),FALSE),"")</f>
        <v/>
      </c>
      <c r="AQ66" s="391" t="str">
        <f ca="1">IFERROR(VLOOKUP($C66,COM_N_2012!$B$61:$AJ$122,MATCH(VLOOKUP("*"&amp;$AW66,$A$10:$J$11,$J$9,FALSE)&amp;AQ$7,COM_N_2012!$B$58:$AJ$58,0),FALSE),"")</f>
        <v/>
      </c>
      <c r="AR66" s="391" t="str">
        <f ca="1">IFERROR(VLOOKUP($C66,COM_N_2012!$B$61:$AJ$122,MATCH(VLOOKUP("*"&amp;$AW66,$A$10:$J$11,$J$9,FALSE)&amp;AR$7,COM_N_2012!$B$58:$AJ$58,0),FALSE),"")</f>
        <v/>
      </c>
      <c r="AS66" s="391" t="str">
        <f ca="1">IFERROR(VLOOKUP($C66,COM_N_2012!$B$61:$AJ$122,MATCH(VLOOKUP("*"&amp;$AW66,$A$10:$J$11,$J$9,FALSE)&amp;AS$7,COM_N_2012!$B$58:$AJ$58,0),FALSE),"")</f>
        <v/>
      </c>
      <c r="AT66" s="391" t="str">
        <f ca="1">IFERROR(VLOOKUP($C66,COM_N_2012!$B$61:$AJ$122,MATCH(VLOOKUP("*"&amp;$AW66,$A$10:$J$11,$J$9,FALSE)&amp;AT$7,COM_N_2012!$B$58:$AJ$58,0),FALSE),"")</f>
        <v/>
      </c>
      <c r="AU66" s="391" t="str">
        <f ca="1">IFERROR(VLOOKUP($C66,COM_N_2012!$B$61:$AJ$122,MATCH(VLOOKUP("*"&amp;$AW66,$A$10:$J$11,$J$9,FALSE)&amp;AU$7,COM_N_2012!$B$58:$AJ$58,0),FALSE),"")</f>
        <v/>
      </c>
      <c r="AV66" s="391" t="str">
        <f ca="1">IFERROR(VLOOKUP($C66,COM_N_2012!$B$61:$AJ$122,MATCH(VLOOKUP("*"&amp;$AW66,$A$10:$J$11,$J$9,FALSE)&amp;AV$7,COM_N_2012!$B$58:$AJ$58,0),FALSE),"")</f>
        <v/>
      </c>
      <c r="AW66" s="304">
        <f>IF(AX65=COM_N_2012!$AK$121,AW65+1,AW65)</f>
        <v>1</v>
      </c>
      <c r="AX66" s="304">
        <f t="shared" si="13"/>
        <v>54</v>
      </c>
    </row>
    <row r="67" spans="1:50">
      <c r="A67" s="304" t="str">
        <f ca="1">IF(LEFT(OFFSET(COM_N_2012!$A$60,AX67,0),2)="\I","*","")</f>
        <v/>
      </c>
      <c r="B67" s="369" t="str">
        <f t="shared" ca="1" si="11"/>
        <v>FLO_MRKPRD</v>
      </c>
      <c r="C67" s="369" t="str">
        <f ca="1">IF($A67="*","",OFFSET(COM_N_2012!$B$60,AX67,0))</f>
        <v>CNOELC-E</v>
      </c>
      <c r="D67" s="369" t="str">
        <f t="shared" ca="1" si="12"/>
        <v>CNO</v>
      </c>
      <c r="E67" s="369" t="str">
        <f t="shared" ca="1" si="14"/>
        <v>-</v>
      </c>
      <c r="F67" s="370" t="str">
        <f t="shared" ca="1" si="9"/>
        <v>-</v>
      </c>
      <c r="G67" s="370" t="str">
        <f t="shared" ca="1" si="9"/>
        <v>ANNUAL</v>
      </c>
      <c r="H67" s="370" t="str">
        <f t="shared" ca="1" si="15"/>
        <v>UP</v>
      </c>
      <c r="I67" s="370">
        <f t="shared" ca="1" si="15"/>
        <v>0</v>
      </c>
      <c r="J67" s="391">
        <f ca="1">IFERROR(VLOOKUP($C67,COM_N_2012!$B$61:$AJ$122,MATCH(VLOOKUP("*"&amp;$AW67,$A$10:$J$11,$J$9,FALSE)&amp;J$7,COM_N_2012!$B$58:$AJ$58,0),FALSE),"")</f>
        <v>0.97329195885848907</v>
      </c>
      <c r="K67" s="391" t="str">
        <f ca="1">IFERROR(VLOOKUP($C67,COM_N_2012!$B$61:$AJ$122,MATCH(VLOOKUP("*"&amp;$AW67,$A$10:$J$11,$J$9,FALSE)&amp;K$7,COM_N_2012!$B$58:$AJ$58,0),FALSE),"")</f>
        <v/>
      </c>
      <c r="L67" s="391" t="str">
        <f ca="1">IFERROR(VLOOKUP($C67,COM_N_2012!$B$61:$AJ$122,MATCH(VLOOKUP("*"&amp;$AW67,$A$10:$J$11,$J$9,FALSE)&amp;L$7,COM_N_2012!$B$58:$AJ$58,0),FALSE),"")</f>
        <v/>
      </c>
      <c r="M67" s="391">
        <f ca="1">IFERROR(VLOOKUP($C67,COM_N_2012!$B$61:$AJ$122,MATCH(VLOOKUP("*"&amp;$AW67,$A$10:$J$11,$J$9,FALSE)&amp;M$7,COM_N_2012!$B$58:$AJ$58,0),FALSE),"")</f>
        <v>0.97329195885848907</v>
      </c>
      <c r="N67" s="391" t="str">
        <f ca="1">IFERROR(VLOOKUP($C67,COM_N_2012!$B$61:$AJ$122,MATCH(VLOOKUP("*"&amp;$AW67,$A$10:$J$11,$J$9,FALSE)&amp;N$7,COM_N_2012!$B$58:$AJ$58,0),FALSE),"")</f>
        <v/>
      </c>
      <c r="O67" s="391">
        <f ca="1">IF($A67="*","",IFERROR(VLOOKUP($C67,COM_N_2017!$B$61:$AJ$122,MATCH(VLOOKUP("*"&amp;$AW67,$A$10:$J$11,$J$9,FALSE)&amp;O$7,COM_N_2017!$B$58:$AJ$58,0),FALSE),""))</f>
        <v>0.91599197105171759</v>
      </c>
      <c r="P67" s="391" t="str">
        <f ca="1">IFERROR(VLOOKUP($C67,COM_N_2012!$B$61:$AJ$122,MATCH(VLOOKUP("*"&amp;$AW67,$A$10:$J$11,$J$9,FALSE)&amp;P$7,COM_N_2012!$B$58:$AJ$58,0),FALSE),"")</f>
        <v/>
      </c>
      <c r="Q67" s="391" t="str">
        <f ca="1">IFERROR(VLOOKUP($C67,COM_N_2012!$B$61:$AJ$122,MATCH(VLOOKUP("*"&amp;$AW67,$A$10:$J$11,$J$9,FALSE)&amp;Q$7,COM_N_2012!$B$58:$AJ$58,0),FALSE),"")</f>
        <v/>
      </c>
      <c r="R67" s="391">
        <f ca="1">IF($A67="*","",IFERROR(VLOOKUP($C67,COM_N_2017!$B$61:$AJ$122,MATCH(VLOOKUP("*"&amp;$AW67,$A$10:$J$11,$J$9,FALSE)&amp;R$7,COM_N_2017!$B$58:$AJ$58,0),FALSE),""))</f>
        <v>0.94599197105171762</v>
      </c>
      <c r="S67" s="391" t="str">
        <f ca="1">IFERROR(VLOOKUP($C67,COM_N_2012!$B$61:$AJ$122,MATCH(VLOOKUP("*"&amp;$AW67,$A$10:$J$11,$J$9,FALSE)&amp;S$7,COM_N_2012!$B$58:$AJ$58,0),FALSE),"")</f>
        <v/>
      </c>
      <c r="T67" s="391" t="str">
        <f ca="1">IFERROR(VLOOKUP($C67,COM_N_2012!$B$61:$AJ$122,MATCH(VLOOKUP("*"&amp;$AW67,$A$10:$J$11,$J$9,FALSE)&amp;T$7,COM_N_2012!$B$58:$AJ$58,0),FALSE),"")</f>
        <v/>
      </c>
      <c r="U67" s="391" t="str">
        <f ca="1">IFERROR(VLOOKUP($C67,COM_N_2012!$B$61:$AJ$122,MATCH(VLOOKUP("*"&amp;$AW67,$A$10:$J$11,$J$9,FALSE)&amp;U$7,COM_N_2012!$B$58:$AJ$58,0),FALSE),"")</f>
        <v/>
      </c>
      <c r="V67" s="391" t="str">
        <f ca="1">IFERROR(VLOOKUP($C67,COM_N_2012!$B$61:$AJ$122,MATCH(VLOOKUP("*"&amp;$AW67,$A$10:$J$11,$J$9,FALSE)&amp;V$7,COM_N_2012!$B$58:$AJ$58,0),FALSE),"")</f>
        <v/>
      </c>
      <c r="W67" s="391">
        <f ca="1">IF($A67="*","",IFERROR(VLOOKUP($C67,COM_N_2017!$B$61:$AJ$122,MATCH(VLOOKUP("*"&amp;$AW67,$A$10:$J$11,$J$9,FALSE)&amp;W$7,COM_N_2017!$B$58:$AJ$58,0),FALSE),""))</f>
        <v>1</v>
      </c>
      <c r="X67" s="391" t="str">
        <f ca="1">IFERROR(VLOOKUP($C67,COM_N_2012!$B$61:$AJ$122,MATCH(VLOOKUP("*"&amp;$AW67,$A$10:$J$11,$J$9,FALSE)&amp;X$7,COM_N_2012!$B$58:$AJ$58,0),FALSE),"")</f>
        <v/>
      </c>
      <c r="Y67" s="391" t="str">
        <f ca="1">IFERROR(VLOOKUP($C67,COM_N_2012!$B$61:$AJ$122,MATCH(VLOOKUP("*"&amp;$AW67,$A$10:$J$11,$J$9,FALSE)&amp;Y$7,COM_N_2012!$B$58:$AJ$58,0),FALSE),"")</f>
        <v/>
      </c>
      <c r="Z67" s="391" t="str">
        <f ca="1">IFERROR(VLOOKUP($C67,COM_N_2012!$B$61:$AJ$122,MATCH(VLOOKUP("*"&amp;$AW67,$A$10:$J$11,$J$9,FALSE)&amp;Z$7,COM_N_2012!$B$58:$AJ$58,0),FALSE),"")</f>
        <v/>
      </c>
      <c r="AA67" s="391" t="str">
        <f ca="1">IFERROR(VLOOKUP($C67,COM_N_2012!$B$61:$AJ$122,MATCH(VLOOKUP("*"&amp;$AW67,$A$10:$J$11,$J$9,FALSE)&amp;AA$7,COM_N_2012!$B$58:$AJ$58,0),FALSE),"")</f>
        <v/>
      </c>
      <c r="AB67" s="391">
        <f ca="1">IF($A67="*","",IFERROR(VLOOKUP($C67,COM_N_2017!$B$61:$AJ$122,MATCH(VLOOKUP("*"&amp;$AW67,$A$10:$J$11,$J$9,FALSE)&amp;AB$7,COM_N_2017!$B$58:$AJ$58,0),FALSE),""))</f>
        <v>1</v>
      </c>
      <c r="AC67" s="391" t="str">
        <f ca="1">IFERROR(VLOOKUP($C67,COM_N_2012!$B$61:$AJ$122,MATCH(VLOOKUP("*"&amp;$AW67,$A$10:$J$11,$J$9,FALSE)&amp;AC$7,COM_N_2012!$B$58:$AJ$58,0),FALSE),"")</f>
        <v/>
      </c>
      <c r="AD67" s="391" t="str">
        <f ca="1">IFERROR(VLOOKUP($C67,COM_N_2012!$B$61:$AJ$122,MATCH(VLOOKUP("*"&amp;$AW67,$A$10:$J$11,$J$9,FALSE)&amp;AD$7,COM_N_2012!$B$58:$AJ$58,0),FALSE),"")</f>
        <v/>
      </c>
      <c r="AE67" s="391" t="str">
        <f ca="1">IFERROR(VLOOKUP($C67,COM_N_2012!$B$61:$AJ$122,MATCH(VLOOKUP("*"&amp;$AW67,$A$10:$J$11,$J$9,FALSE)&amp;AE$7,COM_N_2012!$B$58:$AJ$58,0),FALSE),"")</f>
        <v/>
      </c>
      <c r="AF67" s="391" t="str">
        <f ca="1">IFERROR(VLOOKUP($C67,COM_N_2012!$B$61:$AJ$122,MATCH(VLOOKUP("*"&amp;$AW67,$A$10:$J$11,$J$9,FALSE)&amp;AF$7,COM_N_2012!$B$58:$AJ$58,0),FALSE),"")</f>
        <v/>
      </c>
      <c r="AG67" s="391">
        <f ca="1">IF($A67="*","",IFERROR(VLOOKUP($C67,COM_N_2017!$B$61:$AJ$122,MATCH(VLOOKUP("*"&amp;$AW67,$A$10:$J$11,$J$9,FALSE)&amp;AG$7,COM_N_2017!$B$58:$AJ$58,0),FALSE),""))</f>
        <v>1</v>
      </c>
      <c r="AH67" s="391" t="str">
        <f ca="1">IFERROR(VLOOKUP($C67,COM_N_2012!$B$61:$AJ$122,MATCH(VLOOKUP("*"&amp;$AW67,$A$10:$J$11,$J$9,FALSE)&amp;AH$7,COM_N_2012!$B$58:$AJ$58,0),FALSE),"")</f>
        <v/>
      </c>
      <c r="AI67" s="391" t="str">
        <f ca="1">IFERROR(VLOOKUP($C67,COM_N_2012!$B$61:$AJ$122,MATCH(VLOOKUP("*"&amp;$AW67,$A$10:$J$11,$J$9,FALSE)&amp;AI$7,COM_N_2012!$B$58:$AJ$58,0),FALSE),"")</f>
        <v/>
      </c>
      <c r="AJ67" s="391" t="str">
        <f ca="1">IFERROR(VLOOKUP($C67,COM_N_2012!$B$61:$AJ$122,MATCH(VLOOKUP("*"&amp;$AW67,$A$10:$J$11,$J$9,FALSE)&amp;AJ$7,COM_N_2012!$B$58:$AJ$58,0),FALSE),"")</f>
        <v/>
      </c>
      <c r="AK67" s="391" t="str">
        <f ca="1">IFERROR(VLOOKUP($C67,COM_N_2012!$B$61:$AJ$122,MATCH(VLOOKUP("*"&amp;$AW67,$A$10:$J$11,$J$9,FALSE)&amp;AK$7,COM_N_2012!$B$58:$AJ$58,0),FALSE),"")</f>
        <v/>
      </c>
      <c r="AL67" s="391">
        <f ca="1">IF($A67="*","",IFERROR(VLOOKUP($C67,COM_N_2017!$B$61:$AJ$122,MATCH(VLOOKUP("*"&amp;$AW67,$A$10:$J$11,$J$9,FALSE)&amp;AL$7,COM_N_2017!$B$58:$AJ$58,0),FALSE),""))</f>
        <v>1</v>
      </c>
      <c r="AM67" s="391">
        <f ca="1">IF($A67="*","",IFERROR(VLOOKUP($C67,COM_N_2017!$B$61:$AJ$122,MATCH(VLOOKUP("*"&amp;$AW67,$A$10:$J$11,$J$9,FALSE)&amp;AM$7,COM_N_2017!$B$58:$AJ$58,0),FALSE),""))</f>
        <v>1</v>
      </c>
      <c r="AN67" s="391">
        <f ca="1">IF($A67="*","",IFERROR(VLOOKUP($C67,COM_N_2017!$B$61:$AJ$122,MATCH(VLOOKUP("*"&amp;$AW67,$A$10:$J$11,$J$9,FALSE)&amp;AN$7,COM_N_2017!$B$58:$AJ$58,0),FALSE),""))</f>
        <v>1</v>
      </c>
      <c r="AO67" s="391" t="str">
        <f ca="1">IFERROR(VLOOKUP($C67,COM_N_2012!$B$61:$AJ$122,MATCH(VLOOKUP("*"&amp;$AW67,$A$10:$J$11,$J$9,FALSE)&amp;AO$7,COM_N_2012!$B$58:$AJ$58,0),FALSE),"")</f>
        <v/>
      </c>
      <c r="AP67" s="391" t="str">
        <f ca="1">IFERROR(VLOOKUP($C67,COM_N_2012!$B$61:$AJ$122,MATCH(VLOOKUP("*"&amp;$AW67,$A$10:$J$11,$J$9,FALSE)&amp;AP$7,COM_N_2012!$B$58:$AJ$58,0),FALSE),"")</f>
        <v/>
      </c>
      <c r="AQ67" s="391" t="str">
        <f ca="1">IFERROR(VLOOKUP($C67,COM_N_2012!$B$61:$AJ$122,MATCH(VLOOKUP("*"&amp;$AW67,$A$10:$J$11,$J$9,FALSE)&amp;AQ$7,COM_N_2012!$B$58:$AJ$58,0),FALSE),"")</f>
        <v/>
      </c>
      <c r="AR67" s="391" t="str">
        <f ca="1">IFERROR(VLOOKUP($C67,COM_N_2012!$B$61:$AJ$122,MATCH(VLOOKUP("*"&amp;$AW67,$A$10:$J$11,$J$9,FALSE)&amp;AR$7,COM_N_2012!$B$58:$AJ$58,0),FALSE),"")</f>
        <v/>
      </c>
      <c r="AS67" s="391" t="str">
        <f ca="1">IFERROR(VLOOKUP($C67,COM_N_2012!$B$61:$AJ$122,MATCH(VLOOKUP("*"&amp;$AW67,$A$10:$J$11,$J$9,FALSE)&amp;AS$7,COM_N_2012!$B$58:$AJ$58,0),FALSE),"")</f>
        <v/>
      </c>
      <c r="AT67" s="391" t="str">
        <f ca="1">IFERROR(VLOOKUP($C67,COM_N_2012!$B$61:$AJ$122,MATCH(VLOOKUP("*"&amp;$AW67,$A$10:$J$11,$J$9,FALSE)&amp;AT$7,COM_N_2012!$B$58:$AJ$58,0),FALSE),"")</f>
        <v/>
      </c>
      <c r="AU67" s="391" t="str">
        <f ca="1">IFERROR(VLOOKUP($C67,COM_N_2012!$B$61:$AJ$122,MATCH(VLOOKUP("*"&amp;$AW67,$A$10:$J$11,$J$9,FALSE)&amp;AU$7,COM_N_2012!$B$58:$AJ$58,0),FALSE),"")</f>
        <v/>
      </c>
      <c r="AV67" s="391" t="str">
        <f ca="1">IFERROR(VLOOKUP($C67,COM_N_2012!$B$61:$AJ$122,MATCH(VLOOKUP("*"&amp;$AW67,$A$10:$J$11,$J$9,FALSE)&amp;AV$7,COM_N_2012!$B$58:$AJ$58,0),FALSE),"")</f>
        <v/>
      </c>
      <c r="AW67" s="304">
        <f>IF(AX66=COM_N_2012!$AK$121,AW66+1,AW66)</f>
        <v>1</v>
      </c>
      <c r="AX67" s="304">
        <f t="shared" si="13"/>
        <v>55</v>
      </c>
    </row>
    <row r="68" spans="1:50">
      <c r="A68" s="304" t="str">
        <f ca="1">IF(LEFT(OFFSET(COM_N_2012!$A$60,AX68,0),2)="\I","*","")</f>
        <v/>
      </c>
      <c r="B68" s="369" t="str">
        <f t="shared" ca="1" si="11"/>
        <v>FLO_MRKPRD</v>
      </c>
      <c r="C68" s="369" t="str">
        <f ca="1">IF($A68="*","",OFFSET(COM_N_2012!$B$60,AX68,0))</f>
        <v>CNOGAS-E</v>
      </c>
      <c r="D68" s="369" t="str">
        <f t="shared" ca="1" si="12"/>
        <v>CNO</v>
      </c>
      <c r="E68" s="369" t="str">
        <f t="shared" ca="1" si="14"/>
        <v>-</v>
      </c>
      <c r="F68" s="370" t="str">
        <f t="shared" ca="1" si="9"/>
        <v>-</v>
      </c>
      <c r="G68" s="370" t="str">
        <f t="shared" ca="1" si="9"/>
        <v>ANNUAL</v>
      </c>
      <c r="H68" s="370" t="str">
        <f t="shared" ca="1" si="15"/>
        <v>UP</v>
      </c>
      <c r="I68" s="370">
        <f t="shared" ca="1" si="15"/>
        <v>0</v>
      </c>
      <c r="J68" s="391">
        <f ca="1">IFERROR(VLOOKUP($C68,COM_N_2012!$B$61:$AJ$122,MATCH(VLOOKUP("*"&amp;$AW68,$A$10:$J$11,$J$9,FALSE)&amp;J$7,COM_N_2012!$B$58:$AJ$58,0),FALSE),"")</f>
        <v>0</v>
      </c>
      <c r="K68" s="391" t="str">
        <f ca="1">IFERROR(VLOOKUP($C68,COM_N_2012!$B$61:$AJ$122,MATCH(VLOOKUP("*"&amp;$AW68,$A$10:$J$11,$J$9,FALSE)&amp;K$7,COM_N_2012!$B$58:$AJ$58,0),FALSE),"")</f>
        <v/>
      </c>
      <c r="L68" s="391" t="str">
        <f ca="1">IFERROR(VLOOKUP($C68,COM_N_2012!$B$61:$AJ$122,MATCH(VLOOKUP("*"&amp;$AW68,$A$10:$J$11,$J$9,FALSE)&amp;L$7,COM_N_2012!$B$58:$AJ$58,0),FALSE),"")</f>
        <v/>
      </c>
      <c r="M68" s="391">
        <f ca="1">IFERROR(VLOOKUP($C68,COM_N_2012!$B$61:$AJ$122,MATCH(VLOOKUP("*"&amp;$AW68,$A$10:$J$11,$J$9,FALSE)&amp;M$7,COM_N_2012!$B$58:$AJ$58,0),FALSE),"")</f>
        <v>0</v>
      </c>
      <c r="N68" s="391" t="str">
        <f ca="1">IFERROR(VLOOKUP($C68,COM_N_2012!$B$61:$AJ$122,MATCH(VLOOKUP("*"&amp;$AW68,$A$10:$J$11,$J$9,FALSE)&amp;N$7,COM_N_2012!$B$58:$AJ$58,0),FALSE),"")</f>
        <v/>
      </c>
      <c r="O68" s="391">
        <f ca="1">IF($A68="*","",IFERROR(VLOOKUP($C68,COM_N_2017!$B$61:$AJ$122,MATCH(VLOOKUP("*"&amp;$AW68,$A$10:$J$11,$J$9,FALSE)&amp;O$7,COM_N_2017!$B$58:$AJ$58,0),FALSE),""))</f>
        <v>0</v>
      </c>
      <c r="P68" s="391" t="str">
        <f ca="1">IFERROR(VLOOKUP($C68,COM_N_2012!$B$61:$AJ$122,MATCH(VLOOKUP("*"&amp;$AW68,$A$10:$J$11,$J$9,FALSE)&amp;P$7,COM_N_2012!$B$58:$AJ$58,0),FALSE),"")</f>
        <v/>
      </c>
      <c r="Q68" s="391" t="str">
        <f ca="1">IFERROR(VLOOKUP($C68,COM_N_2012!$B$61:$AJ$122,MATCH(VLOOKUP("*"&amp;$AW68,$A$10:$J$11,$J$9,FALSE)&amp;Q$7,COM_N_2012!$B$58:$AJ$58,0),FALSE),"")</f>
        <v/>
      </c>
      <c r="R68" s="391">
        <f ca="1">IF($A68="*","",IFERROR(VLOOKUP($C68,COM_N_2017!$B$61:$AJ$122,MATCH(VLOOKUP("*"&amp;$AW68,$A$10:$J$11,$J$9,FALSE)&amp;R$7,COM_N_2017!$B$58:$AJ$58,0),FALSE),""))</f>
        <v>0.03</v>
      </c>
      <c r="S68" s="391" t="str">
        <f ca="1">IFERROR(VLOOKUP($C68,COM_N_2012!$B$61:$AJ$122,MATCH(VLOOKUP("*"&amp;$AW68,$A$10:$J$11,$J$9,FALSE)&amp;S$7,COM_N_2012!$B$58:$AJ$58,0),FALSE),"")</f>
        <v/>
      </c>
      <c r="T68" s="391" t="str">
        <f ca="1">IFERROR(VLOOKUP($C68,COM_N_2012!$B$61:$AJ$122,MATCH(VLOOKUP("*"&amp;$AW68,$A$10:$J$11,$J$9,FALSE)&amp;T$7,COM_N_2012!$B$58:$AJ$58,0),FALSE),"")</f>
        <v/>
      </c>
      <c r="U68" s="391" t="str">
        <f ca="1">IFERROR(VLOOKUP($C68,COM_N_2012!$B$61:$AJ$122,MATCH(VLOOKUP("*"&amp;$AW68,$A$10:$J$11,$J$9,FALSE)&amp;U$7,COM_N_2012!$B$58:$AJ$58,0),FALSE),"")</f>
        <v/>
      </c>
      <c r="V68" s="391" t="str">
        <f ca="1">IFERROR(VLOOKUP($C68,COM_N_2012!$B$61:$AJ$122,MATCH(VLOOKUP("*"&amp;$AW68,$A$10:$J$11,$J$9,FALSE)&amp;V$7,COM_N_2012!$B$58:$AJ$58,0),FALSE),"")</f>
        <v/>
      </c>
      <c r="W68" s="391">
        <f ca="1">IF($A68="*","",IFERROR(VLOOKUP($C68,COM_N_2017!$B$61:$AJ$122,MATCH(VLOOKUP("*"&amp;$AW68,$A$10:$J$11,$J$9,FALSE)&amp;W$7,COM_N_2017!$B$58:$AJ$58,0),FALSE),""))</f>
        <v>0.1</v>
      </c>
      <c r="X68" s="391" t="str">
        <f ca="1">IFERROR(VLOOKUP($C68,COM_N_2012!$B$61:$AJ$122,MATCH(VLOOKUP("*"&amp;$AW68,$A$10:$J$11,$J$9,FALSE)&amp;X$7,COM_N_2012!$B$58:$AJ$58,0),FALSE),"")</f>
        <v/>
      </c>
      <c r="Y68" s="391" t="str">
        <f ca="1">IFERROR(VLOOKUP($C68,COM_N_2012!$B$61:$AJ$122,MATCH(VLOOKUP("*"&amp;$AW68,$A$10:$J$11,$J$9,FALSE)&amp;Y$7,COM_N_2012!$B$58:$AJ$58,0),FALSE),"")</f>
        <v/>
      </c>
      <c r="Z68" s="391" t="str">
        <f ca="1">IFERROR(VLOOKUP($C68,COM_N_2012!$B$61:$AJ$122,MATCH(VLOOKUP("*"&amp;$AW68,$A$10:$J$11,$J$9,FALSE)&amp;Z$7,COM_N_2012!$B$58:$AJ$58,0),FALSE),"")</f>
        <v/>
      </c>
      <c r="AA68" s="391" t="str">
        <f ca="1">IFERROR(VLOOKUP($C68,COM_N_2012!$B$61:$AJ$122,MATCH(VLOOKUP("*"&amp;$AW68,$A$10:$J$11,$J$9,FALSE)&amp;AA$7,COM_N_2012!$B$58:$AJ$58,0),FALSE),"")</f>
        <v/>
      </c>
      <c r="AB68" s="391">
        <f ca="1">IF($A68="*","",IFERROR(VLOOKUP($C68,COM_N_2017!$B$61:$AJ$122,MATCH(VLOOKUP("*"&amp;$AW68,$A$10:$J$11,$J$9,FALSE)&amp;AB$7,COM_N_2017!$B$58:$AJ$58,0),FALSE),""))</f>
        <v>0.3</v>
      </c>
      <c r="AC68" s="391" t="str">
        <f ca="1">IFERROR(VLOOKUP($C68,COM_N_2012!$B$61:$AJ$122,MATCH(VLOOKUP("*"&amp;$AW68,$A$10:$J$11,$J$9,FALSE)&amp;AC$7,COM_N_2012!$B$58:$AJ$58,0),FALSE),"")</f>
        <v/>
      </c>
      <c r="AD68" s="391" t="str">
        <f ca="1">IFERROR(VLOOKUP($C68,COM_N_2012!$B$61:$AJ$122,MATCH(VLOOKUP("*"&amp;$AW68,$A$10:$J$11,$J$9,FALSE)&amp;AD$7,COM_N_2012!$B$58:$AJ$58,0),FALSE),"")</f>
        <v/>
      </c>
      <c r="AE68" s="391" t="str">
        <f ca="1">IFERROR(VLOOKUP($C68,COM_N_2012!$B$61:$AJ$122,MATCH(VLOOKUP("*"&amp;$AW68,$A$10:$J$11,$J$9,FALSE)&amp;AE$7,COM_N_2012!$B$58:$AJ$58,0),FALSE),"")</f>
        <v/>
      </c>
      <c r="AF68" s="391" t="str">
        <f ca="1">IFERROR(VLOOKUP($C68,COM_N_2012!$B$61:$AJ$122,MATCH(VLOOKUP("*"&amp;$AW68,$A$10:$J$11,$J$9,FALSE)&amp;AF$7,COM_N_2012!$B$58:$AJ$58,0),FALSE),"")</f>
        <v/>
      </c>
      <c r="AG68" s="391">
        <f ca="1">IF($A68="*","",IFERROR(VLOOKUP($C68,COM_N_2017!$B$61:$AJ$122,MATCH(VLOOKUP("*"&amp;$AW68,$A$10:$J$11,$J$9,FALSE)&amp;AG$7,COM_N_2017!$B$58:$AJ$58,0),FALSE),""))</f>
        <v>0.5</v>
      </c>
      <c r="AH68" s="391" t="str">
        <f ca="1">IFERROR(VLOOKUP($C68,COM_N_2012!$B$61:$AJ$122,MATCH(VLOOKUP("*"&amp;$AW68,$A$10:$J$11,$J$9,FALSE)&amp;AH$7,COM_N_2012!$B$58:$AJ$58,0),FALSE),"")</f>
        <v/>
      </c>
      <c r="AI68" s="391" t="str">
        <f ca="1">IFERROR(VLOOKUP($C68,COM_N_2012!$B$61:$AJ$122,MATCH(VLOOKUP("*"&amp;$AW68,$A$10:$J$11,$J$9,FALSE)&amp;AI$7,COM_N_2012!$B$58:$AJ$58,0),FALSE),"")</f>
        <v/>
      </c>
      <c r="AJ68" s="391" t="str">
        <f ca="1">IFERROR(VLOOKUP($C68,COM_N_2012!$B$61:$AJ$122,MATCH(VLOOKUP("*"&amp;$AW68,$A$10:$J$11,$J$9,FALSE)&amp;AJ$7,COM_N_2012!$B$58:$AJ$58,0),FALSE),"")</f>
        <v/>
      </c>
      <c r="AK68" s="391" t="str">
        <f ca="1">IFERROR(VLOOKUP($C68,COM_N_2012!$B$61:$AJ$122,MATCH(VLOOKUP("*"&amp;$AW68,$A$10:$J$11,$J$9,FALSE)&amp;AK$7,COM_N_2012!$B$58:$AJ$58,0),FALSE),"")</f>
        <v/>
      </c>
      <c r="AL68" s="391">
        <f ca="1">IF($A68="*","",IFERROR(VLOOKUP($C68,COM_N_2017!$B$61:$AJ$122,MATCH(VLOOKUP("*"&amp;$AW68,$A$10:$J$11,$J$9,FALSE)&amp;AL$7,COM_N_2017!$B$58:$AJ$58,0),FALSE),""))</f>
        <v>0.7</v>
      </c>
      <c r="AM68" s="391">
        <f ca="1">IF($A68="*","",IFERROR(VLOOKUP($C68,COM_N_2017!$B$61:$AJ$122,MATCH(VLOOKUP("*"&amp;$AW68,$A$10:$J$11,$J$9,FALSE)&amp;AM$7,COM_N_2017!$B$58:$AJ$58,0),FALSE),""))</f>
        <v>0.9</v>
      </c>
      <c r="AN68" s="391">
        <f ca="1">IF($A68="*","",IFERROR(VLOOKUP($C68,COM_N_2017!$B$61:$AJ$122,MATCH(VLOOKUP("*"&amp;$AW68,$A$10:$J$11,$J$9,FALSE)&amp;AN$7,COM_N_2017!$B$58:$AJ$58,0),FALSE),""))</f>
        <v>1</v>
      </c>
      <c r="AO68" s="391" t="str">
        <f ca="1">IFERROR(VLOOKUP($C68,COM_N_2012!$B$61:$AJ$122,MATCH(VLOOKUP("*"&amp;$AW68,$A$10:$J$11,$J$9,FALSE)&amp;AO$7,COM_N_2012!$B$58:$AJ$58,0),FALSE),"")</f>
        <v/>
      </c>
      <c r="AP68" s="391" t="str">
        <f ca="1">IFERROR(VLOOKUP($C68,COM_N_2012!$B$61:$AJ$122,MATCH(VLOOKUP("*"&amp;$AW68,$A$10:$J$11,$J$9,FALSE)&amp;AP$7,COM_N_2012!$B$58:$AJ$58,0),FALSE),"")</f>
        <v/>
      </c>
      <c r="AQ68" s="391" t="str">
        <f ca="1">IFERROR(VLOOKUP($C68,COM_N_2012!$B$61:$AJ$122,MATCH(VLOOKUP("*"&amp;$AW68,$A$10:$J$11,$J$9,FALSE)&amp;AQ$7,COM_N_2012!$B$58:$AJ$58,0),FALSE),"")</f>
        <v/>
      </c>
      <c r="AR68" s="391" t="str">
        <f ca="1">IFERROR(VLOOKUP($C68,COM_N_2012!$B$61:$AJ$122,MATCH(VLOOKUP("*"&amp;$AW68,$A$10:$J$11,$J$9,FALSE)&amp;AR$7,COM_N_2012!$B$58:$AJ$58,0),FALSE),"")</f>
        <v/>
      </c>
      <c r="AS68" s="391" t="str">
        <f ca="1">IFERROR(VLOOKUP($C68,COM_N_2012!$B$61:$AJ$122,MATCH(VLOOKUP("*"&amp;$AW68,$A$10:$J$11,$J$9,FALSE)&amp;AS$7,COM_N_2012!$B$58:$AJ$58,0),FALSE),"")</f>
        <v/>
      </c>
      <c r="AT68" s="391" t="str">
        <f ca="1">IFERROR(VLOOKUP($C68,COM_N_2012!$B$61:$AJ$122,MATCH(VLOOKUP("*"&amp;$AW68,$A$10:$J$11,$J$9,FALSE)&amp;AT$7,COM_N_2012!$B$58:$AJ$58,0),FALSE),"")</f>
        <v/>
      </c>
      <c r="AU68" s="391" t="str">
        <f ca="1">IFERROR(VLOOKUP($C68,COM_N_2012!$B$61:$AJ$122,MATCH(VLOOKUP("*"&amp;$AW68,$A$10:$J$11,$J$9,FALSE)&amp;AU$7,COM_N_2012!$B$58:$AJ$58,0),FALSE),"")</f>
        <v/>
      </c>
      <c r="AV68" s="391" t="str">
        <f ca="1">IFERROR(VLOOKUP($C68,COM_N_2012!$B$61:$AJ$122,MATCH(VLOOKUP("*"&amp;$AW68,$A$10:$J$11,$J$9,FALSE)&amp;AV$7,COM_N_2012!$B$58:$AJ$58,0),FALSE),"")</f>
        <v/>
      </c>
      <c r="AW68" s="304">
        <f>IF(AX67=COM_N_2012!$AK$121,AW67+1,AW67)</f>
        <v>1</v>
      </c>
      <c r="AX68" s="304">
        <f t="shared" si="13"/>
        <v>56</v>
      </c>
    </row>
    <row r="69" spans="1:50">
      <c r="A69" s="304" t="str">
        <f ca="1">IF(LEFT(OFFSET(COM_N_2012!$A$60,AX69,0),2)="\I","*","")</f>
        <v/>
      </c>
      <c r="B69" s="369" t="str">
        <f t="shared" ca="1" si="11"/>
        <v>FLO_MRKPRD</v>
      </c>
      <c r="C69" s="369" t="str">
        <f ca="1">IF($A69="*","",OFFSET(COM_N_2012!$B$60,AX69,0))</f>
        <v>CNOOGS-E</v>
      </c>
      <c r="D69" s="369" t="str">
        <f t="shared" ca="1" si="12"/>
        <v>CNO</v>
      </c>
      <c r="E69" s="369" t="str">
        <f t="shared" ca="1" si="14"/>
        <v>-</v>
      </c>
      <c r="F69" s="370" t="str">
        <f t="shared" ca="1" si="9"/>
        <v>-</v>
      </c>
      <c r="G69" s="370" t="str">
        <f t="shared" ca="1" si="9"/>
        <v>ANNUAL</v>
      </c>
      <c r="H69" s="370" t="str">
        <f t="shared" ca="1" si="15"/>
        <v>UP</v>
      </c>
      <c r="I69" s="370">
        <f t="shared" ca="1" si="15"/>
        <v>0</v>
      </c>
      <c r="J69" s="391">
        <f ca="1">IFERROR(VLOOKUP($C69,COM_N_2012!$B$61:$AJ$122,MATCH(VLOOKUP("*"&amp;$AW69,$A$10:$J$11,$J$9,FALSE)&amp;J$7,COM_N_2012!$B$58:$AJ$58,0),FALSE),"")</f>
        <v>0</v>
      </c>
      <c r="K69" s="391" t="str">
        <f ca="1">IFERROR(VLOOKUP($C69,COM_N_2012!$B$61:$AJ$122,MATCH(VLOOKUP("*"&amp;$AW69,$A$10:$J$11,$J$9,FALSE)&amp;K$7,COM_N_2012!$B$58:$AJ$58,0),FALSE),"")</f>
        <v/>
      </c>
      <c r="L69" s="391" t="str">
        <f ca="1">IFERROR(VLOOKUP($C69,COM_N_2012!$B$61:$AJ$122,MATCH(VLOOKUP("*"&amp;$AW69,$A$10:$J$11,$J$9,FALSE)&amp;L$7,COM_N_2012!$B$58:$AJ$58,0),FALSE),"")</f>
        <v/>
      </c>
      <c r="M69" s="391">
        <f ca="1">IFERROR(VLOOKUP($C69,COM_N_2012!$B$61:$AJ$122,MATCH(VLOOKUP("*"&amp;$AW69,$A$10:$J$11,$J$9,FALSE)&amp;M$7,COM_N_2012!$B$58:$AJ$58,0),FALSE),"")</f>
        <v>0</v>
      </c>
      <c r="N69" s="391" t="str">
        <f ca="1">IFERROR(VLOOKUP($C69,COM_N_2012!$B$61:$AJ$122,MATCH(VLOOKUP("*"&amp;$AW69,$A$10:$J$11,$J$9,FALSE)&amp;N$7,COM_N_2012!$B$58:$AJ$58,0),FALSE),"")</f>
        <v/>
      </c>
      <c r="O69" s="391">
        <f ca="1">IF($A69="*","",IFERROR(VLOOKUP($C69,COM_N_2017!$B$61:$AJ$122,MATCH(VLOOKUP("*"&amp;$AW69,$A$10:$J$11,$J$9,FALSE)&amp;O$7,COM_N_2017!$B$58:$AJ$58,0),FALSE),""))</f>
        <v>0</v>
      </c>
      <c r="P69" s="391" t="str">
        <f ca="1">IFERROR(VLOOKUP($C69,COM_N_2012!$B$61:$AJ$122,MATCH(VLOOKUP("*"&amp;$AW69,$A$10:$J$11,$J$9,FALSE)&amp;P$7,COM_N_2012!$B$58:$AJ$58,0),FALSE),"")</f>
        <v/>
      </c>
      <c r="Q69" s="391" t="str">
        <f ca="1">IFERROR(VLOOKUP($C69,COM_N_2012!$B$61:$AJ$122,MATCH(VLOOKUP("*"&amp;$AW69,$A$10:$J$11,$J$9,FALSE)&amp;Q$7,COM_N_2012!$B$58:$AJ$58,0),FALSE),"")</f>
        <v/>
      </c>
      <c r="R69" s="391">
        <f ca="1">IF($A69="*","",IFERROR(VLOOKUP($C69,COM_N_2017!$B$61:$AJ$122,MATCH(VLOOKUP("*"&amp;$AW69,$A$10:$J$11,$J$9,FALSE)&amp;R$7,COM_N_2017!$B$58:$AJ$58,0),FALSE),""))</f>
        <v>0.03</v>
      </c>
      <c r="S69" s="391" t="str">
        <f ca="1">IFERROR(VLOOKUP($C69,COM_N_2012!$B$61:$AJ$122,MATCH(VLOOKUP("*"&amp;$AW69,$A$10:$J$11,$J$9,FALSE)&amp;S$7,COM_N_2012!$B$58:$AJ$58,0),FALSE),"")</f>
        <v/>
      </c>
      <c r="T69" s="391" t="str">
        <f ca="1">IFERROR(VLOOKUP($C69,COM_N_2012!$B$61:$AJ$122,MATCH(VLOOKUP("*"&amp;$AW69,$A$10:$J$11,$J$9,FALSE)&amp;T$7,COM_N_2012!$B$58:$AJ$58,0),FALSE),"")</f>
        <v/>
      </c>
      <c r="U69" s="391" t="str">
        <f ca="1">IFERROR(VLOOKUP($C69,COM_N_2012!$B$61:$AJ$122,MATCH(VLOOKUP("*"&amp;$AW69,$A$10:$J$11,$J$9,FALSE)&amp;U$7,COM_N_2012!$B$58:$AJ$58,0),FALSE),"")</f>
        <v/>
      </c>
      <c r="V69" s="391" t="str">
        <f ca="1">IFERROR(VLOOKUP($C69,COM_N_2012!$B$61:$AJ$122,MATCH(VLOOKUP("*"&amp;$AW69,$A$10:$J$11,$J$9,FALSE)&amp;V$7,COM_N_2012!$B$58:$AJ$58,0),FALSE),"")</f>
        <v/>
      </c>
      <c r="W69" s="391">
        <f ca="1">IF($A69="*","",IFERROR(VLOOKUP($C69,COM_N_2017!$B$61:$AJ$122,MATCH(VLOOKUP("*"&amp;$AW69,$A$10:$J$11,$J$9,FALSE)&amp;W$7,COM_N_2017!$B$58:$AJ$58,0),FALSE),""))</f>
        <v>0.1</v>
      </c>
      <c r="X69" s="391" t="str">
        <f ca="1">IFERROR(VLOOKUP($C69,COM_N_2012!$B$61:$AJ$122,MATCH(VLOOKUP("*"&amp;$AW69,$A$10:$J$11,$J$9,FALSE)&amp;X$7,COM_N_2012!$B$58:$AJ$58,0),FALSE),"")</f>
        <v/>
      </c>
      <c r="Y69" s="391" t="str">
        <f ca="1">IFERROR(VLOOKUP($C69,COM_N_2012!$B$61:$AJ$122,MATCH(VLOOKUP("*"&amp;$AW69,$A$10:$J$11,$J$9,FALSE)&amp;Y$7,COM_N_2012!$B$58:$AJ$58,0),FALSE),"")</f>
        <v/>
      </c>
      <c r="Z69" s="391" t="str">
        <f ca="1">IFERROR(VLOOKUP($C69,COM_N_2012!$B$61:$AJ$122,MATCH(VLOOKUP("*"&amp;$AW69,$A$10:$J$11,$J$9,FALSE)&amp;Z$7,COM_N_2012!$B$58:$AJ$58,0),FALSE),"")</f>
        <v/>
      </c>
      <c r="AA69" s="391" t="str">
        <f ca="1">IFERROR(VLOOKUP($C69,COM_N_2012!$B$61:$AJ$122,MATCH(VLOOKUP("*"&amp;$AW69,$A$10:$J$11,$J$9,FALSE)&amp;AA$7,COM_N_2012!$B$58:$AJ$58,0),FALSE),"")</f>
        <v/>
      </c>
      <c r="AB69" s="391">
        <f ca="1">IF($A69="*","",IFERROR(VLOOKUP($C69,COM_N_2017!$B$61:$AJ$122,MATCH(VLOOKUP("*"&amp;$AW69,$A$10:$J$11,$J$9,FALSE)&amp;AB$7,COM_N_2017!$B$58:$AJ$58,0),FALSE),""))</f>
        <v>0.3</v>
      </c>
      <c r="AC69" s="391" t="str">
        <f ca="1">IFERROR(VLOOKUP($C69,COM_N_2012!$B$61:$AJ$122,MATCH(VLOOKUP("*"&amp;$AW69,$A$10:$J$11,$J$9,FALSE)&amp;AC$7,COM_N_2012!$B$58:$AJ$58,0),FALSE),"")</f>
        <v/>
      </c>
      <c r="AD69" s="391" t="str">
        <f ca="1">IFERROR(VLOOKUP($C69,COM_N_2012!$B$61:$AJ$122,MATCH(VLOOKUP("*"&amp;$AW69,$A$10:$J$11,$J$9,FALSE)&amp;AD$7,COM_N_2012!$B$58:$AJ$58,0),FALSE),"")</f>
        <v/>
      </c>
      <c r="AE69" s="391" t="str">
        <f ca="1">IFERROR(VLOOKUP($C69,COM_N_2012!$B$61:$AJ$122,MATCH(VLOOKUP("*"&amp;$AW69,$A$10:$J$11,$J$9,FALSE)&amp;AE$7,COM_N_2012!$B$58:$AJ$58,0),FALSE),"")</f>
        <v/>
      </c>
      <c r="AF69" s="391" t="str">
        <f ca="1">IFERROR(VLOOKUP($C69,COM_N_2012!$B$61:$AJ$122,MATCH(VLOOKUP("*"&amp;$AW69,$A$10:$J$11,$J$9,FALSE)&amp;AF$7,COM_N_2012!$B$58:$AJ$58,0),FALSE),"")</f>
        <v/>
      </c>
      <c r="AG69" s="391">
        <f ca="1">IF($A69="*","",IFERROR(VLOOKUP($C69,COM_N_2017!$B$61:$AJ$122,MATCH(VLOOKUP("*"&amp;$AW69,$A$10:$J$11,$J$9,FALSE)&amp;AG$7,COM_N_2017!$B$58:$AJ$58,0),FALSE),""))</f>
        <v>0.5</v>
      </c>
      <c r="AH69" s="391" t="str">
        <f ca="1">IFERROR(VLOOKUP($C69,COM_N_2012!$B$61:$AJ$122,MATCH(VLOOKUP("*"&amp;$AW69,$A$10:$J$11,$J$9,FALSE)&amp;AH$7,COM_N_2012!$B$58:$AJ$58,0),FALSE),"")</f>
        <v/>
      </c>
      <c r="AI69" s="391" t="str">
        <f ca="1">IFERROR(VLOOKUP($C69,COM_N_2012!$B$61:$AJ$122,MATCH(VLOOKUP("*"&amp;$AW69,$A$10:$J$11,$J$9,FALSE)&amp;AI$7,COM_N_2012!$B$58:$AJ$58,0),FALSE),"")</f>
        <v/>
      </c>
      <c r="AJ69" s="391" t="str">
        <f ca="1">IFERROR(VLOOKUP($C69,COM_N_2012!$B$61:$AJ$122,MATCH(VLOOKUP("*"&amp;$AW69,$A$10:$J$11,$J$9,FALSE)&amp;AJ$7,COM_N_2012!$B$58:$AJ$58,0),FALSE),"")</f>
        <v/>
      </c>
      <c r="AK69" s="391" t="str">
        <f ca="1">IFERROR(VLOOKUP($C69,COM_N_2012!$B$61:$AJ$122,MATCH(VLOOKUP("*"&amp;$AW69,$A$10:$J$11,$J$9,FALSE)&amp;AK$7,COM_N_2012!$B$58:$AJ$58,0),FALSE),"")</f>
        <v/>
      </c>
      <c r="AL69" s="391">
        <f ca="1">IF($A69="*","",IFERROR(VLOOKUP($C69,COM_N_2017!$B$61:$AJ$122,MATCH(VLOOKUP("*"&amp;$AW69,$A$10:$J$11,$J$9,FALSE)&amp;AL$7,COM_N_2017!$B$58:$AJ$58,0),FALSE),""))</f>
        <v>0.7</v>
      </c>
      <c r="AM69" s="391">
        <f ca="1">IF($A69="*","",IFERROR(VLOOKUP($C69,COM_N_2017!$B$61:$AJ$122,MATCH(VLOOKUP("*"&amp;$AW69,$A$10:$J$11,$J$9,FALSE)&amp;AM$7,COM_N_2017!$B$58:$AJ$58,0),FALSE),""))</f>
        <v>0.9</v>
      </c>
      <c r="AN69" s="391">
        <f ca="1">IF($A69="*","",IFERROR(VLOOKUP($C69,COM_N_2017!$B$61:$AJ$122,MATCH(VLOOKUP("*"&amp;$AW69,$A$10:$J$11,$J$9,FALSE)&amp;AN$7,COM_N_2017!$B$58:$AJ$58,0),FALSE),""))</f>
        <v>1</v>
      </c>
      <c r="AO69" s="391" t="str">
        <f ca="1">IFERROR(VLOOKUP($C69,COM_N_2012!$B$61:$AJ$122,MATCH(VLOOKUP("*"&amp;$AW69,$A$10:$J$11,$J$9,FALSE)&amp;AO$7,COM_N_2012!$B$58:$AJ$58,0),FALSE),"")</f>
        <v/>
      </c>
      <c r="AP69" s="391" t="str">
        <f ca="1">IFERROR(VLOOKUP($C69,COM_N_2012!$B$61:$AJ$122,MATCH(VLOOKUP("*"&amp;$AW69,$A$10:$J$11,$J$9,FALSE)&amp;AP$7,COM_N_2012!$B$58:$AJ$58,0),FALSE),"")</f>
        <v/>
      </c>
      <c r="AQ69" s="391" t="str">
        <f ca="1">IFERROR(VLOOKUP($C69,COM_N_2012!$B$61:$AJ$122,MATCH(VLOOKUP("*"&amp;$AW69,$A$10:$J$11,$J$9,FALSE)&amp;AQ$7,COM_N_2012!$B$58:$AJ$58,0),FALSE),"")</f>
        <v/>
      </c>
      <c r="AR69" s="391" t="str">
        <f ca="1">IFERROR(VLOOKUP($C69,COM_N_2012!$B$61:$AJ$122,MATCH(VLOOKUP("*"&amp;$AW69,$A$10:$J$11,$J$9,FALSE)&amp;AR$7,COM_N_2012!$B$58:$AJ$58,0),FALSE),"")</f>
        <v/>
      </c>
      <c r="AS69" s="391" t="str">
        <f ca="1">IFERROR(VLOOKUP($C69,COM_N_2012!$B$61:$AJ$122,MATCH(VLOOKUP("*"&amp;$AW69,$A$10:$J$11,$J$9,FALSE)&amp;AS$7,COM_N_2012!$B$58:$AJ$58,0),FALSE),"")</f>
        <v/>
      </c>
      <c r="AT69" s="391" t="str">
        <f ca="1">IFERROR(VLOOKUP($C69,COM_N_2012!$B$61:$AJ$122,MATCH(VLOOKUP("*"&amp;$AW69,$A$10:$J$11,$J$9,FALSE)&amp;AT$7,COM_N_2012!$B$58:$AJ$58,0),FALSE),"")</f>
        <v/>
      </c>
      <c r="AU69" s="391" t="str">
        <f ca="1">IFERROR(VLOOKUP($C69,COM_N_2012!$B$61:$AJ$122,MATCH(VLOOKUP("*"&amp;$AW69,$A$10:$J$11,$J$9,FALSE)&amp;AU$7,COM_N_2012!$B$58:$AJ$58,0),FALSE),"")</f>
        <v/>
      </c>
      <c r="AV69" s="391" t="str">
        <f ca="1">IFERROR(VLOOKUP($C69,COM_N_2012!$B$61:$AJ$122,MATCH(VLOOKUP("*"&amp;$AW69,$A$10:$J$11,$J$9,FALSE)&amp;AV$7,COM_N_2012!$B$58:$AJ$58,0),FALSE),"")</f>
        <v/>
      </c>
      <c r="AW69" s="304">
        <f>IF(AX68=COM_N_2012!$AK$121,AW68+1,AW68)</f>
        <v>1</v>
      </c>
      <c r="AX69" s="304">
        <f t="shared" si="13"/>
        <v>57</v>
      </c>
    </row>
    <row r="70" spans="1:50">
      <c r="A70" s="304" t="str">
        <f ca="1">IF(LEFT(OFFSET(COM_N_2012!$A$60,AX70,0),2)="\I","*","")</f>
        <v/>
      </c>
      <c r="B70" s="369" t="str">
        <f t="shared" ca="1" si="11"/>
        <v>FLO_MRKPRD</v>
      </c>
      <c r="C70" s="369" t="str">
        <f ca="1">IF($A70="*","",OFFSET(COM_N_2012!$B$60,AX70,0))</f>
        <v>CNOOHF-E</v>
      </c>
      <c r="D70" s="369" t="str">
        <f t="shared" ca="1" si="12"/>
        <v>CNO</v>
      </c>
      <c r="E70" s="369" t="str">
        <f t="shared" ca="1" si="14"/>
        <v>-</v>
      </c>
      <c r="F70" s="370" t="str">
        <f t="shared" ca="1" si="9"/>
        <v>-</v>
      </c>
      <c r="G70" s="370" t="str">
        <f t="shared" ca="1" si="9"/>
        <v>ANNUAL</v>
      </c>
      <c r="H70" s="370" t="str">
        <f t="shared" ca="1" si="15"/>
        <v>UP</v>
      </c>
      <c r="I70" s="370">
        <f t="shared" ca="1" si="15"/>
        <v>0</v>
      </c>
      <c r="J70" s="391">
        <f ca="1">IFERROR(VLOOKUP($C70,COM_N_2012!$B$61:$AJ$122,MATCH(VLOOKUP("*"&amp;$AW70,$A$10:$J$11,$J$9,FALSE)&amp;J$7,COM_N_2012!$B$58:$AJ$58,0),FALSE),"")</f>
        <v>1.2676082144729341E-2</v>
      </c>
      <c r="K70" s="391" t="str">
        <f ca="1">IFERROR(VLOOKUP($C70,COM_N_2012!$B$61:$AJ$122,MATCH(VLOOKUP("*"&amp;$AW70,$A$10:$J$11,$J$9,FALSE)&amp;K$7,COM_N_2012!$B$58:$AJ$58,0),FALSE),"")</f>
        <v/>
      </c>
      <c r="L70" s="391" t="str">
        <f ca="1">IFERROR(VLOOKUP($C70,COM_N_2012!$B$61:$AJ$122,MATCH(VLOOKUP("*"&amp;$AW70,$A$10:$J$11,$J$9,FALSE)&amp;L$7,COM_N_2012!$B$58:$AJ$58,0),FALSE),"")</f>
        <v/>
      </c>
      <c r="M70" s="391">
        <f ca="1">IFERROR(VLOOKUP($C70,COM_N_2012!$B$61:$AJ$122,MATCH(VLOOKUP("*"&amp;$AW70,$A$10:$J$11,$J$9,FALSE)&amp;M$7,COM_N_2012!$B$58:$AJ$58,0),FALSE),"")</f>
        <v>1.2676082144729341E-2</v>
      </c>
      <c r="N70" s="391" t="str">
        <f ca="1">IFERROR(VLOOKUP($C70,COM_N_2012!$B$61:$AJ$122,MATCH(VLOOKUP("*"&amp;$AW70,$A$10:$J$11,$J$9,FALSE)&amp;N$7,COM_N_2012!$B$58:$AJ$58,0),FALSE),"")</f>
        <v/>
      </c>
      <c r="O70" s="391">
        <f ca="1">IF($A70="*","",IFERROR(VLOOKUP($C70,COM_N_2017!$B$61:$AJ$122,MATCH(VLOOKUP("*"&amp;$AW70,$A$10:$J$11,$J$9,FALSE)&amp;O$7,COM_N_2017!$B$58:$AJ$58,0),FALSE),""))</f>
        <v>1.3852041970973023E-2</v>
      </c>
      <c r="P70" s="391" t="str">
        <f ca="1">IFERROR(VLOOKUP($C70,COM_N_2012!$B$61:$AJ$122,MATCH(VLOOKUP("*"&amp;$AW70,$A$10:$J$11,$J$9,FALSE)&amp;P$7,COM_N_2012!$B$58:$AJ$58,0),FALSE),"")</f>
        <v/>
      </c>
      <c r="Q70" s="391" t="str">
        <f ca="1">IFERROR(VLOOKUP($C70,COM_N_2012!$B$61:$AJ$122,MATCH(VLOOKUP("*"&amp;$AW70,$A$10:$J$11,$J$9,FALSE)&amp;Q$7,COM_N_2012!$B$58:$AJ$58,0),FALSE),"")</f>
        <v/>
      </c>
      <c r="R70" s="391">
        <f ca="1">IF($A70="*","",IFERROR(VLOOKUP($C70,COM_N_2017!$B$61:$AJ$122,MATCH(VLOOKUP("*"&amp;$AW70,$A$10:$J$11,$J$9,FALSE)&amp;R$7,COM_N_2017!$B$58:$AJ$58,0),FALSE),""))</f>
        <v>4.3852041970973019E-2</v>
      </c>
      <c r="S70" s="391" t="str">
        <f ca="1">IFERROR(VLOOKUP($C70,COM_N_2012!$B$61:$AJ$122,MATCH(VLOOKUP("*"&amp;$AW70,$A$10:$J$11,$J$9,FALSE)&amp;S$7,COM_N_2012!$B$58:$AJ$58,0),FALSE),"")</f>
        <v/>
      </c>
      <c r="T70" s="391" t="str">
        <f ca="1">IFERROR(VLOOKUP($C70,COM_N_2012!$B$61:$AJ$122,MATCH(VLOOKUP("*"&amp;$AW70,$A$10:$J$11,$J$9,FALSE)&amp;T$7,COM_N_2012!$B$58:$AJ$58,0),FALSE),"")</f>
        <v/>
      </c>
      <c r="U70" s="391" t="str">
        <f ca="1">IFERROR(VLOOKUP($C70,COM_N_2012!$B$61:$AJ$122,MATCH(VLOOKUP("*"&amp;$AW70,$A$10:$J$11,$J$9,FALSE)&amp;U$7,COM_N_2012!$B$58:$AJ$58,0),FALSE),"")</f>
        <v/>
      </c>
      <c r="V70" s="391" t="str">
        <f ca="1">IFERROR(VLOOKUP($C70,COM_N_2012!$B$61:$AJ$122,MATCH(VLOOKUP("*"&amp;$AW70,$A$10:$J$11,$J$9,FALSE)&amp;V$7,COM_N_2012!$B$58:$AJ$58,0),FALSE),"")</f>
        <v/>
      </c>
      <c r="W70" s="391">
        <f ca="1">IF($A70="*","",IFERROR(VLOOKUP($C70,COM_N_2017!$B$61:$AJ$122,MATCH(VLOOKUP("*"&amp;$AW70,$A$10:$J$11,$J$9,FALSE)&amp;W$7,COM_N_2017!$B$58:$AJ$58,0),FALSE),""))</f>
        <v>0.11385204197097303</v>
      </c>
      <c r="X70" s="391" t="str">
        <f ca="1">IFERROR(VLOOKUP($C70,COM_N_2012!$B$61:$AJ$122,MATCH(VLOOKUP("*"&amp;$AW70,$A$10:$J$11,$J$9,FALSE)&amp;X$7,COM_N_2012!$B$58:$AJ$58,0),FALSE),"")</f>
        <v/>
      </c>
      <c r="Y70" s="391" t="str">
        <f ca="1">IFERROR(VLOOKUP($C70,COM_N_2012!$B$61:$AJ$122,MATCH(VLOOKUP("*"&amp;$AW70,$A$10:$J$11,$J$9,FALSE)&amp;Y$7,COM_N_2012!$B$58:$AJ$58,0),FALSE),"")</f>
        <v/>
      </c>
      <c r="Z70" s="391" t="str">
        <f ca="1">IFERROR(VLOOKUP($C70,COM_N_2012!$B$61:$AJ$122,MATCH(VLOOKUP("*"&amp;$AW70,$A$10:$J$11,$J$9,FALSE)&amp;Z$7,COM_N_2012!$B$58:$AJ$58,0),FALSE),"")</f>
        <v/>
      </c>
      <c r="AA70" s="391" t="str">
        <f ca="1">IFERROR(VLOOKUP($C70,COM_N_2012!$B$61:$AJ$122,MATCH(VLOOKUP("*"&amp;$AW70,$A$10:$J$11,$J$9,FALSE)&amp;AA$7,COM_N_2012!$B$58:$AJ$58,0),FALSE),"")</f>
        <v/>
      </c>
      <c r="AB70" s="391">
        <f ca="1">IF($A70="*","",IFERROR(VLOOKUP($C70,COM_N_2017!$B$61:$AJ$122,MATCH(VLOOKUP("*"&amp;$AW70,$A$10:$J$11,$J$9,FALSE)&amp;AB$7,COM_N_2017!$B$58:$AJ$58,0),FALSE),""))</f>
        <v>0.31385204197097299</v>
      </c>
      <c r="AC70" s="391" t="str">
        <f ca="1">IFERROR(VLOOKUP($C70,COM_N_2012!$B$61:$AJ$122,MATCH(VLOOKUP("*"&amp;$AW70,$A$10:$J$11,$J$9,FALSE)&amp;AC$7,COM_N_2012!$B$58:$AJ$58,0),FALSE),"")</f>
        <v/>
      </c>
      <c r="AD70" s="391" t="str">
        <f ca="1">IFERROR(VLOOKUP($C70,COM_N_2012!$B$61:$AJ$122,MATCH(VLOOKUP("*"&amp;$AW70,$A$10:$J$11,$J$9,FALSE)&amp;AD$7,COM_N_2012!$B$58:$AJ$58,0),FALSE),"")</f>
        <v/>
      </c>
      <c r="AE70" s="391" t="str">
        <f ca="1">IFERROR(VLOOKUP($C70,COM_N_2012!$B$61:$AJ$122,MATCH(VLOOKUP("*"&amp;$AW70,$A$10:$J$11,$J$9,FALSE)&amp;AE$7,COM_N_2012!$B$58:$AJ$58,0),FALSE),"")</f>
        <v/>
      </c>
      <c r="AF70" s="391" t="str">
        <f ca="1">IFERROR(VLOOKUP($C70,COM_N_2012!$B$61:$AJ$122,MATCH(VLOOKUP("*"&amp;$AW70,$A$10:$J$11,$J$9,FALSE)&amp;AF$7,COM_N_2012!$B$58:$AJ$58,0),FALSE),"")</f>
        <v/>
      </c>
      <c r="AG70" s="391">
        <f ca="1">IF($A70="*","",IFERROR(VLOOKUP($C70,COM_N_2017!$B$61:$AJ$122,MATCH(VLOOKUP("*"&amp;$AW70,$A$10:$J$11,$J$9,FALSE)&amp;AG$7,COM_N_2017!$B$58:$AJ$58,0),FALSE),""))</f>
        <v>0.51385204197097301</v>
      </c>
      <c r="AH70" s="391" t="str">
        <f ca="1">IFERROR(VLOOKUP($C70,COM_N_2012!$B$61:$AJ$122,MATCH(VLOOKUP("*"&amp;$AW70,$A$10:$J$11,$J$9,FALSE)&amp;AH$7,COM_N_2012!$B$58:$AJ$58,0),FALSE),"")</f>
        <v/>
      </c>
      <c r="AI70" s="391" t="str">
        <f ca="1">IFERROR(VLOOKUP($C70,COM_N_2012!$B$61:$AJ$122,MATCH(VLOOKUP("*"&amp;$AW70,$A$10:$J$11,$J$9,FALSE)&amp;AI$7,COM_N_2012!$B$58:$AJ$58,0),FALSE),"")</f>
        <v/>
      </c>
      <c r="AJ70" s="391" t="str">
        <f ca="1">IFERROR(VLOOKUP($C70,COM_N_2012!$B$61:$AJ$122,MATCH(VLOOKUP("*"&amp;$AW70,$A$10:$J$11,$J$9,FALSE)&amp;AJ$7,COM_N_2012!$B$58:$AJ$58,0),FALSE),"")</f>
        <v/>
      </c>
      <c r="AK70" s="391" t="str">
        <f ca="1">IFERROR(VLOOKUP($C70,COM_N_2012!$B$61:$AJ$122,MATCH(VLOOKUP("*"&amp;$AW70,$A$10:$J$11,$J$9,FALSE)&amp;AK$7,COM_N_2012!$B$58:$AJ$58,0),FALSE),"")</f>
        <v/>
      </c>
      <c r="AL70" s="391">
        <f ca="1">IF($A70="*","",IFERROR(VLOOKUP($C70,COM_N_2017!$B$61:$AJ$122,MATCH(VLOOKUP("*"&amp;$AW70,$A$10:$J$11,$J$9,FALSE)&amp;AL$7,COM_N_2017!$B$58:$AJ$58,0),FALSE),""))</f>
        <v>0.71385204197097296</v>
      </c>
      <c r="AM70" s="391">
        <f ca="1">IF($A70="*","",IFERROR(VLOOKUP($C70,COM_N_2017!$B$61:$AJ$122,MATCH(VLOOKUP("*"&amp;$AW70,$A$10:$J$11,$J$9,FALSE)&amp;AM$7,COM_N_2017!$B$58:$AJ$58,0),FALSE),""))</f>
        <v>0.91385204197097303</v>
      </c>
      <c r="AN70" s="391">
        <f ca="1">IF($A70="*","",IFERROR(VLOOKUP($C70,COM_N_2017!$B$61:$AJ$122,MATCH(VLOOKUP("*"&amp;$AW70,$A$10:$J$11,$J$9,FALSE)&amp;AN$7,COM_N_2017!$B$58:$AJ$58,0),FALSE),""))</f>
        <v>1</v>
      </c>
      <c r="AO70" s="391" t="str">
        <f ca="1">IFERROR(VLOOKUP($C70,COM_N_2012!$B$61:$AJ$122,MATCH(VLOOKUP("*"&amp;$AW70,$A$10:$J$11,$J$9,FALSE)&amp;AO$7,COM_N_2012!$B$58:$AJ$58,0),FALSE),"")</f>
        <v/>
      </c>
      <c r="AP70" s="391" t="str">
        <f ca="1">IFERROR(VLOOKUP($C70,COM_N_2012!$B$61:$AJ$122,MATCH(VLOOKUP("*"&amp;$AW70,$A$10:$J$11,$J$9,FALSE)&amp;AP$7,COM_N_2012!$B$58:$AJ$58,0),FALSE),"")</f>
        <v/>
      </c>
      <c r="AQ70" s="391" t="str">
        <f ca="1">IFERROR(VLOOKUP($C70,COM_N_2012!$B$61:$AJ$122,MATCH(VLOOKUP("*"&amp;$AW70,$A$10:$J$11,$J$9,FALSE)&amp;AQ$7,COM_N_2012!$B$58:$AJ$58,0),FALSE),"")</f>
        <v/>
      </c>
      <c r="AR70" s="391" t="str">
        <f ca="1">IFERROR(VLOOKUP($C70,COM_N_2012!$B$61:$AJ$122,MATCH(VLOOKUP("*"&amp;$AW70,$A$10:$J$11,$J$9,FALSE)&amp;AR$7,COM_N_2012!$B$58:$AJ$58,0),FALSE),"")</f>
        <v/>
      </c>
      <c r="AS70" s="391" t="str">
        <f ca="1">IFERROR(VLOOKUP($C70,COM_N_2012!$B$61:$AJ$122,MATCH(VLOOKUP("*"&amp;$AW70,$A$10:$J$11,$J$9,FALSE)&amp;AS$7,COM_N_2012!$B$58:$AJ$58,0),FALSE),"")</f>
        <v/>
      </c>
      <c r="AT70" s="391" t="str">
        <f ca="1">IFERROR(VLOOKUP($C70,COM_N_2012!$B$61:$AJ$122,MATCH(VLOOKUP("*"&amp;$AW70,$A$10:$J$11,$J$9,FALSE)&amp;AT$7,COM_N_2012!$B$58:$AJ$58,0),FALSE),"")</f>
        <v/>
      </c>
      <c r="AU70" s="391" t="str">
        <f ca="1">IFERROR(VLOOKUP($C70,COM_N_2012!$B$61:$AJ$122,MATCH(VLOOKUP("*"&amp;$AW70,$A$10:$J$11,$J$9,FALSE)&amp;AU$7,COM_N_2012!$B$58:$AJ$58,0),FALSE),"")</f>
        <v/>
      </c>
      <c r="AV70" s="391" t="str">
        <f ca="1">IFERROR(VLOOKUP($C70,COM_N_2012!$B$61:$AJ$122,MATCH(VLOOKUP("*"&amp;$AW70,$A$10:$J$11,$J$9,FALSE)&amp;AV$7,COM_N_2012!$B$58:$AJ$58,0),FALSE),"")</f>
        <v/>
      </c>
      <c r="AW70" s="304">
        <f>IF(AX69=COM_N_2012!$AK$121,AW69+1,AW69)</f>
        <v>1</v>
      </c>
      <c r="AX70" s="304">
        <f t="shared" si="13"/>
        <v>58</v>
      </c>
    </row>
    <row r="71" spans="1:50">
      <c r="A71" s="304" t="str">
        <f ca="1">IF(LEFT(OFFSET(COM_N_2012!$A$60,AX71,0),2)="\I","*","")</f>
        <v/>
      </c>
      <c r="B71" s="369" t="str">
        <f t="shared" ca="1" si="11"/>
        <v>FLO_MRKPRD</v>
      </c>
      <c r="C71" s="369" t="str">
        <f ca="1">IF($A71="*","",OFFSET(COM_N_2012!$B$60,AX71,0))</f>
        <v>CNOOKE-E</v>
      </c>
      <c r="D71" s="369" t="str">
        <f t="shared" ca="1" si="12"/>
        <v>CNO</v>
      </c>
      <c r="E71" s="369" t="str">
        <f t="shared" ca="1" si="14"/>
        <v>-</v>
      </c>
      <c r="F71" s="370" t="str">
        <f t="shared" ca="1" si="9"/>
        <v>-</v>
      </c>
      <c r="G71" s="370" t="str">
        <f t="shared" ca="1" si="9"/>
        <v>ANNUAL</v>
      </c>
      <c r="H71" s="370" t="str">
        <f t="shared" ca="1" si="15"/>
        <v>UP</v>
      </c>
      <c r="I71" s="370">
        <f t="shared" ca="1" si="15"/>
        <v>0</v>
      </c>
      <c r="J71" s="391">
        <f ca="1">IFERROR(VLOOKUP($C71,COM_N_2012!$B$61:$AJ$122,MATCH(VLOOKUP("*"&amp;$AW71,$A$10:$J$11,$J$9,FALSE)&amp;J$7,COM_N_2012!$B$58:$AJ$58,0),FALSE),"")</f>
        <v>0</v>
      </c>
      <c r="K71" s="391" t="str">
        <f ca="1">IFERROR(VLOOKUP($C71,COM_N_2012!$B$61:$AJ$122,MATCH(VLOOKUP("*"&amp;$AW71,$A$10:$J$11,$J$9,FALSE)&amp;K$7,COM_N_2012!$B$58:$AJ$58,0),FALSE),"")</f>
        <v/>
      </c>
      <c r="L71" s="391" t="str">
        <f ca="1">IFERROR(VLOOKUP($C71,COM_N_2012!$B$61:$AJ$122,MATCH(VLOOKUP("*"&amp;$AW71,$A$10:$J$11,$J$9,FALSE)&amp;L$7,COM_N_2012!$B$58:$AJ$58,0),FALSE),"")</f>
        <v/>
      </c>
      <c r="M71" s="391">
        <f ca="1">IFERROR(VLOOKUP($C71,COM_N_2012!$B$61:$AJ$122,MATCH(VLOOKUP("*"&amp;$AW71,$A$10:$J$11,$J$9,FALSE)&amp;M$7,COM_N_2012!$B$58:$AJ$58,0),FALSE),"")</f>
        <v>0</v>
      </c>
      <c r="N71" s="391" t="str">
        <f ca="1">IFERROR(VLOOKUP($C71,COM_N_2012!$B$61:$AJ$122,MATCH(VLOOKUP("*"&amp;$AW71,$A$10:$J$11,$J$9,FALSE)&amp;N$7,COM_N_2012!$B$58:$AJ$58,0),FALSE),"")</f>
        <v/>
      </c>
      <c r="O71" s="391">
        <f ca="1">IF($A71="*","",IFERROR(VLOOKUP($C71,COM_N_2017!$B$61:$AJ$122,MATCH(VLOOKUP("*"&amp;$AW71,$A$10:$J$11,$J$9,FALSE)&amp;O$7,COM_N_2017!$B$58:$AJ$58,0),FALSE),""))</f>
        <v>0</v>
      </c>
      <c r="P71" s="391" t="str">
        <f ca="1">IFERROR(VLOOKUP($C71,COM_N_2012!$B$61:$AJ$122,MATCH(VLOOKUP("*"&amp;$AW71,$A$10:$J$11,$J$9,FALSE)&amp;P$7,COM_N_2012!$B$58:$AJ$58,0),FALSE),"")</f>
        <v/>
      </c>
      <c r="Q71" s="391" t="str">
        <f ca="1">IFERROR(VLOOKUP($C71,COM_N_2012!$B$61:$AJ$122,MATCH(VLOOKUP("*"&amp;$AW71,$A$10:$J$11,$J$9,FALSE)&amp;Q$7,COM_N_2012!$B$58:$AJ$58,0),FALSE),"")</f>
        <v/>
      </c>
      <c r="R71" s="391">
        <f ca="1">IF($A71="*","",IFERROR(VLOOKUP($C71,COM_N_2017!$B$61:$AJ$122,MATCH(VLOOKUP("*"&amp;$AW71,$A$10:$J$11,$J$9,FALSE)&amp;R$7,COM_N_2017!$B$58:$AJ$58,0),FALSE),""))</f>
        <v>0</v>
      </c>
      <c r="S71" s="391" t="str">
        <f ca="1">IFERROR(VLOOKUP($C71,COM_N_2012!$B$61:$AJ$122,MATCH(VLOOKUP("*"&amp;$AW71,$A$10:$J$11,$J$9,FALSE)&amp;S$7,COM_N_2012!$B$58:$AJ$58,0),FALSE),"")</f>
        <v/>
      </c>
      <c r="T71" s="391" t="str">
        <f ca="1">IFERROR(VLOOKUP($C71,COM_N_2012!$B$61:$AJ$122,MATCH(VLOOKUP("*"&amp;$AW71,$A$10:$J$11,$J$9,FALSE)&amp;T$7,COM_N_2012!$B$58:$AJ$58,0),FALSE),"")</f>
        <v/>
      </c>
      <c r="U71" s="391" t="str">
        <f ca="1">IFERROR(VLOOKUP($C71,COM_N_2012!$B$61:$AJ$122,MATCH(VLOOKUP("*"&amp;$AW71,$A$10:$J$11,$J$9,FALSE)&amp;U$7,COM_N_2012!$B$58:$AJ$58,0),FALSE),"")</f>
        <v/>
      </c>
      <c r="V71" s="391" t="str">
        <f ca="1">IFERROR(VLOOKUP($C71,COM_N_2012!$B$61:$AJ$122,MATCH(VLOOKUP("*"&amp;$AW71,$A$10:$J$11,$J$9,FALSE)&amp;V$7,COM_N_2012!$B$58:$AJ$58,0),FALSE),"")</f>
        <v/>
      </c>
      <c r="W71" s="391">
        <f ca="1">IF($A71="*","",IFERROR(VLOOKUP($C71,COM_N_2017!$B$61:$AJ$122,MATCH(VLOOKUP("*"&amp;$AW71,$A$10:$J$11,$J$9,FALSE)&amp;W$7,COM_N_2017!$B$58:$AJ$58,0),FALSE),""))</f>
        <v>0</v>
      </c>
      <c r="X71" s="391" t="str">
        <f ca="1">IFERROR(VLOOKUP($C71,COM_N_2012!$B$61:$AJ$122,MATCH(VLOOKUP("*"&amp;$AW71,$A$10:$J$11,$J$9,FALSE)&amp;X$7,COM_N_2012!$B$58:$AJ$58,0),FALSE),"")</f>
        <v/>
      </c>
      <c r="Y71" s="391" t="str">
        <f ca="1">IFERROR(VLOOKUP($C71,COM_N_2012!$B$61:$AJ$122,MATCH(VLOOKUP("*"&amp;$AW71,$A$10:$J$11,$J$9,FALSE)&amp;Y$7,COM_N_2012!$B$58:$AJ$58,0),FALSE),"")</f>
        <v/>
      </c>
      <c r="Z71" s="391" t="str">
        <f ca="1">IFERROR(VLOOKUP($C71,COM_N_2012!$B$61:$AJ$122,MATCH(VLOOKUP("*"&amp;$AW71,$A$10:$J$11,$J$9,FALSE)&amp;Z$7,COM_N_2012!$B$58:$AJ$58,0),FALSE),"")</f>
        <v/>
      </c>
      <c r="AA71" s="391" t="str">
        <f ca="1">IFERROR(VLOOKUP($C71,COM_N_2012!$B$61:$AJ$122,MATCH(VLOOKUP("*"&amp;$AW71,$A$10:$J$11,$J$9,FALSE)&amp;AA$7,COM_N_2012!$B$58:$AJ$58,0),FALSE),"")</f>
        <v/>
      </c>
      <c r="AB71" s="391">
        <f ca="1">IF($A71="*","",IFERROR(VLOOKUP($C71,COM_N_2017!$B$61:$AJ$122,MATCH(VLOOKUP("*"&amp;$AW71,$A$10:$J$11,$J$9,FALSE)&amp;AB$7,COM_N_2017!$B$58:$AJ$58,0),FALSE),""))</f>
        <v>0</v>
      </c>
      <c r="AC71" s="391" t="str">
        <f ca="1">IFERROR(VLOOKUP($C71,COM_N_2012!$B$61:$AJ$122,MATCH(VLOOKUP("*"&amp;$AW71,$A$10:$J$11,$J$9,FALSE)&amp;AC$7,COM_N_2012!$B$58:$AJ$58,0),FALSE),"")</f>
        <v/>
      </c>
      <c r="AD71" s="391" t="str">
        <f ca="1">IFERROR(VLOOKUP($C71,COM_N_2012!$B$61:$AJ$122,MATCH(VLOOKUP("*"&amp;$AW71,$A$10:$J$11,$J$9,FALSE)&amp;AD$7,COM_N_2012!$B$58:$AJ$58,0),FALSE),"")</f>
        <v/>
      </c>
      <c r="AE71" s="391" t="str">
        <f ca="1">IFERROR(VLOOKUP($C71,COM_N_2012!$B$61:$AJ$122,MATCH(VLOOKUP("*"&amp;$AW71,$A$10:$J$11,$J$9,FALSE)&amp;AE$7,COM_N_2012!$B$58:$AJ$58,0),FALSE),"")</f>
        <v/>
      </c>
      <c r="AF71" s="391" t="str">
        <f ca="1">IFERROR(VLOOKUP($C71,COM_N_2012!$B$61:$AJ$122,MATCH(VLOOKUP("*"&amp;$AW71,$A$10:$J$11,$J$9,FALSE)&amp;AF$7,COM_N_2012!$B$58:$AJ$58,0),FALSE),"")</f>
        <v/>
      </c>
      <c r="AG71" s="391">
        <f ca="1">IF($A71="*","",IFERROR(VLOOKUP($C71,COM_N_2017!$B$61:$AJ$122,MATCH(VLOOKUP("*"&amp;$AW71,$A$10:$J$11,$J$9,FALSE)&amp;AG$7,COM_N_2017!$B$58:$AJ$58,0),FALSE),""))</f>
        <v>0</v>
      </c>
      <c r="AH71" s="391" t="str">
        <f ca="1">IFERROR(VLOOKUP($C71,COM_N_2012!$B$61:$AJ$122,MATCH(VLOOKUP("*"&amp;$AW71,$A$10:$J$11,$J$9,FALSE)&amp;AH$7,COM_N_2012!$B$58:$AJ$58,0),FALSE),"")</f>
        <v/>
      </c>
      <c r="AI71" s="391" t="str">
        <f ca="1">IFERROR(VLOOKUP($C71,COM_N_2012!$B$61:$AJ$122,MATCH(VLOOKUP("*"&amp;$AW71,$A$10:$J$11,$J$9,FALSE)&amp;AI$7,COM_N_2012!$B$58:$AJ$58,0),FALSE),"")</f>
        <v/>
      </c>
      <c r="AJ71" s="391" t="str">
        <f ca="1">IFERROR(VLOOKUP($C71,COM_N_2012!$B$61:$AJ$122,MATCH(VLOOKUP("*"&amp;$AW71,$A$10:$J$11,$J$9,FALSE)&amp;AJ$7,COM_N_2012!$B$58:$AJ$58,0),FALSE),"")</f>
        <v/>
      </c>
      <c r="AK71" s="391" t="str">
        <f ca="1">IFERROR(VLOOKUP($C71,COM_N_2012!$B$61:$AJ$122,MATCH(VLOOKUP("*"&amp;$AW71,$A$10:$J$11,$J$9,FALSE)&amp;AK$7,COM_N_2012!$B$58:$AJ$58,0),FALSE),"")</f>
        <v/>
      </c>
      <c r="AL71" s="391">
        <f ca="1">IF($A71="*","",IFERROR(VLOOKUP($C71,COM_N_2017!$B$61:$AJ$122,MATCH(VLOOKUP("*"&amp;$AW71,$A$10:$J$11,$J$9,FALSE)&amp;AL$7,COM_N_2017!$B$58:$AJ$58,0),FALSE),""))</f>
        <v>0</v>
      </c>
      <c r="AM71" s="391">
        <f ca="1">IF($A71="*","",IFERROR(VLOOKUP($C71,COM_N_2017!$B$61:$AJ$122,MATCH(VLOOKUP("*"&amp;$AW71,$A$10:$J$11,$J$9,FALSE)&amp;AM$7,COM_N_2017!$B$58:$AJ$58,0),FALSE),""))</f>
        <v>0</v>
      </c>
      <c r="AN71" s="391">
        <f ca="1">IF($A71="*","",IFERROR(VLOOKUP($C71,COM_N_2017!$B$61:$AJ$122,MATCH(VLOOKUP("*"&amp;$AW71,$A$10:$J$11,$J$9,FALSE)&amp;AN$7,COM_N_2017!$B$58:$AJ$58,0),FALSE),""))</f>
        <v>0</v>
      </c>
      <c r="AO71" s="391" t="str">
        <f ca="1">IFERROR(VLOOKUP($C71,COM_N_2012!$B$61:$AJ$122,MATCH(VLOOKUP("*"&amp;$AW71,$A$10:$J$11,$J$9,FALSE)&amp;AO$7,COM_N_2012!$B$58:$AJ$58,0),FALSE),"")</f>
        <v/>
      </c>
      <c r="AP71" s="391" t="str">
        <f ca="1">IFERROR(VLOOKUP($C71,COM_N_2012!$B$61:$AJ$122,MATCH(VLOOKUP("*"&amp;$AW71,$A$10:$J$11,$J$9,FALSE)&amp;AP$7,COM_N_2012!$B$58:$AJ$58,0),FALSE),"")</f>
        <v/>
      </c>
      <c r="AQ71" s="391" t="str">
        <f ca="1">IFERROR(VLOOKUP($C71,COM_N_2012!$B$61:$AJ$122,MATCH(VLOOKUP("*"&amp;$AW71,$A$10:$J$11,$J$9,FALSE)&amp;AQ$7,COM_N_2012!$B$58:$AJ$58,0),FALSE),"")</f>
        <v/>
      </c>
      <c r="AR71" s="391" t="str">
        <f ca="1">IFERROR(VLOOKUP($C71,COM_N_2012!$B$61:$AJ$122,MATCH(VLOOKUP("*"&amp;$AW71,$A$10:$J$11,$J$9,FALSE)&amp;AR$7,COM_N_2012!$B$58:$AJ$58,0),FALSE),"")</f>
        <v/>
      </c>
      <c r="AS71" s="391" t="str">
        <f ca="1">IFERROR(VLOOKUP($C71,COM_N_2012!$B$61:$AJ$122,MATCH(VLOOKUP("*"&amp;$AW71,$A$10:$J$11,$J$9,FALSE)&amp;AS$7,COM_N_2012!$B$58:$AJ$58,0),FALSE),"")</f>
        <v/>
      </c>
      <c r="AT71" s="391" t="str">
        <f ca="1">IFERROR(VLOOKUP($C71,COM_N_2012!$B$61:$AJ$122,MATCH(VLOOKUP("*"&amp;$AW71,$A$10:$J$11,$J$9,FALSE)&amp;AT$7,COM_N_2012!$B$58:$AJ$58,0),FALSE),"")</f>
        <v/>
      </c>
      <c r="AU71" s="391" t="str">
        <f ca="1">IFERROR(VLOOKUP($C71,COM_N_2012!$B$61:$AJ$122,MATCH(VLOOKUP("*"&amp;$AW71,$A$10:$J$11,$J$9,FALSE)&amp;AU$7,COM_N_2012!$B$58:$AJ$58,0),FALSE),"")</f>
        <v/>
      </c>
      <c r="AV71" s="391" t="str">
        <f ca="1">IFERROR(VLOOKUP($C71,COM_N_2012!$B$61:$AJ$122,MATCH(VLOOKUP("*"&amp;$AW71,$A$10:$J$11,$J$9,FALSE)&amp;AV$7,COM_N_2012!$B$58:$AJ$58,0),FALSE),"")</f>
        <v/>
      </c>
      <c r="AW71" s="304">
        <f>IF(AX70=COM_N_2012!$AK$121,AW70+1,AW70)</f>
        <v>1</v>
      </c>
      <c r="AX71" s="304">
        <f t="shared" si="13"/>
        <v>59</v>
      </c>
    </row>
    <row r="72" spans="1:50">
      <c r="A72" s="304" t="str">
        <f ca="1">IF(LEFT(OFFSET(COM_N_2012!$A$60,AX72,0),2)="\I","*","")</f>
        <v>*</v>
      </c>
      <c r="B72" s="369" t="str">
        <f t="shared" ca="1" si="11"/>
        <v/>
      </c>
      <c r="C72" s="369" t="str">
        <f ca="1">IF($A72="*","",OFFSET(COM_N_2012!$B$60,AX72,0))</f>
        <v/>
      </c>
      <c r="D72" s="369" t="str">
        <f t="shared" ca="1" si="12"/>
        <v/>
      </c>
      <c r="E72" s="369" t="str">
        <f t="shared" ca="1" si="14"/>
        <v/>
      </c>
      <c r="F72" s="370" t="str">
        <f t="shared" ca="1" si="9"/>
        <v/>
      </c>
      <c r="G72" s="370" t="str">
        <f t="shared" ca="1" si="9"/>
        <v/>
      </c>
      <c r="H72" s="370" t="str">
        <f t="shared" ca="1" si="15"/>
        <v/>
      </c>
      <c r="I72" s="370" t="str">
        <f t="shared" ca="1" si="15"/>
        <v/>
      </c>
      <c r="J72" s="391" t="str">
        <f ca="1">IFERROR(VLOOKUP($C72,COM_N_2012!$B$61:$AJ$122,MATCH(VLOOKUP("*"&amp;$AW72,$A$10:$J$11,$J$9,FALSE)&amp;J$7,COM_N_2012!$B$58:$AJ$58,0),FALSE),"")</f>
        <v/>
      </c>
      <c r="K72" s="391" t="str">
        <f ca="1">IFERROR(VLOOKUP($C72,COM_N_2012!$B$61:$AJ$122,MATCH(VLOOKUP("*"&amp;$AW72,$A$10:$J$11,$J$9,FALSE)&amp;K$7,COM_N_2012!$B$58:$AJ$58,0),FALSE),"")</f>
        <v/>
      </c>
      <c r="L72" s="391" t="str">
        <f ca="1">IFERROR(VLOOKUP($C72,COM_N_2012!$B$61:$AJ$122,MATCH(VLOOKUP("*"&amp;$AW72,$A$10:$J$11,$J$9,FALSE)&amp;L$7,COM_N_2012!$B$58:$AJ$58,0),FALSE),"")</f>
        <v/>
      </c>
      <c r="M72" s="391" t="str">
        <f ca="1">IFERROR(VLOOKUP($C72,COM_N_2012!$B$61:$AJ$122,MATCH(VLOOKUP("*"&amp;$AW72,$A$10:$J$11,$J$9,FALSE)&amp;M$7,COM_N_2012!$B$58:$AJ$58,0),FALSE),"")</f>
        <v/>
      </c>
      <c r="N72" s="391" t="str">
        <f ca="1">IFERROR(VLOOKUP($C72,COM_N_2012!$B$61:$AJ$122,MATCH(VLOOKUP("*"&amp;$AW72,$A$10:$J$11,$J$9,FALSE)&amp;N$7,COM_N_2012!$B$58:$AJ$58,0),FALSE),"")</f>
        <v/>
      </c>
      <c r="O72" s="391" t="str">
        <f ca="1">IF($A72="*","",IFERROR(VLOOKUP($C72,COM_N_2017!$B$61:$AJ$122,MATCH(VLOOKUP("*"&amp;$AW72,$A$10:$J$11,$J$9,FALSE)&amp;O$7,COM_N_2017!$B$58:$AJ$58,0),FALSE),""))</f>
        <v/>
      </c>
      <c r="P72" s="391" t="str">
        <f ca="1">IFERROR(VLOOKUP($C72,COM_N_2012!$B$61:$AJ$122,MATCH(VLOOKUP("*"&amp;$AW72,$A$10:$J$11,$J$9,FALSE)&amp;P$7,COM_N_2012!$B$58:$AJ$58,0),FALSE),"")</f>
        <v/>
      </c>
      <c r="Q72" s="391" t="str">
        <f ca="1">IFERROR(VLOOKUP($C72,COM_N_2012!$B$61:$AJ$122,MATCH(VLOOKUP("*"&amp;$AW72,$A$10:$J$11,$J$9,FALSE)&amp;Q$7,COM_N_2012!$B$58:$AJ$58,0),FALSE),"")</f>
        <v/>
      </c>
      <c r="R72" s="391" t="str">
        <f ca="1">IF($A72="*","",IFERROR(VLOOKUP($C72,COM_N_2017!$B$61:$AJ$122,MATCH(VLOOKUP("*"&amp;$AW72,$A$10:$J$11,$J$9,FALSE)&amp;R$7,COM_N_2017!$B$58:$AJ$58,0),FALSE),""))</f>
        <v/>
      </c>
      <c r="S72" s="391" t="str">
        <f ca="1">IFERROR(VLOOKUP($C72,COM_N_2012!$B$61:$AJ$122,MATCH(VLOOKUP("*"&amp;$AW72,$A$10:$J$11,$J$9,FALSE)&amp;S$7,COM_N_2012!$B$58:$AJ$58,0),FALSE),"")</f>
        <v/>
      </c>
      <c r="T72" s="391" t="str">
        <f ca="1">IFERROR(VLOOKUP($C72,COM_N_2012!$B$61:$AJ$122,MATCH(VLOOKUP("*"&amp;$AW72,$A$10:$J$11,$J$9,FALSE)&amp;T$7,COM_N_2012!$B$58:$AJ$58,0),FALSE),"")</f>
        <v/>
      </c>
      <c r="U72" s="391" t="str">
        <f ca="1">IFERROR(VLOOKUP($C72,COM_N_2012!$B$61:$AJ$122,MATCH(VLOOKUP("*"&amp;$AW72,$A$10:$J$11,$J$9,FALSE)&amp;U$7,COM_N_2012!$B$58:$AJ$58,0),FALSE),"")</f>
        <v/>
      </c>
      <c r="V72" s="391" t="str">
        <f ca="1">IFERROR(VLOOKUP($C72,COM_N_2012!$B$61:$AJ$122,MATCH(VLOOKUP("*"&amp;$AW72,$A$10:$J$11,$J$9,FALSE)&amp;V$7,COM_N_2012!$B$58:$AJ$58,0),FALSE),"")</f>
        <v/>
      </c>
      <c r="W72" s="391" t="str">
        <f ca="1">IF($A72="*","",IFERROR(VLOOKUP($C72,COM_N_2017!$B$61:$AJ$122,MATCH(VLOOKUP("*"&amp;$AW72,$A$10:$J$11,$J$9,FALSE)&amp;W$7,COM_N_2017!$B$58:$AJ$58,0),FALSE),""))</f>
        <v/>
      </c>
      <c r="X72" s="391" t="str">
        <f ca="1">IFERROR(VLOOKUP($C72,COM_N_2012!$B$61:$AJ$122,MATCH(VLOOKUP("*"&amp;$AW72,$A$10:$J$11,$J$9,FALSE)&amp;X$7,COM_N_2012!$B$58:$AJ$58,0),FALSE),"")</f>
        <v/>
      </c>
      <c r="Y72" s="391" t="str">
        <f ca="1">IFERROR(VLOOKUP($C72,COM_N_2012!$B$61:$AJ$122,MATCH(VLOOKUP("*"&amp;$AW72,$A$10:$J$11,$J$9,FALSE)&amp;Y$7,COM_N_2012!$B$58:$AJ$58,0),FALSE),"")</f>
        <v/>
      </c>
      <c r="Z72" s="391" t="str">
        <f ca="1">IFERROR(VLOOKUP($C72,COM_N_2012!$B$61:$AJ$122,MATCH(VLOOKUP("*"&amp;$AW72,$A$10:$J$11,$J$9,FALSE)&amp;Z$7,COM_N_2012!$B$58:$AJ$58,0),FALSE),"")</f>
        <v/>
      </c>
      <c r="AA72" s="391" t="str">
        <f ca="1">IFERROR(VLOOKUP($C72,COM_N_2012!$B$61:$AJ$122,MATCH(VLOOKUP("*"&amp;$AW72,$A$10:$J$11,$J$9,FALSE)&amp;AA$7,COM_N_2012!$B$58:$AJ$58,0),FALSE),"")</f>
        <v/>
      </c>
      <c r="AB72" s="391" t="str">
        <f ca="1">IF($A72="*","",IFERROR(VLOOKUP($C72,COM_N_2017!$B$61:$AJ$122,MATCH(VLOOKUP("*"&amp;$AW72,$A$10:$J$11,$J$9,FALSE)&amp;AB$7,COM_N_2017!$B$58:$AJ$58,0),FALSE),""))</f>
        <v/>
      </c>
      <c r="AC72" s="391" t="str">
        <f ca="1">IFERROR(VLOOKUP($C72,COM_N_2012!$B$61:$AJ$122,MATCH(VLOOKUP("*"&amp;$AW72,$A$10:$J$11,$J$9,FALSE)&amp;AC$7,COM_N_2012!$B$58:$AJ$58,0),FALSE),"")</f>
        <v/>
      </c>
      <c r="AD72" s="391" t="str">
        <f ca="1">IFERROR(VLOOKUP($C72,COM_N_2012!$B$61:$AJ$122,MATCH(VLOOKUP("*"&amp;$AW72,$A$10:$J$11,$J$9,FALSE)&amp;AD$7,COM_N_2012!$B$58:$AJ$58,0),FALSE),"")</f>
        <v/>
      </c>
      <c r="AE72" s="391" t="str">
        <f ca="1">IFERROR(VLOOKUP($C72,COM_N_2012!$B$61:$AJ$122,MATCH(VLOOKUP("*"&amp;$AW72,$A$10:$J$11,$J$9,FALSE)&amp;AE$7,COM_N_2012!$B$58:$AJ$58,0),FALSE),"")</f>
        <v/>
      </c>
      <c r="AF72" s="391" t="str">
        <f ca="1">IFERROR(VLOOKUP($C72,COM_N_2012!$B$61:$AJ$122,MATCH(VLOOKUP("*"&amp;$AW72,$A$10:$J$11,$J$9,FALSE)&amp;AF$7,COM_N_2012!$B$58:$AJ$58,0),FALSE),"")</f>
        <v/>
      </c>
      <c r="AG72" s="391" t="str">
        <f ca="1">IF($A72="*","",IFERROR(VLOOKUP($C72,COM_N_2017!$B$61:$AJ$122,MATCH(VLOOKUP("*"&amp;$AW72,$A$10:$J$11,$J$9,FALSE)&amp;AG$7,COM_N_2017!$B$58:$AJ$58,0),FALSE),""))</f>
        <v/>
      </c>
      <c r="AH72" s="391" t="str">
        <f ca="1">IFERROR(VLOOKUP($C72,COM_N_2012!$B$61:$AJ$122,MATCH(VLOOKUP("*"&amp;$AW72,$A$10:$J$11,$J$9,FALSE)&amp;AH$7,COM_N_2012!$B$58:$AJ$58,0),FALSE),"")</f>
        <v/>
      </c>
      <c r="AI72" s="391" t="str">
        <f ca="1">IFERROR(VLOOKUP($C72,COM_N_2012!$B$61:$AJ$122,MATCH(VLOOKUP("*"&amp;$AW72,$A$10:$J$11,$J$9,FALSE)&amp;AI$7,COM_N_2012!$B$58:$AJ$58,0),FALSE),"")</f>
        <v/>
      </c>
      <c r="AJ72" s="391" t="str">
        <f ca="1">IFERROR(VLOOKUP($C72,COM_N_2012!$B$61:$AJ$122,MATCH(VLOOKUP("*"&amp;$AW72,$A$10:$J$11,$J$9,FALSE)&amp;AJ$7,COM_N_2012!$B$58:$AJ$58,0),FALSE),"")</f>
        <v/>
      </c>
      <c r="AK72" s="391" t="str">
        <f ca="1">IFERROR(VLOOKUP($C72,COM_N_2012!$B$61:$AJ$122,MATCH(VLOOKUP("*"&amp;$AW72,$A$10:$J$11,$J$9,FALSE)&amp;AK$7,COM_N_2012!$B$58:$AJ$58,0),FALSE),"")</f>
        <v/>
      </c>
      <c r="AL72" s="391" t="str">
        <f ca="1">IF($A72="*","",IFERROR(VLOOKUP($C72,COM_N_2017!$B$61:$AJ$122,MATCH(VLOOKUP("*"&amp;$AW72,$A$10:$J$11,$J$9,FALSE)&amp;AL$7,COM_N_2017!$B$58:$AJ$58,0),FALSE),""))</f>
        <v/>
      </c>
      <c r="AM72" s="391" t="str">
        <f ca="1">IF($A72="*","",IFERROR(VLOOKUP($C72,COM_N_2017!$B$61:$AJ$122,MATCH(VLOOKUP("*"&amp;$AW72,$A$10:$J$11,$J$9,FALSE)&amp;AM$7,COM_N_2017!$B$58:$AJ$58,0),FALSE),""))</f>
        <v/>
      </c>
      <c r="AN72" s="391" t="str">
        <f ca="1">IF($A72="*","",IFERROR(VLOOKUP($C72,COM_N_2017!$B$61:$AJ$122,MATCH(VLOOKUP("*"&amp;$AW72,$A$10:$J$11,$J$9,FALSE)&amp;AN$7,COM_N_2017!$B$58:$AJ$58,0),FALSE),""))</f>
        <v/>
      </c>
      <c r="AO72" s="391" t="str">
        <f ca="1">IFERROR(VLOOKUP($C72,COM_N_2012!$B$61:$AJ$122,MATCH(VLOOKUP("*"&amp;$AW72,$A$10:$J$11,$J$9,FALSE)&amp;AO$7,COM_N_2012!$B$58:$AJ$58,0),FALSE),"")</f>
        <v/>
      </c>
      <c r="AP72" s="391" t="str">
        <f ca="1">IFERROR(VLOOKUP($C72,COM_N_2012!$B$61:$AJ$122,MATCH(VLOOKUP("*"&amp;$AW72,$A$10:$J$11,$J$9,FALSE)&amp;AP$7,COM_N_2012!$B$58:$AJ$58,0),FALSE),"")</f>
        <v/>
      </c>
      <c r="AQ72" s="391" t="str">
        <f ca="1">IFERROR(VLOOKUP($C72,COM_N_2012!$B$61:$AJ$122,MATCH(VLOOKUP("*"&amp;$AW72,$A$10:$J$11,$J$9,FALSE)&amp;AQ$7,COM_N_2012!$B$58:$AJ$58,0),FALSE),"")</f>
        <v/>
      </c>
      <c r="AR72" s="391" t="str">
        <f ca="1">IFERROR(VLOOKUP($C72,COM_N_2012!$B$61:$AJ$122,MATCH(VLOOKUP("*"&amp;$AW72,$A$10:$J$11,$J$9,FALSE)&amp;AR$7,COM_N_2012!$B$58:$AJ$58,0),FALSE),"")</f>
        <v/>
      </c>
      <c r="AS72" s="391" t="str">
        <f ca="1">IFERROR(VLOOKUP($C72,COM_N_2012!$B$61:$AJ$122,MATCH(VLOOKUP("*"&amp;$AW72,$A$10:$J$11,$J$9,FALSE)&amp;AS$7,COM_N_2012!$B$58:$AJ$58,0),FALSE),"")</f>
        <v/>
      </c>
      <c r="AT72" s="391" t="str">
        <f ca="1">IFERROR(VLOOKUP($C72,COM_N_2012!$B$61:$AJ$122,MATCH(VLOOKUP("*"&amp;$AW72,$A$10:$J$11,$J$9,FALSE)&amp;AT$7,COM_N_2012!$B$58:$AJ$58,0),FALSE),"")</f>
        <v/>
      </c>
      <c r="AU72" s="391" t="str">
        <f ca="1">IFERROR(VLOOKUP($C72,COM_N_2012!$B$61:$AJ$122,MATCH(VLOOKUP("*"&amp;$AW72,$A$10:$J$11,$J$9,FALSE)&amp;AU$7,COM_N_2012!$B$58:$AJ$58,0),FALSE),"")</f>
        <v/>
      </c>
      <c r="AV72" s="391" t="str">
        <f ca="1">IFERROR(VLOOKUP($C72,COM_N_2012!$B$61:$AJ$122,MATCH(VLOOKUP("*"&amp;$AW72,$A$10:$J$11,$J$9,FALSE)&amp;AV$7,COM_N_2012!$B$58:$AJ$58,0),FALSE),"")</f>
        <v/>
      </c>
      <c r="AW72" s="304">
        <f>IF(AX71=COM_N_2012!$AK$121,AW71+1,AW71)</f>
        <v>1</v>
      </c>
      <c r="AX72" s="304">
        <f t="shared" si="13"/>
        <v>60</v>
      </c>
    </row>
    <row r="73" spans="1:50">
      <c r="A73" s="304" t="str">
        <f ca="1">IF(LEFT(OFFSET(COM_N_2012!$A$60,AX73,0),2)="\I","*","")</f>
        <v>*</v>
      </c>
      <c r="B73" s="369" t="str">
        <f t="shared" ca="1" si="11"/>
        <v/>
      </c>
      <c r="C73" s="369" t="str">
        <f ca="1">IF($A73="*","",OFFSET(COM_N_2012!$B$60,AX73,0))</f>
        <v/>
      </c>
      <c r="D73" s="369" t="str">
        <f t="shared" ca="1" si="12"/>
        <v/>
      </c>
      <c r="E73" s="369" t="str">
        <f t="shared" ref="E73:E92" ca="1" si="16">IF($A73="*","",VLOOKUP($B73,$B$10:$I$11,E$9,FALSE))</f>
        <v/>
      </c>
      <c r="F73" s="370" t="str">
        <f t="shared" ca="1" si="9"/>
        <v/>
      </c>
      <c r="G73" s="370" t="str">
        <f t="shared" ca="1" si="9"/>
        <v/>
      </c>
      <c r="H73" s="370" t="str">
        <f t="shared" ref="H73:I92" ca="1" si="17">IF($A73="*","",VLOOKUP("*"&amp;$AW73,$A$10:$I$11,H$9,FALSE))</f>
        <v/>
      </c>
      <c r="I73" s="370" t="str">
        <f t="shared" ca="1" si="17"/>
        <v/>
      </c>
      <c r="J73" s="391" t="str">
        <f ca="1">IFERROR(VLOOKUP($C73,COM_N_2012!$B$61:$AJ$122,MATCH(VLOOKUP("*"&amp;$AW73,$A$10:$J$11,$J$9,FALSE)&amp;J$7,COM_N_2012!$B$58:$AJ$58,0),FALSE),"")</f>
        <v/>
      </c>
      <c r="K73" s="391" t="str">
        <f ca="1">IFERROR(VLOOKUP($C73,COM_N_2012!$B$61:$AJ$122,MATCH(VLOOKUP("*"&amp;$AW73,$A$10:$J$11,$J$9,FALSE)&amp;K$7,COM_N_2012!$B$58:$AJ$58,0),FALSE),"")</f>
        <v/>
      </c>
      <c r="L73" s="391" t="str">
        <f ca="1">IFERROR(VLOOKUP($C73,COM_N_2012!$B$61:$AJ$122,MATCH(VLOOKUP("*"&amp;$AW73,$A$10:$J$11,$J$9,FALSE)&amp;L$7,COM_N_2012!$B$58:$AJ$58,0),FALSE),"")</f>
        <v/>
      </c>
      <c r="M73" s="391" t="str">
        <f ca="1">IFERROR(VLOOKUP($C73,COM_N_2012!$B$61:$AJ$122,MATCH(VLOOKUP("*"&amp;$AW73,$A$10:$J$11,$J$9,FALSE)&amp;M$7,COM_N_2012!$B$58:$AJ$58,0),FALSE),"")</f>
        <v/>
      </c>
      <c r="N73" s="391" t="str">
        <f ca="1">IFERROR(VLOOKUP($C73,COM_N_2012!$B$61:$AJ$122,MATCH(VLOOKUP("*"&amp;$AW73,$A$10:$J$11,$J$9,FALSE)&amp;N$7,COM_N_2012!$B$58:$AJ$58,0),FALSE),"")</f>
        <v/>
      </c>
      <c r="O73" s="391" t="str">
        <f ca="1">IF($A73="*","",IFERROR(VLOOKUP($C73,COM_N_2017!$B$61:$AJ$122,MATCH(VLOOKUP("*"&amp;$AW73,$A$10:$J$11,$J$9,FALSE)&amp;O$7,COM_N_2017!$B$58:$AJ$58,0),FALSE),""))</f>
        <v/>
      </c>
      <c r="P73" s="391" t="str">
        <f ca="1">IFERROR(VLOOKUP($C73,COM_N_2012!$B$61:$AJ$122,MATCH(VLOOKUP("*"&amp;$AW73,$A$10:$J$11,$J$9,FALSE)&amp;P$7,COM_N_2012!$B$58:$AJ$58,0),FALSE),"")</f>
        <v/>
      </c>
      <c r="Q73" s="391" t="str">
        <f ca="1">IFERROR(VLOOKUP($C73,COM_N_2012!$B$61:$AJ$122,MATCH(VLOOKUP("*"&amp;$AW73,$A$10:$J$11,$J$9,FALSE)&amp;Q$7,COM_N_2012!$B$58:$AJ$58,0),FALSE),"")</f>
        <v/>
      </c>
      <c r="R73" s="391" t="str">
        <f ca="1">IF($A73="*","",IFERROR(VLOOKUP($C73,COM_N_2017!$B$61:$AJ$122,MATCH(VLOOKUP("*"&amp;$AW73,$A$10:$J$11,$J$9,FALSE)&amp;R$7,COM_N_2017!$B$58:$AJ$58,0),FALSE),""))</f>
        <v/>
      </c>
      <c r="S73" s="391" t="str">
        <f ca="1">IFERROR(VLOOKUP($C73,COM_N_2012!$B$61:$AJ$122,MATCH(VLOOKUP("*"&amp;$AW73,$A$10:$J$11,$J$9,FALSE)&amp;S$7,COM_N_2012!$B$58:$AJ$58,0),FALSE),"")</f>
        <v/>
      </c>
      <c r="T73" s="391" t="str">
        <f ca="1">IFERROR(VLOOKUP($C73,COM_N_2012!$B$61:$AJ$122,MATCH(VLOOKUP("*"&amp;$AW73,$A$10:$J$11,$J$9,FALSE)&amp;T$7,COM_N_2012!$B$58:$AJ$58,0),FALSE),"")</f>
        <v/>
      </c>
      <c r="U73" s="391" t="str">
        <f ca="1">IFERROR(VLOOKUP($C73,COM_N_2012!$B$61:$AJ$122,MATCH(VLOOKUP("*"&amp;$AW73,$A$10:$J$11,$J$9,FALSE)&amp;U$7,COM_N_2012!$B$58:$AJ$58,0),FALSE),"")</f>
        <v/>
      </c>
      <c r="V73" s="391" t="str">
        <f ca="1">IFERROR(VLOOKUP($C73,COM_N_2012!$B$61:$AJ$122,MATCH(VLOOKUP("*"&amp;$AW73,$A$10:$J$11,$J$9,FALSE)&amp;V$7,COM_N_2012!$B$58:$AJ$58,0),FALSE),"")</f>
        <v/>
      </c>
      <c r="W73" s="391" t="str">
        <f ca="1">IF($A73="*","",IFERROR(VLOOKUP($C73,COM_N_2017!$B$61:$AJ$122,MATCH(VLOOKUP("*"&amp;$AW73,$A$10:$J$11,$J$9,FALSE)&amp;W$7,COM_N_2017!$B$58:$AJ$58,0),FALSE),""))</f>
        <v/>
      </c>
      <c r="X73" s="391" t="str">
        <f ca="1">IFERROR(VLOOKUP($C73,COM_N_2012!$B$61:$AJ$122,MATCH(VLOOKUP("*"&amp;$AW73,$A$10:$J$11,$J$9,FALSE)&amp;X$7,COM_N_2012!$B$58:$AJ$58,0),FALSE),"")</f>
        <v/>
      </c>
      <c r="Y73" s="391" t="str">
        <f ca="1">IFERROR(VLOOKUP($C73,COM_N_2012!$B$61:$AJ$122,MATCH(VLOOKUP("*"&amp;$AW73,$A$10:$J$11,$J$9,FALSE)&amp;Y$7,COM_N_2012!$B$58:$AJ$58,0),FALSE),"")</f>
        <v/>
      </c>
      <c r="Z73" s="391" t="str">
        <f ca="1">IFERROR(VLOOKUP($C73,COM_N_2012!$B$61:$AJ$122,MATCH(VLOOKUP("*"&amp;$AW73,$A$10:$J$11,$J$9,FALSE)&amp;Z$7,COM_N_2012!$B$58:$AJ$58,0),FALSE),"")</f>
        <v/>
      </c>
      <c r="AA73" s="391" t="str">
        <f ca="1">IFERROR(VLOOKUP($C73,COM_N_2012!$B$61:$AJ$122,MATCH(VLOOKUP("*"&amp;$AW73,$A$10:$J$11,$J$9,FALSE)&amp;AA$7,COM_N_2012!$B$58:$AJ$58,0),FALSE),"")</f>
        <v/>
      </c>
      <c r="AB73" s="391" t="str">
        <f ca="1">IF($A73="*","",IFERROR(VLOOKUP($C73,COM_N_2017!$B$61:$AJ$122,MATCH(VLOOKUP("*"&amp;$AW73,$A$10:$J$11,$J$9,FALSE)&amp;AB$7,COM_N_2017!$B$58:$AJ$58,0),FALSE),""))</f>
        <v/>
      </c>
      <c r="AC73" s="391" t="str">
        <f ca="1">IFERROR(VLOOKUP($C73,COM_N_2012!$B$61:$AJ$122,MATCH(VLOOKUP("*"&amp;$AW73,$A$10:$J$11,$J$9,FALSE)&amp;AC$7,COM_N_2012!$B$58:$AJ$58,0),FALSE),"")</f>
        <v/>
      </c>
      <c r="AD73" s="391" t="str">
        <f ca="1">IFERROR(VLOOKUP($C73,COM_N_2012!$B$61:$AJ$122,MATCH(VLOOKUP("*"&amp;$AW73,$A$10:$J$11,$J$9,FALSE)&amp;AD$7,COM_N_2012!$B$58:$AJ$58,0),FALSE),"")</f>
        <v/>
      </c>
      <c r="AE73" s="391" t="str">
        <f ca="1">IFERROR(VLOOKUP($C73,COM_N_2012!$B$61:$AJ$122,MATCH(VLOOKUP("*"&amp;$AW73,$A$10:$J$11,$J$9,FALSE)&amp;AE$7,COM_N_2012!$B$58:$AJ$58,0),FALSE),"")</f>
        <v/>
      </c>
      <c r="AF73" s="391" t="str">
        <f ca="1">IFERROR(VLOOKUP($C73,COM_N_2012!$B$61:$AJ$122,MATCH(VLOOKUP("*"&amp;$AW73,$A$10:$J$11,$J$9,FALSE)&amp;AF$7,COM_N_2012!$B$58:$AJ$58,0),FALSE),"")</f>
        <v/>
      </c>
      <c r="AG73" s="391" t="str">
        <f ca="1">IF($A73="*","",IFERROR(VLOOKUP($C73,COM_N_2017!$B$61:$AJ$122,MATCH(VLOOKUP("*"&amp;$AW73,$A$10:$J$11,$J$9,FALSE)&amp;AG$7,COM_N_2017!$B$58:$AJ$58,0),FALSE),""))</f>
        <v/>
      </c>
      <c r="AH73" s="391" t="str">
        <f ca="1">IFERROR(VLOOKUP($C73,COM_N_2012!$B$61:$AJ$122,MATCH(VLOOKUP("*"&amp;$AW73,$A$10:$J$11,$J$9,FALSE)&amp;AH$7,COM_N_2012!$B$58:$AJ$58,0),FALSE),"")</f>
        <v/>
      </c>
      <c r="AI73" s="391" t="str">
        <f ca="1">IFERROR(VLOOKUP($C73,COM_N_2012!$B$61:$AJ$122,MATCH(VLOOKUP("*"&amp;$AW73,$A$10:$J$11,$J$9,FALSE)&amp;AI$7,COM_N_2012!$B$58:$AJ$58,0),FALSE),"")</f>
        <v/>
      </c>
      <c r="AJ73" s="391" t="str">
        <f ca="1">IFERROR(VLOOKUP($C73,COM_N_2012!$B$61:$AJ$122,MATCH(VLOOKUP("*"&amp;$AW73,$A$10:$J$11,$J$9,FALSE)&amp;AJ$7,COM_N_2012!$B$58:$AJ$58,0),FALSE),"")</f>
        <v/>
      </c>
      <c r="AK73" s="391" t="str">
        <f ca="1">IFERROR(VLOOKUP($C73,COM_N_2012!$B$61:$AJ$122,MATCH(VLOOKUP("*"&amp;$AW73,$A$10:$J$11,$J$9,FALSE)&amp;AK$7,COM_N_2012!$B$58:$AJ$58,0),FALSE),"")</f>
        <v/>
      </c>
      <c r="AL73" s="391" t="str">
        <f ca="1">IF($A73="*","",IFERROR(VLOOKUP($C73,COM_N_2017!$B$61:$AJ$122,MATCH(VLOOKUP("*"&amp;$AW73,$A$10:$J$11,$J$9,FALSE)&amp;AL$7,COM_N_2017!$B$58:$AJ$58,0),FALSE),""))</f>
        <v/>
      </c>
      <c r="AM73" s="391" t="str">
        <f ca="1">IF($A73="*","",IFERROR(VLOOKUP($C73,COM_N_2017!$B$61:$AJ$122,MATCH(VLOOKUP("*"&amp;$AW73,$A$10:$J$11,$J$9,FALSE)&amp;AM$7,COM_N_2017!$B$58:$AJ$58,0),FALSE),""))</f>
        <v/>
      </c>
      <c r="AN73" s="391" t="str">
        <f ca="1">IF($A73="*","",IFERROR(VLOOKUP($C73,COM_N_2017!$B$61:$AJ$122,MATCH(VLOOKUP("*"&amp;$AW73,$A$10:$J$11,$J$9,FALSE)&amp;AN$7,COM_N_2017!$B$58:$AJ$58,0),FALSE),""))</f>
        <v/>
      </c>
      <c r="AO73" s="391" t="str">
        <f ca="1">IFERROR(VLOOKUP($C73,COM_N_2012!$B$61:$AJ$122,MATCH(VLOOKUP("*"&amp;$AW73,$A$10:$J$11,$J$9,FALSE)&amp;AO$7,COM_N_2012!$B$58:$AJ$58,0),FALSE),"")</f>
        <v/>
      </c>
      <c r="AP73" s="391" t="str">
        <f ca="1">IFERROR(VLOOKUP($C73,COM_N_2012!$B$61:$AJ$122,MATCH(VLOOKUP("*"&amp;$AW73,$A$10:$J$11,$J$9,FALSE)&amp;AP$7,COM_N_2012!$B$58:$AJ$58,0),FALSE),"")</f>
        <v/>
      </c>
      <c r="AQ73" s="391" t="str">
        <f ca="1">IFERROR(VLOOKUP($C73,COM_N_2012!$B$61:$AJ$122,MATCH(VLOOKUP("*"&amp;$AW73,$A$10:$J$11,$J$9,FALSE)&amp;AQ$7,COM_N_2012!$B$58:$AJ$58,0),FALSE),"")</f>
        <v/>
      </c>
      <c r="AR73" s="391" t="str">
        <f ca="1">IFERROR(VLOOKUP($C73,COM_N_2012!$B$61:$AJ$122,MATCH(VLOOKUP("*"&amp;$AW73,$A$10:$J$11,$J$9,FALSE)&amp;AR$7,COM_N_2012!$B$58:$AJ$58,0),FALSE),"")</f>
        <v/>
      </c>
      <c r="AS73" s="391" t="str">
        <f ca="1">IFERROR(VLOOKUP($C73,COM_N_2012!$B$61:$AJ$122,MATCH(VLOOKUP("*"&amp;$AW73,$A$10:$J$11,$J$9,FALSE)&amp;AS$7,COM_N_2012!$B$58:$AJ$58,0),FALSE),"")</f>
        <v/>
      </c>
      <c r="AT73" s="391" t="str">
        <f ca="1">IFERROR(VLOOKUP($C73,COM_N_2012!$B$61:$AJ$122,MATCH(VLOOKUP("*"&amp;$AW73,$A$10:$J$11,$J$9,FALSE)&amp;AT$7,COM_N_2012!$B$58:$AJ$58,0),FALSE),"")</f>
        <v/>
      </c>
      <c r="AU73" s="391" t="str">
        <f ca="1">IFERROR(VLOOKUP($C73,COM_N_2012!$B$61:$AJ$122,MATCH(VLOOKUP("*"&amp;$AW73,$A$10:$J$11,$J$9,FALSE)&amp;AU$7,COM_N_2012!$B$58:$AJ$58,0),FALSE),"")</f>
        <v/>
      </c>
      <c r="AV73" s="391" t="str">
        <f ca="1">IFERROR(VLOOKUP($C73,COM_N_2012!$B$61:$AJ$122,MATCH(VLOOKUP("*"&amp;$AW73,$A$10:$J$11,$J$9,FALSE)&amp;AV$7,COM_N_2012!$B$58:$AJ$58,0),FALSE),"")</f>
        <v/>
      </c>
      <c r="AW73" s="304">
        <f>IF(AX72=COM_N_2012!$AK$121,AW72+1,AW72)</f>
        <v>1</v>
      </c>
      <c r="AX73" s="304">
        <f t="shared" si="13"/>
        <v>61</v>
      </c>
    </row>
    <row r="74" spans="1:50">
      <c r="A74" s="304" t="str">
        <f ca="1">IF(LEFT(OFFSET(COM_N_2012!$A$60,AX74,0),2)="\I","*","")</f>
        <v/>
      </c>
      <c r="B74" s="369" t="str">
        <f t="shared" ca="1" si="11"/>
        <v>FLO_MRKPRD</v>
      </c>
      <c r="C74" s="369" t="str">
        <f ca="1">IF($A74="*","",OFFSET(COM_N_2012!$B$60,AX74,0))</f>
        <v>CNCELCCHIL-E</v>
      </c>
      <c r="D74" s="369" t="str">
        <f t="shared" ca="1" si="12"/>
        <v>CNC</v>
      </c>
      <c r="E74" s="369" t="str">
        <f t="shared" ca="1" si="16"/>
        <v>-</v>
      </c>
      <c r="F74" s="370" t="str">
        <f t="shared" ca="1" si="9"/>
        <v>-</v>
      </c>
      <c r="G74" s="370" t="str">
        <f t="shared" ca="1" si="9"/>
        <v>ANNUAL</v>
      </c>
      <c r="H74" s="370" t="str">
        <f t="shared" ca="1" si="17"/>
        <v>LO</v>
      </c>
      <c r="I74" s="370">
        <f t="shared" ca="1" si="17"/>
        <v>0</v>
      </c>
      <c r="J74" s="391">
        <f ca="1">IFERROR(VLOOKUP($C74,COM_N_2012!$B$61:$AJ$122,MATCH(VLOOKUP("*"&amp;$AW74,$A$10:$J$11,$J$9,FALSE)&amp;J$7,COM_N_2012!$B$58:$AJ$58,0),FALSE),"")</f>
        <v>3.8121772220712148E-2</v>
      </c>
      <c r="K74" s="391" t="str">
        <f ca="1">IFERROR(VLOOKUP($C74,COM_N_2012!$B$61:$AJ$122,MATCH(VLOOKUP("*"&amp;$AW74,$A$10:$J$11,$J$9,FALSE)&amp;K$7,COM_N_2012!$B$58:$AJ$58,0),FALSE),"")</f>
        <v/>
      </c>
      <c r="L74" s="391" t="str">
        <f ca="1">IFERROR(VLOOKUP($C74,COM_N_2012!$B$61:$AJ$122,MATCH(VLOOKUP("*"&amp;$AW74,$A$10:$J$11,$J$9,FALSE)&amp;L$7,COM_N_2012!$B$58:$AJ$58,0),FALSE),"")</f>
        <v/>
      </c>
      <c r="M74" s="391">
        <f ca="1">IFERROR(VLOOKUP($C74,COM_N_2012!$B$61:$AJ$122,MATCH(VLOOKUP("*"&amp;$AW74,$A$10:$J$11,$J$9,FALSE)&amp;M$7,COM_N_2012!$B$58:$AJ$58,0),FALSE),"")</f>
        <v>3.0497417776569721E-2</v>
      </c>
      <c r="N74" s="391" t="str">
        <f ca="1">IFERROR(VLOOKUP($C74,COM_N_2012!$B$61:$AJ$122,MATCH(VLOOKUP("*"&amp;$AW74,$A$10:$J$11,$J$9,FALSE)&amp;N$7,COM_N_2012!$B$58:$AJ$58,0),FALSE),"")</f>
        <v/>
      </c>
      <c r="O74" s="391">
        <f ca="1">IF($A74="*","",IFERROR(VLOOKUP($C74,COM_N_2017!$B$61:$AJ$122,MATCH(VLOOKUP("*"&amp;$AW74,$A$10:$J$11,$J$9,FALSE)&amp;O$7,COM_N_2017!$B$58:$AJ$58,0),FALSE),""))</f>
        <v>3.7748029355803209E-2</v>
      </c>
      <c r="P74" s="391" t="str">
        <f ca="1">IFERROR(VLOOKUP($C74,COM_N_2012!$B$61:$AJ$122,MATCH(VLOOKUP("*"&amp;$AW74,$A$10:$J$11,$J$9,FALSE)&amp;P$7,COM_N_2012!$B$58:$AJ$58,0),FALSE),"")</f>
        <v/>
      </c>
      <c r="Q74" s="391" t="str">
        <f ca="1">IFERROR(VLOOKUP($C74,COM_N_2012!$B$61:$AJ$122,MATCH(VLOOKUP("*"&amp;$AW74,$A$10:$J$11,$J$9,FALSE)&amp;Q$7,COM_N_2012!$B$58:$AJ$58,0),FALSE),"")</f>
        <v/>
      </c>
      <c r="R74" s="391">
        <f ca="1">IF($A74="*","",IFERROR(VLOOKUP($C74,COM_N_2017!$B$61:$AJ$122,MATCH(VLOOKUP("*"&amp;$AW74,$A$10:$J$11,$J$9,FALSE)&amp;R$7,COM_N_2017!$B$58:$AJ$58,0),FALSE),""))</f>
        <v>3.6615588475129114E-2</v>
      </c>
      <c r="S74" s="391" t="str">
        <f ca="1">IFERROR(VLOOKUP($C74,COM_N_2012!$B$61:$AJ$122,MATCH(VLOOKUP("*"&amp;$AW74,$A$10:$J$11,$J$9,FALSE)&amp;S$7,COM_N_2012!$B$58:$AJ$58,0),FALSE),"")</f>
        <v/>
      </c>
      <c r="T74" s="391" t="str">
        <f ca="1">IFERROR(VLOOKUP($C74,COM_N_2012!$B$61:$AJ$122,MATCH(VLOOKUP("*"&amp;$AW74,$A$10:$J$11,$J$9,FALSE)&amp;T$7,COM_N_2012!$B$58:$AJ$58,0),FALSE),"")</f>
        <v/>
      </c>
      <c r="U74" s="391" t="str">
        <f ca="1">IFERROR(VLOOKUP($C74,COM_N_2012!$B$61:$AJ$122,MATCH(VLOOKUP("*"&amp;$AW74,$A$10:$J$11,$J$9,FALSE)&amp;U$7,COM_N_2012!$B$58:$AJ$58,0),FALSE),"")</f>
        <v/>
      </c>
      <c r="V74" s="391" t="str">
        <f ca="1">IFERROR(VLOOKUP($C74,COM_N_2012!$B$61:$AJ$122,MATCH(VLOOKUP("*"&amp;$AW74,$A$10:$J$11,$J$9,FALSE)&amp;V$7,COM_N_2012!$B$58:$AJ$58,0),FALSE),"")</f>
        <v/>
      </c>
      <c r="W74" s="391">
        <f ca="1">IF($A74="*","",IFERROR(VLOOKUP($C74,COM_N_2017!$B$61:$AJ$122,MATCH(VLOOKUP("*"&amp;$AW74,$A$10:$J$11,$J$9,FALSE)&amp;W$7,COM_N_2017!$B$58:$AJ$58,0),FALSE),""))</f>
        <v>3.3973226420222886E-2</v>
      </c>
      <c r="X74" s="391" t="str">
        <f ca="1">IFERROR(VLOOKUP($C74,COM_N_2012!$B$61:$AJ$122,MATCH(VLOOKUP("*"&amp;$AW74,$A$10:$J$11,$J$9,FALSE)&amp;X$7,COM_N_2012!$B$58:$AJ$58,0),FALSE),"")</f>
        <v/>
      </c>
      <c r="Y74" s="391" t="str">
        <f ca="1">IFERROR(VLOOKUP($C74,COM_N_2012!$B$61:$AJ$122,MATCH(VLOOKUP("*"&amp;$AW74,$A$10:$J$11,$J$9,FALSE)&amp;Y$7,COM_N_2012!$B$58:$AJ$58,0),FALSE),"")</f>
        <v/>
      </c>
      <c r="Z74" s="391" t="str">
        <f ca="1">IFERROR(VLOOKUP($C74,COM_N_2012!$B$61:$AJ$122,MATCH(VLOOKUP("*"&amp;$AW74,$A$10:$J$11,$J$9,FALSE)&amp;Z$7,COM_N_2012!$B$58:$AJ$58,0),FALSE),"")</f>
        <v/>
      </c>
      <c r="AA74" s="391" t="str">
        <f ca="1">IFERROR(VLOOKUP($C74,COM_N_2012!$B$61:$AJ$122,MATCH(VLOOKUP("*"&amp;$AW74,$A$10:$J$11,$J$9,FALSE)&amp;AA$7,COM_N_2012!$B$58:$AJ$58,0),FALSE),"")</f>
        <v/>
      </c>
      <c r="AB74" s="391">
        <f ca="1">IF($A74="*","",IFERROR(VLOOKUP($C74,COM_N_2017!$B$61:$AJ$122,MATCH(VLOOKUP("*"&amp;$AW74,$A$10:$J$11,$J$9,FALSE)&amp;AB$7,COM_N_2017!$B$58:$AJ$58,0),FALSE),""))</f>
        <v>2.6423620549062245E-2</v>
      </c>
      <c r="AC74" s="391" t="str">
        <f ca="1">IFERROR(VLOOKUP($C74,COM_N_2012!$B$61:$AJ$122,MATCH(VLOOKUP("*"&amp;$AW74,$A$10:$J$11,$J$9,FALSE)&amp;AC$7,COM_N_2012!$B$58:$AJ$58,0),FALSE),"")</f>
        <v/>
      </c>
      <c r="AD74" s="391" t="str">
        <f ca="1">IFERROR(VLOOKUP($C74,COM_N_2012!$B$61:$AJ$122,MATCH(VLOOKUP("*"&amp;$AW74,$A$10:$J$11,$J$9,FALSE)&amp;AD$7,COM_N_2012!$B$58:$AJ$58,0),FALSE),"")</f>
        <v/>
      </c>
      <c r="AE74" s="391" t="str">
        <f ca="1">IFERROR(VLOOKUP($C74,COM_N_2012!$B$61:$AJ$122,MATCH(VLOOKUP("*"&amp;$AW74,$A$10:$J$11,$J$9,FALSE)&amp;AE$7,COM_N_2012!$B$58:$AJ$58,0),FALSE),"")</f>
        <v/>
      </c>
      <c r="AF74" s="391" t="str">
        <f ca="1">IFERROR(VLOOKUP($C74,COM_N_2012!$B$61:$AJ$122,MATCH(VLOOKUP("*"&amp;$AW74,$A$10:$J$11,$J$9,FALSE)&amp;AF$7,COM_N_2012!$B$58:$AJ$58,0),FALSE),"")</f>
        <v/>
      </c>
      <c r="AG74" s="391">
        <f ca="1">IF($A74="*","",IFERROR(VLOOKUP($C74,COM_N_2017!$B$61:$AJ$122,MATCH(VLOOKUP("*"&amp;$AW74,$A$10:$J$11,$J$9,FALSE)&amp;AG$7,COM_N_2017!$B$58:$AJ$58,0),FALSE),""))</f>
        <v>1.8874014677901604E-2</v>
      </c>
      <c r="AH74" s="391" t="str">
        <f ca="1">IFERROR(VLOOKUP($C74,COM_N_2012!$B$61:$AJ$122,MATCH(VLOOKUP("*"&amp;$AW74,$A$10:$J$11,$J$9,FALSE)&amp;AH$7,COM_N_2012!$B$58:$AJ$58,0),FALSE),"")</f>
        <v/>
      </c>
      <c r="AI74" s="391" t="str">
        <f ca="1">IFERROR(VLOOKUP($C74,COM_N_2012!$B$61:$AJ$122,MATCH(VLOOKUP("*"&amp;$AW74,$A$10:$J$11,$J$9,FALSE)&amp;AI$7,COM_N_2012!$B$58:$AJ$58,0),FALSE),"")</f>
        <v/>
      </c>
      <c r="AJ74" s="391" t="str">
        <f ca="1">IFERROR(VLOOKUP($C74,COM_N_2012!$B$61:$AJ$122,MATCH(VLOOKUP("*"&amp;$AW74,$A$10:$J$11,$J$9,FALSE)&amp;AJ$7,COM_N_2012!$B$58:$AJ$58,0),FALSE),"")</f>
        <v/>
      </c>
      <c r="AK74" s="391" t="str">
        <f ca="1">IFERROR(VLOOKUP($C74,COM_N_2012!$B$61:$AJ$122,MATCH(VLOOKUP("*"&amp;$AW74,$A$10:$J$11,$J$9,FALSE)&amp;AK$7,COM_N_2012!$B$58:$AJ$58,0),FALSE),"")</f>
        <v/>
      </c>
      <c r="AL74" s="391">
        <f ca="1">IF($A74="*","",IFERROR(VLOOKUP($C74,COM_N_2017!$B$61:$AJ$122,MATCH(VLOOKUP("*"&amp;$AW74,$A$10:$J$11,$J$9,FALSE)&amp;AL$7,COM_N_2017!$B$58:$AJ$58,0),FALSE),""))</f>
        <v>1.1324408806740962E-2</v>
      </c>
      <c r="AM74" s="391">
        <f ca="1">IF($A74="*","",IFERROR(VLOOKUP($C74,COM_N_2017!$B$61:$AJ$122,MATCH(VLOOKUP("*"&amp;$AW74,$A$10:$J$11,$J$9,FALSE)&amp;AM$7,COM_N_2017!$B$58:$AJ$58,0),FALSE),""))</f>
        <v>3.774802935580321E-3</v>
      </c>
      <c r="AN74" s="391">
        <f ca="1">IF($A74="*","",IFERROR(VLOOKUP($C74,COM_N_2017!$B$61:$AJ$122,MATCH(VLOOKUP("*"&amp;$AW74,$A$10:$J$11,$J$9,FALSE)&amp;AN$7,COM_N_2017!$B$58:$AJ$58,0),FALSE),""))</f>
        <v>0</v>
      </c>
      <c r="AO74" s="391" t="str">
        <f ca="1">IFERROR(VLOOKUP($C74,COM_N_2012!$B$61:$AJ$122,MATCH(VLOOKUP("*"&amp;$AW74,$A$10:$J$11,$J$9,FALSE)&amp;AO$7,COM_N_2012!$B$58:$AJ$58,0),FALSE),"")</f>
        <v/>
      </c>
      <c r="AP74" s="391" t="str">
        <f ca="1">IFERROR(VLOOKUP($C74,COM_N_2012!$B$61:$AJ$122,MATCH(VLOOKUP("*"&amp;$AW74,$A$10:$J$11,$J$9,FALSE)&amp;AP$7,COM_N_2012!$B$58:$AJ$58,0),FALSE),"")</f>
        <v/>
      </c>
      <c r="AQ74" s="391" t="str">
        <f ca="1">IFERROR(VLOOKUP($C74,COM_N_2012!$B$61:$AJ$122,MATCH(VLOOKUP("*"&amp;$AW74,$A$10:$J$11,$J$9,FALSE)&amp;AQ$7,COM_N_2012!$B$58:$AJ$58,0),FALSE),"")</f>
        <v/>
      </c>
      <c r="AR74" s="391" t="str">
        <f ca="1">IFERROR(VLOOKUP($C74,COM_N_2012!$B$61:$AJ$122,MATCH(VLOOKUP("*"&amp;$AW74,$A$10:$J$11,$J$9,FALSE)&amp;AR$7,COM_N_2012!$B$58:$AJ$58,0),FALSE),"")</f>
        <v/>
      </c>
      <c r="AS74" s="391" t="str">
        <f ca="1">IFERROR(VLOOKUP($C74,COM_N_2012!$B$61:$AJ$122,MATCH(VLOOKUP("*"&amp;$AW74,$A$10:$J$11,$J$9,FALSE)&amp;AS$7,COM_N_2012!$B$58:$AJ$58,0),FALSE),"")</f>
        <v/>
      </c>
      <c r="AT74" s="391" t="str">
        <f ca="1">IFERROR(VLOOKUP($C74,COM_N_2012!$B$61:$AJ$122,MATCH(VLOOKUP("*"&amp;$AW74,$A$10:$J$11,$J$9,FALSE)&amp;AT$7,COM_N_2012!$B$58:$AJ$58,0),FALSE),"")</f>
        <v/>
      </c>
      <c r="AU74" s="391" t="str">
        <f ca="1">IFERROR(VLOOKUP($C74,COM_N_2012!$B$61:$AJ$122,MATCH(VLOOKUP("*"&amp;$AW74,$A$10:$J$11,$J$9,FALSE)&amp;AU$7,COM_N_2012!$B$58:$AJ$58,0),FALSE),"")</f>
        <v/>
      </c>
      <c r="AV74" s="391" t="str">
        <f ca="1">IFERROR(VLOOKUP($C74,COM_N_2012!$B$61:$AJ$122,MATCH(VLOOKUP("*"&amp;$AW74,$A$10:$J$11,$J$9,FALSE)&amp;AV$7,COM_N_2012!$B$58:$AJ$58,0),FALSE),"")</f>
        <v/>
      </c>
      <c r="AW74" s="304">
        <f>IF(AX73=COM_N_2012!$AK$121,AW73+1,AW73)</f>
        <v>2</v>
      </c>
      <c r="AX74" s="304">
        <f t="shared" si="13"/>
        <v>1</v>
      </c>
    </row>
    <row r="75" spans="1:50">
      <c r="A75" s="304" t="str">
        <f ca="1">IF(LEFT(OFFSET(COM_N_2012!$A$60,AX75,0),2)="\I","*","")</f>
        <v/>
      </c>
      <c r="B75" s="369" t="str">
        <f t="shared" ca="1" si="11"/>
        <v>FLO_MRKPRD</v>
      </c>
      <c r="C75" s="369" t="str">
        <f ca="1">IF($A75="*","",OFFSET(COM_N_2012!$B$60,AX75,0))</f>
        <v>CNCELCCEN-E</v>
      </c>
      <c r="D75" s="369" t="str">
        <f t="shared" ca="1" si="12"/>
        <v>CNC</v>
      </c>
      <c r="E75" s="369" t="str">
        <f t="shared" ca="1" si="16"/>
        <v>-</v>
      </c>
      <c r="F75" s="370" t="str">
        <f t="shared" ca="1" si="9"/>
        <v>-</v>
      </c>
      <c r="G75" s="370" t="str">
        <f t="shared" ca="1" si="9"/>
        <v>ANNUAL</v>
      </c>
      <c r="H75" s="370" t="str">
        <f t="shared" ca="1" si="17"/>
        <v>LO</v>
      </c>
      <c r="I75" s="370">
        <f t="shared" ca="1" si="17"/>
        <v>0</v>
      </c>
      <c r="J75" s="391">
        <f ca="1">IFERROR(VLOOKUP($C75,COM_N_2012!$B$61:$AJ$122,MATCH(VLOOKUP("*"&amp;$AW75,$A$10:$J$11,$J$9,FALSE)&amp;J$7,COM_N_2012!$B$58:$AJ$58,0),FALSE),"")</f>
        <v>0.64460451209567815</v>
      </c>
      <c r="K75" s="391" t="str">
        <f ca="1">IFERROR(VLOOKUP($C75,COM_N_2012!$B$61:$AJ$122,MATCH(VLOOKUP("*"&amp;$AW75,$A$10:$J$11,$J$9,FALSE)&amp;K$7,COM_N_2012!$B$58:$AJ$58,0),FALSE),"")</f>
        <v/>
      </c>
      <c r="L75" s="391" t="str">
        <f ca="1">IFERROR(VLOOKUP($C75,COM_N_2012!$B$61:$AJ$122,MATCH(VLOOKUP("*"&amp;$AW75,$A$10:$J$11,$J$9,FALSE)&amp;L$7,COM_N_2012!$B$58:$AJ$58,0),FALSE),"")</f>
        <v/>
      </c>
      <c r="M75" s="391">
        <f ca="1">IFERROR(VLOOKUP($C75,COM_N_2012!$B$61:$AJ$122,MATCH(VLOOKUP("*"&amp;$AW75,$A$10:$J$11,$J$9,FALSE)&amp;M$7,COM_N_2012!$B$58:$AJ$58,0),FALSE),"")</f>
        <v>0.51568360967654259</v>
      </c>
      <c r="N75" s="391" t="str">
        <f ca="1">IFERROR(VLOOKUP($C75,COM_N_2012!$B$61:$AJ$122,MATCH(VLOOKUP("*"&amp;$AW75,$A$10:$J$11,$J$9,FALSE)&amp;N$7,COM_N_2012!$B$58:$AJ$58,0),FALSE),"")</f>
        <v/>
      </c>
      <c r="O75" s="391">
        <f ca="1">IF($A75="*","",IFERROR(VLOOKUP($C75,COM_N_2017!$B$61:$AJ$122,MATCH(VLOOKUP("*"&amp;$AW75,$A$10:$J$11,$J$9,FALSE)&amp;O$7,COM_N_2017!$B$58:$AJ$58,0),FALSE),""))</f>
        <v>0.63828486001630891</v>
      </c>
      <c r="P75" s="391" t="str">
        <f ca="1">IFERROR(VLOOKUP($C75,COM_N_2012!$B$61:$AJ$122,MATCH(VLOOKUP("*"&amp;$AW75,$A$10:$J$11,$J$9,FALSE)&amp;P$7,COM_N_2012!$B$58:$AJ$58,0),FALSE),"")</f>
        <v/>
      </c>
      <c r="Q75" s="391" t="str">
        <f ca="1">IFERROR(VLOOKUP($C75,COM_N_2012!$B$61:$AJ$122,MATCH(VLOOKUP("*"&amp;$AW75,$A$10:$J$11,$J$9,FALSE)&amp;Q$7,COM_N_2012!$B$58:$AJ$58,0),FALSE),"")</f>
        <v/>
      </c>
      <c r="R75" s="391">
        <f ca="1">IF($A75="*","",IFERROR(VLOOKUP($C75,COM_N_2017!$B$61:$AJ$122,MATCH(VLOOKUP("*"&amp;$AW75,$A$10:$J$11,$J$9,FALSE)&amp;R$7,COM_N_2017!$B$58:$AJ$58,0),FALSE),""))</f>
        <v>0.61913631421581961</v>
      </c>
      <c r="S75" s="391" t="str">
        <f ca="1">IFERROR(VLOOKUP($C75,COM_N_2012!$B$61:$AJ$122,MATCH(VLOOKUP("*"&amp;$AW75,$A$10:$J$11,$J$9,FALSE)&amp;S$7,COM_N_2012!$B$58:$AJ$58,0),FALSE),"")</f>
        <v/>
      </c>
      <c r="T75" s="391" t="str">
        <f ca="1">IFERROR(VLOOKUP($C75,COM_N_2012!$B$61:$AJ$122,MATCH(VLOOKUP("*"&amp;$AW75,$A$10:$J$11,$J$9,FALSE)&amp;T$7,COM_N_2012!$B$58:$AJ$58,0),FALSE),"")</f>
        <v/>
      </c>
      <c r="U75" s="391" t="str">
        <f ca="1">IFERROR(VLOOKUP($C75,COM_N_2012!$B$61:$AJ$122,MATCH(VLOOKUP("*"&amp;$AW75,$A$10:$J$11,$J$9,FALSE)&amp;U$7,COM_N_2012!$B$58:$AJ$58,0),FALSE),"")</f>
        <v/>
      </c>
      <c r="V75" s="391" t="str">
        <f ca="1">IFERROR(VLOOKUP($C75,COM_N_2012!$B$61:$AJ$122,MATCH(VLOOKUP("*"&amp;$AW75,$A$10:$J$11,$J$9,FALSE)&amp;V$7,COM_N_2012!$B$58:$AJ$58,0),FALSE),"")</f>
        <v/>
      </c>
      <c r="W75" s="391">
        <f ca="1">IF($A75="*","",IFERROR(VLOOKUP($C75,COM_N_2017!$B$61:$AJ$122,MATCH(VLOOKUP("*"&amp;$AW75,$A$10:$J$11,$J$9,FALSE)&amp;W$7,COM_N_2017!$B$58:$AJ$58,0),FALSE),""))</f>
        <v>0.57445637401467808</v>
      </c>
      <c r="X75" s="391" t="str">
        <f ca="1">IFERROR(VLOOKUP($C75,COM_N_2012!$B$61:$AJ$122,MATCH(VLOOKUP("*"&amp;$AW75,$A$10:$J$11,$J$9,FALSE)&amp;X$7,COM_N_2012!$B$58:$AJ$58,0),FALSE),"")</f>
        <v/>
      </c>
      <c r="Y75" s="391" t="str">
        <f ca="1">IFERROR(VLOOKUP($C75,COM_N_2012!$B$61:$AJ$122,MATCH(VLOOKUP("*"&amp;$AW75,$A$10:$J$11,$J$9,FALSE)&amp;Y$7,COM_N_2012!$B$58:$AJ$58,0),FALSE),"")</f>
        <v/>
      </c>
      <c r="Z75" s="391" t="str">
        <f ca="1">IFERROR(VLOOKUP($C75,COM_N_2012!$B$61:$AJ$122,MATCH(VLOOKUP("*"&amp;$AW75,$A$10:$J$11,$J$9,FALSE)&amp;Z$7,COM_N_2012!$B$58:$AJ$58,0),FALSE),"")</f>
        <v/>
      </c>
      <c r="AA75" s="391" t="str">
        <f ca="1">IFERROR(VLOOKUP($C75,COM_N_2012!$B$61:$AJ$122,MATCH(VLOOKUP("*"&amp;$AW75,$A$10:$J$11,$J$9,FALSE)&amp;AA$7,COM_N_2012!$B$58:$AJ$58,0),FALSE),"")</f>
        <v/>
      </c>
      <c r="AB75" s="391">
        <f ca="1">IF($A75="*","",IFERROR(VLOOKUP($C75,COM_N_2017!$B$61:$AJ$122,MATCH(VLOOKUP("*"&amp;$AW75,$A$10:$J$11,$J$9,FALSE)&amp;AB$7,COM_N_2017!$B$58:$AJ$58,0),FALSE),""))</f>
        <v>0.44679940201141621</v>
      </c>
      <c r="AC75" s="391" t="str">
        <f ca="1">IFERROR(VLOOKUP($C75,COM_N_2012!$B$61:$AJ$122,MATCH(VLOOKUP("*"&amp;$AW75,$A$10:$J$11,$J$9,FALSE)&amp;AC$7,COM_N_2012!$B$58:$AJ$58,0),FALSE),"")</f>
        <v/>
      </c>
      <c r="AD75" s="391" t="str">
        <f ca="1">IFERROR(VLOOKUP($C75,COM_N_2012!$B$61:$AJ$122,MATCH(VLOOKUP("*"&amp;$AW75,$A$10:$J$11,$J$9,FALSE)&amp;AD$7,COM_N_2012!$B$58:$AJ$58,0),FALSE),"")</f>
        <v/>
      </c>
      <c r="AE75" s="391" t="str">
        <f ca="1">IFERROR(VLOOKUP($C75,COM_N_2012!$B$61:$AJ$122,MATCH(VLOOKUP("*"&amp;$AW75,$A$10:$J$11,$J$9,FALSE)&amp;AE$7,COM_N_2012!$B$58:$AJ$58,0),FALSE),"")</f>
        <v/>
      </c>
      <c r="AF75" s="391" t="str">
        <f ca="1">IFERROR(VLOOKUP($C75,COM_N_2012!$B$61:$AJ$122,MATCH(VLOOKUP("*"&amp;$AW75,$A$10:$J$11,$J$9,FALSE)&amp;AF$7,COM_N_2012!$B$58:$AJ$58,0),FALSE),"")</f>
        <v/>
      </c>
      <c r="AG75" s="391">
        <f ca="1">IF($A75="*","",IFERROR(VLOOKUP($C75,COM_N_2017!$B$61:$AJ$122,MATCH(VLOOKUP("*"&amp;$AW75,$A$10:$J$11,$J$9,FALSE)&amp;AG$7,COM_N_2017!$B$58:$AJ$58,0),FALSE),""))</f>
        <v>0.31914243000815445</v>
      </c>
      <c r="AH75" s="391" t="str">
        <f ca="1">IFERROR(VLOOKUP($C75,COM_N_2012!$B$61:$AJ$122,MATCH(VLOOKUP("*"&amp;$AW75,$A$10:$J$11,$J$9,FALSE)&amp;AH$7,COM_N_2012!$B$58:$AJ$58,0),FALSE),"")</f>
        <v/>
      </c>
      <c r="AI75" s="391" t="str">
        <f ca="1">IFERROR(VLOOKUP($C75,COM_N_2012!$B$61:$AJ$122,MATCH(VLOOKUP("*"&amp;$AW75,$A$10:$J$11,$J$9,FALSE)&amp;AI$7,COM_N_2012!$B$58:$AJ$58,0),FALSE),"")</f>
        <v/>
      </c>
      <c r="AJ75" s="391" t="str">
        <f ca="1">IFERROR(VLOOKUP($C75,COM_N_2012!$B$61:$AJ$122,MATCH(VLOOKUP("*"&amp;$AW75,$A$10:$J$11,$J$9,FALSE)&amp;AJ$7,COM_N_2012!$B$58:$AJ$58,0),FALSE),"")</f>
        <v/>
      </c>
      <c r="AK75" s="391" t="str">
        <f ca="1">IFERROR(VLOOKUP($C75,COM_N_2012!$B$61:$AJ$122,MATCH(VLOOKUP("*"&amp;$AW75,$A$10:$J$11,$J$9,FALSE)&amp;AK$7,COM_N_2012!$B$58:$AJ$58,0),FALSE),"")</f>
        <v/>
      </c>
      <c r="AL75" s="391">
        <f ca="1">IF($A75="*","",IFERROR(VLOOKUP($C75,COM_N_2017!$B$61:$AJ$122,MATCH(VLOOKUP("*"&amp;$AW75,$A$10:$J$11,$J$9,FALSE)&amp;AL$7,COM_N_2017!$B$58:$AJ$58,0),FALSE),""))</f>
        <v>0.19148545800489267</v>
      </c>
      <c r="AM75" s="391">
        <f ca="1">IF($A75="*","",IFERROR(VLOOKUP($C75,COM_N_2017!$B$61:$AJ$122,MATCH(VLOOKUP("*"&amp;$AW75,$A$10:$J$11,$J$9,FALSE)&amp;AM$7,COM_N_2017!$B$58:$AJ$58,0),FALSE),""))</f>
        <v>6.3828486001630894E-2</v>
      </c>
      <c r="AN75" s="391">
        <f ca="1">IF($A75="*","",IFERROR(VLOOKUP($C75,COM_N_2017!$B$61:$AJ$122,MATCH(VLOOKUP("*"&amp;$AW75,$A$10:$J$11,$J$9,FALSE)&amp;AN$7,COM_N_2017!$B$58:$AJ$58,0),FALSE),""))</f>
        <v>0</v>
      </c>
      <c r="AO75" s="391" t="str">
        <f ca="1">IFERROR(VLOOKUP($C75,COM_N_2012!$B$61:$AJ$122,MATCH(VLOOKUP("*"&amp;$AW75,$A$10:$J$11,$J$9,FALSE)&amp;AO$7,COM_N_2012!$B$58:$AJ$58,0),FALSE),"")</f>
        <v/>
      </c>
      <c r="AP75" s="391" t="str">
        <f ca="1">IFERROR(VLOOKUP($C75,COM_N_2012!$B$61:$AJ$122,MATCH(VLOOKUP("*"&amp;$AW75,$A$10:$J$11,$J$9,FALSE)&amp;AP$7,COM_N_2012!$B$58:$AJ$58,0),FALSE),"")</f>
        <v/>
      </c>
      <c r="AQ75" s="391" t="str">
        <f ca="1">IFERROR(VLOOKUP($C75,COM_N_2012!$B$61:$AJ$122,MATCH(VLOOKUP("*"&amp;$AW75,$A$10:$J$11,$J$9,FALSE)&amp;AQ$7,COM_N_2012!$B$58:$AJ$58,0),FALSE),"")</f>
        <v/>
      </c>
      <c r="AR75" s="391" t="str">
        <f ca="1">IFERROR(VLOOKUP($C75,COM_N_2012!$B$61:$AJ$122,MATCH(VLOOKUP("*"&amp;$AW75,$A$10:$J$11,$J$9,FALSE)&amp;AR$7,COM_N_2012!$B$58:$AJ$58,0),FALSE),"")</f>
        <v/>
      </c>
      <c r="AS75" s="391" t="str">
        <f ca="1">IFERROR(VLOOKUP($C75,COM_N_2012!$B$61:$AJ$122,MATCH(VLOOKUP("*"&amp;$AW75,$A$10:$J$11,$J$9,FALSE)&amp;AS$7,COM_N_2012!$B$58:$AJ$58,0),FALSE),"")</f>
        <v/>
      </c>
      <c r="AT75" s="391" t="str">
        <f ca="1">IFERROR(VLOOKUP($C75,COM_N_2012!$B$61:$AJ$122,MATCH(VLOOKUP("*"&amp;$AW75,$A$10:$J$11,$J$9,FALSE)&amp;AT$7,COM_N_2012!$B$58:$AJ$58,0),FALSE),"")</f>
        <v/>
      </c>
      <c r="AU75" s="391" t="str">
        <f ca="1">IFERROR(VLOOKUP($C75,COM_N_2012!$B$61:$AJ$122,MATCH(VLOOKUP("*"&amp;$AW75,$A$10:$J$11,$J$9,FALSE)&amp;AU$7,COM_N_2012!$B$58:$AJ$58,0),FALSE),"")</f>
        <v/>
      </c>
      <c r="AV75" s="391" t="str">
        <f ca="1">IFERROR(VLOOKUP($C75,COM_N_2012!$B$61:$AJ$122,MATCH(VLOOKUP("*"&amp;$AW75,$A$10:$J$11,$J$9,FALSE)&amp;AV$7,COM_N_2012!$B$58:$AJ$58,0),FALSE),"")</f>
        <v/>
      </c>
      <c r="AW75" s="304">
        <f>IF(AX74=COM_N_2012!$AK$121,AW74+1,AW74)</f>
        <v>2</v>
      </c>
      <c r="AX75" s="304">
        <f t="shared" si="13"/>
        <v>2</v>
      </c>
    </row>
    <row r="76" spans="1:50">
      <c r="A76" s="304" t="str">
        <f ca="1">IF(LEFT(OFFSET(COM_N_2012!$A$60,AX76,0),2)="\I","*","")</f>
        <v/>
      </c>
      <c r="B76" s="369" t="str">
        <f t="shared" ca="1" si="11"/>
        <v>FLO_MRKPRD</v>
      </c>
      <c r="C76" s="369" t="str">
        <f ca="1">IF($A76="*","",OFFSET(COM_N_2012!$B$60,AX76,0))</f>
        <v>CNCELCHP-E</v>
      </c>
      <c r="D76" s="369" t="str">
        <f t="shared" ca="1" si="12"/>
        <v>CNC</v>
      </c>
      <c r="E76" s="369" t="str">
        <f t="shared" ca="1" si="16"/>
        <v>-</v>
      </c>
      <c r="F76" s="370" t="str">
        <f t="shared" ca="1" si="9"/>
        <v>-</v>
      </c>
      <c r="G76" s="370" t="str">
        <f t="shared" ca="1" si="9"/>
        <v>ANNUAL</v>
      </c>
      <c r="H76" s="370" t="str">
        <f t="shared" ca="1" si="17"/>
        <v>LO</v>
      </c>
      <c r="I76" s="370">
        <f t="shared" ca="1" si="17"/>
        <v>0</v>
      </c>
      <c r="J76" s="391">
        <f ca="1">IFERROR(VLOOKUP($C76,COM_N_2012!$B$61:$AJ$122,MATCH(VLOOKUP("*"&amp;$AW76,$A$10:$J$11,$J$9,FALSE)&amp;J$7,COM_N_2012!$B$58:$AJ$58,0),FALSE),"")</f>
        <v>0.17328078282141884</v>
      </c>
      <c r="K76" s="391" t="str">
        <f ca="1">IFERROR(VLOOKUP($C76,COM_N_2012!$B$61:$AJ$122,MATCH(VLOOKUP("*"&amp;$AW76,$A$10:$J$11,$J$9,FALSE)&amp;K$7,COM_N_2012!$B$58:$AJ$58,0),FALSE),"")</f>
        <v/>
      </c>
      <c r="L76" s="391" t="str">
        <f ca="1">IFERROR(VLOOKUP($C76,COM_N_2012!$B$61:$AJ$122,MATCH(VLOOKUP("*"&amp;$AW76,$A$10:$J$11,$J$9,FALSE)&amp;L$7,COM_N_2012!$B$58:$AJ$58,0),FALSE),"")</f>
        <v/>
      </c>
      <c r="M76" s="391">
        <f ca="1">IFERROR(VLOOKUP($C76,COM_N_2012!$B$61:$AJ$122,MATCH(VLOOKUP("*"&amp;$AW76,$A$10:$J$11,$J$9,FALSE)&amp;M$7,COM_N_2012!$B$58:$AJ$58,0),FALSE),"")</f>
        <v>0.13862462625713509</v>
      </c>
      <c r="N76" s="391" t="str">
        <f ca="1">IFERROR(VLOOKUP($C76,COM_N_2012!$B$61:$AJ$122,MATCH(VLOOKUP("*"&amp;$AW76,$A$10:$J$11,$J$9,FALSE)&amp;N$7,COM_N_2012!$B$58:$AJ$58,0),FALSE),"")</f>
        <v/>
      </c>
      <c r="O76" s="391">
        <f ca="1">IF($A76="*","",IFERROR(VLOOKUP($C76,COM_N_2017!$B$61:$AJ$122,MATCH(VLOOKUP("*"&amp;$AW76,$A$10:$J$11,$J$9,FALSE)&amp;O$7,COM_N_2017!$B$58:$AJ$58,0),FALSE),""))</f>
        <v>0.17158195161728731</v>
      </c>
      <c r="P76" s="391" t="str">
        <f ca="1">IFERROR(VLOOKUP($C76,COM_N_2012!$B$61:$AJ$122,MATCH(VLOOKUP("*"&amp;$AW76,$A$10:$J$11,$J$9,FALSE)&amp;P$7,COM_N_2012!$B$58:$AJ$58,0),FALSE),"")</f>
        <v/>
      </c>
      <c r="Q76" s="391" t="str">
        <f ca="1">IFERROR(VLOOKUP($C76,COM_N_2012!$B$61:$AJ$122,MATCH(VLOOKUP("*"&amp;$AW76,$A$10:$J$11,$J$9,FALSE)&amp;Q$7,COM_N_2012!$B$58:$AJ$58,0),FALSE),"")</f>
        <v/>
      </c>
      <c r="R76" s="391">
        <f ca="1">IF($A76="*","",IFERROR(VLOOKUP($C76,COM_N_2017!$B$61:$AJ$122,MATCH(VLOOKUP("*"&amp;$AW76,$A$10:$J$11,$J$9,FALSE)&amp;R$7,COM_N_2017!$B$58:$AJ$58,0),FALSE),""))</f>
        <v>0.1664344930687687</v>
      </c>
      <c r="S76" s="391" t="str">
        <f ca="1">IFERROR(VLOOKUP($C76,COM_N_2012!$B$61:$AJ$122,MATCH(VLOOKUP("*"&amp;$AW76,$A$10:$J$11,$J$9,FALSE)&amp;S$7,COM_N_2012!$B$58:$AJ$58,0),FALSE),"")</f>
        <v/>
      </c>
      <c r="T76" s="391" t="str">
        <f ca="1">IFERROR(VLOOKUP($C76,COM_N_2012!$B$61:$AJ$122,MATCH(VLOOKUP("*"&amp;$AW76,$A$10:$J$11,$J$9,FALSE)&amp;T$7,COM_N_2012!$B$58:$AJ$58,0),FALSE),"")</f>
        <v/>
      </c>
      <c r="U76" s="391" t="str">
        <f ca="1">IFERROR(VLOOKUP($C76,COM_N_2012!$B$61:$AJ$122,MATCH(VLOOKUP("*"&amp;$AW76,$A$10:$J$11,$J$9,FALSE)&amp;U$7,COM_N_2012!$B$58:$AJ$58,0),FALSE),"")</f>
        <v/>
      </c>
      <c r="V76" s="391" t="str">
        <f ca="1">IFERROR(VLOOKUP($C76,COM_N_2012!$B$61:$AJ$122,MATCH(VLOOKUP("*"&amp;$AW76,$A$10:$J$11,$J$9,FALSE)&amp;V$7,COM_N_2012!$B$58:$AJ$58,0),FALSE),"")</f>
        <v/>
      </c>
      <c r="W76" s="391">
        <f ca="1">IF($A76="*","",IFERROR(VLOOKUP($C76,COM_N_2017!$B$61:$AJ$122,MATCH(VLOOKUP("*"&amp;$AW76,$A$10:$J$11,$J$9,FALSE)&amp;W$7,COM_N_2017!$B$58:$AJ$58,0),FALSE),""))</f>
        <v>0.15442375645555859</v>
      </c>
      <c r="X76" s="391" t="str">
        <f ca="1">IFERROR(VLOOKUP($C76,COM_N_2012!$B$61:$AJ$122,MATCH(VLOOKUP("*"&amp;$AW76,$A$10:$J$11,$J$9,FALSE)&amp;X$7,COM_N_2012!$B$58:$AJ$58,0),FALSE),"")</f>
        <v/>
      </c>
      <c r="Y76" s="391" t="str">
        <f ca="1">IFERROR(VLOOKUP($C76,COM_N_2012!$B$61:$AJ$122,MATCH(VLOOKUP("*"&amp;$AW76,$A$10:$J$11,$J$9,FALSE)&amp;Y$7,COM_N_2012!$B$58:$AJ$58,0),FALSE),"")</f>
        <v/>
      </c>
      <c r="Z76" s="391" t="str">
        <f ca="1">IFERROR(VLOOKUP($C76,COM_N_2012!$B$61:$AJ$122,MATCH(VLOOKUP("*"&amp;$AW76,$A$10:$J$11,$J$9,FALSE)&amp;Z$7,COM_N_2012!$B$58:$AJ$58,0),FALSE),"")</f>
        <v/>
      </c>
      <c r="AA76" s="391" t="str">
        <f ca="1">IFERROR(VLOOKUP($C76,COM_N_2012!$B$61:$AJ$122,MATCH(VLOOKUP("*"&amp;$AW76,$A$10:$J$11,$J$9,FALSE)&amp;AA$7,COM_N_2012!$B$58:$AJ$58,0),FALSE),"")</f>
        <v/>
      </c>
      <c r="AB76" s="391">
        <f ca="1">IF($A76="*","",IFERROR(VLOOKUP($C76,COM_N_2017!$B$61:$AJ$122,MATCH(VLOOKUP("*"&amp;$AW76,$A$10:$J$11,$J$9,FALSE)&amp;AB$7,COM_N_2017!$B$58:$AJ$58,0),FALSE),""))</f>
        <v>0.12010736613210111</v>
      </c>
      <c r="AC76" s="391" t="str">
        <f ca="1">IFERROR(VLOOKUP($C76,COM_N_2012!$B$61:$AJ$122,MATCH(VLOOKUP("*"&amp;$AW76,$A$10:$J$11,$J$9,FALSE)&amp;AC$7,COM_N_2012!$B$58:$AJ$58,0),FALSE),"")</f>
        <v/>
      </c>
      <c r="AD76" s="391" t="str">
        <f ca="1">IFERROR(VLOOKUP($C76,COM_N_2012!$B$61:$AJ$122,MATCH(VLOOKUP("*"&amp;$AW76,$A$10:$J$11,$J$9,FALSE)&amp;AD$7,COM_N_2012!$B$58:$AJ$58,0),FALSE),"")</f>
        <v/>
      </c>
      <c r="AE76" s="391" t="str">
        <f ca="1">IFERROR(VLOOKUP($C76,COM_N_2012!$B$61:$AJ$122,MATCH(VLOOKUP("*"&amp;$AW76,$A$10:$J$11,$J$9,FALSE)&amp;AE$7,COM_N_2012!$B$58:$AJ$58,0),FALSE),"")</f>
        <v/>
      </c>
      <c r="AF76" s="391" t="str">
        <f ca="1">IFERROR(VLOOKUP($C76,COM_N_2012!$B$61:$AJ$122,MATCH(VLOOKUP("*"&amp;$AW76,$A$10:$J$11,$J$9,FALSE)&amp;AF$7,COM_N_2012!$B$58:$AJ$58,0),FALSE),"")</f>
        <v/>
      </c>
      <c r="AG76" s="391">
        <f ca="1">IF($A76="*","",IFERROR(VLOOKUP($C76,COM_N_2017!$B$61:$AJ$122,MATCH(VLOOKUP("*"&amp;$AW76,$A$10:$J$11,$J$9,FALSE)&amp;AG$7,COM_N_2017!$B$58:$AJ$58,0),FALSE),""))</f>
        <v>8.5790975808643657E-2</v>
      </c>
      <c r="AH76" s="391" t="str">
        <f ca="1">IFERROR(VLOOKUP($C76,COM_N_2012!$B$61:$AJ$122,MATCH(VLOOKUP("*"&amp;$AW76,$A$10:$J$11,$J$9,FALSE)&amp;AH$7,COM_N_2012!$B$58:$AJ$58,0),FALSE),"")</f>
        <v/>
      </c>
      <c r="AI76" s="391" t="str">
        <f ca="1">IFERROR(VLOOKUP($C76,COM_N_2012!$B$61:$AJ$122,MATCH(VLOOKUP("*"&amp;$AW76,$A$10:$J$11,$J$9,FALSE)&amp;AI$7,COM_N_2012!$B$58:$AJ$58,0),FALSE),"")</f>
        <v/>
      </c>
      <c r="AJ76" s="391" t="str">
        <f ca="1">IFERROR(VLOOKUP($C76,COM_N_2012!$B$61:$AJ$122,MATCH(VLOOKUP("*"&amp;$AW76,$A$10:$J$11,$J$9,FALSE)&amp;AJ$7,COM_N_2012!$B$58:$AJ$58,0),FALSE),"")</f>
        <v/>
      </c>
      <c r="AK76" s="391" t="str">
        <f ca="1">IFERROR(VLOOKUP($C76,COM_N_2012!$B$61:$AJ$122,MATCH(VLOOKUP("*"&amp;$AW76,$A$10:$J$11,$J$9,FALSE)&amp;AK$7,COM_N_2012!$B$58:$AJ$58,0),FALSE),"")</f>
        <v/>
      </c>
      <c r="AL76" s="391">
        <f ca="1">IF($A76="*","",IFERROR(VLOOKUP($C76,COM_N_2017!$B$61:$AJ$122,MATCH(VLOOKUP("*"&amp;$AW76,$A$10:$J$11,$J$9,FALSE)&amp;AL$7,COM_N_2017!$B$58:$AJ$58,0),FALSE),""))</f>
        <v>5.1474585485186193E-2</v>
      </c>
      <c r="AM76" s="391">
        <f ca="1">IF($A76="*","",IFERROR(VLOOKUP($C76,COM_N_2017!$B$61:$AJ$122,MATCH(VLOOKUP("*"&amp;$AW76,$A$10:$J$11,$J$9,FALSE)&amp;AM$7,COM_N_2017!$B$58:$AJ$58,0),FALSE),""))</f>
        <v>1.7158195161728732E-2</v>
      </c>
      <c r="AN76" s="391">
        <f ca="1">IF($A76="*","",IFERROR(VLOOKUP($C76,COM_N_2017!$B$61:$AJ$122,MATCH(VLOOKUP("*"&amp;$AW76,$A$10:$J$11,$J$9,FALSE)&amp;AN$7,COM_N_2017!$B$58:$AJ$58,0),FALSE),""))</f>
        <v>0</v>
      </c>
      <c r="AO76" s="391" t="str">
        <f ca="1">IFERROR(VLOOKUP($C76,COM_N_2012!$B$61:$AJ$122,MATCH(VLOOKUP("*"&amp;$AW76,$A$10:$J$11,$J$9,FALSE)&amp;AO$7,COM_N_2012!$B$58:$AJ$58,0),FALSE),"")</f>
        <v/>
      </c>
      <c r="AP76" s="391" t="str">
        <f ca="1">IFERROR(VLOOKUP($C76,COM_N_2012!$B$61:$AJ$122,MATCH(VLOOKUP("*"&amp;$AW76,$A$10:$J$11,$J$9,FALSE)&amp;AP$7,COM_N_2012!$B$58:$AJ$58,0),FALSE),"")</f>
        <v/>
      </c>
      <c r="AQ76" s="391" t="str">
        <f ca="1">IFERROR(VLOOKUP($C76,COM_N_2012!$B$61:$AJ$122,MATCH(VLOOKUP("*"&amp;$AW76,$A$10:$J$11,$J$9,FALSE)&amp;AQ$7,COM_N_2012!$B$58:$AJ$58,0),FALSE),"")</f>
        <v/>
      </c>
      <c r="AR76" s="391" t="str">
        <f ca="1">IFERROR(VLOOKUP($C76,COM_N_2012!$B$61:$AJ$122,MATCH(VLOOKUP("*"&amp;$AW76,$A$10:$J$11,$J$9,FALSE)&amp;AR$7,COM_N_2012!$B$58:$AJ$58,0),FALSE),"")</f>
        <v/>
      </c>
      <c r="AS76" s="391" t="str">
        <f ca="1">IFERROR(VLOOKUP($C76,COM_N_2012!$B$61:$AJ$122,MATCH(VLOOKUP("*"&amp;$AW76,$A$10:$J$11,$J$9,FALSE)&amp;AS$7,COM_N_2012!$B$58:$AJ$58,0),FALSE),"")</f>
        <v/>
      </c>
      <c r="AT76" s="391" t="str">
        <f ca="1">IFERROR(VLOOKUP($C76,COM_N_2012!$B$61:$AJ$122,MATCH(VLOOKUP("*"&amp;$AW76,$A$10:$J$11,$J$9,FALSE)&amp;AT$7,COM_N_2012!$B$58:$AJ$58,0),FALSE),"")</f>
        <v/>
      </c>
      <c r="AU76" s="391" t="str">
        <f ca="1">IFERROR(VLOOKUP($C76,COM_N_2012!$B$61:$AJ$122,MATCH(VLOOKUP("*"&amp;$AW76,$A$10:$J$11,$J$9,FALSE)&amp;AU$7,COM_N_2012!$B$58:$AJ$58,0),FALSE),"")</f>
        <v/>
      </c>
      <c r="AV76" s="391" t="str">
        <f ca="1">IFERROR(VLOOKUP($C76,COM_N_2012!$B$61:$AJ$122,MATCH(VLOOKUP("*"&amp;$AW76,$A$10:$J$11,$J$9,FALSE)&amp;AV$7,COM_N_2012!$B$58:$AJ$58,0),FALSE),"")</f>
        <v/>
      </c>
      <c r="AW76" s="304">
        <f>IF(AX75=COM_N_2012!$AK$121,AW75+1,AW75)</f>
        <v>2</v>
      </c>
      <c r="AX76" s="304">
        <f t="shared" si="13"/>
        <v>3</v>
      </c>
    </row>
    <row r="77" spans="1:50">
      <c r="A77" s="304" t="str">
        <f ca="1">IF(LEFT(OFFSET(COM_N_2012!$A$60,AX77,0),2)="\I","*","")</f>
        <v/>
      </c>
      <c r="B77" s="369" t="str">
        <f t="shared" ref="B77:B108" ca="1" si="18">IF(A77="*","",VLOOKUP("*"&amp;AW77,$A$9:$B$11,2,FALSE))</f>
        <v>FLO_MRKPRD</v>
      </c>
      <c r="C77" s="369" t="str">
        <f ca="1">IF($A77="*","",OFFSET(COM_N_2012!$B$60,AX77,0))</f>
        <v>CNCELCROOM-E</v>
      </c>
      <c r="D77" s="369" t="str">
        <f t="shared" ref="D77:D108" ca="1" si="19">IF($A77="*","",LEFT(C77,3))</f>
        <v>CNC</v>
      </c>
      <c r="E77" s="369" t="str">
        <f t="shared" ca="1" si="16"/>
        <v>-</v>
      </c>
      <c r="F77" s="370" t="str">
        <f t="shared" ca="1" si="9"/>
        <v>-</v>
      </c>
      <c r="G77" s="370" t="str">
        <f t="shared" ca="1" si="9"/>
        <v>ANNUAL</v>
      </c>
      <c r="H77" s="370" t="str">
        <f t="shared" ca="1" si="17"/>
        <v>LO</v>
      </c>
      <c r="I77" s="370">
        <f t="shared" ca="1" si="17"/>
        <v>0</v>
      </c>
      <c r="J77" s="391">
        <f ca="1">IFERROR(VLOOKUP($C77,COM_N_2012!$B$61:$AJ$122,MATCH(VLOOKUP("*"&amp;$AW77,$A$10:$J$11,$J$9,FALSE)&amp;J$7,COM_N_2012!$B$58:$AJ$58,0),FALSE),"")</f>
        <v>0.12476216363142158</v>
      </c>
      <c r="K77" s="391" t="str">
        <f ca="1">IFERROR(VLOOKUP($C77,COM_N_2012!$B$61:$AJ$122,MATCH(VLOOKUP("*"&amp;$AW77,$A$10:$J$11,$J$9,FALSE)&amp;K$7,COM_N_2012!$B$58:$AJ$58,0),FALSE),"")</f>
        <v/>
      </c>
      <c r="L77" s="391" t="str">
        <f ca="1">IFERROR(VLOOKUP($C77,COM_N_2012!$B$61:$AJ$122,MATCH(VLOOKUP("*"&amp;$AW77,$A$10:$J$11,$J$9,FALSE)&amp;L$7,COM_N_2012!$B$58:$AJ$58,0),FALSE),"")</f>
        <v/>
      </c>
      <c r="M77" s="391">
        <f ca="1">IFERROR(VLOOKUP($C77,COM_N_2012!$B$61:$AJ$122,MATCH(VLOOKUP("*"&amp;$AW77,$A$10:$J$11,$J$9,FALSE)&amp;M$7,COM_N_2012!$B$58:$AJ$58,0),FALSE),"")</f>
        <v>9.980973090513727E-2</v>
      </c>
      <c r="N77" s="391" t="str">
        <f ca="1">IFERROR(VLOOKUP($C77,COM_N_2012!$B$61:$AJ$122,MATCH(VLOOKUP("*"&amp;$AW77,$A$10:$J$11,$J$9,FALSE)&amp;N$7,COM_N_2012!$B$58:$AJ$58,0),FALSE),"")</f>
        <v/>
      </c>
      <c r="O77" s="391">
        <f ca="1">IF($A77="*","",IFERROR(VLOOKUP($C77,COM_N_2017!$B$61:$AJ$122,MATCH(VLOOKUP("*"&amp;$AW77,$A$10:$J$11,$J$9,FALSE)&amp;O$7,COM_N_2017!$B$58:$AJ$58,0),FALSE),""))</f>
        <v>0.12353900516444682</v>
      </c>
      <c r="P77" s="391" t="str">
        <f ca="1">IFERROR(VLOOKUP($C77,COM_N_2012!$B$61:$AJ$122,MATCH(VLOOKUP("*"&amp;$AW77,$A$10:$J$11,$J$9,FALSE)&amp;P$7,COM_N_2012!$B$58:$AJ$58,0),FALSE),"")</f>
        <v/>
      </c>
      <c r="Q77" s="391" t="str">
        <f ca="1">IFERROR(VLOOKUP($C77,COM_N_2012!$B$61:$AJ$122,MATCH(VLOOKUP("*"&amp;$AW77,$A$10:$J$11,$J$9,FALSE)&amp;Q$7,COM_N_2012!$B$58:$AJ$58,0),FALSE),"")</f>
        <v/>
      </c>
      <c r="R77" s="391">
        <f ca="1">IF($A77="*","",IFERROR(VLOOKUP($C77,COM_N_2017!$B$61:$AJ$122,MATCH(VLOOKUP("*"&amp;$AW77,$A$10:$J$11,$J$9,FALSE)&amp;R$7,COM_N_2017!$B$58:$AJ$58,0),FALSE),""))</f>
        <v>0.11983283500951342</v>
      </c>
      <c r="S77" s="391" t="str">
        <f ca="1">IFERROR(VLOOKUP($C77,COM_N_2012!$B$61:$AJ$122,MATCH(VLOOKUP("*"&amp;$AW77,$A$10:$J$11,$J$9,FALSE)&amp;S$7,COM_N_2012!$B$58:$AJ$58,0),FALSE),"")</f>
        <v/>
      </c>
      <c r="T77" s="391" t="str">
        <f ca="1">IFERROR(VLOOKUP($C77,COM_N_2012!$B$61:$AJ$122,MATCH(VLOOKUP("*"&amp;$AW77,$A$10:$J$11,$J$9,FALSE)&amp;T$7,COM_N_2012!$B$58:$AJ$58,0),FALSE),"")</f>
        <v/>
      </c>
      <c r="U77" s="391" t="str">
        <f ca="1">IFERROR(VLOOKUP($C77,COM_N_2012!$B$61:$AJ$122,MATCH(VLOOKUP("*"&amp;$AW77,$A$10:$J$11,$J$9,FALSE)&amp;U$7,COM_N_2012!$B$58:$AJ$58,0),FALSE),"")</f>
        <v/>
      </c>
      <c r="V77" s="391" t="str">
        <f ca="1">IFERROR(VLOOKUP($C77,COM_N_2012!$B$61:$AJ$122,MATCH(VLOOKUP("*"&amp;$AW77,$A$10:$J$11,$J$9,FALSE)&amp;V$7,COM_N_2012!$B$58:$AJ$58,0),FALSE),"")</f>
        <v/>
      </c>
      <c r="W77" s="391">
        <f ca="1">IF($A77="*","",IFERROR(VLOOKUP($C77,COM_N_2017!$B$61:$AJ$122,MATCH(VLOOKUP("*"&amp;$AW77,$A$10:$J$11,$J$9,FALSE)&amp;W$7,COM_N_2017!$B$58:$AJ$58,0),FALSE),""))</f>
        <v>0.11118510464800214</v>
      </c>
      <c r="X77" s="391" t="str">
        <f ca="1">IFERROR(VLOOKUP($C77,COM_N_2012!$B$61:$AJ$122,MATCH(VLOOKUP("*"&amp;$AW77,$A$10:$J$11,$J$9,FALSE)&amp;X$7,COM_N_2012!$B$58:$AJ$58,0),FALSE),"")</f>
        <v/>
      </c>
      <c r="Y77" s="391" t="str">
        <f ca="1">IFERROR(VLOOKUP($C77,COM_N_2012!$B$61:$AJ$122,MATCH(VLOOKUP("*"&amp;$AW77,$A$10:$J$11,$J$9,FALSE)&amp;Y$7,COM_N_2012!$B$58:$AJ$58,0),FALSE),"")</f>
        <v/>
      </c>
      <c r="Z77" s="391" t="str">
        <f ca="1">IFERROR(VLOOKUP($C77,COM_N_2012!$B$61:$AJ$122,MATCH(VLOOKUP("*"&amp;$AW77,$A$10:$J$11,$J$9,FALSE)&amp;Z$7,COM_N_2012!$B$58:$AJ$58,0),FALSE),"")</f>
        <v/>
      </c>
      <c r="AA77" s="391" t="str">
        <f ca="1">IFERROR(VLOOKUP($C77,COM_N_2012!$B$61:$AJ$122,MATCH(VLOOKUP("*"&amp;$AW77,$A$10:$J$11,$J$9,FALSE)&amp;AA$7,COM_N_2012!$B$58:$AJ$58,0),FALSE),"")</f>
        <v/>
      </c>
      <c r="AB77" s="391">
        <f ca="1">IF($A77="*","",IFERROR(VLOOKUP($C77,COM_N_2017!$B$61:$AJ$122,MATCH(VLOOKUP("*"&amp;$AW77,$A$10:$J$11,$J$9,FALSE)&amp;AB$7,COM_N_2017!$B$58:$AJ$58,0),FALSE),""))</f>
        <v>8.6477303615112772E-2</v>
      </c>
      <c r="AC77" s="391" t="str">
        <f ca="1">IFERROR(VLOOKUP($C77,COM_N_2012!$B$61:$AJ$122,MATCH(VLOOKUP("*"&amp;$AW77,$A$10:$J$11,$J$9,FALSE)&amp;AC$7,COM_N_2012!$B$58:$AJ$58,0),FALSE),"")</f>
        <v/>
      </c>
      <c r="AD77" s="391" t="str">
        <f ca="1">IFERROR(VLOOKUP($C77,COM_N_2012!$B$61:$AJ$122,MATCH(VLOOKUP("*"&amp;$AW77,$A$10:$J$11,$J$9,FALSE)&amp;AD$7,COM_N_2012!$B$58:$AJ$58,0),FALSE),"")</f>
        <v/>
      </c>
      <c r="AE77" s="391" t="str">
        <f ca="1">IFERROR(VLOOKUP($C77,COM_N_2012!$B$61:$AJ$122,MATCH(VLOOKUP("*"&amp;$AW77,$A$10:$J$11,$J$9,FALSE)&amp;AE$7,COM_N_2012!$B$58:$AJ$58,0),FALSE),"")</f>
        <v/>
      </c>
      <c r="AF77" s="391" t="str">
        <f ca="1">IFERROR(VLOOKUP($C77,COM_N_2012!$B$61:$AJ$122,MATCH(VLOOKUP("*"&amp;$AW77,$A$10:$J$11,$J$9,FALSE)&amp;AF$7,COM_N_2012!$B$58:$AJ$58,0),FALSE),"")</f>
        <v/>
      </c>
      <c r="AG77" s="391">
        <f ca="1">IF($A77="*","",IFERROR(VLOOKUP($C77,COM_N_2017!$B$61:$AJ$122,MATCH(VLOOKUP("*"&amp;$AW77,$A$10:$J$11,$J$9,FALSE)&amp;AG$7,COM_N_2017!$B$58:$AJ$58,0),FALSE),""))</f>
        <v>6.1769502582223412E-2</v>
      </c>
      <c r="AH77" s="391" t="str">
        <f ca="1">IFERROR(VLOOKUP($C77,COM_N_2012!$B$61:$AJ$122,MATCH(VLOOKUP("*"&amp;$AW77,$A$10:$J$11,$J$9,FALSE)&amp;AH$7,COM_N_2012!$B$58:$AJ$58,0),FALSE),"")</f>
        <v/>
      </c>
      <c r="AI77" s="391" t="str">
        <f ca="1">IFERROR(VLOOKUP($C77,COM_N_2012!$B$61:$AJ$122,MATCH(VLOOKUP("*"&amp;$AW77,$A$10:$J$11,$J$9,FALSE)&amp;AI$7,COM_N_2012!$B$58:$AJ$58,0),FALSE),"")</f>
        <v/>
      </c>
      <c r="AJ77" s="391" t="str">
        <f ca="1">IFERROR(VLOOKUP($C77,COM_N_2012!$B$61:$AJ$122,MATCH(VLOOKUP("*"&amp;$AW77,$A$10:$J$11,$J$9,FALSE)&amp;AJ$7,COM_N_2012!$B$58:$AJ$58,0),FALSE),"")</f>
        <v/>
      </c>
      <c r="AK77" s="391" t="str">
        <f ca="1">IFERROR(VLOOKUP($C77,COM_N_2012!$B$61:$AJ$122,MATCH(VLOOKUP("*"&amp;$AW77,$A$10:$J$11,$J$9,FALSE)&amp;AK$7,COM_N_2012!$B$58:$AJ$58,0),FALSE),"")</f>
        <v/>
      </c>
      <c r="AL77" s="391">
        <f ca="1">IF($A77="*","",IFERROR(VLOOKUP($C77,COM_N_2017!$B$61:$AJ$122,MATCH(VLOOKUP("*"&amp;$AW77,$A$10:$J$11,$J$9,FALSE)&amp;AL$7,COM_N_2017!$B$58:$AJ$58,0),FALSE),""))</f>
        <v>3.7061701549334046E-2</v>
      </c>
      <c r="AM77" s="391">
        <f ca="1">IF($A77="*","",IFERROR(VLOOKUP($C77,COM_N_2017!$B$61:$AJ$122,MATCH(VLOOKUP("*"&amp;$AW77,$A$10:$J$11,$J$9,FALSE)&amp;AM$7,COM_N_2017!$B$58:$AJ$58,0),FALSE),""))</f>
        <v>1.2353900516444683E-2</v>
      </c>
      <c r="AN77" s="391">
        <f ca="1">IF($A77="*","",IFERROR(VLOOKUP($C77,COM_N_2017!$B$61:$AJ$122,MATCH(VLOOKUP("*"&amp;$AW77,$A$10:$J$11,$J$9,FALSE)&amp;AN$7,COM_N_2017!$B$58:$AJ$58,0),FALSE),""))</f>
        <v>0</v>
      </c>
      <c r="AO77" s="391" t="str">
        <f ca="1">IFERROR(VLOOKUP($C77,COM_N_2012!$B$61:$AJ$122,MATCH(VLOOKUP("*"&amp;$AW77,$A$10:$J$11,$J$9,FALSE)&amp;AO$7,COM_N_2012!$B$58:$AJ$58,0),FALSE),"")</f>
        <v/>
      </c>
      <c r="AP77" s="391" t="str">
        <f ca="1">IFERROR(VLOOKUP($C77,COM_N_2012!$B$61:$AJ$122,MATCH(VLOOKUP("*"&amp;$AW77,$A$10:$J$11,$J$9,FALSE)&amp;AP$7,COM_N_2012!$B$58:$AJ$58,0),FALSE),"")</f>
        <v/>
      </c>
      <c r="AQ77" s="391" t="str">
        <f ca="1">IFERROR(VLOOKUP($C77,COM_N_2012!$B$61:$AJ$122,MATCH(VLOOKUP("*"&amp;$AW77,$A$10:$J$11,$J$9,FALSE)&amp;AQ$7,COM_N_2012!$B$58:$AJ$58,0),FALSE),"")</f>
        <v/>
      </c>
      <c r="AR77" s="391" t="str">
        <f ca="1">IFERROR(VLOOKUP($C77,COM_N_2012!$B$61:$AJ$122,MATCH(VLOOKUP("*"&amp;$AW77,$A$10:$J$11,$J$9,FALSE)&amp;AR$7,COM_N_2012!$B$58:$AJ$58,0),FALSE),"")</f>
        <v/>
      </c>
      <c r="AS77" s="391" t="str">
        <f ca="1">IFERROR(VLOOKUP($C77,COM_N_2012!$B$61:$AJ$122,MATCH(VLOOKUP("*"&amp;$AW77,$A$10:$J$11,$J$9,FALSE)&amp;AS$7,COM_N_2012!$B$58:$AJ$58,0),FALSE),"")</f>
        <v/>
      </c>
      <c r="AT77" s="391" t="str">
        <f ca="1">IFERROR(VLOOKUP($C77,COM_N_2012!$B$61:$AJ$122,MATCH(VLOOKUP("*"&amp;$AW77,$A$10:$J$11,$J$9,FALSE)&amp;AT$7,COM_N_2012!$B$58:$AJ$58,0),FALSE),"")</f>
        <v/>
      </c>
      <c r="AU77" s="391" t="str">
        <f ca="1">IFERROR(VLOOKUP($C77,COM_N_2012!$B$61:$AJ$122,MATCH(VLOOKUP("*"&amp;$AW77,$A$10:$J$11,$J$9,FALSE)&amp;AU$7,COM_N_2012!$B$58:$AJ$58,0),FALSE),"")</f>
        <v/>
      </c>
      <c r="AV77" s="391" t="str">
        <f ca="1">IFERROR(VLOOKUP($C77,COM_N_2012!$B$61:$AJ$122,MATCH(VLOOKUP("*"&amp;$AW77,$A$10:$J$11,$J$9,FALSE)&amp;AV$7,COM_N_2012!$B$58:$AJ$58,0),FALSE),"")</f>
        <v/>
      </c>
      <c r="AW77" s="304">
        <f>IF(AX76=COM_N_2012!$AK$121,AW76+1,AW76)</f>
        <v>2</v>
      </c>
      <c r="AX77" s="304">
        <f t="shared" si="13"/>
        <v>4</v>
      </c>
    </row>
    <row r="78" spans="1:50">
      <c r="A78" s="304" t="str">
        <f ca="1">IF(LEFT(OFFSET(COM_N_2012!$A$60,AX78,0),2)="\I","*","")</f>
        <v/>
      </c>
      <c r="B78" s="369" t="str">
        <f t="shared" ca="1" si="18"/>
        <v>FLO_MRKPRD</v>
      </c>
      <c r="C78" s="369" t="str">
        <f ca="1">IF($A78="*","",OFFSET(COM_N_2012!$B$60,AX78,0))</f>
        <v>CNCELCCEN-N</v>
      </c>
      <c r="D78" s="369" t="str">
        <f t="shared" ca="1" si="19"/>
        <v>CNC</v>
      </c>
      <c r="E78" s="369" t="str">
        <f t="shared" ca="1" si="16"/>
        <v>-</v>
      </c>
      <c r="F78" s="370" t="str">
        <f t="shared" ca="1" si="9"/>
        <v>-</v>
      </c>
      <c r="G78" s="370" t="str">
        <f t="shared" ca="1" si="9"/>
        <v>ANNUAL</v>
      </c>
      <c r="H78" s="370" t="str">
        <f t="shared" ca="1" si="17"/>
        <v>LO</v>
      </c>
      <c r="I78" s="370">
        <f t="shared" ca="1" si="17"/>
        <v>0</v>
      </c>
      <c r="J78" s="391">
        <f ca="1">IFERROR(VLOOKUP($C78,COM_N_2012!$B$61:$AJ$122,MATCH(VLOOKUP("*"&amp;$AW78,$A$10:$J$11,$J$9,FALSE)&amp;J$7,COM_N_2012!$B$58:$AJ$58,0),FALSE),"")</f>
        <v>0</v>
      </c>
      <c r="K78" s="391" t="str">
        <f ca="1">IFERROR(VLOOKUP($C78,COM_N_2012!$B$61:$AJ$122,MATCH(VLOOKUP("*"&amp;$AW78,$A$10:$J$11,$J$9,FALSE)&amp;K$7,COM_N_2012!$B$58:$AJ$58,0),FALSE),"")</f>
        <v/>
      </c>
      <c r="L78" s="391" t="str">
        <f ca="1">IFERROR(VLOOKUP($C78,COM_N_2012!$B$61:$AJ$122,MATCH(VLOOKUP("*"&amp;$AW78,$A$10:$J$11,$J$9,FALSE)&amp;L$7,COM_N_2012!$B$58:$AJ$58,0),FALSE),"")</f>
        <v/>
      </c>
      <c r="M78" s="391">
        <f ca="1">IFERROR(VLOOKUP($C78,COM_N_2012!$B$61:$AJ$122,MATCH(VLOOKUP("*"&amp;$AW78,$A$10:$J$11,$J$9,FALSE)&amp;M$7,COM_N_2012!$B$58:$AJ$58,0),FALSE),"")</f>
        <v>0</v>
      </c>
      <c r="N78" s="391" t="str">
        <f ca="1">IFERROR(VLOOKUP($C78,COM_N_2012!$B$61:$AJ$122,MATCH(VLOOKUP("*"&amp;$AW78,$A$10:$J$11,$J$9,FALSE)&amp;N$7,COM_N_2012!$B$58:$AJ$58,0),FALSE),"")</f>
        <v/>
      </c>
      <c r="O78" s="391">
        <f ca="1">IF($A78="*","",IFERROR(VLOOKUP($C78,COM_N_2017!$B$61:$AJ$122,MATCH(VLOOKUP("*"&amp;$AW78,$A$10:$J$11,$J$9,FALSE)&amp;O$7,COM_N_2017!$B$58:$AJ$58,0),FALSE),""))</f>
        <v>0</v>
      </c>
      <c r="P78" s="391" t="str">
        <f ca="1">IFERROR(VLOOKUP($C78,COM_N_2012!$B$61:$AJ$122,MATCH(VLOOKUP("*"&amp;$AW78,$A$10:$J$11,$J$9,FALSE)&amp;P$7,COM_N_2012!$B$58:$AJ$58,0),FALSE),"")</f>
        <v/>
      </c>
      <c r="Q78" s="391" t="str">
        <f ca="1">IFERROR(VLOOKUP($C78,COM_N_2012!$B$61:$AJ$122,MATCH(VLOOKUP("*"&amp;$AW78,$A$10:$J$11,$J$9,FALSE)&amp;Q$7,COM_N_2012!$B$58:$AJ$58,0),FALSE),"")</f>
        <v/>
      </c>
      <c r="R78" s="391">
        <f ca="1">IF($A78="*","",IFERROR(VLOOKUP($C78,COM_N_2017!$B$61:$AJ$122,MATCH(VLOOKUP("*"&amp;$AW78,$A$10:$J$11,$J$9,FALSE)&amp;R$7,COM_N_2017!$B$58:$AJ$58,0),FALSE),""))</f>
        <v>0</v>
      </c>
      <c r="S78" s="391" t="str">
        <f ca="1">IFERROR(VLOOKUP($C78,COM_N_2012!$B$61:$AJ$122,MATCH(VLOOKUP("*"&amp;$AW78,$A$10:$J$11,$J$9,FALSE)&amp;S$7,COM_N_2012!$B$58:$AJ$58,0),FALSE),"")</f>
        <v/>
      </c>
      <c r="T78" s="391" t="str">
        <f ca="1">IFERROR(VLOOKUP($C78,COM_N_2012!$B$61:$AJ$122,MATCH(VLOOKUP("*"&amp;$AW78,$A$10:$J$11,$J$9,FALSE)&amp;T$7,COM_N_2012!$B$58:$AJ$58,0),FALSE),"")</f>
        <v/>
      </c>
      <c r="U78" s="391" t="str">
        <f ca="1">IFERROR(VLOOKUP($C78,COM_N_2012!$B$61:$AJ$122,MATCH(VLOOKUP("*"&amp;$AW78,$A$10:$J$11,$J$9,FALSE)&amp;U$7,COM_N_2012!$B$58:$AJ$58,0),FALSE),"")</f>
        <v/>
      </c>
      <c r="V78" s="391" t="str">
        <f ca="1">IFERROR(VLOOKUP($C78,COM_N_2012!$B$61:$AJ$122,MATCH(VLOOKUP("*"&amp;$AW78,$A$10:$J$11,$J$9,FALSE)&amp;V$7,COM_N_2012!$B$58:$AJ$58,0),FALSE),"")</f>
        <v/>
      </c>
      <c r="W78" s="391">
        <f ca="1">IF($A78="*","",IFERROR(VLOOKUP($C78,COM_N_2017!$B$61:$AJ$122,MATCH(VLOOKUP("*"&amp;$AW78,$A$10:$J$11,$J$9,FALSE)&amp;W$7,COM_N_2017!$B$58:$AJ$58,0),FALSE),""))</f>
        <v>0</v>
      </c>
      <c r="X78" s="391" t="str">
        <f ca="1">IFERROR(VLOOKUP($C78,COM_N_2012!$B$61:$AJ$122,MATCH(VLOOKUP("*"&amp;$AW78,$A$10:$J$11,$J$9,FALSE)&amp;X$7,COM_N_2012!$B$58:$AJ$58,0),FALSE),"")</f>
        <v/>
      </c>
      <c r="Y78" s="391" t="str">
        <f ca="1">IFERROR(VLOOKUP($C78,COM_N_2012!$B$61:$AJ$122,MATCH(VLOOKUP("*"&amp;$AW78,$A$10:$J$11,$J$9,FALSE)&amp;Y$7,COM_N_2012!$B$58:$AJ$58,0),FALSE),"")</f>
        <v/>
      </c>
      <c r="Z78" s="391" t="str">
        <f ca="1">IFERROR(VLOOKUP($C78,COM_N_2012!$B$61:$AJ$122,MATCH(VLOOKUP("*"&amp;$AW78,$A$10:$J$11,$J$9,FALSE)&amp;Z$7,COM_N_2012!$B$58:$AJ$58,0),FALSE),"")</f>
        <v/>
      </c>
      <c r="AA78" s="391" t="str">
        <f ca="1">IFERROR(VLOOKUP($C78,COM_N_2012!$B$61:$AJ$122,MATCH(VLOOKUP("*"&amp;$AW78,$A$10:$J$11,$J$9,FALSE)&amp;AA$7,COM_N_2012!$B$58:$AJ$58,0),FALSE),"")</f>
        <v/>
      </c>
      <c r="AB78" s="391">
        <f ca="1">IF($A78="*","",IFERROR(VLOOKUP($C78,COM_N_2017!$B$61:$AJ$122,MATCH(VLOOKUP("*"&amp;$AW78,$A$10:$J$11,$J$9,FALSE)&amp;AB$7,COM_N_2017!$B$58:$AJ$58,0),FALSE),""))</f>
        <v>0</v>
      </c>
      <c r="AC78" s="391" t="str">
        <f ca="1">IFERROR(VLOOKUP($C78,COM_N_2012!$B$61:$AJ$122,MATCH(VLOOKUP("*"&amp;$AW78,$A$10:$J$11,$J$9,FALSE)&amp;AC$7,COM_N_2012!$B$58:$AJ$58,0),FALSE),"")</f>
        <v/>
      </c>
      <c r="AD78" s="391" t="str">
        <f ca="1">IFERROR(VLOOKUP($C78,COM_N_2012!$B$61:$AJ$122,MATCH(VLOOKUP("*"&amp;$AW78,$A$10:$J$11,$J$9,FALSE)&amp;AD$7,COM_N_2012!$B$58:$AJ$58,0),FALSE),"")</f>
        <v/>
      </c>
      <c r="AE78" s="391" t="str">
        <f ca="1">IFERROR(VLOOKUP($C78,COM_N_2012!$B$61:$AJ$122,MATCH(VLOOKUP("*"&amp;$AW78,$A$10:$J$11,$J$9,FALSE)&amp;AE$7,COM_N_2012!$B$58:$AJ$58,0),FALSE),"")</f>
        <v/>
      </c>
      <c r="AF78" s="391" t="str">
        <f ca="1">IFERROR(VLOOKUP($C78,COM_N_2012!$B$61:$AJ$122,MATCH(VLOOKUP("*"&amp;$AW78,$A$10:$J$11,$J$9,FALSE)&amp;AF$7,COM_N_2012!$B$58:$AJ$58,0),FALSE),"")</f>
        <v/>
      </c>
      <c r="AG78" s="391">
        <f ca="1">IF($A78="*","",IFERROR(VLOOKUP($C78,COM_N_2017!$B$61:$AJ$122,MATCH(VLOOKUP("*"&amp;$AW78,$A$10:$J$11,$J$9,FALSE)&amp;AG$7,COM_N_2017!$B$58:$AJ$58,0),FALSE),""))</f>
        <v>0</v>
      </c>
      <c r="AH78" s="391" t="str">
        <f ca="1">IFERROR(VLOOKUP($C78,COM_N_2012!$B$61:$AJ$122,MATCH(VLOOKUP("*"&amp;$AW78,$A$10:$J$11,$J$9,FALSE)&amp;AH$7,COM_N_2012!$B$58:$AJ$58,0),FALSE),"")</f>
        <v/>
      </c>
      <c r="AI78" s="391" t="str">
        <f ca="1">IFERROR(VLOOKUP($C78,COM_N_2012!$B$61:$AJ$122,MATCH(VLOOKUP("*"&amp;$AW78,$A$10:$J$11,$J$9,FALSE)&amp;AI$7,COM_N_2012!$B$58:$AJ$58,0),FALSE),"")</f>
        <v/>
      </c>
      <c r="AJ78" s="391" t="str">
        <f ca="1">IFERROR(VLOOKUP($C78,COM_N_2012!$B$61:$AJ$122,MATCH(VLOOKUP("*"&amp;$AW78,$A$10:$J$11,$J$9,FALSE)&amp;AJ$7,COM_N_2012!$B$58:$AJ$58,0),FALSE),"")</f>
        <v/>
      </c>
      <c r="AK78" s="391" t="str">
        <f ca="1">IFERROR(VLOOKUP($C78,COM_N_2012!$B$61:$AJ$122,MATCH(VLOOKUP("*"&amp;$AW78,$A$10:$J$11,$J$9,FALSE)&amp;AK$7,COM_N_2012!$B$58:$AJ$58,0),FALSE),"")</f>
        <v/>
      </c>
      <c r="AL78" s="391">
        <f ca="1">IF($A78="*","",IFERROR(VLOOKUP($C78,COM_N_2017!$B$61:$AJ$122,MATCH(VLOOKUP("*"&amp;$AW78,$A$10:$J$11,$J$9,FALSE)&amp;AL$7,COM_N_2017!$B$58:$AJ$58,0),FALSE),""))</f>
        <v>0</v>
      </c>
      <c r="AM78" s="391">
        <f ca="1">IF($A78="*","",IFERROR(VLOOKUP($C78,COM_N_2017!$B$61:$AJ$122,MATCH(VLOOKUP("*"&amp;$AW78,$A$10:$J$11,$J$9,FALSE)&amp;AM$7,COM_N_2017!$B$58:$AJ$58,0),FALSE),""))</f>
        <v>0</v>
      </c>
      <c r="AN78" s="391">
        <f ca="1">IF($A78="*","",IFERROR(VLOOKUP($C78,COM_N_2017!$B$61:$AJ$122,MATCH(VLOOKUP("*"&amp;$AW78,$A$10:$J$11,$J$9,FALSE)&amp;AN$7,COM_N_2017!$B$58:$AJ$58,0),FALSE),""))</f>
        <v>0</v>
      </c>
      <c r="AO78" s="391" t="str">
        <f ca="1">IFERROR(VLOOKUP($C78,COM_N_2012!$B$61:$AJ$122,MATCH(VLOOKUP("*"&amp;$AW78,$A$10:$J$11,$J$9,FALSE)&amp;AO$7,COM_N_2012!$B$58:$AJ$58,0),FALSE),"")</f>
        <v/>
      </c>
      <c r="AP78" s="391" t="str">
        <f ca="1">IFERROR(VLOOKUP($C78,COM_N_2012!$B$61:$AJ$122,MATCH(VLOOKUP("*"&amp;$AW78,$A$10:$J$11,$J$9,FALSE)&amp;AP$7,COM_N_2012!$B$58:$AJ$58,0),FALSE),"")</f>
        <v/>
      </c>
      <c r="AQ78" s="391" t="str">
        <f ca="1">IFERROR(VLOOKUP($C78,COM_N_2012!$B$61:$AJ$122,MATCH(VLOOKUP("*"&amp;$AW78,$A$10:$J$11,$J$9,FALSE)&amp;AQ$7,COM_N_2012!$B$58:$AJ$58,0),FALSE),"")</f>
        <v/>
      </c>
      <c r="AR78" s="391" t="str">
        <f ca="1">IFERROR(VLOOKUP($C78,COM_N_2012!$B$61:$AJ$122,MATCH(VLOOKUP("*"&amp;$AW78,$A$10:$J$11,$J$9,FALSE)&amp;AR$7,COM_N_2012!$B$58:$AJ$58,0),FALSE),"")</f>
        <v/>
      </c>
      <c r="AS78" s="391" t="str">
        <f ca="1">IFERROR(VLOOKUP($C78,COM_N_2012!$B$61:$AJ$122,MATCH(VLOOKUP("*"&amp;$AW78,$A$10:$J$11,$J$9,FALSE)&amp;AS$7,COM_N_2012!$B$58:$AJ$58,0),FALSE),"")</f>
        <v/>
      </c>
      <c r="AT78" s="391" t="str">
        <f ca="1">IFERROR(VLOOKUP($C78,COM_N_2012!$B$61:$AJ$122,MATCH(VLOOKUP("*"&amp;$AW78,$A$10:$J$11,$J$9,FALSE)&amp;AT$7,COM_N_2012!$B$58:$AJ$58,0),FALSE),"")</f>
        <v/>
      </c>
      <c r="AU78" s="391" t="str">
        <f ca="1">IFERROR(VLOOKUP($C78,COM_N_2012!$B$61:$AJ$122,MATCH(VLOOKUP("*"&amp;$AW78,$A$10:$J$11,$J$9,FALSE)&amp;AU$7,COM_N_2012!$B$58:$AJ$58,0),FALSE),"")</f>
        <v/>
      </c>
      <c r="AV78" s="391" t="str">
        <f ca="1">IFERROR(VLOOKUP($C78,COM_N_2012!$B$61:$AJ$122,MATCH(VLOOKUP("*"&amp;$AW78,$A$10:$J$11,$J$9,FALSE)&amp;AV$7,COM_N_2012!$B$58:$AJ$58,0),FALSE),"")</f>
        <v/>
      </c>
      <c r="AW78" s="304">
        <f>IF(AX77=COM_N_2012!$AK$121,AW77+1,AW77)</f>
        <v>2</v>
      </c>
      <c r="AX78" s="304">
        <f t="shared" si="13"/>
        <v>5</v>
      </c>
    </row>
    <row r="79" spans="1:50">
      <c r="A79" s="304" t="str">
        <f ca="1">IF(LEFT(OFFSET(COM_N_2012!$A$60,AX79,0),2)="\I","*","")</f>
        <v/>
      </c>
      <c r="B79" s="369" t="str">
        <f t="shared" ca="1" si="18"/>
        <v>FLO_MRKPRD</v>
      </c>
      <c r="C79" s="369" t="str">
        <f ca="1">IF($A79="*","",OFFSET(COM_N_2012!$B$60,AX79,0))</f>
        <v>CNCELCHP-N</v>
      </c>
      <c r="D79" s="369" t="str">
        <f t="shared" ca="1" si="19"/>
        <v>CNC</v>
      </c>
      <c r="E79" s="369" t="str">
        <f t="shared" ca="1" si="16"/>
        <v>-</v>
      </c>
      <c r="F79" s="370" t="str">
        <f t="shared" ca="1" si="9"/>
        <v>-</v>
      </c>
      <c r="G79" s="370" t="str">
        <f t="shared" ca="1" si="9"/>
        <v>ANNUAL</v>
      </c>
      <c r="H79" s="370" t="str">
        <f t="shared" ca="1" si="17"/>
        <v>LO</v>
      </c>
      <c r="I79" s="370">
        <f t="shared" ca="1" si="17"/>
        <v>0</v>
      </c>
      <c r="J79" s="391">
        <f ca="1">IFERROR(VLOOKUP($C79,COM_N_2012!$B$61:$AJ$122,MATCH(VLOOKUP("*"&amp;$AW79,$A$10:$J$11,$J$9,FALSE)&amp;J$7,COM_N_2012!$B$58:$AJ$58,0),FALSE),"")</f>
        <v>0</v>
      </c>
      <c r="K79" s="391" t="str">
        <f ca="1">IFERROR(VLOOKUP($C79,COM_N_2012!$B$61:$AJ$122,MATCH(VLOOKUP("*"&amp;$AW79,$A$10:$J$11,$J$9,FALSE)&amp;K$7,COM_N_2012!$B$58:$AJ$58,0),FALSE),"")</f>
        <v/>
      </c>
      <c r="L79" s="391" t="str">
        <f ca="1">IFERROR(VLOOKUP($C79,COM_N_2012!$B$61:$AJ$122,MATCH(VLOOKUP("*"&amp;$AW79,$A$10:$J$11,$J$9,FALSE)&amp;L$7,COM_N_2012!$B$58:$AJ$58,0),FALSE),"")</f>
        <v/>
      </c>
      <c r="M79" s="391">
        <f ca="1">IFERROR(VLOOKUP($C79,COM_N_2012!$B$61:$AJ$122,MATCH(VLOOKUP("*"&amp;$AW79,$A$10:$J$11,$J$9,FALSE)&amp;M$7,COM_N_2012!$B$58:$AJ$58,0),FALSE),"")</f>
        <v>0</v>
      </c>
      <c r="N79" s="391" t="str">
        <f ca="1">IFERROR(VLOOKUP($C79,COM_N_2012!$B$61:$AJ$122,MATCH(VLOOKUP("*"&amp;$AW79,$A$10:$J$11,$J$9,FALSE)&amp;N$7,COM_N_2012!$B$58:$AJ$58,0),FALSE),"")</f>
        <v/>
      </c>
      <c r="O79" s="391">
        <f ca="1">IF($A79="*","",IFERROR(VLOOKUP($C79,COM_N_2017!$B$61:$AJ$122,MATCH(VLOOKUP("*"&amp;$AW79,$A$10:$J$11,$J$9,FALSE)&amp;O$7,COM_N_2017!$B$58:$AJ$58,0),FALSE),""))</f>
        <v>0</v>
      </c>
      <c r="P79" s="391" t="str">
        <f ca="1">IFERROR(VLOOKUP($C79,COM_N_2012!$B$61:$AJ$122,MATCH(VLOOKUP("*"&amp;$AW79,$A$10:$J$11,$J$9,FALSE)&amp;P$7,COM_N_2012!$B$58:$AJ$58,0),FALSE),"")</f>
        <v/>
      </c>
      <c r="Q79" s="391" t="str">
        <f ca="1">IFERROR(VLOOKUP($C79,COM_N_2012!$B$61:$AJ$122,MATCH(VLOOKUP("*"&amp;$AW79,$A$10:$J$11,$J$9,FALSE)&amp;Q$7,COM_N_2012!$B$58:$AJ$58,0),FALSE),"")</f>
        <v/>
      </c>
      <c r="R79" s="391">
        <f ca="1">IF($A79="*","",IFERROR(VLOOKUP($C79,COM_N_2017!$B$61:$AJ$122,MATCH(VLOOKUP("*"&amp;$AW79,$A$10:$J$11,$J$9,FALSE)&amp;R$7,COM_N_2017!$B$58:$AJ$58,0),FALSE),""))</f>
        <v>0</v>
      </c>
      <c r="S79" s="391" t="str">
        <f ca="1">IFERROR(VLOOKUP($C79,COM_N_2012!$B$61:$AJ$122,MATCH(VLOOKUP("*"&amp;$AW79,$A$10:$J$11,$J$9,FALSE)&amp;S$7,COM_N_2012!$B$58:$AJ$58,0),FALSE),"")</f>
        <v/>
      </c>
      <c r="T79" s="391" t="str">
        <f ca="1">IFERROR(VLOOKUP($C79,COM_N_2012!$B$61:$AJ$122,MATCH(VLOOKUP("*"&amp;$AW79,$A$10:$J$11,$J$9,FALSE)&amp;T$7,COM_N_2012!$B$58:$AJ$58,0),FALSE),"")</f>
        <v/>
      </c>
      <c r="U79" s="391" t="str">
        <f ca="1">IFERROR(VLOOKUP($C79,COM_N_2012!$B$61:$AJ$122,MATCH(VLOOKUP("*"&amp;$AW79,$A$10:$J$11,$J$9,FALSE)&amp;U$7,COM_N_2012!$B$58:$AJ$58,0),FALSE),"")</f>
        <v/>
      </c>
      <c r="V79" s="391" t="str">
        <f ca="1">IFERROR(VLOOKUP($C79,COM_N_2012!$B$61:$AJ$122,MATCH(VLOOKUP("*"&amp;$AW79,$A$10:$J$11,$J$9,FALSE)&amp;V$7,COM_N_2012!$B$58:$AJ$58,0),FALSE),"")</f>
        <v/>
      </c>
      <c r="W79" s="391">
        <f ca="1">IF($A79="*","",IFERROR(VLOOKUP($C79,COM_N_2017!$B$61:$AJ$122,MATCH(VLOOKUP("*"&amp;$AW79,$A$10:$J$11,$J$9,FALSE)&amp;W$7,COM_N_2017!$B$58:$AJ$58,0),FALSE),""))</f>
        <v>0</v>
      </c>
      <c r="X79" s="391" t="str">
        <f ca="1">IFERROR(VLOOKUP($C79,COM_N_2012!$B$61:$AJ$122,MATCH(VLOOKUP("*"&amp;$AW79,$A$10:$J$11,$J$9,FALSE)&amp;X$7,COM_N_2012!$B$58:$AJ$58,0),FALSE),"")</f>
        <v/>
      </c>
      <c r="Y79" s="391" t="str">
        <f ca="1">IFERROR(VLOOKUP($C79,COM_N_2012!$B$61:$AJ$122,MATCH(VLOOKUP("*"&amp;$AW79,$A$10:$J$11,$J$9,FALSE)&amp;Y$7,COM_N_2012!$B$58:$AJ$58,0),FALSE),"")</f>
        <v/>
      </c>
      <c r="Z79" s="391" t="str">
        <f ca="1">IFERROR(VLOOKUP($C79,COM_N_2012!$B$61:$AJ$122,MATCH(VLOOKUP("*"&amp;$AW79,$A$10:$J$11,$J$9,FALSE)&amp;Z$7,COM_N_2012!$B$58:$AJ$58,0),FALSE),"")</f>
        <v/>
      </c>
      <c r="AA79" s="391" t="str">
        <f ca="1">IFERROR(VLOOKUP($C79,COM_N_2012!$B$61:$AJ$122,MATCH(VLOOKUP("*"&amp;$AW79,$A$10:$J$11,$J$9,FALSE)&amp;AA$7,COM_N_2012!$B$58:$AJ$58,0),FALSE),"")</f>
        <v/>
      </c>
      <c r="AB79" s="391">
        <f ca="1">IF($A79="*","",IFERROR(VLOOKUP($C79,COM_N_2017!$B$61:$AJ$122,MATCH(VLOOKUP("*"&amp;$AW79,$A$10:$J$11,$J$9,FALSE)&amp;AB$7,COM_N_2017!$B$58:$AJ$58,0),FALSE),""))</f>
        <v>0</v>
      </c>
      <c r="AC79" s="391" t="str">
        <f ca="1">IFERROR(VLOOKUP($C79,COM_N_2012!$B$61:$AJ$122,MATCH(VLOOKUP("*"&amp;$AW79,$A$10:$J$11,$J$9,FALSE)&amp;AC$7,COM_N_2012!$B$58:$AJ$58,0),FALSE),"")</f>
        <v/>
      </c>
      <c r="AD79" s="391" t="str">
        <f ca="1">IFERROR(VLOOKUP($C79,COM_N_2012!$B$61:$AJ$122,MATCH(VLOOKUP("*"&amp;$AW79,$A$10:$J$11,$J$9,FALSE)&amp;AD$7,COM_N_2012!$B$58:$AJ$58,0),FALSE),"")</f>
        <v/>
      </c>
      <c r="AE79" s="391" t="str">
        <f ca="1">IFERROR(VLOOKUP($C79,COM_N_2012!$B$61:$AJ$122,MATCH(VLOOKUP("*"&amp;$AW79,$A$10:$J$11,$J$9,FALSE)&amp;AE$7,COM_N_2012!$B$58:$AJ$58,0),FALSE),"")</f>
        <v/>
      </c>
      <c r="AF79" s="391" t="str">
        <f ca="1">IFERROR(VLOOKUP($C79,COM_N_2012!$B$61:$AJ$122,MATCH(VLOOKUP("*"&amp;$AW79,$A$10:$J$11,$J$9,FALSE)&amp;AF$7,COM_N_2012!$B$58:$AJ$58,0),FALSE),"")</f>
        <v/>
      </c>
      <c r="AG79" s="391">
        <f ca="1">IF($A79="*","",IFERROR(VLOOKUP($C79,COM_N_2017!$B$61:$AJ$122,MATCH(VLOOKUP("*"&amp;$AW79,$A$10:$J$11,$J$9,FALSE)&amp;AG$7,COM_N_2017!$B$58:$AJ$58,0),FALSE),""))</f>
        <v>0</v>
      </c>
      <c r="AH79" s="391" t="str">
        <f ca="1">IFERROR(VLOOKUP($C79,COM_N_2012!$B$61:$AJ$122,MATCH(VLOOKUP("*"&amp;$AW79,$A$10:$J$11,$J$9,FALSE)&amp;AH$7,COM_N_2012!$B$58:$AJ$58,0),FALSE),"")</f>
        <v/>
      </c>
      <c r="AI79" s="391" t="str">
        <f ca="1">IFERROR(VLOOKUP($C79,COM_N_2012!$B$61:$AJ$122,MATCH(VLOOKUP("*"&amp;$AW79,$A$10:$J$11,$J$9,FALSE)&amp;AI$7,COM_N_2012!$B$58:$AJ$58,0),FALSE),"")</f>
        <v/>
      </c>
      <c r="AJ79" s="391" t="str">
        <f ca="1">IFERROR(VLOOKUP($C79,COM_N_2012!$B$61:$AJ$122,MATCH(VLOOKUP("*"&amp;$AW79,$A$10:$J$11,$J$9,FALSE)&amp;AJ$7,COM_N_2012!$B$58:$AJ$58,0),FALSE),"")</f>
        <v/>
      </c>
      <c r="AK79" s="391" t="str">
        <f ca="1">IFERROR(VLOOKUP($C79,COM_N_2012!$B$61:$AJ$122,MATCH(VLOOKUP("*"&amp;$AW79,$A$10:$J$11,$J$9,FALSE)&amp;AK$7,COM_N_2012!$B$58:$AJ$58,0),FALSE),"")</f>
        <v/>
      </c>
      <c r="AL79" s="391">
        <f ca="1">IF($A79="*","",IFERROR(VLOOKUP($C79,COM_N_2017!$B$61:$AJ$122,MATCH(VLOOKUP("*"&amp;$AW79,$A$10:$J$11,$J$9,FALSE)&amp;AL$7,COM_N_2017!$B$58:$AJ$58,0),FALSE),""))</f>
        <v>0</v>
      </c>
      <c r="AM79" s="391">
        <f ca="1">IF($A79="*","",IFERROR(VLOOKUP($C79,COM_N_2017!$B$61:$AJ$122,MATCH(VLOOKUP("*"&amp;$AW79,$A$10:$J$11,$J$9,FALSE)&amp;AM$7,COM_N_2017!$B$58:$AJ$58,0),FALSE),""))</f>
        <v>0</v>
      </c>
      <c r="AN79" s="391">
        <f ca="1">IF($A79="*","",IFERROR(VLOOKUP($C79,COM_N_2017!$B$61:$AJ$122,MATCH(VLOOKUP("*"&amp;$AW79,$A$10:$J$11,$J$9,FALSE)&amp;AN$7,COM_N_2017!$B$58:$AJ$58,0),FALSE),""))</f>
        <v>0</v>
      </c>
      <c r="AO79" s="391" t="str">
        <f ca="1">IFERROR(VLOOKUP($C79,COM_N_2012!$B$61:$AJ$122,MATCH(VLOOKUP("*"&amp;$AW79,$A$10:$J$11,$J$9,FALSE)&amp;AO$7,COM_N_2012!$B$58:$AJ$58,0),FALSE),"")</f>
        <v/>
      </c>
      <c r="AP79" s="391" t="str">
        <f ca="1">IFERROR(VLOOKUP($C79,COM_N_2012!$B$61:$AJ$122,MATCH(VLOOKUP("*"&amp;$AW79,$A$10:$J$11,$J$9,FALSE)&amp;AP$7,COM_N_2012!$B$58:$AJ$58,0),FALSE),"")</f>
        <v/>
      </c>
      <c r="AQ79" s="391" t="str">
        <f ca="1">IFERROR(VLOOKUP($C79,COM_N_2012!$B$61:$AJ$122,MATCH(VLOOKUP("*"&amp;$AW79,$A$10:$J$11,$J$9,FALSE)&amp;AQ$7,COM_N_2012!$B$58:$AJ$58,0),FALSE),"")</f>
        <v/>
      </c>
      <c r="AR79" s="391" t="str">
        <f ca="1">IFERROR(VLOOKUP($C79,COM_N_2012!$B$61:$AJ$122,MATCH(VLOOKUP("*"&amp;$AW79,$A$10:$J$11,$J$9,FALSE)&amp;AR$7,COM_N_2012!$B$58:$AJ$58,0),FALSE),"")</f>
        <v/>
      </c>
      <c r="AS79" s="391" t="str">
        <f ca="1">IFERROR(VLOOKUP($C79,COM_N_2012!$B$61:$AJ$122,MATCH(VLOOKUP("*"&amp;$AW79,$A$10:$J$11,$J$9,FALSE)&amp;AS$7,COM_N_2012!$B$58:$AJ$58,0),FALSE),"")</f>
        <v/>
      </c>
      <c r="AT79" s="391" t="str">
        <f ca="1">IFERROR(VLOOKUP($C79,COM_N_2012!$B$61:$AJ$122,MATCH(VLOOKUP("*"&amp;$AW79,$A$10:$J$11,$J$9,FALSE)&amp;AT$7,COM_N_2012!$B$58:$AJ$58,0),FALSE),"")</f>
        <v/>
      </c>
      <c r="AU79" s="391" t="str">
        <f ca="1">IFERROR(VLOOKUP($C79,COM_N_2012!$B$61:$AJ$122,MATCH(VLOOKUP("*"&amp;$AW79,$A$10:$J$11,$J$9,FALSE)&amp;AU$7,COM_N_2012!$B$58:$AJ$58,0),FALSE),"")</f>
        <v/>
      </c>
      <c r="AV79" s="391" t="str">
        <f ca="1">IFERROR(VLOOKUP($C79,COM_N_2012!$B$61:$AJ$122,MATCH(VLOOKUP("*"&amp;$AW79,$A$10:$J$11,$J$9,FALSE)&amp;AV$7,COM_N_2012!$B$58:$AJ$58,0),FALSE),"")</f>
        <v/>
      </c>
      <c r="AW79" s="304">
        <f>IF(AX78=COM_N_2012!$AK$121,AW78+1,AW78)</f>
        <v>2</v>
      </c>
      <c r="AX79" s="304">
        <f t="shared" si="13"/>
        <v>6</v>
      </c>
    </row>
    <row r="80" spans="1:50">
      <c r="A80" s="304" t="str">
        <f ca="1">IF(LEFT(OFFSET(COM_N_2012!$A$60,AX80,0),2)="\I","*","")</f>
        <v>*</v>
      </c>
      <c r="B80" s="369" t="str">
        <f t="shared" ca="1" si="18"/>
        <v/>
      </c>
      <c r="C80" s="369" t="str">
        <f ca="1">IF($A80="*","",OFFSET(COM_N_2012!$B$60,AX80,0))</f>
        <v/>
      </c>
      <c r="D80" s="369" t="str">
        <f t="shared" ca="1" si="19"/>
        <v/>
      </c>
      <c r="E80" s="369" t="str">
        <f t="shared" ca="1" si="16"/>
        <v/>
      </c>
      <c r="F80" s="370" t="str">
        <f t="shared" ca="1" si="9"/>
        <v/>
      </c>
      <c r="G80" s="370" t="str">
        <f t="shared" ca="1" si="9"/>
        <v/>
      </c>
      <c r="H80" s="370" t="str">
        <f t="shared" ca="1" si="17"/>
        <v/>
      </c>
      <c r="I80" s="370" t="str">
        <f t="shared" ca="1" si="17"/>
        <v/>
      </c>
      <c r="J80" s="391" t="str">
        <f ca="1">IFERROR(VLOOKUP($C80,COM_N_2012!$B$61:$AJ$122,MATCH(VLOOKUP("*"&amp;$AW80,$A$10:$J$11,$J$9,FALSE)&amp;J$7,COM_N_2012!$B$58:$AJ$58,0),FALSE),"")</f>
        <v/>
      </c>
      <c r="K80" s="391" t="str">
        <f ca="1">IFERROR(VLOOKUP($C80,COM_N_2012!$B$61:$AJ$122,MATCH(VLOOKUP("*"&amp;$AW80,$A$10:$J$11,$J$9,FALSE)&amp;K$7,COM_N_2012!$B$58:$AJ$58,0),FALSE),"")</f>
        <v/>
      </c>
      <c r="L80" s="391" t="str">
        <f ca="1">IFERROR(VLOOKUP($C80,COM_N_2012!$B$61:$AJ$122,MATCH(VLOOKUP("*"&amp;$AW80,$A$10:$J$11,$J$9,FALSE)&amp;L$7,COM_N_2012!$B$58:$AJ$58,0),FALSE),"")</f>
        <v/>
      </c>
      <c r="M80" s="391" t="str">
        <f ca="1">IFERROR(VLOOKUP($C80,COM_N_2012!$B$61:$AJ$122,MATCH(VLOOKUP("*"&amp;$AW80,$A$10:$J$11,$J$9,FALSE)&amp;M$7,COM_N_2012!$B$58:$AJ$58,0),FALSE),"")</f>
        <v/>
      </c>
      <c r="N80" s="391" t="str">
        <f ca="1">IFERROR(VLOOKUP($C80,COM_N_2012!$B$61:$AJ$122,MATCH(VLOOKUP("*"&amp;$AW80,$A$10:$J$11,$J$9,FALSE)&amp;N$7,COM_N_2012!$B$58:$AJ$58,0),FALSE),"")</f>
        <v/>
      </c>
      <c r="O80" s="391" t="str">
        <f ca="1">IF($A80="*","",IFERROR(VLOOKUP($C80,COM_N_2017!$B$61:$AJ$122,MATCH(VLOOKUP("*"&amp;$AW80,$A$10:$J$11,$J$9,FALSE)&amp;O$7,COM_N_2017!$B$58:$AJ$58,0),FALSE),""))</f>
        <v/>
      </c>
      <c r="P80" s="391" t="str">
        <f ca="1">IFERROR(VLOOKUP($C80,COM_N_2012!$B$61:$AJ$122,MATCH(VLOOKUP("*"&amp;$AW80,$A$10:$J$11,$J$9,FALSE)&amp;P$7,COM_N_2012!$B$58:$AJ$58,0),FALSE),"")</f>
        <v/>
      </c>
      <c r="Q80" s="391" t="str">
        <f ca="1">IFERROR(VLOOKUP($C80,COM_N_2012!$B$61:$AJ$122,MATCH(VLOOKUP("*"&amp;$AW80,$A$10:$J$11,$J$9,FALSE)&amp;Q$7,COM_N_2012!$B$58:$AJ$58,0),FALSE),"")</f>
        <v/>
      </c>
      <c r="R80" s="391" t="str">
        <f ca="1">IF($A80="*","",IFERROR(VLOOKUP($C80,COM_N_2017!$B$61:$AJ$122,MATCH(VLOOKUP("*"&amp;$AW80,$A$10:$J$11,$J$9,FALSE)&amp;R$7,COM_N_2017!$B$58:$AJ$58,0),FALSE),""))</f>
        <v/>
      </c>
      <c r="S80" s="391" t="str">
        <f ca="1">IFERROR(VLOOKUP($C80,COM_N_2012!$B$61:$AJ$122,MATCH(VLOOKUP("*"&amp;$AW80,$A$10:$J$11,$J$9,FALSE)&amp;S$7,COM_N_2012!$B$58:$AJ$58,0),FALSE),"")</f>
        <v/>
      </c>
      <c r="T80" s="391" t="str">
        <f ca="1">IFERROR(VLOOKUP($C80,COM_N_2012!$B$61:$AJ$122,MATCH(VLOOKUP("*"&amp;$AW80,$A$10:$J$11,$J$9,FALSE)&amp;T$7,COM_N_2012!$B$58:$AJ$58,0),FALSE),"")</f>
        <v/>
      </c>
      <c r="U80" s="391" t="str">
        <f ca="1">IFERROR(VLOOKUP($C80,COM_N_2012!$B$61:$AJ$122,MATCH(VLOOKUP("*"&amp;$AW80,$A$10:$J$11,$J$9,FALSE)&amp;U$7,COM_N_2012!$B$58:$AJ$58,0),FALSE),"")</f>
        <v/>
      </c>
      <c r="V80" s="391" t="str">
        <f ca="1">IFERROR(VLOOKUP($C80,COM_N_2012!$B$61:$AJ$122,MATCH(VLOOKUP("*"&amp;$AW80,$A$10:$J$11,$J$9,FALSE)&amp;V$7,COM_N_2012!$B$58:$AJ$58,0),FALSE),"")</f>
        <v/>
      </c>
      <c r="W80" s="391" t="str">
        <f ca="1">IF($A80="*","",IFERROR(VLOOKUP($C80,COM_N_2017!$B$61:$AJ$122,MATCH(VLOOKUP("*"&amp;$AW80,$A$10:$J$11,$J$9,FALSE)&amp;W$7,COM_N_2017!$B$58:$AJ$58,0),FALSE),""))</f>
        <v/>
      </c>
      <c r="X80" s="391" t="str">
        <f ca="1">IFERROR(VLOOKUP($C80,COM_N_2012!$B$61:$AJ$122,MATCH(VLOOKUP("*"&amp;$AW80,$A$10:$J$11,$J$9,FALSE)&amp;X$7,COM_N_2012!$B$58:$AJ$58,0),FALSE),"")</f>
        <v/>
      </c>
      <c r="Y80" s="391" t="str">
        <f ca="1">IFERROR(VLOOKUP($C80,COM_N_2012!$B$61:$AJ$122,MATCH(VLOOKUP("*"&amp;$AW80,$A$10:$J$11,$J$9,FALSE)&amp;Y$7,COM_N_2012!$B$58:$AJ$58,0),FALSE),"")</f>
        <v/>
      </c>
      <c r="Z80" s="391" t="str">
        <f ca="1">IFERROR(VLOOKUP($C80,COM_N_2012!$B$61:$AJ$122,MATCH(VLOOKUP("*"&amp;$AW80,$A$10:$J$11,$J$9,FALSE)&amp;Z$7,COM_N_2012!$B$58:$AJ$58,0),FALSE),"")</f>
        <v/>
      </c>
      <c r="AA80" s="391" t="str">
        <f ca="1">IFERROR(VLOOKUP($C80,COM_N_2012!$B$61:$AJ$122,MATCH(VLOOKUP("*"&amp;$AW80,$A$10:$J$11,$J$9,FALSE)&amp;AA$7,COM_N_2012!$B$58:$AJ$58,0),FALSE),"")</f>
        <v/>
      </c>
      <c r="AB80" s="391" t="str">
        <f ca="1">IF($A80="*","",IFERROR(VLOOKUP($C80,COM_N_2017!$B$61:$AJ$122,MATCH(VLOOKUP("*"&amp;$AW80,$A$10:$J$11,$J$9,FALSE)&amp;AB$7,COM_N_2017!$B$58:$AJ$58,0),FALSE),""))</f>
        <v/>
      </c>
      <c r="AC80" s="391" t="str">
        <f ca="1">IFERROR(VLOOKUP($C80,COM_N_2012!$B$61:$AJ$122,MATCH(VLOOKUP("*"&amp;$AW80,$A$10:$J$11,$J$9,FALSE)&amp;AC$7,COM_N_2012!$B$58:$AJ$58,0),FALSE),"")</f>
        <v/>
      </c>
      <c r="AD80" s="391" t="str">
        <f ca="1">IFERROR(VLOOKUP($C80,COM_N_2012!$B$61:$AJ$122,MATCH(VLOOKUP("*"&amp;$AW80,$A$10:$J$11,$J$9,FALSE)&amp;AD$7,COM_N_2012!$B$58:$AJ$58,0),FALSE),"")</f>
        <v/>
      </c>
      <c r="AE80" s="391" t="str">
        <f ca="1">IFERROR(VLOOKUP($C80,COM_N_2012!$B$61:$AJ$122,MATCH(VLOOKUP("*"&amp;$AW80,$A$10:$J$11,$J$9,FALSE)&amp;AE$7,COM_N_2012!$B$58:$AJ$58,0),FALSE),"")</f>
        <v/>
      </c>
      <c r="AF80" s="391" t="str">
        <f ca="1">IFERROR(VLOOKUP($C80,COM_N_2012!$B$61:$AJ$122,MATCH(VLOOKUP("*"&amp;$AW80,$A$10:$J$11,$J$9,FALSE)&amp;AF$7,COM_N_2012!$B$58:$AJ$58,0),FALSE),"")</f>
        <v/>
      </c>
      <c r="AG80" s="391" t="str">
        <f ca="1">IF($A80="*","",IFERROR(VLOOKUP($C80,COM_N_2017!$B$61:$AJ$122,MATCH(VLOOKUP("*"&amp;$AW80,$A$10:$J$11,$J$9,FALSE)&amp;AG$7,COM_N_2017!$B$58:$AJ$58,0),FALSE),""))</f>
        <v/>
      </c>
      <c r="AH80" s="391" t="str">
        <f ca="1">IFERROR(VLOOKUP($C80,COM_N_2012!$B$61:$AJ$122,MATCH(VLOOKUP("*"&amp;$AW80,$A$10:$J$11,$J$9,FALSE)&amp;AH$7,COM_N_2012!$B$58:$AJ$58,0),FALSE),"")</f>
        <v/>
      </c>
      <c r="AI80" s="391" t="str">
        <f ca="1">IFERROR(VLOOKUP($C80,COM_N_2012!$B$61:$AJ$122,MATCH(VLOOKUP("*"&amp;$AW80,$A$10:$J$11,$J$9,FALSE)&amp;AI$7,COM_N_2012!$B$58:$AJ$58,0),FALSE),"")</f>
        <v/>
      </c>
      <c r="AJ80" s="391" t="str">
        <f ca="1">IFERROR(VLOOKUP($C80,COM_N_2012!$B$61:$AJ$122,MATCH(VLOOKUP("*"&amp;$AW80,$A$10:$J$11,$J$9,FALSE)&amp;AJ$7,COM_N_2012!$B$58:$AJ$58,0),FALSE),"")</f>
        <v/>
      </c>
      <c r="AK80" s="391" t="str">
        <f ca="1">IFERROR(VLOOKUP($C80,COM_N_2012!$B$61:$AJ$122,MATCH(VLOOKUP("*"&amp;$AW80,$A$10:$J$11,$J$9,FALSE)&amp;AK$7,COM_N_2012!$B$58:$AJ$58,0),FALSE),"")</f>
        <v/>
      </c>
      <c r="AL80" s="391" t="str">
        <f ca="1">IF($A80="*","",IFERROR(VLOOKUP($C80,COM_N_2017!$B$61:$AJ$122,MATCH(VLOOKUP("*"&amp;$AW80,$A$10:$J$11,$J$9,FALSE)&amp;AL$7,COM_N_2017!$B$58:$AJ$58,0),FALSE),""))</f>
        <v/>
      </c>
      <c r="AM80" s="391" t="str">
        <f ca="1">IF($A80="*","",IFERROR(VLOOKUP($C80,COM_N_2017!$B$61:$AJ$122,MATCH(VLOOKUP("*"&amp;$AW80,$A$10:$J$11,$J$9,FALSE)&amp;AM$7,COM_N_2017!$B$58:$AJ$58,0),FALSE),""))</f>
        <v/>
      </c>
      <c r="AN80" s="391" t="str">
        <f ca="1">IF($A80="*","",IFERROR(VLOOKUP($C80,COM_N_2017!$B$61:$AJ$122,MATCH(VLOOKUP("*"&amp;$AW80,$A$10:$J$11,$J$9,FALSE)&amp;AN$7,COM_N_2017!$B$58:$AJ$58,0),FALSE),""))</f>
        <v/>
      </c>
      <c r="AO80" s="391" t="str">
        <f ca="1">IFERROR(VLOOKUP($C80,COM_N_2012!$B$61:$AJ$122,MATCH(VLOOKUP("*"&amp;$AW80,$A$10:$J$11,$J$9,FALSE)&amp;AO$7,COM_N_2012!$B$58:$AJ$58,0),FALSE),"")</f>
        <v/>
      </c>
      <c r="AP80" s="391" t="str">
        <f ca="1">IFERROR(VLOOKUP($C80,COM_N_2012!$B$61:$AJ$122,MATCH(VLOOKUP("*"&amp;$AW80,$A$10:$J$11,$J$9,FALSE)&amp;AP$7,COM_N_2012!$B$58:$AJ$58,0),FALSE),"")</f>
        <v/>
      </c>
      <c r="AQ80" s="391" t="str">
        <f ca="1">IFERROR(VLOOKUP($C80,COM_N_2012!$B$61:$AJ$122,MATCH(VLOOKUP("*"&amp;$AW80,$A$10:$J$11,$J$9,FALSE)&amp;AQ$7,COM_N_2012!$B$58:$AJ$58,0),FALSE),"")</f>
        <v/>
      </c>
      <c r="AR80" s="391" t="str">
        <f ca="1">IFERROR(VLOOKUP($C80,COM_N_2012!$B$61:$AJ$122,MATCH(VLOOKUP("*"&amp;$AW80,$A$10:$J$11,$J$9,FALSE)&amp;AR$7,COM_N_2012!$B$58:$AJ$58,0),FALSE),"")</f>
        <v/>
      </c>
      <c r="AS80" s="391" t="str">
        <f ca="1">IFERROR(VLOOKUP($C80,COM_N_2012!$B$61:$AJ$122,MATCH(VLOOKUP("*"&amp;$AW80,$A$10:$J$11,$J$9,FALSE)&amp;AS$7,COM_N_2012!$B$58:$AJ$58,0),FALSE),"")</f>
        <v/>
      </c>
      <c r="AT80" s="391" t="str">
        <f ca="1">IFERROR(VLOOKUP($C80,COM_N_2012!$B$61:$AJ$122,MATCH(VLOOKUP("*"&amp;$AW80,$A$10:$J$11,$J$9,FALSE)&amp;AT$7,COM_N_2012!$B$58:$AJ$58,0),FALSE),"")</f>
        <v/>
      </c>
      <c r="AU80" s="391" t="str">
        <f ca="1">IFERROR(VLOOKUP($C80,COM_N_2012!$B$61:$AJ$122,MATCH(VLOOKUP("*"&amp;$AW80,$A$10:$J$11,$J$9,FALSE)&amp;AU$7,COM_N_2012!$B$58:$AJ$58,0),FALSE),"")</f>
        <v/>
      </c>
      <c r="AV80" s="391" t="str">
        <f ca="1">IFERROR(VLOOKUP($C80,COM_N_2012!$B$61:$AJ$122,MATCH(VLOOKUP("*"&amp;$AW80,$A$10:$J$11,$J$9,FALSE)&amp;AV$7,COM_N_2012!$B$58:$AJ$58,0),FALSE),"")</f>
        <v/>
      </c>
      <c r="AW80" s="304">
        <f>IF(AX79=COM_N_2012!$AK$121,AW79+1,AW79)</f>
        <v>2</v>
      </c>
      <c r="AX80" s="304">
        <f t="shared" si="13"/>
        <v>7</v>
      </c>
    </row>
    <row r="81" spans="1:50">
      <c r="A81" s="304" t="str">
        <f ca="1">IF(LEFT(OFFSET(COM_N_2012!$A$60,AX81,0),2)="\I","*","")</f>
        <v>*</v>
      </c>
      <c r="B81" s="369" t="str">
        <f t="shared" ca="1" si="18"/>
        <v/>
      </c>
      <c r="C81" s="369" t="str">
        <f ca="1">IF($A81="*","",OFFSET(COM_N_2012!$B$60,AX81,0))</f>
        <v/>
      </c>
      <c r="D81" s="369" t="str">
        <f t="shared" ca="1" si="19"/>
        <v/>
      </c>
      <c r="E81" s="369" t="str">
        <f t="shared" ca="1" si="16"/>
        <v/>
      </c>
      <c r="F81" s="370" t="str">
        <f t="shared" ca="1" si="9"/>
        <v/>
      </c>
      <c r="G81" s="370" t="str">
        <f t="shared" ca="1" si="9"/>
        <v/>
      </c>
      <c r="H81" s="370" t="str">
        <f t="shared" ca="1" si="17"/>
        <v/>
      </c>
      <c r="I81" s="370" t="str">
        <f t="shared" ca="1" si="17"/>
        <v/>
      </c>
      <c r="J81" s="391" t="str">
        <f ca="1">IFERROR(VLOOKUP($C81,COM_N_2012!$B$61:$AJ$122,MATCH(VLOOKUP("*"&amp;$AW81,$A$10:$J$11,$J$9,FALSE)&amp;J$7,COM_N_2012!$B$58:$AJ$58,0),FALSE),"")</f>
        <v/>
      </c>
      <c r="K81" s="391" t="str">
        <f ca="1">IFERROR(VLOOKUP($C81,COM_N_2012!$B$61:$AJ$122,MATCH(VLOOKUP("*"&amp;$AW81,$A$10:$J$11,$J$9,FALSE)&amp;K$7,COM_N_2012!$B$58:$AJ$58,0),FALSE),"")</f>
        <v/>
      </c>
      <c r="L81" s="391" t="str">
        <f ca="1">IFERROR(VLOOKUP($C81,COM_N_2012!$B$61:$AJ$122,MATCH(VLOOKUP("*"&amp;$AW81,$A$10:$J$11,$J$9,FALSE)&amp;L$7,COM_N_2012!$B$58:$AJ$58,0),FALSE),"")</f>
        <v/>
      </c>
      <c r="M81" s="391" t="str">
        <f ca="1">IFERROR(VLOOKUP($C81,COM_N_2012!$B$61:$AJ$122,MATCH(VLOOKUP("*"&amp;$AW81,$A$10:$J$11,$J$9,FALSE)&amp;M$7,COM_N_2012!$B$58:$AJ$58,0),FALSE),"")</f>
        <v/>
      </c>
      <c r="N81" s="391" t="str">
        <f ca="1">IFERROR(VLOOKUP($C81,COM_N_2012!$B$61:$AJ$122,MATCH(VLOOKUP("*"&amp;$AW81,$A$10:$J$11,$J$9,FALSE)&amp;N$7,COM_N_2012!$B$58:$AJ$58,0),FALSE),"")</f>
        <v/>
      </c>
      <c r="O81" s="391" t="str">
        <f ca="1">IF($A81="*","",IFERROR(VLOOKUP($C81,COM_N_2017!$B$61:$AJ$122,MATCH(VLOOKUP("*"&amp;$AW81,$A$10:$J$11,$J$9,FALSE)&amp;O$7,COM_N_2017!$B$58:$AJ$58,0),FALSE),""))</f>
        <v/>
      </c>
      <c r="P81" s="391" t="str">
        <f ca="1">IFERROR(VLOOKUP($C81,COM_N_2012!$B$61:$AJ$122,MATCH(VLOOKUP("*"&amp;$AW81,$A$10:$J$11,$J$9,FALSE)&amp;P$7,COM_N_2012!$B$58:$AJ$58,0),FALSE),"")</f>
        <v/>
      </c>
      <c r="Q81" s="391" t="str">
        <f ca="1">IFERROR(VLOOKUP($C81,COM_N_2012!$B$61:$AJ$122,MATCH(VLOOKUP("*"&amp;$AW81,$A$10:$J$11,$J$9,FALSE)&amp;Q$7,COM_N_2012!$B$58:$AJ$58,0),FALSE),"")</f>
        <v/>
      </c>
      <c r="R81" s="391" t="str">
        <f ca="1">IF($A81="*","",IFERROR(VLOOKUP($C81,COM_N_2017!$B$61:$AJ$122,MATCH(VLOOKUP("*"&amp;$AW81,$A$10:$J$11,$J$9,FALSE)&amp;R$7,COM_N_2017!$B$58:$AJ$58,0),FALSE),""))</f>
        <v/>
      </c>
      <c r="S81" s="391" t="str">
        <f ca="1">IFERROR(VLOOKUP($C81,COM_N_2012!$B$61:$AJ$122,MATCH(VLOOKUP("*"&amp;$AW81,$A$10:$J$11,$J$9,FALSE)&amp;S$7,COM_N_2012!$B$58:$AJ$58,0),FALSE),"")</f>
        <v/>
      </c>
      <c r="T81" s="391" t="str">
        <f ca="1">IFERROR(VLOOKUP($C81,COM_N_2012!$B$61:$AJ$122,MATCH(VLOOKUP("*"&amp;$AW81,$A$10:$J$11,$J$9,FALSE)&amp;T$7,COM_N_2012!$B$58:$AJ$58,0),FALSE),"")</f>
        <v/>
      </c>
      <c r="U81" s="391" t="str">
        <f ca="1">IFERROR(VLOOKUP($C81,COM_N_2012!$B$61:$AJ$122,MATCH(VLOOKUP("*"&amp;$AW81,$A$10:$J$11,$J$9,FALSE)&amp;U$7,COM_N_2012!$B$58:$AJ$58,0),FALSE),"")</f>
        <v/>
      </c>
      <c r="V81" s="391" t="str">
        <f ca="1">IFERROR(VLOOKUP($C81,COM_N_2012!$B$61:$AJ$122,MATCH(VLOOKUP("*"&amp;$AW81,$A$10:$J$11,$J$9,FALSE)&amp;V$7,COM_N_2012!$B$58:$AJ$58,0),FALSE),"")</f>
        <v/>
      </c>
      <c r="W81" s="391" t="str">
        <f ca="1">IF($A81="*","",IFERROR(VLOOKUP($C81,COM_N_2017!$B$61:$AJ$122,MATCH(VLOOKUP("*"&amp;$AW81,$A$10:$J$11,$J$9,FALSE)&amp;W$7,COM_N_2017!$B$58:$AJ$58,0),FALSE),""))</f>
        <v/>
      </c>
      <c r="X81" s="391" t="str">
        <f ca="1">IFERROR(VLOOKUP($C81,COM_N_2012!$B$61:$AJ$122,MATCH(VLOOKUP("*"&amp;$AW81,$A$10:$J$11,$J$9,FALSE)&amp;X$7,COM_N_2012!$B$58:$AJ$58,0),FALSE),"")</f>
        <v/>
      </c>
      <c r="Y81" s="391" t="str">
        <f ca="1">IFERROR(VLOOKUP($C81,COM_N_2012!$B$61:$AJ$122,MATCH(VLOOKUP("*"&amp;$AW81,$A$10:$J$11,$J$9,FALSE)&amp;Y$7,COM_N_2012!$B$58:$AJ$58,0),FALSE),"")</f>
        <v/>
      </c>
      <c r="Z81" s="391" t="str">
        <f ca="1">IFERROR(VLOOKUP($C81,COM_N_2012!$B$61:$AJ$122,MATCH(VLOOKUP("*"&amp;$AW81,$A$10:$J$11,$J$9,FALSE)&amp;Z$7,COM_N_2012!$B$58:$AJ$58,0),FALSE),"")</f>
        <v/>
      </c>
      <c r="AA81" s="391" t="str">
        <f ca="1">IFERROR(VLOOKUP($C81,COM_N_2012!$B$61:$AJ$122,MATCH(VLOOKUP("*"&amp;$AW81,$A$10:$J$11,$J$9,FALSE)&amp;AA$7,COM_N_2012!$B$58:$AJ$58,0),FALSE),"")</f>
        <v/>
      </c>
      <c r="AB81" s="391" t="str">
        <f ca="1">IF($A81="*","",IFERROR(VLOOKUP($C81,COM_N_2017!$B$61:$AJ$122,MATCH(VLOOKUP("*"&amp;$AW81,$A$10:$J$11,$J$9,FALSE)&amp;AB$7,COM_N_2017!$B$58:$AJ$58,0),FALSE),""))</f>
        <v/>
      </c>
      <c r="AC81" s="391" t="str">
        <f ca="1">IFERROR(VLOOKUP($C81,COM_N_2012!$B$61:$AJ$122,MATCH(VLOOKUP("*"&amp;$AW81,$A$10:$J$11,$J$9,FALSE)&amp;AC$7,COM_N_2012!$B$58:$AJ$58,0),FALSE),"")</f>
        <v/>
      </c>
      <c r="AD81" s="391" t="str">
        <f ca="1">IFERROR(VLOOKUP($C81,COM_N_2012!$B$61:$AJ$122,MATCH(VLOOKUP("*"&amp;$AW81,$A$10:$J$11,$J$9,FALSE)&amp;AD$7,COM_N_2012!$B$58:$AJ$58,0),FALSE),"")</f>
        <v/>
      </c>
      <c r="AE81" s="391" t="str">
        <f ca="1">IFERROR(VLOOKUP($C81,COM_N_2012!$B$61:$AJ$122,MATCH(VLOOKUP("*"&amp;$AW81,$A$10:$J$11,$J$9,FALSE)&amp;AE$7,COM_N_2012!$B$58:$AJ$58,0),FALSE),"")</f>
        <v/>
      </c>
      <c r="AF81" s="391" t="str">
        <f ca="1">IFERROR(VLOOKUP($C81,COM_N_2012!$B$61:$AJ$122,MATCH(VLOOKUP("*"&amp;$AW81,$A$10:$J$11,$J$9,FALSE)&amp;AF$7,COM_N_2012!$B$58:$AJ$58,0),FALSE),"")</f>
        <v/>
      </c>
      <c r="AG81" s="391" t="str">
        <f ca="1">IF($A81="*","",IFERROR(VLOOKUP($C81,COM_N_2017!$B$61:$AJ$122,MATCH(VLOOKUP("*"&amp;$AW81,$A$10:$J$11,$J$9,FALSE)&amp;AG$7,COM_N_2017!$B$58:$AJ$58,0),FALSE),""))</f>
        <v/>
      </c>
      <c r="AH81" s="391" t="str">
        <f ca="1">IFERROR(VLOOKUP($C81,COM_N_2012!$B$61:$AJ$122,MATCH(VLOOKUP("*"&amp;$AW81,$A$10:$J$11,$J$9,FALSE)&amp;AH$7,COM_N_2012!$B$58:$AJ$58,0),FALSE),"")</f>
        <v/>
      </c>
      <c r="AI81" s="391" t="str">
        <f ca="1">IFERROR(VLOOKUP($C81,COM_N_2012!$B$61:$AJ$122,MATCH(VLOOKUP("*"&amp;$AW81,$A$10:$J$11,$J$9,FALSE)&amp;AI$7,COM_N_2012!$B$58:$AJ$58,0),FALSE),"")</f>
        <v/>
      </c>
      <c r="AJ81" s="391" t="str">
        <f ca="1">IFERROR(VLOOKUP($C81,COM_N_2012!$B$61:$AJ$122,MATCH(VLOOKUP("*"&amp;$AW81,$A$10:$J$11,$J$9,FALSE)&amp;AJ$7,COM_N_2012!$B$58:$AJ$58,0),FALSE),"")</f>
        <v/>
      </c>
      <c r="AK81" s="391" t="str">
        <f ca="1">IFERROR(VLOOKUP($C81,COM_N_2012!$B$61:$AJ$122,MATCH(VLOOKUP("*"&amp;$AW81,$A$10:$J$11,$J$9,FALSE)&amp;AK$7,COM_N_2012!$B$58:$AJ$58,0),FALSE),"")</f>
        <v/>
      </c>
      <c r="AL81" s="391" t="str">
        <f ca="1">IF($A81="*","",IFERROR(VLOOKUP($C81,COM_N_2017!$B$61:$AJ$122,MATCH(VLOOKUP("*"&amp;$AW81,$A$10:$J$11,$J$9,FALSE)&amp;AL$7,COM_N_2017!$B$58:$AJ$58,0),FALSE),""))</f>
        <v/>
      </c>
      <c r="AM81" s="391" t="str">
        <f ca="1">IF($A81="*","",IFERROR(VLOOKUP($C81,COM_N_2017!$B$61:$AJ$122,MATCH(VLOOKUP("*"&amp;$AW81,$A$10:$J$11,$J$9,FALSE)&amp;AM$7,COM_N_2017!$B$58:$AJ$58,0),FALSE),""))</f>
        <v/>
      </c>
      <c r="AN81" s="391" t="str">
        <f ca="1">IF($A81="*","",IFERROR(VLOOKUP($C81,COM_N_2017!$B$61:$AJ$122,MATCH(VLOOKUP("*"&amp;$AW81,$A$10:$J$11,$J$9,FALSE)&amp;AN$7,COM_N_2017!$B$58:$AJ$58,0),FALSE),""))</f>
        <v/>
      </c>
      <c r="AO81" s="391" t="str">
        <f ca="1">IFERROR(VLOOKUP($C81,COM_N_2012!$B$61:$AJ$122,MATCH(VLOOKUP("*"&amp;$AW81,$A$10:$J$11,$J$9,FALSE)&amp;AO$7,COM_N_2012!$B$58:$AJ$58,0),FALSE),"")</f>
        <v/>
      </c>
      <c r="AP81" s="391" t="str">
        <f ca="1">IFERROR(VLOOKUP($C81,COM_N_2012!$B$61:$AJ$122,MATCH(VLOOKUP("*"&amp;$AW81,$A$10:$J$11,$J$9,FALSE)&amp;AP$7,COM_N_2012!$B$58:$AJ$58,0),FALSE),"")</f>
        <v/>
      </c>
      <c r="AQ81" s="391" t="str">
        <f ca="1">IFERROR(VLOOKUP($C81,COM_N_2012!$B$61:$AJ$122,MATCH(VLOOKUP("*"&amp;$AW81,$A$10:$J$11,$J$9,FALSE)&amp;AQ$7,COM_N_2012!$B$58:$AJ$58,0),FALSE),"")</f>
        <v/>
      </c>
      <c r="AR81" s="391" t="str">
        <f ca="1">IFERROR(VLOOKUP($C81,COM_N_2012!$B$61:$AJ$122,MATCH(VLOOKUP("*"&amp;$AW81,$A$10:$J$11,$J$9,FALSE)&amp;AR$7,COM_N_2012!$B$58:$AJ$58,0),FALSE),"")</f>
        <v/>
      </c>
      <c r="AS81" s="391" t="str">
        <f ca="1">IFERROR(VLOOKUP($C81,COM_N_2012!$B$61:$AJ$122,MATCH(VLOOKUP("*"&amp;$AW81,$A$10:$J$11,$J$9,FALSE)&amp;AS$7,COM_N_2012!$B$58:$AJ$58,0),FALSE),"")</f>
        <v/>
      </c>
      <c r="AT81" s="391" t="str">
        <f ca="1">IFERROR(VLOOKUP($C81,COM_N_2012!$B$61:$AJ$122,MATCH(VLOOKUP("*"&amp;$AW81,$A$10:$J$11,$J$9,FALSE)&amp;AT$7,COM_N_2012!$B$58:$AJ$58,0),FALSE),"")</f>
        <v/>
      </c>
      <c r="AU81" s="391" t="str">
        <f ca="1">IFERROR(VLOOKUP($C81,COM_N_2012!$B$61:$AJ$122,MATCH(VLOOKUP("*"&amp;$AW81,$A$10:$J$11,$J$9,FALSE)&amp;AU$7,COM_N_2012!$B$58:$AJ$58,0),FALSE),"")</f>
        <v/>
      </c>
      <c r="AV81" s="391" t="str">
        <f ca="1">IFERROR(VLOOKUP($C81,COM_N_2012!$B$61:$AJ$122,MATCH(VLOOKUP("*"&amp;$AW81,$A$10:$J$11,$J$9,FALSE)&amp;AV$7,COM_N_2012!$B$58:$AJ$58,0),FALSE),"")</f>
        <v/>
      </c>
      <c r="AW81" s="304">
        <f>IF(AX80=COM_N_2012!$AK$121,AW80+1,AW80)</f>
        <v>2</v>
      </c>
      <c r="AX81" s="304">
        <f t="shared" si="13"/>
        <v>8</v>
      </c>
    </row>
    <row r="82" spans="1:50">
      <c r="A82" s="304" t="str">
        <f ca="1">IF(LEFT(OFFSET(COM_N_2012!$A$60,AX82,0),2)="\I","*","")</f>
        <v/>
      </c>
      <c r="B82" s="369" t="str">
        <f t="shared" ca="1" si="18"/>
        <v>FLO_MRKPRD</v>
      </c>
      <c r="C82" s="369" t="str">
        <f ca="1">IF($A82="*","",OFFSET(COM_N_2012!$B$60,AX82,0))</f>
        <v>CNHCOA-E</v>
      </c>
      <c r="D82" s="369" t="str">
        <f t="shared" ca="1" si="19"/>
        <v>CNH</v>
      </c>
      <c r="E82" s="369" t="str">
        <f t="shared" ca="1" si="16"/>
        <v>-</v>
      </c>
      <c r="F82" s="370" t="str">
        <f t="shared" ca="1" si="9"/>
        <v>-</v>
      </c>
      <c r="G82" s="370" t="str">
        <f t="shared" ca="1" si="9"/>
        <v>ANNUAL</v>
      </c>
      <c r="H82" s="370" t="str">
        <f t="shared" ca="1" si="17"/>
        <v>LO</v>
      </c>
      <c r="I82" s="370">
        <f t="shared" ca="1" si="17"/>
        <v>0</v>
      </c>
      <c r="J82" s="391">
        <f ca="1">IFERROR(VLOOKUP($C82,COM_N_2012!$B$61:$AJ$122,MATCH(VLOOKUP("*"&amp;$AW82,$A$10:$J$11,$J$9,FALSE)&amp;J$7,COM_N_2012!$B$58:$AJ$58,0),FALSE),"")</f>
        <v>0.61168824583577164</v>
      </c>
      <c r="K82" s="391" t="str">
        <f ca="1">IFERROR(VLOOKUP($C82,COM_N_2012!$B$61:$AJ$122,MATCH(VLOOKUP("*"&amp;$AW82,$A$10:$J$11,$J$9,FALSE)&amp;K$7,COM_N_2012!$B$58:$AJ$58,0),FALSE),"")</f>
        <v/>
      </c>
      <c r="L82" s="391" t="str">
        <f ca="1">IFERROR(VLOOKUP($C82,COM_N_2012!$B$61:$AJ$122,MATCH(VLOOKUP("*"&amp;$AW82,$A$10:$J$11,$J$9,FALSE)&amp;L$7,COM_N_2012!$B$58:$AJ$58,0),FALSE),"")</f>
        <v/>
      </c>
      <c r="M82" s="391">
        <f ca="1">IFERROR(VLOOKUP($C82,COM_N_2012!$B$61:$AJ$122,MATCH(VLOOKUP("*"&amp;$AW82,$A$10:$J$11,$J$9,FALSE)&amp;M$7,COM_N_2012!$B$58:$AJ$58,0),FALSE),"")</f>
        <v>0.48935059666861735</v>
      </c>
      <c r="N82" s="391" t="str">
        <f ca="1">IFERROR(VLOOKUP($C82,COM_N_2012!$B$61:$AJ$122,MATCH(VLOOKUP("*"&amp;$AW82,$A$10:$J$11,$J$9,FALSE)&amp;N$7,COM_N_2012!$B$58:$AJ$58,0),FALSE),"")</f>
        <v/>
      </c>
      <c r="O82" s="391">
        <f ca="1">IF($A82="*","",IFERROR(VLOOKUP($C82,COM_N_2017!$B$61:$AJ$122,MATCH(VLOOKUP("*"&amp;$AW82,$A$10:$J$11,$J$9,FALSE)&amp;O$7,COM_N_2017!$B$58:$AJ$58,0),FALSE),""))</f>
        <v>0.73545172316993424</v>
      </c>
      <c r="P82" s="391" t="str">
        <f ca="1">IFERROR(VLOOKUP($C82,COM_N_2012!$B$61:$AJ$122,MATCH(VLOOKUP("*"&amp;$AW82,$A$10:$J$11,$J$9,FALSE)&amp;P$7,COM_N_2012!$B$58:$AJ$58,0),FALSE),"")</f>
        <v/>
      </c>
      <c r="Q82" s="391" t="str">
        <f ca="1">IFERROR(VLOOKUP($C82,COM_N_2012!$B$61:$AJ$122,MATCH(VLOOKUP("*"&amp;$AW82,$A$10:$J$11,$J$9,FALSE)&amp;Q$7,COM_N_2012!$B$58:$AJ$58,0),FALSE),"")</f>
        <v/>
      </c>
      <c r="R82" s="391">
        <f ca="1">IF($A82="*","",IFERROR(VLOOKUP($C82,COM_N_2017!$B$61:$AJ$122,MATCH(VLOOKUP("*"&amp;$AW82,$A$10:$J$11,$J$9,FALSE)&amp;R$7,COM_N_2017!$B$58:$AJ$58,0),FALSE),""))</f>
        <v>0.71338817147483624</v>
      </c>
      <c r="S82" s="391" t="str">
        <f ca="1">IFERROR(VLOOKUP($C82,COM_N_2012!$B$61:$AJ$122,MATCH(VLOOKUP("*"&amp;$AW82,$A$10:$J$11,$J$9,FALSE)&amp;S$7,COM_N_2012!$B$58:$AJ$58,0),FALSE),"")</f>
        <v/>
      </c>
      <c r="T82" s="391" t="str">
        <f ca="1">IFERROR(VLOOKUP($C82,COM_N_2012!$B$61:$AJ$122,MATCH(VLOOKUP("*"&amp;$AW82,$A$10:$J$11,$J$9,FALSE)&amp;T$7,COM_N_2012!$B$58:$AJ$58,0),FALSE),"")</f>
        <v/>
      </c>
      <c r="U82" s="391" t="str">
        <f ca="1">IFERROR(VLOOKUP($C82,COM_N_2012!$B$61:$AJ$122,MATCH(VLOOKUP("*"&amp;$AW82,$A$10:$J$11,$J$9,FALSE)&amp;U$7,COM_N_2012!$B$58:$AJ$58,0),FALSE),"")</f>
        <v/>
      </c>
      <c r="V82" s="391" t="str">
        <f ca="1">IFERROR(VLOOKUP($C82,COM_N_2012!$B$61:$AJ$122,MATCH(VLOOKUP("*"&amp;$AW82,$A$10:$J$11,$J$9,FALSE)&amp;V$7,COM_N_2012!$B$58:$AJ$58,0),FALSE),"")</f>
        <v/>
      </c>
      <c r="W82" s="391">
        <f ca="1">IF($A82="*","",IFERROR(VLOOKUP($C82,COM_N_2017!$B$61:$AJ$122,MATCH(VLOOKUP("*"&amp;$AW82,$A$10:$J$11,$J$9,FALSE)&amp;W$7,COM_N_2017!$B$58:$AJ$58,0),FALSE),""))</f>
        <v>0.66190655085294081</v>
      </c>
      <c r="X82" s="391" t="str">
        <f ca="1">IFERROR(VLOOKUP($C82,COM_N_2012!$B$61:$AJ$122,MATCH(VLOOKUP("*"&amp;$AW82,$A$10:$J$11,$J$9,FALSE)&amp;X$7,COM_N_2012!$B$58:$AJ$58,0),FALSE),"")</f>
        <v/>
      </c>
      <c r="Y82" s="391" t="str">
        <f ca="1">IFERROR(VLOOKUP($C82,COM_N_2012!$B$61:$AJ$122,MATCH(VLOOKUP("*"&amp;$AW82,$A$10:$J$11,$J$9,FALSE)&amp;Y$7,COM_N_2012!$B$58:$AJ$58,0),FALSE),"")</f>
        <v/>
      </c>
      <c r="Z82" s="391" t="str">
        <f ca="1">IFERROR(VLOOKUP($C82,COM_N_2012!$B$61:$AJ$122,MATCH(VLOOKUP("*"&amp;$AW82,$A$10:$J$11,$J$9,FALSE)&amp;Z$7,COM_N_2012!$B$58:$AJ$58,0),FALSE),"")</f>
        <v/>
      </c>
      <c r="AA82" s="391" t="str">
        <f ca="1">IFERROR(VLOOKUP($C82,COM_N_2012!$B$61:$AJ$122,MATCH(VLOOKUP("*"&amp;$AW82,$A$10:$J$11,$J$9,FALSE)&amp;AA$7,COM_N_2012!$B$58:$AJ$58,0),FALSE),"")</f>
        <v/>
      </c>
      <c r="AB82" s="391">
        <f ca="1">IF($A82="*","",IFERROR(VLOOKUP($C82,COM_N_2017!$B$61:$AJ$122,MATCH(VLOOKUP("*"&amp;$AW82,$A$10:$J$11,$J$9,FALSE)&amp;AB$7,COM_N_2017!$B$58:$AJ$58,0),FALSE),""))</f>
        <v>0.51481620621895396</v>
      </c>
      <c r="AC82" s="391" t="str">
        <f ca="1">IFERROR(VLOOKUP($C82,COM_N_2012!$B$61:$AJ$122,MATCH(VLOOKUP("*"&amp;$AW82,$A$10:$J$11,$J$9,FALSE)&amp;AC$7,COM_N_2012!$B$58:$AJ$58,0),FALSE),"")</f>
        <v/>
      </c>
      <c r="AD82" s="391" t="str">
        <f ca="1">IFERROR(VLOOKUP($C82,COM_N_2012!$B$61:$AJ$122,MATCH(VLOOKUP("*"&amp;$AW82,$A$10:$J$11,$J$9,FALSE)&amp;AD$7,COM_N_2012!$B$58:$AJ$58,0),FALSE),"")</f>
        <v/>
      </c>
      <c r="AE82" s="391" t="str">
        <f ca="1">IFERROR(VLOOKUP($C82,COM_N_2012!$B$61:$AJ$122,MATCH(VLOOKUP("*"&amp;$AW82,$A$10:$J$11,$J$9,FALSE)&amp;AE$7,COM_N_2012!$B$58:$AJ$58,0),FALSE),"")</f>
        <v/>
      </c>
      <c r="AF82" s="391" t="str">
        <f ca="1">IFERROR(VLOOKUP($C82,COM_N_2012!$B$61:$AJ$122,MATCH(VLOOKUP("*"&amp;$AW82,$A$10:$J$11,$J$9,FALSE)&amp;AF$7,COM_N_2012!$B$58:$AJ$58,0),FALSE),"")</f>
        <v/>
      </c>
      <c r="AG82" s="391">
        <f ca="1">IF($A82="*","",IFERROR(VLOOKUP($C82,COM_N_2017!$B$61:$AJ$122,MATCH(VLOOKUP("*"&amp;$AW82,$A$10:$J$11,$J$9,FALSE)&amp;AG$7,COM_N_2017!$B$58:$AJ$58,0),FALSE),""))</f>
        <v>0.36772586158496712</v>
      </c>
      <c r="AH82" s="391" t="str">
        <f ca="1">IFERROR(VLOOKUP($C82,COM_N_2012!$B$61:$AJ$122,MATCH(VLOOKUP("*"&amp;$AW82,$A$10:$J$11,$J$9,FALSE)&amp;AH$7,COM_N_2012!$B$58:$AJ$58,0),FALSE),"")</f>
        <v/>
      </c>
      <c r="AI82" s="391" t="str">
        <f ca="1">IFERROR(VLOOKUP($C82,COM_N_2012!$B$61:$AJ$122,MATCH(VLOOKUP("*"&amp;$AW82,$A$10:$J$11,$J$9,FALSE)&amp;AI$7,COM_N_2012!$B$58:$AJ$58,0),FALSE),"")</f>
        <v/>
      </c>
      <c r="AJ82" s="391" t="str">
        <f ca="1">IFERROR(VLOOKUP($C82,COM_N_2012!$B$61:$AJ$122,MATCH(VLOOKUP("*"&amp;$AW82,$A$10:$J$11,$J$9,FALSE)&amp;AJ$7,COM_N_2012!$B$58:$AJ$58,0),FALSE),"")</f>
        <v/>
      </c>
      <c r="AK82" s="391" t="str">
        <f ca="1">IFERROR(VLOOKUP($C82,COM_N_2012!$B$61:$AJ$122,MATCH(VLOOKUP("*"&amp;$AW82,$A$10:$J$11,$J$9,FALSE)&amp;AK$7,COM_N_2012!$B$58:$AJ$58,0),FALSE),"")</f>
        <v/>
      </c>
      <c r="AL82" s="391">
        <f ca="1">IF($A82="*","",IFERROR(VLOOKUP($C82,COM_N_2017!$B$61:$AJ$122,MATCH(VLOOKUP("*"&amp;$AW82,$A$10:$J$11,$J$9,FALSE)&amp;AL$7,COM_N_2017!$B$58:$AJ$58,0),FALSE),""))</f>
        <v>0.22063551695098027</v>
      </c>
      <c r="AM82" s="391">
        <f ca="1">IF($A82="*","",IFERROR(VLOOKUP($C82,COM_N_2017!$B$61:$AJ$122,MATCH(VLOOKUP("*"&amp;$AW82,$A$10:$J$11,$J$9,FALSE)&amp;AM$7,COM_N_2017!$B$58:$AJ$58,0),FALSE),""))</f>
        <v>7.3545172316993424E-2</v>
      </c>
      <c r="AN82" s="391">
        <f ca="1">IF($A82="*","",IFERROR(VLOOKUP($C82,COM_N_2017!$B$61:$AJ$122,MATCH(VLOOKUP("*"&amp;$AW82,$A$10:$J$11,$J$9,FALSE)&amp;AN$7,COM_N_2017!$B$58:$AJ$58,0),FALSE),""))</f>
        <v>0</v>
      </c>
      <c r="AO82" s="391" t="str">
        <f ca="1">IFERROR(VLOOKUP($C82,COM_N_2012!$B$61:$AJ$122,MATCH(VLOOKUP("*"&amp;$AW82,$A$10:$J$11,$J$9,FALSE)&amp;AO$7,COM_N_2012!$B$58:$AJ$58,0),FALSE),"")</f>
        <v/>
      </c>
      <c r="AP82" s="391" t="str">
        <f ca="1">IFERROR(VLOOKUP($C82,COM_N_2012!$B$61:$AJ$122,MATCH(VLOOKUP("*"&amp;$AW82,$A$10:$J$11,$J$9,FALSE)&amp;AP$7,COM_N_2012!$B$58:$AJ$58,0),FALSE),"")</f>
        <v/>
      </c>
      <c r="AQ82" s="391" t="str">
        <f ca="1">IFERROR(VLOOKUP($C82,COM_N_2012!$B$61:$AJ$122,MATCH(VLOOKUP("*"&amp;$AW82,$A$10:$J$11,$J$9,FALSE)&amp;AQ$7,COM_N_2012!$B$58:$AJ$58,0),FALSE),"")</f>
        <v/>
      </c>
      <c r="AR82" s="391" t="str">
        <f ca="1">IFERROR(VLOOKUP($C82,COM_N_2012!$B$61:$AJ$122,MATCH(VLOOKUP("*"&amp;$AW82,$A$10:$J$11,$J$9,FALSE)&amp;AR$7,COM_N_2012!$B$58:$AJ$58,0),FALSE),"")</f>
        <v/>
      </c>
      <c r="AS82" s="391" t="str">
        <f ca="1">IFERROR(VLOOKUP($C82,COM_N_2012!$B$61:$AJ$122,MATCH(VLOOKUP("*"&amp;$AW82,$A$10:$J$11,$J$9,FALSE)&amp;AS$7,COM_N_2012!$B$58:$AJ$58,0),FALSE),"")</f>
        <v/>
      </c>
      <c r="AT82" s="391" t="str">
        <f ca="1">IFERROR(VLOOKUP($C82,COM_N_2012!$B$61:$AJ$122,MATCH(VLOOKUP("*"&amp;$AW82,$A$10:$J$11,$J$9,FALSE)&amp;AT$7,COM_N_2012!$B$58:$AJ$58,0),FALSE),"")</f>
        <v/>
      </c>
      <c r="AU82" s="391" t="str">
        <f ca="1">IFERROR(VLOOKUP($C82,COM_N_2012!$B$61:$AJ$122,MATCH(VLOOKUP("*"&amp;$AW82,$A$10:$J$11,$J$9,FALSE)&amp;AU$7,COM_N_2012!$B$58:$AJ$58,0),FALSE),"")</f>
        <v/>
      </c>
      <c r="AV82" s="391" t="str">
        <f ca="1">IFERROR(VLOOKUP($C82,COM_N_2012!$B$61:$AJ$122,MATCH(VLOOKUP("*"&amp;$AW82,$A$10:$J$11,$J$9,FALSE)&amp;AV$7,COM_N_2012!$B$58:$AJ$58,0),FALSE),"")</f>
        <v/>
      </c>
      <c r="AW82" s="304">
        <f>IF(AX81=COM_N_2012!$AK$121,AW81+1,AW81)</f>
        <v>2</v>
      </c>
      <c r="AX82" s="304">
        <f t="shared" si="13"/>
        <v>9</v>
      </c>
    </row>
    <row r="83" spans="1:50">
      <c r="A83" s="304" t="str">
        <f ca="1">IF(LEFT(OFFSET(COM_N_2012!$A$60,AX83,0),2)="\I","*","")</f>
        <v/>
      </c>
      <c r="B83" s="369" t="str">
        <f t="shared" ca="1" si="18"/>
        <v>FLO_MRKPRD</v>
      </c>
      <c r="C83" s="369" t="str">
        <f ca="1">IF($A83="*","",OFFSET(COM_N_2012!$B$60,AX83,0))</f>
        <v>CNHELC-E</v>
      </c>
      <c r="D83" s="369" t="str">
        <f t="shared" ca="1" si="19"/>
        <v>CNH</v>
      </c>
      <c r="E83" s="369" t="str">
        <f t="shared" ca="1" si="16"/>
        <v>-</v>
      </c>
      <c r="F83" s="370" t="str">
        <f t="shared" ca="1" si="9"/>
        <v>-</v>
      </c>
      <c r="G83" s="370" t="str">
        <f t="shared" ca="1" si="9"/>
        <v>ANNUAL</v>
      </c>
      <c r="H83" s="370" t="str">
        <f t="shared" ca="1" si="17"/>
        <v>LO</v>
      </c>
      <c r="I83" s="370">
        <f t="shared" ca="1" si="17"/>
        <v>0</v>
      </c>
      <c r="J83" s="391">
        <f ca="1">IFERROR(VLOOKUP($C83,COM_N_2012!$B$61:$AJ$122,MATCH(VLOOKUP("*"&amp;$AW83,$A$10:$J$11,$J$9,FALSE)&amp;J$7,COM_N_2012!$B$58:$AJ$58,0),FALSE),"")</f>
        <v>0.36821044890947113</v>
      </c>
      <c r="K83" s="391" t="str">
        <f ca="1">IFERROR(VLOOKUP($C83,COM_N_2012!$B$61:$AJ$122,MATCH(VLOOKUP("*"&amp;$AW83,$A$10:$J$11,$J$9,FALSE)&amp;K$7,COM_N_2012!$B$58:$AJ$58,0),FALSE),"")</f>
        <v/>
      </c>
      <c r="L83" s="391" t="str">
        <f ca="1">IFERROR(VLOOKUP($C83,COM_N_2012!$B$61:$AJ$122,MATCH(VLOOKUP("*"&amp;$AW83,$A$10:$J$11,$J$9,FALSE)&amp;L$7,COM_N_2012!$B$58:$AJ$58,0),FALSE),"")</f>
        <v/>
      </c>
      <c r="M83" s="391">
        <f ca="1">IFERROR(VLOOKUP($C83,COM_N_2012!$B$61:$AJ$122,MATCH(VLOOKUP("*"&amp;$AW83,$A$10:$J$11,$J$9,FALSE)&amp;M$7,COM_N_2012!$B$58:$AJ$58,0),FALSE),"")</f>
        <v>0.2945683591275769</v>
      </c>
      <c r="N83" s="391" t="str">
        <f ca="1">IFERROR(VLOOKUP($C83,COM_N_2012!$B$61:$AJ$122,MATCH(VLOOKUP("*"&amp;$AW83,$A$10:$J$11,$J$9,FALSE)&amp;N$7,COM_N_2012!$B$58:$AJ$58,0),FALSE),"")</f>
        <v/>
      </c>
      <c r="O83" s="391">
        <f ca="1">IF($A83="*","",IFERROR(VLOOKUP($C83,COM_N_2017!$B$61:$AJ$122,MATCH(VLOOKUP("*"&amp;$AW83,$A$10:$J$11,$J$9,FALSE)&amp;O$7,COM_N_2017!$B$58:$AJ$58,0),FALSE),""))</f>
        <v>0.2149330668408688</v>
      </c>
      <c r="P83" s="391" t="str">
        <f ca="1">IFERROR(VLOOKUP($C83,COM_N_2012!$B$61:$AJ$122,MATCH(VLOOKUP("*"&amp;$AW83,$A$10:$J$11,$J$9,FALSE)&amp;P$7,COM_N_2012!$B$58:$AJ$58,0),FALSE),"")</f>
        <v/>
      </c>
      <c r="Q83" s="391" t="str">
        <f ca="1">IFERROR(VLOOKUP($C83,COM_N_2012!$B$61:$AJ$122,MATCH(VLOOKUP("*"&amp;$AW83,$A$10:$J$11,$J$9,FALSE)&amp;Q$7,COM_N_2012!$B$58:$AJ$58,0),FALSE),"")</f>
        <v/>
      </c>
      <c r="R83" s="391">
        <f ca="1">IF($A83="*","",IFERROR(VLOOKUP($C83,COM_N_2017!$B$61:$AJ$122,MATCH(VLOOKUP("*"&amp;$AW83,$A$10:$J$11,$J$9,FALSE)&amp;R$7,COM_N_2017!$B$58:$AJ$58,0),FALSE),""))</f>
        <v>0.20848507483564271</v>
      </c>
      <c r="S83" s="391" t="str">
        <f ca="1">IFERROR(VLOOKUP($C83,COM_N_2012!$B$61:$AJ$122,MATCH(VLOOKUP("*"&amp;$AW83,$A$10:$J$11,$J$9,FALSE)&amp;S$7,COM_N_2012!$B$58:$AJ$58,0),FALSE),"")</f>
        <v/>
      </c>
      <c r="T83" s="391" t="str">
        <f ca="1">IFERROR(VLOOKUP($C83,COM_N_2012!$B$61:$AJ$122,MATCH(VLOOKUP("*"&amp;$AW83,$A$10:$J$11,$J$9,FALSE)&amp;T$7,COM_N_2012!$B$58:$AJ$58,0),FALSE),"")</f>
        <v/>
      </c>
      <c r="U83" s="391" t="str">
        <f ca="1">IFERROR(VLOOKUP($C83,COM_N_2012!$B$61:$AJ$122,MATCH(VLOOKUP("*"&amp;$AW83,$A$10:$J$11,$J$9,FALSE)&amp;U$7,COM_N_2012!$B$58:$AJ$58,0),FALSE),"")</f>
        <v/>
      </c>
      <c r="V83" s="391" t="str">
        <f ca="1">IFERROR(VLOOKUP($C83,COM_N_2012!$B$61:$AJ$122,MATCH(VLOOKUP("*"&amp;$AW83,$A$10:$J$11,$J$9,FALSE)&amp;V$7,COM_N_2012!$B$58:$AJ$58,0),FALSE),"")</f>
        <v/>
      </c>
      <c r="W83" s="391">
        <f ca="1">IF($A83="*","",IFERROR(VLOOKUP($C83,COM_N_2017!$B$61:$AJ$122,MATCH(VLOOKUP("*"&amp;$AW83,$A$10:$J$11,$J$9,FALSE)&amp;W$7,COM_N_2017!$B$58:$AJ$58,0),FALSE),""))</f>
        <v>0.19343976015678191</v>
      </c>
      <c r="X83" s="391" t="str">
        <f ca="1">IFERROR(VLOOKUP($C83,COM_N_2012!$B$61:$AJ$122,MATCH(VLOOKUP("*"&amp;$AW83,$A$10:$J$11,$J$9,FALSE)&amp;X$7,COM_N_2012!$B$58:$AJ$58,0),FALSE),"")</f>
        <v/>
      </c>
      <c r="Y83" s="391" t="str">
        <f ca="1">IFERROR(VLOOKUP($C83,COM_N_2012!$B$61:$AJ$122,MATCH(VLOOKUP("*"&amp;$AW83,$A$10:$J$11,$J$9,FALSE)&amp;Y$7,COM_N_2012!$B$58:$AJ$58,0),FALSE),"")</f>
        <v/>
      </c>
      <c r="Z83" s="391" t="str">
        <f ca="1">IFERROR(VLOOKUP($C83,COM_N_2012!$B$61:$AJ$122,MATCH(VLOOKUP("*"&amp;$AW83,$A$10:$J$11,$J$9,FALSE)&amp;Z$7,COM_N_2012!$B$58:$AJ$58,0),FALSE),"")</f>
        <v/>
      </c>
      <c r="AA83" s="391" t="str">
        <f ca="1">IFERROR(VLOOKUP($C83,COM_N_2012!$B$61:$AJ$122,MATCH(VLOOKUP("*"&amp;$AW83,$A$10:$J$11,$J$9,FALSE)&amp;AA$7,COM_N_2012!$B$58:$AJ$58,0),FALSE),"")</f>
        <v/>
      </c>
      <c r="AB83" s="391">
        <f ca="1">IF($A83="*","",IFERROR(VLOOKUP($C83,COM_N_2017!$B$61:$AJ$122,MATCH(VLOOKUP("*"&amp;$AW83,$A$10:$J$11,$J$9,FALSE)&amp;AB$7,COM_N_2017!$B$58:$AJ$58,0),FALSE),""))</f>
        <v>0.15045314678860816</v>
      </c>
      <c r="AC83" s="391" t="str">
        <f ca="1">IFERROR(VLOOKUP($C83,COM_N_2012!$B$61:$AJ$122,MATCH(VLOOKUP("*"&amp;$AW83,$A$10:$J$11,$J$9,FALSE)&amp;AC$7,COM_N_2012!$B$58:$AJ$58,0),FALSE),"")</f>
        <v/>
      </c>
      <c r="AD83" s="391" t="str">
        <f ca="1">IFERROR(VLOOKUP($C83,COM_N_2012!$B$61:$AJ$122,MATCH(VLOOKUP("*"&amp;$AW83,$A$10:$J$11,$J$9,FALSE)&amp;AD$7,COM_N_2012!$B$58:$AJ$58,0),FALSE),"")</f>
        <v/>
      </c>
      <c r="AE83" s="391" t="str">
        <f ca="1">IFERROR(VLOOKUP($C83,COM_N_2012!$B$61:$AJ$122,MATCH(VLOOKUP("*"&amp;$AW83,$A$10:$J$11,$J$9,FALSE)&amp;AE$7,COM_N_2012!$B$58:$AJ$58,0),FALSE),"")</f>
        <v/>
      </c>
      <c r="AF83" s="391" t="str">
        <f ca="1">IFERROR(VLOOKUP($C83,COM_N_2012!$B$61:$AJ$122,MATCH(VLOOKUP("*"&amp;$AW83,$A$10:$J$11,$J$9,FALSE)&amp;AF$7,COM_N_2012!$B$58:$AJ$58,0),FALSE),"")</f>
        <v/>
      </c>
      <c r="AG83" s="391">
        <f ca="1">IF($A83="*","",IFERROR(VLOOKUP($C83,COM_N_2017!$B$61:$AJ$122,MATCH(VLOOKUP("*"&amp;$AW83,$A$10:$J$11,$J$9,FALSE)&amp;AG$7,COM_N_2017!$B$58:$AJ$58,0),FALSE),""))</f>
        <v>0.1074665334204344</v>
      </c>
      <c r="AH83" s="391" t="str">
        <f ca="1">IFERROR(VLOOKUP($C83,COM_N_2012!$B$61:$AJ$122,MATCH(VLOOKUP("*"&amp;$AW83,$A$10:$J$11,$J$9,FALSE)&amp;AH$7,COM_N_2012!$B$58:$AJ$58,0),FALSE),"")</f>
        <v/>
      </c>
      <c r="AI83" s="391" t="str">
        <f ca="1">IFERROR(VLOOKUP($C83,COM_N_2012!$B$61:$AJ$122,MATCH(VLOOKUP("*"&amp;$AW83,$A$10:$J$11,$J$9,FALSE)&amp;AI$7,COM_N_2012!$B$58:$AJ$58,0),FALSE),"")</f>
        <v/>
      </c>
      <c r="AJ83" s="391" t="str">
        <f ca="1">IFERROR(VLOOKUP($C83,COM_N_2012!$B$61:$AJ$122,MATCH(VLOOKUP("*"&amp;$AW83,$A$10:$J$11,$J$9,FALSE)&amp;AJ$7,COM_N_2012!$B$58:$AJ$58,0),FALSE),"")</f>
        <v/>
      </c>
      <c r="AK83" s="391" t="str">
        <f ca="1">IFERROR(VLOOKUP($C83,COM_N_2012!$B$61:$AJ$122,MATCH(VLOOKUP("*"&amp;$AW83,$A$10:$J$11,$J$9,FALSE)&amp;AK$7,COM_N_2012!$B$58:$AJ$58,0),FALSE),"")</f>
        <v/>
      </c>
      <c r="AL83" s="391">
        <f ca="1">IF($A83="*","",IFERROR(VLOOKUP($C83,COM_N_2017!$B$61:$AJ$122,MATCH(VLOOKUP("*"&amp;$AW83,$A$10:$J$11,$J$9,FALSE)&amp;AL$7,COM_N_2017!$B$58:$AJ$58,0),FALSE),""))</f>
        <v>6.4479920052260636E-2</v>
      </c>
      <c r="AM83" s="391">
        <f ca="1">IF($A83="*","",IFERROR(VLOOKUP($C83,COM_N_2017!$B$61:$AJ$122,MATCH(VLOOKUP("*"&amp;$AW83,$A$10:$J$11,$J$9,FALSE)&amp;AM$7,COM_N_2017!$B$58:$AJ$58,0),FALSE),""))</f>
        <v>2.1493306684086881E-2</v>
      </c>
      <c r="AN83" s="391">
        <f ca="1">IF($A83="*","",IFERROR(VLOOKUP($C83,COM_N_2017!$B$61:$AJ$122,MATCH(VLOOKUP("*"&amp;$AW83,$A$10:$J$11,$J$9,FALSE)&amp;AN$7,COM_N_2017!$B$58:$AJ$58,0),FALSE),""))</f>
        <v>0</v>
      </c>
      <c r="AO83" s="391" t="str">
        <f ca="1">IFERROR(VLOOKUP($C83,COM_N_2012!$B$61:$AJ$122,MATCH(VLOOKUP("*"&amp;$AW83,$A$10:$J$11,$J$9,FALSE)&amp;AO$7,COM_N_2012!$B$58:$AJ$58,0),FALSE),"")</f>
        <v/>
      </c>
      <c r="AP83" s="391" t="str">
        <f ca="1">IFERROR(VLOOKUP($C83,COM_N_2012!$B$61:$AJ$122,MATCH(VLOOKUP("*"&amp;$AW83,$A$10:$J$11,$J$9,FALSE)&amp;AP$7,COM_N_2012!$B$58:$AJ$58,0),FALSE),"")</f>
        <v/>
      </c>
      <c r="AQ83" s="391" t="str">
        <f ca="1">IFERROR(VLOOKUP($C83,COM_N_2012!$B$61:$AJ$122,MATCH(VLOOKUP("*"&amp;$AW83,$A$10:$J$11,$J$9,FALSE)&amp;AQ$7,COM_N_2012!$B$58:$AJ$58,0),FALSE),"")</f>
        <v/>
      </c>
      <c r="AR83" s="391" t="str">
        <f ca="1">IFERROR(VLOOKUP($C83,COM_N_2012!$B$61:$AJ$122,MATCH(VLOOKUP("*"&amp;$AW83,$A$10:$J$11,$J$9,FALSE)&amp;AR$7,COM_N_2012!$B$58:$AJ$58,0),FALSE),"")</f>
        <v/>
      </c>
      <c r="AS83" s="391" t="str">
        <f ca="1">IFERROR(VLOOKUP($C83,COM_N_2012!$B$61:$AJ$122,MATCH(VLOOKUP("*"&amp;$AW83,$A$10:$J$11,$J$9,FALSE)&amp;AS$7,COM_N_2012!$B$58:$AJ$58,0),FALSE),"")</f>
        <v/>
      </c>
      <c r="AT83" s="391" t="str">
        <f ca="1">IFERROR(VLOOKUP($C83,COM_N_2012!$B$61:$AJ$122,MATCH(VLOOKUP("*"&amp;$AW83,$A$10:$J$11,$J$9,FALSE)&amp;AT$7,COM_N_2012!$B$58:$AJ$58,0),FALSE),"")</f>
        <v/>
      </c>
      <c r="AU83" s="391" t="str">
        <f ca="1">IFERROR(VLOOKUP($C83,COM_N_2012!$B$61:$AJ$122,MATCH(VLOOKUP("*"&amp;$AW83,$A$10:$J$11,$J$9,FALSE)&amp;AU$7,COM_N_2012!$B$58:$AJ$58,0),FALSE),"")</f>
        <v/>
      </c>
      <c r="AV83" s="391" t="str">
        <f ca="1">IFERROR(VLOOKUP($C83,COM_N_2012!$B$61:$AJ$122,MATCH(VLOOKUP("*"&amp;$AW83,$A$10:$J$11,$J$9,FALSE)&amp;AV$7,COM_N_2012!$B$58:$AJ$58,0),FALSE),"")</f>
        <v/>
      </c>
      <c r="AW83" s="304">
        <f>IF(AX82=COM_N_2012!$AK$121,AW82+1,AW82)</f>
        <v>2</v>
      </c>
      <c r="AX83" s="304">
        <f t="shared" si="13"/>
        <v>10</v>
      </c>
    </row>
    <row r="84" spans="1:50">
      <c r="A84" s="304" t="str">
        <f ca="1">IF(LEFT(OFFSET(COM_N_2012!$A$60,AX84,0),2)="\I","*","")</f>
        <v/>
      </c>
      <c r="B84" s="369" t="str">
        <f t="shared" ca="1" si="18"/>
        <v>FLO_MRKPRD</v>
      </c>
      <c r="C84" s="369" t="str">
        <f ca="1">IF($A84="*","",OFFSET(COM_N_2012!$B$60,AX84,0))</f>
        <v>CNHGAS-E</v>
      </c>
      <c r="D84" s="369" t="str">
        <f t="shared" ca="1" si="19"/>
        <v>CNH</v>
      </c>
      <c r="E84" s="369" t="str">
        <f t="shared" ca="1" si="16"/>
        <v>-</v>
      </c>
      <c r="F84" s="370" t="str">
        <f t="shared" ca="1" si="9"/>
        <v>-</v>
      </c>
      <c r="G84" s="370" t="str">
        <f t="shared" ca="1" si="9"/>
        <v>ANNUAL</v>
      </c>
      <c r="H84" s="370" t="str">
        <f t="shared" ca="1" si="17"/>
        <v>LO</v>
      </c>
      <c r="I84" s="370">
        <f t="shared" ca="1" si="17"/>
        <v>0</v>
      </c>
      <c r="J84" s="391">
        <f ca="1">IFERROR(VLOOKUP($C84,COM_N_2012!$B$61:$AJ$122,MATCH(VLOOKUP("*"&amp;$AW84,$A$10:$J$11,$J$9,FALSE)&amp;J$7,COM_N_2012!$B$58:$AJ$58,0),FALSE),"")</f>
        <v>8.7053602398787699E-4</v>
      </c>
      <c r="K84" s="391" t="str">
        <f ca="1">IFERROR(VLOOKUP($C84,COM_N_2012!$B$61:$AJ$122,MATCH(VLOOKUP("*"&amp;$AW84,$A$10:$J$11,$J$9,FALSE)&amp;K$7,COM_N_2012!$B$58:$AJ$58,0),FALSE),"")</f>
        <v/>
      </c>
      <c r="L84" s="391" t="str">
        <f ca="1">IFERROR(VLOOKUP($C84,COM_N_2012!$B$61:$AJ$122,MATCH(VLOOKUP("*"&amp;$AW84,$A$10:$J$11,$J$9,FALSE)&amp;L$7,COM_N_2012!$B$58:$AJ$58,0),FALSE),"")</f>
        <v/>
      </c>
      <c r="M84" s="391">
        <f ca="1">IFERROR(VLOOKUP($C84,COM_N_2012!$B$61:$AJ$122,MATCH(VLOOKUP("*"&amp;$AW84,$A$10:$J$11,$J$9,FALSE)&amp;M$7,COM_N_2012!$B$58:$AJ$58,0),FALSE),"")</f>
        <v>6.9642881919030166E-4</v>
      </c>
      <c r="N84" s="391" t="str">
        <f ca="1">IFERROR(VLOOKUP($C84,COM_N_2012!$B$61:$AJ$122,MATCH(VLOOKUP("*"&amp;$AW84,$A$10:$J$11,$J$9,FALSE)&amp;N$7,COM_N_2012!$B$58:$AJ$58,0),FALSE),"")</f>
        <v/>
      </c>
      <c r="O84" s="391">
        <f ca="1">IF($A84="*","",IFERROR(VLOOKUP($C84,COM_N_2017!$B$61:$AJ$122,MATCH(VLOOKUP("*"&amp;$AW84,$A$10:$J$11,$J$9,FALSE)&amp;O$7,COM_N_2017!$B$58:$AJ$58,0),FALSE),""))</f>
        <v>2.076905614304303E-2</v>
      </c>
      <c r="P84" s="391" t="str">
        <f ca="1">IFERROR(VLOOKUP($C84,COM_N_2012!$B$61:$AJ$122,MATCH(VLOOKUP("*"&amp;$AW84,$A$10:$J$11,$J$9,FALSE)&amp;P$7,COM_N_2012!$B$58:$AJ$58,0),FALSE),"")</f>
        <v/>
      </c>
      <c r="Q84" s="391" t="str">
        <f ca="1">IFERROR(VLOOKUP($C84,COM_N_2012!$B$61:$AJ$122,MATCH(VLOOKUP("*"&amp;$AW84,$A$10:$J$11,$J$9,FALSE)&amp;Q$7,COM_N_2012!$B$58:$AJ$58,0),FALSE),"")</f>
        <v/>
      </c>
      <c r="R84" s="391">
        <f ca="1">IF($A84="*","",IFERROR(VLOOKUP($C84,COM_N_2017!$B$61:$AJ$122,MATCH(VLOOKUP("*"&amp;$AW84,$A$10:$J$11,$J$9,FALSE)&amp;R$7,COM_N_2017!$B$58:$AJ$58,0),FALSE),""))</f>
        <v>2.0145984458751737E-2</v>
      </c>
      <c r="S84" s="391" t="str">
        <f ca="1">IFERROR(VLOOKUP($C84,COM_N_2012!$B$61:$AJ$122,MATCH(VLOOKUP("*"&amp;$AW84,$A$10:$J$11,$J$9,FALSE)&amp;S$7,COM_N_2012!$B$58:$AJ$58,0),FALSE),"")</f>
        <v/>
      </c>
      <c r="T84" s="391" t="str">
        <f ca="1">IFERROR(VLOOKUP($C84,COM_N_2012!$B$61:$AJ$122,MATCH(VLOOKUP("*"&amp;$AW84,$A$10:$J$11,$J$9,FALSE)&amp;T$7,COM_N_2012!$B$58:$AJ$58,0),FALSE),"")</f>
        <v/>
      </c>
      <c r="U84" s="391" t="str">
        <f ca="1">IFERROR(VLOOKUP($C84,COM_N_2012!$B$61:$AJ$122,MATCH(VLOOKUP("*"&amp;$AW84,$A$10:$J$11,$J$9,FALSE)&amp;U$7,COM_N_2012!$B$58:$AJ$58,0),FALSE),"")</f>
        <v/>
      </c>
      <c r="V84" s="391" t="str">
        <f ca="1">IFERROR(VLOOKUP($C84,COM_N_2012!$B$61:$AJ$122,MATCH(VLOOKUP("*"&amp;$AW84,$A$10:$J$11,$J$9,FALSE)&amp;V$7,COM_N_2012!$B$58:$AJ$58,0),FALSE),"")</f>
        <v/>
      </c>
      <c r="W84" s="391">
        <f ca="1">IF($A84="*","",IFERROR(VLOOKUP($C84,COM_N_2017!$B$61:$AJ$122,MATCH(VLOOKUP("*"&amp;$AW84,$A$10:$J$11,$J$9,FALSE)&amp;W$7,COM_N_2017!$B$58:$AJ$58,0),FALSE),""))</f>
        <v>1.8692150528738728E-2</v>
      </c>
      <c r="X84" s="391" t="str">
        <f ca="1">IFERROR(VLOOKUP($C84,COM_N_2012!$B$61:$AJ$122,MATCH(VLOOKUP("*"&amp;$AW84,$A$10:$J$11,$J$9,FALSE)&amp;X$7,COM_N_2012!$B$58:$AJ$58,0),FALSE),"")</f>
        <v/>
      </c>
      <c r="Y84" s="391" t="str">
        <f ca="1">IFERROR(VLOOKUP($C84,COM_N_2012!$B$61:$AJ$122,MATCH(VLOOKUP("*"&amp;$AW84,$A$10:$J$11,$J$9,FALSE)&amp;Y$7,COM_N_2012!$B$58:$AJ$58,0),FALSE),"")</f>
        <v/>
      </c>
      <c r="Z84" s="391" t="str">
        <f ca="1">IFERROR(VLOOKUP($C84,COM_N_2012!$B$61:$AJ$122,MATCH(VLOOKUP("*"&amp;$AW84,$A$10:$J$11,$J$9,FALSE)&amp;Z$7,COM_N_2012!$B$58:$AJ$58,0),FALSE),"")</f>
        <v/>
      </c>
      <c r="AA84" s="391" t="str">
        <f ca="1">IFERROR(VLOOKUP($C84,COM_N_2012!$B$61:$AJ$122,MATCH(VLOOKUP("*"&amp;$AW84,$A$10:$J$11,$J$9,FALSE)&amp;AA$7,COM_N_2012!$B$58:$AJ$58,0),FALSE),"")</f>
        <v/>
      </c>
      <c r="AB84" s="391">
        <f ca="1">IF($A84="*","",IFERROR(VLOOKUP($C84,COM_N_2017!$B$61:$AJ$122,MATCH(VLOOKUP("*"&amp;$AW84,$A$10:$J$11,$J$9,FALSE)&amp;AB$7,COM_N_2017!$B$58:$AJ$58,0),FALSE),""))</f>
        <v>1.4538339300130119E-2</v>
      </c>
      <c r="AC84" s="391" t="str">
        <f ca="1">IFERROR(VLOOKUP($C84,COM_N_2012!$B$61:$AJ$122,MATCH(VLOOKUP("*"&amp;$AW84,$A$10:$J$11,$J$9,FALSE)&amp;AC$7,COM_N_2012!$B$58:$AJ$58,0),FALSE),"")</f>
        <v/>
      </c>
      <c r="AD84" s="391" t="str">
        <f ca="1">IFERROR(VLOOKUP($C84,COM_N_2012!$B$61:$AJ$122,MATCH(VLOOKUP("*"&amp;$AW84,$A$10:$J$11,$J$9,FALSE)&amp;AD$7,COM_N_2012!$B$58:$AJ$58,0),FALSE),"")</f>
        <v/>
      </c>
      <c r="AE84" s="391" t="str">
        <f ca="1">IFERROR(VLOOKUP($C84,COM_N_2012!$B$61:$AJ$122,MATCH(VLOOKUP("*"&amp;$AW84,$A$10:$J$11,$J$9,FALSE)&amp;AE$7,COM_N_2012!$B$58:$AJ$58,0),FALSE),"")</f>
        <v/>
      </c>
      <c r="AF84" s="391" t="str">
        <f ca="1">IFERROR(VLOOKUP($C84,COM_N_2012!$B$61:$AJ$122,MATCH(VLOOKUP("*"&amp;$AW84,$A$10:$J$11,$J$9,FALSE)&amp;AF$7,COM_N_2012!$B$58:$AJ$58,0),FALSE),"")</f>
        <v/>
      </c>
      <c r="AG84" s="391">
        <f ca="1">IF($A84="*","",IFERROR(VLOOKUP($C84,COM_N_2017!$B$61:$AJ$122,MATCH(VLOOKUP("*"&amp;$AW84,$A$10:$J$11,$J$9,FALSE)&amp;AG$7,COM_N_2017!$B$58:$AJ$58,0),FALSE),""))</f>
        <v>1.0384528071521515E-2</v>
      </c>
      <c r="AH84" s="391" t="str">
        <f ca="1">IFERROR(VLOOKUP($C84,COM_N_2012!$B$61:$AJ$122,MATCH(VLOOKUP("*"&amp;$AW84,$A$10:$J$11,$J$9,FALSE)&amp;AH$7,COM_N_2012!$B$58:$AJ$58,0),FALSE),"")</f>
        <v/>
      </c>
      <c r="AI84" s="391" t="str">
        <f ca="1">IFERROR(VLOOKUP($C84,COM_N_2012!$B$61:$AJ$122,MATCH(VLOOKUP("*"&amp;$AW84,$A$10:$J$11,$J$9,FALSE)&amp;AI$7,COM_N_2012!$B$58:$AJ$58,0),FALSE),"")</f>
        <v/>
      </c>
      <c r="AJ84" s="391" t="str">
        <f ca="1">IFERROR(VLOOKUP($C84,COM_N_2012!$B$61:$AJ$122,MATCH(VLOOKUP("*"&amp;$AW84,$A$10:$J$11,$J$9,FALSE)&amp;AJ$7,COM_N_2012!$B$58:$AJ$58,0),FALSE),"")</f>
        <v/>
      </c>
      <c r="AK84" s="391" t="str">
        <f ca="1">IFERROR(VLOOKUP($C84,COM_N_2012!$B$61:$AJ$122,MATCH(VLOOKUP("*"&amp;$AW84,$A$10:$J$11,$J$9,FALSE)&amp;AK$7,COM_N_2012!$B$58:$AJ$58,0),FALSE),"")</f>
        <v/>
      </c>
      <c r="AL84" s="391">
        <f ca="1">IF($A84="*","",IFERROR(VLOOKUP($C84,COM_N_2017!$B$61:$AJ$122,MATCH(VLOOKUP("*"&amp;$AW84,$A$10:$J$11,$J$9,FALSE)&amp;AL$7,COM_N_2017!$B$58:$AJ$58,0),FALSE),""))</f>
        <v>6.2307168429129086E-3</v>
      </c>
      <c r="AM84" s="391">
        <f ca="1">IF($A84="*","",IFERROR(VLOOKUP($C84,COM_N_2017!$B$61:$AJ$122,MATCH(VLOOKUP("*"&amp;$AW84,$A$10:$J$11,$J$9,FALSE)&amp;AM$7,COM_N_2017!$B$58:$AJ$58,0),FALSE),""))</f>
        <v>2.0769056143043032E-3</v>
      </c>
      <c r="AN84" s="391">
        <f ca="1">IF($A84="*","",IFERROR(VLOOKUP($C84,COM_N_2017!$B$61:$AJ$122,MATCH(VLOOKUP("*"&amp;$AW84,$A$10:$J$11,$J$9,FALSE)&amp;AN$7,COM_N_2017!$B$58:$AJ$58,0),FALSE),""))</f>
        <v>0</v>
      </c>
      <c r="AO84" s="391" t="str">
        <f ca="1">IFERROR(VLOOKUP($C84,COM_N_2012!$B$61:$AJ$122,MATCH(VLOOKUP("*"&amp;$AW84,$A$10:$J$11,$J$9,FALSE)&amp;AO$7,COM_N_2012!$B$58:$AJ$58,0),FALSE),"")</f>
        <v/>
      </c>
      <c r="AP84" s="391" t="str">
        <f ca="1">IFERROR(VLOOKUP($C84,COM_N_2012!$B$61:$AJ$122,MATCH(VLOOKUP("*"&amp;$AW84,$A$10:$J$11,$J$9,FALSE)&amp;AP$7,COM_N_2012!$B$58:$AJ$58,0),FALSE),"")</f>
        <v/>
      </c>
      <c r="AQ84" s="391" t="str">
        <f ca="1">IFERROR(VLOOKUP($C84,COM_N_2012!$B$61:$AJ$122,MATCH(VLOOKUP("*"&amp;$AW84,$A$10:$J$11,$J$9,FALSE)&amp;AQ$7,COM_N_2012!$B$58:$AJ$58,0),FALSE),"")</f>
        <v/>
      </c>
      <c r="AR84" s="391" t="str">
        <f ca="1">IFERROR(VLOOKUP($C84,COM_N_2012!$B$61:$AJ$122,MATCH(VLOOKUP("*"&amp;$AW84,$A$10:$J$11,$J$9,FALSE)&amp;AR$7,COM_N_2012!$B$58:$AJ$58,0),FALSE),"")</f>
        <v/>
      </c>
      <c r="AS84" s="391" t="str">
        <f ca="1">IFERROR(VLOOKUP($C84,COM_N_2012!$B$61:$AJ$122,MATCH(VLOOKUP("*"&amp;$AW84,$A$10:$J$11,$J$9,FALSE)&amp;AS$7,COM_N_2012!$B$58:$AJ$58,0),FALSE),"")</f>
        <v/>
      </c>
      <c r="AT84" s="391" t="str">
        <f ca="1">IFERROR(VLOOKUP($C84,COM_N_2012!$B$61:$AJ$122,MATCH(VLOOKUP("*"&amp;$AW84,$A$10:$J$11,$J$9,FALSE)&amp;AT$7,COM_N_2012!$B$58:$AJ$58,0),FALSE),"")</f>
        <v/>
      </c>
      <c r="AU84" s="391" t="str">
        <f ca="1">IFERROR(VLOOKUP($C84,COM_N_2012!$B$61:$AJ$122,MATCH(VLOOKUP("*"&amp;$AW84,$A$10:$J$11,$J$9,FALSE)&amp;AU$7,COM_N_2012!$B$58:$AJ$58,0),FALSE),"")</f>
        <v/>
      </c>
      <c r="AV84" s="391" t="str">
        <f ca="1">IFERROR(VLOOKUP($C84,COM_N_2012!$B$61:$AJ$122,MATCH(VLOOKUP("*"&amp;$AW84,$A$10:$J$11,$J$9,FALSE)&amp;AV$7,COM_N_2012!$B$58:$AJ$58,0),FALSE),"")</f>
        <v/>
      </c>
      <c r="AW84" s="304">
        <f>IF(AX83=COM_N_2012!$AK$121,AW83+1,AW83)</f>
        <v>2</v>
      </c>
      <c r="AX84" s="304">
        <f t="shared" si="13"/>
        <v>11</v>
      </c>
    </row>
    <row r="85" spans="1:50">
      <c r="A85" s="304" t="str">
        <f ca="1">IF(LEFT(OFFSET(COM_N_2012!$A$60,AX85,0),2)="\I","*","")</f>
        <v/>
      </c>
      <c r="B85" s="369" t="str">
        <f t="shared" ca="1" si="18"/>
        <v>FLO_MRKPRD</v>
      </c>
      <c r="C85" s="369" t="str">
        <f ca="1">IF($A85="*","",OFFSET(COM_N_2012!$B$60,AX85,0))</f>
        <v>CNHELC-N</v>
      </c>
      <c r="D85" s="369" t="str">
        <f t="shared" ca="1" si="19"/>
        <v>CNH</v>
      </c>
      <c r="E85" s="369" t="str">
        <f t="shared" ca="1" si="16"/>
        <v>-</v>
      </c>
      <c r="F85" s="370" t="str">
        <f t="shared" ca="1" si="9"/>
        <v>-</v>
      </c>
      <c r="G85" s="370" t="str">
        <f t="shared" ca="1" si="9"/>
        <v>ANNUAL</v>
      </c>
      <c r="H85" s="370" t="str">
        <f t="shared" ca="1" si="17"/>
        <v>LO</v>
      </c>
      <c r="I85" s="370">
        <f t="shared" ca="1" si="17"/>
        <v>0</v>
      </c>
      <c r="J85" s="391">
        <f ca="1">IFERROR(VLOOKUP($C85,COM_N_2012!$B$61:$AJ$122,MATCH(VLOOKUP("*"&amp;$AW85,$A$10:$J$11,$J$9,FALSE)&amp;J$7,COM_N_2012!$B$58:$AJ$58,0),FALSE),"")</f>
        <v>0</v>
      </c>
      <c r="K85" s="391" t="str">
        <f ca="1">IFERROR(VLOOKUP($C85,COM_N_2012!$B$61:$AJ$122,MATCH(VLOOKUP("*"&amp;$AW85,$A$10:$J$11,$J$9,FALSE)&amp;K$7,COM_N_2012!$B$58:$AJ$58,0),FALSE),"")</f>
        <v/>
      </c>
      <c r="L85" s="391" t="str">
        <f ca="1">IFERROR(VLOOKUP($C85,COM_N_2012!$B$61:$AJ$122,MATCH(VLOOKUP("*"&amp;$AW85,$A$10:$J$11,$J$9,FALSE)&amp;L$7,COM_N_2012!$B$58:$AJ$58,0),FALSE),"")</f>
        <v/>
      </c>
      <c r="M85" s="391">
        <f ca="1">IFERROR(VLOOKUP($C85,COM_N_2012!$B$61:$AJ$122,MATCH(VLOOKUP("*"&amp;$AW85,$A$10:$J$11,$J$9,FALSE)&amp;M$7,COM_N_2012!$B$58:$AJ$58,0),FALSE),"")</f>
        <v>0</v>
      </c>
      <c r="N85" s="391" t="str">
        <f ca="1">IFERROR(VLOOKUP($C85,COM_N_2012!$B$61:$AJ$122,MATCH(VLOOKUP("*"&amp;$AW85,$A$10:$J$11,$J$9,FALSE)&amp;N$7,COM_N_2012!$B$58:$AJ$58,0),FALSE),"")</f>
        <v/>
      </c>
      <c r="O85" s="391">
        <f ca="1">IF($A85="*","",IFERROR(VLOOKUP($C85,COM_N_2017!$B$61:$AJ$122,MATCH(VLOOKUP("*"&amp;$AW85,$A$10:$J$11,$J$9,FALSE)&amp;O$7,COM_N_2017!$B$58:$AJ$58,0),FALSE),""))</f>
        <v>0</v>
      </c>
      <c r="P85" s="391" t="str">
        <f ca="1">IFERROR(VLOOKUP($C85,COM_N_2012!$B$61:$AJ$122,MATCH(VLOOKUP("*"&amp;$AW85,$A$10:$J$11,$J$9,FALSE)&amp;P$7,COM_N_2012!$B$58:$AJ$58,0),FALSE),"")</f>
        <v/>
      </c>
      <c r="Q85" s="391" t="str">
        <f ca="1">IFERROR(VLOOKUP($C85,COM_N_2012!$B$61:$AJ$122,MATCH(VLOOKUP("*"&amp;$AW85,$A$10:$J$11,$J$9,FALSE)&amp;Q$7,COM_N_2012!$B$58:$AJ$58,0),FALSE),"")</f>
        <v/>
      </c>
      <c r="R85" s="391">
        <f ca="1">IF($A85="*","",IFERROR(VLOOKUP($C85,COM_N_2017!$B$61:$AJ$122,MATCH(VLOOKUP("*"&amp;$AW85,$A$10:$J$11,$J$9,FALSE)&amp;R$7,COM_N_2017!$B$58:$AJ$58,0),FALSE),""))</f>
        <v>0</v>
      </c>
      <c r="S85" s="391" t="str">
        <f ca="1">IFERROR(VLOOKUP($C85,COM_N_2012!$B$61:$AJ$122,MATCH(VLOOKUP("*"&amp;$AW85,$A$10:$J$11,$J$9,FALSE)&amp;S$7,COM_N_2012!$B$58:$AJ$58,0),FALSE),"")</f>
        <v/>
      </c>
      <c r="T85" s="391" t="str">
        <f ca="1">IFERROR(VLOOKUP($C85,COM_N_2012!$B$61:$AJ$122,MATCH(VLOOKUP("*"&amp;$AW85,$A$10:$J$11,$J$9,FALSE)&amp;T$7,COM_N_2012!$B$58:$AJ$58,0),FALSE),"")</f>
        <v/>
      </c>
      <c r="U85" s="391" t="str">
        <f ca="1">IFERROR(VLOOKUP($C85,COM_N_2012!$B$61:$AJ$122,MATCH(VLOOKUP("*"&amp;$AW85,$A$10:$J$11,$J$9,FALSE)&amp;U$7,COM_N_2012!$B$58:$AJ$58,0),FALSE),"")</f>
        <v/>
      </c>
      <c r="V85" s="391" t="str">
        <f ca="1">IFERROR(VLOOKUP($C85,COM_N_2012!$B$61:$AJ$122,MATCH(VLOOKUP("*"&amp;$AW85,$A$10:$J$11,$J$9,FALSE)&amp;V$7,COM_N_2012!$B$58:$AJ$58,0),FALSE),"")</f>
        <v/>
      </c>
      <c r="W85" s="391">
        <f ca="1">IF($A85="*","",IFERROR(VLOOKUP($C85,COM_N_2017!$B$61:$AJ$122,MATCH(VLOOKUP("*"&amp;$AW85,$A$10:$J$11,$J$9,FALSE)&amp;W$7,COM_N_2017!$B$58:$AJ$58,0),FALSE),""))</f>
        <v>0</v>
      </c>
      <c r="X85" s="391" t="str">
        <f ca="1">IFERROR(VLOOKUP($C85,COM_N_2012!$B$61:$AJ$122,MATCH(VLOOKUP("*"&amp;$AW85,$A$10:$J$11,$J$9,FALSE)&amp;X$7,COM_N_2012!$B$58:$AJ$58,0),FALSE),"")</f>
        <v/>
      </c>
      <c r="Y85" s="391" t="str">
        <f ca="1">IFERROR(VLOOKUP($C85,COM_N_2012!$B$61:$AJ$122,MATCH(VLOOKUP("*"&amp;$AW85,$A$10:$J$11,$J$9,FALSE)&amp;Y$7,COM_N_2012!$B$58:$AJ$58,0),FALSE),"")</f>
        <v/>
      </c>
      <c r="Z85" s="391" t="str">
        <f ca="1">IFERROR(VLOOKUP($C85,COM_N_2012!$B$61:$AJ$122,MATCH(VLOOKUP("*"&amp;$AW85,$A$10:$J$11,$J$9,FALSE)&amp;Z$7,COM_N_2012!$B$58:$AJ$58,0),FALSE),"")</f>
        <v/>
      </c>
      <c r="AA85" s="391" t="str">
        <f ca="1">IFERROR(VLOOKUP($C85,COM_N_2012!$B$61:$AJ$122,MATCH(VLOOKUP("*"&amp;$AW85,$A$10:$J$11,$J$9,FALSE)&amp;AA$7,COM_N_2012!$B$58:$AJ$58,0),FALSE),"")</f>
        <v/>
      </c>
      <c r="AB85" s="391">
        <f ca="1">IF($A85="*","",IFERROR(VLOOKUP($C85,COM_N_2017!$B$61:$AJ$122,MATCH(VLOOKUP("*"&amp;$AW85,$A$10:$J$11,$J$9,FALSE)&amp;AB$7,COM_N_2017!$B$58:$AJ$58,0),FALSE),""))</f>
        <v>0</v>
      </c>
      <c r="AC85" s="391" t="str">
        <f ca="1">IFERROR(VLOOKUP($C85,COM_N_2012!$B$61:$AJ$122,MATCH(VLOOKUP("*"&amp;$AW85,$A$10:$J$11,$J$9,FALSE)&amp;AC$7,COM_N_2012!$B$58:$AJ$58,0),FALSE),"")</f>
        <v/>
      </c>
      <c r="AD85" s="391" t="str">
        <f ca="1">IFERROR(VLOOKUP($C85,COM_N_2012!$B$61:$AJ$122,MATCH(VLOOKUP("*"&amp;$AW85,$A$10:$J$11,$J$9,FALSE)&amp;AD$7,COM_N_2012!$B$58:$AJ$58,0),FALSE),"")</f>
        <v/>
      </c>
      <c r="AE85" s="391" t="str">
        <f ca="1">IFERROR(VLOOKUP($C85,COM_N_2012!$B$61:$AJ$122,MATCH(VLOOKUP("*"&amp;$AW85,$A$10:$J$11,$J$9,FALSE)&amp;AE$7,COM_N_2012!$B$58:$AJ$58,0),FALSE),"")</f>
        <v/>
      </c>
      <c r="AF85" s="391" t="str">
        <f ca="1">IFERROR(VLOOKUP($C85,COM_N_2012!$B$61:$AJ$122,MATCH(VLOOKUP("*"&amp;$AW85,$A$10:$J$11,$J$9,FALSE)&amp;AF$7,COM_N_2012!$B$58:$AJ$58,0),FALSE),"")</f>
        <v/>
      </c>
      <c r="AG85" s="391">
        <f ca="1">IF($A85="*","",IFERROR(VLOOKUP($C85,COM_N_2017!$B$61:$AJ$122,MATCH(VLOOKUP("*"&amp;$AW85,$A$10:$J$11,$J$9,FALSE)&amp;AG$7,COM_N_2017!$B$58:$AJ$58,0),FALSE),""))</f>
        <v>0</v>
      </c>
      <c r="AH85" s="391" t="str">
        <f ca="1">IFERROR(VLOOKUP($C85,COM_N_2012!$B$61:$AJ$122,MATCH(VLOOKUP("*"&amp;$AW85,$A$10:$J$11,$J$9,FALSE)&amp;AH$7,COM_N_2012!$B$58:$AJ$58,0),FALSE),"")</f>
        <v/>
      </c>
      <c r="AI85" s="391" t="str">
        <f ca="1">IFERROR(VLOOKUP($C85,COM_N_2012!$B$61:$AJ$122,MATCH(VLOOKUP("*"&amp;$AW85,$A$10:$J$11,$J$9,FALSE)&amp;AI$7,COM_N_2012!$B$58:$AJ$58,0),FALSE),"")</f>
        <v/>
      </c>
      <c r="AJ85" s="391" t="str">
        <f ca="1">IFERROR(VLOOKUP($C85,COM_N_2012!$B$61:$AJ$122,MATCH(VLOOKUP("*"&amp;$AW85,$A$10:$J$11,$J$9,FALSE)&amp;AJ$7,COM_N_2012!$B$58:$AJ$58,0),FALSE),"")</f>
        <v/>
      </c>
      <c r="AK85" s="391" t="str">
        <f ca="1">IFERROR(VLOOKUP($C85,COM_N_2012!$B$61:$AJ$122,MATCH(VLOOKUP("*"&amp;$AW85,$A$10:$J$11,$J$9,FALSE)&amp;AK$7,COM_N_2012!$B$58:$AJ$58,0),FALSE),"")</f>
        <v/>
      </c>
      <c r="AL85" s="391">
        <f ca="1">IF($A85="*","",IFERROR(VLOOKUP($C85,COM_N_2017!$B$61:$AJ$122,MATCH(VLOOKUP("*"&amp;$AW85,$A$10:$J$11,$J$9,FALSE)&amp;AL$7,COM_N_2017!$B$58:$AJ$58,0),FALSE),""))</f>
        <v>0</v>
      </c>
      <c r="AM85" s="391">
        <f ca="1">IF($A85="*","",IFERROR(VLOOKUP($C85,COM_N_2017!$B$61:$AJ$122,MATCH(VLOOKUP("*"&amp;$AW85,$A$10:$J$11,$J$9,FALSE)&amp;AM$7,COM_N_2017!$B$58:$AJ$58,0),FALSE),""))</f>
        <v>0</v>
      </c>
      <c r="AN85" s="391">
        <f ca="1">IF($A85="*","",IFERROR(VLOOKUP($C85,COM_N_2017!$B$61:$AJ$122,MATCH(VLOOKUP("*"&amp;$AW85,$A$10:$J$11,$J$9,FALSE)&amp;AN$7,COM_N_2017!$B$58:$AJ$58,0),FALSE),""))</f>
        <v>0</v>
      </c>
      <c r="AO85" s="391" t="str">
        <f ca="1">IFERROR(VLOOKUP($C85,COM_N_2012!$B$61:$AJ$122,MATCH(VLOOKUP("*"&amp;$AW85,$A$10:$J$11,$J$9,FALSE)&amp;AO$7,COM_N_2012!$B$58:$AJ$58,0),FALSE),"")</f>
        <v/>
      </c>
      <c r="AP85" s="391" t="str">
        <f ca="1">IFERROR(VLOOKUP($C85,COM_N_2012!$B$61:$AJ$122,MATCH(VLOOKUP("*"&amp;$AW85,$A$10:$J$11,$J$9,FALSE)&amp;AP$7,COM_N_2012!$B$58:$AJ$58,0),FALSE),"")</f>
        <v/>
      </c>
      <c r="AQ85" s="391" t="str">
        <f ca="1">IFERROR(VLOOKUP($C85,COM_N_2012!$B$61:$AJ$122,MATCH(VLOOKUP("*"&amp;$AW85,$A$10:$J$11,$J$9,FALSE)&amp;AQ$7,COM_N_2012!$B$58:$AJ$58,0),FALSE),"")</f>
        <v/>
      </c>
      <c r="AR85" s="391" t="str">
        <f ca="1">IFERROR(VLOOKUP($C85,COM_N_2012!$B$61:$AJ$122,MATCH(VLOOKUP("*"&amp;$AW85,$A$10:$J$11,$J$9,FALSE)&amp;AR$7,COM_N_2012!$B$58:$AJ$58,0),FALSE),"")</f>
        <v/>
      </c>
      <c r="AS85" s="391" t="str">
        <f ca="1">IFERROR(VLOOKUP($C85,COM_N_2012!$B$61:$AJ$122,MATCH(VLOOKUP("*"&amp;$AW85,$A$10:$J$11,$J$9,FALSE)&amp;AS$7,COM_N_2012!$B$58:$AJ$58,0),FALSE),"")</f>
        <v/>
      </c>
      <c r="AT85" s="391" t="str">
        <f ca="1">IFERROR(VLOOKUP($C85,COM_N_2012!$B$61:$AJ$122,MATCH(VLOOKUP("*"&amp;$AW85,$A$10:$J$11,$J$9,FALSE)&amp;AT$7,COM_N_2012!$B$58:$AJ$58,0),FALSE),"")</f>
        <v/>
      </c>
      <c r="AU85" s="391" t="str">
        <f ca="1">IFERROR(VLOOKUP($C85,COM_N_2012!$B$61:$AJ$122,MATCH(VLOOKUP("*"&amp;$AW85,$A$10:$J$11,$J$9,FALSE)&amp;AU$7,COM_N_2012!$B$58:$AJ$58,0),FALSE),"")</f>
        <v/>
      </c>
      <c r="AV85" s="391" t="str">
        <f ca="1">IFERROR(VLOOKUP($C85,COM_N_2012!$B$61:$AJ$122,MATCH(VLOOKUP("*"&amp;$AW85,$A$10:$J$11,$J$9,FALSE)&amp;AV$7,COM_N_2012!$B$58:$AJ$58,0),FALSE),"")</f>
        <v/>
      </c>
      <c r="AW85" s="304">
        <f>IF(AX84=COM_N_2012!$AK$121,AW84+1,AW84)</f>
        <v>2</v>
      </c>
      <c r="AX85" s="304">
        <f t="shared" si="13"/>
        <v>12</v>
      </c>
    </row>
    <row r="86" spans="1:50">
      <c r="A86" s="304" t="str">
        <f ca="1">IF(LEFT(OFFSET(COM_N_2012!$A$60,AX86,0),2)="\I","*","")</f>
        <v/>
      </c>
      <c r="B86" s="369" t="str">
        <f t="shared" ca="1" si="18"/>
        <v>FLO_MRKPRD</v>
      </c>
      <c r="C86" s="369" t="str">
        <f ca="1">IF($A86="*","",OFFSET(COM_N_2012!$B$60,AX86,0))</f>
        <v>CNHGAS-N</v>
      </c>
      <c r="D86" s="369" t="str">
        <f t="shared" ca="1" si="19"/>
        <v>CNH</v>
      </c>
      <c r="E86" s="369" t="str">
        <f t="shared" ca="1" si="16"/>
        <v>-</v>
      </c>
      <c r="F86" s="370" t="str">
        <f t="shared" ca="1" si="9"/>
        <v>-</v>
      </c>
      <c r="G86" s="370" t="str">
        <f t="shared" ca="1" si="9"/>
        <v>ANNUAL</v>
      </c>
      <c r="H86" s="370" t="str">
        <f t="shared" ca="1" si="17"/>
        <v>LO</v>
      </c>
      <c r="I86" s="370">
        <f t="shared" ca="1" si="17"/>
        <v>0</v>
      </c>
      <c r="J86" s="391">
        <f ca="1">IFERROR(VLOOKUP($C86,COM_N_2012!$B$61:$AJ$122,MATCH(VLOOKUP("*"&amp;$AW86,$A$10:$J$11,$J$9,FALSE)&amp;J$7,COM_N_2012!$B$58:$AJ$58,0),FALSE),"")</f>
        <v>0</v>
      </c>
      <c r="K86" s="391" t="str">
        <f ca="1">IFERROR(VLOOKUP($C86,COM_N_2012!$B$61:$AJ$122,MATCH(VLOOKUP("*"&amp;$AW86,$A$10:$J$11,$J$9,FALSE)&amp;K$7,COM_N_2012!$B$58:$AJ$58,0),FALSE),"")</f>
        <v/>
      </c>
      <c r="L86" s="391" t="str">
        <f ca="1">IFERROR(VLOOKUP($C86,COM_N_2012!$B$61:$AJ$122,MATCH(VLOOKUP("*"&amp;$AW86,$A$10:$J$11,$J$9,FALSE)&amp;L$7,COM_N_2012!$B$58:$AJ$58,0),FALSE),"")</f>
        <v/>
      </c>
      <c r="M86" s="391">
        <f ca="1">IFERROR(VLOOKUP($C86,COM_N_2012!$B$61:$AJ$122,MATCH(VLOOKUP("*"&amp;$AW86,$A$10:$J$11,$J$9,FALSE)&amp;M$7,COM_N_2012!$B$58:$AJ$58,0),FALSE),"")</f>
        <v>0</v>
      </c>
      <c r="N86" s="391" t="str">
        <f ca="1">IFERROR(VLOOKUP($C86,COM_N_2012!$B$61:$AJ$122,MATCH(VLOOKUP("*"&amp;$AW86,$A$10:$J$11,$J$9,FALSE)&amp;N$7,COM_N_2012!$B$58:$AJ$58,0),FALSE),"")</f>
        <v/>
      </c>
      <c r="O86" s="391">
        <f ca="1">IF($A86="*","",IFERROR(VLOOKUP($C86,COM_N_2017!$B$61:$AJ$122,MATCH(VLOOKUP("*"&amp;$AW86,$A$10:$J$11,$J$9,FALSE)&amp;O$7,COM_N_2017!$B$58:$AJ$58,0),FALSE),""))</f>
        <v>0</v>
      </c>
      <c r="P86" s="391" t="str">
        <f ca="1">IFERROR(VLOOKUP($C86,COM_N_2012!$B$61:$AJ$122,MATCH(VLOOKUP("*"&amp;$AW86,$A$10:$J$11,$J$9,FALSE)&amp;P$7,COM_N_2012!$B$58:$AJ$58,0),FALSE),"")</f>
        <v/>
      </c>
      <c r="Q86" s="391" t="str">
        <f ca="1">IFERROR(VLOOKUP($C86,COM_N_2012!$B$61:$AJ$122,MATCH(VLOOKUP("*"&amp;$AW86,$A$10:$J$11,$J$9,FALSE)&amp;Q$7,COM_N_2012!$B$58:$AJ$58,0),FALSE),"")</f>
        <v/>
      </c>
      <c r="R86" s="391">
        <f ca="1">IF($A86="*","",IFERROR(VLOOKUP($C86,COM_N_2017!$B$61:$AJ$122,MATCH(VLOOKUP("*"&amp;$AW86,$A$10:$J$11,$J$9,FALSE)&amp;R$7,COM_N_2017!$B$58:$AJ$58,0),FALSE),""))</f>
        <v>0</v>
      </c>
      <c r="S86" s="391" t="str">
        <f ca="1">IFERROR(VLOOKUP($C86,COM_N_2012!$B$61:$AJ$122,MATCH(VLOOKUP("*"&amp;$AW86,$A$10:$J$11,$J$9,FALSE)&amp;S$7,COM_N_2012!$B$58:$AJ$58,0),FALSE),"")</f>
        <v/>
      </c>
      <c r="T86" s="391" t="str">
        <f ca="1">IFERROR(VLOOKUP($C86,COM_N_2012!$B$61:$AJ$122,MATCH(VLOOKUP("*"&amp;$AW86,$A$10:$J$11,$J$9,FALSE)&amp;T$7,COM_N_2012!$B$58:$AJ$58,0),FALSE),"")</f>
        <v/>
      </c>
      <c r="U86" s="391" t="str">
        <f ca="1">IFERROR(VLOOKUP($C86,COM_N_2012!$B$61:$AJ$122,MATCH(VLOOKUP("*"&amp;$AW86,$A$10:$J$11,$J$9,FALSE)&amp;U$7,COM_N_2012!$B$58:$AJ$58,0),FALSE),"")</f>
        <v/>
      </c>
      <c r="V86" s="391" t="str">
        <f ca="1">IFERROR(VLOOKUP($C86,COM_N_2012!$B$61:$AJ$122,MATCH(VLOOKUP("*"&amp;$AW86,$A$10:$J$11,$J$9,FALSE)&amp;V$7,COM_N_2012!$B$58:$AJ$58,0),FALSE),"")</f>
        <v/>
      </c>
      <c r="W86" s="391">
        <f ca="1">IF($A86="*","",IFERROR(VLOOKUP($C86,COM_N_2017!$B$61:$AJ$122,MATCH(VLOOKUP("*"&amp;$AW86,$A$10:$J$11,$J$9,FALSE)&amp;W$7,COM_N_2017!$B$58:$AJ$58,0),FALSE),""))</f>
        <v>0</v>
      </c>
      <c r="X86" s="391" t="str">
        <f ca="1">IFERROR(VLOOKUP($C86,COM_N_2012!$B$61:$AJ$122,MATCH(VLOOKUP("*"&amp;$AW86,$A$10:$J$11,$J$9,FALSE)&amp;X$7,COM_N_2012!$B$58:$AJ$58,0),FALSE),"")</f>
        <v/>
      </c>
      <c r="Y86" s="391" t="str">
        <f ca="1">IFERROR(VLOOKUP($C86,COM_N_2012!$B$61:$AJ$122,MATCH(VLOOKUP("*"&amp;$AW86,$A$10:$J$11,$J$9,FALSE)&amp;Y$7,COM_N_2012!$B$58:$AJ$58,0),FALSE),"")</f>
        <v/>
      </c>
      <c r="Z86" s="391" t="str">
        <f ca="1">IFERROR(VLOOKUP($C86,COM_N_2012!$B$61:$AJ$122,MATCH(VLOOKUP("*"&amp;$AW86,$A$10:$J$11,$J$9,FALSE)&amp;Z$7,COM_N_2012!$B$58:$AJ$58,0),FALSE),"")</f>
        <v/>
      </c>
      <c r="AA86" s="391" t="str">
        <f ca="1">IFERROR(VLOOKUP($C86,COM_N_2012!$B$61:$AJ$122,MATCH(VLOOKUP("*"&amp;$AW86,$A$10:$J$11,$J$9,FALSE)&amp;AA$7,COM_N_2012!$B$58:$AJ$58,0),FALSE),"")</f>
        <v/>
      </c>
      <c r="AB86" s="391">
        <f ca="1">IF($A86="*","",IFERROR(VLOOKUP($C86,COM_N_2017!$B$61:$AJ$122,MATCH(VLOOKUP("*"&amp;$AW86,$A$10:$J$11,$J$9,FALSE)&amp;AB$7,COM_N_2017!$B$58:$AJ$58,0),FALSE),""))</f>
        <v>0</v>
      </c>
      <c r="AC86" s="391" t="str">
        <f ca="1">IFERROR(VLOOKUP($C86,COM_N_2012!$B$61:$AJ$122,MATCH(VLOOKUP("*"&amp;$AW86,$A$10:$J$11,$J$9,FALSE)&amp;AC$7,COM_N_2012!$B$58:$AJ$58,0),FALSE),"")</f>
        <v/>
      </c>
      <c r="AD86" s="391" t="str">
        <f ca="1">IFERROR(VLOOKUP($C86,COM_N_2012!$B$61:$AJ$122,MATCH(VLOOKUP("*"&amp;$AW86,$A$10:$J$11,$J$9,FALSE)&amp;AD$7,COM_N_2012!$B$58:$AJ$58,0),FALSE),"")</f>
        <v/>
      </c>
      <c r="AE86" s="391" t="str">
        <f ca="1">IFERROR(VLOOKUP($C86,COM_N_2012!$B$61:$AJ$122,MATCH(VLOOKUP("*"&amp;$AW86,$A$10:$J$11,$J$9,FALSE)&amp;AE$7,COM_N_2012!$B$58:$AJ$58,0),FALSE),"")</f>
        <v/>
      </c>
      <c r="AF86" s="391" t="str">
        <f ca="1">IFERROR(VLOOKUP($C86,COM_N_2012!$B$61:$AJ$122,MATCH(VLOOKUP("*"&amp;$AW86,$A$10:$J$11,$J$9,FALSE)&amp;AF$7,COM_N_2012!$B$58:$AJ$58,0),FALSE),"")</f>
        <v/>
      </c>
      <c r="AG86" s="391">
        <f ca="1">IF($A86="*","",IFERROR(VLOOKUP($C86,COM_N_2017!$B$61:$AJ$122,MATCH(VLOOKUP("*"&amp;$AW86,$A$10:$J$11,$J$9,FALSE)&amp;AG$7,COM_N_2017!$B$58:$AJ$58,0),FALSE),""))</f>
        <v>0</v>
      </c>
      <c r="AH86" s="391" t="str">
        <f ca="1">IFERROR(VLOOKUP($C86,COM_N_2012!$B$61:$AJ$122,MATCH(VLOOKUP("*"&amp;$AW86,$A$10:$J$11,$J$9,FALSE)&amp;AH$7,COM_N_2012!$B$58:$AJ$58,0),FALSE),"")</f>
        <v/>
      </c>
      <c r="AI86" s="391" t="str">
        <f ca="1">IFERROR(VLOOKUP($C86,COM_N_2012!$B$61:$AJ$122,MATCH(VLOOKUP("*"&amp;$AW86,$A$10:$J$11,$J$9,FALSE)&amp;AI$7,COM_N_2012!$B$58:$AJ$58,0),FALSE),"")</f>
        <v/>
      </c>
      <c r="AJ86" s="391" t="str">
        <f ca="1">IFERROR(VLOOKUP($C86,COM_N_2012!$B$61:$AJ$122,MATCH(VLOOKUP("*"&amp;$AW86,$A$10:$J$11,$J$9,FALSE)&amp;AJ$7,COM_N_2012!$B$58:$AJ$58,0),FALSE),"")</f>
        <v/>
      </c>
      <c r="AK86" s="391" t="str">
        <f ca="1">IFERROR(VLOOKUP($C86,COM_N_2012!$B$61:$AJ$122,MATCH(VLOOKUP("*"&amp;$AW86,$A$10:$J$11,$J$9,FALSE)&amp;AK$7,COM_N_2012!$B$58:$AJ$58,0),FALSE),"")</f>
        <v/>
      </c>
      <c r="AL86" s="391">
        <f ca="1">IF($A86="*","",IFERROR(VLOOKUP($C86,COM_N_2017!$B$61:$AJ$122,MATCH(VLOOKUP("*"&amp;$AW86,$A$10:$J$11,$J$9,FALSE)&amp;AL$7,COM_N_2017!$B$58:$AJ$58,0),FALSE),""))</f>
        <v>0</v>
      </c>
      <c r="AM86" s="391">
        <f ca="1">IF($A86="*","",IFERROR(VLOOKUP($C86,COM_N_2017!$B$61:$AJ$122,MATCH(VLOOKUP("*"&amp;$AW86,$A$10:$J$11,$J$9,FALSE)&amp;AM$7,COM_N_2017!$B$58:$AJ$58,0),FALSE),""))</f>
        <v>0</v>
      </c>
      <c r="AN86" s="391">
        <f ca="1">IF($A86="*","",IFERROR(VLOOKUP($C86,COM_N_2017!$B$61:$AJ$122,MATCH(VLOOKUP("*"&amp;$AW86,$A$10:$J$11,$J$9,FALSE)&amp;AN$7,COM_N_2017!$B$58:$AJ$58,0),FALSE),""))</f>
        <v>0</v>
      </c>
      <c r="AO86" s="391" t="str">
        <f ca="1">IFERROR(VLOOKUP($C86,COM_N_2012!$B$61:$AJ$122,MATCH(VLOOKUP("*"&amp;$AW86,$A$10:$J$11,$J$9,FALSE)&amp;AO$7,COM_N_2012!$B$58:$AJ$58,0),FALSE),"")</f>
        <v/>
      </c>
      <c r="AP86" s="391" t="str">
        <f ca="1">IFERROR(VLOOKUP($C86,COM_N_2012!$B$61:$AJ$122,MATCH(VLOOKUP("*"&amp;$AW86,$A$10:$J$11,$J$9,FALSE)&amp;AP$7,COM_N_2012!$B$58:$AJ$58,0),FALSE),"")</f>
        <v/>
      </c>
      <c r="AQ86" s="391" t="str">
        <f ca="1">IFERROR(VLOOKUP($C86,COM_N_2012!$B$61:$AJ$122,MATCH(VLOOKUP("*"&amp;$AW86,$A$10:$J$11,$J$9,FALSE)&amp;AQ$7,COM_N_2012!$B$58:$AJ$58,0),FALSE),"")</f>
        <v/>
      </c>
      <c r="AR86" s="391" t="str">
        <f ca="1">IFERROR(VLOOKUP($C86,COM_N_2012!$B$61:$AJ$122,MATCH(VLOOKUP("*"&amp;$AW86,$A$10:$J$11,$J$9,FALSE)&amp;AR$7,COM_N_2012!$B$58:$AJ$58,0),FALSE),"")</f>
        <v/>
      </c>
      <c r="AS86" s="391" t="str">
        <f ca="1">IFERROR(VLOOKUP($C86,COM_N_2012!$B$61:$AJ$122,MATCH(VLOOKUP("*"&amp;$AW86,$A$10:$J$11,$J$9,FALSE)&amp;AS$7,COM_N_2012!$B$58:$AJ$58,0),FALSE),"")</f>
        <v/>
      </c>
      <c r="AT86" s="391" t="str">
        <f ca="1">IFERROR(VLOOKUP($C86,COM_N_2012!$B$61:$AJ$122,MATCH(VLOOKUP("*"&amp;$AW86,$A$10:$J$11,$J$9,FALSE)&amp;AT$7,COM_N_2012!$B$58:$AJ$58,0),FALSE),"")</f>
        <v/>
      </c>
      <c r="AU86" s="391" t="str">
        <f ca="1">IFERROR(VLOOKUP($C86,COM_N_2012!$B$61:$AJ$122,MATCH(VLOOKUP("*"&amp;$AW86,$A$10:$J$11,$J$9,FALSE)&amp;AU$7,COM_N_2012!$B$58:$AJ$58,0),FALSE),"")</f>
        <v/>
      </c>
      <c r="AV86" s="391" t="str">
        <f ca="1">IFERROR(VLOOKUP($C86,COM_N_2012!$B$61:$AJ$122,MATCH(VLOOKUP("*"&amp;$AW86,$A$10:$J$11,$J$9,FALSE)&amp;AV$7,COM_N_2012!$B$58:$AJ$58,0),FALSE),"")</f>
        <v/>
      </c>
      <c r="AW86" s="304">
        <f>IF(AX85=COM_N_2012!$AK$121,AW85+1,AW85)</f>
        <v>2</v>
      </c>
      <c r="AX86" s="304">
        <f t="shared" si="13"/>
        <v>13</v>
      </c>
    </row>
    <row r="87" spans="1:50">
      <c r="A87" s="304" t="str">
        <f ca="1">IF(LEFT(OFFSET(COM_N_2012!$A$60,AX87,0),2)="\I","*","")</f>
        <v>*</v>
      </c>
      <c r="B87" s="369" t="str">
        <f t="shared" ca="1" si="18"/>
        <v/>
      </c>
      <c r="C87" s="369" t="str">
        <f ca="1">IF($A87="*","",OFFSET(COM_N_2012!$B$60,AX87,0))</f>
        <v/>
      </c>
      <c r="D87" s="369" t="str">
        <f t="shared" ca="1" si="19"/>
        <v/>
      </c>
      <c r="E87" s="369" t="str">
        <f t="shared" ca="1" si="16"/>
        <v/>
      </c>
      <c r="F87" s="370" t="str">
        <f t="shared" ca="1" si="9"/>
        <v/>
      </c>
      <c r="G87" s="370" t="str">
        <f t="shared" ca="1" si="9"/>
        <v/>
      </c>
      <c r="H87" s="370" t="str">
        <f t="shared" ca="1" si="17"/>
        <v/>
      </c>
      <c r="I87" s="370" t="str">
        <f t="shared" ca="1" si="17"/>
        <v/>
      </c>
      <c r="J87" s="391" t="str">
        <f ca="1">IFERROR(VLOOKUP($C87,COM_N_2012!$B$61:$AJ$122,MATCH(VLOOKUP("*"&amp;$AW87,$A$10:$J$11,$J$9,FALSE)&amp;J$7,COM_N_2012!$B$58:$AJ$58,0),FALSE),"")</f>
        <v/>
      </c>
      <c r="K87" s="391" t="str">
        <f ca="1">IFERROR(VLOOKUP($C87,COM_N_2012!$B$61:$AJ$122,MATCH(VLOOKUP("*"&amp;$AW87,$A$10:$J$11,$J$9,FALSE)&amp;K$7,COM_N_2012!$B$58:$AJ$58,0),FALSE),"")</f>
        <v/>
      </c>
      <c r="L87" s="391" t="str">
        <f ca="1">IFERROR(VLOOKUP($C87,COM_N_2012!$B$61:$AJ$122,MATCH(VLOOKUP("*"&amp;$AW87,$A$10:$J$11,$J$9,FALSE)&amp;L$7,COM_N_2012!$B$58:$AJ$58,0),FALSE),"")</f>
        <v/>
      </c>
      <c r="M87" s="391" t="str">
        <f ca="1">IFERROR(VLOOKUP($C87,COM_N_2012!$B$61:$AJ$122,MATCH(VLOOKUP("*"&amp;$AW87,$A$10:$J$11,$J$9,FALSE)&amp;M$7,COM_N_2012!$B$58:$AJ$58,0),FALSE),"")</f>
        <v/>
      </c>
      <c r="N87" s="391" t="str">
        <f ca="1">IFERROR(VLOOKUP($C87,COM_N_2012!$B$61:$AJ$122,MATCH(VLOOKUP("*"&amp;$AW87,$A$10:$J$11,$J$9,FALSE)&amp;N$7,COM_N_2012!$B$58:$AJ$58,0),FALSE),"")</f>
        <v/>
      </c>
      <c r="O87" s="391" t="str">
        <f ca="1">IF($A87="*","",IFERROR(VLOOKUP($C87,COM_N_2017!$B$61:$AJ$122,MATCH(VLOOKUP("*"&amp;$AW87,$A$10:$J$11,$J$9,FALSE)&amp;O$7,COM_N_2017!$B$58:$AJ$58,0),FALSE),""))</f>
        <v/>
      </c>
      <c r="P87" s="391" t="str">
        <f ca="1">IFERROR(VLOOKUP($C87,COM_N_2012!$B$61:$AJ$122,MATCH(VLOOKUP("*"&amp;$AW87,$A$10:$J$11,$J$9,FALSE)&amp;P$7,COM_N_2012!$B$58:$AJ$58,0),FALSE),"")</f>
        <v/>
      </c>
      <c r="Q87" s="391" t="str">
        <f ca="1">IFERROR(VLOOKUP($C87,COM_N_2012!$B$61:$AJ$122,MATCH(VLOOKUP("*"&amp;$AW87,$A$10:$J$11,$J$9,FALSE)&amp;Q$7,COM_N_2012!$B$58:$AJ$58,0),FALSE),"")</f>
        <v/>
      </c>
      <c r="R87" s="391" t="str">
        <f ca="1">IF($A87="*","",IFERROR(VLOOKUP($C87,COM_N_2017!$B$61:$AJ$122,MATCH(VLOOKUP("*"&amp;$AW87,$A$10:$J$11,$J$9,FALSE)&amp;R$7,COM_N_2017!$B$58:$AJ$58,0),FALSE),""))</f>
        <v/>
      </c>
      <c r="S87" s="391" t="str">
        <f ca="1">IFERROR(VLOOKUP($C87,COM_N_2012!$B$61:$AJ$122,MATCH(VLOOKUP("*"&amp;$AW87,$A$10:$J$11,$J$9,FALSE)&amp;S$7,COM_N_2012!$B$58:$AJ$58,0),FALSE),"")</f>
        <v/>
      </c>
      <c r="T87" s="391" t="str">
        <f ca="1">IFERROR(VLOOKUP($C87,COM_N_2012!$B$61:$AJ$122,MATCH(VLOOKUP("*"&amp;$AW87,$A$10:$J$11,$J$9,FALSE)&amp;T$7,COM_N_2012!$B$58:$AJ$58,0),FALSE),"")</f>
        <v/>
      </c>
      <c r="U87" s="391" t="str">
        <f ca="1">IFERROR(VLOOKUP($C87,COM_N_2012!$B$61:$AJ$122,MATCH(VLOOKUP("*"&amp;$AW87,$A$10:$J$11,$J$9,FALSE)&amp;U$7,COM_N_2012!$B$58:$AJ$58,0),FALSE),"")</f>
        <v/>
      </c>
      <c r="V87" s="391" t="str">
        <f ca="1">IFERROR(VLOOKUP($C87,COM_N_2012!$B$61:$AJ$122,MATCH(VLOOKUP("*"&amp;$AW87,$A$10:$J$11,$J$9,FALSE)&amp;V$7,COM_N_2012!$B$58:$AJ$58,0),FALSE),"")</f>
        <v/>
      </c>
      <c r="W87" s="391" t="str">
        <f ca="1">IF($A87="*","",IFERROR(VLOOKUP($C87,COM_N_2017!$B$61:$AJ$122,MATCH(VLOOKUP("*"&amp;$AW87,$A$10:$J$11,$J$9,FALSE)&amp;W$7,COM_N_2017!$B$58:$AJ$58,0),FALSE),""))</f>
        <v/>
      </c>
      <c r="X87" s="391" t="str">
        <f ca="1">IFERROR(VLOOKUP($C87,COM_N_2012!$B$61:$AJ$122,MATCH(VLOOKUP("*"&amp;$AW87,$A$10:$J$11,$J$9,FALSE)&amp;X$7,COM_N_2012!$B$58:$AJ$58,0),FALSE),"")</f>
        <v/>
      </c>
      <c r="Y87" s="391" t="str">
        <f ca="1">IFERROR(VLOOKUP($C87,COM_N_2012!$B$61:$AJ$122,MATCH(VLOOKUP("*"&amp;$AW87,$A$10:$J$11,$J$9,FALSE)&amp;Y$7,COM_N_2012!$B$58:$AJ$58,0),FALSE),"")</f>
        <v/>
      </c>
      <c r="Z87" s="391" t="str">
        <f ca="1">IFERROR(VLOOKUP($C87,COM_N_2012!$B$61:$AJ$122,MATCH(VLOOKUP("*"&amp;$AW87,$A$10:$J$11,$J$9,FALSE)&amp;Z$7,COM_N_2012!$B$58:$AJ$58,0),FALSE),"")</f>
        <v/>
      </c>
      <c r="AA87" s="391" t="str">
        <f ca="1">IFERROR(VLOOKUP($C87,COM_N_2012!$B$61:$AJ$122,MATCH(VLOOKUP("*"&amp;$AW87,$A$10:$J$11,$J$9,FALSE)&amp;AA$7,COM_N_2012!$B$58:$AJ$58,0),FALSE),"")</f>
        <v/>
      </c>
      <c r="AB87" s="391" t="str">
        <f ca="1">IF($A87="*","",IFERROR(VLOOKUP($C87,COM_N_2017!$B$61:$AJ$122,MATCH(VLOOKUP("*"&amp;$AW87,$A$10:$J$11,$J$9,FALSE)&amp;AB$7,COM_N_2017!$B$58:$AJ$58,0),FALSE),""))</f>
        <v/>
      </c>
      <c r="AC87" s="391" t="str">
        <f ca="1">IFERROR(VLOOKUP($C87,COM_N_2012!$B$61:$AJ$122,MATCH(VLOOKUP("*"&amp;$AW87,$A$10:$J$11,$J$9,FALSE)&amp;AC$7,COM_N_2012!$B$58:$AJ$58,0),FALSE),"")</f>
        <v/>
      </c>
      <c r="AD87" s="391" t="str">
        <f ca="1">IFERROR(VLOOKUP($C87,COM_N_2012!$B$61:$AJ$122,MATCH(VLOOKUP("*"&amp;$AW87,$A$10:$J$11,$J$9,FALSE)&amp;AD$7,COM_N_2012!$B$58:$AJ$58,0),FALSE),"")</f>
        <v/>
      </c>
      <c r="AE87" s="391" t="str">
        <f ca="1">IFERROR(VLOOKUP($C87,COM_N_2012!$B$61:$AJ$122,MATCH(VLOOKUP("*"&amp;$AW87,$A$10:$J$11,$J$9,FALSE)&amp;AE$7,COM_N_2012!$B$58:$AJ$58,0),FALSE),"")</f>
        <v/>
      </c>
      <c r="AF87" s="391" t="str">
        <f ca="1">IFERROR(VLOOKUP($C87,COM_N_2012!$B$61:$AJ$122,MATCH(VLOOKUP("*"&amp;$AW87,$A$10:$J$11,$J$9,FALSE)&amp;AF$7,COM_N_2012!$B$58:$AJ$58,0),FALSE),"")</f>
        <v/>
      </c>
      <c r="AG87" s="391" t="str">
        <f ca="1">IF($A87="*","",IFERROR(VLOOKUP($C87,COM_N_2017!$B$61:$AJ$122,MATCH(VLOOKUP("*"&amp;$AW87,$A$10:$J$11,$J$9,FALSE)&amp;AG$7,COM_N_2017!$B$58:$AJ$58,0),FALSE),""))</f>
        <v/>
      </c>
      <c r="AH87" s="391" t="str">
        <f ca="1">IFERROR(VLOOKUP($C87,COM_N_2012!$B$61:$AJ$122,MATCH(VLOOKUP("*"&amp;$AW87,$A$10:$J$11,$J$9,FALSE)&amp;AH$7,COM_N_2012!$B$58:$AJ$58,0),FALSE),"")</f>
        <v/>
      </c>
      <c r="AI87" s="391" t="str">
        <f ca="1">IFERROR(VLOOKUP($C87,COM_N_2012!$B$61:$AJ$122,MATCH(VLOOKUP("*"&amp;$AW87,$A$10:$J$11,$J$9,FALSE)&amp;AI$7,COM_N_2012!$B$58:$AJ$58,0),FALSE),"")</f>
        <v/>
      </c>
      <c r="AJ87" s="391" t="str">
        <f ca="1">IFERROR(VLOOKUP($C87,COM_N_2012!$B$61:$AJ$122,MATCH(VLOOKUP("*"&amp;$AW87,$A$10:$J$11,$J$9,FALSE)&amp;AJ$7,COM_N_2012!$B$58:$AJ$58,0),FALSE),"")</f>
        <v/>
      </c>
      <c r="AK87" s="391" t="str">
        <f ca="1">IFERROR(VLOOKUP($C87,COM_N_2012!$B$61:$AJ$122,MATCH(VLOOKUP("*"&amp;$AW87,$A$10:$J$11,$J$9,FALSE)&amp;AK$7,COM_N_2012!$B$58:$AJ$58,0),FALSE),"")</f>
        <v/>
      </c>
      <c r="AL87" s="391" t="str">
        <f ca="1">IF($A87="*","",IFERROR(VLOOKUP($C87,COM_N_2017!$B$61:$AJ$122,MATCH(VLOOKUP("*"&amp;$AW87,$A$10:$J$11,$J$9,FALSE)&amp;AL$7,COM_N_2017!$B$58:$AJ$58,0),FALSE),""))</f>
        <v/>
      </c>
      <c r="AM87" s="391" t="str">
        <f ca="1">IF($A87="*","",IFERROR(VLOOKUP($C87,COM_N_2017!$B$61:$AJ$122,MATCH(VLOOKUP("*"&amp;$AW87,$A$10:$J$11,$J$9,FALSE)&amp;AM$7,COM_N_2017!$B$58:$AJ$58,0),FALSE),""))</f>
        <v/>
      </c>
      <c r="AN87" s="391" t="str">
        <f ca="1">IF($A87="*","",IFERROR(VLOOKUP($C87,COM_N_2017!$B$61:$AJ$122,MATCH(VLOOKUP("*"&amp;$AW87,$A$10:$J$11,$J$9,FALSE)&amp;AN$7,COM_N_2017!$B$58:$AJ$58,0),FALSE),""))</f>
        <v/>
      </c>
      <c r="AO87" s="391" t="str">
        <f ca="1">IFERROR(VLOOKUP($C87,COM_N_2012!$B$61:$AJ$122,MATCH(VLOOKUP("*"&amp;$AW87,$A$10:$J$11,$J$9,FALSE)&amp;AO$7,COM_N_2012!$B$58:$AJ$58,0),FALSE),"")</f>
        <v/>
      </c>
      <c r="AP87" s="391" t="str">
        <f ca="1">IFERROR(VLOOKUP($C87,COM_N_2012!$B$61:$AJ$122,MATCH(VLOOKUP("*"&amp;$AW87,$A$10:$J$11,$J$9,FALSE)&amp;AP$7,COM_N_2012!$B$58:$AJ$58,0),FALSE),"")</f>
        <v/>
      </c>
      <c r="AQ87" s="391" t="str">
        <f ca="1">IFERROR(VLOOKUP($C87,COM_N_2012!$B$61:$AJ$122,MATCH(VLOOKUP("*"&amp;$AW87,$A$10:$J$11,$J$9,FALSE)&amp;AQ$7,COM_N_2012!$B$58:$AJ$58,0),FALSE),"")</f>
        <v/>
      </c>
      <c r="AR87" s="391" t="str">
        <f ca="1">IFERROR(VLOOKUP($C87,COM_N_2012!$B$61:$AJ$122,MATCH(VLOOKUP("*"&amp;$AW87,$A$10:$J$11,$J$9,FALSE)&amp;AR$7,COM_N_2012!$B$58:$AJ$58,0),FALSE),"")</f>
        <v/>
      </c>
      <c r="AS87" s="391" t="str">
        <f ca="1">IFERROR(VLOOKUP($C87,COM_N_2012!$B$61:$AJ$122,MATCH(VLOOKUP("*"&amp;$AW87,$A$10:$J$11,$J$9,FALSE)&amp;AS$7,COM_N_2012!$B$58:$AJ$58,0),FALSE),"")</f>
        <v/>
      </c>
      <c r="AT87" s="391" t="str">
        <f ca="1">IFERROR(VLOOKUP($C87,COM_N_2012!$B$61:$AJ$122,MATCH(VLOOKUP("*"&amp;$AW87,$A$10:$J$11,$J$9,FALSE)&amp;AT$7,COM_N_2012!$B$58:$AJ$58,0),FALSE),"")</f>
        <v/>
      </c>
      <c r="AU87" s="391" t="str">
        <f ca="1">IFERROR(VLOOKUP($C87,COM_N_2012!$B$61:$AJ$122,MATCH(VLOOKUP("*"&amp;$AW87,$A$10:$J$11,$J$9,FALSE)&amp;AU$7,COM_N_2012!$B$58:$AJ$58,0),FALSE),"")</f>
        <v/>
      </c>
      <c r="AV87" s="391" t="str">
        <f ca="1">IFERROR(VLOOKUP($C87,COM_N_2012!$B$61:$AJ$122,MATCH(VLOOKUP("*"&amp;$AW87,$A$10:$J$11,$J$9,FALSE)&amp;AV$7,COM_N_2012!$B$58:$AJ$58,0),FALSE),"")</f>
        <v/>
      </c>
      <c r="AW87" s="304">
        <f>IF(AX86=COM_N_2012!$AK$121,AW86+1,AW86)</f>
        <v>2</v>
      </c>
      <c r="AX87" s="304">
        <f t="shared" si="13"/>
        <v>14</v>
      </c>
    </row>
    <row r="88" spans="1:50">
      <c r="A88" s="304" t="str">
        <f ca="1">IF(LEFT(OFFSET(COM_N_2012!$A$60,AX88,0),2)="\I","*","")</f>
        <v>*</v>
      </c>
      <c r="B88" s="369" t="str">
        <f t="shared" ca="1" si="18"/>
        <v/>
      </c>
      <c r="C88" s="369" t="str">
        <f ca="1">IF($A88="*","",OFFSET(COM_N_2012!$B$60,AX88,0))</f>
        <v/>
      </c>
      <c r="D88" s="369" t="str">
        <f t="shared" ca="1" si="19"/>
        <v/>
      </c>
      <c r="E88" s="369" t="str">
        <f t="shared" ca="1" si="16"/>
        <v/>
      </c>
      <c r="F88" s="370" t="str">
        <f t="shared" ca="1" si="9"/>
        <v/>
      </c>
      <c r="G88" s="370" t="str">
        <f t="shared" ca="1" si="9"/>
        <v/>
      </c>
      <c r="H88" s="370" t="str">
        <f t="shared" ca="1" si="17"/>
        <v/>
      </c>
      <c r="I88" s="370" t="str">
        <f t="shared" ca="1" si="17"/>
        <v/>
      </c>
      <c r="J88" s="391" t="str">
        <f ca="1">IFERROR(VLOOKUP($C88,COM_N_2012!$B$61:$AJ$122,MATCH(VLOOKUP("*"&amp;$AW88,$A$10:$J$11,$J$9,FALSE)&amp;J$7,COM_N_2012!$B$58:$AJ$58,0),FALSE),"")</f>
        <v/>
      </c>
      <c r="K88" s="391" t="str">
        <f ca="1">IFERROR(VLOOKUP($C88,COM_N_2012!$B$61:$AJ$122,MATCH(VLOOKUP("*"&amp;$AW88,$A$10:$J$11,$J$9,FALSE)&amp;K$7,COM_N_2012!$B$58:$AJ$58,0),FALSE),"")</f>
        <v/>
      </c>
      <c r="L88" s="391" t="str">
        <f ca="1">IFERROR(VLOOKUP($C88,COM_N_2012!$B$61:$AJ$122,MATCH(VLOOKUP("*"&amp;$AW88,$A$10:$J$11,$J$9,FALSE)&amp;L$7,COM_N_2012!$B$58:$AJ$58,0),FALSE),"")</f>
        <v/>
      </c>
      <c r="M88" s="391" t="str">
        <f ca="1">IFERROR(VLOOKUP($C88,COM_N_2012!$B$61:$AJ$122,MATCH(VLOOKUP("*"&amp;$AW88,$A$10:$J$11,$J$9,FALSE)&amp;M$7,COM_N_2012!$B$58:$AJ$58,0),FALSE),"")</f>
        <v/>
      </c>
      <c r="N88" s="391" t="str">
        <f ca="1">IFERROR(VLOOKUP($C88,COM_N_2012!$B$61:$AJ$122,MATCH(VLOOKUP("*"&amp;$AW88,$A$10:$J$11,$J$9,FALSE)&amp;N$7,COM_N_2012!$B$58:$AJ$58,0),FALSE),"")</f>
        <v/>
      </c>
      <c r="O88" s="391" t="str">
        <f ca="1">IF($A88="*","",IFERROR(VLOOKUP($C88,COM_N_2017!$B$61:$AJ$122,MATCH(VLOOKUP("*"&amp;$AW88,$A$10:$J$11,$J$9,FALSE)&amp;O$7,COM_N_2017!$B$58:$AJ$58,0),FALSE),""))</f>
        <v/>
      </c>
      <c r="P88" s="391" t="str">
        <f ca="1">IFERROR(VLOOKUP($C88,COM_N_2012!$B$61:$AJ$122,MATCH(VLOOKUP("*"&amp;$AW88,$A$10:$J$11,$J$9,FALSE)&amp;P$7,COM_N_2012!$B$58:$AJ$58,0),FALSE),"")</f>
        <v/>
      </c>
      <c r="Q88" s="391" t="str">
        <f ca="1">IFERROR(VLOOKUP($C88,COM_N_2012!$B$61:$AJ$122,MATCH(VLOOKUP("*"&amp;$AW88,$A$10:$J$11,$J$9,FALSE)&amp;Q$7,COM_N_2012!$B$58:$AJ$58,0),FALSE),"")</f>
        <v/>
      </c>
      <c r="R88" s="391" t="str">
        <f ca="1">IF($A88="*","",IFERROR(VLOOKUP($C88,COM_N_2017!$B$61:$AJ$122,MATCH(VLOOKUP("*"&amp;$AW88,$A$10:$J$11,$J$9,FALSE)&amp;R$7,COM_N_2017!$B$58:$AJ$58,0),FALSE),""))</f>
        <v/>
      </c>
      <c r="S88" s="391" t="str">
        <f ca="1">IFERROR(VLOOKUP($C88,COM_N_2012!$B$61:$AJ$122,MATCH(VLOOKUP("*"&amp;$AW88,$A$10:$J$11,$J$9,FALSE)&amp;S$7,COM_N_2012!$B$58:$AJ$58,0),FALSE),"")</f>
        <v/>
      </c>
      <c r="T88" s="391" t="str">
        <f ca="1">IFERROR(VLOOKUP($C88,COM_N_2012!$B$61:$AJ$122,MATCH(VLOOKUP("*"&amp;$AW88,$A$10:$J$11,$J$9,FALSE)&amp;T$7,COM_N_2012!$B$58:$AJ$58,0),FALSE),"")</f>
        <v/>
      </c>
      <c r="U88" s="391" t="str">
        <f ca="1">IFERROR(VLOOKUP($C88,COM_N_2012!$B$61:$AJ$122,MATCH(VLOOKUP("*"&amp;$AW88,$A$10:$J$11,$J$9,FALSE)&amp;U$7,COM_N_2012!$B$58:$AJ$58,0),FALSE),"")</f>
        <v/>
      </c>
      <c r="V88" s="391" t="str">
        <f ca="1">IFERROR(VLOOKUP($C88,COM_N_2012!$B$61:$AJ$122,MATCH(VLOOKUP("*"&amp;$AW88,$A$10:$J$11,$J$9,FALSE)&amp;V$7,COM_N_2012!$B$58:$AJ$58,0),FALSE),"")</f>
        <v/>
      </c>
      <c r="W88" s="391" t="str">
        <f ca="1">IF($A88="*","",IFERROR(VLOOKUP($C88,COM_N_2017!$B$61:$AJ$122,MATCH(VLOOKUP("*"&amp;$AW88,$A$10:$J$11,$J$9,FALSE)&amp;W$7,COM_N_2017!$B$58:$AJ$58,0),FALSE),""))</f>
        <v/>
      </c>
      <c r="X88" s="391" t="str">
        <f ca="1">IFERROR(VLOOKUP($C88,COM_N_2012!$B$61:$AJ$122,MATCH(VLOOKUP("*"&amp;$AW88,$A$10:$J$11,$J$9,FALSE)&amp;X$7,COM_N_2012!$B$58:$AJ$58,0),FALSE),"")</f>
        <v/>
      </c>
      <c r="Y88" s="391" t="str">
        <f ca="1">IFERROR(VLOOKUP($C88,COM_N_2012!$B$61:$AJ$122,MATCH(VLOOKUP("*"&amp;$AW88,$A$10:$J$11,$J$9,FALSE)&amp;Y$7,COM_N_2012!$B$58:$AJ$58,0),FALSE),"")</f>
        <v/>
      </c>
      <c r="Z88" s="391" t="str">
        <f ca="1">IFERROR(VLOOKUP($C88,COM_N_2012!$B$61:$AJ$122,MATCH(VLOOKUP("*"&amp;$AW88,$A$10:$J$11,$J$9,FALSE)&amp;Z$7,COM_N_2012!$B$58:$AJ$58,0),FALSE),"")</f>
        <v/>
      </c>
      <c r="AA88" s="391" t="str">
        <f ca="1">IFERROR(VLOOKUP($C88,COM_N_2012!$B$61:$AJ$122,MATCH(VLOOKUP("*"&amp;$AW88,$A$10:$J$11,$J$9,FALSE)&amp;AA$7,COM_N_2012!$B$58:$AJ$58,0),FALSE),"")</f>
        <v/>
      </c>
      <c r="AB88" s="391" t="str">
        <f ca="1">IF($A88="*","",IFERROR(VLOOKUP($C88,COM_N_2017!$B$61:$AJ$122,MATCH(VLOOKUP("*"&amp;$AW88,$A$10:$J$11,$J$9,FALSE)&amp;AB$7,COM_N_2017!$B$58:$AJ$58,0),FALSE),""))</f>
        <v/>
      </c>
      <c r="AC88" s="391" t="str">
        <f ca="1">IFERROR(VLOOKUP($C88,COM_N_2012!$B$61:$AJ$122,MATCH(VLOOKUP("*"&amp;$AW88,$A$10:$J$11,$J$9,FALSE)&amp;AC$7,COM_N_2012!$B$58:$AJ$58,0),FALSE),"")</f>
        <v/>
      </c>
      <c r="AD88" s="391" t="str">
        <f ca="1">IFERROR(VLOOKUP($C88,COM_N_2012!$B$61:$AJ$122,MATCH(VLOOKUP("*"&amp;$AW88,$A$10:$J$11,$J$9,FALSE)&amp;AD$7,COM_N_2012!$B$58:$AJ$58,0),FALSE),"")</f>
        <v/>
      </c>
      <c r="AE88" s="391" t="str">
        <f ca="1">IFERROR(VLOOKUP($C88,COM_N_2012!$B$61:$AJ$122,MATCH(VLOOKUP("*"&amp;$AW88,$A$10:$J$11,$J$9,FALSE)&amp;AE$7,COM_N_2012!$B$58:$AJ$58,0),FALSE),"")</f>
        <v/>
      </c>
      <c r="AF88" s="391" t="str">
        <f ca="1">IFERROR(VLOOKUP($C88,COM_N_2012!$B$61:$AJ$122,MATCH(VLOOKUP("*"&amp;$AW88,$A$10:$J$11,$J$9,FALSE)&amp;AF$7,COM_N_2012!$B$58:$AJ$58,0),FALSE),"")</f>
        <v/>
      </c>
      <c r="AG88" s="391" t="str">
        <f ca="1">IF($A88="*","",IFERROR(VLOOKUP($C88,COM_N_2017!$B$61:$AJ$122,MATCH(VLOOKUP("*"&amp;$AW88,$A$10:$J$11,$J$9,FALSE)&amp;AG$7,COM_N_2017!$B$58:$AJ$58,0),FALSE),""))</f>
        <v/>
      </c>
      <c r="AH88" s="391" t="str">
        <f ca="1">IFERROR(VLOOKUP($C88,COM_N_2012!$B$61:$AJ$122,MATCH(VLOOKUP("*"&amp;$AW88,$A$10:$J$11,$J$9,FALSE)&amp;AH$7,COM_N_2012!$B$58:$AJ$58,0),FALSE),"")</f>
        <v/>
      </c>
      <c r="AI88" s="391" t="str">
        <f ca="1">IFERROR(VLOOKUP($C88,COM_N_2012!$B$61:$AJ$122,MATCH(VLOOKUP("*"&amp;$AW88,$A$10:$J$11,$J$9,FALSE)&amp;AI$7,COM_N_2012!$B$58:$AJ$58,0),FALSE),"")</f>
        <v/>
      </c>
      <c r="AJ88" s="391" t="str">
        <f ca="1">IFERROR(VLOOKUP($C88,COM_N_2012!$B$61:$AJ$122,MATCH(VLOOKUP("*"&amp;$AW88,$A$10:$J$11,$J$9,FALSE)&amp;AJ$7,COM_N_2012!$B$58:$AJ$58,0),FALSE),"")</f>
        <v/>
      </c>
      <c r="AK88" s="391" t="str">
        <f ca="1">IFERROR(VLOOKUP($C88,COM_N_2012!$B$61:$AJ$122,MATCH(VLOOKUP("*"&amp;$AW88,$A$10:$J$11,$J$9,FALSE)&amp;AK$7,COM_N_2012!$B$58:$AJ$58,0),FALSE),"")</f>
        <v/>
      </c>
      <c r="AL88" s="391" t="str">
        <f ca="1">IF($A88="*","",IFERROR(VLOOKUP($C88,COM_N_2017!$B$61:$AJ$122,MATCH(VLOOKUP("*"&amp;$AW88,$A$10:$J$11,$J$9,FALSE)&amp;AL$7,COM_N_2017!$B$58:$AJ$58,0),FALSE),""))</f>
        <v/>
      </c>
      <c r="AM88" s="391" t="str">
        <f ca="1">IF($A88="*","",IFERROR(VLOOKUP($C88,COM_N_2017!$B$61:$AJ$122,MATCH(VLOOKUP("*"&amp;$AW88,$A$10:$J$11,$J$9,FALSE)&amp;AM$7,COM_N_2017!$B$58:$AJ$58,0),FALSE),""))</f>
        <v/>
      </c>
      <c r="AN88" s="391" t="str">
        <f ca="1">IF($A88="*","",IFERROR(VLOOKUP($C88,COM_N_2017!$B$61:$AJ$122,MATCH(VLOOKUP("*"&amp;$AW88,$A$10:$J$11,$J$9,FALSE)&amp;AN$7,COM_N_2017!$B$58:$AJ$58,0),FALSE),""))</f>
        <v/>
      </c>
      <c r="AO88" s="391" t="str">
        <f ca="1">IFERROR(VLOOKUP($C88,COM_N_2012!$B$61:$AJ$122,MATCH(VLOOKUP("*"&amp;$AW88,$A$10:$J$11,$J$9,FALSE)&amp;AO$7,COM_N_2012!$B$58:$AJ$58,0),FALSE),"")</f>
        <v/>
      </c>
      <c r="AP88" s="391" t="str">
        <f ca="1">IFERROR(VLOOKUP($C88,COM_N_2012!$B$61:$AJ$122,MATCH(VLOOKUP("*"&amp;$AW88,$A$10:$J$11,$J$9,FALSE)&amp;AP$7,COM_N_2012!$B$58:$AJ$58,0),FALSE),"")</f>
        <v/>
      </c>
      <c r="AQ88" s="391" t="str">
        <f ca="1">IFERROR(VLOOKUP($C88,COM_N_2012!$B$61:$AJ$122,MATCH(VLOOKUP("*"&amp;$AW88,$A$10:$J$11,$J$9,FALSE)&amp;AQ$7,COM_N_2012!$B$58:$AJ$58,0),FALSE),"")</f>
        <v/>
      </c>
      <c r="AR88" s="391" t="str">
        <f ca="1">IFERROR(VLOOKUP($C88,COM_N_2012!$B$61:$AJ$122,MATCH(VLOOKUP("*"&amp;$AW88,$A$10:$J$11,$J$9,FALSE)&amp;AR$7,COM_N_2012!$B$58:$AJ$58,0),FALSE),"")</f>
        <v/>
      </c>
      <c r="AS88" s="391" t="str">
        <f ca="1">IFERROR(VLOOKUP($C88,COM_N_2012!$B$61:$AJ$122,MATCH(VLOOKUP("*"&amp;$AW88,$A$10:$J$11,$J$9,FALSE)&amp;AS$7,COM_N_2012!$B$58:$AJ$58,0),FALSE),"")</f>
        <v/>
      </c>
      <c r="AT88" s="391" t="str">
        <f ca="1">IFERROR(VLOOKUP($C88,COM_N_2012!$B$61:$AJ$122,MATCH(VLOOKUP("*"&amp;$AW88,$A$10:$J$11,$J$9,FALSE)&amp;AT$7,COM_N_2012!$B$58:$AJ$58,0),FALSE),"")</f>
        <v/>
      </c>
      <c r="AU88" s="391" t="str">
        <f ca="1">IFERROR(VLOOKUP($C88,COM_N_2012!$B$61:$AJ$122,MATCH(VLOOKUP("*"&amp;$AW88,$A$10:$J$11,$J$9,FALSE)&amp;AU$7,COM_N_2012!$B$58:$AJ$58,0),FALSE),"")</f>
        <v/>
      </c>
      <c r="AV88" s="391" t="str">
        <f ca="1">IFERROR(VLOOKUP($C88,COM_N_2012!$B$61:$AJ$122,MATCH(VLOOKUP("*"&amp;$AW88,$A$10:$J$11,$J$9,FALSE)&amp;AV$7,COM_N_2012!$B$58:$AJ$58,0),FALSE),"")</f>
        <v/>
      </c>
      <c r="AW88" s="304">
        <f>IF(AX87=COM_N_2012!$AK$121,AW87+1,AW87)</f>
        <v>2</v>
      </c>
      <c r="AX88" s="304">
        <f t="shared" si="13"/>
        <v>15</v>
      </c>
    </row>
    <row r="89" spans="1:50">
      <c r="A89" s="304" t="str">
        <f ca="1">IF(LEFT(OFFSET(COM_N_2012!$A$60,AX89,0),2)="\I","*","")</f>
        <v/>
      </c>
      <c r="B89" s="369" t="str">
        <f t="shared" ca="1" si="18"/>
        <v>FLO_MRKPRD</v>
      </c>
      <c r="C89" s="369" t="str">
        <f ca="1">IF($A89="*","",OFFSET(COM_N_2012!$B$60,AX89,0))</f>
        <v>CNKOLP-E</v>
      </c>
      <c r="D89" s="369" t="str">
        <f t="shared" ca="1" si="19"/>
        <v>CNK</v>
      </c>
      <c r="E89" s="369" t="str">
        <f t="shared" ca="1" si="16"/>
        <v>-</v>
      </c>
      <c r="F89" s="370" t="str">
        <f t="shared" ca="1" si="9"/>
        <v>-</v>
      </c>
      <c r="G89" s="370" t="str">
        <f t="shared" ca="1" si="9"/>
        <v>ANNUAL</v>
      </c>
      <c r="H89" s="370" t="str">
        <f t="shared" ca="1" si="17"/>
        <v>LO</v>
      </c>
      <c r="I89" s="370">
        <f t="shared" ca="1" si="17"/>
        <v>0</v>
      </c>
      <c r="J89" s="391">
        <f ca="1">IFERROR(VLOOKUP($C89,COM_N_2012!$B$61:$AJ$122,MATCH(VLOOKUP("*"&amp;$AW89,$A$10:$J$11,$J$9,FALSE)&amp;J$7,COM_N_2012!$B$58:$AJ$58,0),FALSE),"")</f>
        <v>3.6367690145522998E-2</v>
      </c>
      <c r="K89" s="391" t="str">
        <f ca="1">IFERROR(VLOOKUP($C89,COM_N_2012!$B$61:$AJ$122,MATCH(VLOOKUP("*"&amp;$AW89,$A$10:$J$11,$J$9,FALSE)&amp;K$7,COM_N_2012!$B$58:$AJ$58,0),FALSE),"")</f>
        <v/>
      </c>
      <c r="L89" s="391" t="str">
        <f ca="1">IFERROR(VLOOKUP($C89,COM_N_2012!$B$61:$AJ$122,MATCH(VLOOKUP("*"&amp;$AW89,$A$10:$J$11,$J$9,FALSE)&amp;L$7,COM_N_2012!$B$58:$AJ$58,0),FALSE),"")</f>
        <v/>
      </c>
      <c r="M89" s="391">
        <f ca="1">IFERROR(VLOOKUP($C89,COM_N_2012!$B$61:$AJ$122,MATCH(VLOOKUP("*"&amp;$AW89,$A$10:$J$11,$J$9,FALSE)&amp;M$7,COM_N_2012!$B$58:$AJ$58,0),FALSE),"")</f>
        <v>2.9094152116418401E-2</v>
      </c>
      <c r="N89" s="391" t="str">
        <f ca="1">IFERROR(VLOOKUP($C89,COM_N_2012!$B$61:$AJ$122,MATCH(VLOOKUP("*"&amp;$AW89,$A$10:$J$11,$J$9,FALSE)&amp;N$7,COM_N_2012!$B$58:$AJ$58,0),FALSE),"")</f>
        <v/>
      </c>
      <c r="O89" s="391">
        <f ca="1">IF($A89="*","",IFERROR(VLOOKUP($C89,COM_N_2017!$B$61:$AJ$122,MATCH(VLOOKUP("*"&amp;$AW89,$A$10:$J$11,$J$9,FALSE)&amp;O$7,COM_N_2017!$B$58:$AJ$58,0),FALSE),""))</f>
        <v>4.6615464984556829E-3</v>
      </c>
      <c r="P89" s="391" t="str">
        <f ca="1">IFERROR(VLOOKUP($C89,COM_N_2012!$B$61:$AJ$122,MATCH(VLOOKUP("*"&amp;$AW89,$A$10:$J$11,$J$9,FALSE)&amp;P$7,COM_N_2012!$B$58:$AJ$58,0),FALSE),"")</f>
        <v/>
      </c>
      <c r="Q89" s="391" t="str">
        <f ca="1">IFERROR(VLOOKUP($C89,COM_N_2012!$B$61:$AJ$122,MATCH(VLOOKUP("*"&amp;$AW89,$A$10:$J$11,$J$9,FALSE)&amp;Q$7,COM_N_2012!$B$58:$AJ$58,0),FALSE),"")</f>
        <v/>
      </c>
      <c r="R89" s="391">
        <f ca="1">IF($A89="*","",IFERROR(VLOOKUP($C89,COM_N_2017!$B$61:$AJ$122,MATCH(VLOOKUP("*"&amp;$AW89,$A$10:$J$11,$J$9,FALSE)&amp;R$7,COM_N_2017!$B$58:$AJ$58,0),FALSE),""))</f>
        <v>4.5217001035020125E-3</v>
      </c>
      <c r="S89" s="391" t="str">
        <f ca="1">IFERROR(VLOOKUP($C89,COM_N_2012!$B$61:$AJ$122,MATCH(VLOOKUP("*"&amp;$AW89,$A$10:$J$11,$J$9,FALSE)&amp;S$7,COM_N_2012!$B$58:$AJ$58,0),FALSE),"")</f>
        <v/>
      </c>
      <c r="T89" s="391" t="str">
        <f ca="1">IFERROR(VLOOKUP($C89,COM_N_2012!$B$61:$AJ$122,MATCH(VLOOKUP("*"&amp;$AW89,$A$10:$J$11,$J$9,FALSE)&amp;T$7,COM_N_2012!$B$58:$AJ$58,0),FALSE),"")</f>
        <v/>
      </c>
      <c r="U89" s="391" t="str">
        <f ca="1">IFERROR(VLOOKUP($C89,COM_N_2012!$B$61:$AJ$122,MATCH(VLOOKUP("*"&amp;$AW89,$A$10:$J$11,$J$9,FALSE)&amp;U$7,COM_N_2012!$B$58:$AJ$58,0),FALSE),"")</f>
        <v/>
      </c>
      <c r="V89" s="391" t="str">
        <f ca="1">IFERROR(VLOOKUP($C89,COM_N_2012!$B$61:$AJ$122,MATCH(VLOOKUP("*"&amp;$AW89,$A$10:$J$11,$J$9,FALSE)&amp;V$7,COM_N_2012!$B$58:$AJ$58,0),FALSE),"")</f>
        <v/>
      </c>
      <c r="W89" s="391">
        <f ca="1">IF($A89="*","",IFERROR(VLOOKUP($C89,COM_N_2017!$B$61:$AJ$122,MATCH(VLOOKUP("*"&amp;$AW89,$A$10:$J$11,$J$9,FALSE)&amp;W$7,COM_N_2017!$B$58:$AJ$58,0),FALSE),""))</f>
        <v>4.195391848610115E-3</v>
      </c>
      <c r="X89" s="391" t="str">
        <f ca="1">IFERROR(VLOOKUP($C89,COM_N_2012!$B$61:$AJ$122,MATCH(VLOOKUP("*"&amp;$AW89,$A$10:$J$11,$J$9,FALSE)&amp;X$7,COM_N_2012!$B$58:$AJ$58,0),FALSE),"")</f>
        <v/>
      </c>
      <c r="Y89" s="391" t="str">
        <f ca="1">IFERROR(VLOOKUP($C89,COM_N_2012!$B$61:$AJ$122,MATCH(VLOOKUP("*"&amp;$AW89,$A$10:$J$11,$J$9,FALSE)&amp;Y$7,COM_N_2012!$B$58:$AJ$58,0),FALSE),"")</f>
        <v/>
      </c>
      <c r="Z89" s="391" t="str">
        <f ca="1">IFERROR(VLOOKUP($C89,COM_N_2012!$B$61:$AJ$122,MATCH(VLOOKUP("*"&amp;$AW89,$A$10:$J$11,$J$9,FALSE)&amp;Z$7,COM_N_2012!$B$58:$AJ$58,0),FALSE),"")</f>
        <v/>
      </c>
      <c r="AA89" s="391" t="str">
        <f ca="1">IFERROR(VLOOKUP($C89,COM_N_2012!$B$61:$AJ$122,MATCH(VLOOKUP("*"&amp;$AW89,$A$10:$J$11,$J$9,FALSE)&amp;AA$7,COM_N_2012!$B$58:$AJ$58,0),FALSE),"")</f>
        <v/>
      </c>
      <c r="AB89" s="391">
        <f ca="1">IF($A89="*","",IFERROR(VLOOKUP($C89,COM_N_2017!$B$61:$AJ$122,MATCH(VLOOKUP("*"&amp;$AW89,$A$10:$J$11,$J$9,FALSE)&amp;AB$7,COM_N_2017!$B$58:$AJ$58,0),FALSE),""))</f>
        <v>3.263082548918978E-3</v>
      </c>
      <c r="AC89" s="391" t="str">
        <f ca="1">IFERROR(VLOOKUP($C89,COM_N_2012!$B$61:$AJ$122,MATCH(VLOOKUP("*"&amp;$AW89,$A$10:$J$11,$J$9,FALSE)&amp;AC$7,COM_N_2012!$B$58:$AJ$58,0),FALSE),"")</f>
        <v/>
      </c>
      <c r="AD89" s="391" t="str">
        <f ca="1">IFERROR(VLOOKUP($C89,COM_N_2012!$B$61:$AJ$122,MATCH(VLOOKUP("*"&amp;$AW89,$A$10:$J$11,$J$9,FALSE)&amp;AD$7,COM_N_2012!$B$58:$AJ$58,0),FALSE),"")</f>
        <v/>
      </c>
      <c r="AE89" s="391" t="str">
        <f ca="1">IFERROR(VLOOKUP($C89,COM_N_2012!$B$61:$AJ$122,MATCH(VLOOKUP("*"&amp;$AW89,$A$10:$J$11,$J$9,FALSE)&amp;AE$7,COM_N_2012!$B$58:$AJ$58,0),FALSE),"")</f>
        <v/>
      </c>
      <c r="AF89" s="391" t="str">
        <f ca="1">IFERROR(VLOOKUP($C89,COM_N_2012!$B$61:$AJ$122,MATCH(VLOOKUP("*"&amp;$AW89,$A$10:$J$11,$J$9,FALSE)&amp;AF$7,COM_N_2012!$B$58:$AJ$58,0),FALSE),"")</f>
        <v/>
      </c>
      <c r="AG89" s="391">
        <f ca="1">IF($A89="*","",IFERROR(VLOOKUP($C89,COM_N_2017!$B$61:$AJ$122,MATCH(VLOOKUP("*"&amp;$AW89,$A$10:$J$11,$J$9,FALSE)&amp;AG$7,COM_N_2017!$B$58:$AJ$58,0),FALSE),""))</f>
        <v>2.3307732492278414E-3</v>
      </c>
      <c r="AH89" s="391" t="str">
        <f ca="1">IFERROR(VLOOKUP($C89,COM_N_2012!$B$61:$AJ$122,MATCH(VLOOKUP("*"&amp;$AW89,$A$10:$J$11,$J$9,FALSE)&amp;AH$7,COM_N_2012!$B$58:$AJ$58,0),FALSE),"")</f>
        <v/>
      </c>
      <c r="AI89" s="391" t="str">
        <f ca="1">IFERROR(VLOOKUP($C89,COM_N_2012!$B$61:$AJ$122,MATCH(VLOOKUP("*"&amp;$AW89,$A$10:$J$11,$J$9,FALSE)&amp;AI$7,COM_N_2012!$B$58:$AJ$58,0),FALSE),"")</f>
        <v/>
      </c>
      <c r="AJ89" s="391" t="str">
        <f ca="1">IFERROR(VLOOKUP($C89,COM_N_2012!$B$61:$AJ$122,MATCH(VLOOKUP("*"&amp;$AW89,$A$10:$J$11,$J$9,FALSE)&amp;AJ$7,COM_N_2012!$B$58:$AJ$58,0),FALSE),"")</f>
        <v/>
      </c>
      <c r="AK89" s="391" t="str">
        <f ca="1">IFERROR(VLOOKUP($C89,COM_N_2012!$B$61:$AJ$122,MATCH(VLOOKUP("*"&amp;$AW89,$A$10:$J$11,$J$9,FALSE)&amp;AK$7,COM_N_2012!$B$58:$AJ$58,0),FALSE),"")</f>
        <v/>
      </c>
      <c r="AL89" s="391">
        <f ca="1">IF($A89="*","",IFERROR(VLOOKUP($C89,COM_N_2017!$B$61:$AJ$122,MATCH(VLOOKUP("*"&amp;$AW89,$A$10:$J$11,$J$9,FALSE)&amp;AL$7,COM_N_2017!$B$58:$AJ$58,0),FALSE),""))</f>
        <v>1.3984639495367049E-3</v>
      </c>
      <c r="AM89" s="391">
        <f ca="1">IF($A89="*","",IFERROR(VLOOKUP($C89,COM_N_2017!$B$61:$AJ$122,MATCH(VLOOKUP("*"&amp;$AW89,$A$10:$J$11,$J$9,FALSE)&amp;AM$7,COM_N_2017!$B$58:$AJ$58,0),FALSE),""))</f>
        <v>4.6615464984556829E-4</v>
      </c>
      <c r="AN89" s="391">
        <f ca="1">IF($A89="*","",IFERROR(VLOOKUP($C89,COM_N_2017!$B$61:$AJ$122,MATCH(VLOOKUP("*"&amp;$AW89,$A$10:$J$11,$J$9,FALSE)&amp;AN$7,COM_N_2017!$B$58:$AJ$58,0),FALSE),""))</f>
        <v>0</v>
      </c>
      <c r="AO89" s="391" t="str">
        <f ca="1">IFERROR(VLOOKUP($C89,COM_N_2012!$B$61:$AJ$122,MATCH(VLOOKUP("*"&amp;$AW89,$A$10:$J$11,$J$9,FALSE)&amp;AO$7,COM_N_2012!$B$58:$AJ$58,0),FALSE),"")</f>
        <v/>
      </c>
      <c r="AP89" s="391" t="str">
        <f ca="1">IFERROR(VLOOKUP($C89,COM_N_2012!$B$61:$AJ$122,MATCH(VLOOKUP("*"&amp;$AW89,$A$10:$J$11,$J$9,FALSE)&amp;AP$7,COM_N_2012!$B$58:$AJ$58,0),FALSE),"")</f>
        <v/>
      </c>
      <c r="AQ89" s="391" t="str">
        <f ca="1">IFERROR(VLOOKUP($C89,COM_N_2012!$B$61:$AJ$122,MATCH(VLOOKUP("*"&amp;$AW89,$A$10:$J$11,$J$9,FALSE)&amp;AQ$7,COM_N_2012!$B$58:$AJ$58,0),FALSE),"")</f>
        <v/>
      </c>
      <c r="AR89" s="391" t="str">
        <f ca="1">IFERROR(VLOOKUP($C89,COM_N_2012!$B$61:$AJ$122,MATCH(VLOOKUP("*"&amp;$AW89,$A$10:$J$11,$J$9,FALSE)&amp;AR$7,COM_N_2012!$B$58:$AJ$58,0),FALSE),"")</f>
        <v/>
      </c>
      <c r="AS89" s="391" t="str">
        <f ca="1">IFERROR(VLOOKUP($C89,COM_N_2012!$B$61:$AJ$122,MATCH(VLOOKUP("*"&amp;$AW89,$A$10:$J$11,$J$9,FALSE)&amp;AS$7,COM_N_2012!$B$58:$AJ$58,0),FALSE),"")</f>
        <v/>
      </c>
      <c r="AT89" s="391" t="str">
        <f ca="1">IFERROR(VLOOKUP($C89,COM_N_2012!$B$61:$AJ$122,MATCH(VLOOKUP("*"&amp;$AW89,$A$10:$J$11,$J$9,FALSE)&amp;AT$7,COM_N_2012!$B$58:$AJ$58,0),FALSE),"")</f>
        <v/>
      </c>
      <c r="AU89" s="391" t="str">
        <f ca="1">IFERROR(VLOOKUP($C89,COM_N_2012!$B$61:$AJ$122,MATCH(VLOOKUP("*"&amp;$AW89,$A$10:$J$11,$J$9,FALSE)&amp;AU$7,COM_N_2012!$B$58:$AJ$58,0),FALSE),"")</f>
        <v/>
      </c>
      <c r="AV89" s="391" t="str">
        <f ca="1">IFERROR(VLOOKUP($C89,COM_N_2012!$B$61:$AJ$122,MATCH(VLOOKUP("*"&amp;$AW89,$A$10:$J$11,$J$9,FALSE)&amp;AV$7,COM_N_2012!$B$58:$AJ$58,0),FALSE),"")</f>
        <v/>
      </c>
      <c r="AW89" s="304">
        <f>IF(AX88=COM_N_2012!$AK$121,AW88+1,AW88)</f>
        <v>2</v>
      </c>
      <c r="AX89" s="304">
        <f t="shared" si="13"/>
        <v>16</v>
      </c>
    </row>
    <row r="90" spans="1:50">
      <c r="A90" s="304" t="str">
        <f ca="1">IF(LEFT(OFFSET(COM_N_2012!$A$60,AX90,0),2)="\I","*","")</f>
        <v/>
      </c>
      <c r="B90" s="369" t="str">
        <f t="shared" ca="1" si="18"/>
        <v>FLO_MRKPRD</v>
      </c>
      <c r="C90" s="369" t="str">
        <f ca="1">IF($A90="*","",OFFSET(COM_N_2012!$B$60,AX90,0))</f>
        <v>CNKELC-E</v>
      </c>
      <c r="D90" s="369" t="str">
        <f t="shared" ca="1" si="19"/>
        <v>CNK</v>
      </c>
      <c r="E90" s="369" t="str">
        <f t="shared" ca="1" si="16"/>
        <v>-</v>
      </c>
      <c r="F90" s="370" t="str">
        <f t="shared" ca="1" si="9"/>
        <v>-</v>
      </c>
      <c r="G90" s="370" t="str">
        <f t="shared" ca="1" si="9"/>
        <v>ANNUAL</v>
      </c>
      <c r="H90" s="370" t="str">
        <f t="shared" ca="1" si="17"/>
        <v>LO</v>
      </c>
      <c r="I90" s="370">
        <f t="shared" ca="1" si="17"/>
        <v>0</v>
      </c>
      <c r="J90" s="391">
        <f ca="1">IFERROR(VLOOKUP($C90,COM_N_2012!$B$61:$AJ$122,MATCH(VLOOKUP("*"&amp;$AW90,$A$10:$J$11,$J$9,FALSE)&amp;J$7,COM_N_2012!$B$58:$AJ$58,0),FALSE),"")</f>
        <v>0.94360430733406564</v>
      </c>
      <c r="K90" s="391" t="str">
        <f ca="1">IFERROR(VLOOKUP($C90,COM_N_2012!$B$61:$AJ$122,MATCH(VLOOKUP("*"&amp;$AW90,$A$10:$J$11,$J$9,FALSE)&amp;K$7,COM_N_2012!$B$58:$AJ$58,0),FALSE),"")</f>
        <v/>
      </c>
      <c r="L90" s="391" t="str">
        <f ca="1">IFERROR(VLOOKUP($C90,COM_N_2012!$B$61:$AJ$122,MATCH(VLOOKUP("*"&amp;$AW90,$A$10:$J$11,$J$9,FALSE)&amp;L$7,COM_N_2012!$B$58:$AJ$58,0),FALSE),"")</f>
        <v/>
      </c>
      <c r="M90" s="391">
        <f ca="1">IFERROR(VLOOKUP($C90,COM_N_2012!$B$61:$AJ$122,MATCH(VLOOKUP("*"&amp;$AW90,$A$10:$J$11,$J$9,FALSE)&amp;M$7,COM_N_2012!$B$58:$AJ$58,0),FALSE),"")</f>
        <v>0.75488344586725253</v>
      </c>
      <c r="N90" s="391" t="str">
        <f ca="1">IFERROR(VLOOKUP($C90,COM_N_2012!$B$61:$AJ$122,MATCH(VLOOKUP("*"&amp;$AW90,$A$10:$J$11,$J$9,FALSE)&amp;N$7,COM_N_2012!$B$58:$AJ$58,0),FALSE),"")</f>
        <v/>
      </c>
      <c r="O90" s="391">
        <f ca="1">IF($A90="*","",IFERROR(VLOOKUP($C90,COM_N_2017!$B$61:$AJ$122,MATCH(VLOOKUP("*"&amp;$AW90,$A$10:$J$11,$J$9,FALSE)&amp;O$7,COM_N_2017!$B$58:$AJ$58,0),FALSE),""))</f>
        <v>0.95521459986421819</v>
      </c>
      <c r="P90" s="391" t="str">
        <f ca="1">IFERROR(VLOOKUP($C90,COM_N_2012!$B$61:$AJ$122,MATCH(VLOOKUP("*"&amp;$AW90,$A$10:$J$11,$J$9,FALSE)&amp;P$7,COM_N_2012!$B$58:$AJ$58,0),FALSE),"")</f>
        <v/>
      </c>
      <c r="Q90" s="391" t="str">
        <f ca="1">IFERROR(VLOOKUP($C90,COM_N_2012!$B$61:$AJ$122,MATCH(VLOOKUP("*"&amp;$AW90,$A$10:$J$11,$J$9,FALSE)&amp;Q$7,COM_N_2012!$B$58:$AJ$58,0),FALSE),"")</f>
        <v/>
      </c>
      <c r="R90" s="391">
        <f ca="1">IF($A90="*","",IFERROR(VLOOKUP($C90,COM_N_2017!$B$61:$AJ$122,MATCH(VLOOKUP("*"&amp;$AW90,$A$10:$J$11,$J$9,FALSE)&amp;R$7,COM_N_2017!$B$58:$AJ$58,0),FALSE),""))</f>
        <v>0.92655816186829165</v>
      </c>
      <c r="S90" s="391" t="str">
        <f ca="1">IFERROR(VLOOKUP($C90,COM_N_2012!$B$61:$AJ$122,MATCH(VLOOKUP("*"&amp;$AW90,$A$10:$J$11,$J$9,FALSE)&amp;S$7,COM_N_2012!$B$58:$AJ$58,0),FALSE),"")</f>
        <v/>
      </c>
      <c r="T90" s="391" t="str">
        <f ca="1">IFERROR(VLOOKUP($C90,COM_N_2012!$B$61:$AJ$122,MATCH(VLOOKUP("*"&amp;$AW90,$A$10:$J$11,$J$9,FALSE)&amp;T$7,COM_N_2012!$B$58:$AJ$58,0),FALSE),"")</f>
        <v/>
      </c>
      <c r="U90" s="391" t="str">
        <f ca="1">IFERROR(VLOOKUP($C90,COM_N_2012!$B$61:$AJ$122,MATCH(VLOOKUP("*"&amp;$AW90,$A$10:$J$11,$J$9,FALSE)&amp;U$7,COM_N_2012!$B$58:$AJ$58,0),FALSE),"")</f>
        <v/>
      </c>
      <c r="V90" s="391" t="str">
        <f ca="1">IFERROR(VLOOKUP($C90,COM_N_2012!$B$61:$AJ$122,MATCH(VLOOKUP("*"&amp;$AW90,$A$10:$J$11,$J$9,FALSE)&amp;V$7,COM_N_2012!$B$58:$AJ$58,0),FALSE),"")</f>
        <v/>
      </c>
      <c r="W90" s="391">
        <f ca="1">IF($A90="*","",IFERROR(VLOOKUP($C90,COM_N_2017!$B$61:$AJ$122,MATCH(VLOOKUP("*"&amp;$AW90,$A$10:$J$11,$J$9,FALSE)&amp;W$7,COM_N_2017!$B$58:$AJ$58,0),FALSE),""))</f>
        <v>0.85969313987779639</v>
      </c>
      <c r="X90" s="391" t="str">
        <f ca="1">IFERROR(VLOOKUP($C90,COM_N_2012!$B$61:$AJ$122,MATCH(VLOOKUP("*"&amp;$AW90,$A$10:$J$11,$J$9,FALSE)&amp;X$7,COM_N_2012!$B$58:$AJ$58,0),FALSE),"")</f>
        <v/>
      </c>
      <c r="Y90" s="391" t="str">
        <f ca="1">IFERROR(VLOOKUP($C90,COM_N_2012!$B$61:$AJ$122,MATCH(VLOOKUP("*"&amp;$AW90,$A$10:$J$11,$J$9,FALSE)&amp;Y$7,COM_N_2012!$B$58:$AJ$58,0),FALSE),"")</f>
        <v/>
      </c>
      <c r="Z90" s="391" t="str">
        <f ca="1">IFERROR(VLOOKUP($C90,COM_N_2012!$B$61:$AJ$122,MATCH(VLOOKUP("*"&amp;$AW90,$A$10:$J$11,$J$9,FALSE)&amp;Z$7,COM_N_2012!$B$58:$AJ$58,0),FALSE),"")</f>
        <v/>
      </c>
      <c r="AA90" s="391" t="str">
        <f ca="1">IFERROR(VLOOKUP($C90,COM_N_2012!$B$61:$AJ$122,MATCH(VLOOKUP("*"&amp;$AW90,$A$10:$J$11,$J$9,FALSE)&amp;AA$7,COM_N_2012!$B$58:$AJ$58,0),FALSE),"")</f>
        <v/>
      </c>
      <c r="AB90" s="391">
        <f ca="1">IF($A90="*","",IFERROR(VLOOKUP($C90,COM_N_2017!$B$61:$AJ$122,MATCH(VLOOKUP("*"&amp;$AW90,$A$10:$J$11,$J$9,FALSE)&amp;AB$7,COM_N_2017!$B$58:$AJ$58,0),FALSE),""))</f>
        <v>0.66865021990495266</v>
      </c>
      <c r="AC90" s="391" t="str">
        <f ca="1">IFERROR(VLOOKUP($C90,COM_N_2012!$B$61:$AJ$122,MATCH(VLOOKUP("*"&amp;$AW90,$A$10:$J$11,$J$9,FALSE)&amp;AC$7,COM_N_2012!$B$58:$AJ$58,0),FALSE),"")</f>
        <v/>
      </c>
      <c r="AD90" s="391" t="str">
        <f ca="1">IFERROR(VLOOKUP($C90,COM_N_2012!$B$61:$AJ$122,MATCH(VLOOKUP("*"&amp;$AW90,$A$10:$J$11,$J$9,FALSE)&amp;AD$7,COM_N_2012!$B$58:$AJ$58,0),FALSE),"")</f>
        <v/>
      </c>
      <c r="AE90" s="391" t="str">
        <f ca="1">IFERROR(VLOOKUP($C90,COM_N_2012!$B$61:$AJ$122,MATCH(VLOOKUP("*"&amp;$AW90,$A$10:$J$11,$J$9,FALSE)&amp;AE$7,COM_N_2012!$B$58:$AJ$58,0),FALSE),"")</f>
        <v/>
      </c>
      <c r="AF90" s="391" t="str">
        <f ca="1">IFERROR(VLOOKUP($C90,COM_N_2012!$B$61:$AJ$122,MATCH(VLOOKUP("*"&amp;$AW90,$A$10:$J$11,$J$9,FALSE)&amp;AF$7,COM_N_2012!$B$58:$AJ$58,0),FALSE),"")</f>
        <v/>
      </c>
      <c r="AG90" s="391">
        <f ca="1">IF($A90="*","",IFERROR(VLOOKUP($C90,COM_N_2017!$B$61:$AJ$122,MATCH(VLOOKUP("*"&amp;$AW90,$A$10:$J$11,$J$9,FALSE)&amp;AG$7,COM_N_2017!$B$58:$AJ$58,0),FALSE),""))</f>
        <v>0.4776072999321091</v>
      </c>
      <c r="AH90" s="391" t="str">
        <f ca="1">IFERROR(VLOOKUP($C90,COM_N_2012!$B$61:$AJ$122,MATCH(VLOOKUP("*"&amp;$AW90,$A$10:$J$11,$J$9,FALSE)&amp;AH$7,COM_N_2012!$B$58:$AJ$58,0),FALSE),"")</f>
        <v/>
      </c>
      <c r="AI90" s="391" t="str">
        <f ca="1">IFERROR(VLOOKUP($C90,COM_N_2012!$B$61:$AJ$122,MATCH(VLOOKUP("*"&amp;$AW90,$A$10:$J$11,$J$9,FALSE)&amp;AI$7,COM_N_2012!$B$58:$AJ$58,0),FALSE),"")</f>
        <v/>
      </c>
      <c r="AJ90" s="391" t="str">
        <f ca="1">IFERROR(VLOOKUP($C90,COM_N_2012!$B$61:$AJ$122,MATCH(VLOOKUP("*"&amp;$AW90,$A$10:$J$11,$J$9,FALSE)&amp;AJ$7,COM_N_2012!$B$58:$AJ$58,0),FALSE),"")</f>
        <v/>
      </c>
      <c r="AK90" s="391" t="str">
        <f ca="1">IFERROR(VLOOKUP($C90,COM_N_2012!$B$61:$AJ$122,MATCH(VLOOKUP("*"&amp;$AW90,$A$10:$J$11,$J$9,FALSE)&amp;AK$7,COM_N_2012!$B$58:$AJ$58,0),FALSE),"")</f>
        <v/>
      </c>
      <c r="AL90" s="391">
        <f ca="1">IF($A90="*","",IFERROR(VLOOKUP($C90,COM_N_2017!$B$61:$AJ$122,MATCH(VLOOKUP("*"&amp;$AW90,$A$10:$J$11,$J$9,FALSE)&amp;AL$7,COM_N_2017!$B$58:$AJ$58,0),FALSE),""))</f>
        <v>0.28656437995926543</v>
      </c>
      <c r="AM90" s="391">
        <f ca="1">IF($A90="*","",IFERROR(VLOOKUP($C90,COM_N_2017!$B$61:$AJ$122,MATCH(VLOOKUP("*"&amp;$AW90,$A$10:$J$11,$J$9,FALSE)&amp;AM$7,COM_N_2017!$B$58:$AJ$58,0),FALSE),""))</f>
        <v>9.5521459986421822E-2</v>
      </c>
      <c r="AN90" s="391">
        <f ca="1">IF($A90="*","",IFERROR(VLOOKUP($C90,COM_N_2017!$B$61:$AJ$122,MATCH(VLOOKUP("*"&amp;$AW90,$A$10:$J$11,$J$9,FALSE)&amp;AN$7,COM_N_2017!$B$58:$AJ$58,0),FALSE),""))</f>
        <v>0</v>
      </c>
      <c r="AO90" s="391" t="str">
        <f ca="1">IFERROR(VLOOKUP($C90,COM_N_2012!$B$61:$AJ$122,MATCH(VLOOKUP("*"&amp;$AW90,$A$10:$J$11,$J$9,FALSE)&amp;AO$7,COM_N_2012!$B$58:$AJ$58,0),FALSE),"")</f>
        <v/>
      </c>
      <c r="AP90" s="391" t="str">
        <f ca="1">IFERROR(VLOOKUP($C90,COM_N_2012!$B$61:$AJ$122,MATCH(VLOOKUP("*"&amp;$AW90,$A$10:$J$11,$J$9,FALSE)&amp;AP$7,COM_N_2012!$B$58:$AJ$58,0),FALSE),"")</f>
        <v/>
      </c>
      <c r="AQ90" s="391" t="str">
        <f ca="1">IFERROR(VLOOKUP($C90,COM_N_2012!$B$61:$AJ$122,MATCH(VLOOKUP("*"&amp;$AW90,$A$10:$J$11,$J$9,FALSE)&amp;AQ$7,COM_N_2012!$B$58:$AJ$58,0),FALSE),"")</f>
        <v/>
      </c>
      <c r="AR90" s="391" t="str">
        <f ca="1">IFERROR(VLOOKUP($C90,COM_N_2012!$B$61:$AJ$122,MATCH(VLOOKUP("*"&amp;$AW90,$A$10:$J$11,$J$9,FALSE)&amp;AR$7,COM_N_2012!$B$58:$AJ$58,0),FALSE),"")</f>
        <v/>
      </c>
      <c r="AS90" s="391" t="str">
        <f ca="1">IFERROR(VLOOKUP($C90,COM_N_2012!$B$61:$AJ$122,MATCH(VLOOKUP("*"&amp;$AW90,$A$10:$J$11,$J$9,FALSE)&amp;AS$7,COM_N_2012!$B$58:$AJ$58,0),FALSE),"")</f>
        <v/>
      </c>
      <c r="AT90" s="391" t="str">
        <f ca="1">IFERROR(VLOOKUP($C90,COM_N_2012!$B$61:$AJ$122,MATCH(VLOOKUP("*"&amp;$AW90,$A$10:$J$11,$J$9,FALSE)&amp;AT$7,COM_N_2012!$B$58:$AJ$58,0),FALSE),"")</f>
        <v/>
      </c>
      <c r="AU90" s="391" t="str">
        <f ca="1">IFERROR(VLOOKUP($C90,COM_N_2012!$B$61:$AJ$122,MATCH(VLOOKUP("*"&amp;$AW90,$A$10:$J$11,$J$9,FALSE)&amp;AU$7,COM_N_2012!$B$58:$AJ$58,0),FALSE),"")</f>
        <v/>
      </c>
      <c r="AV90" s="391" t="str">
        <f ca="1">IFERROR(VLOOKUP($C90,COM_N_2012!$B$61:$AJ$122,MATCH(VLOOKUP("*"&amp;$AW90,$A$10:$J$11,$J$9,FALSE)&amp;AV$7,COM_N_2012!$B$58:$AJ$58,0),FALSE),"")</f>
        <v/>
      </c>
      <c r="AW90" s="304">
        <f>IF(AX89=COM_N_2012!$AK$121,AW89+1,AW89)</f>
        <v>2</v>
      </c>
      <c r="AX90" s="304">
        <f t="shared" si="13"/>
        <v>17</v>
      </c>
    </row>
    <row r="91" spans="1:50">
      <c r="A91" s="304" t="str">
        <f ca="1">IF(LEFT(OFFSET(COM_N_2012!$A$60,AX91,0),2)="\I","*","")</f>
        <v/>
      </c>
      <c r="B91" s="369" t="str">
        <f t="shared" ca="1" si="18"/>
        <v>FLO_MRKPRD</v>
      </c>
      <c r="C91" s="369" t="str">
        <f ca="1">IF($A91="*","",OFFSET(COM_N_2012!$B$60,AX91,0))</f>
        <v>CNKCOA-E</v>
      </c>
      <c r="D91" s="369" t="str">
        <f t="shared" ca="1" si="19"/>
        <v>CNK</v>
      </c>
      <c r="E91" s="369" t="str">
        <f t="shared" ca="1" si="16"/>
        <v>-</v>
      </c>
      <c r="F91" s="370" t="str">
        <f t="shared" ca="1" si="9"/>
        <v>-</v>
      </c>
      <c r="G91" s="370" t="str">
        <f t="shared" ca="1" si="9"/>
        <v>ANNUAL</v>
      </c>
      <c r="H91" s="370" t="str">
        <f t="shared" ca="1" si="17"/>
        <v>LO</v>
      </c>
      <c r="I91" s="370">
        <f t="shared" ca="1" si="17"/>
        <v>0</v>
      </c>
      <c r="J91" s="391">
        <f ca="1">IFERROR(VLOOKUP($C91,COM_N_2012!$B$61:$AJ$122,MATCH(VLOOKUP("*"&amp;$AW91,$A$10:$J$11,$J$9,FALSE)&amp;J$7,COM_N_2012!$B$58:$AJ$58,0),FALSE),"")</f>
        <v>7.9723328964215645E-4</v>
      </c>
      <c r="K91" s="391" t="str">
        <f ca="1">IFERROR(VLOOKUP($C91,COM_N_2012!$B$61:$AJ$122,MATCH(VLOOKUP("*"&amp;$AW91,$A$10:$J$11,$J$9,FALSE)&amp;K$7,COM_N_2012!$B$58:$AJ$58,0),FALSE),"")</f>
        <v/>
      </c>
      <c r="L91" s="391" t="str">
        <f ca="1">IFERROR(VLOOKUP($C91,COM_N_2012!$B$61:$AJ$122,MATCH(VLOOKUP("*"&amp;$AW91,$A$10:$J$11,$J$9,FALSE)&amp;L$7,COM_N_2012!$B$58:$AJ$58,0),FALSE),"")</f>
        <v/>
      </c>
      <c r="M91" s="391">
        <f ca="1">IFERROR(VLOOKUP($C91,COM_N_2012!$B$61:$AJ$122,MATCH(VLOOKUP("*"&amp;$AW91,$A$10:$J$11,$J$9,FALSE)&amp;M$7,COM_N_2012!$B$58:$AJ$58,0),FALSE),"")</f>
        <v>6.3778663171372516E-4</v>
      </c>
      <c r="N91" s="391" t="str">
        <f ca="1">IFERROR(VLOOKUP($C91,COM_N_2012!$B$61:$AJ$122,MATCH(VLOOKUP("*"&amp;$AW91,$A$10:$J$11,$J$9,FALSE)&amp;N$7,COM_N_2012!$B$58:$AJ$58,0),FALSE),"")</f>
        <v/>
      </c>
      <c r="O91" s="391">
        <f ca="1">IF($A91="*","",IFERROR(VLOOKUP($C91,COM_N_2017!$B$61:$AJ$122,MATCH(VLOOKUP("*"&amp;$AW91,$A$10:$J$11,$J$9,FALSE)&amp;O$7,COM_N_2017!$B$58:$AJ$58,0),FALSE),""))</f>
        <v>1.6623151757878892E-3</v>
      </c>
      <c r="P91" s="391" t="str">
        <f ca="1">IFERROR(VLOOKUP($C91,COM_N_2012!$B$61:$AJ$122,MATCH(VLOOKUP("*"&amp;$AW91,$A$10:$J$11,$J$9,FALSE)&amp;P$7,COM_N_2012!$B$58:$AJ$58,0),FALSE),"")</f>
        <v/>
      </c>
      <c r="Q91" s="391" t="str">
        <f ca="1">IFERROR(VLOOKUP($C91,COM_N_2012!$B$61:$AJ$122,MATCH(VLOOKUP("*"&amp;$AW91,$A$10:$J$11,$J$9,FALSE)&amp;Q$7,COM_N_2012!$B$58:$AJ$58,0),FALSE),"")</f>
        <v/>
      </c>
      <c r="R91" s="391">
        <f ca="1">IF($A91="*","",IFERROR(VLOOKUP($C91,COM_N_2017!$B$61:$AJ$122,MATCH(VLOOKUP("*"&amp;$AW91,$A$10:$J$11,$J$9,FALSE)&amp;R$7,COM_N_2017!$B$58:$AJ$58,0),FALSE),""))</f>
        <v>1.6124457205142525E-3</v>
      </c>
      <c r="S91" s="391" t="str">
        <f ca="1">IFERROR(VLOOKUP($C91,COM_N_2012!$B$61:$AJ$122,MATCH(VLOOKUP("*"&amp;$AW91,$A$10:$J$11,$J$9,FALSE)&amp;S$7,COM_N_2012!$B$58:$AJ$58,0),FALSE),"")</f>
        <v/>
      </c>
      <c r="T91" s="391" t="str">
        <f ca="1">IFERROR(VLOOKUP($C91,COM_N_2012!$B$61:$AJ$122,MATCH(VLOOKUP("*"&amp;$AW91,$A$10:$J$11,$J$9,FALSE)&amp;T$7,COM_N_2012!$B$58:$AJ$58,0),FALSE),"")</f>
        <v/>
      </c>
      <c r="U91" s="391" t="str">
        <f ca="1">IFERROR(VLOOKUP($C91,COM_N_2012!$B$61:$AJ$122,MATCH(VLOOKUP("*"&amp;$AW91,$A$10:$J$11,$J$9,FALSE)&amp;U$7,COM_N_2012!$B$58:$AJ$58,0),FALSE),"")</f>
        <v/>
      </c>
      <c r="V91" s="391" t="str">
        <f ca="1">IFERROR(VLOOKUP($C91,COM_N_2012!$B$61:$AJ$122,MATCH(VLOOKUP("*"&amp;$AW91,$A$10:$J$11,$J$9,FALSE)&amp;V$7,COM_N_2012!$B$58:$AJ$58,0),FALSE),"")</f>
        <v/>
      </c>
      <c r="W91" s="391">
        <f ca="1">IF($A91="*","",IFERROR(VLOOKUP($C91,COM_N_2017!$B$61:$AJ$122,MATCH(VLOOKUP("*"&amp;$AW91,$A$10:$J$11,$J$9,FALSE)&amp;W$7,COM_N_2017!$B$58:$AJ$58,0),FALSE),""))</f>
        <v>1.4960836582091003E-3</v>
      </c>
      <c r="X91" s="391" t="str">
        <f ca="1">IFERROR(VLOOKUP($C91,COM_N_2012!$B$61:$AJ$122,MATCH(VLOOKUP("*"&amp;$AW91,$A$10:$J$11,$J$9,FALSE)&amp;X$7,COM_N_2012!$B$58:$AJ$58,0),FALSE),"")</f>
        <v/>
      </c>
      <c r="Y91" s="391" t="str">
        <f ca="1">IFERROR(VLOOKUP($C91,COM_N_2012!$B$61:$AJ$122,MATCH(VLOOKUP("*"&amp;$AW91,$A$10:$J$11,$J$9,FALSE)&amp;Y$7,COM_N_2012!$B$58:$AJ$58,0),FALSE),"")</f>
        <v/>
      </c>
      <c r="Z91" s="391" t="str">
        <f ca="1">IFERROR(VLOOKUP($C91,COM_N_2012!$B$61:$AJ$122,MATCH(VLOOKUP("*"&amp;$AW91,$A$10:$J$11,$J$9,FALSE)&amp;Z$7,COM_N_2012!$B$58:$AJ$58,0),FALSE),"")</f>
        <v/>
      </c>
      <c r="AA91" s="391" t="str">
        <f ca="1">IFERROR(VLOOKUP($C91,COM_N_2012!$B$61:$AJ$122,MATCH(VLOOKUP("*"&amp;$AW91,$A$10:$J$11,$J$9,FALSE)&amp;AA$7,COM_N_2012!$B$58:$AJ$58,0),FALSE),"")</f>
        <v/>
      </c>
      <c r="AB91" s="391">
        <f ca="1">IF($A91="*","",IFERROR(VLOOKUP($C91,COM_N_2017!$B$61:$AJ$122,MATCH(VLOOKUP("*"&amp;$AW91,$A$10:$J$11,$J$9,FALSE)&amp;AB$7,COM_N_2017!$B$58:$AJ$58,0),FALSE),""))</f>
        <v>1.1636206230515222E-3</v>
      </c>
      <c r="AC91" s="391" t="str">
        <f ca="1">IFERROR(VLOOKUP($C91,COM_N_2012!$B$61:$AJ$122,MATCH(VLOOKUP("*"&amp;$AW91,$A$10:$J$11,$J$9,FALSE)&amp;AC$7,COM_N_2012!$B$58:$AJ$58,0),FALSE),"")</f>
        <v/>
      </c>
      <c r="AD91" s="391" t="str">
        <f ca="1">IFERROR(VLOOKUP($C91,COM_N_2012!$B$61:$AJ$122,MATCH(VLOOKUP("*"&amp;$AW91,$A$10:$J$11,$J$9,FALSE)&amp;AD$7,COM_N_2012!$B$58:$AJ$58,0),FALSE),"")</f>
        <v/>
      </c>
      <c r="AE91" s="391" t="str">
        <f ca="1">IFERROR(VLOOKUP($C91,COM_N_2012!$B$61:$AJ$122,MATCH(VLOOKUP("*"&amp;$AW91,$A$10:$J$11,$J$9,FALSE)&amp;AE$7,COM_N_2012!$B$58:$AJ$58,0),FALSE),"")</f>
        <v/>
      </c>
      <c r="AF91" s="391" t="str">
        <f ca="1">IFERROR(VLOOKUP($C91,COM_N_2012!$B$61:$AJ$122,MATCH(VLOOKUP("*"&amp;$AW91,$A$10:$J$11,$J$9,FALSE)&amp;AF$7,COM_N_2012!$B$58:$AJ$58,0),FALSE),"")</f>
        <v/>
      </c>
      <c r="AG91" s="391">
        <f ca="1">IF($A91="*","",IFERROR(VLOOKUP($C91,COM_N_2017!$B$61:$AJ$122,MATCH(VLOOKUP("*"&amp;$AW91,$A$10:$J$11,$J$9,FALSE)&amp;AG$7,COM_N_2017!$B$58:$AJ$58,0),FALSE),""))</f>
        <v>8.3115758789394458E-4</v>
      </c>
      <c r="AH91" s="391" t="str">
        <f ca="1">IFERROR(VLOOKUP($C91,COM_N_2012!$B$61:$AJ$122,MATCH(VLOOKUP("*"&amp;$AW91,$A$10:$J$11,$J$9,FALSE)&amp;AH$7,COM_N_2012!$B$58:$AJ$58,0),FALSE),"")</f>
        <v/>
      </c>
      <c r="AI91" s="391" t="str">
        <f ca="1">IFERROR(VLOOKUP($C91,COM_N_2012!$B$61:$AJ$122,MATCH(VLOOKUP("*"&amp;$AW91,$A$10:$J$11,$J$9,FALSE)&amp;AI$7,COM_N_2012!$B$58:$AJ$58,0),FALSE),"")</f>
        <v/>
      </c>
      <c r="AJ91" s="391" t="str">
        <f ca="1">IFERROR(VLOOKUP($C91,COM_N_2012!$B$61:$AJ$122,MATCH(VLOOKUP("*"&amp;$AW91,$A$10:$J$11,$J$9,FALSE)&amp;AJ$7,COM_N_2012!$B$58:$AJ$58,0),FALSE),"")</f>
        <v/>
      </c>
      <c r="AK91" s="391" t="str">
        <f ca="1">IFERROR(VLOOKUP($C91,COM_N_2012!$B$61:$AJ$122,MATCH(VLOOKUP("*"&amp;$AW91,$A$10:$J$11,$J$9,FALSE)&amp;AK$7,COM_N_2012!$B$58:$AJ$58,0),FALSE),"")</f>
        <v/>
      </c>
      <c r="AL91" s="391">
        <f ca="1">IF($A91="*","",IFERROR(VLOOKUP($C91,COM_N_2017!$B$61:$AJ$122,MATCH(VLOOKUP("*"&amp;$AW91,$A$10:$J$11,$J$9,FALSE)&amp;AL$7,COM_N_2017!$B$58:$AJ$58,0),FALSE),""))</f>
        <v>4.9869455273636671E-4</v>
      </c>
      <c r="AM91" s="391">
        <f ca="1">IF($A91="*","",IFERROR(VLOOKUP($C91,COM_N_2017!$B$61:$AJ$122,MATCH(VLOOKUP("*"&amp;$AW91,$A$10:$J$11,$J$9,FALSE)&amp;AM$7,COM_N_2017!$B$58:$AJ$58,0),FALSE),""))</f>
        <v>1.6623151757878894E-4</v>
      </c>
      <c r="AN91" s="391">
        <f ca="1">IF($A91="*","",IFERROR(VLOOKUP($C91,COM_N_2017!$B$61:$AJ$122,MATCH(VLOOKUP("*"&amp;$AW91,$A$10:$J$11,$J$9,FALSE)&amp;AN$7,COM_N_2017!$B$58:$AJ$58,0),FALSE),""))</f>
        <v>0</v>
      </c>
      <c r="AO91" s="391" t="str">
        <f ca="1">IFERROR(VLOOKUP($C91,COM_N_2012!$B$61:$AJ$122,MATCH(VLOOKUP("*"&amp;$AW91,$A$10:$J$11,$J$9,FALSE)&amp;AO$7,COM_N_2012!$B$58:$AJ$58,0),FALSE),"")</f>
        <v/>
      </c>
      <c r="AP91" s="391" t="str">
        <f ca="1">IFERROR(VLOOKUP($C91,COM_N_2012!$B$61:$AJ$122,MATCH(VLOOKUP("*"&amp;$AW91,$A$10:$J$11,$J$9,FALSE)&amp;AP$7,COM_N_2012!$B$58:$AJ$58,0),FALSE),"")</f>
        <v/>
      </c>
      <c r="AQ91" s="391" t="str">
        <f ca="1">IFERROR(VLOOKUP($C91,COM_N_2012!$B$61:$AJ$122,MATCH(VLOOKUP("*"&amp;$AW91,$A$10:$J$11,$J$9,FALSE)&amp;AQ$7,COM_N_2012!$B$58:$AJ$58,0),FALSE),"")</f>
        <v/>
      </c>
      <c r="AR91" s="391" t="str">
        <f ca="1">IFERROR(VLOOKUP($C91,COM_N_2012!$B$61:$AJ$122,MATCH(VLOOKUP("*"&amp;$AW91,$A$10:$J$11,$J$9,FALSE)&amp;AR$7,COM_N_2012!$B$58:$AJ$58,0),FALSE),"")</f>
        <v/>
      </c>
      <c r="AS91" s="391" t="str">
        <f ca="1">IFERROR(VLOOKUP($C91,COM_N_2012!$B$61:$AJ$122,MATCH(VLOOKUP("*"&amp;$AW91,$A$10:$J$11,$J$9,FALSE)&amp;AS$7,COM_N_2012!$B$58:$AJ$58,0),FALSE),"")</f>
        <v/>
      </c>
      <c r="AT91" s="391" t="str">
        <f ca="1">IFERROR(VLOOKUP($C91,COM_N_2012!$B$61:$AJ$122,MATCH(VLOOKUP("*"&amp;$AW91,$A$10:$J$11,$J$9,FALSE)&amp;AT$7,COM_N_2012!$B$58:$AJ$58,0),FALSE),"")</f>
        <v/>
      </c>
      <c r="AU91" s="391" t="str">
        <f ca="1">IFERROR(VLOOKUP($C91,COM_N_2012!$B$61:$AJ$122,MATCH(VLOOKUP("*"&amp;$AW91,$A$10:$J$11,$J$9,FALSE)&amp;AU$7,COM_N_2012!$B$58:$AJ$58,0),FALSE),"")</f>
        <v/>
      </c>
      <c r="AV91" s="391" t="str">
        <f ca="1">IFERROR(VLOOKUP($C91,COM_N_2012!$B$61:$AJ$122,MATCH(VLOOKUP("*"&amp;$AW91,$A$10:$J$11,$J$9,FALSE)&amp;AV$7,COM_N_2012!$B$58:$AJ$58,0),FALSE),"")</f>
        <v/>
      </c>
      <c r="AW91" s="304">
        <f>IF(AX90=COM_N_2012!$AK$121,AW90+1,AW90)</f>
        <v>2</v>
      </c>
      <c r="AX91" s="304">
        <f t="shared" si="13"/>
        <v>18</v>
      </c>
    </row>
    <row r="92" spans="1:50">
      <c r="A92" s="304" t="str">
        <f ca="1">IF(LEFT(OFFSET(COM_N_2012!$A$60,AX92,0),2)="\I","*","")</f>
        <v>*</v>
      </c>
      <c r="B92" s="369" t="str">
        <f t="shared" ca="1" si="18"/>
        <v/>
      </c>
      <c r="C92" s="369" t="str">
        <f ca="1">IF($A92="*","",OFFSET(COM_N_2012!$B$60,AX92,0))</f>
        <v/>
      </c>
      <c r="D92" s="369" t="str">
        <f t="shared" ca="1" si="19"/>
        <v/>
      </c>
      <c r="E92" s="369" t="str">
        <f t="shared" ca="1" si="16"/>
        <v/>
      </c>
      <c r="F92" s="370" t="str">
        <f t="shared" ca="1" si="9"/>
        <v/>
      </c>
      <c r="G92" s="370" t="str">
        <f t="shared" ca="1" si="9"/>
        <v/>
      </c>
      <c r="H92" s="370" t="str">
        <f t="shared" ca="1" si="17"/>
        <v/>
      </c>
      <c r="I92" s="370" t="str">
        <f t="shared" ca="1" si="17"/>
        <v/>
      </c>
      <c r="J92" s="391" t="str">
        <f ca="1">IFERROR(VLOOKUP($C92,COM_N_2012!$B$61:$AJ$122,MATCH(VLOOKUP("*"&amp;$AW92,$A$10:$J$11,$J$9,FALSE)&amp;J$7,COM_N_2012!$B$58:$AJ$58,0),FALSE),"")</f>
        <v/>
      </c>
      <c r="K92" s="391" t="str">
        <f ca="1">IFERROR(VLOOKUP($C92,COM_N_2012!$B$61:$AJ$122,MATCH(VLOOKUP("*"&amp;$AW92,$A$10:$J$11,$J$9,FALSE)&amp;K$7,COM_N_2012!$B$58:$AJ$58,0),FALSE),"")</f>
        <v/>
      </c>
      <c r="L92" s="391" t="str">
        <f ca="1">IFERROR(VLOOKUP($C92,COM_N_2012!$B$61:$AJ$122,MATCH(VLOOKUP("*"&amp;$AW92,$A$10:$J$11,$J$9,FALSE)&amp;L$7,COM_N_2012!$B$58:$AJ$58,0),FALSE),"")</f>
        <v/>
      </c>
      <c r="M92" s="391" t="str">
        <f ca="1">IFERROR(VLOOKUP($C92,COM_N_2012!$B$61:$AJ$122,MATCH(VLOOKUP("*"&amp;$AW92,$A$10:$J$11,$J$9,FALSE)&amp;M$7,COM_N_2012!$B$58:$AJ$58,0),FALSE),"")</f>
        <v/>
      </c>
      <c r="N92" s="391" t="str">
        <f ca="1">IFERROR(VLOOKUP($C92,COM_N_2012!$B$61:$AJ$122,MATCH(VLOOKUP("*"&amp;$AW92,$A$10:$J$11,$J$9,FALSE)&amp;N$7,COM_N_2012!$B$58:$AJ$58,0),FALSE),"")</f>
        <v/>
      </c>
      <c r="O92" s="391" t="str">
        <f ca="1">IF($A92="*","",IFERROR(VLOOKUP($C92,COM_N_2017!$B$61:$AJ$122,MATCH(VLOOKUP("*"&amp;$AW92,$A$10:$J$11,$J$9,FALSE)&amp;O$7,COM_N_2017!$B$58:$AJ$58,0),FALSE),""))</f>
        <v/>
      </c>
      <c r="P92" s="391" t="str">
        <f ca="1">IFERROR(VLOOKUP($C92,COM_N_2012!$B$61:$AJ$122,MATCH(VLOOKUP("*"&amp;$AW92,$A$10:$J$11,$J$9,FALSE)&amp;P$7,COM_N_2012!$B$58:$AJ$58,0),FALSE),"")</f>
        <v/>
      </c>
      <c r="Q92" s="391" t="str">
        <f ca="1">IFERROR(VLOOKUP($C92,COM_N_2012!$B$61:$AJ$122,MATCH(VLOOKUP("*"&amp;$AW92,$A$10:$J$11,$J$9,FALSE)&amp;Q$7,COM_N_2012!$B$58:$AJ$58,0),FALSE),"")</f>
        <v/>
      </c>
      <c r="R92" s="391" t="str">
        <f ca="1">IF($A92="*","",IFERROR(VLOOKUP($C92,COM_N_2017!$B$61:$AJ$122,MATCH(VLOOKUP("*"&amp;$AW92,$A$10:$J$11,$J$9,FALSE)&amp;R$7,COM_N_2017!$B$58:$AJ$58,0),FALSE),""))</f>
        <v/>
      </c>
      <c r="S92" s="391" t="str">
        <f ca="1">IFERROR(VLOOKUP($C92,COM_N_2012!$B$61:$AJ$122,MATCH(VLOOKUP("*"&amp;$AW92,$A$10:$J$11,$J$9,FALSE)&amp;S$7,COM_N_2012!$B$58:$AJ$58,0),FALSE),"")</f>
        <v/>
      </c>
      <c r="T92" s="391" t="str">
        <f ca="1">IFERROR(VLOOKUP($C92,COM_N_2012!$B$61:$AJ$122,MATCH(VLOOKUP("*"&amp;$AW92,$A$10:$J$11,$J$9,FALSE)&amp;T$7,COM_N_2012!$B$58:$AJ$58,0),FALSE),"")</f>
        <v/>
      </c>
      <c r="U92" s="391" t="str">
        <f ca="1">IFERROR(VLOOKUP($C92,COM_N_2012!$B$61:$AJ$122,MATCH(VLOOKUP("*"&amp;$AW92,$A$10:$J$11,$J$9,FALSE)&amp;U$7,COM_N_2012!$B$58:$AJ$58,0),FALSE),"")</f>
        <v/>
      </c>
      <c r="V92" s="391" t="str">
        <f ca="1">IFERROR(VLOOKUP($C92,COM_N_2012!$B$61:$AJ$122,MATCH(VLOOKUP("*"&amp;$AW92,$A$10:$J$11,$J$9,FALSE)&amp;V$7,COM_N_2012!$B$58:$AJ$58,0),FALSE),"")</f>
        <v/>
      </c>
      <c r="W92" s="391" t="str">
        <f ca="1">IF($A92="*","",IFERROR(VLOOKUP($C92,COM_N_2017!$B$61:$AJ$122,MATCH(VLOOKUP("*"&amp;$AW92,$A$10:$J$11,$J$9,FALSE)&amp;W$7,COM_N_2017!$B$58:$AJ$58,0),FALSE),""))</f>
        <v/>
      </c>
      <c r="X92" s="391" t="str">
        <f ca="1">IFERROR(VLOOKUP($C92,COM_N_2012!$B$61:$AJ$122,MATCH(VLOOKUP("*"&amp;$AW92,$A$10:$J$11,$J$9,FALSE)&amp;X$7,COM_N_2012!$B$58:$AJ$58,0),FALSE),"")</f>
        <v/>
      </c>
      <c r="Y92" s="391" t="str">
        <f ca="1">IFERROR(VLOOKUP($C92,COM_N_2012!$B$61:$AJ$122,MATCH(VLOOKUP("*"&amp;$AW92,$A$10:$J$11,$J$9,FALSE)&amp;Y$7,COM_N_2012!$B$58:$AJ$58,0),FALSE),"")</f>
        <v/>
      </c>
      <c r="Z92" s="391" t="str">
        <f ca="1">IFERROR(VLOOKUP($C92,COM_N_2012!$B$61:$AJ$122,MATCH(VLOOKUP("*"&amp;$AW92,$A$10:$J$11,$J$9,FALSE)&amp;Z$7,COM_N_2012!$B$58:$AJ$58,0),FALSE),"")</f>
        <v/>
      </c>
      <c r="AA92" s="391" t="str">
        <f ca="1">IFERROR(VLOOKUP($C92,COM_N_2012!$B$61:$AJ$122,MATCH(VLOOKUP("*"&amp;$AW92,$A$10:$J$11,$J$9,FALSE)&amp;AA$7,COM_N_2012!$B$58:$AJ$58,0),FALSE),"")</f>
        <v/>
      </c>
      <c r="AB92" s="391" t="str">
        <f ca="1">IF($A92="*","",IFERROR(VLOOKUP($C92,COM_N_2017!$B$61:$AJ$122,MATCH(VLOOKUP("*"&amp;$AW92,$A$10:$J$11,$J$9,FALSE)&amp;AB$7,COM_N_2017!$B$58:$AJ$58,0),FALSE),""))</f>
        <v/>
      </c>
      <c r="AC92" s="391" t="str">
        <f ca="1">IFERROR(VLOOKUP($C92,COM_N_2012!$B$61:$AJ$122,MATCH(VLOOKUP("*"&amp;$AW92,$A$10:$J$11,$J$9,FALSE)&amp;AC$7,COM_N_2012!$B$58:$AJ$58,0),FALSE),"")</f>
        <v/>
      </c>
      <c r="AD92" s="391" t="str">
        <f ca="1">IFERROR(VLOOKUP($C92,COM_N_2012!$B$61:$AJ$122,MATCH(VLOOKUP("*"&amp;$AW92,$A$10:$J$11,$J$9,FALSE)&amp;AD$7,COM_N_2012!$B$58:$AJ$58,0),FALSE),"")</f>
        <v/>
      </c>
      <c r="AE92" s="391" t="str">
        <f ca="1">IFERROR(VLOOKUP($C92,COM_N_2012!$B$61:$AJ$122,MATCH(VLOOKUP("*"&amp;$AW92,$A$10:$J$11,$J$9,FALSE)&amp;AE$7,COM_N_2012!$B$58:$AJ$58,0),FALSE),"")</f>
        <v/>
      </c>
      <c r="AF92" s="391" t="str">
        <f ca="1">IFERROR(VLOOKUP($C92,COM_N_2012!$B$61:$AJ$122,MATCH(VLOOKUP("*"&amp;$AW92,$A$10:$J$11,$J$9,FALSE)&amp;AF$7,COM_N_2012!$B$58:$AJ$58,0),FALSE),"")</f>
        <v/>
      </c>
      <c r="AG92" s="391" t="str">
        <f ca="1">IF($A92="*","",IFERROR(VLOOKUP($C92,COM_N_2017!$B$61:$AJ$122,MATCH(VLOOKUP("*"&amp;$AW92,$A$10:$J$11,$J$9,FALSE)&amp;AG$7,COM_N_2017!$B$58:$AJ$58,0),FALSE),""))</f>
        <v/>
      </c>
      <c r="AH92" s="391" t="str">
        <f ca="1">IFERROR(VLOOKUP($C92,COM_N_2012!$B$61:$AJ$122,MATCH(VLOOKUP("*"&amp;$AW92,$A$10:$J$11,$J$9,FALSE)&amp;AH$7,COM_N_2012!$B$58:$AJ$58,0),FALSE),"")</f>
        <v/>
      </c>
      <c r="AI92" s="391" t="str">
        <f ca="1">IFERROR(VLOOKUP($C92,COM_N_2012!$B$61:$AJ$122,MATCH(VLOOKUP("*"&amp;$AW92,$A$10:$J$11,$J$9,FALSE)&amp;AI$7,COM_N_2012!$B$58:$AJ$58,0),FALSE),"")</f>
        <v/>
      </c>
      <c r="AJ92" s="391" t="str">
        <f ca="1">IFERROR(VLOOKUP($C92,COM_N_2012!$B$61:$AJ$122,MATCH(VLOOKUP("*"&amp;$AW92,$A$10:$J$11,$J$9,FALSE)&amp;AJ$7,COM_N_2012!$B$58:$AJ$58,0),FALSE),"")</f>
        <v/>
      </c>
      <c r="AK92" s="391" t="str">
        <f ca="1">IFERROR(VLOOKUP($C92,COM_N_2012!$B$61:$AJ$122,MATCH(VLOOKUP("*"&amp;$AW92,$A$10:$J$11,$J$9,FALSE)&amp;AK$7,COM_N_2012!$B$58:$AJ$58,0),FALSE),"")</f>
        <v/>
      </c>
      <c r="AL92" s="391" t="str">
        <f ca="1">IF($A92="*","",IFERROR(VLOOKUP($C92,COM_N_2017!$B$61:$AJ$122,MATCH(VLOOKUP("*"&amp;$AW92,$A$10:$J$11,$J$9,FALSE)&amp;AL$7,COM_N_2017!$B$58:$AJ$58,0),FALSE),""))</f>
        <v/>
      </c>
      <c r="AM92" s="391" t="str">
        <f ca="1">IF($A92="*","",IFERROR(VLOOKUP($C92,COM_N_2017!$B$61:$AJ$122,MATCH(VLOOKUP("*"&amp;$AW92,$A$10:$J$11,$J$9,FALSE)&amp;AM$7,COM_N_2017!$B$58:$AJ$58,0),FALSE),""))</f>
        <v/>
      </c>
      <c r="AN92" s="391" t="str">
        <f ca="1">IF($A92="*","",IFERROR(VLOOKUP($C92,COM_N_2017!$B$61:$AJ$122,MATCH(VLOOKUP("*"&amp;$AW92,$A$10:$J$11,$J$9,FALSE)&amp;AN$7,COM_N_2017!$B$58:$AJ$58,0),FALSE),""))</f>
        <v/>
      </c>
      <c r="AO92" s="391" t="str">
        <f ca="1">IFERROR(VLOOKUP($C92,COM_N_2012!$B$61:$AJ$122,MATCH(VLOOKUP("*"&amp;$AW92,$A$10:$J$11,$J$9,FALSE)&amp;AO$7,COM_N_2012!$B$58:$AJ$58,0),FALSE),"")</f>
        <v/>
      </c>
      <c r="AP92" s="391" t="str">
        <f ca="1">IFERROR(VLOOKUP($C92,COM_N_2012!$B$61:$AJ$122,MATCH(VLOOKUP("*"&amp;$AW92,$A$10:$J$11,$J$9,FALSE)&amp;AP$7,COM_N_2012!$B$58:$AJ$58,0),FALSE),"")</f>
        <v/>
      </c>
      <c r="AQ92" s="391" t="str">
        <f ca="1">IFERROR(VLOOKUP($C92,COM_N_2012!$B$61:$AJ$122,MATCH(VLOOKUP("*"&amp;$AW92,$A$10:$J$11,$J$9,FALSE)&amp;AQ$7,COM_N_2012!$B$58:$AJ$58,0),FALSE),"")</f>
        <v/>
      </c>
      <c r="AR92" s="391" t="str">
        <f ca="1">IFERROR(VLOOKUP($C92,COM_N_2012!$B$61:$AJ$122,MATCH(VLOOKUP("*"&amp;$AW92,$A$10:$J$11,$J$9,FALSE)&amp;AR$7,COM_N_2012!$B$58:$AJ$58,0),FALSE),"")</f>
        <v/>
      </c>
      <c r="AS92" s="391" t="str">
        <f ca="1">IFERROR(VLOOKUP($C92,COM_N_2012!$B$61:$AJ$122,MATCH(VLOOKUP("*"&amp;$AW92,$A$10:$J$11,$J$9,FALSE)&amp;AS$7,COM_N_2012!$B$58:$AJ$58,0),FALSE),"")</f>
        <v/>
      </c>
      <c r="AT92" s="391" t="str">
        <f ca="1">IFERROR(VLOOKUP($C92,COM_N_2012!$B$61:$AJ$122,MATCH(VLOOKUP("*"&amp;$AW92,$A$10:$J$11,$J$9,FALSE)&amp;AT$7,COM_N_2012!$B$58:$AJ$58,0),FALSE),"")</f>
        <v/>
      </c>
      <c r="AU92" s="391" t="str">
        <f ca="1">IFERROR(VLOOKUP($C92,COM_N_2012!$B$61:$AJ$122,MATCH(VLOOKUP("*"&amp;$AW92,$A$10:$J$11,$J$9,FALSE)&amp;AU$7,COM_N_2012!$B$58:$AJ$58,0),FALSE),"")</f>
        <v/>
      </c>
      <c r="AV92" s="391" t="str">
        <f ca="1">IFERROR(VLOOKUP($C92,COM_N_2012!$B$61:$AJ$122,MATCH(VLOOKUP("*"&amp;$AW92,$A$10:$J$11,$J$9,FALSE)&amp;AV$7,COM_N_2012!$B$58:$AJ$58,0),FALSE),"")</f>
        <v/>
      </c>
      <c r="AW92" s="304">
        <f>IF(AX91=COM_N_2012!$AK$121,AW91+1,AW91)</f>
        <v>2</v>
      </c>
      <c r="AX92" s="304">
        <f t="shared" si="13"/>
        <v>19</v>
      </c>
    </row>
    <row r="93" spans="1:50">
      <c r="A93" s="304" t="str">
        <f ca="1">IF(LEFT(OFFSET(COM_N_2012!$A$60,AX93,0),2)="\I","*","")</f>
        <v>*</v>
      </c>
      <c r="B93" s="369" t="str">
        <f t="shared" ca="1" si="18"/>
        <v/>
      </c>
      <c r="C93" s="369" t="str">
        <f ca="1">IF($A93="*","",OFFSET(COM_N_2012!$B$60,AX93,0))</f>
        <v/>
      </c>
      <c r="D93" s="369" t="str">
        <f t="shared" ca="1" si="19"/>
        <v/>
      </c>
      <c r="E93" s="369" t="str">
        <f t="shared" ref="E93:E116" ca="1" si="20">IF($A93="*","",VLOOKUP($B93,$B$10:$I$11,E$9,FALSE))</f>
        <v/>
      </c>
      <c r="F93" s="370" t="str">
        <f t="shared" ca="1" si="9"/>
        <v/>
      </c>
      <c r="G93" s="370" t="str">
        <f t="shared" ca="1" si="9"/>
        <v/>
      </c>
      <c r="H93" s="370" t="str">
        <f t="shared" ref="H93:I116" ca="1" si="21">IF($A93="*","",VLOOKUP("*"&amp;$AW93,$A$10:$I$11,H$9,FALSE))</f>
        <v/>
      </c>
      <c r="I93" s="370" t="str">
        <f t="shared" ca="1" si="21"/>
        <v/>
      </c>
      <c r="J93" s="391" t="str">
        <f ca="1">IFERROR(VLOOKUP($C93,COM_N_2012!$B$61:$AJ$122,MATCH(VLOOKUP("*"&amp;$AW93,$A$10:$J$11,$J$9,FALSE)&amp;J$7,COM_N_2012!$B$58:$AJ$58,0),FALSE),"")</f>
        <v/>
      </c>
      <c r="K93" s="391" t="str">
        <f ca="1">IFERROR(VLOOKUP($C93,COM_N_2012!$B$61:$AJ$122,MATCH(VLOOKUP("*"&amp;$AW93,$A$10:$J$11,$J$9,FALSE)&amp;K$7,COM_N_2012!$B$58:$AJ$58,0),FALSE),"")</f>
        <v/>
      </c>
      <c r="L93" s="391" t="str">
        <f ca="1">IFERROR(VLOOKUP($C93,COM_N_2012!$B$61:$AJ$122,MATCH(VLOOKUP("*"&amp;$AW93,$A$10:$J$11,$J$9,FALSE)&amp;L$7,COM_N_2012!$B$58:$AJ$58,0),FALSE),"")</f>
        <v/>
      </c>
      <c r="M93" s="391" t="str">
        <f ca="1">IFERROR(VLOOKUP($C93,COM_N_2012!$B$61:$AJ$122,MATCH(VLOOKUP("*"&amp;$AW93,$A$10:$J$11,$J$9,FALSE)&amp;M$7,COM_N_2012!$B$58:$AJ$58,0),FALSE),"")</f>
        <v/>
      </c>
      <c r="N93" s="391" t="str">
        <f ca="1">IFERROR(VLOOKUP($C93,COM_N_2012!$B$61:$AJ$122,MATCH(VLOOKUP("*"&amp;$AW93,$A$10:$J$11,$J$9,FALSE)&amp;N$7,COM_N_2012!$B$58:$AJ$58,0),FALSE),"")</f>
        <v/>
      </c>
      <c r="O93" s="391" t="str">
        <f ca="1">IF($A93="*","",IFERROR(VLOOKUP($C93,COM_N_2017!$B$61:$AJ$122,MATCH(VLOOKUP("*"&amp;$AW93,$A$10:$J$11,$J$9,FALSE)&amp;O$7,COM_N_2017!$B$58:$AJ$58,0),FALSE),""))</f>
        <v/>
      </c>
      <c r="P93" s="391" t="str">
        <f ca="1">IFERROR(VLOOKUP($C93,COM_N_2012!$B$61:$AJ$122,MATCH(VLOOKUP("*"&amp;$AW93,$A$10:$J$11,$J$9,FALSE)&amp;P$7,COM_N_2012!$B$58:$AJ$58,0),FALSE),"")</f>
        <v/>
      </c>
      <c r="Q93" s="391" t="str">
        <f ca="1">IFERROR(VLOOKUP($C93,COM_N_2012!$B$61:$AJ$122,MATCH(VLOOKUP("*"&amp;$AW93,$A$10:$J$11,$J$9,FALSE)&amp;Q$7,COM_N_2012!$B$58:$AJ$58,0),FALSE),"")</f>
        <v/>
      </c>
      <c r="R93" s="391" t="str">
        <f ca="1">IF($A93="*","",IFERROR(VLOOKUP($C93,COM_N_2017!$B$61:$AJ$122,MATCH(VLOOKUP("*"&amp;$AW93,$A$10:$J$11,$J$9,FALSE)&amp;R$7,COM_N_2017!$B$58:$AJ$58,0),FALSE),""))</f>
        <v/>
      </c>
      <c r="S93" s="391" t="str">
        <f ca="1">IFERROR(VLOOKUP($C93,COM_N_2012!$B$61:$AJ$122,MATCH(VLOOKUP("*"&amp;$AW93,$A$10:$J$11,$J$9,FALSE)&amp;S$7,COM_N_2012!$B$58:$AJ$58,0),FALSE),"")</f>
        <v/>
      </c>
      <c r="T93" s="391" t="str">
        <f ca="1">IFERROR(VLOOKUP($C93,COM_N_2012!$B$61:$AJ$122,MATCH(VLOOKUP("*"&amp;$AW93,$A$10:$J$11,$J$9,FALSE)&amp;T$7,COM_N_2012!$B$58:$AJ$58,0),FALSE),"")</f>
        <v/>
      </c>
      <c r="U93" s="391" t="str">
        <f ca="1">IFERROR(VLOOKUP($C93,COM_N_2012!$B$61:$AJ$122,MATCH(VLOOKUP("*"&amp;$AW93,$A$10:$J$11,$J$9,FALSE)&amp;U$7,COM_N_2012!$B$58:$AJ$58,0),FALSE),"")</f>
        <v/>
      </c>
      <c r="V93" s="391" t="str">
        <f ca="1">IFERROR(VLOOKUP($C93,COM_N_2012!$B$61:$AJ$122,MATCH(VLOOKUP("*"&amp;$AW93,$A$10:$J$11,$J$9,FALSE)&amp;V$7,COM_N_2012!$B$58:$AJ$58,0),FALSE),"")</f>
        <v/>
      </c>
      <c r="W93" s="391" t="str">
        <f ca="1">IF($A93="*","",IFERROR(VLOOKUP($C93,COM_N_2017!$B$61:$AJ$122,MATCH(VLOOKUP("*"&amp;$AW93,$A$10:$J$11,$J$9,FALSE)&amp;W$7,COM_N_2017!$B$58:$AJ$58,0),FALSE),""))</f>
        <v/>
      </c>
      <c r="X93" s="391" t="str">
        <f ca="1">IFERROR(VLOOKUP($C93,COM_N_2012!$B$61:$AJ$122,MATCH(VLOOKUP("*"&amp;$AW93,$A$10:$J$11,$J$9,FALSE)&amp;X$7,COM_N_2012!$B$58:$AJ$58,0),FALSE),"")</f>
        <v/>
      </c>
      <c r="Y93" s="391" t="str">
        <f ca="1">IFERROR(VLOOKUP($C93,COM_N_2012!$B$61:$AJ$122,MATCH(VLOOKUP("*"&amp;$AW93,$A$10:$J$11,$J$9,FALSE)&amp;Y$7,COM_N_2012!$B$58:$AJ$58,0),FALSE),"")</f>
        <v/>
      </c>
      <c r="Z93" s="391" t="str">
        <f ca="1">IFERROR(VLOOKUP($C93,COM_N_2012!$B$61:$AJ$122,MATCH(VLOOKUP("*"&amp;$AW93,$A$10:$J$11,$J$9,FALSE)&amp;Z$7,COM_N_2012!$B$58:$AJ$58,0),FALSE),"")</f>
        <v/>
      </c>
      <c r="AA93" s="391" t="str">
        <f ca="1">IFERROR(VLOOKUP($C93,COM_N_2012!$B$61:$AJ$122,MATCH(VLOOKUP("*"&amp;$AW93,$A$10:$J$11,$J$9,FALSE)&amp;AA$7,COM_N_2012!$B$58:$AJ$58,0),FALSE),"")</f>
        <v/>
      </c>
      <c r="AB93" s="391" t="str">
        <f ca="1">IF($A93="*","",IFERROR(VLOOKUP($C93,COM_N_2017!$B$61:$AJ$122,MATCH(VLOOKUP("*"&amp;$AW93,$A$10:$J$11,$J$9,FALSE)&amp;AB$7,COM_N_2017!$B$58:$AJ$58,0),FALSE),""))</f>
        <v/>
      </c>
      <c r="AC93" s="391" t="str">
        <f ca="1">IFERROR(VLOOKUP($C93,COM_N_2012!$B$61:$AJ$122,MATCH(VLOOKUP("*"&amp;$AW93,$A$10:$J$11,$J$9,FALSE)&amp;AC$7,COM_N_2012!$B$58:$AJ$58,0),FALSE),"")</f>
        <v/>
      </c>
      <c r="AD93" s="391" t="str">
        <f ca="1">IFERROR(VLOOKUP($C93,COM_N_2012!$B$61:$AJ$122,MATCH(VLOOKUP("*"&amp;$AW93,$A$10:$J$11,$J$9,FALSE)&amp;AD$7,COM_N_2012!$B$58:$AJ$58,0),FALSE),"")</f>
        <v/>
      </c>
      <c r="AE93" s="391" t="str">
        <f ca="1">IFERROR(VLOOKUP($C93,COM_N_2012!$B$61:$AJ$122,MATCH(VLOOKUP("*"&amp;$AW93,$A$10:$J$11,$J$9,FALSE)&amp;AE$7,COM_N_2012!$B$58:$AJ$58,0),FALSE),"")</f>
        <v/>
      </c>
      <c r="AF93" s="391" t="str">
        <f ca="1">IFERROR(VLOOKUP($C93,COM_N_2012!$B$61:$AJ$122,MATCH(VLOOKUP("*"&amp;$AW93,$A$10:$J$11,$J$9,FALSE)&amp;AF$7,COM_N_2012!$B$58:$AJ$58,0),FALSE),"")</f>
        <v/>
      </c>
      <c r="AG93" s="391" t="str">
        <f ca="1">IF($A93="*","",IFERROR(VLOOKUP($C93,COM_N_2017!$B$61:$AJ$122,MATCH(VLOOKUP("*"&amp;$AW93,$A$10:$J$11,$J$9,FALSE)&amp;AG$7,COM_N_2017!$B$58:$AJ$58,0),FALSE),""))</f>
        <v/>
      </c>
      <c r="AH93" s="391" t="str">
        <f ca="1">IFERROR(VLOOKUP($C93,COM_N_2012!$B$61:$AJ$122,MATCH(VLOOKUP("*"&amp;$AW93,$A$10:$J$11,$J$9,FALSE)&amp;AH$7,COM_N_2012!$B$58:$AJ$58,0),FALSE),"")</f>
        <v/>
      </c>
      <c r="AI93" s="391" t="str">
        <f ca="1">IFERROR(VLOOKUP($C93,COM_N_2012!$B$61:$AJ$122,MATCH(VLOOKUP("*"&amp;$AW93,$A$10:$J$11,$J$9,FALSE)&amp;AI$7,COM_N_2012!$B$58:$AJ$58,0),FALSE),"")</f>
        <v/>
      </c>
      <c r="AJ93" s="391" t="str">
        <f ca="1">IFERROR(VLOOKUP($C93,COM_N_2012!$B$61:$AJ$122,MATCH(VLOOKUP("*"&amp;$AW93,$A$10:$J$11,$J$9,FALSE)&amp;AJ$7,COM_N_2012!$B$58:$AJ$58,0),FALSE),"")</f>
        <v/>
      </c>
      <c r="AK93" s="391" t="str">
        <f ca="1">IFERROR(VLOOKUP($C93,COM_N_2012!$B$61:$AJ$122,MATCH(VLOOKUP("*"&amp;$AW93,$A$10:$J$11,$J$9,FALSE)&amp;AK$7,COM_N_2012!$B$58:$AJ$58,0),FALSE),"")</f>
        <v/>
      </c>
      <c r="AL93" s="391" t="str">
        <f ca="1">IF($A93="*","",IFERROR(VLOOKUP($C93,COM_N_2017!$B$61:$AJ$122,MATCH(VLOOKUP("*"&amp;$AW93,$A$10:$J$11,$J$9,FALSE)&amp;AL$7,COM_N_2017!$B$58:$AJ$58,0),FALSE),""))</f>
        <v/>
      </c>
      <c r="AM93" s="391" t="str">
        <f ca="1">IF($A93="*","",IFERROR(VLOOKUP($C93,COM_N_2017!$B$61:$AJ$122,MATCH(VLOOKUP("*"&amp;$AW93,$A$10:$J$11,$J$9,FALSE)&amp;AM$7,COM_N_2017!$B$58:$AJ$58,0),FALSE),""))</f>
        <v/>
      </c>
      <c r="AN93" s="391" t="str">
        <f ca="1">IF($A93="*","",IFERROR(VLOOKUP($C93,COM_N_2017!$B$61:$AJ$122,MATCH(VLOOKUP("*"&amp;$AW93,$A$10:$J$11,$J$9,FALSE)&amp;AN$7,COM_N_2017!$B$58:$AJ$58,0),FALSE),""))</f>
        <v/>
      </c>
      <c r="AO93" s="391" t="str">
        <f ca="1">IFERROR(VLOOKUP($C93,COM_N_2012!$B$61:$AJ$122,MATCH(VLOOKUP("*"&amp;$AW93,$A$10:$J$11,$J$9,FALSE)&amp;AO$7,COM_N_2012!$B$58:$AJ$58,0),FALSE),"")</f>
        <v/>
      </c>
      <c r="AP93" s="391" t="str">
        <f ca="1">IFERROR(VLOOKUP($C93,COM_N_2012!$B$61:$AJ$122,MATCH(VLOOKUP("*"&amp;$AW93,$A$10:$J$11,$J$9,FALSE)&amp;AP$7,COM_N_2012!$B$58:$AJ$58,0),FALSE),"")</f>
        <v/>
      </c>
      <c r="AQ93" s="391" t="str">
        <f ca="1">IFERROR(VLOOKUP($C93,COM_N_2012!$B$61:$AJ$122,MATCH(VLOOKUP("*"&amp;$AW93,$A$10:$J$11,$J$9,FALSE)&amp;AQ$7,COM_N_2012!$B$58:$AJ$58,0),FALSE),"")</f>
        <v/>
      </c>
      <c r="AR93" s="391" t="str">
        <f ca="1">IFERROR(VLOOKUP($C93,COM_N_2012!$B$61:$AJ$122,MATCH(VLOOKUP("*"&amp;$AW93,$A$10:$J$11,$J$9,FALSE)&amp;AR$7,COM_N_2012!$B$58:$AJ$58,0),FALSE),"")</f>
        <v/>
      </c>
      <c r="AS93" s="391" t="str">
        <f ca="1">IFERROR(VLOOKUP($C93,COM_N_2012!$B$61:$AJ$122,MATCH(VLOOKUP("*"&amp;$AW93,$A$10:$J$11,$J$9,FALSE)&amp;AS$7,COM_N_2012!$B$58:$AJ$58,0),FALSE),"")</f>
        <v/>
      </c>
      <c r="AT93" s="391" t="str">
        <f ca="1">IFERROR(VLOOKUP($C93,COM_N_2012!$B$61:$AJ$122,MATCH(VLOOKUP("*"&amp;$AW93,$A$10:$J$11,$J$9,FALSE)&amp;AT$7,COM_N_2012!$B$58:$AJ$58,0),FALSE),"")</f>
        <v/>
      </c>
      <c r="AU93" s="391" t="str">
        <f ca="1">IFERROR(VLOOKUP($C93,COM_N_2012!$B$61:$AJ$122,MATCH(VLOOKUP("*"&amp;$AW93,$A$10:$J$11,$J$9,FALSE)&amp;AU$7,COM_N_2012!$B$58:$AJ$58,0),FALSE),"")</f>
        <v/>
      </c>
      <c r="AV93" s="391" t="str">
        <f ca="1">IFERROR(VLOOKUP($C93,COM_N_2012!$B$61:$AJ$122,MATCH(VLOOKUP("*"&amp;$AW93,$A$10:$J$11,$J$9,FALSE)&amp;AV$7,COM_N_2012!$B$58:$AJ$58,0),FALSE),"")</f>
        <v/>
      </c>
      <c r="AW93" s="304">
        <f>IF(AX92=COM_N_2012!$AK$121,AW92+1,AW92)</f>
        <v>2</v>
      </c>
      <c r="AX93" s="304">
        <f t="shared" si="13"/>
        <v>20</v>
      </c>
    </row>
    <row r="94" spans="1:50">
      <c r="A94" s="304" t="str">
        <f ca="1">IF(LEFT(OFFSET(COM_N_2012!$A$60,AX94,0),2)="\I","*","")</f>
        <v/>
      </c>
      <c r="B94" s="369" t="str">
        <f t="shared" ca="1" si="18"/>
        <v>FLO_MRKPRD</v>
      </c>
      <c r="C94" s="369" t="str">
        <f ca="1">IF($A94="*","",OFFSET(COM_N_2012!$B$60,AX94,0))</f>
        <v>CNLELCCFL-E</v>
      </c>
      <c r="D94" s="369" t="str">
        <f t="shared" ca="1" si="19"/>
        <v>CNL</v>
      </c>
      <c r="E94" s="369" t="str">
        <f t="shared" ca="1" si="20"/>
        <v>-</v>
      </c>
      <c r="F94" s="370" t="str">
        <f t="shared" ca="1" si="9"/>
        <v>-</v>
      </c>
      <c r="G94" s="370" t="str">
        <f t="shared" ca="1" si="9"/>
        <v>ANNUAL</v>
      </c>
      <c r="H94" s="370" t="str">
        <f t="shared" ca="1" si="21"/>
        <v>LO</v>
      </c>
      <c r="I94" s="370">
        <f t="shared" ca="1" si="21"/>
        <v>0</v>
      </c>
      <c r="J94" s="391">
        <f ca="1">IFERROR(VLOOKUP($C94,COM_N_2012!$B$61:$AJ$122,MATCH(VLOOKUP("*"&amp;$AW94,$A$10:$J$11,$J$9,FALSE)&amp;J$7,COM_N_2012!$B$58:$AJ$58,0),FALSE),"")</f>
        <v>5.1732882502113262E-2</v>
      </c>
      <c r="K94" s="391" t="str">
        <f ca="1">IFERROR(VLOOKUP($C94,COM_N_2012!$B$61:$AJ$122,MATCH(VLOOKUP("*"&amp;$AW94,$A$10:$J$11,$J$9,FALSE)&amp;K$7,COM_N_2012!$B$58:$AJ$58,0),FALSE),"")</f>
        <v/>
      </c>
      <c r="L94" s="391" t="str">
        <f ca="1">IFERROR(VLOOKUP($C94,COM_N_2012!$B$61:$AJ$122,MATCH(VLOOKUP("*"&amp;$AW94,$A$10:$J$11,$J$9,FALSE)&amp;L$7,COM_N_2012!$B$58:$AJ$58,0),FALSE),"")</f>
        <v/>
      </c>
      <c r="M94" s="391">
        <f ca="1">IFERROR(VLOOKUP($C94,COM_N_2012!$B$61:$AJ$122,MATCH(VLOOKUP("*"&amp;$AW94,$A$10:$J$11,$J$9,FALSE)&amp;M$7,COM_N_2012!$B$58:$AJ$58,0),FALSE),"")</f>
        <v>4.1386306001690611E-2</v>
      </c>
      <c r="N94" s="391" t="str">
        <f ca="1">IFERROR(VLOOKUP($C94,COM_N_2012!$B$61:$AJ$122,MATCH(VLOOKUP("*"&amp;$AW94,$A$10:$J$11,$J$9,FALSE)&amp;N$7,COM_N_2012!$B$58:$AJ$58,0),FALSE),"")</f>
        <v/>
      </c>
      <c r="O94" s="391">
        <f ca="1">IF($A94="*","",IFERROR(VLOOKUP($C94,COM_N_2017!$B$61:$AJ$122,MATCH(VLOOKUP("*"&amp;$AW94,$A$10:$J$11,$J$9,FALSE)&amp;O$7,COM_N_2017!$B$58:$AJ$58,0),FALSE),""))</f>
        <v>5.1225697379543522E-2</v>
      </c>
      <c r="P94" s="391" t="str">
        <f ca="1">IFERROR(VLOOKUP($C94,COM_N_2012!$B$61:$AJ$122,MATCH(VLOOKUP("*"&amp;$AW94,$A$10:$J$11,$J$9,FALSE)&amp;P$7,COM_N_2012!$B$58:$AJ$58,0),FALSE),"")</f>
        <v/>
      </c>
      <c r="Q94" s="391" t="str">
        <f ca="1">IFERROR(VLOOKUP($C94,COM_N_2012!$B$61:$AJ$122,MATCH(VLOOKUP("*"&amp;$AW94,$A$10:$J$11,$J$9,FALSE)&amp;Q$7,COM_N_2012!$B$58:$AJ$58,0),FALSE),"")</f>
        <v/>
      </c>
      <c r="R94" s="391">
        <f ca="1">IF($A94="*","",IFERROR(VLOOKUP($C94,COM_N_2017!$B$61:$AJ$122,MATCH(VLOOKUP("*"&amp;$AW94,$A$10:$J$11,$J$9,FALSE)&amp;R$7,COM_N_2017!$B$58:$AJ$58,0),FALSE),""))</f>
        <v>4.9688926458157215E-2</v>
      </c>
      <c r="S94" s="391" t="str">
        <f ca="1">IFERROR(VLOOKUP($C94,COM_N_2012!$B$61:$AJ$122,MATCH(VLOOKUP("*"&amp;$AW94,$A$10:$J$11,$J$9,FALSE)&amp;S$7,COM_N_2012!$B$58:$AJ$58,0),FALSE),"")</f>
        <v/>
      </c>
      <c r="T94" s="391" t="str">
        <f ca="1">IFERROR(VLOOKUP($C94,COM_N_2012!$B$61:$AJ$122,MATCH(VLOOKUP("*"&amp;$AW94,$A$10:$J$11,$J$9,FALSE)&amp;T$7,COM_N_2012!$B$58:$AJ$58,0),FALSE),"")</f>
        <v/>
      </c>
      <c r="U94" s="391" t="str">
        <f ca="1">IFERROR(VLOOKUP($C94,COM_N_2012!$B$61:$AJ$122,MATCH(VLOOKUP("*"&amp;$AW94,$A$10:$J$11,$J$9,FALSE)&amp;U$7,COM_N_2012!$B$58:$AJ$58,0),FALSE),"")</f>
        <v/>
      </c>
      <c r="V94" s="391" t="str">
        <f ca="1">IFERROR(VLOOKUP($C94,COM_N_2012!$B$61:$AJ$122,MATCH(VLOOKUP("*"&amp;$AW94,$A$10:$J$11,$J$9,FALSE)&amp;V$7,COM_N_2012!$B$58:$AJ$58,0),FALSE),"")</f>
        <v/>
      </c>
      <c r="W94" s="391">
        <f ca="1">IF($A94="*","",IFERROR(VLOOKUP($C94,COM_N_2017!$B$61:$AJ$122,MATCH(VLOOKUP("*"&amp;$AW94,$A$10:$J$11,$J$9,FALSE)&amp;W$7,COM_N_2017!$B$58:$AJ$58,0),FALSE),""))</f>
        <v>4.6103127641589171E-2</v>
      </c>
      <c r="X94" s="391" t="str">
        <f ca="1">IFERROR(VLOOKUP($C94,COM_N_2012!$B$61:$AJ$122,MATCH(VLOOKUP("*"&amp;$AW94,$A$10:$J$11,$J$9,FALSE)&amp;X$7,COM_N_2012!$B$58:$AJ$58,0),FALSE),"")</f>
        <v/>
      </c>
      <c r="Y94" s="391" t="str">
        <f ca="1">IFERROR(VLOOKUP($C94,COM_N_2012!$B$61:$AJ$122,MATCH(VLOOKUP("*"&amp;$AW94,$A$10:$J$11,$J$9,FALSE)&amp;Y$7,COM_N_2012!$B$58:$AJ$58,0),FALSE),"")</f>
        <v/>
      </c>
      <c r="Z94" s="391" t="str">
        <f ca="1">IFERROR(VLOOKUP($C94,COM_N_2012!$B$61:$AJ$122,MATCH(VLOOKUP("*"&amp;$AW94,$A$10:$J$11,$J$9,FALSE)&amp;Z$7,COM_N_2012!$B$58:$AJ$58,0),FALSE),"")</f>
        <v/>
      </c>
      <c r="AA94" s="391" t="str">
        <f ca="1">IFERROR(VLOOKUP($C94,COM_N_2012!$B$61:$AJ$122,MATCH(VLOOKUP("*"&amp;$AW94,$A$10:$J$11,$J$9,FALSE)&amp;AA$7,COM_N_2012!$B$58:$AJ$58,0),FALSE),"")</f>
        <v/>
      </c>
      <c r="AB94" s="391">
        <f ca="1">IF($A94="*","",IFERROR(VLOOKUP($C94,COM_N_2017!$B$61:$AJ$122,MATCH(VLOOKUP("*"&amp;$AW94,$A$10:$J$11,$J$9,FALSE)&amp;AB$7,COM_N_2017!$B$58:$AJ$58,0),FALSE),""))</f>
        <v>3.5857988165680463E-2</v>
      </c>
      <c r="AC94" s="391" t="str">
        <f ca="1">IFERROR(VLOOKUP($C94,COM_N_2012!$B$61:$AJ$122,MATCH(VLOOKUP("*"&amp;$AW94,$A$10:$J$11,$J$9,FALSE)&amp;AC$7,COM_N_2012!$B$58:$AJ$58,0),FALSE),"")</f>
        <v/>
      </c>
      <c r="AD94" s="391" t="str">
        <f ca="1">IFERROR(VLOOKUP($C94,COM_N_2012!$B$61:$AJ$122,MATCH(VLOOKUP("*"&amp;$AW94,$A$10:$J$11,$J$9,FALSE)&amp;AD$7,COM_N_2012!$B$58:$AJ$58,0),FALSE),"")</f>
        <v/>
      </c>
      <c r="AE94" s="391" t="str">
        <f ca="1">IFERROR(VLOOKUP($C94,COM_N_2012!$B$61:$AJ$122,MATCH(VLOOKUP("*"&amp;$AW94,$A$10:$J$11,$J$9,FALSE)&amp;AE$7,COM_N_2012!$B$58:$AJ$58,0),FALSE),"")</f>
        <v/>
      </c>
      <c r="AF94" s="391" t="str">
        <f ca="1">IFERROR(VLOOKUP($C94,COM_N_2012!$B$61:$AJ$122,MATCH(VLOOKUP("*"&amp;$AW94,$A$10:$J$11,$J$9,FALSE)&amp;AF$7,COM_N_2012!$B$58:$AJ$58,0),FALSE),"")</f>
        <v/>
      </c>
      <c r="AG94" s="391">
        <f ca="1">IF($A94="*","",IFERROR(VLOOKUP($C94,COM_N_2017!$B$61:$AJ$122,MATCH(VLOOKUP("*"&amp;$AW94,$A$10:$J$11,$J$9,FALSE)&amp;AG$7,COM_N_2017!$B$58:$AJ$58,0),FALSE),""))</f>
        <v>2.5612848689771761E-2</v>
      </c>
      <c r="AH94" s="391" t="str">
        <f ca="1">IFERROR(VLOOKUP($C94,COM_N_2012!$B$61:$AJ$122,MATCH(VLOOKUP("*"&amp;$AW94,$A$10:$J$11,$J$9,FALSE)&amp;AH$7,COM_N_2012!$B$58:$AJ$58,0),FALSE),"")</f>
        <v/>
      </c>
      <c r="AI94" s="391" t="str">
        <f ca="1">IFERROR(VLOOKUP($C94,COM_N_2012!$B$61:$AJ$122,MATCH(VLOOKUP("*"&amp;$AW94,$A$10:$J$11,$J$9,FALSE)&amp;AI$7,COM_N_2012!$B$58:$AJ$58,0),FALSE),"")</f>
        <v/>
      </c>
      <c r="AJ94" s="391" t="str">
        <f ca="1">IFERROR(VLOOKUP($C94,COM_N_2012!$B$61:$AJ$122,MATCH(VLOOKUP("*"&amp;$AW94,$A$10:$J$11,$J$9,FALSE)&amp;AJ$7,COM_N_2012!$B$58:$AJ$58,0),FALSE),"")</f>
        <v/>
      </c>
      <c r="AK94" s="391" t="str">
        <f ca="1">IFERROR(VLOOKUP($C94,COM_N_2012!$B$61:$AJ$122,MATCH(VLOOKUP("*"&amp;$AW94,$A$10:$J$11,$J$9,FALSE)&amp;AK$7,COM_N_2012!$B$58:$AJ$58,0),FALSE),"")</f>
        <v/>
      </c>
      <c r="AL94" s="391">
        <f ca="1">IF($A94="*","",IFERROR(VLOOKUP($C94,COM_N_2017!$B$61:$AJ$122,MATCH(VLOOKUP("*"&amp;$AW94,$A$10:$J$11,$J$9,FALSE)&amp;AL$7,COM_N_2017!$B$58:$AJ$58,0),FALSE),""))</f>
        <v>1.5367709213863056E-2</v>
      </c>
      <c r="AM94" s="391">
        <f ca="1">IF($A94="*","",IFERROR(VLOOKUP($C94,COM_N_2017!$B$61:$AJ$122,MATCH(VLOOKUP("*"&amp;$AW94,$A$10:$J$11,$J$9,FALSE)&amp;AM$7,COM_N_2017!$B$58:$AJ$58,0),FALSE),""))</f>
        <v>5.1225697379543526E-3</v>
      </c>
      <c r="AN94" s="391">
        <f ca="1">IF($A94="*","",IFERROR(VLOOKUP($C94,COM_N_2017!$B$61:$AJ$122,MATCH(VLOOKUP("*"&amp;$AW94,$A$10:$J$11,$J$9,FALSE)&amp;AN$7,COM_N_2017!$B$58:$AJ$58,0),FALSE),""))</f>
        <v>0</v>
      </c>
      <c r="AO94" s="391" t="str">
        <f ca="1">IFERROR(VLOOKUP($C94,COM_N_2012!$B$61:$AJ$122,MATCH(VLOOKUP("*"&amp;$AW94,$A$10:$J$11,$J$9,FALSE)&amp;AO$7,COM_N_2012!$B$58:$AJ$58,0),FALSE),"")</f>
        <v/>
      </c>
      <c r="AP94" s="391" t="str">
        <f ca="1">IFERROR(VLOOKUP($C94,COM_N_2012!$B$61:$AJ$122,MATCH(VLOOKUP("*"&amp;$AW94,$A$10:$J$11,$J$9,FALSE)&amp;AP$7,COM_N_2012!$B$58:$AJ$58,0),FALSE),"")</f>
        <v/>
      </c>
      <c r="AQ94" s="391" t="str">
        <f ca="1">IFERROR(VLOOKUP($C94,COM_N_2012!$B$61:$AJ$122,MATCH(VLOOKUP("*"&amp;$AW94,$A$10:$J$11,$J$9,FALSE)&amp;AQ$7,COM_N_2012!$B$58:$AJ$58,0),FALSE),"")</f>
        <v/>
      </c>
      <c r="AR94" s="391" t="str">
        <f ca="1">IFERROR(VLOOKUP($C94,COM_N_2012!$B$61:$AJ$122,MATCH(VLOOKUP("*"&amp;$AW94,$A$10:$J$11,$J$9,FALSE)&amp;AR$7,COM_N_2012!$B$58:$AJ$58,0),FALSE),"")</f>
        <v/>
      </c>
      <c r="AS94" s="391" t="str">
        <f ca="1">IFERROR(VLOOKUP($C94,COM_N_2012!$B$61:$AJ$122,MATCH(VLOOKUP("*"&amp;$AW94,$A$10:$J$11,$J$9,FALSE)&amp;AS$7,COM_N_2012!$B$58:$AJ$58,0),FALSE),"")</f>
        <v/>
      </c>
      <c r="AT94" s="391" t="str">
        <f ca="1">IFERROR(VLOOKUP($C94,COM_N_2012!$B$61:$AJ$122,MATCH(VLOOKUP("*"&amp;$AW94,$A$10:$J$11,$J$9,FALSE)&amp;AT$7,COM_N_2012!$B$58:$AJ$58,0),FALSE),"")</f>
        <v/>
      </c>
      <c r="AU94" s="391" t="str">
        <f ca="1">IFERROR(VLOOKUP($C94,COM_N_2012!$B$61:$AJ$122,MATCH(VLOOKUP("*"&amp;$AW94,$A$10:$J$11,$J$9,FALSE)&amp;AU$7,COM_N_2012!$B$58:$AJ$58,0),FALSE),"")</f>
        <v/>
      </c>
      <c r="AV94" s="391" t="str">
        <f ca="1">IFERROR(VLOOKUP($C94,COM_N_2012!$B$61:$AJ$122,MATCH(VLOOKUP("*"&amp;$AW94,$A$10:$J$11,$J$9,FALSE)&amp;AV$7,COM_N_2012!$B$58:$AJ$58,0),FALSE),"")</f>
        <v/>
      </c>
      <c r="AW94" s="304">
        <f>IF(AX93=COM_N_2012!$AK$121,AW93+1,AW93)</f>
        <v>2</v>
      </c>
      <c r="AX94" s="304">
        <f t="shared" si="13"/>
        <v>21</v>
      </c>
    </row>
    <row r="95" spans="1:50">
      <c r="A95" s="304" t="str">
        <f ca="1">IF(LEFT(OFFSET(COM_N_2012!$A$60,AX95,0),2)="\I","*","")</f>
        <v/>
      </c>
      <c r="B95" s="369" t="str">
        <f t="shared" ca="1" si="18"/>
        <v>FLO_MRKPRD</v>
      </c>
      <c r="C95" s="369" t="str">
        <f ca="1">IF($A95="*","",OFFSET(COM_N_2012!$B$60,AX95,0))</f>
        <v>CNLELCFLU-E</v>
      </c>
      <c r="D95" s="369" t="str">
        <f t="shared" ca="1" si="19"/>
        <v>CNL</v>
      </c>
      <c r="E95" s="369" t="str">
        <f t="shared" ca="1" si="20"/>
        <v>-</v>
      </c>
      <c r="F95" s="370" t="str">
        <f t="shared" ca="1" si="9"/>
        <v>-</v>
      </c>
      <c r="G95" s="370" t="str">
        <f t="shared" ca="1" si="9"/>
        <v>ANNUAL</v>
      </c>
      <c r="H95" s="370" t="str">
        <f t="shared" ca="1" si="21"/>
        <v>LO</v>
      </c>
      <c r="I95" s="370">
        <f t="shared" ca="1" si="21"/>
        <v>0</v>
      </c>
      <c r="J95" s="391">
        <f ca="1">IFERROR(VLOOKUP($C95,COM_N_2012!$B$61:$AJ$122,MATCH(VLOOKUP("*"&amp;$AW95,$A$10:$J$11,$J$9,FALSE)&amp;J$7,COM_N_2012!$B$58:$AJ$58,0),FALSE),"")</f>
        <v>0.67899408284023655</v>
      </c>
      <c r="K95" s="391" t="str">
        <f ca="1">IFERROR(VLOOKUP($C95,COM_N_2012!$B$61:$AJ$122,MATCH(VLOOKUP("*"&amp;$AW95,$A$10:$J$11,$J$9,FALSE)&amp;K$7,COM_N_2012!$B$58:$AJ$58,0),FALSE),"")</f>
        <v/>
      </c>
      <c r="L95" s="391" t="str">
        <f ca="1">IFERROR(VLOOKUP($C95,COM_N_2012!$B$61:$AJ$122,MATCH(VLOOKUP("*"&amp;$AW95,$A$10:$J$11,$J$9,FALSE)&amp;L$7,COM_N_2012!$B$58:$AJ$58,0),FALSE),"")</f>
        <v/>
      </c>
      <c r="M95" s="391">
        <f ca="1">IFERROR(VLOOKUP($C95,COM_N_2012!$B$61:$AJ$122,MATCH(VLOOKUP("*"&amp;$AW95,$A$10:$J$11,$J$9,FALSE)&amp;M$7,COM_N_2012!$B$58:$AJ$58,0),FALSE),"")</f>
        <v>0.54319526627218928</v>
      </c>
      <c r="N95" s="391" t="str">
        <f ca="1">IFERROR(VLOOKUP($C95,COM_N_2012!$B$61:$AJ$122,MATCH(VLOOKUP("*"&amp;$AW95,$A$10:$J$11,$J$9,FALSE)&amp;N$7,COM_N_2012!$B$58:$AJ$58,0),FALSE),"")</f>
        <v/>
      </c>
      <c r="O95" s="391">
        <f ca="1">IF($A95="*","",IFERROR(VLOOKUP($C95,COM_N_2017!$B$61:$AJ$122,MATCH(VLOOKUP("*"&amp;$AW95,$A$10:$J$11,$J$9,FALSE)&amp;O$7,COM_N_2017!$B$58:$AJ$58,0),FALSE),""))</f>
        <v>0.67899408284023655</v>
      </c>
      <c r="P95" s="391" t="str">
        <f ca="1">IFERROR(VLOOKUP($C95,COM_N_2012!$B$61:$AJ$122,MATCH(VLOOKUP("*"&amp;$AW95,$A$10:$J$11,$J$9,FALSE)&amp;P$7,COM_N_2012!$B$58:$AJ$58,0),FALSE),"")</f>
        <v/>
      </c>
      <c r="Q95" s="391" t="str">
        <f ca="1">IFERROR(VLOOKUP($C95,COM_N_2012!$B$61:$AJ$122,MATCH(VLOOKUP("*"&amp;$AW95,$A$10:$J$11,$J$9,FALSE)&amp;Q$7,COM_N_2012!$B$58:$AJ$58,0),FALSE),"")</f>
        <v/>
      </c>
      <c r="R95" s="391">
        <f ca="1">IF($A95="*","",IFERROR(VLOOKUP($C95,COM_N_2017!$B$61:$AJ$122,MATCH(VLOOKUP("*"&amp;$AW95,$A$10:$J$11,$J$9,FALSE)&amp;R$7,COM_N_2017!$B$58:$AJ$58,0),FALSE),""))</f>
        <v>0.65862426035502941</v>
      </c>
      <c r="S95" s="391" t="str">
        <f ca="1">IFERROR(VLOOKUP($C95,COM_N_2012!$B$61:$AJ$122,MATCH(VLOOKUP("*"&amp;$AW95,$A$10:$J$11,$J$9,FALSE)&amp;S$7,COM_N_2012!$B$58:$AJ$58,0),FALSE),"")</f>
        <v/>
      </c>
      <c r="T95" s="391" t="str">
        <f ca="1">IFERROR(VLOOKUP($C95,COM_N_2012!$B$61:$AJ$122,MATCH(VLOOKUP("*"&amp;$AW95,$A$10:$J$11,$J$9,FALSE)&amp;T$7,COM_N_2012!$B$58:$AJ$58,0),FALSE),"")</f>
        <v/>
      </c>
      <c r="U95" s="391" t="str">
        <f ca="1">IFERROR(VLOOKUP($C95,COM_N_2012!$B$61:$AJ$122,MATCH(VLOOKUP("*"&amp;$AW95,$A$10:$J$11,$J$9,FALSE)&amp;U$7,COM_N_2012!$B$58:$AJ$58,0),FALSE),"")</f>
        <v/>
      </c>
      <c r="V95" s="391" t="str">
        <f ca="1">IFERROR(VLOOKUP($C95,COM_N_2012!$B$61:$AJ$122,MATCH(VLOOKUP("*"&amp;$AW95,$A$10:$J$11,$J$9,FALSE)&amp;V$7,COM_N_2012!$B$58:$AJ$58,0),FALSE),"")</f>
        <v/>
      </c>
      <c r="W95" s="391">
        <f ca="1">IF($A95="*","",IFERROR(VLOOKUP($C95,COM_N_2017!$B$61:$AJ$122,MATCH(VLOOKUP("*"&amp;$AW95,$A$10:$J$11,$J$9,FALSE)&amp;W$7,COM_N_2017!$B$58:$AJ$58,0),FALSE),""))</f>
        <v>0.61109467455621291</v>
      </c>
      <c r="X95" s="391" t="str">
        <f ca="1">IFERROR(VLOOKUP($C95,COM_N_2012!$B$61:$AJ$122,MATCH(VLOOKUP("*"&amp;$AW95,$A$10:$J$11,$J$9,FALSE)&amp;X$7,COM_N_2012!$B$58:$AJ$58,0),FALSE),"")</f>
        <v/>
      </c>
      <c r="Y95" s="391" t="str">
        <f ca="1">IFERROR(VLOOKUP($C95,COM_N_2012!$B$61:$AJ$122,MATCH(VLOOKUP("*"&amp;$AW95,$A$10:$J$11,$J$9,FALSE)&amp;Y$7,COM_N_2012!$B$58:$AJ$58,0),FALSE),"")</f>
        <v/>
      </c>
      <c r="Z95" s="391" t="str">
        <f ca="1">IFERROR(VLOOKUP($C95,COM_N_2012!$B$61:$AJ$122,MATCH(VLOOKUP("*"&amp;$AW95,$A$10:$J$11,$J$9,FALSE)&amp;Z$7,COM_N_2012!$B$58:$AJ$58,0),FALSE),"")</f>
        <v/>
      </c>
      <c r="AA95" s="391" t="str">
        <f ca="1">IFERROR(VLOOKUP($C95,COM_N_2012!$B$61:$AJ$122,MATCH(VLOOKUP("*"&amp;$AW95,$A$10:$J$11,$J$9,FALSE)&amp;AA$7,COM_N_2012!$B$58:$AJ$58,0),FALSE),"")</f>
        <v/>
      </c>
      <c r="AB95" s="391">
        <f ca="1">IF($A95="*","",IFERROR(VLOOKUP($C95,COM_N_2017!$B$61:$AJ$122,MATCH(VLOOKUP("*"&amp;$AW95,$A$10:$J$11,$J$9,FALSE)&amp;AB$7,COM_N_2017!$B$58:$AJ$58,0),FALSE),""))</f>
        <v>0.47529585798816554</v>
      </c>
      <c r="AC95" s="391" t="str">
        <f ca="1">IFERROR(VLOOKUP($C95,COM_N_2012!$B$61:$AJ$122,MATCH(VLOOKUP("*"&amp;$AW95,$A$10:$J$11,$J$9,FALSE)&amp;AC$7,COM_N_2012!$B$58:$AJ$58,0),FALSE),"")</f>
        <v/>
      </c>
      <c r="AD95" s="391" t="str">
        <f ca="1">IFERROR(VLOOKUP($C95,COM_N_2012!$B$61:$AJ$122,MATCH(VLOOKUP("*"&amp;$AW95,$A$10:$J$11,$J$9,FALSE)&amp;AD$7,COM_N_2012!$B$58:$AJ$58,0),FALSE),"")</f>
        <v/>
      </c>
      <c r="AE95" s="391" t="str">
        <f ca="1">IFERROR(VLOOKUP($C95,COM_N_2012!$B$61:$AJ$122,MATCH(VLOOKUP("*"&amp;$AW95,$A$10:$J$11,$J$9,FALSE)&amp;AE$7,COM_N_2012!$B$58:$AJ$58,0),FALSE),"")</f>
        <v/>
      </c>
      <c r="AF95" s="391" t="str">
        <f ca="1">IFERROR(VLOOKUP($C95,COM_N_2012!$B$61:$AJ$122,MATCH(VLOOKUP("*"&amp;$AW95,$A$10:$J$11,$J$9,FALSE)&amp;AF$7,COM_N_2012!$B$58:$AJ$58,0),FALSE),"")</f>
        <v/>
      </c>
      <c r="AG95" s="391">
        <f ca="1">IF($A95="*","",IFERROR(VLOOKUP($C95,COM_N_2017!$B$61:$AJ$122,MATCH(VLOOKUP("*"&amp;$AW95,$A$10:$J$11,$J$9,FALSE)&amp;AG$7,COM_N_2017!$B$58:$AJ$58,0),FALSE),""))</f>
        <v>0.33949704142011827</v>
      </c>
      <c r="AH95" s="391" t="str">
        <f ca="1">IFERROR(VLOOKUP($C95,COM_N_2012!$B$61:$AJ$122,MATCH(VLOOKUP("*"&amp;$AW95,$A$10:$J$11,$J$9,FALSE)&amp;AH$7,COM_N_2012!$B$58:$AJ$58,0),FALSE),"")</f>
        <v/>
      </c>
      <c r="AI95" s="391" t="str">
        <f ca="1">IFERROR(VLOOKUP($C95,COM_N_2012!$B$61:$AJ$122,MATCH(VLOOKUP("*"&amp;$AW95,$A$10:$J$11,$J$9,FALSE)&amp;AI$7,COM_N_2012!$B$58:$AJ$58,0),FALSE),"")</f>
        <v/>
      </c>
      <c r="AJ95" s="391" t="str">
        <f ca="1">IFERROR(VLOOKUP($C95,COM_N_2012!$B$61:$AJ$122,MATCH(VLOOKUP("*"&amp;$AW95,$A$10:$J$11,$J$9,FALSE)&amp;AJ$7,COM_N_2012!$B$58:$AJ$58,0),FALSE),"")</f>
        <v/>
      </c>
      <c r="AK95" s="391" t="str">
        <f ca="1">IFERROR(VLOOKUP($C95,COM_N_2012!$B$61:$AJ$122,MATCH(VLOOKUP("*"&amp;$AW95,$A$10:$J$11,$J$9,FALSE)&amp;AK$7,COM_N_2012!$B$58:$AJ$58,0),FALSE),"")</f>
        <v/>
      </c>
      <c r="AL95" s="391">
        <f ca="1">IF($A95="*","",IFERROR(VLOOKUP($C95,COM_N_2017!$B$61:$AJ$122,MATCH(VLOOKUP("*"&amp;$AW95,$A$10:$J$11,$J$9,FALSE)&amp;AL$7,COM_N_2017!$B$58:$AJ$58,0),FALSE),""))</f>
        <v>0.20369822485207095</v>
      </c>
      <c r="AM95" s="391">
        <f ca="1">IF($A95="*","",IFERROR(VLOOKUP($C95,COM_N_2017!$B$61:$AJ$122,MATCH(VLOOKUP("*"&amp;$AW95,$A$10:$J$11,$J$9,FALSE)&amp;AM$7,COM_N_2017!$B$58:$AJ$58,0),FALSE),""))</f>
        <v>6.789940828402366E-2</v>
      </c>
      <c r="AN95" s="391">
        <f ca="1">IF($A95="*","",IFERROR(VLOOKUP($C95,COM_N_2017!$B$61:$AJ$122,MATCH(VLOOKUP("*"&amp;$AW95,$A$10:$J$11,$J$9,FALSE)&amp;AN$7,COM_N_2017!$B$58:$AJ$58,0),FALSE),""))</f>
        <v>0</v>
      </c>
      <c r="AO95" s="391" t="str">
        <f ca="1">IFERROR(VLOOKUP($C95,COM_N_2012!$B$61:$AJ$122,MATCH(VLOOKUP("*"&amp;$AW95,$A$10:$J$11,$J$9,FALSE)&amp;AO$7,COM_N_2012!$B$58:$AJ$58,0),FALSE),"")</f>
        <v/>
      </c>
      <c r="AP95" s="391" t="str">
        <f ca="1">IFERROR(VLOOKUP($C95,COM_N_2012!$B$61:$AJ$122,MATCH(VLOOKUP("*"&amp;$AW95,$A$10:$J$11,$J$9,FALSE)&amp;AP$7,COM_N_2012!$B$58:$AJ$58,0),FALSE),"")</f>
        <v/>
      </c>
      <c r="AQ95" s="391" t="str">
        <f ca="1">IFERROR(VLOOKUP($C95,COM_N_2012!$B$61:$AJ$122,MATCH(VLOOKUP("*"&amp;$AW95,$A$10:$J$11,$J$9,FALSE)&amp;AQ$7,COM_N_2012!$B$58:$AJ$58,0),FALSE),"")</f>
        <v/>
      </c>
      <c r="AR95" s="391" t="str">
        <f ca="1">IFERROR(VLOOKUP($C95,COM_N_2012!$B$61:$AJ$122,MATCH(VLOOKUP("*"&amp;$AW95,$A$10:$J$11,$J$9,FALSE)&amp;AR$7,COM_N_2012!$B$58:$AJ$58,0),FALSE),"")</f>
        <v/>
      </c>
      <c r="AS95" s="391" t="str">
        <f ca="1">IFERROR(VLOOKUP($C95,COM_N_2012!$B$61:$AJ$122,MATCH(VLOOKUP("*"&amp;$AW95,$A$10:$J$11,$J$9,FALSE)&amp;AS$7,COM_N_2012!$B$58:$AJ$58,0),FALSE),"")</f>
        <v/>
      </c>
      <c r="AT95" s="391" t="str">
        <f ca="1">IFERROR(VLOOKUP($C95,COM_N_2012!$B$61:$AJ$122,MATCH(VLOOKUP("*"&amp;$AW95,$A$10:$J$11,$J$9,FALSE)&amp;AT$7,COM_N_2012!$B$58:$AJ$58,0),FALSE),"")</f>
        <v/>
      </c>
      <c r="AU95" s="391" t="str">
        <f ca="1">IFERROR(VLOOKUP($C95,COM_N_2012!$B$61:$AJ$122,MATCH(VLOOKUP("*"&amp;$AW95,$A$10:$J$11,$J$9,FALSE)&amp;AU$7,COM_N_2012!$B$58:$AJ$58,0),FALSE),"")</f>
        <v/>
      </c>
      <c r="AV95" s="391" t="str">
        <f ca="1">IFERROR(VLOOKUP($C95,COM_N_2012!$B$61:$AJ$122,MATCH(VLOOKUP("*"&amp;$AW95,$A$10:$J$11,$J$9,FALSE)&amp;AV$7,COM_N_2012!$B$58:$AJ$58,0),FALSE),"")</f>
        <v/>
      </c>
      <c r="AW95" s="304">
        <f>IF(AX94=COM_N_2012!$AK$121,AW94+1,AW94)</f>
        <v>2</v>
      </c>
      <c r="AX95" s="304">
        <f t="shared" si="13"/>
        <v>22</v>
      </c>
    </row>
    <row r="96" spans="1:50">
      <c r="A96" s="304" t="str">
        <f ca="1">IF(LEFT(OFFSET(COM_N_2012!$A$60,AX96,0),2)="\I","*","")</f>
        <v/>
      </c>
      <c r="B96" s="369" t="str">
        <f t="shared" ca="1" si="18"/>
        <v>FLO_MRKPRD</v>
      </c>
      <c r="C96" s="369" t="str">
        <f ca="1">IF($A96="*","",OFFSET(COM_N_2012!$B$60,AX96,0))</f>
        <v>CNLELCHAL-E</v>
      </c>
      <c r="D96" s="369" t="str">
        <f t="shared" ca="1" si="19"/>
        <v>CNL</v>
      </c>
      <c r="E96" s="369" t="str">
        <f t="shared" ca="1" si="20"/>
        <v>-</v>
      </c>
      <c r="F96" s="370" t="str">
        <f t="shared" ca="1" si="9"/>
        <v>-</v>
      </c>
      <c r="G96" s="370" t="str">
        <f t="shared" ca="1" si="9"/>
        <v>ANNUAL</v>
      </c>
      <c r="H96" s="370" t="str">
        <f t="shared" ca="1" si="21"/>
        <v>LO</v>
      </c>
      <c r="I96" s="370">
        <f t="shared" ca="1" si="21"/>
        <v>0</v>
      </c>
      <c r="J96" s="391">
        <f ca="1">IFERROR(VLOOKUP($C96,COM_N_2012!$B$61:$AJ$122,MATCH(VLOOKUP("*"&amp;$AW96,$A$10:$J$11,$J$9,FALSE)&amp;J$7,COM_N_2012!$B$58:$AJ$58,0),FALSE),"")</f>
        <v>8.622147083685543E-3</v>
      </c>
      <c r="K96" s="391" t="str">
        <f ca="1">IFERROR(VLOOKUP($C96,COM_N_2012!$B$61:$AJ$122,MATCH(VLOOKUP("*"&amp;$AW96,$A$10:$J$11,$J$9,FALSE)&amp;K$7,COM_N_2012!$B$58:$AJ$58,0),FALSE),"")</f>
        <v/>
      </c>
      <c r="L96" s="391" t="str">
        <f ca="1">IFERROR(VLOOKUP($C96,COM_N_2012!$B$61:$AJ$122,MATCH(VLOOKUP("*"&amp;$AW96,$A$10:$J$11,$J$9,FALSE)&amp;L$7,COM_N_2012!$B$58:$AJ$58,0),FALSE),"")</f>
        <v/>
      </c>
      <c r="M96" s="391">
        <f ca="1">IFERROR(VLOOKUP($C96,COM_N_2012!$B$61:$AJ$122,MATCH(VLOOKUP("*"&amp;$AW96,$A$10:$J$11,$J$9,FALSE)&amp;M$7,COM_N_2012!$B$58:$AJ$58,0),FALSE),"")</f>
        <v>6.8977176669484351E-3</v>
      </c>
      <c r="N96" s="391" t="str">
        <f ca="1">IFERROR(VLOOKUP($C96,COM_N_2012!$B$61:$AJ$122,MATCH(VLOOKUP("*"&amp;$AW96,$A$10:$J$11,$J$9,FALSE)&amp;N$7,COM_N_2012!$B$58:$AJ$58,0),FALSE),"")</f>
        <v/>
      </c>
      <c r="O96" s="391">
        <f ca="1">IF($A96="*","",IFERROR(VLOOKUP($C96,COM_N_2017!$B$61:$AJ$122,MATCH(VLOOKUP("*"&amp;$AW96,$A$10:$J$11,$J$9,FALSE)&amp;O$7,COM_N_2017!$B$58:$AJ$58,0),FALSE),""))</f>
        <v>8.622147083685543E-3</v>
      </c>
      <c r="P96" s="391" t="str">
        <f ca="1">IFERROR(VLOOKUP($C96,COM_N_2012!$B$61:$AJ$122,MATCH(VLOOKUP("*"&amp;$AW96,$A$10:$J$11,$J$9,FALSE)&amp;P$7,COM_N_2012!$B$58:$AJ$58,0),FALSE),"")</f>
        <v/>
      </c>
      <c r="Q96" s="391" t="str">
        <f ca="1">IFERROR(VLOOKUP($C96,COM_N_2012!$B$61:$AJ$122,MATCH(VLOOKUP("*"&amp;$AW96,$A$10:$J$11,$J$9,FALSE)&amp;Q$7,COM_N_2012!$B$58:$AJ$58,0),FALSE),"")</f>
        <v/>
      </c>
      <c r="R96" s="391">
        <f ca="1">IF($A96="*","",IFERROR(VLOOKUP($C96,COM_N_2017!$B$61:$AJ$122,MATCH(VLOOKUP("*"&amp;$AW96,$A$10:$J$11,$J$9,FALSE)&amp;R$7,COM_N_2017!$B$58:$AJ$58,0),FALSE),""))</f>
        <v>8.3634826711749769E-3</v>
      </c>
      <c r="S96" s="391" t="str">
        <f ca="1">IFERROR(VLOOKUP($C96,COM_N_2012!$B$61:$AJ$122,MATCH(VLOOKUP("*"&amp;$AW96,$A$10:$J$11,$J$9,FALSE)&amp;S$7,COM_N_2012!$B$58:$AJ$58,0),FALSE),"")</f>
        <v/>
      </c>
      <c r="T96" s="391" t="str">
        <f ca="1">IFERROR(VLOOKUP($C96,COM_N_2012!$B$61:$AJ$122,MATCH(VLOOKUP("*"&amp;$AW96,$A$10:$J$11,$J$9,FALSE)&amp;T$7,COM_N_2012!$B$58:$AJ$58,0),FALSE),"")</f>
        <v/>
      </c>
      <c r="U96" s="391" t="str">
        <f ca="1">IFERROR(VLOOKUP($C96,COM_N_2012!$B$61:$AJ$122,MATCH(VLOOKUP("*"&amp;$AW96,$A$10:$J$11,$J$9,FALSE)&amp;U$7,COM_N_2012!$B$58:$AJ$58,0),FALSE),"")</f>
        <v/>
      </c>
      <c r="V96" s="391" t="str">
        <f ca="1">IFERROR(VLOOKUP($C96,COM_N_2012!$B$61:$AJ$122,MATCH(VLOOKUP("*"&amp;$AW96,$A$10:$J$11,$J$9,FALSE)&amp;V$7,COM_N_2012!$B$58:$AJ$58,0),FALSE),"")</f>
        <v/>
      </c>
      <c r="W96" s="391">
        <f ca="1">IF($A96="*","",IFERROR(VLOOKUP($C96,COM_N_2017!$B$61:$AJ$122,MATCH(VLOOKUP("*"&amp;$AW96,$A$10:$J$11,$J$9,FALSE)&amp;W$7,COM_N_2017!$B$58:$AJ$58,0),FALSE),""))</f>
        <v>7.7599323753169891E-3</v>
      </c>
      <c r="X96" s="391" t="str">
        <f ca="1">IFERROR(VLOOKUP($C96,COM_N_2012!$B$61:$AJ$122,MATCH(VLOOKUP("*"&amp;$AW96,$A$10:$J$11,$J$9,FALSE)&amp;X$7,COM_N_2012!$B$58:$AJ$58,0),FALSE),"")</f>
        <v/>
      </c>
      <c r="Y96" s="391" t="str">
        <f ca="1">IFERROR(VLOOKUP($C96,COM_N_2012!$B$61:$AJ$122,MATCH(VLOOKUP("*"&amp;$AW96,$A$10:$J$11,$J$9,FALSE)&amp;Y$7,COM_N_2012!$B$58:$AJ$58,0),FALSE),"")</f>
        <v/>
      </c>
      <c r="Z96" s="391" t="str">
        <f ca="1">IFERROR(VLOOKUP($C96,COM_N_2012!$B$61:$AJ$122,MATCH(VLOOKUP("*"&amp;$AW96,$A$10:$J$11,$J$9,FALSE)&amp;Z$7,COM_N_2012!$B$58:$AJ$58,0),FALSE),"")</f>
        <v/>
      </c>
      <c r="AA96" s="391" t="str">
        <f ca="1">IFERROR(VLOOKUP($C96,COM_N_2012!$B$61:$AJ$122,MATCH(VLOOKUP("*"&amp;$AW96,$A$10:$J$11,$J$9,FALSE)&amp;AA$7,COM_N_2012!$B$58:$AJ$58,0),FALSE),"")</f>
        <v/>
      </c>
      <c r="AB96" s="391">
        <f ca="1">IF($A96="*","",IFERROR(VLOOKUP($C96,COM_N_2017!$B$61:$AJ$122,MATCH(VLOOKUP("*"&amp;$AW96,$A$10:$J$11,$J$9,FALSE)&amp;AB$7,COM_N_2017!$B$58:$AJ$58,0),FALSE),""))</f>
        <v>6.0355029585798794E-3</v>
      </c>
      <c r="AC96" s="391" t="str">
        <f ca="1">IFERROR(VLOOKUP($C96,COM_N_2012!$B$61:$AJ$122,MATCH(VLOOKUP("*"&amp;$AW96,$A$10:$J$11,$J$9,FALSE)&amp;AC$7,COM_N_2012!$B$58:$AJ$58,0),FALSE),"")</f>
        <v/>
      </c>
      <c r="AD96" s="391" t="str">
        <f ca="1">IFERROR(VLOOKUP($C96,COM_N_2012!$B$61:$AJ$122,MATCH(VLOOKUP("*"&amp;$AW96,$A$10:$J$11,$J$9,FALSE)&amp;AD$7,COM_N_2012!$B$58:$AJ$58,0),FALSE),"")</f>
        <v/>
      </c>
      <c r="AE96" s="391" t="str">
        <f ca="1">IFERROR(VLOOKUP($C96,COM_N_2012!$B$61:$AJ$122,MATCH(VLOOKUP("*"&amp;$AW96,$A$10:$J$11,$J$9,FALSE)&amp;AE$7,COM_N_2012!$B$58:$AJ$58,0),FALSE),"")</f>
        <v/>
      </c>
      <c r="AF96" s="391" t="str">
        <f ca="1">IFERROR(VLOOKUP($C96,COM_N_2012!$B$61:$AJ$122,MATCH(VLOOKUP("*"&amp;$AW96,$A$10:$J$11,$J$9,FALSE)&amp;AF$7,COM_N_2012!$B$58:$AJ$58,0),FALSE),"")</f>
        <v/>
      </c>
      <c r="AG96" s="391">
        <f ca="1">IF($A96="*","",IFERROR(VLOOKUP($C96,COM_N_2017!$B$61:$AJ$122,MATCH(VLOOKUP("*"&amp;$AW96,$A$10:$J$11,$J$9,FALSE)&amp;AG$7,COM_N_2017!$B$58:$AJ$58,0),FALSE),""))</f>
        <v>4.3110735418427715E-3</v>
      </c>
      <c r="AH96" s="391" t="str">
        <f ca="1">IFERROR(VLOOKUP($C96,COM_N_2012!$B$61:$AJ$122,MATCH(VLOOKUP("*"&amp;$AW96,$A$10:$J$11,$J$9,FALSE)&amp;AH$7,COM_N_2012!$B$58:$AJ$58,0),FALSE),"")</f>
        <v/>
      </c>
      <c r="AI96" s="391" t="str">
        <f ca="1">IFERROR(VLOOKUP($C96,COM_N_2012!$B$61:$AJ$122,MATCH(VLOOKUP("*"&amp;$AW96,$A$10:$J$11,$J$9,FALSE)&amp;AI$7,COM_N_2012!$B$58:$AJ$58,0),FALSE),"")</f>
        <v/>
      </c>
      <c r="AJ96" s="391" t="str">
        <f ca="1">IFERROR(VLOOKUP($C96,COM_N_2012!$B$61:$AJ$122,MATCH(VLOOKUP("*"&amp;$AW96,$A$10:$J$11,$J$9,FALSE)&amp;AJ$7,COM_N_2012!$B$58:$AJ$58,0),FALSE),"")</f>
        <v/>
      </c>
      <c r="AK96" s="391" t="str">
        <f ca="1">IFERROR(VLOOKUP($C96,COM_N_2012!$B$61:$AJ$122,MATCH(VLOOKUP("*"&amp;$AW96,$A$10:$J$11,$J$9,FALSE)&amp;AK$7,COM_N_2012!$B$58:$AJ$58,0),FALSE),"")</f>
        <v/>
      </c>
      <c r="AL96" s="391">
        <f ca="1">IF($A96="*","",IFERROR(VLOOKUP($C96,COM_N_2017!$B$61:$AJ$122,MATCH(VLOOKUP("*"&amp;$AW96,$A$10:$J$11,$J$9,FALSE)&amp;AL$7,COM_N_2017!$B$58:$AJ$58,0),FALSE),""))</f>
        <v>2.5866441251056627E-3</v>
      </c>
      <c r="AM96" s="391">
        <f ca="1">IF($A96="*","",IFERROR(VLOOKUP($C96,COM_N_2017!$B$61:$AJ$122,MATCH(VLOOKUP("*"&amp;$AW96,$A$10:$J$11,$J$9,FALSE)&amp;AM$7,COM_N_2017!$B$58:$AJ$58,0),FALSE),""))</f>
        <v>8.6221470836855439E-4</v>
      </c>
      <c r="AN96" s="391">
        <f ca="1">IF($A96="*","",IFERROR(VLOOKUP($C96,COM_N_2017!$B$61:$AJ$122,MATCH(VLOOKUP("*"&amp;$AW96,$A$10:$J$11,$J$9,FALSE)&amp;AN$7,COM_N_2017!$B$58:$AJ$58,0),FALSE),""))</f>
        <v>0</v>
      </c>
      <c r="AO96" s="391" t="str">
        <f ca="1">IFERROR(VLOOKUP($C96,COM_N_2012!$B$61:$AJ$122,MATCH(VLOOKUP("*"&amp;$AW96,$A$10:$J$11,$J$9,FALSE)&amp;AO$7,COM_N_2012!$B$58:$AJ$58,0),FALSE),"")</f>
        <v/>
      </c>
      <c r="AP96" s="391" t="str">
        <f ca="1">IFERROR(VLOOKUP($C96,COM_N_2012!$B$61:$AJ$122,MATCH(VLOOKUP("*"&amp;$AW96,$A$10:$J$11,$J$9,FALSE)&amp;AP$7,COM_N_2012!$B$58:$AJ$58,0),FALSE),"")</f>
        <v/>
      </c>
      <c r="AQ96" s="391" t="str">
        <f ca="1">IFERROR(VLOOKUP($C96,COM_N_2012!$B$61:$AJ$122,MATCH(VLOOKUP("*"&amp;$AW96,$A$10:$J$11,$J$9,FALSE)&amp;AQ$7,COM_N_2012!$B$58:$AJ$58,0),FALSE),"")</f>
        <v/>
      </c>
      <c r="AR96" s="391" t="str">
        <f ca="1">IFERROR(VLOOKUP($C96,COM_N_2012!$B$61:$AJ$122,MATCH(VLOOKUP("*"&amp;$AW96,$A$10:$J$11,$J$9,FALSE)&amp;AR$7,COM_N_2012!$B$58:$AJ$58,0),FALSE),"")</f>
        <v/>
      </c>
      <c r="AS96" s="391" t="str">
        <f ca="1">IFERROR(VLOOKUP($C96,COM_N_2012!$B$61:$AJ$122,MATCH(VLOOKUP("*"&amp;$AW96,$A$10:$J$11,$J$9,FALSE)&amp;AS$7,COM_N_2012!$B$58:$AJ$58,0),FALSE),"")</f>
        <v/>
      </c>
      <c r="AT96" s="391" t="str">
        <f ca="1">IFERROR(VLOOKUP($C96,COM_N_2012!$B$61:$AJ$122,MATCH(VLOOKUP("*"&amp;$AW96,$A$10:$J$11,$J$9,FALSE)&amp;AT$7,COM_N_2012!$B$58:$AJ$58,0),FALSE),"")</f>
        <v/>
      </c>
      <c r="AU96" s="391" t="str">
        <f ca="1">IFERROR(VLOOKUP($C96,COM_N_2012!$B$61:$AJ$122,MATCH(VLOOKUP("*"&amp;$AW96,$A$10:$J$11,$J$9,FALSE)&amp;AU$7,COM_N_2012!$B$58:$AJ$58,0),FALSE),"")</f>
        <v/>
      </c>
      <c r="AV96" s="391" t="str">
        <f ca="1">IFERROR(VLOOKUP($C96,COM_N_2012!$B$61:$AJ$122,MATCH(VLOOKUP("*"&amp;$AW96,$A$10:$J$11,$J$9,FALSE)&amp;AV$7,COM_N_2012!$B$58:$AJ$58,0),FALSE),"")</f>
        <v/>
      </c>
      <c r="AW96" s="304">
        <f>IF(AX95=COM_N_2012!$AK$121,AW95+1,AW95)</f>
        <v>2</v>
      </c>
      <c r="AX96" s="304">
        <f t="shared" si="13"/>
        <v>23</v>
      </c>
    </row>
    <row r="97" spans="1:50">
      <c r="A97" s="304" t="str">
        <f ca="1">IF(LEFT(OFFSET(COM_N_2012!$A$60,AX97,0),2)="\I","*","")</f>
        <v/>
      </c>
      <c r="B97" s="369" t="str">
        <f t="shared" ca="1" si="18"/>
        <v>FLO_MRKPRD</v>
      </c>
      <c r="C97" s="369" t="str">
        <f ca="1">IF($A97="*","",OFFSET(COM_N_2012!$B$60,AX97,0))</f>
        <v>CNLELCHID-E</v>
      </c>
      <c r="D97" s="369" t="str">
        <f t="shared" ca="1" si="19"/>
        <v>CNL</v>
      </c>
      <c r="E97" s="369" t="str">
        <f t="shared" ca="1" si="20"/>
        <v>-</v>
      </c>
      <c r="F97" s="370" t="str">
        <f t="shared" ref="F97:G123" ca="1" si="22">IF($A97="*","",VLOOKUP("*"&amp;$AW97,$A$10:$I$11,F$9,FALSE))</f>
        <v>-</v>
      </c>
      <c r="G97" s="370" t="str">
        <f t="shared" ca="1" si="22"/>
        <v>ANNUAL</v>
      </c>
      <c r="H97" s="370" t="str">
        <f t="shared" ca="1" si="21"/>
        <v>LO</v>
      </c>
      <c r="I97" s="370">
        <f t="shared" ca="1" si="21"/>
        <v>0</v>
      </c>
      <c r="J97" s="391">
        <f ca="1">IFERROR(VLOOKUP($C97,COM_N_2012!$B$61:$AJ$122,MATCH(VLOOKUP("*"&amp;$AW97,$A$10:$J$11,$J$9,FALSE)&amp;J$7,COM_N_2012!$B$58:$AJ$58,0),FALSE),"")</f>
        <v>0.22633136094674555</v>
      </c>
      <c r="K97" s="391" t="str">
        <f ca="1">IFERROR(VLOOKUP($C97,COM_N_2012!$B$61:$AJ$122,MATCH(VLOOKUP("*"&amp;$AW97,$A$10:$J$11,$J$9,FALSE)&amp;K$7,COM_N_2012!$B$58:$AJ$58,0),FALSE),"")</f>
        <v/>
      </c>
      <c r="L97" s="391" t="str">
        <f ca="1">IFERROR(VLOOKUP($C97,COM_N_2012!$B$61:$AJ$122,MATCH(VLOOKUP("*"&amp;$AW97,$A$10:$J$11,$J$9,FALSE)&amp;L$7,COM_N_2012!$B$58:$AJ$58,0),FALSE),"")</f>
        <v/>
      </c>
      <c r="M97" s="391">
        <f ca="1">IFERROR(VLOOKUP($C97,COM_N_2012!$B$61:$AJ$122,MATCH(VLOOKUP("*"&amp;$AW97,$A$10:$J$11,$J$9,FALSE)&amp;M$7,COM_N_2012!$B$58:$AJ$58,0),FALSE),"")</f>
        <v>0.18106508875739646</v>
      </c>
      <c r="N97" s="391" t="str">
        <f ca="1">IFERROR(VLOOKUP($C97,COM_N_2012!$B$61:$AJ$122,MATCH(VLOOKUP("*"&amp;$AW97,$A$10:$J$11,$J$9,FALSE)&amp;N$7,COM_N_2012!$B$58:$AJ$58,0),FALSE),"")</f>
        <v/>
      </c>
      <c r="O97" s="391">
        <f ca="1">IF($A97="*","",IFERROR(VLOOKUP($C97,COM_N_2017!$B$61:$AJ$122,MATCH(VLOOKUP("*"&amp;$AW97,$A$10:$J$11,$J$9,FALSE)&amp;O$7,COM_N_2017!$B$58:$AJ$58,0),FALSE),""))</f>
        <v>0.22633136094674555</v>
      </c>
      <c r="P97" s="391" t="str">
        <f ca="1">IFERROR(VLOOKUP($C97,COM_N_2012!$B$61:$AJ$122,MATCH(VLOOKUP("*"&amp;$AW97,$A$10:$J$11,$J$9,FALSE)&amp;P$7,COM_N_2012!$B$58:$AJ$58,0),FALSE),"")</f>
        <v/>
      </c>
      <c r="Q97" s="391" t="str">
        <f ca="1">IFERROR(VLOOKUP($C97,COM_N_2012!$B$61:$AJ$122,MATCH(VLOOKUP("*"&amp;$AW97,$A$10:$J$11,$J$9,FALSE)&amp;Q$7,COM_N_2012!$B$58:$AJ$58,0),FALSE),"")</f>
        <v/>
      </c>
      <c r="R97" s="391">
        <f ca="1">IF($A97="*","",IFERROR(VLOOKUP($C97,COM_N_2017!$B$61:$AJ$122,MATCH(VLOOKUP("*"&amp;$AW97,$A$10:$J$11,$J$9,FALSE)&amp;R$7,COM_N_2017!$B$58:$AJ$58,0),FALSE),""))</f>
        <v>0.21954142011834318</v>
      </c>
      <c r="S97" s="391" t="str">
        <f ca="1">IFERROR(VLOOKUP($C97,COM_N_2012!$B$61:$AJ$122,MATCH(VLOOKUP("*"&amp;$AW97,$A$10:$J$11,$J$9,FALSE)&amp;S$7,COM_N_2012!$B$58:$AJ$58,0),FALSE),"")</f>
        <v/>
      </c>
      <c r="T97" s="391" t="str">
        <f ca="1">IFERROR(VLOOKUP($C97,COM_N_2012!$B$61:$AJ$122,MATCH(VLOOKUP("*"&amp;$AW97,$A$10:$J$11,$J$9,FALSE)&amp;T$7,COM_N_2012!$B$58:$AJ$58,0),FALSE),"")</f>
        <v/>
      </c>
      <c r="U97" s="391" t="str">
        <f ca="1">IFERROR(VLOOKUP($C97,COM_N_2012!$B$61:$AJ$122,MATCH(VLOOKUP("*"&amp;$AW97,$A$10:$J$11,$J$9,FALSE)&amp;U$7,COM_N_2012!$B$58:$AJ$58,0),FALSE),"")</f>
        <v/>
      </c>
      <c r="V97" s="391" t="str">
        <f ca="1">IFERROR(VLOOKUP($C97,COM_N_2012!$B$61:$AJ$122,MATCH(VLOOKUP("*"&amp;$AW97,$A$10:$J$11,$J$9,FALSE)&amp;V$7,COM_N_2012!$B$58:$AJ$58,0),FALSE),"")</f>
        <v/>
      </c>
      <c r="W97" s="391">
        <f ca="1">IF($A97="*","",IFERROR(VLOOKUP($C97,COM_N_2017!$B$61:$AJ$122,MATCH(VLOOKUP("*"&amp;$AW97,$A$10:$J$11,$J$9,FALSE)&amp;W$7,COM_N_2017!$B$58:$AJ$58,0),FALSE),""))</f>
        <v>0.20369822485207101</v>
      </c>
      <c r="X97" s="391" t="str">
        <f ca="1">IFERROR(VLOOKUP($C97,COM_N_2012!$B$61:$AJ$122,MATCH(VLOOKUP("*"&amp;$AW97,$A$10:$J$11,$J$9,FALSE)&amp;X$7,COM_N_2012!$B$58:$AJ$58,0),FALSE),"")</f>
        <v/>
      </c>
      <c r="Y97" s="391" t="str">
        <f ca="1">IFERROR(VLOOKUP($C97,COM_N_2012!$B$61:$AJ$122,MATCH(VLOOKUP("*"&amp;$AW97,$A$10:$J$11,$J$9,FALSE)&amp;Y$7,COM_N_2012!$B$58:$AJ$58,0),FALSE),"")</f>
        <v/>
      </c>
      <c r="Z97" s="391" t="str">
        <f ca="1">IFERROR(VLOOKUP($C97,COM_N_2012!$B$61:$AJ$122,MATCH(VLOOKUP("*"&amp;$AW97,$A$10:$J$11,$J$9,FALSE)&amp;Z$7,COM_N_2012!$B$58:$AJ$58,0),FALSE),"")</f>
        <v/>
      </c>
      <c r="AA97" s="391" t="str">
        <f ca="1">IFERROR(VLOOKUP($C97,COM_N_2012!$B$61:$AJ$122,MATCH(VLOOKUP("*"&amp;$AW97,$A$10:$J$11,$J$9,FALSE)&amp;AA$7,COM_N_2012!$B$58:$AJ$58,0),FALSE),"")</f>
        <v/>
      </c>
      <c r="AB97" s="391">
        <f ca="1">IF($A97="*","",IFERROR(VLOOKUP($C97,COM_N_2017!$B$61:$AJ$122,MATCH(VLOOKUP("*"&amp;$AW97,$A$10:$J$11,$J$9,FALSE)&amp;AB$7,COM_N_2017!$B$58:$AJ$58,0),FALSE),""))</f>
        <v>0.15843195266272186</v>
      </c>
      <c r="AC97" s="391" t="str">
        <f ca="1">IFERROR(VLOOKUP($C97,COM_N_2012!$B$61:$AJ$122,MATCH(VLOOKUP("*"&amp;$AW97,$A$10:$J$11,$J$9,FALSE)&amp;AC$7,COM_N_2012!$B$58:$AJ$58,0),FALSE),"")</f>
        <v/>
      </c>
      <c r="AD97" s="391" t="str">
        <f ca="1">IFERROR(VLOOKUP($C97,COM_N_2012!$B$61:$AJ$122,MATCH(VLOOKUP("*"&amp;$AW97,$A$10:$J$11,$J$9,FALSE)&amp;AD$7,COM_N_2012!$B$58:$AJ$58,0),FALSE),"")</f>
        <v/>
      </c>
      <c r="AE97" s="391" t="str">
        <f ca="1">IFERROR(VLOOKUP($C97,COM_N_2012!$B$61:$AJ$122,MATCH(VLOOKUP("*"&amp;$AW97,$A$10:$J$11,$J$9,FALSE)&amp;AE$7,COM_N_2012!$B$58:$AJ$58,0),FALSE),"")</f>
        <v/>
      </c>
      <c r="AF97" s="391" t="str">
        <f ca="1">IFERROR(VLOOKUP($C97,COM_N_2012!$B$61:$AJ$122,MATCH(VLOOKUP("*"&amp;$AW97,$A$10:$J$11,$J$9,FALSE)&amp;AF$7,COM_N_2012!$B$58:$AJ$58,0),FALSE),"")</f>
        <v/>
      </c>
      <c r="AG97" s="391">
        <f ca="1">IF($A97="*","",IFERROR(VLOOKUP($C97,COM_N_2017!$B$61:$AJ$122,MATCH(VLOOKUP("*"&amp;$AW97,$A$10:$J$11,$J$9,FALSE)&amp;AG$7,COM_N_2017!$B$58:$AJ$58,0),FALSE),""))</f>
        <v>0.11316568047337278</v>
      </c>
      <c r="AH97" s="391" t="str">
        <f ca="1">IFERROR(VLOOKUP($C97,COM_N_2012!$B$61:$AJ$122,MATCH(VLOOKUP("*"&amp;$AW97,$A$10:$J$11,$J$9,FALSE)&amp;AH$7,COM_N_2012!$B$58:$AJ$58,0),FALSE),"")</f>
        <v/>
      </c>
      <c r="AI97" s="391" t="str">
        <f ca="1">IFERROR(VLOOKUP($C97,COM_N_2012!$B$61:$AJ$122,MATCH(VLOOKUP("*"&amp;$AW97,$A$10:$J$11,$J$9,FALSE)&amp;AI$7,COM_N_2012!$B$58:$AJ$58,0),FALSE),"")</f>
        <v/>
      </c>
      <c r="AJ97" s="391" t="str">
        <f ca="1">IFERROR(VLOOKUP($C97,COM_N_2012!$B$61:$AJ$122,MATCH(VLOOKUP("*"&amp;$AW97,$A$10:$J$11,$J$9,FALSE)&amp;AJ$7,COM_N_2012!$B$58:$AJ$58,0),FALSE),"")</f>
        <v/>
      </c>
      <c r="AK97" s="391" t="str">
        <f ca="1">IFERROR(VLOOKUP($C97,COM_N_2012!$B$61:$AJ$122,MATCH(VLOOKUP("*"&amp;$AW97,$A$10:$J$11,$J$9,FALSE)&amp;AK$7,COM_N_2012!$B$58:$AJ$58,0),FALSE),"")</f>
        <v/>
      </c>
      <c r="AL97" s="391">
        <f ca="1">IF($A97="*","",IFERROR(VLOOKUP($C97,COM_N_2017!$B$61:$AJ$122,MATCH(VLOOKUP("*"&amp;$AW97,$A$10:$J$11,$J$9,FALSE)&amp;AL$7,COM_N_2017!$B$58:$AJ$58,0),FALSE),""))</f>
        <v>6.789940828402366E-2</v>
      </c>
      <c r="AM97" s="391">
        <f ca="1">IF($A97="*","",IFERROR(VLOOKUP($C97,COM_N_2017!$B$61:$AJ$122,MATCH(VLOOKUP("*"&amp;$AW97,$A$10:$J$11,$J$9,FALSE)&amp;AM$7,COM_N_2017!$B$58:$AJ$58,0),FALSE),""))</f>
        <v>2.2633136094674558E-2</v>
      </c>
      <c r="AN97" s="391">
        <f ca="1">IF($A97="*","",IFERROR(VLOOKUP($C97,COM_N_2017!$B$61:$AJ$122,MATCH(VLOOKUP("*"&amp;$AW97,$A$10:$J$11,$J$9,FALSE)&amp;AN$7,COM_N_2017!$B$58:$AJ$58,0),FALSE),""))</f>
        <v>0</v>
      </c>
      <c r="AO97" s="391" t="str">
        <f ca="1">IFERROR(VLOOKUP($C97,COM_N_2012!$B$61:$AJ$122,MATCH(VLOOKUP("*"&amp;$AW97,$A$10:$J$11,$J$9,FALSE)&amp;AO$7,COM_N_2012!$B$58:$AJ$58,0),FALSE),"")</f>
        <v/>
      </c>
      <c r="AP97" s="391" t="str">
        <f ca="1">IFERROR(VLOOKUP($C97,COM_N_2012!$B$61:$AJ$122,MATCH(VLOOKUP("*"&amp;$AW97,$A$10:$J$11,$J$9,FALSE)&amp;AP$7,COM_N_2012!$B$58:$AJ$58,0),FALSE),"")</f>
        <v/>
      </c>
      <c r="AQ97" s="391" t="str">
        <f ca="1">IFERROR(VLOOKUP($C97,COM_N_2012!$B$61:$AJ$122,MATCH(VLOOKUP("*"&amp;$AW97,$A$10:$J$11,$J$9,FALSE)&amp;AQ$7,COM_N_2012!$B$58:$AJ$58,0),FALSE),"")</f>
        <v/>
      </c>
      <c r="AR97" s="391" t="str">
        <f ca="1">IFERROR(VLOOKUP($C97,COM_N_2012!$B$61:$AJ$122,MATCH(VLOOKUP("*"&amp;$AW97,$A$10:$J$11,$J$9,FALSE)&amp;AR$7,COM_N_2012!$B$58:$AJ$58,0),FALSE),"")</f>
        <v/>
      </c>
      <c r="AS97" s="391" t="str">
        <f ca="1">IFERROR(VLOOKUP($C97,COM_N_2012!$B$61:$AJ$122,MATCH(VLOOKUP("*"&amp;$AW97,$A$10:$J$11,$J$9,FALSE)&amp;AS$7,COM_N_2012!$B$58:$AJ$58,0),FALSE),"")</f>
        <v/>
      </c>
      <c r="AT97" s="391" t="str">
        <f ca="1">IFERROR(VLOOKUP($C97,COM_N_2012!$B$61:$AJ$122,MATCH(VLOOKUP("*"&amp;$AW97,$A$10:$J$11,$J$9,FALSE)&amp;AT$7,COM_N_2012!$B$58:$AJ$58,0),FALSE),"")</f>
        <v/>
      </c>
      <c r="AU97" s="391" t="str">
        <f ca="1">IFERROR(VLOOKUP($C97,COM_N_2012!$B$61:$AJ$122,MATCH(VLOOKUP("*"&amp;$AW97,$A$10:$J$11,$J$9,FALSE)&amp;AU$7,COM_N_2012!$B$58:$AJ$58,0),FALSE),"")</f>
        <v/>
      </c>
      <c r="AV97" s="391" t="str">
        <f ca="1">IFERROR(VLOOKUP($C97,COM_N_2012!$B$61:$AJ$122,MATCH(VLOOKUP("*"&amp;$AW97,$A$10:$J$11,$J$9,FALSE)&amp;AV$7,COM_N_2012!$B$58:$AJ$58,0),FALSE),"")</f>
        <v/>
      </c>
      <c r="AW97" s="304">
        <f>IF(AX96=COM_N_2012!$AK$121,AW96+1,AW96)</f>
        <v>2</v>
      </c>
      <c r="AX97" s="304">
        <f t="shared" si="13"/>
        <v>24</v>
      </c>
    </row>
    <row r="98" spans="1:50">
      <c r="A98" s="304" t="str">
        <f ca="1">IF(LEFT(OFFSET(COM_N_2012!$A$60,AX98,0),2)="\I","*","")</f>
        <v/>
      </c>
      <c r="B98" s="369" t="str">
        <f t="shared" ca="1" si="18"/>
        <v>FLO_MRKPRD</v>
      </c>
      <c r="C98" s="369" t="str">
        <f ca="1">IF($A98="*","",OFFSET(COM_N_2012!$B$60,AX98,0))</f>
        <v>CNLELCINC-E</v>
      </c>
      <c r="D98" s="369" t="str">
        <f t="shared" ca="1" si="19"/>
        <v>CNL</v>
      </c>
      <c r="E98" s="369" t="str">
        <f t="shared" ca="1" si="20"/>
        <v>-</v>
      </c>
      <c r="F98" s="370" t="str">
        <f t="shared" ca="1" si="22"/>
        <v>-</v>
      </c>
      <c r="G98" s="370" t="str">
        <f t="shared" ca="1" si="22"/>
        <v>ANNUAL</v>
      </c>
      <c r="H98" s="370" t="str">
        <f t="shared" ca="1" si="21"/>
        <v>LO</v>
      </c>
      <c r="I98" s="370">
        <f t="shared" ca="1" si="21"/>
        <v>0</v>
      </c>
      <c r="J98" s="391">
        <f ca="1">IFERROR(VLOOKUP($C98,COM_N_2012!$B$61:$AJ$122,MATCH(VLOOKUP("*"&amp;$AW98,$A$10:$J$11,$J$9,FALSE)&amp;J$7,COM_N_2012!$B$58:$AJ$58,0),FALSE),"")</f>
        <v>1.5088757396449704E-2</v>
      </c>
      <c r="K98" s="391" t="str">
        <f ca="1">IFERROR(VLOOKUP($C98,COM_N_2012!$B$62:$AJ$122,MATCH(VLOOKUP("*"&amp;$AW98,$A$10:$J$11,$J$9,FALSE)&amp;K$7,COM_N_2012!$B$58:$AJ$58,0),FALSE),"")</f>
        <v/>
      </c>
      <c r="L98" s="391" t="str">
        <f ca="1">IFERROR(VLOOKUP($C98,COM_N_2012!$B$62:$AJ$122,MATCH(VLOOKUP("*"&amp;$AW98,$A$10:$J$11,$J$9,FALSE)&amp;L$7,COM_N_2012!$B$58:$AJ$58,0),FALSE),"")</f>
        <v/>
      </c>
      <c r="M98" s="391">
        <f ca="1">IFERROR(VLOOKUP($C98,COM_N_2012!$B$62:$AJ$122,MATCH(VLOOKUP("*"&amp;$AW98,$A$10:$J$11,$J$9,FALSE)&amp;M$7,COM_N_2012!$B$58:$AJ$58,0),FALSE),"")</f>
        <v>1.2071005917159764E-2</v>
      </c>
      <c r="N98" s="391" t="str">
        <f ca="1">IFERROR(VLOOKUP($C98,COM_N_2012!$B$62:$AJ$122,MATCH(VLOOKUP("*"&amp;$AW98,$A$10:$J$11,$J$9,FALSE)&amp;N$7,COM_N_2012!$B$58:$AJ$58,0),FALSE),"")</f>
        <v/>
      </c>
      <c r="O98" s="391">
        <f ca="1">IF($A98="*","",IFERROR(VLOOKUP($C98,COM_N_2017!$B$61:$AJ$122,MATCH(VLOOKUP("*"&amp;$AW98,$A$10:$J$11,$J$9,FALSE)&amp;O$7,COM_N_2017!$B$58:$AJ$58,0),FALSE),""))</f>
        <v>1.5088757396449704E-2</v>
      </c>
      <c r="P98" s="391" t="str">
        <f ca="1">IFERROR(VLOOKUP($C98,COM_N_2012!$B$62:$AJ$122,MATCH(VLOOKUP("*"&amp;$AW98,$A$10:$J$11,$J$9,FALSE)&amp;P$7,COM_N_2012!$B$58:$AJ$58,0),FALSE),"")</f>
        <v/>
      </c>
      <c r="Q98" s="391" t="str">
        <f ca="1">IFERROR(VLOOKUP($C98,COM_N_2012!$B$62:$AJ$122,MATCH(VLOOKUP("*"&amp;$AW98,$A$10:$J$11,$J$9,FALSE)&amp;Q$7,COM_N_2012!$B$58:$AJ$58,0),FALSE),"")</f>
        <v/>
      </c>
      <c r="R98" s="391">
        <f ca="1">IF($A98="*","",IFERROR(VLOOKUP($C98,COM_N_2017!$B$61:$AJ$122,MATCH(VLOOKUP("*"&amp;$AW98,$A$10:$J$11,$J$9,FALSE)&amp;R$7,COM_N_2017!$B$58:$AJ$58,0),FALSE),""))</f>
        <v>1.4636094674556214E-2</v>
      </c>
      <c r="S98" s="391" t="str">
        <f ca="1">IFERROR(VLOOKUP($C98,COM_N_2012!$B$62:$AJ$122,MATCH(VLOOKUP("*"&amp;$AW98,$A$10:$J$11,$J$9,FALSE)&amp;S$7,COM_N_2012!$B$58:$AJ$58,0),FALSE),"")</f>
        <v/>
      </c>
      <c r="T98" s="391" t="str">
        <f ca="1">IFERROR(VLOOKUP($C98,COM_N_2012!$B$62:$AJ$122,MATCH(VLOOKUP("*"&amp;$AW98,$A$10:$J$11,$J$9,FALSE)&amp;T$7,COM_N_2012!$B$58:$AJ$58,0),FALSE),"")</f>
        <v/>
      </c>
      <c r="U98" s="391" t="str">
        <f ca="1">IFERROR(VLOOKUP($C98,COM_N_2012!$B$62:$AJ$122,MATCH(VLOOKUP("*"&amp;$AW98,$A$10:$J$11,$J$9,FALSE)&amp;U$7,COM_N_2012!$B$58:$AJ$58,0),FALSE),"")</f>
        <v/>
      </c>
      <c r="V98" s="391" t="str">
        <f ca="1">IFERROR(VLOOKUP($C98,COM_N_2012!$B$62:$AJ$122,MATCH(VLOOKUP("*"&amp;$AW98,$A$10:$J$11,$J$9,FALSE)&amp;V$7,COM_N_2012!$B$58:$AJ$58,0),FALSE),"")</f>
        <v/>
      </c>
      <c r="W98" s="391">
        <f ca="1">IF($A98="*","",IFERROR(VLOOKUP($C98,COM_N_2017!$B$61:$AJ$122,MATCH(VLOOKUP("*"&amp;$AW98,$A$10:$J$11,$J$9,FALSE)&amp;W$7,COM_N_2017!$B$58:$AJ$58,0),FALSE),""))</f>
        <v>0</v>
      </c>
      <c r="X98" s="391" t="str">
        <f ca="1">IFERROR(VLOOKUP($C98,COM_N_2012!$B$62:$AJ$122,MATCH(VLOOKUP("*"&amp;$AW98,$A$10:$J$11,$J$9,FALSE)&amp;X$7,COM_N_2012!$B$58:$AJ$58,0),FALSE),"")</f>
        <v/>
      </c>
      <c r="Y98" s="391" t="str">
        <f ca="1">IFERROR(VLOOKUP($C98,COM_N_2012!$B$62:$AJ$122,MATCH(VLOOKUP("*"&amp;$AW98,$A$10:$J$11,$J$9,FALSE)&amp;Y$7,COM_N_2012!$B$58:$AJ$58,0),FALSE),"")</f>
        <v/>
      </c>
      <c r="Z98" s="391" t="str">
        <f ca="1">IFERROR(VLOOKUP($C98,COM_N_2012!$B$62:$AJ$122,MATCH(VLOOKUP("*"&amp;$AW98,$A$10:$J$11,$J$9,FALSE)&amp;Z$7,COM_N_2012!$B$58:$AJ$58,0),FALSE),"")</f>
        <v/>
      </c>
      <c r="AA98" s="391" t="str">
        <f ca="1">IFERROR(VLOOKUP($C98,COM_N_2012!$B$62:$AJ$122,MATCH(VLOOKUP("*"&amp;$AW98,$A$10:$J$11,$J$9,FALSE)&amp;AA$7,COM_N_2012!$B$58:$AJ$58,0),FALSE),"")</f>
        <v/>
      </c>
      <c r="AB98" s="391">
        <f ca="1">IF($A98="*","",IFERROR(VLOOKUP($C98,COM_N_2017!$B$61:$AJ$122,MATCH(VLOOKUP("*"&amp;$AW98,$A$10:$J$11,$J$9,FALSE)&amp;AB$7,COM_N_2017!$B$58:$AJ$58,0),FALSE),""))</f>
        <v>0</v>
      </c>
      <c r="AC98" s="391" t="str">
        <f ca="1">IFERROR(VLOOKUP($C98,COM_N_2012!$B$62:$AJ$122,MATCH(VLOOKUP("*"&amp;$AW98,$A$10:$J$11,$J$9,FALSE)&amp;AC$7,COM_N_2012!$B$58:$AJ$58,0),FALSE),"")</f>
        <v/>
      </c>
      <c r="AD98" s="391" t="str">
        <f ca="1">IFERROR(VLOOKUP($C98,COM_N_2012!$B$62:$AJ$122,MATCH(VLOOKUP("*"&amp;$AW98,$A$10:$J$11,$J$9,FALSE)&amp;AD$7,COM_N_2012!$B$58:$AJ$58,0),FALSE),"")</f>
        <v/>
      </c>
      <c r="AE98" s="391" t="str">
        <f ca="1">IFERROR(VLOOKUP($C98,COM_N_2012!$B$62:$AJ$122,MATCH(VLOOKUP("*"&amp;$AW98,$A$10:$J$11,$J$9,FALSE)&amp;AE$7,COM_N_2012!$B$58:$AJ$58,0),FALSE),"")</f>
        <v/>
      </c>
      <c r="AF98" s="391" t="str">
        <f ca="1">IFERROR(VLOOKUP($C98,COM_N_2012!$B$62:$AJ$122,MATCH(VLOOKUP("*"&amp;$AW98,$A$10:$J$11,$J$9,FALSE)&amp;AF$7,COM_N_2012!$B$58:$AJ$58,0),FALSE),"")</f>
        <v/>
      </c>
      <c r="AG98" s="391">
        <f ca="1">IF($A98="*","",IFERROR(VLOOKUP($C98,COM_N_2017!$B$61:$AJ$122,MATCH(VLOOKUP("*"&amp;$AW98,$A$10:$J$11,$J$9,FALSE)&amp;AG$7,COM_N_2017!$B$58:$AJ$58,0),FALSE),""))</f>
        <v>0</v>
      </c>
      <c r="AH98" s="391" t="str">
        <f ca="1">IFERROR(VLOOKUP($C98,COM_N_2012!$B$62:$AJ$122,MATCH(VLOOKUP("*"&amp;$AW98,$A$10:$J$11,$J$9,FALSE)&amp;AH$7,COM_N_2012!$B$58:$AJ$58,0),FALSE),"")</f>
        <v/>
      </c>
      <c r="AI98" s="391" t="str">
        <f ca="1">IFERROR(VLOOKUP($C98,COM_N_2012!$B$62:$AJ$122,MATCH(VLOOKUP("*"&amp;$AW98,$A$10:$J$11,$J$9,FALSE)&amp;AI$7,COM_N_2012!$B$58:$AJ$58,0),FALSE),"")</f>
        <v/>
      </c>
      <c r="AJ98" s="391" t="str">
        <f ca="1">IFERROR(VLOOKUP($C98,COM_N_2012!$B$62:$AJ$122,MATCH(VLOOKUP("*"&amp;$AW98,$A$10:$J$11,$J$9,FALSE)&amp;AJ$7,COM_N_2012!$B$58:$AJ$58,0),FALSE),"")</f>
        <v/>
      </c>
      <c r="AK98" s="391" t="str">
        <f ca="1">IFERROR(VLOOKUP($C98,COM_N_2012!$B$62:$AJ$122,MATCH(VLOOKUP("*"&amp;$AW98,$A$10:$J$11,$J$9,FALSE)&amp;AK$7,COM_N_2012!$B$58:$AJ$58,0),FALSE),"")</f>
        <v/>
      </c>
      <c r="AL98" s="391">
        <f ca="1">IF($A98="*","",IFERROR(VLOOKUP($C98,COM_N_2017!$B$61:$AJ$122,MATCH(VLOOKUP("*"&amp;$AW98,$A$10:$J$11,$J$9,FALSE)&amp;AL$7,COM_N_2017!$B$58:$AJ$58,0),FALSE),""))</f>
        <v>0</v>
      </c>
      <c r="AM98" s="391">
        <f ca="1">IF($A98="*","",IFERROR(VLOOKUP($C98,COM_N_2017!$B$61:$AJ$122,MATCH(VLOOKUP("*"&amp;$AW98,$A$10:$J$11,$J$9,FALSE)&amp;AM$7,COM_N_2017!$B$58:$AJ$58,0),FALSE),""))</f>
        <v>0</v>
      </c>
      <c r="AN98" s="391">
        <f ca="1">IF($A98="*","",IFERROR(VLOOKUP($C98,COM_N_2017!$B$61:$AJ$122,MATCH(VLOOKUP("*"&amp;$AW98,$A$10:$J$11,$J$9,FALSE)&amp;AN$7,COM_N_2017!$B$58:$AJ$58,0),FALSE),""))</f>
        <v>0</v>
      </c>
      <c r="AO98" s="391" t="str">
        <f ca="1">IFERROR(VLOOKUP($C98,COM_N_2012!$B$62:$AJ$122,MATCH(VLOOKUP("*"&amp;$AW98,$A$10:$J$11,$J$9,FALSE)&amp;AO$7,COM_N_2012!$B$58:$AJ$58,0),FALSE),"")</f>
        <v/>
      </c>
      <c r="AP98" s="391" t="str">
        <f ca="1">IFERROR(VLOOKUP($C98,COM_N_2012!$B$62:$AJ$122,MATCH(VLOOKUP("*"&amp;$AW98,$A$10:$J$11,$J$9,FALSE)&amp;AP$7,COM_N_2012!$B$58:$AJ$58,0),FALSE),"")</f>
        <v/>
      </c>
      <c r="AQ98" s="391" t="str">
        <f ca="1">IFERROR(VLOOKUP($C98,COM_N_2012!$B$62:$AJ$122,MATCH(VLOOKUP("*"&amp;$AW98,$A$10:$J$11,$J$9,FALSE)&amp;AQ$7,COM_N_2012!$B$58:$AJ$58,0),FALSE),"")</f>
        <v/>
      </c>
      <c r="AR98" s="391" t="str">
        <f ca="1">IFERROR(VLOOKUP($C98,COM_N_2012!$B$62:$AJ$122,MATCH(VLOOKUP("*"&amp;$AW98,$A$10:$J$11,$J$9,FALSE)&amp;AR$7,COM_N_2012!$B$58:$AJ$58,0),FALSE),"")</f>
        <v/>
      </c>
      <c r="AS98" s="391" t="str">
        <f ca="1">IFERROR(VLOOKUP($C98,COM_N_2012!$B$62:$AJ$122,MATCH(VLOOKUP("*"&amp;$AW98,$A$10:$J$11,$J$9,FALSE)&amp;AS$7,COM_N_2012!$B$58:$AJ$58,0),FALSE),"")</f>
        <v/>
      </c>
      <c r="AT98" s="391" t="str">
        <f ca="1">IFERROR(VLOOKUP($C98,COM_N_2012!$B$62:$AJ$122,MATCH(VLOOKUP("*"&amp;$AW98,$A$10:$J$11,$J$9,FALSE)&amp;AT$7,COM_N_2012!$B$58:$AJ$58,0),FALSE),"")</f>
        <v/>
      </c>
      <c r="AU98" s="391" t="str">
        <f ca="1">IFERROR(VLOOKUP($C98,COM_N_2012!$B$62:$AJ$122,MATCH(VLOOKUP("*"&amp;$AW98,$A$10:$J$11,$J$9,FALSE)&amp;AU$7,COM_N_2012!$B$58:$AJ$58,0),FALSE),"")</f>
        <v/>
      </c>
      <c r="AV98" s="391" t="str">
        <f ca="1">IFERROR(VLOOKUP($C98,COM_N_2012!$B$62:$AJ$122,MATCH(VLOOKUP("*"&amp;$AW98,$A$10:$J$11,$J$9,FALSE)&amp;AV$7,COM_N_2012!$B$58:$AJ$58,0),FALSE),"")</f>
        <v/>
      </c>
      <c r="AW98" s="304">
        <f>IF(AX97=COM_N_2012!$AK$121,AW97+1,AW97)</f>
        <v>2</v>
      </c>
      <c r="AX98" s="304">
        <f t="shared" si="13"/>
        <v>25</v>
      </c>
    </row>
    <row r="99" spans="1:50">
      <c r="A99" s="304" t="str">
        <f ca="1">IF(LEFT(OFFSET(COM_N_2012!$A$60,AX99,0),2)="\I","*","")</f>
        <v/>
      </c>
      <c r="B99" s="369" t="str">
        <f t="shared" ca="1" si="18"/>
        <v>FLO_MRKPRD</v>
      </c>
      <c r="C99" s="369" t="str">
        <f ca="1">IF($A99="*","",OFFSET(COM_N_2012!$B$60,AX99,0))</f>
        <v>CNLELCLED-N</v>
      </c>
      <c r="D99" s="369" t="str">
        <f t="shared" ca="1" si="19"/>
        <v>CNL</v>
      </c>
      <c r="E99" s="369" t="str">
        <f t="shared" ca="1" si="20"/>
        <v>-</v>
      </c>
      <c r="F99" s="370" t="str">
        <f t="shared" ca="1" si="22"/>
        <v>-</v>
      </c>
      <c r="G99" s="370" t="str">
        <f t="shared" ca="1" si="22"/>
        <v>ANNUAL</v>
      </c>
      <c r="H99" s="370" t="str">
        <f t="shared" ca="1" si="21"/>
        <v>LO</v>
      </c>
      <c r="I99" s="370">
        <f t="shared" ca="1" si="21"/>
        <v>0</v>
      </c>
      <c r="J99" s="391">
        <f ca="1">IFERROR(VLOOKUP($C99,COM_N_2012!$B$61:$AJ$122,MATCH(VLOOKUP("*"&amp;$AW99,$A$10:$J$11,$J$9,FALSE)&amp;J$7,COM_N_2012!$B$58:$AJ$58,0),FALSE),"")</f>
        <v>0</v>
      </c>
      <c r="K99" s="391" t="str">
        <f ca="1">IFERROR(VLOOKUP($C99,COM_N_2012!$B$62:$AJ$122,MATCH(VLOOKUP("*"&amp;$AW99,$A$10:$J$11,$J$9,FALSE)&amp;K$7,COM_N_2012!$B$58:$AJ$58,0),FALSE),"")</f>
        <v/>
      </c>
      <c r="L99" s="391" t="str">
        <f ca="1">IFERROR(VLOOKUP($C99,COM_N_2012!$B$62:$AJ$122,MATCH(VLOOKUP("*"&amp;$AW99,$A$10:$J$11,$J$9,FALSE)&amp;L$7,COM_N_2012!$B$58:$AJ$58,0),FALSE),"")</f>
        <v/>
      </c>
      <c r="M99" s="391">
        <f ca="1">IFERROR(VLOOKUP($C99,COM_N_2012!$B$62:$AJ$122,MATCH(VLOOKUP("*"&amp;$AW99,$A$10:$J$11,$J$9,FALSE)&amp;M$7,COM_N_2012!$B$58:$AJ$58,0),FALSE),"")</f>
        <v>0</v>
      </c>
      <c r="N99" s="391" t="str">
        <f ca="1">IFERROR(VLOOKUP($C99,COM_N_2012!$B$62:$AJ$122,MATCH(VLOOKUP("*"&amp;$AW99,$A$10:$J$11,$J$9,FALSE)&amp;N$7,COM_N_2012!$B$58:$AJ$58,0),FALSE),"")</f>
        <v/>
      </c>
      <c r="O99" s="391">
        <f ca="1">IF($A99="*","",IFERROR(VLOOKUP($C99,COM_N_2017!$B$61:$AJ$122,MATCH(VLOOKUP("*"&amp;$AW99,$A$10:$J$11,$J$9,FALSE)&amp;O$7,COM_N_2017!$B$58:$AJ$58,0),FALSE),""))</f>
        <v>0</v>
      </c>
      <c r="P99" s="391" t="str">
        <f ca="1">IFERROR(VLOOKUP($C99,COM_N_2012!$B$62:$AJ$122,MATCH(VLOOKUP("*"&amp;$AW99,$A$10:$J$11,$J$9,FALSE)&amp;P$7,COM_N_2012!$B$58:$AJ$58,0),FALSE),"")</f>
        <v/>
      </c>
      <c r="Q99" s="391" t="str">
        <f ca="1">IFERROR(VLOOKUP($C99,COM_N_2012!$B$62:$AJ$122,MATCH(VLOOKUP("*"&amp;$AW99,$A$10:$J$11,$J$9,FALSE)&amp;Q$7,COM_N_2012!$B$58:$AJ$58,0),FALSE),"")</f>
        <v/>
      </c>
      <c r="R99" s="391">
        <f ca="1">IF($A99="*","",IFERROR(VLOOKUP($C99,COM_N_2017!$B$61:$AJ$122,MATCH(VLOOKUP("*"&amp;$AW99,$A$10:$J$11,$J$9,FALSE)&amp;R$7,COM_N_2017!$B$58:$AJ$58,0),FALSE),""))</f>
        <v>0</v>
      </c>
      <c r="S99" s="391" t="str">
        <f ca="1">IFERROR(VLOOKUP($C99,COM_N_2012!$B$62:$AJ$122,MATCH(VLOOKUP("*"&amp;$AW99,$A$10:$J$11,$J$9,FALSE)&amp;S$7,COM_N_2012!$B$58:$AJ$58,0),FALSE),"")</f>
        <v/>
      </c>
      <c r="T99" s="391" t="str">
        <f ca="1">IFERROR(VLOOKUP($C99,COM_N_2012!$B$62:$AJ$122,MATCH(VLOOKUP("*"&amp;$AW99,$A$10:$J$11,$J$9,FALSE)&amp;T$7,COM_N_2012!$B$58:$AJ$58,0),FALSE),"")</f>
        <v/>
      </c>
      <c r="U99" s="391" t="str">
        <f ca="1">IFERROR(VLOOKUP($C99,COM_N_2012!$B$62:$AJ$122,MATCH(VLOOKUP("*"&amp;$AW99,$A$10:$J$11,$J$9,FALSE)&amp;U$7,COM_N_2012!$B$58:$AJ$58,0),FALSE),"")</f>
        <v/>
      </c>
      <c r="V99" s="391" t="str">
        <f ca="1">IFERROR(VLOOKUP($C99,COM_N_2012!$B$62:$AJ$122,MATCH(VLOOKUP("*"&amp;$AW99,$A$10:$J$11,$J$9,FALSE)&amp;V$7,COM_N_2012!$B$58:$AJ$58,0),FALSE),"")</f>
        <v/>
      </c>
      <c r="W99" s="391">
        <f ca="1">IF($A99="*","",IFERROR(VLOOKUP($C99,COM_N_2017!$B$61:$AJ$122,MATCH(VLOOKUP("*"&amp;$AW99,$A$10:$J$11,$J$9,FALSE)&amp;W$7,COM_N_2017!$B$58:$AJ$58,0),FALSE),""))</f>
        <v>0</v>
      </c>
      <c r="X99" s="391" t="str">
        <f ca="1">IFERROR(VLOOKUP($C99,COM_N_2012!$B$62:$AJ$122,MATCH(VLOOKUP("*"&amp;$AW99,$A$10:$J$11,$J$9,FALSE)&amp;X$7,COM_N_2012!$B$58:$AJ$58,0),FALSE),"")</f>
        <v/>
      </c>
      <c r="Y99" s="391" t="str">
        <f ca="1">IFERROR(VLOOKUP($C99,COM_N_2012!$B$62:$AJ$122,MATCH(VLOOKUP("*"&amp;$AW99,$A$10:$J$11,$J$9,FALSE)&amp;Y$7,COM_N_2012!$B$58:$AJ$58,0),FALSE),"")</f>
        <v/>
      </c>
      <c r="Z99" s="391" t="str">
        <f ca="1">IFERROR(VLOOKUP($C99,COM_N_2012!$B$62:$AJ$122,MATCH(VLOOKUP("*"&amp;$AW99,$A$10:$J$11,$J$9,FALSE)&amp;Z$7,COM_N_2012!$B$58:$AJ$58,0),FALSE),"")</f>
        <v/>
      </c>
      <c r="AA99" s="391" t="str">
        <f ca="1">IFERROR(VLOOKUP($C99,COM_N_2012!$B$62:$AJ$122,MATCH(VLOOKUP("*"&amp;$AW99,$A$10:$J$11,$J$9,FALSE)&amp;AA$7,COM_N_2012!$B$58:$AJ$58,0),FALSE),"")</f>
        <v/>
      </c>
      <c r="AB99" s="391">
        <f ca="1">IF($A99="*","",IFERROR(VLOOKUP($C99,COM_N_2017!$B$61:$AJ$122,MATCH(VLOOKUP("*"&amp;$AW99,$A$10:$J$11,$J$9,FALSE)&amp;AB$7,COM_N_2017!$B$58:$AJ$58,0),FALSE),""))</f>
        <v>0</v>
      </c>
      <c r="AC99" s="391" t="str">
        <f ca="1">IFERROR(VLOOKUP($C99,COM_N_2012!$B$62:$AJ$122,MATCH(VLOOKUP("*"&amp;$AW99,$A$10:$J$11,$J$9,FALSE)&amp;AC$7,COM_N_2012!$B$58:$AJ$58,0),FALSE),"")</f>
        <v/>
      </c>
      <c r="AD99" s="391" t="str">
        <f ca="1">IFERROR(VLOOKUP($C99,COM_N_2012!$B$62:$AJ$122,MATCH(VLOOKUP("*"&amp;$AW99,$A$10:$J$11,$J$9,FALSE)&amp;AD$7,COM_N_2012!$B$58:$AJ$58,0),FALSE),"")</f>
        <v/>
      </c>
      <c r="AE99" s="391" t="str">
        <f ca="1">IFERROR(VLOOKUP($C99,COM_N_2012!$B$62:$AJ$122,MATCH(VLOOKUP("*"&amp;$AW99,$A$10:$J$11,$J$9,FALSE)&amp;AE$7,COM_N_2012!$B$58:$AJ$58,0),FALSE),"")</f>
        <v/>
      </c>
      <c r="AF99" s="391" t="str">
        <f ca="1">IFERROR(VLOOKUP($C99,COM_N_2012!$B$62:$AJ$122,MATCH(VLOOKUP("*"&amp;$AW99,$A$10:$J$11,$J$9,FALSE)&amp;AF$7,COM_N_2012!$B$58:$AJ$58,0),FALSE),"")</f>
        <v/>
      </c>
      <c r="AG99" s="391">
        <f ca="1">IF($A99="*","",IFERROR(VLOOKUP($C99,COM_N_2017!$B$61:$AJ$122,MATCH(VLOOKUP("*"&amp;$AW99,$A$10:$J$11,$J$9,FALSE)&amp;AG$7,COM_N_2017!$B$58:$AJ$58,0),FALSE),""))</f>
        <v>0</v>
      </c>
      <c r="AH99" s="391" t="str">
        <f ca="1">IFERROR(VLOOKUP($C99,COM_N_2012!$B$62:$AJ$122,MATCH(VLOOKUP("*"&amp;$AW99,$A$10:$J$11,$J$9,FALSE)&amp;AH$7,COM_N_2012!$B$58:$AJ$58,0),FALSE),"")</f>
        <v/>
      </c>
      <c r="AI99" s="391" t="str">
        <f ca="1">IFERROR(VLOOKUP($C99,COM_N_2012!$B$62:$AJ$122,MATCH(VLOOKUP("*"&amp;$AW99,$A$10:$J$11,$J$9,FALSE)&amp;AI$7,COM_N_2012!$B$58:$AJ$58,0),FALSE),"")</f>
        <v/>
      </c>
      <c r="AJ99" s="391" t="str">
        <f ca="1">IFERROR(VLOOKUP($C99,COM_N_2012!$B$62:$AJ$122,MATCH(VLOOKUP("*"&amp;$AW99,$A$10:$J$11,$J$9,FALSE)&amp;AJ$7,COM_N_2012!$B$58:$AJ$58,0),FALSE),"")</f>
        <v/>
      </c>
      <c r="AK99" s="391" t="str">
        <f ca="1">IFERROR(VLOOKUP($C99,COM_N_2012!$B$62:$AJ$122,MATCH(VLOOKUP("*"&amp;$AW99,$A$10:$J$11,$J$9,FALSE)&amp;AK$7,COM_N_2012!$B$58:$AJ$58,0),FALSE),"")</f>
        <v/>
      </c>
      <c r="AL99" s="391">
        <f ca="1">IF($A99="*","",IFERROR(VLOOKUP($C99,COM_N_2017!$B$61:$AJ$122,MATCH(VLOOKUP("*"&amp;$AW99,$A$10:$J$11,$J$9,FALSE)&amp;AL$7,COM_N_2017!$B$58:$AJ$58,0),FALSE),""))</f>
        <v>0</v>
      </c>
      <c r="AM99" s="391">
        <f ca="1">IF($A99="*","",IFERROR(VLOOKUP($C99,COM_N_2017!$B$61:$AJ$122,MATCH(VLOOKUP("*"&amp;$AW99,$A$10:$J$11,$J$9,FALSE)&amp;AM$7,COM_N_2017!$B$58:$AJ$58,0),FALSE),""))</f>
        <v>0</v>
      </c>
      <c r="AN99" s="391">
        <f ca="1">IF($A99="*","",IFERROR(VLOOKUP($C99,COM_N_2017!$B$61:$AJ$122,MATCH(VLOOKUP("*"&amp;$AW99,$A$10:$J$11,$J$9,FALSE)&amp;AN$7,COM_N_2017!$B$58:$AJ$58,0),FALSE),""))</f>
        <v>0</v>
      </c>
      <c r="AO99" s="391" t="str">
        <f ca="1">IFERROR(VLOOKUP($C99,COM_N_2012!$B$62:$AJ$122,MATCH(VLOOKUP("*"&amp;$AW99,$A$10:$J$11,$J$9,FALSE)&amp;AO$7,COM_N_2012!$B$58:$AJ$58,0),FALSE),"")</f>
        <v/>
      </c>
      <c r="AP99" s="391" t="str">
        <f ca="1">IFERROR(VLOOKUP($C99,COM_N_2012!$B$62:$AJ$122,MATCH(VLOOKUP("*"&amp;$AW99,$A$10:$J$11,$J$9,FALSE)&amp;AP$7,COM_N_2012!$B$58:$AJ$58,0),FALSE),"")</f>
        <v/>
      </c>
      <c r="AQ99" s="391" t="str">
        <f ca="1">IFERROR(VLOOKUP($C99,COM_N_2012!$B$62:$AJ$122,MATCH(VLOOKUP("*"&amp;$AW99,$A$10:$J$11,$J$9,FALSE)&amp;AQ$7,COM_N_2012!$B$58:$AJ$58,0),FALSE),"")</f>
        <v/>
      </c>
      <c r="AR99" s="391" t="str">
        <f ca="1">IFERROR(VLOOKUP($C99,COM_N_2012!$B$62:$AJ$122,MATCH(VLOOKUP("*"&amp;$AW99,$A$10:$J$11,$J$9,FALSE)&amp;AR$7,COM_N_2012!$B$58:$AJ$58,0),FALSE),"")</f>
        <v/>
      </c>
      <c r="AS99" s="391" t="str">
        <f ca="1">IFERROR(VLOOKUP($C99,COM_N_2012!$B$62:$AJ$122,MATCH(VLOOKUP("*"&amp;$AW99,$A$10:$J$11,$J$9,FALSE)&amp;AS$7,COM_N_2012!$B$58:$AJ$58,0),FALSE),"")</f>
        <v/>
      </c>
      <c r="AT99" s="391" t="str">
        <f ca="1">IFERROR(VLOOKUP($C99,COM_N_2012!$B$62:$AJ$122,MATCH(VLOOKUP("*"&amp;$AW99,$A$10:$J$11,$J$9,FALSE)&amp;AT$7,COM_N_2012!$B$58:$AJ$58,0),FALSE),"")</f>
        <v/>
      </c>
      <c r="AU99" s="391" t="str">
        <f ca="1">IFERROR(VLOOKUP($C99,COM_N_2012!$B$62:$AJ$122,MATCH(VLOOKUP("*"&amp;$AW99,$A$10:$J$11,$J$9,FALSE)&amp;AU$7,COM_N_2012!$B$58:$AJ$58,0),FALSE),"")</f>
        <v/>
      </c>
      <c r="AV99" s="391" t="str">
        <f ca="1">IFERROR(VLOOKUP($C99,COM_N_2012!$B$62:$AJ$122,MATCH(VLOOKUP("*"&amp;$AW99,$A$10:$J$11,$J$9,FALSE)&amp;AV$7,COM_N_2012!$B$58:$AJ$58,0),FALSE),"")</f>
        <v/>
      </c>
      <c r="AW99" s="304">
        <f>IF(AX98=COM_N_2012!$AK$121,AW98+1,AW98)</f>
        <v>2</v>
      </c>
      <c r="AX99" s="304">
        <f t="shared" ref="AX99:AX118" si="23">IF(AW99=AW98,AX98+1,1)</f>
        <v>26</v>
      </c>
    </row>
    <row r="100" spans="1:50">
      <c r="A100" s="304" t="str">
        <f ca="1">IF(LEFT(OFFSET(COM_N_2012!$A$60,AX100,0),2)="\I","*","")</f>
        <v>*</v>
      </c>
      <c r="B100" s="369" t="str">
        <f t="shared" ca="1" si="18"/>
        <v/>
      </c>
      <c r="C100" s="369" t="str">
        <f ca="1">IF($A100="*","",OFFSET(COM_N_2012!$B$60,AX100,0))</f>
        <v/>
      </c>
      <c r="D100" s="369" t="str">
        <f t="shared" ca="1" si="19"/>
        <v/>
      </c>
      <c r="E100" s="369" t="str">
        <f t="shared" ca="1" si="20"/>
        <v/>
      </c>
      <c r="F100" s="370" t="str">
        <f t="shared" ca="1" si="22"/>
        <v/>
      </c>
      <c r="G100" s="370" t="str">
        <f t="shared" ca="1" si="22"/>
        <v/>
      </c>
      <c r="H100" s="370" t="str">
        <f t="shared" ca="1" si="21"/>
        <v/>
      </c>
      <c r="I100" s="370" t="str">
        <f t="shared" ca="1" si="21"/>
        <v/>
      </c>
      <c r="J100" s="391" t="str">
        <f ca="1">IFERROR(VLOOKUP($C100,COM_N_2012!$B$61:$AJ$122,MATCH(VLOOKUP("*"&amp;$AW100,$A$10:$J$11,$J$9,FALSE)&amp;J$7,COM_N_2012!$B$58:$AJ$58,0),FALSE),"")</f>
        <v/>
      </c>
      <c r="K100" s="391" t="str">
        <f ca="1">IFERROR(VLOOKUP($C100,COM_N_2012!$B$62:$AJ$122,MATCH(VLOOKUP("*"&amp;$AW100,$A$10:$J$11,$J$9,FALSE)&amp;K$7,COM_N_2012!$B$58:$AJ$58,0),FALSE),"")</f>
        <v/>
      </c>
      <c r="L100" s="391" t="str">
        <f ca="1">IFERROR(VLOOKUP($C100,COM_N_2012!$B$62:$AJ$122,MATCH(VLOOKUP("*"&amp;$AW100,$A$10:$J$11,$J$9,FALSE)&amp;L$7,COM_N_2012!$B$58:$AJ$58,0),FALSE),"")</f>
        <v/>
      </c>
      <c r="M100" s="391" t="str">
        <f ca="1">IFERROR(VLOOKUP($C100,COM_N_2012!$B$62:$AJ$122,MATCH(VLOOKUP("*"&amp;$AW100,$A$10:$J$11,$J$9,FALSE)&amp;M$7,COM_N_2012!$B$58:$AJ$58,0),FALSE),"")</f>
        <v/>
      </c>
      <c r="N100" s="391" t="str">
        <f ca="1">IFERROR(VLOOKUP($C100,COM_N_2012!$B$62:$AJ$122,MATCH(VLOOKUP("*"&amp;$AW100,$A$10:$J$11,$J$9,FALSE)&amp;N$7,COM_N_2012!$B$58:$AJ$58,0),FALSE),"")</f>
        <v/>
      </c>
      <c r="O100" s="391" t="str">
        <f ca="1">IF($A100="*","",IFERROR(VLOOKUP($C100,COM_N_2017!$B$61:$AJ$122,MATCH(VLOOKUP("*"&amp;$AW100,$A$10:$J$11,$J$9,FALSE)&amp;O$7,COM_N_2017!$B$58:$AJ$58,0),FALSE),""))</f>
        <v/>
      </c>
      <c r="P100" s="391" t="str">
        <f ca="1">IFERROR(VLOOKUP($C100,COM_N_2012!$B$62:$AJ$122,MATCH(VLOOKUP("*"&amp;$AW100,$A$10:$J$11,$J$9,FALSE)&amp;P$7,COM_N_2012!$B$58:$AJ$58,0),FALSE),"")</f>
        <v/>
      </c>
      <c r="Q100" s="391" t="str">
        <f ca="1">IFERROR(VLOOKUP($C100,COM_N_2012!$B$62:$AJ$122,MATCH(VLOOKUP("*"&amp;$AW100,$A$10:$J$11,$J$9,FALSE)&amp;Q$7,COM_N_2012!$B$58:$AJ$58,0),FALSE),"")</f>
        <v/>
      </c>
      <c r="R100" s="391" t="str">
        <f ca="1">IF($A100="*","",IFERROR(VLOOKUP($C100,COM_N_2017!$B$61:$AJ$122,MATCH(VLOOKUP("*"&amp;$AW100,$A$10:$J$11,$J$9,FALSE)&amp;R$7,COM_N_2017!$B$58:$AJ$58,0),FALSE),""))</f>
        <v/>
      </c>
      <c r="S100" s="391" t="str">
        <f ca="1">IFERROR(VLOOKUP($C100,COM_N_2012!$B$62:$AJ$122,MATCH(VLOOKUP("*"&amp;$AW100,$A$10:$J$11,$J$9,FALSE)&amp;S$7,COM_N_2012!$B$58:$AJ$58,0),FALSE),"")</f>
        <v/>
      </c>
      <c r="T100" s="391" t="str">
        <f ca="1">IFERROR(VLOOKUP($C100,COM_N_2012!$B$62:$AJ$122,MATCH(VLOOKUP("*"&amp;$AW100,$A$10:$J$11,$J$9,FALSE)&amp;T$7,COM_N_2012!$B$58:$AJ$58,0),FALSE),"")</f>
        <v/>
      </c>
      <c r="U100" s="391" t="str">
        <f ca="1">IFERROR(VLOOKUP($C100,COM_N_2012!$B$62:$AJ$122,MATCH(VLOOKUP("*"&amp;$AW100,$A$10:$J$11,$J$9,FALSE)&amp;U$7,COM_N_2012!$B$58:$AJ$58,0),FALSE),"")</f>
        <v/>
      </c>
      <c r="V100" s="391" t="str">
        <f ca="1">IFERROR(VLOOKUP($C100,COM_N_2012!$B$62:$AJ$122,MATCH(VLOOKUP("*"&amp;$AW100,$A$10:$J$11,$J$9,FALSE)&amp;V$7,COM_N_2012!$B$58:$AJ$58,0),FALSE),"")</f>
        <v/>
      </c>
      <c r="W100" s="391" t="str">
        <f ca="1">IF($A100="*","",IFERROR(VLOOKUP($C100,COM_N_2017!$B$61:$AJ$122,MATCH(VLOOKUP("*"&amp;$AW100,$A$10:$J$11,$J$9,FALSE)&amp;W$7,COM_N_2017!$B$58:$AJ$58,0),FALSE),""))</f>
        <v/>
      </c>
      <c r="X100" s="391" t="str">
        <f ca="1">IFERROR(VLOOKUP($C100,COM_N_2012!$B$62:$AJ$122,MATCH(VLOOKUP("*"&amp;$AW100,$A$10:$J$11,$J$9,FALSE)&amp;X$7,COM_N_2012!$B$58:$AJ$58,0),FALSE),"")</f>
        <v/>
      </c>
      <c r="Y100" s="391" t="str">
        <f ca="1">IFERROR(VLOOKUP($C100,COM_N_2012!$B$62:$AJ$122,MATCH(VLOOKUP("*"&amp;$AW100,$A$10:$J$11,$J$9,FALSE)&amp;Y$7,COM_N_2012!$B$58:$AJ$58,0),FALSE),"")</f>
        <v/>
      </c>
      <c r="Z100" s="391" t="str">
        <f ca="1">IFERROR(VLOOKUP($C100,COM_N_2012!$B$62:$AJ$122,MATCH(VLOOKUP("*"&amp;$AW100,$A$10:$J$11,$J$9,FALSE)&amp;Z$7,COM_N_2012!$B$58:$AJ$58,0),FALSE),"")</f>
        <v/>
      </c>
      <c r="AA100" s="391" t="str">
        <f ca="1">IFERROR(VLOOKUP($C100,COM_N_2012!$B$62:$AJ$122,MATCH(VLOOKUP("*"&amp;$AW100,$A$10:$J$11,$J$9,FALSE)&amp;AA$7,COM_N_2012!$B$58:$AJ$58,0),FALSE),"")</f>
        <v/>
      </c>
      <c r="AB100" s="391" t="str">
        <f ca="1">IF($A100="*","",IFERROR(VLOOKUP($C100,COM_N_2017!$B$61:$AJ$122,MATCH(VLOOKUP("*"&amp;$AW100,$A$10:$J$11,$J$9,FALSE)&amp;AB$7,COM_N_2017!$B$58:$AJ$58,0),FALSE),""))</f>
        <v/>
      </c>
      <c r="AC100" s="391" t="str">
        <f ca="1">IFERROR(VLOOKUP($C100,COM_N_2012!$B$62:$AJ$122,MATCH(VLOOKUP("*"&amp;$AW100,$A$10:$J$11,$J$9,FALSE)&amp;AC$7,COM_N_2012!$B$58:$AJ$58,0),FALSE),"")</f>
        <v/>
      </c>
      <c r="AD100" s="391" t="str">
        <f ca="1">IFERROR(VLOOKUP($C100,COM_N_2012!$B$62:$AJ$122,MATCH(VLOOKUP("*"&amp;$AW100,$A$10:$J$11,$J$9,FALSE)&amp;AD$7,COM_N_2012!$B$58:$AJ$58,0),FALSE),"")</f>
        <v/>
      </c>
      <c r="AE100" s="391" t="str">
        <f ca="1">IFERROR(VLOOKUP($C100,COM_N_2012!$B$62:$AJ$122,MATCH(VLOOKUP("*"&amp;$AW100,$A$10:$J$11,$J$9,FALSE)&amp;AE$7,COM_N_2012!$B$58:$AJ$58,0),FALSE),"")</f>
        <v/>
      </c>
      <c r="AF100" s="391" t="str">
        <f ca="1">IFERROR(VLOOKUP($C100,COM_N_2012!$B$62:$AJ$122,MATCH(VLOOKUP("*"&amp;$AW100,$A$10:$J$11,$J$9,FALSE)&amp;AF$7,COM_N_2012!$B$58:$AJ$58,0),FALSE),"")</f>
        <v/>
      </c>
      <c r="AG100" s="391" t="str">
        <f ca="1">IF($A100="*","",IFERROR(VLOOKUP($C100,COM_N_2017!$B$61:$AJ$122,MATCH(VLOOKUP("*"&amp;$AW100,$A$10:$J$11,$J$9,FALSE)&amp;AG$7,COM_N_2017!$B$58:$AJ$58,0),FALSE),""))</f>
        <v/>
      </c>
      <c r="AH100" s="391" t="str">
        <f ca="1">IFERROR(VLOOKUP($C100,COM_N_2012!$B$62:$AJ$122,MATCH(VLOOKUP("*"&amp;$AW100,$A$10:$J$11,$J$9,FALSE)&amp;AH$7,COM_N_2012!$B$58:$AJ$58,0),FALSE),"")</f>
        <v/>
      </c>
      <c r="AI100" s="391" t="str">
        <f ca="1">IFERROR(VLOOKUP($C100,COM_N_2012!$B$62:$AJ$122,MATCH(VLOOKUP("*"&amp;$AW100,$A$10:$J$11,$J$9,FALSE)&amp;AI$7,COM_N_2012!$B$58:$AJ$58,0),FALSE),"")</f>
        <v/>
      </c>
      <c r="AJ100" s="391" t="str">
        <f ca="1">IFERROR(VLOOKUP($C100,COM_N_2012!$B$62:$AJ$122,MATCH(VLOOKUP("*"&amp;$AW100,$A$10:$J$11,$J$9,FALSE)&amp;AJ$7,COM_N_2012!$B$58:$AJ$58,0),FALSE),"")</f>
        <v/>
      </c>
      <c r="AK100" s="391" t="str">
        <f ca="1">IFERROR(VLOOKUP($C100,COM_N_2012!$B$62:$AJ$122,MATCH(VLOOKUP("*"&amp;$AW100,$A$10:$J$11,$J$9,FALSE)&amp;AK$7,COM_N_2012!$B$58:$AJ$58,0),FALSE),"")</f>
        <v/>
      </c>
      <c r="AL100" s="391" t="str">
        <f ca="1">IF($A100="*","",IFERROR(VLOOKUP($C100,COM_N_2017!$B$61:$AJ$122,MATCH(VLOOKUP("*"&amp;$AW100,$A$10:$J$11,$J$9,FALSE)&amp;AL$7,COM_N_2017!$B$58:$AJ$58,0),FALSE),""))</f>
        <v/>
      </c>
      <c r="AM100" s="391" t="str">
        <f ca="1">IF($A100="*","",IFERROR(VLOOKUP($C100,COM_N_2017!$B$61:$AJ$122,MATCH(VLOOKUP("*"&amp;$AW100,$A$10:$J$11,$J$9,FALSE)&amp;AM$7,COM_N_2017!$B$58:$AJ$58,0),FALSE),""))</f>
        <v/>
      </c>
      <c r="AN100" s="391" t="str">
        <f ca="1">IF($A100="*","",IFERROR(VLOOKUP($C100,COM_N_2017!$B$61:$AJ$122,MATCH(VLOOKUP("*"&amp;$AW100,$A$10:$J$11,$J$9,FALSE)&amp;AN$7,COM_N_2017!$B$58:$AJ$58,0),FALSE),""))</f>
        <v/>
      </c>
      <c r="AO100" s="391" t="str">
        <f ca="1">IFERROR(VLOOKUP($C100,COM_N_2012!$B$62:$AJ$122,MATCH(VLOOKUP("*"&amp;$AW100,$A$10:$J$11,$J$9,FALSE)&amp;AO$7,COM_N_2012!$B$58:$AJ$58,0),FALSE),"")</f>
        <v/>
      </c>
      <c r="AP100" s="391" t="str">
        <f ca="1">IFERROR(VLOOKUP($C100,COM_N_2012!$B$62:$AJ$122,MATCH(VLOOKUP("*"&amp;$AW100,$A$10:$J$11,$J$9,FALSE)&amp;AP$7,COM_N_2012!$B$58:$AJ$58,0),FALSE),"")</f>
        <v/>
      </c>
      <c r="AQ100" s="391" t="str">
        <f ca="1">IFERROR(VLOOKUP($C100,COM_N_2012!$B$62:$AJ$122,MATCH(VLOOKUP("*"&amp;$AW100,$A$10:$J$11,$J$9,FALSE)&amp;AQ$7,COM_N_2012!$B$58:$AJ$58,0),FALSE),"")</f>
        <v/>
      </c>
      <c r="AR100" s="391" t="str">
        <f ca="1">IFERROR(VLOOKUP($C100,COM_N_2012!$B$62:$AJ$122,MATCH(VLOOKUP("*"&amp;$AW100,$A$10:$J$11,$J$9,FALSE)&amp;AR$7,COM_N_2012!$B$58:$AJ$58,0),FALSE),"")</f>
        <v/>
      </c>
      <c r="AS100" s="391" t="str">
        <f ca="1">IFERROR(VLOOKUP($C100,COM_N_2012!$B$62:$AJ$122,MATCH(VLOOKUP("*"&amp;$AW100,$A$10:$J$11,$J$9,FALSE)&amp;AS$7,COM_N_2012!$B$58:$AJ$58,0),FALSE),"")</f>
        <v/>
      </c>
      <c r="AT100" s="391" t="str">
        <f ca="1">IFERROR(VLOOKUP($C100,COM_N_2012!$B$62:$AJ$122,MATCH(VLOOKUP("*"&amp;$AW100,$A$10:$J$11,$J$9,FALSE)&amp;AT$7,COM_N_2012!$B$58:$AJ$58,0),FALSE),"")</f>
        <v/>
      </c>
      <c r="AU100" s="391" t="str">
        <f ca="1">IFERROR(VLOOKUP($C100,COM_N_2012!$B$62:$AJ$122,MATCH(VLOOKUP("*"&amp;$AW100,$A$10:$J$11,$J$9,FALSE)&amp;AU$7,COM_N_2012!$B$58:$AJ$58,0),FALSE),"")</f>
        <v/>
      </c>
      <c r="AV100" s="391" t="str">
        <f ca="1">IFERROR(VLOOKUP($C100,COM_N_2012!$B$62:$AJ$122,MATCH(VLOOKUP("*"&amp;$AW100,$A$10:$J$11,$J$9,FALSE)&amp;AV$7,COM_N_2012!$B$58:$AJ$58,0),FALSE),"")</f>
        <v/>
      </c>
      <c r="AW100" s="304">
        <f>IF(AX99=COM_N_2012!$AK$121,AW99+1,AW99)</f>
        <v>2</v>
      </c>
      <c r="AX100" s="304">
        <f t="shared" si="23"/>
        <v>27</v>
      </c>
    </row>
    <row r="101" spans="1:50">
      <c r="A101" s="304" t="str">
        <f ca="1">IF(LEFT(OFFSET(COM_N_2012!$A$60,AX101,0),2)="\I","*","")</f>
        <v>*</v>
      </c>
      <c r="B101" s="369" t="str">
        <f t="shared" ca="1" si="18"/>
        <v/>
      </c>
      <c r="C101" s="369" t="str">
        <f ca="1">IF($A101="*","",OFFSET(COM_N_2012!$B$60,AX101,0))</f>
        <v/>
      </c>
      <c r="D101" s="369" t="str">
        <f t="shared" ca="1" si="19"/>
        <v/>
      </c>
      <c r="E101" s="369" t="str">
        <f t="shared" ca="1" si="20"/>
        <v/>
      </c>
      <c r="F101" s="370" t="str">
        <f t="shared" ca="1" si="22"/>
        <v/>
      </c>
      <c r="G101" s="370" t="str">
        <f t="shared" ca="1" si="22"/>
        <v/>
      </c>
      <c r="H101" s="370" t="str">
        <f t="shared" ca="1" si="21"/>
        <v/>
      </c>
      <c r="I101" s="370" t="str">
        <f t="shared" ca="1" si="21"/>
        <v/>
      </c>
      <c r="J101" s="391" t="str">
        <f ca="1">IFERROR(VLOOKUP($C101,COM_N_2012!$B$61:$AJ$122,MATCH(VLOOKUP("*"&amp;$AW101,$A$10:$J$11,$J$9,FALSE)&amp;J$7,COM_N_2012!$B$58:$AJ$58,0),FALSE),"")</f>
        <v/>
      </c>
      <c r="K101" s="391" t="str">
        <f ca="1">IFERROR(VLOOKUP($C101,COM_N_2012!$B$62:$AJ$122,MATCH(VLOOKUP("*"&amp;$AW101,$A$10:$J$11,$J$9,FALSE)&amp;K$7,COM_N_2012!$B$58:$AJ$58,0),FALSE),"")</f>
        <v/>
      </c>
      <c r="L101" s="391" t="str">
        <f ca="1">IFERROR(VLOOKUP($C101,COM_N_2012!$B$62:$AJ$122,MATCH(VLOOKUP("*"&amp;$AW101,$A$10:$J$11,$J$9,FALSE)&amp;L$7,COM_N_2012!$B$58:$AJ$58,0),FALSE),"")</f>
        <v/>
      </c>
      <c r="M101" s="391" t="str">
        <f ca="1">IFERROR(VLOOKUP($C101,COM_N_2012!$B$62:$AJ$122,MATCH(VLOOKUP("*"&amp;$AW101,$A$10:$J$11,$J$9,FALSE)&amp;M$7,COM_N_2012!$B$58:$AJ$58,0),FALSE),"")</f>
        <v/>
      </c>
      <c r="N101" s="391" t="str">
        <f ca="1">IFERROR(VLOOKUP($C101,COM_N_2012!$B$62:$AJ$122,MATCH(VLOOKUP("*"&amp;$AW101,$A$10:$J$11,$J$9,FALSE)&amp;N$7,COM_N_2012!$B$58:$AJ$58,0),FALSE),"")</f>
        <v/>
      </c>
      <c r="O101" s="391" t="str">
        <f ca="1">IF($A101="*","",IFERROR(VLOOKUP($C101,COM_N_2017!$B$61:$AJ$122,MATCH(VLOOKUP("*"&amp;$AW101,$A$10:$J$11,$J$9,FALSE)&amp;O$7,COM_N_2017!$B$58:$AJ$58,0),FALSE),""))</f>
        <v/>
      </c>
      <c r="P101" s="391" t="str">
        <f ca="1">IFERROR(VLOOKUP($C101,COM_N_2012!$B$62:$AJ$122,MATCH(VLOOKUP("*"&amp;$AW101,$A$10:$J$11,$J$9,FALSE)&amp;P$7,COM_N_2012!$B$58:$AJ$58,0),FALSE),"")</f>
        <v/>
      </c>
      <c r="Q101" s="391" t="str">
        <f ca="1">IFERROR(VLOOKUP($C101,COM_N_2012!$B$62:$AJ$122,MATCH(VLOOKUP("*"&amp;$AW101,$A$10:$J$11,$J$9,FALSE)&amp;Q$7,COM_N_2012!$B$58:$AJ$58,0),FALSE),"")</f>
        <v/>
      </c>
      <c r="R101" s="391" t="str">
        <f ca="1">IF($A101="*","",IFERROR(VLOOKUP($C101,COM_N_2017!$B$61:$AJ$122,MATCH(VLOOKUP("*"&amp;$AW101,$A$10:$J$11,$J$9,FALSE)&amp;R$7,COM_N_2017!$B$58:$AJ$58,0),FALSE),""))</f>
        <v/>
      </c>
      <c r="S101" s="391" t="str">
        <f ca="1">IFERROR(VLOOKUP($C101,COM_N_2012!$B$62:$AJ$122,MATCH(VLOOKUP("*"&amp;$AW101,$A$10:$J$11,$J$9,FALSE)&amp;S$7,COM_N_2012!$B$58:$AJ$58,0),FALSE),"")</f>
        <v/>
      </c>
      <c r="T101" s="391" t="str">
        <f ca="1">IFERROR(VLOOKUP($C101,COM_N_2012!$B$62:$AJ$122,MATCH(VLOOKUP("*"&amp;$AW101,$A$10:$J$11,$J$9,FALSE)&amp;T$7,COM_N_2012!$B$58:$AJ$58,0),FALSE),"")</f>
        <v/>
      </c>
      <c r="U101" s="391" t="str">
        <f ca="1">IFERROR(VLOOKUP($C101,COM_N_2012!$B$62:$AJ$122,MATCH(VLOOKUP("*"&amp;$AW101,$A$10:$J$11,$J$9,FALSE)&amp;U$7,COM_N_2012!$B$58:$AJ$58,0),FALSE),"")</f>
        <v/>
      </c>
      <c r="V101" s="391" t="str">
        <f ca="1">IFERROR(VLOOKUP($C101,COM_N_2012!$B$62:$AJ$122,MATCH(VLOOKUP("*"&amp;$AW101,$A$10:$J$11,$J$9,FALSE)&amp;V$7,COM_N_2012!$B$58:$AJ$58,0),FALSE),"")</f>
        <v/>
      </c>
      <c r="W101" s="391" t="str">
        <f ca="1">IF($A101="*","",IFERROR(VLOOKUP($C101,COM_N_2017!$B$61:$AJ$122,MATCH(VLOOKUP("*"&amp;$AW101,$A$10:$J$11,$J$9,FALSE)&amp;W$7,COM_N_2017!$B$58:$AJ$58,0),FALSE),""))</f>
        <v/>
      </c>
      <c r="X101" s="391" t="str">
        <f ca="1">IFERROR(VLOOKUP($C101,COM_N_2012!$B$62:$AJ$122,MATCH(VLOOKUP("*"&amp;$AW101,$A$10:$J$11,$J$9,FALSE)&amp;X$7,COM_N_2012!$B$58:$AJ$58,0),FALSE),"")</f>
        <v/>
      </c>
      <c r="Y101" s="391" t="str">
        <f ca="1">IFERROR(VLOOKUP($C101,COM_N_2012!$B$62:$AJ$122,MATCH(VLOOKUP("*"&amp;$AW101,$A$10:$J$11,$J$9,FALSE)&amp;Y$7,COM_N_2012!$B$58:$AJ$58,0),FALSE),"")</f>
        <v/>
      </c>
      <c r="Z101" s="391" t="str">
        <f ca="1">IFERROR(VLOOKUP($C101,COM_N_2012!$B$62:$AJ$122,MATCH(VLOOKUP("*"&amp;$AW101,$A$10:$J$11,$J$9,FALSE)&amp;Z$7,COM_N_2012!$B$58:$AJ$58,0),FALSE),"")</f>
        <v/>
      </c>
      <c r="AA101" s="391" t="str">
        <f ca="1">IFERROR(VLOOKUP($C101,COM_N_2012!$B$62:$AJ$122,MATCH(VLOOKUP("*"&amp;$AW101,$A$10:$J$11,$J$9,FALSE)&amp;AA$7,COM_N_2012!$B$58:$AJ$58,0),FALSE),"")</f>
        <v/>
      </c>
      <c r="AB101" s="391" t="str">
        <f ca="1">IF($A101="*","",IFERROR(VLOOKUP($C101,COM_N_2017!$B$61:$AJ$122,MATCH(VLOOKUP("*"&amp;$AW101,$A$10:$J$11,$J$9,FALSE)&amp;AB$7,COM_N_2017!$B$58:$AJ$58,0),FALSE),""))</f>
        <v/>
      </c>
      <c r="AC101" s="391" t="str">
        <f ca="1">IFERROR(VLOOKUP($C101,COM_N_2012!$B$62:$AJ$122,MATCH(VLOOKUP("*"&amp;$AW101,$A$10:$J$11,$J$9,FALSE)&amp;AC$7,COM_N_2012!$B$58:$AJ$58,0),FALSE),"")</f>
        <v/>
      </c>
      <c r="AD101" s="391" t="str">
        <f ca="1">IFERROR(VLOOKUP($C101,COM_N_2012!$B$62:$AJ$122,MATCH(VLOOKUP("*"&amp;$AW101,$A$10:$J$11,$J$9,FALSE)&amp;AD$7,COM_N_2012!$B$58:$AJ$58,0),FALSE),"")</f>
        <v/>
      </c>
      <c r="AE101" s="391" t="str">
        <f ca="1">IFERROR(VLOOKUP($C101,COM_N_2012!$B$62:$AJ$122,MATCH(VLOOKUP("*"&amp;$AW101,$A$10:$J$11,$J$9,FALSE)&amp;AE$7,COM_N_2012!$B$58:$AJ$58,0),FALSE),"")</f>
        <v/>
      </c>
      <c r="AF101" s="391" t="str">
        <f ca="1">IFERROR(VLOOKUP($C101,COM_N_2012!$B$62:$AJ$122,MATCH(VLOOKUP("*"&amp;$AW101,$A$10:$J$11,$J$9,FALSE)&amp;AF$7,COM_N_2012!$B$58:$AJ$58,0),FALSE),"")</f>
        <v/>
      </c>
      <c r="AG101" s="391" t="str">
        <f ca="1">IF($A101="*","",IFERROR(VLOOKUP($C101,COM_N_2017!$B$61:$AJ$122,MATCH(VLOOKUP("*"&amp;$AW101,$A$10:$J$11,$J$9,FALSE)&amp;AG$7,COM_N_2017!$B$58:$AJ$58,0),FALSE),""))</f>
        <v/>
      </c>
      <c r="AH101" s="391" t="str">
        <f ca="1">IFERROR(VLOOKUP($C101,COM_N_2012!$B$62:$AJ$122,MATCH(VLOOKUP("*"&amp;$AW101,$A$10:$J$11,$J$9,FALSE)&amp;AH$7,COM_N_2012!$B$58:$AJ$58,0),FALSE),"")</f>
        <v/>
      </c>
      <c r="AI101" s="391" t="str">
        <f ca="1">IFERROR(VLOOKUP($C101,COM_N_2012!$B$62:$AJ$122,MATCH(VLOOKUP("*"&amp;$AW101,$A$10:$J$11,$J$9,FALSE)&amp;AI$7,COM_N_2012!$B$58:$AJ$58,0),FALSE),"")</f>
        <v/>
      </c>
      <c r="AJ101" s="391" t="str">
        <f ca="1">IFERROR(VLOOKUP($C101,COM_N_2012!$B$62:$AJ$122,MATCH(VLOOKUP("*"&amp;$AW101,$A$10:$J$11,$J$9,FALSE)&amp;AJ$7,COM_N_2012!$B$58:$AJ$58,0),FALSE),"")</f>
        <v/>
      </c>
      <c r="AK101" s="391" t="str">
        <f ca="1">IFERROR(VLOOKUP($C101,COM_N_2012!$B$62:$AJ$122,MATCH(VLOOKUP("*"&amp;$AW101,$A$10:$J$11,$J$9,FALSE)&amp;AK$7,COM_N_2012!$B$58:$AJ$58,0),FALSE),"")</f>
        <v/>
      </c>
      <c r="AL101" s="391" t="str">
        <f ca="1">IF($A101="*","",IFERROR(VLOOKUP($C101,COM_N_2017!$B$61:$AJ$122,MATCH(VLOOKUP("*"&amp;$AW101,$A$10:$J$11,$J$9,FALSE)&amp;AL$7,COM_N_2017!$B$58:$AJ$58,0),FALSE),""))</f>
        <v/>
      </c>
      <c r="AM101" s="391" t="str">
        <f ca="1">IF($A101="*","",IFERROR(VLOOKUP($C101,COM_N_2017!$B$61:$AJ$122,MATCH(VLOOKUP("*"&amp;$AW101,$A$10:$J$11,$J$9,FALSE)&amp;AM$7,COM_N_2017!$B$58:$AJ$58,0),FALSE),""))</f>
        <v/>
      </c>
      <c r="AN101" s="391" t="str">
        <f ca="1">IF($A101="*","",IFERROR(VLOOKUP($C101,COM_N_2017!$B$61:$AJ$122,MATCH(VLOOKUP("*"&amp;$AW101,$A$10:$J$11,$J$9,FALSE)&amp;AN$7,COM_N_2017!$B$58:$AJ$58,0),FALSE),""))</f>
        <v/>
      </c>
      <c r="AO101" s="391" t="str">
        <f ca="1">IFERROR(VLOOKUP($C101,COM_N_2012!$B$62:$AJ$122,MATCH(VLOOKUP("*"&amp;$AW101,$A$10:$J$11,$J$9,FALSE)&amp;AO$7,COM_N_2012!$B$58:$AJ$58,0),FALSE),"")</f>
        <v/>
      </c>
      <c r="AP101" s="391" t="str">
        <f ca="1">IFERROR(VLOOKUP($C101,COM_N_2012!$B$62:$AJ$122,MATCH(VLOOKUP("*"&amp;$AW101,$A$10:$J$11,$J$9,FALSE)&amp;AP$7,COM_N_2012!$B$58:$AJ$58,0),FALSE),"")</f>
        <v/>
      </c>
      <c r="AQ101" s="391" t="str">
        <f ca="1">IFERROR(VLOOKUP($C101,COM_N_2012!$B$62:$AJ$122,MATCH(VLOOKUP("*"&amp;$AW101,$A$10:$J$11,$J$9,FALSE)&amp;AQ$7,COM_N_2012!$B$58:$AJ$58,0),FALSE),"")</f>
        <v/>
      </c>
      <c r="AR101" s="391" t="str">
        <f ca="1">IFERROR(VLOOKUP($C101,COM_N_2012!$B$62:$AJ$122,MATCH(VLOOKUP("*"&amp;$AW101,$A$10:$J$11,$J$9,FALSE)&amp;AR$7,COM_N_2012!$B$58:$AJ$58,0),FALSE),"")</f>
        <v/>
      </c>
      <c r="AS101" s="391" t="str">
        <f ca="1">IFERROR(VLOOKUP($C101,COM_N_2012!$B$62:$AJ$122,MATCH(VLOOKUP("*"&amp;$AW101,$A$10:$J$11,$J$9,FALSE)&amp;AS$7,COM_N_2012!$B$58:$AJ$58,0),FALSE),"")</f>
        <v/>
      </c>
      <c r="AT101" s="391" t="str">
        <f ca="1">IFERROR(VLOOKUP($C101,COM_N_2012!$B$62:$AJ$122,MATCH(VLOOKUP("*"&amp;$AW101,$A$10:$J$11,$J$9,FALSE)&amp;AT$7,COM_N_2012!$B$58:$AJ$58,0),FALSE),"")</f>
        <v/>
      </c>
      <c r="AU101" s="391" t="str">
        <f ca="1">IFERROR(VLOOKUP($C101,COM_N_2012!$B$62:$AJ$122,MATCH(VLOOKUP("*"&amp;$AW101,$A$10:$J$11,$J$9,FALSE)&amp;AU$7,COM_N_2012!$B$58:$AJ$58,0),FALSE),"")</f>
        <v/>
      </c>
      <c r="AV101" s="391" t="str">
        <f ca="1">IFERROR(VLOOKUP($C101,COM_N_2012!$B$62:$AJ$122,MATCH(VLOOKUP("*"&amp;$AW101,$A$10:$J$11,$J$9,FALSE)&amp;AV$7,COM_N_2012!$B$58:$AJ$58,0),FALSE),"")</f>
        <v/>
      </c>
      <c r="AW101" s="304">
        <f>IF(AX100=COM_N_2012!$AK$121,AW100+1,AW100)</f>
        <v>2</v>
      </c>
      <c r="AX101" s="304">
        <f t="shared" si="23"/>
        <v>28</v>
      </c>
    </row>
    <row r="102" spans="1:50">
      <c r="A102" s="304" t="str">
        <f ca="1">IF(LEFT(OFFSET(COM_N_2012!$A$60,AX102,0),2)="\I","*","")</f>
        <v/>
      </c>
      <c r="B102" s="369" t="str">
        <f t="shared" ca="1" si="18"/>
        <v>FLO_MRKPRD</v>
      </c>
      <c r="C102" s="369" t="str">
        <f ca="1">IF($A102="*","",OFFSET(COM_N_2012!$B$60,AX102,0))</f>
        <v>CNRELC-E</v>
      </c>
      <c r="D102" s="369" t="str">
        <f t="shared" ca="1" si="19"/>
        <v>CNR</v>
      </c>
      <c r="E102" s="369" t="str">
        <f t="shared" ca="1" si="20"/>
        <v>-</v>
      </c>
      <c r="F102" s="370" t="str">
        <f t="shared" ca="1" si="22"/>
        <v>-</v>
      </c>
      <c r="G102" s="370" t="str">
        <f t="shared" ca="1" si="22"/>
        <v>ANNUAL</v>
      </c>
      <c r="H102" s="370" t="str">
        <f t="shared" ca="1" si="21"/>
        <v>LO</v>
      </c>
      <c r="I102" s="370">
        <f t="shared" ca="1" si="21"/>
        <v>0</v>
      </c>
      <c r="J102" s="391">
        <f ca="1">IFERROR(VLOOKUP($C102,COM_N_2012!$B$61:$AJ$122,MATCH(VLOOKUP("*"&amp;$AW102,$A$10:$J$11,$J$9,FALSE)&amp;J$7,COM_N_2012!$B$58:$AJ$58,0),FALSE),"")</f>
        <v>0.96153846153846145</v>
      </c>
      <c r="K102" s="391" t="str">
        <f ca="1">IFERROR(VLOOKUP($C102,COM_N_2012!$B$62:$AJ$122,MATCH(VLOOKUP("*"&amp;$AW102,$A$10:$J$11,$J$9,FALSE)&amp;K$7,COM_N_2012!$B$58:$AJ$58,0),FALSE),"")</f>
        <v/>
      </c>
      <c r="L102" s="391" t="str">
        <f ca="1">IFERROR(VLOOKUP($C102,COM_N_2012!$B$62:$AJ$122,MATCH(VLOOKUP("*"&amp;$AW102,$A$10:$J$11,$J$9,FALSE)&amp;L$7,COM_N_2012!$B$58:$AJ$58,0),FALSE),"")</f>
        <v/>
      </c>
      <c r="M102" s="391">
        <f ca="1">IFERROR(VLOOKUP($C102,COM_N_2012!$B$62:$AJ$122,MATCH(VLOOKUP("*"&amp;$AW102,$A$10:$J$11,$J$9,FALSE)&amp;M$7,COM_N_2012!$B$58:$AJ$58,0),FALSE),"")</f>
        <v>0.76923076923076916</v>
      </c>
      <c r="N102" s="391" t="str">
        <f ca="1">IFERROR(VLOOKUP($C102,COM_N_2012!$B$62:$AJ$122,MATCH(VLOOKUP("*"&amp;$AW102,$A$10:$J$11,$J$9,FALSE)&amp;N$7,COM_N_2012!$B$58:$AJ$58,0),FALSE),"")</f>
        <v/>
      </c>
      <c r="O102" s="391">
        <f ca="1">IF($A102="*","",IFERROR(VLOOKUP($C102,COM_N_2017!$B$61:$AJ$122,MATCH(VLOOKUP("*"&amp;$AW102,$A$10:$J$11,$J$9,FALSE)&amp;O$7,COM_N_2017!$B$58:$AJ$58,0),FALSE),""))</f>
        <v>0.96153846153846145</v>
      </c>
      <c r="P102" s="391" t="str">
        <f ca="1">IFERROR(VLOOKUP($C102,COM_N_2012!$B$62:$AJ$122,MATCH(VLOOKUP("*"&amp;$AW102,$A$10:$J$11,$J$9,FALSE)&amp;P$7,COM_N_2012!$B$58:$AJ$58,0),FALSE),"")</f>
        <v/>
      </c>
      <c r="Q102" s="391" t="str">
        <f ca="1">IFERROR(VLOOKUP($C102,COM_N_2012!$B$62:$AJ$122,MATCH(VLOOKUP("*"&amp;$AW102,$A$10:$J$11,$J$9,FALSE)&amp;Q$7,COM_N_2012!$B$58:$AJ$58,0),FALSE),"")</f>
        <v/>
      </c>
      <c r="R102" s="391">
        <f ca="1">IF($A102="*","",IFERROR(VLOOKUP($C102,COM_N_2017!$B$61:$AJ$122,MATCH(VLOOKUP("*"&amp;$AW102,$A$10:$J$11,$J$9,FALSE)&amp;R$7,COM_N_2017!$B$58:$AJ$58,0),FALSE),""))</f>
        <v>0.9326923076923076</v>
      </c>
      <c r="S102" s="391" t="str">
        <f ca="1">IFERROR(VLOOKUP($C102,COM_N_2012!$B$62:$AJ$122,MATCH(VLOOKUP("*"&amp;$AW102,$A$10:$J$11,$J$9,FALSE)&amp;S$7,COM_N_2012!$B$58:$AJ$58,0),FALSE),"")</f>
        <v/>
      </c>
      <c r="T102" s="391" t="str">
        <f ca="1">IFERROR(VLOOKUP($C102,COM_N_2012!$B$62:$AJ$122,MATCH(VLOOKUP("*"&amp;$AW102,$A$10:$J$11,$J$9,FALSE)&amp;T$7,COM_N_2012!$B$58:$AJ$58,0),FALSE),"")</f>
        <v/>
      </c>
      <c r="U102" s="391" t="str">
        <f ca="1">IFERROR(VLOOKUP($C102,COM_N_2012!$B$62:$AJ$122,MATCH(VLOOKUP("*"&amp;$AW102,$A$10:$J$11,$J$9,FALSE)&amp;U$7,COM_N_2012!$B$58:$AJ$58,0),FALSE),"")</f>
        <v/>
      </c>
      <c r="V102" s="391" t="str">
        <f ca="1">IFERROR(VLOOKUP($C102,COM_N_2012!$B$62:$AJ$122,MATCH(VLOOKUP("*"&amp;$AW102,$A$10:$J$11,$J$9,FALSE)&amp;V$7,COM_N_2012!$B$58:$AJ$58,0),FALSE),"")</f>
        <v/>
      </c>
      <c r="W102" s="391">
        <f ca="1">IF($A102="*","",IFERROR(VLOOKUP($C102,COM_N_2017!$B$61:$AJ$122,MATCH(VLOOKUP("*"&amp;$AW102,$A$10:$J$11,$J$9,FALSE)&amp;W$7,COM_N_2017!$B$58:$AJ$58,0),FALSE),""))</f>
        <v>0.86538461538461531</v>
      </c>
      <c r="X102" s="391" t="str">
        <f ca="1">IFERROR(VLOOKUP($C102,COM_N_2012!$B$62:$AJ$122,MATCH(VLOOKUP("*"&amp;$AW102,$A$10:$J$11,$J$9,FALSE)&amp;X$7,COM_N_2012!$B$58:$AJ$58,0),FALSE),"")</f>
        <v/>
      </c>
      <c r="Y102" s="391" t="str">
        <f ca="1">IFERROR(VLOOKUP($C102,COM_N_2012!$B$62:$AJ$122,MATCH(VLOOKUP("*"&amp;$AW102,$A$10:$J$11,$J$9,FALSE)&amp;Y$7,COM_N_2012!$B$58:$AJ$58,0),FALSE),"")</f>
        <v/>
      </c>
      <c r="Z102" s="391" t="str">
        <f ca="1">IFERROR(VLOOKUP($C102,COM_N_2012!$B$62:$AJ$122,MATCH(VLOOKUP("*"&amp;$AW102,$A$10:$J$11,$J$9,FALSE)&amp;Z$7,COM_N_2012!$B$58:$AJ$58,0),FALSE),"")</f>
        <v/>
      </c>
      <c r="AA102" s="391" t="str">
        <f ca="1">IFERROR(VLOOKUP($C102,COM_N_2012!$B$62:$AJ$122,MATCH(VLOOKUP("*"&amp;$AW102,$A$10:$J$11,$J$9,FALSE)&amp;AA$7,COM_N_2012!$B$58:$AJ$58,0),FALSE),"")</f>
        <v/>
      </c>
      <c r="AB102" s="391">
        <f ca="1">IF($A102="*","",IFERROR(VLOOKUP($C102,COM_N_2017!$B$61:$AJ$122,MATCH(VLOOKUP("*"&amp;$AW102,$A$10:$J$11,$J$9,FALSE)&amp;AB$7,COM_N_2017!$B$58:$AJ$58,0),FALSE),""))</f>
        <v>0.67307692307692302</v>
      </c>
      <c r="AC102" s="391" t="str">
        <f ca="1">IFERROR(VLOOKUP($C102,COM_N_2012!$B$62:$AJ$122,MATCH(VLOOKUP("*"&amp;$AW102,$A$10:$J$11,$J$9,FALSE)&amp;AC$7,COM_N_2012!$B$58:$AJ$58,0),FALSE),"")</f>
        <v/>
      </c>
      <c r="AD102" s="391" t="str">
        <f ca="1">IFERROR(VLOOKUP($C102,COM_N_2012!$B$62:$AJ$122,MATCH(VLOOKUP("*"&amp;$AW102,$A$10:$J$11,$J$9,FALSE)&amp;AD$7,COM_N_2012!$B$58:$AJ$58,0),FALSE),"")</f>
        <v/>
      </c>
      <c r="AE102" s="391" t="str">
        <f ca="1">IFERROR(VLOOKUP($C102,COM_N_2012!$B$62:$AJ$122,MATCH(VLOOKUP("*"&amp;$AW102,$A$10:$J$11,$J$9,FALSE)&amp;AE$7,COM_N_2012!$B$58:$AJ$58,0),FALSE),"")</f>
        <v/>
      </c>
      <c r="AF102" s="391" t="str">
        <f ca="1">IFERROR(VLOOKUP($C102,COM_N_2012!$B$62:$AJ$122,MATCH(VLOOKUP("*"&amp;$AW102,$A$10:$J$11,$J$9,FALSE)&amp;AF$7,COM_N_2012!$B$58:$AJ$58,0),FALSE),"")</f>
        <v/>
      </c>
      <c r="AG102" s="391">
        <f ca="1">IF($A102="*","",IFERROR(VLOOKUP($C102,COM_N_2017!$B$61:$AJ$122,MATCH(VLOOKUP("*"&amp;$AW102,$A$10:$J$11,$J$9,FALSE)&amp;AG$7,COM_N_2017!$B$58:$AJ$58,0),FALSE),""))</f>
        <v>0.48076923076923073</v>
      </c>
      <c r="AH102" s="391" t="str">
        <f ca="1">IFERROR(VLOOKUP($C102,COM_N_2012!$B$62:$AJ$122,MATCH(VLOOKUP("*"&amp;$AW102,$A$10:$J$11,$J$9,FALSE)&amp;AH$7,COM_N_2012!$B$58:$AJ$58,0),FALSE),"")</f>
        <v/>
      </c>
      <c r="AI102" s="391" t="str">
        <f ca="1">IFERROR(VLOOKUP($C102,COM_N_2012!$B$62:$AJ$122,MATCH(VLOOKUP("*"&amp;$AW102,$A$10:$J$11,$J$9,FALSE)&amp;AI$7,COM_N_2012!$B$58:$AJ$58,0),FALSE),"")</f>
        <v/>
      </c>
      <c r="AJ102" s="391" t="str">
        <f ca="1">IFERROR(VLOOKUP($C102,COM_N_2012!$B$62:$AJ$122,MATCH(VLOOKUP("*"&amp;$AW102,$A$10:$J$11,$J$9,FALSE)&amp;AJ$7,COM_N_2012!$B$58:$AJ$58,0),FALSE),"")</f>
        <v/>
      </c>
      <c r="AK102" s="391" t="str">
        <f ca="1">IFERROR(VLOOKUP($C102,COM_N_2012!$B$62:$AJ$122,MATCH(VLOOKUP("*"&amp;$AW102,$A$10:$J$11,$J$9,FALSE)&amp;AK$7,COM_N_2012!$B$58:$AJ$58,0),FALSE),"")</f>
        <v/>
      </c>
      <c r="AL102" s="391">
        <f ca="1">IF($A102="*","",IFERROR(VLOOKUP($C102,COM_N_2017!$B$61:$AJ$122,MATCH(VLOOKUP("*"&amp;$AW102,$A$10:$J$11,$J$9,FALSE)&amp;AL$7,COM_N_2017!$B$58:$AJ$58,0),FALSE),""))</f>
        <v>0.28846153846153844</v>
      </c>
      <c r="AM102" s="391">
        <f ca="1">IF($A102="*","",IFERROR(VLOOKUP($C102,COM_N_2017!$B$61:$AJ$122,MATCH(VLOOKUP("*"&amp;$AW102,$A$10:$J$11,$J$9,FALSE)&amp;AM$7,COM_N_2017!$B$58:$AJ$58,0),FALSE),""))</f>
        <v>9.6153846153846145E-2</v>
      </c>
      <c r="AN102" s="391">
        <f ca="1">IF($A102="*","",IFERROR(VLOOKUP($C102,COM_N_2017!$B$61:$AJ$122,MATCH(VLOOKUP("*"&amp;$AW102,$A$10:$J$11,$J$9,FALSE)&amp;AN$7,COM_N_2017!$B$58:$AJ$58,0),FALSE),""))</f>
        <v>0</v>
      </c>
      <c r="AO102" s="391" t="str">
        <f ca="1">IFERROR(VLOOKUP($C102,COM_N_2012!$B$62:$AJ$122,MATCH(VLOOKUP("*"&amp;$AW102,$A$10:$J$11,$J$9,FALSE)&amp;AO$7,COM_N_2012!$B$58:$AJ$58,0),FALSE),"")</f>
        <v/>
      </c>
      <c r="AP102" s="391" t="str">
        <f ca="1">IFERROR(VLOOKUP($C102,COM_N_2012!$B$62:$AJ$122,MATCH(VLOOKUP("*"&amp;$AW102,$A$10:$J$11,$J$9,FALSE)&amp;AP$7,COM_N_2012!$B$58:$AJ$58,0),FALSE),"")</f>
        <v/>
      </c>
      <c r="AQ102" s="391" t="str">
        <f ca="1">IFERROR(VLOOKUP($C102,COM_N_2012!$B$62:$AJ$122,MATCH(VLOOKUP("*"&amp;$AW102,$A$10:$J$11,$J$9,FALSE)&amp;AQ$7,COM_N_2012!$B$58:$AJ$58,0),FALSE),"")</f>
        <v/>
      </c>
      <c r="AR102" s="391" t="str">
        <f ca="1">IFERROR(VLOOKUP($C102,COM_N_2012!$B$62:$AJ$122,MATCH(VLOOKUP("*"&amp;$AW102,$A$10:$J$11,$J$9,FALSE)&amp;AR$7,COM_N_2012!$B$58:$AJ$58,0),FALSE),"")</f>
        <v/>
      </c>
      <c r="AS102" s="391" t="str">
        <f ca="1">IFERROR(VLOOKUP($C102,COM_N_2012!$B$62:$AJ$122,MATCH(VLOOKUP("*"&amp;$AW102,$A$10:$J$11,$J$9,FALSE)&amp;AS$7,COM_N_2012!$B$58:$AJ$58,0),FALSE),"")</f>
        <v/>
      </c>
      <c r="AT102" s="391" t="str">
        <f ca="1">IFERROR(VLOOKUP($C102,COM_N_2012!$B$62:$AJ$122,MATCH(VLOOKUP("*"&amp;$AW102,$A$10:$J$11,$J$9,FALSE)&amp;AT$7,COM_N_2012!$B$58:$AJ$58,0),FALSE),"")</f>
        <v/>
      </c>
      <c r="AU102" s="391" t="str">
        <f ca="1">IFERROR(VLOOKUP($C102,COM_N_2012!$B$62:$AJ$122,MATCH(VLOOKUP("*"&amp;$AW102,$A$10:$J$11,$J$9,FALSE)&amp;AU$7,COM_N_2012!$B$58:$AJ$58,0),FALSE),"")</f>
        <v/>
      </c>
      <c r="AV102" s="391" t="str">
        <f ca="1">IFERROR(VLOOKUP($C102,COM_N_2012!$B$62:$AJ$122,MATCH(VLOOKUP("*"&amp;$AW102,$A$10:$J$11,$J$9,FALSE)&amp;AV$7,COM_N_2012!$B$58:$AJ$58,0),FALSE),"")</f>
        <v/>
      </c>
      <c r="AW102" s="304">
        <f>IF(AX101=COM_N_2012!$AK$121,AW101+1,AW101)</f>
        <v>2</v>
      </c>
      <c r="AX102" s="304">
        <f t="shared" si="23"/>
        <v>29</v>
      </c>
    </row>
    <row r="103" spans="1:50">
      <c r="A103" s="304" t="str">
        <f ca="1">IF(LEFT(OFFSET(COM_N_2012!$A$60,AX103,0),2)="\I","*","")</f>
        <v/>
      </c>
      <c r="B103" s="369" t="str">
        <f t="shared" ca="1" si="18"/>
        <v>FLO_MRKPRD</v>
      </c>
      <c r="C103" s="369" t="str">
        <f ca="1">IF($A103="*","",OFFSET(COM_N_2012!$B$60,AX103,0))</f>
        <v>CNRELC-N</v>
      </c>
      <c r="D103" s="369" t="str">
        <f t="shared" ca="1" si="19"/>
        <v>CNR</v>
      </c>
      <c r="E103" s="369" t="str">
        <f t="shared" ca="1" si="20"/>
        <v>-</v>
      </c>
      <c r="F103" s="370" t="str">
        <f t="shared" ca="1" si="22"/>
        <v>-</v>
      </c>
      <c r="G103" s="370" t="str">
        <f t="shared" ca="1" si="22"/>
        <v>ANNUAL</v>
      </c>
      <c r="H103" s="370" t="str">
        <f t="shared" ca="1" si="21"/>
        <v>LO</v>
      </c>
      <c r="I103" s="370">
        <f t="shared" ca="1" si="21"/>
        <v>0</v>
      </c>
      <c r="J103" s="391">
        <f ca="1">IFERROR(VLOOKUP($C103,COM_N_2012!$B$61:$AJ$122,MATCH(VLOOKUP("*"&amp;$AW103,$A$10:$J$11,$J$9,FALSE)&amp;J$7,COM_N_2012!$B$58:$AJ$58,0),FALSE),"")</f>
        <v>0</v>
      </c>
      <c r="K103" s="391" t="str">
        <f ca="1">IFERROR(VLOOKUP($C103,COM_N_2012!$B$62:$AJ$122,MATCH(VLOOKUP("*"&amp;$AW103,$A$10:$J$11,$J$9,FALSE)&amp;K$7,COM_N_2012!$B$58:$AJ$58,0),FALSE),"")</f>
        <v/>
      </c>
      <c r="L103" s="391" t="str">
        <f ca="1">IFERROR(VLOOKUP($C103,COM_N_2012!$B$62:$AJ$122,MATCH(VLOOKUP("*"&amp;$AW103,$A$10:$J$11,$J$9,FALSE)&amp;L$7,COM_N_2012!$B$58:$AJ$58,0),FALSE),"")</f>
        <v/>
      </c>
      <c r="M103" s="391">
        <f ca="1">IFERROR(VLOOKUP($C103,COM_N_2012!$B$62:$AJ$122,MATCH(VLOOKUP("*"&amp;$AW103,$A$10:$J$11,$J$9,FALSE)&amp;M$7,COM_N_2012!$B$58:$AJ$58,0),FALSE),"")</f>
        <v>0</v>
      </c>
      <c r="N103" s="391" t="str">
        <f ca="1">IFERROR(VLOOKUP($C103,COM_N_2012!$B$62:$AJ$122,MATCH(VLOOKUP("*"&amp;$AW103,$A$10:$J$11,$J$9,FALSE)&amp;N$7,COM_N_2012!$B$58:$AJ$58,0),FALSE),"")</f>
        <v/>
      </c>
      <c r="O103" s="391">
        <f ca="1">IF($A103="*","",IFERROR(VLOOKUP($C103,COM_N_2017!$B$61:$AJ$122,MATCH(VLOOKUP("*"&amp;$AW103,$A$10:$J$11,$J$9,FALSE)&amp;O$7,COM_N_2017!$B$58:$AJ$58,0),FALSE),""))</f>
        <v>0</v>
      </c>
      <c r="P103" s="391" t="str">
        <f ca="1">IFERROR(VLOOKUP($C103,COM_N_2012!$B$62:$AJ$122,MATCH(VLOOKUP("*"&amp;$AW103,$A$10:$J$11,$J$9,FALSE)&amp;P$7,COM_N_2012!$B$58:$AJ$58,0),FALSE),"")</f>
        <v/>
      </c>
      <c r="Q103" s="391" t="str">
        <f ca="1">IFERROR(VLOOKUP($C103,COM_N_2012!$B$62:$AJ$122,MATCH(VLOOKUP("*"&amp;$AW103,$A$10:$J$11,$J$9,FALSE)&amp;Q$7,COM_N_2012!$B$58:$AJ$58,0),FALSE),"")</f>
        <v/>
      </c>
      <c r="R103" s="391">
        <f ca="1">IF($A103="*","",IFERROR(VLOOKUP($C103,COM_N_2017!$B$61:$AJ$122,MATCH(VLOOKUP("*"&amp;$AW103,$A$10:$J$11,$J$9,FALSE)&amp;R$7,COM_N_2017!$B$58:$AJ$58,0),FALSE),""))</f>
        <v>0</v>
      </c>
      <c r="S103" s="391" t="str">
        <f ca="1">IFERROR(VLOOKUP($C103,COM_N_2012!$B$62:$AJ$122,MATCH(VLOOKUP("*"&amp;$AW103,$A$10:$J$11,$J$9,FALSE)&amp;S$7,COM_N_2012!$B$58:$AJ$58,0),FALSE),"")</f>
        <v/>
      </c>
      <c r="T103" s="391" t="str">
        <f ca="1">IFERROR(VLOOKUP($C103,COM_N_2012!$B$62:$AJ$122,MATCH(VLOOKUP("*"&amp;$AW103,$A$10:$J$11,$J$9,FALSE)&amp;T$7,COM_N_2012!$B$58:$AJ$58,0),FALSE),"")</f>
        <v/>
      </c>
      <c r="U103" s="391" t="str">
        <f ca="1">IFERROR(VLOOKUP($C103,COM_N_2012!$B$62:$AJ$122,MATCH(VLOOKUP("*"&amp;$AW103,$A$10:$J$11,$J$9,FALSE)&amp;U$7,COM_N_2012!$B$58:$AJ$58,0),FALSE),"")</f>
        <v/>
      </c>
      <c r="V103" s="391" t="str">
        <f ca="1">IFERROR(VLOOKUP($C103,COM_N_2012!$B$62:$AJ$122,MATCH(VLOOKUP("*"&amp;$AW103,$A$10:$J$11,$J$9,FALSE)&amp;V$7,COM_N_2012!$B$58:$AJ$58,0),FALSE),"")</f>
        <v/>
      </c>
      <c r="W103" s="391">
        <f ca="1">IF($A103="*","",IFERROR(VLOOKUP($C103,COM_N_2017!$B$61:$AJ$122,MATCH(VLOOKUP("*"&amp;$AW103,$A$10:$J$11,$J$9,FALSE)&amp;W$7,COM_N_2017!$B$58:$AJ$58,0),FALSE),""))</f>
        <v>0</v>
      </c>
      <c r="X103" s="391" t="str">
        <f ca="1">IFERROR(VLOOKUP($C103,COM_N_2012!$B$62:$AJ$122,MATCH(VLOOKUP("*"&amp;$AW103,$A$10:$J$11,$J$9,FALSE)&amp;X$7,COM_N_2012!$B$58:$AJ$58,0),FALSE),"")</f>
        <v/>
      </c>
      <c r="Y103" s="391" t="str">
        <f ca="1">IFERROR(VLOOKUP($C103,COM_N_2012!$B$62:$AJ$122,MATCH(VLOOKUP("*"&amp;$AW103,$A$10:$J$11,$J$9,FALSE)&amp;Y$7,COM_N_2012!$B$58:$AJ$58,0),FALSE),"")</f>
        <v/>
      </c>
      <c r="Z103" s="391" t="str">
        <f ca="1">IFERROR(VLOOKUP($C103,COM_N_2012!$B$62:$AJ$122,MATCH(VLOOKUP("*"&amp;$AW103,$A$10:$J$11,$J$9,FALSE)&amp;Z$7,COM_N_2012!$B$58:$AJ$58,0),FALSE),"")</f>
        <v/>
      </c>
      <c r="AA103" s="391" t="str">
        <f ca="1">IFERROR(VLOOKUP($C103,COM_N_2012!$B$62:$AJ$122,MATCH(VLOOKUP("*"&amp;$AW103,$A$10:$J$11,$J$9,FALSE)&amp;AA$7,COM_N_2012!$B$58:$AJ$58,0),FALSE),"")</f>
        <v/>
      </c>
      <c r="AB103" s="391">
        <f ca="1">IF($A103="*","",IFERROR(VLOOKUP($C103,COM_N_2017!$B$61:$AJ$122,MATCH(VLOOKUP("*"&amp;$AW103,$A$10:$J$11,$J$9,FALSE)&amp;AB$7,COM_N_2017!$B$58:$AJ$58,0),FALSE),""))</f>
        <v>0</v>
      </c>
      <c r="AC103" s="391" t="str">
        <f ca="1">IFERROR(VLOOKUP($C103,COM_N_2012!$B$62:$AJ$122,MATCH(VLOOKUP("*"&amp;$AW103,$A$10:$J$11,$J$9,FALSE)&amp;AC$7,COM_N_2012!$B$58:$AJ$58,0),FALSE),"")</f>
        <v/>
      </c>
      <c r="AD103" s="391" t="str">
        <f ca="1">IFERROR(VLOOKUP($C103,COM_N_2012!$B$62:$AJ$122,MATCH(VLOOKUP("*"&amp;$AW103,$A$10:$J$11,$J$9,FALSE)&amp;AD$7,COM_N_2012!$B$58:$AJ$58,0),FALSE),"")</f>
        <v/>
      </c>
      <c r="AE103" s="391" t="str">
        <f ca="1">IFERROR(VLOOKUP($C103,COM_N_2012!$B$62:$AJ$122,MATCH(VLOOKUP("*"&amp;$AW103,$A$10:$J$11,$J$9,FALSE)&amp;AE$7,COM_N_2012!$B$58:$AJ$58,0),FALSE),"")</f>
        <v/>
      </c>
      <c r="AF103" s="391" t="str">
        <f ca="1">IFERROR(VLOOKUP($C103,COM_N_2012!$B$62:$AJ$122,MATCH(VLOOKUP("*"&amp;$AW103,$A$10:$J$11,$J$9,FALSE)&amp;AF$7,COM_N_2012!$B$58:$AJ$58,0),FALSE),"")</f>
        <v/>
      </c>
      <c r="AG103" s="391">
        <f ca="1">IF($A103="*","",IFERROR(VLOOKUP($C103,COM_N_2017!$B$61:$AJ$122,MATCH(VLOOKUP("*"&amp;$AW103,$A$10:$J$11,$J$9,FALSE)&amp;AG$7,COM_N_2017!$B$58:$AJ$58,0),FALSE),""))</f>
        <v>0</v>
      </c>
      <c r="AH103" s="391" t="str">
        <f ca="1">IFERROR(VLOOKUP($C103,COM_N_2012!$B$62:$AJ$122,MATCH(VLOOKUP("*"&amp;$AW103,$A$10:$J$11,$J$9,FALSE)&amp;AH$7,COM_N_2012!$B$58:$AJ$58,0),FALSE),"")</f>
        <v/>
      </c>
      <c r="AI103" s="391" t="str">
        <f ca="1">IFERROR(VLOOKUP($C103,COM_N_2012!$B$62:$AJ$122,MATCH(VLOOKUP("*"&amp;$AW103,$A$10:$J$11,$J$9,FALSE)&amp;AI$7,COM_N_2012!$B$58:$AJ$58,0),FALSE),"")</f>
        <v/>
      </c>
      <c r="AJ103" s="391" t="str">
        <f ca="1">IFERROR(VLOOKUP($C103,COM_N_2012!$B$62:$AJ$122,MATCH(VLOOKUP("*"&amp;$AW103,$A$10:$J$11,$J$9,FALSE)&amp;AJ$7,COM_N_2012!$B$58:$AJ$58,0),FALSE),"")</f>
        <v/>
      </c>
      <c r="AK103" s="391" t="str">
        <f ca="1">IFERROR(VLOOKUP($C103,COM_N_2012!$B$62:$AJ$122,MATCH(VLOOKUP("*"&amp;$AW103,$A$10:$J$11,$J$9,FALSE)&amp;AK$7,COM_N_2012!$B$58:$AJ$58,0),FALSE),"")</f>
        <v/>
      </c>
      <c r="AL103" s="391">
        <f ca="1">IF($A103="*","",IFERROR(VLOOKUP($C103,COM_N_2017!$B$61:$AJ$122,MATCH(VLOOKUP("*"&amp;$AW103,$A$10:$J$11,$J$9,FALSE)&amp;AL$7,COM_N_2017!$B$58:$AJ$58,0),FALSE),""))</f>
        <v>0</v>
      </c>
      <c r="AM103" s="391">
        <f ca="1">IF($A103="*","",IFERROR(VLOOKUP($C103,COM_N_2017!$B$61:$AJ$122,MATCH(VLOOKUP("*"&amp;$AW103,$A$10:$J$11,$J$9,FALSE)&amp;AM$7,COM_N_2017!$B$58:$AJ$58,0),FALSE),""))</f>
        <v>0</v>
      </c>
      <c r="AN103" s="391">
        <f ca="1">IF($A103="*","",IFERROR(VLOOKUP($C103,COM_N_2017!$B$61:$AJ$122,MATCH(VLOOKUP("*"&amp;$AW103,$A$10:$J$11,$J$9,FALSE)&amp;AN$7,COM_N_2017!$B$58:$AJ$58,0),FALSE),""))</f>
        <v>0</v>
      </c>
      <c r="AO103" s="391" t="str">
        <f ca="1">IFERROR(VLOOKUP($C103,COM_N_2012!$B$62:$AJ$122,MATCH(VLOOKUP("*"&amp;$AW103,$A$10:$J$11,$J$9,FALSE)&amp;AO$7,COM_N_2012!$B$58:$AJ$58,0),FALSE),"")</f>
        <v/>
      </c>
      <c r="AP103" s="391" t="str">
        <f ca="1">IFERROR(VLOOKUP($C103,COM_N_2012!$B$62:$AJ$122,MATCH(VLOOKUP("*"&amp;$AW103,$A$10:$J$11,$J$9,FALSE)&amp;AP$7,COM_N_2012!$B$58:$AJ$58,0),FALSE),"")</f>
        <v/>
      </c>
      <c r="AQ103" s="391" t="str">
        <f ca="1">IFERROR(VLOOKUP($C103,COM_N_2012!$B$62:$AJ$122,MATCH(VLOOKUP("*"&amp;$AW103,$A$10:$J$11,$J$9,FALSE)&amp;AQ$7,COM_N_2012!$B$58:$AJ$58,0),FALSE),"")</f>
        <v/>
      </c>
      <c r="AR103" s="391" t="str">
        <f ca="1">IFERROR(VLOOKUP($C103,COM_N_2012!$B$62:$AJ$122,MATCH(VLOOKUP("*"&amp;$AW103,$A$10:$J$11,$J$9,FALSE)&amp;AR$7,COM_N_2012!$B$58:$AJ$58,0),FALSE),"")</f>
        <v/>
      </c>
      <c r="AS103" s="391" t="str">
        <f ca="1">IFERROR(VLOOKUP($C103,COM_N_2012!$B$62:$AJ$122,MATCH(VLOOKUP("*"&amp;$AW103,$A$10:$J$11,$J$9,FALSE)&amp;AS$7,COM_N_2012!$B$58:$AJ$58,0),FALSE),"")</f>
        <v/>
      </c>
      <c r="AT103" s="391" t="str">
        <f ca="1">IFERROR(VLOOKUP($C103,COM_N_2012!$B$62:$AJ$122,MATCH(VLOOKUP("*"&amp;$AW103,$A$10:$J$11,$J$9,FALSE)&amp;AT$7,COM_N_2012!$B$58:$AJ$58,0),FALSE),"")</f>
        <v/>
      </c>
      <c r="AU103" s="391" t="str">
        <f ca="1">IFERROR(VLOOKUP($C103,COM_N_2012!$B$62:$AJ$122,MATCH(VLOOKUP("*"&amp;$AW103,$A$10:$J$11,$J$9,FALSE)&amp;AU$7,COM_N_2012!$B$58:$AJ$58,0),FALSE),"")</f>
        <v/>
      </c>
      <c r="AV103" s="391" t="str">
        <f ca="1">IFERROR(VLOOKUP($C103,COM_N_2012!$B$62:$AJ$122,MATCH(VLOOKUP("*"&amp;$AW103,$A$10:$J$11,$J$9,FALSE)&amp;AV$7,COM_N_2012!$B$58:$AJ$58,0),FALSE),"")</f>
        <v/>
      </c>
      <c r="AW103" s="304">
        <f>IF(AX102=COM_N_2012!$AK$121,AW102+1,AW102)</f>
        <v>2</v>
      </c>
      <c r="AX103" s="304">
        <f t="shared" si="23"/>
        <v>30</v>
      </c>
    </row>
    <row r="104" spans="1:50">
      <c r="A104" s="304" t="str">
        <f ca="1">IF(LEFT(OFFSET(COM_N_2012!$A$60,AX104,0),2)="\I","*","")</f>
        <v>*</v>
      </c>
      <c r="B104" s="369" t="str">
        <f t="shared" ca="1" si="18"/>
        <v/>
      </c>
      <c r="C104" s="369" t="str">
        <f ca="1">IF($A104="*","",OFFSET(COM_N_2012!$B$60,AX104,0))</f>
        <v/>
      </c>
      <c r="D104" s="369" t="str">
        <f t="shared" ca="1" si="19"/>
        <v/>
      </c>
      <c r="E104" s="369" t="str">
        <f t="shared" ca="1" si="20"/>
        <v/>
      </c>
      <c r="F104" s="370" t="str">
        <f t="shared" ca="1" si="22"/>
        <v/>
      </c>
      <c r="G104" s="370" t="str">
        <f t="shared" ca="1" si="22"/>
        <v/>
      </c>
      <c r="H104" s="370" t="str">
        <f t="shared" ca="1" si="21"/>
        <v/>
      </c>
      <c r="I104" s="370" t="str">
        <f t="shared" ca="1" si="21"/>
        <v/>
      </c>
      <c r="J104" s="391" t="str">
        <f ca="1">IFERROR(VLOOKUP($C104,COM_N_2012!$B$61:$AJ$122,MATCH(VLOOKUP("*"&amp;$AW104,$A$10:$J$11,$J$9,FALSE)&amp;J$7,COM_N_2012!$B$58:$AJ$58,0),FALSE),"")</f>
        <v/>
      </c>
      <c r="K104" s="391" t="str">
        <f ca="1">IFERROR(VLOOKUP($C104,COM_N_2012!$B$62:$AJ$122,MATCH(VLOOKUP("*"&amp;$AW104,$A$10:$J$11,$J$9,FALSE)&amp;K$7,COM_N_2012!$B$58:$AJ$58,0),FALSE),"")</f>
        <v/>
      </c>
      <c r="L104" s="391" t="str">
        <f ca="1">IFERROR(VLOOKUP($C104,COM_N_2012!$B$62:$AJ$122,MATCH(VLOOKUP("*"&amp;$AW104,$A$10:$J$11,$J$9,FALSE)&amp;L$7,COM_N_2012!$B$58:$AJ$58,0),FALSE),"")</f>
        <v/>
      </c>
      <c r="M104" s="391" t="str">
        <f ca="1">IFERROR(VLOOKUP($C104,COM_N_2012!$B$62:$AJ$122,MATCH(VLOOKUP("*"&amp;$AW104,$A$10:$J$11,$J$9,FALSE)&amp;M$7,COM_N_2012!$B$58:$AJ$58,0),FALSE),"")</f>
        <v/>
      </c>
      <c r="N104" s="391" t="str">
        <f ca="1">IFERROR(VLOOKUP($C104,COM_N_2012!$B$62:$AJ$122,MATCH(VLOOKUP("*"&amp;$AW104,$A$10:$J$11,$J$9,FALSE)&amp;N$7,COM_N_2012!$B$58:$AJ$58,0),FALSE),"")</f>
        <v/>
      </c>
      <c r="O104" s="391" t="str">
        <f ca="1">IF($A104="*","",IFERROR(VLOOKUP($C104,COM_N_2017!$B$61:$AJ$122,MATCH(VLOOKUP("*"&amp;$AW104,$A$10:$J$11,$J$9,FALSE)&amp;O$7,COM_N_2017!$B$58:$AJ$58,0),FALSE),""))</f>
        <v/>
      </c>
      <c r="P104" s="391" t="str">
        <f ca="1">IFERROR(VLOOKUP($C104,COM_N_2012!$B$62:$AJ$122,MATCH(VLOOKUP("*"&amp;$AW104,$A$10:$J$11,$J$9,FALSE)&amp;P$7,COM_N_2012!$B$58:$AJ$58,0),FALSE),"")</f>
        <v/>
      </c>
      <c r="Q104" s="391" t="str">
        <f ca="1">IFERROR(VLOOKUP($C104,COM_N_2012!$B$62:$AJ$122,MATCH(VLOOKUP("*"&amp;$AW104,$A$10:$J$11,$J$9,FALSE)&amp;Q$7,COM_N_2012!$B$58:$AJ$58,0),FALSE),"")</f>
        <v/>
      </c>
      <c r="R104" s="391" t="str">
        <f ca="1">IF($A104="*","",IFERROR(VLOOKUP($C104,COM_N_2017!$B$61:$AJ$122,MATCH(VLOOKUP("*"&amp;$AW104,$A$10:$J$11,$J$9,FALSE)&amp;R$7,COM_N_2017!$B$58:$AJ$58,0),FALSE),""))</f>
        <v/>
      </c>
      <c r="S104" s="391" t="str">
        <f ca="1">IFERROR(VLOOKUP($C104,COM_N_2012!$B$62:$AJ$122,MATCH(VLOOKUP("*"&amp;$AW104,$A$10:$J$11,$J$9,FALSE)&amp;S$7,COM_N_2012!$B$58:$AJ$58,0),FALSE),"")</f>
        <v/>
      </c>
      <c r="T104" s="391" t="str">
        <f ca="1">IFERROR(VLOOKUP($C104,COM_N_2012!$B$62:$AJ$122,MATCH(VLOOKUP("*"&amp;$AW104,$A$10:$J$11,$J$9,FALSE)&amp;T$7,COM_N_2012!$B$58:$AJ$58,0),FALSE),"")</f>
        <v/>
      </c>
      <c r="U104" s="391" t="str">
        <f ca="1">IFERROR(VLOOKUP($C104,COM_N_2012!$B$62:$AJ$122,MATCH(VLOOKUP("*"&amp;$AW104,$A$10:$J$11,$J$9,FALSE)&amp;U$7,COM_N_2012!$B$58:$AJ$58,0),FALSE),"")</f>
        <v/>
      </c>
      <c r="V104" s="391" t="str">
        <f ca="1">IFERROR(VLOOKUP($C104,COM_N_2012!$B$62:$AJ$122,MATCH(VLOOKUP("*"&amp;$AW104,$A$10:$J$11,$J$9,FALSE)&amp;V$7,COM_N_2012!$B$58:$AJ$58,0),FALSE),"")</f>
        <v/>
      </c>
      <c r="W104" s="391" t="str">
        <f ca="1">IF($A104="*","",IFERROR(VLOOKUP($C104,COM_N_2017!$B$61:$AJ$122,MATCH(VLOOKUP("*"&amp;$AW104,$A$10:$J$11,$J$9,FALSE)&amp;W$7,COM_N_2017!$B$58:$AJ$58,0),FALSE),""))</f>
        <v/>
      </c>
      <c r="X104" s="391" t="str">
        <f ca="1">IFERROR(VLOOKUP($C104,COM_N_2012!$B$62:$AJ$122,MATCH(VLOOKUP("*"&amp;$AW104,$A$10:$J$11,$J$9,FALSE)&amp;X$7,COM_N_2012!$B$58:$AJ$58,0),FALSE),"")</f>
        <v/>
      </c>
      <c r="Y104" s="391" t="str">
        <f ca="1">IFERROR(VLOOKUP($C104,COM_N_2012!$B$62:$AJ$122,MATCH(VLOOKUP("*"&amp;$AW104,$A$10:$J$11,$J$9,FALSE)&amp;Y$7,COM_N_2012!$B$58:$AJ$58,0),FALSE),"")</f>
        <v/>
      </c>
      <c r="Z104" s="391" t="str">
        <f ca="1">IFERROR(VLOOKUP($C104,COM_N_2012!$B$62:$AJ$122,MATCH(VLOOKUP("*"&amp;$AW104,$A$10:$J$11,$J$9,FALSE)&amp;Z$7,COM_N_2012!$B$58:$AJ$58,0),FALSE),"")</f>
        <v/>
      </c>
      <c r="AA104" s="391" t="str">
        <f ca="1">IFERROR(VLOOKUP($C104,COM_N_2012!$B$62:$AJ$122,MATCH(VLOOKUP("*"&amp;$AW104,$A$10:$J$11,$J$9,FALSE)&amp;AA$7,COM_N_2012!$B$58:$AJ$58,0),FALSE),"")</f>
        <v/>
      </c>
      <c r="AB104" s="391" t="str">
        <f ca="1">IF($A104="*","",IFERROR(VLOOKUP($C104,COM_N_2017!$B$61:$AJ$122,MATCH(VLOOKUP("*"&amp;$AW104,$A$10:$J$11,$J$9,FALSE)&amp;AB$7,COM_N_2017!$B$58:$AJ$58,0),FALSE),""))</f>
        <v/>
      </c>
      <c r="AC104" s="391" t="str">
        <f ca="1">IFERROR(VLOOKUP($C104,COM_N_2012!$B$62:$AJ$122,MATCH(VLOOKUP("*"&amp;$AW104,$A$10:$J$11,$J$9,FALSE)&amp;AC$7,COM_N_2012!$B$58:$AJ$58,0),FALSE),"")</f>
        <v/>
      </c>
      <c r="AD104" s="391" t="str">
        <f ca="1">IFERROR(VLOOKUP($C104,COM_N_2012!$B$62:$AJ$122,MATCH(VLOOKUP("*"&amp;$AW104,$A$10:$J$11,$J$9,FALSE)&amp;AD$7,COM_N_2012!$B$58:$AJ$58,0),FALSE),"")</f>
        <v/>
      </c>
      <c r="AE104" s="391" t="str">
        <f ca="1">IFERROR(VLOOKUP($C104,COM_N_2012!$B$62:$AJ$122,MATCH(VLOOKUP("*"&amp;$AW104,$A$10:$J$11,$J$9,FALSE)&amp;AE$7,COM_N_2012!$B$58:$AJ$58,0),FALSE),"")</f>
        <v/>
      </c>
      <c r="AF104" s="391" t="str">
        <f ca="1">IFERROR(VLOOKUP($C104,COM_N_2012!$B$62:$AJ$122,MATCH(VLOOKUP("*"&amp;$AW104,$A$10:$J$11,$J$9,FALSE)&amp;AF$7,COM_N_2012!$B$58:$AJ$58,0),FALSE),"")</f>
        <v/>
      </c>
      <c r="AG104" s="391" t="str">
        <f ca="1">IF($A104="*","",IFERROR(VLOOKUP($C104,COM_N_2017!$B$61:$AJ$122,MATCH(VLOOKUP("*"&amp;$AW104,$A$10:$J$11,$J$9,FALSE)&amp;AG$7,COM_N_2017!$B$58:$AJ$58,0),FALSE),""))</f>
        <v/>
      </c>
      <c r="AH104" s="391" t="str">
        <f ca="1">IFERROR(VLOOKUP($C104,COM_N_2012!$B$62:$AJ$122,MATCH(VLOOKUP("*"&amp;$AW104,$A$10:$J$11,$J$9,FALSE)&amp;AH$7,COM_N_2012!$B$58:$AJ$58,0),FALSE),"")</f>
        <v/>
      </c>
      <c r="AI104" s="391" t="str">
        <f ca="1">IFERROR(VLOOKUP($C104,COM_N_2012!$B$62:$AJ$122,MATCH(VLOOKUP("*"&amp;$AW104,$A$10:$J$11,$J$9,FALSE)&amp;AI$7,COM_N_2012!$B$58:$AJ$58,0),FALSE),"")</f>
        <v/>
      </c>
      <c r="AJ104" s="391" t="str">
        <f ca="1">IFERROR(VLOOKUP($C104,COM_N_2012!$B$62:$AJ$122,MATCH(VLOOKUP("*"&amp;$AW104,$A$10:$J$11,$J$9,FALSE)&amp;AJ$7,COM_N_2012!$B$58:$AJ$58,0),FALSE),"")</f>
        <v/>
      </c>
      <c r="AK104" s="391" t="str">
        <f ca="1">IFERROR(VLOOKUP($C104,COM_N_2012!$B$62:$AJ$122,MATCH(VLOOKUP("*"&amp;$AW104,$A$10:$J$11,$J$9,FALSE)&amp;AK$7,COM_N_2012!$B$58:$AJ$58,0),FALSE),"")</f>
        <v/>
      </c>
      <c r="AL104" s="391" t="str">
        <f ca="1">IF($A104="*","",IFERROR(VLOOKUP($C104,COM_N_2017!$B$61:$AJ$122,MATCH(VLOOKUP("*"&amp;$AW104,$A$10:$J$11,$J$9,FALSE)&amp;AL$7,COM_N_2017!$B$58:$AJ$58,0),FALSE),""))</f>
        <v/>
      </c>
      <c r="AM104" s="391" t="str">
        <f ca="1">IF($A104="*","",IFERROR(VLOOKUP($C104,COM_N_2017!$B$61:$AJ$122,MATCH(VLOOKUP("*"&amp;$AW104,$A$10:$J$11,$J$9,FALSE)&amp;AM$7,COM_N_2017!$B$58:$AJ$58,0),FALSE),""))</f>
        <v/>
      </c>
      <c r="AN104" s="391" t="str">
        <f ca="1">IF($A104="*","",IFERROR(VLOOKUP($C104,COM_N_2017!$B$61:$AJ$122,MATCH(VLOOKUP("*"&amp;$AW104,$A$10:$J$11,$J$9,FALSE)&amp;AN$7,COM_N_2017!$B$58:$AJ$58,0),FALSE),""))</f>
        <v/>
      </c>
      <c r="AO104" s="391" t="str">
        <f ca="1">IFERROR(VLOOKUP($C104,COM_N_2012!$B$62:$AJ$122,MATCH(VLOOKUP("*"&amp;$AW104,$A$10:$J$11,$J$9,FALSE)&amp;AO$7,COM_N_2012!$B$58:$AJ$58,0),FALSE),"")</f>
        <v/>
      </c>
      <c r="AP104" s="391" t="str">
        <f ca="1">IFERROR(VLOOKUP($C104,COM_N_2012!$B$62:$AJ$122,MATCH(VLOOKUP("*"&amp;$AW104,$A$10:$J$11,$J$9,FALSE)&amp;AP$7,COM_N_2012!$B$58:$AJ$58,0),FALSE),"")</f>
        <v/>
      </c>
      <c r="AQ104" s="391" t="str">
        <f ca="1">IFERROR(VLOOKUP($C104,COM_N_2012!$B$62:$AJ$122,MATCH(VLOOKUP("*"&amp;$AW104,$A$10:$J$11,$J$9,FALSE)&amp;AQ$7,COM_N_2012!$B$58:$AJ$58,0),FALSE),"")</f>
        <v/>
      </c>
      <c r="AR104" s="391" t="str">
        <f ca="1">IFERROR(VLOOKUP($C104,COM_N_2012!$B$62:$AJ$122,MATCH(VLOOKUP("*"&amp;$AW104,$A$10:$J$11,$J$9,FALSE)&amp;AR$7,COM_N_2012!$B$58:$AJ$58,0),FALSE),"")</f>
        <v/>
      </c>
      <c r="AS104" s="391" t="str">
        <f ca="1">IFERROR(VLOOKUP($C104,COM_N_2012!$B$62:$AJ$122,MATCH(VLOOKUP("*"&amp;$AW104,$A$10:$J$11,$J$9,FALSE)&amp;AS$7,COM_N_2012!$B$58:$AJ$58,0),FALSE),"")</f>
        <v/>
      </c>
      <c r="AT104" s="391" t="str">
        <f ca="1">IFERROR(VLOOKUP($C104,COM_N_2012!$B$62:$AJ$122,MATCH(VLOOKUP("*"&amp;$AW104,$A$10:$J$11,$J$9,FALSE)&amp;AT$7,COM_N_2012!$B$58:$AJ$58,0),FALSE),"")</f>
        <v/>
      </c>
      <c r="AU104" s="391" t="str">
        <f ca="1">IFERROR(VLOOKUP($C104,COM_N_2012!$B$62:$AJ$122,MATCH(VLOOKUP("*"&amp;$AW104,$A$10:$J$11,$J$9,FALSE)&amp;AU$7,COM_N_2012!$B$58:$AJ$58,0),FALSE),"")</f>
        <v/>
      </c>
      <c r="AV104" s="391" t="str">
        <f ca="1">IFERROR(VLOOKUP($C104,COM_N_2012!$B$62:$AJ$122,MATCH(VLOOKUP("*"&amp;$AW104,$A$10:$J$11,$J$9,FALSE)&amp;AV$7,COM_N_2012!$B$58:$AJ$58,0),FALSE),"")</f>
        <v/>
      </c>
      <c r="AW104" s="304">
        <f>IF(AX103=COM_N_2012!$AK$121,AW103+1,AW103)</f>
        <v>2</v>
      </c>
      <c r="AX104" s="304">
        <f t="shared" si="23"/>
        <v>31</v>
      </c>
    </row>
    <row r="105" spans="1:50">
      <c r="A105" s="304" t="str">
        <f ca="1">IF(LEFT(OFFSET(COM_N_2012!$A$60,AX105,0),2)="\I","*","")</f>
        <v>*</v>
      </c>
      <c r="B105" s="369" t="str">
        <f t="shared" ca="1" si="18"/>
        <v/>
      </c>
      <c r="C105" s="369" t="str">
        <f ca="1">IF($A105="*","",OFFSET(COM_N_2012!$B$60,AX105,0))</f>
        <v/>
      </c>
      <c r="D105" s="369" t="str">
        <f t="shared" ca="1" si="19"/>
        <v/>
      </c>
      <c r="E105" s="369" t="str">
        <f t="shared" ca="1" si="20"/>
        <v/>
      </c>
      <c r="F105" s="370" t="str">
        <f t="shared" ca="1" si="22"/>
        <v/>
      </c>
      <c r="G105" s="370" t="str">
        <f t="shared" ca="1" si="22"/>
        <v/>
      </c>
      <c r="H105" s="370" t="str">
        <f t="shared" ca="1" si="21"/>
        <v/>
      </c>
      <c r="I105" s="370" t="str">
        <f t="shared" ca="1" si="21"/>
        <v/>
      </c>
      <c r="J105" s="391" t="str">
        <f ca="1">IFERROR(VLOOKUP($C105,COM_N_2012!$B$61:$AJ$122,MATCH(VLOOKUP("*"&amp;$AW105,$A$10:$J$11,$J$9,FALSE)&amp;J$7,COM_N_2012!$B$58:$AJ$58,0),FALSE),"")</f>
        <v/>
      </c>
      <c r="K105" s="391" t="str">
        <f ca="1">IFERROR(VLOOKUP($C105,COM_N_2012!$B$62:$AJ$122,MATCH(VLOOKUP("*"&amp;$AW105,$A$10:$J$11,$J$9,FALSE)&amp;K$7,COM_N_2012!$B$58:$AJ$58,0),FALSE),"")</f>
        <v/>
      </c>
      <c r="L105" s="391" t="str">
        <f ca="1">IFERROR(VLOOKUP($C105,COM_N_2012!$B$62:$AJ$122,MATCH(VLOOKUP("*"&amp;$AW105,$A$10:$J$11,$J$9,FALSE)&amp;L$7,COM_N_2012!$B$58:$AJ$58,0),FALSE),"")</f>
        <v/>
      </c>
      <c r="M105" s="391" t="str">
        <f ca="1">IFERROR(VLOOKUP($C105,COM_N_2012!$B$62:$AJ$122,MATCH(VLOOKUP("*"&amp;$AW105,$A$10:$J$11,$J$9,FALSE)&amp;M$7,COM_N_2012!$B$58:$AJ$58,0),FALSE),"")</f>
        <v/>
      </c>
      <c r="N105" s="391" t="str">
        <f ca="1">IFERROR(VLOOKUP($C105,COM_N_2012!$B$62:$AJ$122,MATCH(VLOOKUP("*"&amp;$AW105,$A$10:$J$11,$J$9,FALSE)&amp;N$7,COM_N_2012!$B$58:$AJ$58,0),FALSE),"")</f>
        <v/>
      </c>
      <c r="O105" s="391" t="str">
        <f ca="1">IF($A105="*","",IFERROR(VLOOKUP($C105,COM_N_2017!$B$61:$AJ$122,MATCH(VLOOKUP("*"&amp;$AW105,$A$10:$J$11,$J$9,FALSE)&amp;O$7,COM_N_2017!$B$58:$AJ$58,0),FALSE),""))</f>
        <v/>
      </c>
      <c r="P105" s="391" t="str">
        <f ca="1">IFERROR(VLOOKUP($C105,COM_N_2012!$B$62:$AJ$122,MATCH(VLOOKUP("*"&amp;$AW105,$A$10:$J$11,$J$9,FALSE)&amp;P$7,COM_N_2012!$B$58:$AJ$58,0),FALSE),"")</f>
        <v/>
      </c>
      <c r="Q105" s="391" t="str">
        <f ca="1">IFERROR(VLOOKUP($C105,COM_N_2012!$B$62:$AJ$122,MATCH(VLOOKUP("*"&amp;$AW105,$A$10:$J$11,$J$9,FALSE)&amp;Q$7,COM_N_2012!$B$58:$AJ$58,0),FALSE),"")</f>
        <v/>
      </c>
      <c r="R105" s="391" t="str">
        <f ca="1">IF($A105="*","",IFERROR(VLOOKUP($C105,COM_N_2017!$B$61:$AJ$122,MATCH(VLOOKUP("*"&amp;$AW105,$A$10:$J$11,$J$9,FALSE)&amp;R$7,COM_N_2017!$B$58:$AJ$58,0),FALSE),""))</f>
        <v/>
      </c>
      <c r="S105" s="391" t="str">
        <f ca="1">IFERROR(VLOOKUP($C105,COM_N_2012!$B$62:$AJ$122,MATCH(VLOOKUP("*"&amp;$AW105,$A$10:$J$11,$J$9,FALSE)&amp;S$7,COM_N_2012!$B$58:$AJ$58,0),FALSE),"")</f>
        <v/>
      </c>
      <c r="T105" s="391" t="str">
        <f ca="1">IFERROR(VLOOKUP($C105,COM_N_2012!$B$62:$AJ$122,MATCH(VLOOKUP("*"&amp;$AW105,$A$10:$J$11,$J$9,FALSE)&amp;T$7,COM_N_2012!$B$58:$AJ$58,0),FALSE),"")</f>
        <v/>
      </c>
      <c r="U105" s="391" t="str">
        <f ca="1">IFERROR(VLOOKUP($C105,COM_N_2012!$B$62:$AJ$122,MATCH(VLOOKUP("*"&amp;$AW105,$A$10:$J$11,$J$9,FALSE)&amp;U$7,COM_N_2012!$B$58:$AJ$58,0),FALSE),"")</f>
        <v/>
      </c>
      <c r="V105" s="391" t="str">
        <f ca="1">IFERROR(VLOOKUP($C105,COM_N_2012!$B$62:$AJ$122,MATCH(VLOOKUP("*"&amp;$AW105,$A$10:$J$11,$J$9,FALSE)&amp;V$7,COM_N_2012!$B$58:$AJ$58,0),FALSE),"")</f>
        <v/>
      </c>
      <c r="W105" s="391" t="str">
        <f ca="1">IF($A105="*","",IFERROR(VLOOKUP($C105,COM_N_2017!$B$61:$AJ$122,MATCH(VLOOKUP("*"&amp;$AW105,$A$10:$J$11,$J$9,FALSE)&amp;W$7,COM_N_2017!$B$58:$AJ$58,0),FALSE),""))</f>
        <v/>
      </c>
      <c r="X105" s="391" t="str">
        <f ca="1">IFERROR(VLOOKUP($C105,COM_N_2012!$B$62:$AJ$122,MATCH(VLOOKUP("*"&amp;$AW105,$A$10:$J$11,$J$9,FALSE)&amp;X$7,COM_N_2012!$B$58:$AJ$58,0),FALSE),"")</f>
        <v/>
      </c>
      <c r="Y105" s="391" t="str">
        <f ca="1">IFERROR(VLOOKUP($C105,COM_N_2012!$B$62:$AJ$122,MATCH(VLOOKUP("*"&amp;$AW105,$A$10:$J$11,$J$9,FALSE)&amp;Y$7,COM_N_2012!$B$58:$AJ$58,0),FALSE),"")</f>
        <v/>
      </c>
      <c r="Z105" s="391" t="str">
        <f ca="1">IFERROR(VLOOKUP($C105,COM_N_2012!$B$62:$AJ$122,MATCH(VLOOKUP("*"&amp;$AW105,$A$10:$J$11,$J$9,FALSE)&amp;Z$7,COM_N_2012!$B$58:$AJ$58,0),FALSE),"")</f>
        <v/>
      </c>
      <c r="AA105" s="391" t="str">
        <f ca="1">IFERROR(VLOOKUP($C105,COM_N_2012!$B$62:$AJ$122,MATCH(VLOOKUP("*"&amp;$AW105,$A$10:$J$11,$J$9,FALSE)&amp;AA$7,COM_N_2012!$B$58:$AJ$58,0),FALSE),"")</f>
        <v/>
      </c>
      <c r="AB105" s="391" t="str">
        <f ca="1">IF($A105="*","",IFERROR(VLOOKUP($C105,COM_N_2017!$B$61:$AJ$122,MATCH(VLOOKUP("*"&amp;$AW105,$A$10:$J$11,$J$9,FALSE)&amp;AB$7,COM_N_2017!$B$58:$AJ$58,0),FALSE),""))</f>
        <v/>
      </c>
      <c r="AC105" s="391" t="str">
        <f ca="1">IFERROR(VLOOKUP($C105,COM_N_2012!$B$62:$AJ$122,MATCH(VLOOKUP("*"&amp;$AW105,$A$10:$J$11,$J$9,FALSE)&amp;AC$7,COM_N_2012!$B$58:$AJ$58,0),FALSE),"")</f>
        <v/>
      </c>
      <c r="AD105" s="391" t="str">
        <f ca="1">IFERROR(VLOOKUP($C105,COM_N_2012!$B$62:$AJ$122,MATCH(VLOOKUP("*"&amp;$AW105,$A$10:$J$11,$J$9,FALSE)&amp;AD$7,COM_N_2012!$B$58:$AJ$58,0),FALSE),"")</f>
        <v/>
      </c>
      <c r="AE105" s="391" t="str">
        <f ca="1">IFERROR(VLOOKUP($C105,COM_N_2012!$B$62:$AJ$122,MATCH(VLOOKUP("*"&amp;$AW105,$A$10:$J$11,$J$9,FALSE)&amp;AE$7,COM_N_2012!$B$58:$AJ$58,0),FALSE),"")</f>
        <v/>
      </c>
      <c r="AF105" s="391" t="str">
        <f ca="1">IFERROR(VLOOKUP($C105,COM_N_2012!$B$62:$AJ$122,MATCH(VLOOKUP("*"&amp;$AW105,$A$10:$J$11,$J$9,FALSE)&amp;AF$7,COM_N_2012!$B$58:$AJ$58,0),FALSE),"")</f>
        <v/>
      </c>
      <c r="AG105" s="391" t="str">
        <f ca="1">IF($A105="*","",IFERROR(VLOOKUP($C105,COM_N_2017!$B$61:$AJ$122,MATCH(VLOOKUP("*"&amp;$AW105,$A$10:$J$11,$J$9,FALSE)&amp;AG$7,COM_N_2017!$B$58:$AJ$58,0),FALSE),""))</f>
        <v/>
      </c>
      <c r="AH105" s="391" t="str">
        <f ca="1">IFERROR(VLOOKUP($C105,COM_N_2012!$B$62:$AJ$122,MATCH(VLOOKUP("*"&amp;$AW105,$A$10:$J$11,$J$9,FALSE)&amp;AH$7,COM_N_2012!$B$58:$AJ$58,0),FALSE),"")</f>
        <v/>
      </c>
      <c r="AI105" s="391" t="str">
        <f ca="1">IFERROR(VLOOKUP($C105,COM_N_2012!$B$62:$AJ$122,MATCH(VLOOKUP("*"&amp;$AW105,$A$10:$J$11,$J$9,FALSE)&amp;AI$7,COM_N_2012!$B$58:$AJ$58,0),FALSE),"")</f>
        <v/>
      </c>
      <c r="AJ105" s="391" t="str">
        <f ca="1">IFERROR(VLOOKUP($C105,COM_N_2012!$B$62:$AJ$122,MATCH(VLOOKUP("*"&amp;$AW105,$A$10:$J$11,$J$9,FALSE)&amp;AJ$7,COM_N_2012!$B$58:$AJ$58,0),FALSE),"")</f>
        <v/>
      </c>
      <c r="AK105" s="391" t="str">
        <f ca="1">IFERROR(VLOOKUP($C105,COM_N_2012!$B$62:$AJ$122,MATCH(VLOOKUP("*"&amp;$AW105,$A$10:$J$11,$J$9,FALSE)&amp;AK$7,COM_N_2012!$B$58:$AJ$58,0),FALSE),"")</f>
        <v/>
      </c>
      <c r="AL105" s="391" t="str">
        <f ca="1">IF($A105="*","",IFERROR(VLOOKUP($C105,COM_N_2017!$B$61:$AJ$122,MATCH(VLOOKUP("*"&amp;$AW105,$A$10:$J$11,$J$9,FALSE)&amp;AL$7,COM_N_2017!$B$58:$AJ$58,0),FALSE),""))</f>
        <v/>
      </c>
      <c r="AM105" s="391" t="str">
        <f ca="1">IF($A105="*","",IFERROR(VLOOKUP($C105,COM_N_2017!$B$61:$AJ$122,MATCH(VLOOKUP("*"&amp;$AW105,$A$10:$J$11,$J$9,FALSE)&amp;AM$7,COM_N_2017!$B$58:$AJ$58,0),FALSE),""))</f>
        <v/>
      </c>
      <c r="AN105" s="391" t="str">
        <f ca="1">IF($A105="*","",IFERROR(VLOOKUP($C105,COM_N_2017!$B$61:$AJ$122,MATCH(VLOOKUP("*"&amp;$AW105,$A$10:$J$11,$J$9,FALSE)&amp;AN$7,COM_N_2017!$B$58:$AJ$58,0),FALSE),""))</f>
        <v/>
      </c>
      <c r="AO105" s="391" t="str">
        <f ca="1">IFERROR(VLOOKUP($C105,COM_N_2012!$B$62:$AJ$122,MATCH(VLOOKUP("*"&amp;$AW105,$A$10:$J$11,$J$9,FALSE)&amp;AO$7,COM_N_2012!$B$58:$AJ$58,0),FALSE),"")</f>
        <v/>
      </c>
      <c r="AP105" s="391" t="str">
        <f ca="1">IFERROR(VLOOKUP($C105,COM_N_2012!$B$62:$AJ$122,MATCH(VLOOKUP("*"&amp;$AW105,$A$10:$J$11,$J$9,FALSE)&amp;AP$7,COM_N_2012!$B$58:$AJ$58,0),FALSE),"")</f>
        <v/>
      </c>
      <c r="AQ105" s="391" t="str">
        <f ca="1">IFERROR(VLOOKUP($C105,COM_N_2012!$B$62:$AJ$122,MATCH(VLOOKUP("*"&amp;$AW105,$A$10:$J$11,$J$9,FALSE)&amp;AQ$7,COM_N_2012!$B$58:$AJ$58,0),FALSE),"")</f>
        <v/>
      </c>
      <c r="AR105" s="391" t="str">
        <f ca="1">IFERROR(VLOOKUP($C105,COM_N_2012!$B$62:$AJ$122,MATCH(VLOOKUP("*"&amp;$AW105,$A$10:$J$11,$J$9,FALSE)&amp;AR$7,COM_N_2012!$B$58:$AJ$58,0),FALSE),"")</f>
        <v/>
      </c>
      <c r="AS105" s="391" t="str">
        <f ca="1">IFERROR(VLOOKUP($C105,COM_N_2012!$B$62:$AJ$122,MATCH(VLOOKUP("*"&amp;$AW105,$A$10:$J$11,$J$9,FALSE)&amp;AS$7,COM_N_2012!$B$58:$AJ$58,0),FALSE),"")</f>
        <v/>
      </c>
      <c r="AT105" s="391" t="str">
        <f ca="1">IFERROR(VLOOKUP($C105,COM_N_2012!$B$62:$AJ$122,MATCH(VLOOKUP("*"&amp;$AW105,$A$10:$J$11,$J$9,FALSE)&amp;AT$7,COM_N_2012!$B$58:$AJ$58,0),FALSE),"")</f>
        <v/>
      </c>
      <c r="AU105" s="391" t="str">
        <f ca="1">IFERROR(VLOOKUP($C105,COM_N_2012!$B$62:$AJ$122,MATCH(VLOOKUP("*"&amp;$AW105,$A$10:$J$11,$J$9,FALSE)&amp;AU$7,COM_N_2012!$B$58:$AJ$58,0),FALSE),"")</f>
        <v/>
      </c>
      <c r="AV105" s="391" t="str">
        <f ca="1">IFERROR(VLOOKUP($C105,COM_N_2012!$B$62:$AJ$122,MATCH(VLOOKUP("*"&amp;$AW105,$A$10:$J$11,$J$9,FALSE)&amp;AV$7,COM_N_2012!$B$58:$AJ$58,0),FALSE),"")</f>
        <v/>
      </c>
      <c r="AW105" s="304">
        <f>IF(AX104=COM_N_2012!$AK$121,AW104+1,AW104)</f>
        <v>2</v>
      </c>
      <c r="AX105" s="304">
        <f t="shared" si="23"/>
        <v>32</v>
      </c>
    </row>
    <row r="106" spans="1:50">
      <c r="A106" s="304" t="str">
        <f ca="1">IF(LEFT(OFFSET(COM_N_2012!$A$60,AX106,0),2)="\I","*","")</f>
        <v/>
      </c>
      <c r="B106" s="369" t="str">
        <f t="shared" ca="1" si="18"/>
        <v>FLO_MRKPRD</v>
      </c>
      <c r="C106" s="369" t="str">
        <f ca="1">IF($A106="*","",OFFSET(COM_N_2012!$B$60,AX106,0))</f>
        <v>CNWELC-E</v>
      </c>
      <c r="D106" s="369" t="str">
        <f t="shared" ca="1" si="19"/>
        <v>CNW</v>
      </c>
      <c r="E106" s="369" t="str">
        <f t="shared" ca="1" si="20"/>
        <v>-</v>
      </c>
      <c r="F106" s="370" t="str">
        <f t="shared" ca="1" si="22"/>
        <v>-</v>
      </c>
      <c r="G106" s="370" t="str">
        <f t="shared" ca="1" si="22"/>
        <v>ANNUAL</v>
      </c>
      <c r="H106" s="370" t="str">
        <f t="shared" ca="1" si="21"/>
        <v>LO</v>
      </c>
      <c r="I106" s="370">
        <f t="shared" ca="1" si="21"/>
        <v>0</v>
      </c>
      <c r="J106" s="391">
        <f ca="1">IFERROR(VLOOKUP($C106,COM_N_2012!$B$61:$AJ$122,MATCH(VLOOKUP("*"&amp;$AW106,$A$10:$J$11,$J$9,FALSE)&amp;J$7,COM_N_2012!$B$58:$AJ$58,0),FALSE),"")</f>
        <v>0.13089850680262002</v>
      </c>
      <c r="K106" s="391" t="str">
        <f ca="1">IFERROR(VLOOKUP($C106,COM_N_2012!$B$62:$AJ$122,MATCH(VLOOKUP("*"&amp;$AW106,$A$10:$J$11,$J$9,FALSE)&amp;K$7,COM_N_2012!$B$58:$AJ$58,0),FALSE),"")</f>
        <v/>
      </c>
      <c r="L106" s="391" t="str">
        <f ca="1">IFERROR(VLOOKUP($C106,COM_N_2012!$B$62:$AJ$122,MATCH(VLOOKUP("*"&amp;$AW106,$A$10:$J$11,$J$9,FALSE)&amp;L$7,COM_N_2012!$B$58:$AJ$58,0),FALSE),"")</f>
        <v/>
      </c>
      <c r="M106" s="391">
        <f ca="1">IFERROR(VLOOKUP($C106,COM_N_2012!$B$62:$AJ$122,MATCH(VLOOKUP("*"&amp;$AW106,$A$10:$J$11,$J$9,FALSE)&amp;M$7,COM_N_2012!$B$58:$AJ$58,0),FALSE),"")</f>
        <v>0.10471880544209602</v>
      </c>
      <c r="N106" s="391" t="str">
        <f ca="1">IFERROR(VLOOKUP($C106,COM_N_2012!$B$62:$AJ$122,MATCH(VLOOKUP("*"&amp;$AW106,$A$10:$J$11,$J$9,FALSE)&amp;N$7,COM_N_2012!$B$58:$AJ$58,0),FALSE),"")</f>
        <v/>
      </c>
      <c r="O106" s="391">
        <f ca="1">IF($A106="*","",IFERROR(VLOOKUP($C106,COM_N_2017!$B$61:$AJ$122,MATCH(VLOOKUP("*"&amp;$AW106,$A$10:$J$11,$J$9,FALSE)&amp;O$7,COM_N_2017!$B$58:$AJ$58,0),FALSE),""))</f>
        <v>0.11201629971765935</v>
      </c>
      <c r="P106" s="391" t="str">
        <f ca="1">IFERROR(VLOOKUP($C106,COM_N_2012!$B$62:$AJ$122,MATCH(VLOOKUP("*"&amp;$AW106,$A$10:$J$11,$J$9,FALSE)&amp;P$7,COM_N_2012!$B$58:$AJ$58,0),FALSE),"")</f>
        <v/>
      </c>
      <c r="Q106" s="391" t="str">
        <f ca="1">IFERROR(VLOOKUP($C106,COM_N_2012!$B$62:$AJ$122,MATCH(VLOOKUP("*"&amp;$AW106,$A$10:$J$11,$J$9,FALSE)&amp;Q$7,COM_N_2012!$B$58:$AJ$58,0),FALSE),"")</f>
        <v/>
      </c>
      <c r="R106" s="391">
        <f ca="1">IF($A106="*","",IFERROR(VLOOKUP($C106,COM_N_2017!$B$61:$AJ$122,MATCH(VLOOKUP("*"&amp;$AW106,$A$10:$J$11,$J$9,FALSE)&amp;R$7,COM_N_2017!$B$58:$AJ$58,0),FALSE),""))</f>
        <v>0.10865581072612956</v>
      </c>
      <c r="S106" s="391" t="str">
        <f ca="1">IFERROR(VLOOKUP($C106,COM_N_2012!$B$62:$AJ$122,MATCH(VLOOKUP("*"&amp;$AW106,$A$10:$J$11,$J$9,FALSE)&amp;S$7,COM_N_2012!$B$58:$AJ$58,0),FALSE),"")</f>
        <v/>
      </c>
      <c r="T106" s="391" t="str">
        <f ca="1">IFERROR(VLOOKUP($C106,COM_N_2012!$B$62:$AJ$122,MATCH(VLOOKUP("*"&amp;$AW106,$A$10:$J$11,$J$9,FALSE)&amp;T$7,COM_N_2012!$B$58:$AJ$58,0),FALSE),"")</f>
        <v/>
      </c>
      <c r="U106" s="391" t="str">
        <f ca="1">IFERROR(VLOOKUP($C106,COM_N_2012!$B$62:$AJ$122,MATCH(VLOOKUP("*"&amp;$AW106,$A$10:$J$11,$J$9,FALSE)&amp;U$7,COM_N_2012!$B$58:$AJ$58,0),FALSE),"")</f>
        <v/>
      </c>
      <c r="V106" s="391" t="str">
        <f ca="1">IFERROR(VLOOKUP($C106,COM_N_2012!$B$62:$AJ$122,MATCH(VLOOKUP("*"&amp;$AW106,$A$10:$J$11,$J$9,FALSE)&amp;V$7,COM_N_2012!$B$58:$AJ$58,0),FALSE),"")</f>
        <v/>
      </c>
      <c r="W106" s="391">
        <f ca="1">IF($A106="*","",IFERROR(VLOOKUP($C106,COM_N_2017!$B$61:$AJ$122,MATCH(VLOOKUP("*"&amp;$AW106,$A$10:$J$11,$J$9,FALSE)&amp;W$7,COM_N_2017!$B$58:$AJ$58,0),FALSE),""))</f>
        <v>0.10081466974589341</v>
      </c>
      <c r="X106" s="391" t="str">
        <f ca="1">IFERROR(VLOOKUP($C106,COM_N_2012!$B$62:$AJ$122,MATCH(VLOOKUP("*"&amp;$AW106,$A$10:$J$11,$J$9,FALSE)&amp;X$7,COM_N_2012!$B$58:$AJ$58,0),FALSE),"")</f>
        <v/>
      </c>
      <c r="Y106" s="391" t="str">
        <f ca="1">IFERROR(VLOOKUP($C106,COM_N_2012!$B$62:$AJ$122,MATCH(VLOOKUP("*"&amp;$AW106,$A$10:$J$11,$J$9,FALSE)&amp;Y$7,COM_N_2012!$B$58:$AJ$58,0),FALSE),"")</f>
        <v/>
      </c>
      <c r="Z106" s="391" t="str">
        <f ca="1">IFERROR(VLOOKUP($C106,COM_N_2012!$B$62:$AJ$122,MATCH(VLOOKUP("*"&amp;$AW106,$A$10:$J$11,$J$9,FALSE)&amp;Z$7,COM_N_2012!$B$58:$AJ$58,0),FALSE),"")</f>
        <v/>
      </c>
      <c r="AA106" s="391" t="str">
        <f ca="1">IFERROR(VLOOKUP($C106,COM_N_2012!$B$62:$AJ$122,MATCH(VLOOKUP("*"&amp;$AW106,$A$10:$J$11,$J$9,FALSE)&amp;AA$7,COM_N_2012!$B$58:$AJ$58,0),FALSE),"")</f>
        <v/>
      </c>
      <c r="AB106" s="391">
        <f ca="1">IF($A106="*","",IFERROR(VLOOKUP($C106,COM_N_2017!$B$61:$AJ$122,MATCH(VLOOKUP("*"&amp;$AW106,$A$10:$J$11,$J$9,FALSE)&amp;AB$7,COM_N_2017!$B$58:$AJ$58,0),FALSE),""))</f>
        <v>7.841140980236154E-2</v>
      </c>
      <c r="AC106" s="391" t="str">
        <f ca="1">IFERROR(VLOOKUP($C106,COM_N_2012!$B$62:$AJ$122,MATCH(VLOOKUP("*"&amp;$AW106,$A$10:$J$11,$J$9,FALSE)&amp;AC$7,COM_N_2012!$B$58:$AJ$58,0),FALSE),"")</f>
        <v/>
      </c>
      <c r="AD106" s="391" t="str">
        <f ca="1">IFERROR(VLOOKUP($C106,COM_N_2012!$B$62:$AJ$122,MATCH(VLOOKUP("*"&amp;$AW106,$A$10:$J$11,$J$9,FALSE)&amp;AD$7,COM_N_2012!$B$58:$AJ$58,0),FALSE),"")</f>
        <v/>
      </c>
      <c r="AE106" s="391" t="str">
        <f ca="1">IFERROR(VLOOKUP($C106,COM_N_2012!$B$62:$AJ$122,MATCH(VLOOKUP("*"&amp;$AW106,$A$10:$J$11,$J$9,FALSE)&amp;AE$7,COM_N_2012!$B$58:$AJ$58,0),FALSE),"")</f>
        <v/>
      </c>
      <c r="AF106" s="391" t="str">
        <f ca="1">IFERROR(VLOOKUP($C106,COM_N_2012!$B$62:$AJ$122,MATCH(VLOOKUP("*"&amp;$AW106,$A$10:$J$11,$J$9,FALSE)&amp;AF$7,COM_N_2012!$B$58:$AJ$58,0),FALSE),"")</f>
        <v/>
      </c>
      <c r="AG106" s="391">
        <f ca="1">IF($A106="*","",IFERROR(VLOOKUP($C106,COM_N_2017!$B$61:$AJ$122,MATCH(VLOOKUP("*"&amp;$AW106,$A$10:$J$11,$J$9,FALSE)&amp;AG$7,COM_N_2017!$B$58:$AJ$58,0),FALSE),""))</f>
        <v>5.6008149858829674E-2</v>
      </c>
      <c r="AH106" s="391" t="str">
        <f ca="1">IFERROR(VLOOKUP($C106,COM_N_2012!$B$62:$AJ$122,MATCH(VLOOKUP("*"&amp;$AW106,$A$10:$J$11,$J$9,FALSE)&amp;AH$7,COM_N_2012!$B$58:$AJ$58,0),FALSE),"")</f>
        <v/>
      </c>
      <c r="AI106" s="391" t="str">
        <f ca="1">IFERROR(VLOOKUP($C106,COM_N_2012!$B$62:$AJ$122,MATCH(VLOOKUP("*"&amp;$AW106,$A$10:$J$11,$J$9,FALSE)&amp;AI$7,COM_N_2012!$B$58:$AJ$58,0),FALSE),"")</f>
        <v/>
      </c>
      <c r="AJ106" s="391" t="str">
        <f ca="1">IFERROR(VLOOKUP($C106,COM_N_2012!$B$62:$AJ$122,MATCH(VLOOKUP("*"&amp;$AW106,$A$10:$J$11,$J$9,FALSE)&amp;AJ$7,COM_N_2012!$B$58:$AJ$58,0),FALSE),"")</f>
        <v/>
      </c>
      <c r="AK106" s="391" t="str">
        <f ca="1">IFERROR(VLOOKUP($C106,COM_N_2012!$B$62:$AJ$122,MATCH(VLOOKUP("*"&amp;$AW106,$A$10:$J$11,$J$9,FALSE)&amp;AK$7,COM_N_2012!$B$58:$AJ$58,0),FALSE),"")</f>
        <v/>
      </c>
      <c r="AL106" s="391">
        <f ca="1">IF($A106="*","",IFERROR(VLOOKUP($C106,COM_N_2017!$B$61:$AJ$122,MATCH(VLOOKUP("*"&amp;$AW106,$A$10:$J$11,$J$9,FALSE)&amp;AL$7,COM_N_2017!$B$58:$AJ$58,0),FALSE),""))</f>
        <v>3.3604889915297802E-2</v>
      </c>
      <c r="AM106" s="391">
        <f ca="1">IF($A106="*","",IFERROR(VLOOKUP($C106,COM_N_2017!$B$61:$AJ$122,MATCH(VLOOKUP("*"&amp;$AW106,$A$10:$J$11,$J$9,FALSE)&amp;AM$7,COM_N_2017!$B$58:$AJ$58,0),FALSE),""))</f>
        <v>1.1201629971765936E-2</v>
      </c>
      <c r="AN106" s="391">
        <f ca="1">IF($A106="*","",IFERROR(VLOOKUP($C106,COM_N_2017!$B$61:$AJ$122,MATCH(VLOOKUP("*"&amp;$AW106,$A$10:$J$11,$J$9,FALSE)&amp;AN$7,COM_N_2017!$B$58:$AJ$58,0),FALSE),""))</f>
        <v>0</v>
      </c>
      <c r="AO106" s="391" t="str">
        <f ca="1">IFERROR(VLOOKUP($C106,COM_N_2012!$B$62:$AJ$122,MATCH(VLOOKUP("*"&amp;$AW106,$A$10:$J$11,$J$9,FALSE)&amp;AO$7,COM_N_2012!$B$58:$AJ$58,0),FALSE),"")</f>
        <v/>
      </c>
      <c r="AP106" s="391" t="str">
        <f ca="1">IFERROR(VLOOKUP($C106,COM_N_2012!$B$62:$AJ$122,MATCH(VLOOKUP("*"&amp;$AW106,$A$10:$J$11,$J$9,FALSE)&amp;AP$7,COM_N_2012!$B$58:$AJ$58,0),FALSE),"")</f>
        <v/>
      </c>
      <c r="AQ106" s="391" t="str">
        <f ca="1">IFERROR(VLOOKUP($C106,COM_N_2012!$B$62:$AJ$122,MATCH(VLOOKUP("*"&amp;$AW106,$A$10:$J$11,$J$9,FALSE)&amp;AQ$7,COM_N_2012!$B$58:$AJ$58,0),FALSE),"")</f>
        <v/>
      </c>
      <c r="AR106" s="391" t="str">
        <f ca="1">IFERROR(VLOOKUP($C106,COM_N_2012!$B$62:$AJ$122,MATCH(VLOOKUP("*"&amp;$AW106,$A$10:$J$11,$J$9,FALSE)&amp;AR$7,COM_N_2012!$B$58:$AJ$58,0),FALSE),"")</f>
        <v/>
      </c>
      <c r="AS106" s="391" t="str">
        <f ca="1">IFERROR(VLOOKUP($C106,COM_N_2012!$B$62:$AJ$122,MATCH(VLOOKUP("*"&amp;$AW106,$A$10:$J$11,$J$9,FALSE)&amp;AS$7,COM_N_2012!$B$58:$AJ$58,0),FALSE),"")</f>
        <v/>
      </c>
      <c r="AT106" s="391" t="str">
        <f ca="1">IFERROR(VLOOKUP($C106,COM_N_2012!$B$62:$AJ$122,MATCH(VLOOKUP("*"&amp;$AW106,$A$10:$J$11,$J$9,FALSE)&amp;AT$7,COM_N_2012!$B$58:$AJ$58,0),FALSE),"")</f>
        <v/>
      </c>
      <c r="AU106" s="391" t="str">
        <f ca="1">IFERROR(VLOOKUP($C106,COM_N_2012!$B$62:$AJ$122,MATCH(VLOOKUP("*"&amp;$AW106,$A$10:$J$11,$J$9,FALSE)&amp;AU$7,COM_N_2012!$B$58:$AJ$58,0),FALSE),"")</f>
        <v/>
      </c>
      <c r="AV106" s="391" t="str">
        <f ca="1">IFERROR(VLOOKUP($C106,COM_N_2012!$B$62:$AJ$122,MATCH(VLOOKUP("*"&amp;$AW106,$A$10:$J$11,$J$9,FALSE)&amp;AV$7,COM_N_2012!$B$58:$AJ$58,0),FALSE),"")</f>
        <v/>
      </c>
      <c r="AW106" s="304">
        <f>IF(AX105=COM_N_2012!$AK$121,AW105+1,AW105)</f>
        <v>2</v>
      </c>
      <c r="AX106" s="304">
        <f t="shared" si="23"/>
        <v>33</v>
      </c>
    </row>
    <row r="107" spans="1:50">
      <c r="A107" s="304" t="str">
        <f ca="1">IF(LEFT(OFFSET(COM_N_2012!$A$60,AX107,0),2)="\I","*","")</f>
        <v/>
      </c>
      <c r="B107" s="369" t="str">
        <f t="shared" ca="1" si="18"/>
        <v>FLO_MRKPRD</v>
      </c>
      <c r="C107" s="369" t="str">
        <f ca="1">IF($A107="*","",OFFSET(COM_N_2012!$B$60,AX107,0))</f>
        <v>CNWCOA-E</v>
      </c>
      <c r="D107" s="369" t="str">
        <f t="shared" ca="1" si="19"/>
        <v>CNW</v>
      </c>
      <c r="E107" s="369" t="str">
        <f t="shared" ca="1" si="20"/>
        <v>-</v>
      </c>
      <c r="F107" s="370" t="str">
        <f t="shared" ca="1" si="22"/>
        <v>-</v>
      </c>
      <c r="G107" s="370" t="str">
        <f t="shared" ca="1" si="22"/>
        <v>ANNUAL</v>
      </c>
      <c r="H107" s="370" t="str">
        <f t="shared" ca="1" si="21"/>
        <v>LO</v>
      </c>
      <c r="I107" s="370">
        <f t="shared" ca="1" si="21"/>
        <v>0</v>
      </c>
      <c r="J107" s="391">
        <f ca="1">IFERROR(VLOOKUP($C107,COM_N_2012!$B$61:$AJ$122,MATCH(VLOOKUP("*"&amp;$AW107,$A$10:$J$11,$J$9,FALSE)&amp;J$7,COM_N_2012!$B$58:$AJ$58,0),FALSE),"")</f>
        <v>0.41650446606811115</v>
      </c>
      <c r="K107" s="391" t="str">
        <f ca="1">IFERROR(VLOOKUP($C107,COM_N_2012!$B$62:$AJ$122,MATCH(VLOOKUP("*"&amp;$AW107,$A$10:$J$11,$J$9,FALSE)&amp;K$7,COM_N_2012!$B$58:$AJ$58,0),FALSE),"")</f>
        <v/>
      </c>
      <c r="L107" s="391" t="str">
        <f ca="1">IFERROR(VLOOKUP($C107,COM_N_2012!$B$62:$AJ$122,MATCH(VLOOKUP("*"&amp;$AW107,$A$10:$J$11,$J$9,FALSE)&amp;L$7,COM_N_2012!$B$58:$AJ$58,0),FALSE),"")</f>
        <v/>
      </c>
      <c r="M107" s="391">
        <f ca="1">IFERROR(VLOOKUP($C107,COM_N_2012!$B$62:$AJ$122,MATCH(VLOOKUP("*"&amp;$AW107,$A$10:$J$11,$J$9,FALSE)&amp;M$7,COM_N_2012!$B$58:$AJ$58,0),FALSE),"")</f>
        <v>0.33320357285448893</v>
      </c>
      <c r="N107" s="391" t="str">
        <f ca="1">IFERROR(VLOOKUP($C107,COM_N_2012!$B$62:$AJ$122,MATCH(VLOOKUP("*"&amp;$AW107,$A$10:$J$11,$J$9,FALSE)&amp;N$7,COM_N_2012!$B$58:$AJ$58,0),FALSE),"")</f>
        <v/>
      </c>
      <c r="O107" s="391">
        <f ca="1">IF($A107="*","",IFERROR(VLOOKUP($C107,COM_N_2017!$B$61:$AJ$122,MATCH(VLOOKUP("*"&amp;$AW107,$A$10:$J$11,$J$9,FALSE)&amp;O$7,COM_N_2017!$B$58:$AJ$58,0),FALSE),""))</f>
        <v>0.73414712110679647</v>
      </c>
      <c r="P107" s="391" t="str">
        <f ca="1">IFERROR(VLOOKUP($C107,COM_N_2012!$B$62:$AJ$122,MATCH(VLOOKUP("*"&amp;$AW107,$A$10:$J$11,$J$9,FALSE)&amp;P$7,COM_N_2012!$B$58:$AJ$58,0),FALSE),"")</f>
        <v/>
      </c>
      <c r="Q107" s="391" t="str">
        <f ca="1">IFERROR(VLOOKUP($C107,COM_N_2012!$B$62:$AJ$122,MATCH(VLOOKUP("*"&amp;$AW107,$A$10:$J$11,$J$9,FALSE)&amp;Q$7,COM_N_2012!$B$58:$AJ$58,0),FALSE),"")</f>
        <v/>
      </c>
      <c r="R107" s="391">
        <f ca="1">IF($A107="*","",IFERROR(VLOOKUP($C107,COM_N_2017!$B$61:$AJ$122,MATCH(VLOOKUP("*"&amp;$AW107,$A$10:$J$11,$J$9,FALSE)&amp;R$7,COM_N_2017!$B$58:$AJ$58,0),FALSE),""))</f>
        <v>0.71212270747359252</v>
      </c>
      <c r="S107" s="391" t="str">
        <f ca="1">IFERROR(VLOOKUP($C107,COM_N_2012!$B$62:$AJ$122,MATCH(VLOOKUP("*"&amp;$AW107,$A$10:$J$11,$J$9,FALSE)&amp;S$7,COM_N_2012!$B$58:$AJ$58,0),FALSE),"")</f>
        <v/>
      </c>
      <c r="T107" s="391" t="str">
        <f ca="1">IFERROR(VLOOKUP($C107,COM_N_2012!$B$62:$AJ$122,MATCH(VLOOKUP("*"&amp;$AW107,$A$10:$J$11,$J$9,FALSE)&amp;T$7,COM_N_2012!$B$58:$AJ$58,0),FALSE),"")</f>
        <v/>
      </c>
      <c r="U107" s="391" t="str">
        <f ca="1">IFERROR(VLOOKUP($C107,COM_N_2012!$B$62:$AJ$122,MATCH(VLOOKUP("*"&amp;$AW107,$A$10:$J$11,$J$9,FALSE)&amp;U$7,COM_N_2012!$B$58:$AJ$58,0),FALSE),"")</f>
        <v/>
      </c>
      <c r="V107" s="391" t="str">
        <f ca="1">IFERROR(VLOOKUP($C107,COM_N_2012!$B$62:$AJ$122,MATCH(VLOOKUP("*"&amp;$AW107,$A$10:$J$11,$J$9,FALSE)&amp;V$7,COM_N_2012!$B$58:$AJ$58,0),FALSE),"")</f>
        <v/>
      </c>
      <c r="W107" s="391">
        <f ca="1">IF($A107="*","",IFERROR(VLOOKUP($C107,COM_N_2017!$B$61:$AJ$122,MATCH(VLOOKUP("*"&amp;$AW107,$A$10:$J$11,$J$9,FALSE)&amp;W$7,COM_N_2017!$B$58:$AJ$58,0),FALSE),""))</f>
        <v>0.66073240899611685</v>
      </c>
      <c r="X107" s="391" t="str">
        <f ca="1">IFERROR(VLOOKUP($C107,COM_N_2012!$B$62:$AJ$122,MATCH(VLOOKUP("*"&amp;$AW107,$A$10:$J$11,$J$9,FALSE)&amp;X$7,COM_N_2012!$B$58:$AJ$58,0),FALSE),"")</f>
        <v/>
      </c>
      <c r="Y107" s="391" t="str">
        <f ca="1">IFERROR(VLOOKUP($C107,COM_N_2012!$B$62:$AJ$122,MATCH(VLOOKUP("*"&amp;$AW107,$A$10:$J$11,$J$9,FALSE)&amp;Y$7,COM_N_2012!$B$58:$AJ$58,0),FALSE),"")</f>
        <v/>
      </c>
      <c r="Z107" s="391" t="str">
        <f ca="1">IFERROR(VLOOKUP($C107,COM_N_2012!$B$62:$AJ$122,MATCH(VLOOKUP("*"&amp;$AW107,$A$10:$J$11,$J$9,FALSE)&amp;Z$7,COM_N_2012!$B$58:$AJ$58,0),FALSE),"")</f>
        <v/>
      </c>
      <c r="AA107" s="391" t="str">
        <f ca="1">IFERROR(VLOOKUP($C107,COM_N_2012!$B$62:$AJ$122,MATCH(VLOOKUP("*"&amp;$AW107,$A$10:$J$11,$J$9,FALSE)&amp;AA$7,COM_N_2012!$B$58:$AJ$58,0),FALSE),"")</f>
        <v/>
      </c>
      <c r="AB107" s="391">
        <f ca="1">IF($A107="*","",IFERROR(VLOOKUP($C107,COM_N_2017!$B$61:$AJ$122,MATCH(VLOOKUP("*"&amp;$AW107,$A$10:$J$11,$J$9,FALSE)&amp;AB$7,COM_N_2017!$B$58:$AJ$58,0),FALSE),""))</f>
        <v>0.51390298477475749</v>
      </c>
      <c r="AC107" s="391" t="str">
        <f ca="1">IFERROR(VLOOKUP($C107,COM_N_2012!$B$62:$AJ$122,MATCH(VLOOKUP("*"&amp;$AW107,$A$10:$J$11,$J$9,FALSE)&amp;AC$7,COM_N_2012!$B$58:$AJ$58,0),FALSE),"")</f>
        <v/>
      </c>
      <c r="AD107" s="391" t="str">
        <f ca="1">IFERROR(VLOOKUP($C107,COM_N_2012!$B$62:$AJ$122,MATCH(VLOOKUP("*"&amp;$AW107,$A$10:$J$11,$J$9,FALSE)&amp;AD$7,COM_N_2012!$B$58:$AJ$58,0),FALSE),"")</f>
        <v/>
      </c>
      <c r="AE107" s="391" t="str">
        <f ca="1">IFERROR(VLOOKUP($C107,COM_N_2012!$B$62:$AJ$122,MATCH(VLOOKUP("*"&amp;$AW107,$A$10:$J$11,$J$9,FALSE)&amp;AE$7,COM_N_2012!$B$58:$AJ$58,0),FALSE),"")</f>
        <v/>
      </c>
      <c r="AF107" s="391" t="str">
        <f ca="1">IFERROR(VLOOKUP($C107,COM_N_2012!$B$62:$AJ$122,MATCH(VLOOKUP("*"&amp;$AW107,$A$10:$J$11,$J$9,FALSE)&amp;AF$7,COM_N_2012!$B$58:$AJ$58,0),FALSE),"")</f>
        <v/>
      </c>
      <c r="AG107" s="391">
        <f ca="1">IF($A107="*","",IFERROR(VLOOKUP($C107,COM_N_2017!$B$61:$AJ$122,MATCH(VLOOKUP("*"&amp;$AW107,$A$10:$J$11,$J$9,FALSE)&amp;AG$7,COM_N_2017!$B$58:$AJ$58,0),FALSE),""))</f>
        <v>0.36707356055339824</v>
      </c>
      <c r="AH107" s="391" t="str">
        <f ca="1">IFERROR(VLOOKUP($C107,COM_N_2012!$B$62:$AJ$122,MATCH(VLOOKUP("*"&amp;$AW107,$A$10:$J$11,$J$9,FALSE)&amp;AH$7,COM_N_2012!$B$58:$AJ$58,0),FALSE),"")</f>
        <v/>
      </c>
      <c r="AI107" s="391" t="str">
        <f ca="1">IFERROR(VLOOKUP($C107,COM_N_2012!$B$62:$AJ$122,MATCH(VLOOKUP("*"&amp;$AW107,$A$10:$J$11,$J$9,FALSE)&amp;AI$7,COM_N_2012!$B$58:$AJ$58,0),FALSE),"")</f>
        <v/>
      </c>
      <c r="AJ107" s="391" t="str">
        <f ca="1">IFERROR(VLOOKUP($C107,COM_N_2012!$B$62:$AJ$122,MATCH(VLOOKUP("*"&amp;$AW107,$A$10:$J$11,$J$9,FALSE)&amp;AJ$7,COM_N_2012!$B$58:$AJ$58,0),FALSE),"")</f>
        <v/>
      </c>
      <c r="AK107" s="391" t="str">
        <f ca="1">IFERROR(VLOOKUP($C107,COM_N_2012!$B$62:$AJ$122,MATCH(VLOOKUP("*"&amp;$AW107,$A$10:$J$11,$J$9,FALSE)&amp;AK$7,COM_N_2012!$B$58:$AJ$58,0),FALSE),"")</f>
        <v/>
      </c>
      <c r="AL107" s="391">
        <f ca="1">IF($A107="*","",IFERROR(VLOOKUP($C107,COM_N_2017!$B$61:$AJ$122,MATCH(VLOOKUP("*"&amp;$AW107,$A$10:$J$11,$J$9,FALSE)&amp;AL$7,COM_N_2017!$B$58:$AJ$58,0),FALSE),""))</f>
        <v>0.22024413633203893</v>
      </c>
      <c r="AM107" s="391">
        <f ca="1">IF($A107="*","",IFERROR(VLOOKUP($C107,COM_N_2017!$B$61:$AJ$122,MATCH(VLOOKUP("*"&amp;$AW107,$A$10:$J$11,$J$9,FALSE)&amp;AM$7,COM_N_2017!$B$58:$AJ$58,0),FALSE),""))</f>
        <v>7.3414712110679653E-2</v>
      </c>
      <c r="AN107" s="391">
        <f ca="1">IF($A107="*","",IFERROR(VLOOKUP($C107,COM_N_2017!$B$61:$AJ$122,MATCH(VLOOKUP("*"&amp;$AW107,$A$10:$J$11,$J$9,FALSE)&amp;AN$7,COM_N_2017!$B$58:$AJ$58,0),FALSE),""))</f>
        <v>0</v>
      </c>
      <c r="AO107" s="391" t="str">
        <f ca="1">IFERROR(VLOOKUP($C107,COM_N_2012!$B$62:$AJ$122,MATCH(VLOOKUP("*"&amp;$AW107,$A$10:$J$11,$J$9,FALSE)&amp;AO$7,COM_N_2012!$B$58:$AJ$58,0),FALSE),"")</f>
        <v/>
      </c>
      <c r="AP107" s="391" t="str">
        <f ca="1">IFERROR(VLOOKUP($C107,COM_N_2012!$B$62:$AJ$122,MATCH(VLOOKUP("*"&amp;$AW107,$A$10:$J$11,$J$9,FALSE)&amp;AP$7,COM_N_2012!$B$58:$AJ$58,0),FALSE),"")</f>
        <v/>
      </c>
      <c r="AQ107" s="391" t="str">
        <f ca="1">IFERROR(VLOOKUP($C107,COM_N_2012!$B$62:$AJ$122,MATCH(VLOOKUP("*"&amp;$AW107,$A$10:$J$11,$J$9,FALSE)&amp;AQ$7,COM_N_2012!$B$58:$AJ$58,0),FALSE),"")</f>
        <v/>
      </c>
      <c r="AR107" s="391" t="str">
        <f ca="1">IFERROR(VLOOKUP($C107,COM_N_2012!$B$62:$AJ$122,MATCH(VLOOKUP("*"&amp;$AW107,$A$10:$J$11,$J$9,FALSE)&amp;AR$7,COM_N_2012!$B$58:$AJ$58,0),FALSE),"")</f>
        <v/>
      </c>
      <c r="AS107" s="391" t="str">
        <f ca="1">IFERROR(VLOOKUP($C107,COM_N_2012!$B$62:$AJ$122,MATCH(VLOOKUP("*"&amp;$AW107,$A$10:$J$11,$J$9,FALSE)&amp;AS$7,COM_N_2012!$B$58:$AJ$58,0),FALSE),"")</f>
        <v/>
      </c>
      <c r="AT107" s="391" t="str">
        <f ca="1">IFERROR(VLOOKUP($C107,COM_N_2012!$B$62:$AJ$122,MATCH(VLOOKUP("*"&amp;$AW107,$A$10:$J$11,$J$9,FALSE)&amp;AT$7,COM_N_2012!$B$58:$AJ$58,0),FALSE),"")</f>
        <v/>
      </c>
      <c r="AU107" s="391" t="str">
        <f ca="1">IFERROR(VLOOKUP($C107,COM_N_2012!$B$62:$AJ$122,MATCH(VLOOKUP("*"&amp;$AW107,$A$10:$J$11,$J$9,FALSE)&amp;AU$7,COM_N_2012!$B$58:$AJ$58,0),FALSE),"")</f>
        <v/>
      </c>
      <c r="AV107" s="391" t="str">
        <f ca="1">IFERROR(VLOOKUP($C107,COM_N_2012!$B$62:$AJ$122,MATCH(VLOOKUP("*"&amp;$AW107,$A$10:$J$11,$J$9,FALSE)&amp;AV$7,COM_N_2012!$B$58:$AJ$58,0),FALSE),"")</f>
        <v/>
      </c>
      <c r="AW107" s="304">
        <f>IF(AX106=COM_N_2012!$AK$121,AW106+1,AW106)</f>
        <v>2</v>
      </c>
      <c r="AX107" s="304">
        <f t="shared" si="23"/>
        <v>34</v>
      </c>
    </row>
    <row r="108" spans="1:50">
      <c r="A108" s="304" t="str">
        <f ca="1">IF(LEFT(OFFSET(COM_N_2012!$A$60,AX108,0),2)="\I","*","")</f>
        <v/>
      </c>
      <c r="B108" s="369" t="str">
        <f t="shared" ca="1" si="18"/>
        <v>FLO_MRKPRD</v>
      </c>
      <c r="C108" s="369" t="str">
        <f ca="1">IF($A108="*","",OFFSET(COM_N_2012!$B$60,AX108,0))</f>
        <v>CNWOLP-E</v>
      </c>
      <c r="D108" s="369" t="str">
        <f t="shared" ca="1" si="19"/>
        <v>CNW</v>
      </c>
      <c r="E108" s="369" t="str">
        <f t="shared" ca="1" si="20"/>
        <v>-</v>
      </c>
      <c r="F108" s="370" t="str">
        <f t="shared" ca="1" si="22"/>
        <v>-</v>
      </c>
      <c r="G108" s="370" t="str">
        <f t="shared" ca="1" si="22"/>
        <v>ANNUAL</v>
      </c>
      <c r="H108" s="370" t="str">
        <f t="shared" ca="1" si="21"/>
        <v>LO</v>
      </c>
      <c r="I108" s="370">
        <f t="shared" ca="1" si="21"/>
        <v>0</v>
      </c>
      <c r="J108" s="391">
        <f ca="1">IFERROR(VLOOKUP($C108,COM_N_2012!$B$61:$AJ$122,MATCH(VLOOKUP("*"&amp;$AW108,$A$10:$J$11,$J$9,FALSE)&amp;J$7,COM_N_2012!$B$58:$AJ$58,0),FALSE),"")</f>
        <v>0.2498236113241171</v>
      </c>
      <c r="K108" s="391" t="str">
        <f ca="1">IFERROR(VLOOKUP($C108,COM_N_2012!$B$62:$AJ$122,MATCH(VLOOKUP("*"&amp;$AW108,$A$10:$J$11,$J$9,FALSE)&amp;K$7,COM_N_2012!$B$58:$AJ$58,0),FALSE),"")</f>
        <v/>
      </c>
      <c r="L108" s="391" t="str">
        <f ca="1">IFERROR(VLOOKUP($C108,COM_N_2012!$B$62:$AJ$122,MATCH(VLOOKUP("*"&amp;$AW108,$A$10:$J$11,$J$9,FALSE)&amp;L$7,COM_N_2012!$B$58:$AJ$58,0),FALSE),"")</f>
        <v/>
      </c>
      <c r="M108" s="391">
        <f ca="1">IFERROR(VLOOKUP($C108,COM_N_2012!$B$62:$AJ$122,MATCH(VLOOKUP("*"&amp;$AW108,$A$10:$J$11,$J$9,FALSE)&amp;M$7,COM_N_2012!$B$58:$AJ$58,0),FALSE),"")</f>
        <v>0.19985888905929369</v>
      </c>
      <c r="N108" s="391" t="str">
        <f ca="1">IFERROR(VLOOKUP($C108,COM_N_2012!$B$62:$AJ$122,MATCH(VLOOKUP("*"&amp;$AW108,$A$10:$J$11,$J$9,FALSE)&amp;N$7,COM_N_2012!$B$58:$AJ$58,0),FALSE),"")</f>
        <v/>
      </c>
      <c r="O108" s="391">
        <f ca="1">IF($A108="*","",IFERROR(VLOOKUP($C108,COM_N_2017!$B$61:$AJ$122,MATCH(VLOOKUP("*"&amp;$AW108,$A$10:$J$11,$J$9,FALSE)&amp;O$7,COM_N_2017!$B$58:$AJ$58,0),FALSE),""))</f>
        <v>2.7069689684871358E-2</v>
      </c>
      <c r="P108" s="391" t="str">
        <f ca="1">IFERROR(VLOOKUP($C108,COM_N_2012!$B$62:$AJ$122,MATCH(VLOOKUP("*"&amp;$AW108,$A$10:$J$11,$J$9,FALSE)&amp;P$7,COM_N_2012!$B$58:$AJ$58,0),FALSE),"")</f>
        <v/>
      </c>
      <c r="Q108" s="391" t="str">
        <f ca="1">IFERROR(VLOOKUP($C108,COM_N_2012!$B$62:$AJ$122,MATCH(VLOOKUP("*"&amp;$AW108,$A$10:$J$11,$J$9,FALSE)&amp;Q$7,COM_N_2012!$B$58:$AJ$58,0),FALSE),"")</f>
        <v/>
      </c>
      <c r="R108" s="391">
        <f ca="1">IF($A108="*","",IFERROR(VLOOKUP($C108,COM_N_2017!$B$61:$AJ$122,MATCH(VLOOKUP("*"&amp;$AW108,$A$10:$J$11,$J$9,FALSE)&amp;R$7,COM_N_2017!$B$58:$AJ$58,0),FALSE),""))</f>
        <v>2.6257598994325216E-2</v>
      </c>
      <c r="S108" s="391" t="str">
        <f ca="1">IFERROR(VLOOKUP($C108,COM_N_2012!$B$62:$AJ$122,MATCH(VLOOKUP("*"&amp;$AW108,$A$10:$J$11,$J$9,FALSE)&amp;S$7,COM_N_2012!$B$58:$AJ$58,0),FALSE),"")</f>
        <v/>
      </c>
      <c r="T108" s="391" t="str">
        <f ca="1">IFERROR(VLOOKUP($C108,COM_N_2012!$B$62:$AJ$122,MATCH(VLOOKUP("*"&amp;$AW108,$A$10:$J$11,$J$9,FALSE)&amp;T$7,COM_N_2012!$B$58:$AJ$58,0),FALSE),"")</f>
        <v/>
      </c>
      <c r="U108" s="391" t="str">
        <f ca="1">IFERROR(VLOOKUP($C108,COM_N_2012!$B$62:$AJ$122,MATCH(VLOOKUP("*"&amp;$AW108,$A$10:$J$11,$J$9,FALSE)&amp;U$7,COM_N_2012!$B$58:$AJ$58,0),FALSE),"")</f>
        <v/>
      </c>
      <c r="V108" s="391" t="str">
        <f ca="1">IFERROR(VLOOKUP($C108,COM_N_2012!$B$62:$AJ$122,MATCH(VLOOKUP("*"&amp;$AW108,$A$10:$J$11,$J$9,FALSE)&amp;V$7,COM_N_2012!$B$58:$AJ$58,0),FALSE),"")</f>
        <v/>
      </c>
      <c r="W108" s="391">
        <f ca="1">IF($A108="*","",IFERROR(VLOOKUP($C108,COM_N_2017!$B$61:$AJ$122,MATCH(VLOOKUP("*"&amp;$AW108,$A$10:$J$11,$J$9,FALSE)&amp;W$7,COM_N_2017!$B$58:$AJ$58,0),FALSE),""))</f>
        <v>2.4362720716384224E-2</v>
      </c>
      <c r="X108" s="391" t="str">
        <f ca="1">IFERROR(VLOOKUP($C108,COM_N_2012!$B$62:$AJ$122,MATCH(VLOOKUP("*"&amp;$AW108,$A$10:$J$11,$J$9,FALSE)&amp;X$7,COM_N_2012!$B$58:$AJ$58,0),FALSE),"")</f>
        <v/>
      </c>
      <c r="Y108" s="391" t="str">
        <f ca="1">IFERROR(VLOOKUP($C108,COM_N_2012!$B$62:$AJ$122,MATCH(VLOOKUP("*"&amp;$AW108,$A$10:$J$11,$J$9,FALSE)&amp;Y$7,COM_N_2012!$B$58:$AJ$58,0),FALSE),"")</f>
        <v/>
      </c>
      <c r="Z108" s="391" t="str">
        <f ca="1">IFERROR(VLOOKUP($C108,COM_N_2012!$B$62:$AJ$122,MATCH(VLOOKUP("*"&amp;$AW108,$A$10:$J$11,$J$9,FALSE)&amp;Z$7,COM_N_2012!$B$58:$AJ$58,0),FALSE),"")</f>
        <v/>
      </c>
      <c r="AA108" s="391" t="str">
        <f ca="1">IFERROR(VLOOKUP($C108,COM_N_2012!$B$62:$AJ$122,MATCH(VLOOKUP("*"&amp;$AW108,$A$10:$J$11,$J$9,FALSE)&amp;AA$7,COM_N_2012!$B$58:$AJ$58,0),FALSE),"")</f>
        <v/>
      </c>
      <c r="AB108" s="391">
        <f ca="1">IF($A108="*","",IFERROR(VLOOKUP($C108,COM_N_2017!$B$61:$AJ$122,MATCH(VLOOKUP("*"&amp;$AW108,$A$10:$J$11,$J$9,FALSE)&amp;AB$7,COM_N_2017!$B$58:$AJ$58,0),FALSE),""))</f>
        <v>1.8948782779409951E-2</v>
      </c>
      <c r="AC108" s="391" t="str">
        <f ca="1">IFERROR(VLOOKUP($C108,COM_N_2012!$B$62:$AJ$122,MATCH(VLOOKUP("*"&amp;$AW108,$A$10:$J$11,$J$9,FALSE)&amp;AC$7,COM_N_2012!$B$58:$AJ$58,0),FALSE),"")</f>
        <v/>
      </c>
      <c r="AD108" s="391" t="str">
        <f ca="1">IFERROR(VLOOKUP($C108,COM_N_2012!$B$62:$AJ$122,MATCH(VLOOKUP("*"&amp;$AW108,$A$10:$J$11,$J$9,FALSE)&amp;AD$7,COM_N_2012!$B$58:$AJ$58,0),FALSE),"")</f>
        <v/>
      </c>
      <c r="AE108" s="391" t="str">
        <f ca="1">IFERROR(VLOOKUP($C108,COM_N_2012!$B$62:$AJ$122,MATCH(VLOOKUP("*"&amp;$AW108,$A$10:$J$11,$J$9,FALSE)&amp;AE$7,COM_N_2012!$B$58:$AJ$58,0),FALSE),"")</f>
        <v/>
      </c>
      <c r="AF108" s="391" t="str">
        <f ca="1">IFERROR(VLOOKUP($C108,COM_N_2012!$B$62:$AJ$122,MATCH(VLOOKUP("*"&amp;$AW108,$A$10:$J$11,$J$9,FALSE)&amp;AF$7,COM_N_2012!$B$58:$AJ$58,0),FALSE),"")</f>
        <v/>
      </c>
      <c r="AG108" s="391">
        <f ca="1">IF($A108="*","",IFERROR(VLOOKUP($C108,COM_N_2017!$B$61:$AJ$122,MATCH(VLOOKUP("*"&amp;$AW108,$A$10:$J$11,$J$9,FALSE)&amp;AG$7,COM_N_2017!$B$58:$AJ$58,0),FALSE),""))</f>
        <v>1.3534844842435679E-2</v>
      </c>
      <c r="AH108" s="391" t="str">
        <f ca="1">IFERROR(VLOOKUP($C108,COM_N_2012!$B$62:$AJ$122,MATCH(VLOOKUP("*"&amp;$AW108,$A$10:$J$11,$J$9,FALSE)&amp;AH$7,COM_N_2012!$B$58:$AJ$58,0),FALSE),"")</f>
        <v/>
      </c>
      <c r="AI108" s="391" t="str">
        <f ca="1">IFERROR(VLOOKUP($C108,COM_N_2012!$B$62:$AJ$122,MATCH(VLOOKUP("*"&amp;$AW108,$A$10:$J$11,$J$9,FALSE)&amp;AI$7,COM_N_2012!$B$58:$AJ$58,0),FALSE),"")</f>
        <v/>
      </c>
      <c r="AJ108" s="391" t="str">
        <f ca="1">IFERROR(VLOOKUP($C108,COM_N_2012!$B$62:$AJ$122,MATCH(VLOOKUP("*"&amp;$AW108,$A$10:$J$11,$J$9,FALSE)&amp;AJ$7,COM_N_2012!$B$58:$AJ$58,0),FALSE),"")</f>
        <v/>
      </c>
      <c r="AK108" s="391" t="str">
        <f ca="1">IFERROR(VLOOKUP($C108,COM_N_2012!$B$62:$AJ$122,MATCH(VLOOKUP("*"&amp;$AW108,$A$10:$J$11,$J$9,FALSE)&amp;AK$7,COM_N_2012!$B$58:$AJ$58,0),FALSE),"")</f>
        <v/>
      </c>
      <c r="AL108" s="391">
        <f ca="1">IF($A108="*","",IFERROR(VLOOKUP($C108,COM_N_2017!$B$61:$AJ$122,MATCH(VLOOKUP("*"&amp;$AW108,$A$10:$J$11,$J$9,FALSE)&amp;AL$7,COM_N_2017!$B$58:$AJ$58,0),FALSE),""))</f>
        <v>8.1209069054614079E-3</v>
      </c>
      <c r="AM108" s="391">
        <f ca="1">IF($A108="*","",IFERROR(VLOOKUP($C108,COM_N_2017!$B$61:$AJ$122,MATCH(VLOOKUP("*"&amp;$AW108,$A$10:$J$11,$J$9,FALSE)&amp;AM$7,COM_N_2017!$B$58:$AJ$58,0),FALSE),""))</f>
        <v>2.7069689684871361E-3</v>
      </c>
      <c r="AN108" s="391">
        <f ca="1">IF($A108="*","",IFERROR(VLOOKUP($C108,COM_N_2017!$B$61:$AJ$122,MATCH(VLOOKUP("*"&amp;$AW108,$A$10:$J$11,$J$9,FALSE)&amp;AN$7,COM_N_2017!$B$58:$AJ$58,0),FALSE),""))</f>
        <v>0</v>
      </c>
      <c r="AO108" s="391" t="str">
        <f ca="1">IFERROR(VLOOKUP($C108,COM_N_2012!$B$62:$AJ$122,MATCH(VLOOKUP("*"&amp;$AW108,$A$10:$J$11,$J$9,FALSE)&amp;AO$7,COM_N_2012!$B$58:$AJ$58,0),FALSE),"")</f>
        <v/>
      </c>
      <c r="AP108" s="391" t="str">
        <f ca="1">IFERROR(VLOOKUP($C108,COM_N_2012!$B$62:$AJ$122,MATCH(VLOOKUP("*"&amp;$AW108,$A$10:$J$11,$J$9,FALSE)&amp;AP$7,COM_N_2012!$B$58:$AJ$58,0),FALSE),"")</f>
        <v/>
      </c>
      <c r="AQ108" s="391" t="str">
        <f ca="1">IFERROR(VLOOKUP($C108,COM_N_2012!$B$62:$AJ$122,MATCH(VLOOKUP("*"&amp;$AW108,$A$10:$J$11,$J$9,FALSE)&amp;AQ$7,COM_N_2012!$B$58:$AJ$58,0),FALSE),"")</f>
        <v/>
      </c>
      <c r="AR108" s="391" t="str">
        <f ca="1">IFERROR(VLOOKUP($C108,COM_N_2012!$B$62:$AJ$122,MATCH(VLOOKUP("*"&amp;$AW108,$A$10:$J$11,$J$9,FALSE)&amp;AR$7,COM_N_2012!$B$58:$AJ$58,0),FALSE),"")</f>
        <v/>
      </c>
      <c r="AS108" s="391" t="str">
        <f ca="1">IFERROR(VLOOKUP($C108,COM_N_2012!$B$62:$AJ$122,MATCH(VLOOKUP("*"&amp;$AW108,$A$10:$J$11,$J$9,FALSE)&amp;AS$7,COM_N_2012!$B$58:$AJ$58,0),FALSE),"")</f>
        <v/>
      </c>
      <c r="AT108" s="391" t="str">
        <f ca="1">IFERROR(VLOOKUP($C108,COM_N_2012!$B$62:$AJ$122,MATCH(VLOOKUP("*"&amp;$AW108,$A$10:$J$11,$J$9,FALSE)&amp;AT$7,COM_N_2012!$B$58:$AJ$58,0),FALSE),"")</f>
        <v/>
      </c>
      <c r="AU108" s="391" t="str">
        <f ca="1">IFERROR(VLOOKUP($C108,COM_N_2012!$B$62:$AJ$122,MATCH(VLOOKUP("*"&amp;$AW108,$A$10:$J$11,$J$9,FALSE)&amp;AU$7,COM_N_2012!$B$58:$AJ$58,0),FALSE),"")</f>
        <v/>
      </c>
      <c r="AV108" s="391" t="str">
        <f ca="1">IFERROR(VLOOKUP($C108,COM_N_2012!$B$62:$AJ$122,MATCH(VLOOKUP("*"&amp;$AW108,$A$10:$J$11,$J$9,FALSE)&amp;AV$7,COM_N_2012!$B$58:$AJ$58,0),FALSE),"")</f>
        <v/>
      </c>
      <c r="AW108" s="304">
        <f>IF(AX107=COM_N_2012!$AK$121,AW107+1,AW107)</f>
        <v>2</v>
      </c>
      <c r="AX108" s="304">
        <f t="shared" si="23"/>
        <v>35</v>
      </c>
    </row>
    <row r="109" spans="1:50">
      <c r="A109" s="304" t="str">
        <f ca="1">IF(LEFT(OFFSET(COM_N_2012!$A$60,AX109,0),2)="\I","*","")</f>
        <v/>
      </c>
      <c r="B109" s="369" t="str">
        <f t="shared" ref="B109:B114" ca="1" si="24">IF(A109="*","",VLOOKUP("*"&amp;AW109,$A$9:$B$11,2,FALSE))</f>
        <v>FLO_MRKPRD</v>
      </c>
      <c r="C109" s="369" t="str">
        <f ca="1">IF($A109="*","",OFFSET(COM_N_2012!$B$60,AX109,0))</f>
        <v>CNWGAS-E</v>
      </c>
      <c r="D109" s="369" t="str">
        <f t="shared" ref="D109:D117" ca="1" si="25">IF($A109="*","",LEFT(C109,3))</f>
        <v>CNW</v>
      </c>
      <c r="E109" s="369" t="str">
        <f t="shared" ca="1" si="20"/>
        <v>-</v>
      </c>
      <c r="F109" s="370" t="str">
        <f t="shared" ca="1" si="22"/>
        <v>-</v>
      </c>
      <c r="G109" s="370" t="str">
        <f t="shared" ca="1" si="22"/>
        <v>ANNUAL</v>
      </c>
      <c r="H109" s="370" t="str">
        <f t="shared" ca="1" si="21"/>
        <v>LO</v>
      </c>
      <c r="I109" s="370">
        <f t="shared" ca="1" si="21"/>
        <v>0</v>
      </c>
      <c r="J109" s="391">
        <f ca="1">IFERROR(VLOOKUP($C109,COM_N_2012!$B$61:$AJ$122,MATCH(VLOOKUP("*"&amp;$AW109,$A$10:$J$11,$J$9,FALSE)&amp;J$7,COM_N_2012!$B$58:$AJ$58,0),FALSE),"")</f>
        <v>1.7401788397113196E-3</v>
      </c>
      <c r="K109" s="391" t="str">
        <f ca="1">IFERROR(VLOOKUP($C109,COM_N_2012!$B$62:$AJ$122,MATCH(VLOOKUP("*"&amp;$AW109,$A$10:$J$11,$J$9,FALSE)&amp;K$7,COM_N_2012!$B$58:$AJ$58,0),FALSE),"")</f>
        <v/>
      </c>
      <c r="L109" s="391" t="str">
        <f ca="1">IFERROR(VLOOKUP($C109,COM_N_2012!$B$62:$AJ$122,MATCH(VLOOKUP("*"&amp;$AW109,$A$10:$J$11,$J$9,FALSE)&amp;L$7,COM_N_2012!$B$58:$AJ$58,0),FALSE),"")</f>
        <v/>
      </c>
      <c r="M109" s="391">
        <f ca="1">IFERROR(VLOOKUP($C109,COM_N_2012!$B$62:$AJ$122,MATCH(VLOOKUP("*"&amp;$AW109,$A$10:$J$11,$J$9,FALSE)&amp;M$7,COM_N_2012!$B$58:$AJ$58,0),FALSE),"")</f>
        <v>1.3921430717690557E-3</v>
      </c>
      <c r="N109" s="391" t="str">
        <f ca="1">IFERROR(VLOOKUP($C109,COM_N_2012!$B$62:$AJ$122,MATCH(VLOOKUP("*"&amp;$AW109,$A$10:$J$11,$J$9,FALSE)&amp;N$7,COM_N_2012!$B$58:$AJ$58,0),FALSE),"")</f>
        <v/>
      </c>
      <c r="O109" s="391">
        <f ca="1">IF($A109="*","",IFERROR(VLOOKUP($C109,COM_N_2017!$B$61:$AJ$122,MATCH(VLOOKUP("*"&amp;$AW109,$A$10:$J$11,$J$9,FALSE)&amp;O$7,COM_N_2017!$B$58:$AJ$58,0),FALSE),""))</f>
        <v>6.0864393541176905E-2</v>
      </c>
      <c r="P109" s="391" t="str">
        <f ca="1">IFERROR(VLOOKUP($C109,COM_N_2012!$B$62:$AJ$122,MATCH(VLOOKUP("*"&amp;$AW109,$A$10:$J$11,$J$9,FALSE)&amp;P$7,COM_N_2012!$B$58:$AJ$58,0),FALSE),"")</f>
        <v/>
      </c>
      <c r="Q109" s="391" t="str">
        <f ca="1">IFERROR(VLOOKUP($C109,COM_N_2012!$B$62:$AJ$122,MATCH(VLOOKUP("*"&amp;$AW109,$A$10:$J$11,$J$9,FALSE)&amp;Q$7,COM_N_2012!$B$58:$AJ$58,0),FALSE),"")</f>
        <v/>
      </c>
      <c r="R109" s="391">
        <f ca="1">IF($A109="*","",IFERROR(VLOOKUP($C109,COM_N_2017!$B$61:$AJ$122,MATCH(VLOOKUP("*"&amp;$AW109,$A$10:$J$11,$J$9,FALSE)&amp;R$7,COM_N_2017!$B$58:$AJ$58,0),FALSE),""))</f>
        <v>5.9038461734941594E-2</v>
      </c>
      <c r="S109" s="391" t="str">
        <f ca="1">IFERROR(VLOOKUP($C109,COM_N_2012!$B$62:$AJ$122,MATCH(VLOOKUP("*"&amp;$AW109,$A$10:$J$11,$J$9,FALSE)&amp;S$7,COM_N_2012!$B$58:$AJ$58,0),FALSE),"")</f>
        <v/>
      </c>
      <c r="T109" s="391" t="str">
        <f ca="1">IFERROR(VLOOKUP($C109,COM_N_2012!$B$62:$AJ$122,MATCH(VLOOKUP("*"&amp;$AW109,$A$10:$J$11,$J$9,FALSE)&amp;T$7,COM_N_2012!$B$58:$AJ$58,0),FALSE),"")</f>
        <v/>
      </c>
      <c r="U109" s="391" t="str">
        <f ca="1">IFERROR(VLOOKUP($C109,COM_N_2012!$B$62:$AJ$122,MATCH(VLOOKUP("*"&amp;$AW109,$A$10:$J$11,$J$9,FALSE)&amp;U$7,COM_N_2012!$B$58:$AJ$58,0),FALSE),"")</f>
        <v/>
      </c>
      <c r="V109" s="391" t="str">
        <f ca="1">IFERROR(VLOOKUP($C109,COM_N_2012!$B$62:$AJ$122,MATCH(VLOOKUP("*"&amp;$AW109,$A$10:$J$11,$J$9,FALSE)&amp;V$7,COM_N_2012!$B$58:$AJ$58,0),FALSE),"")</f>
        <v/>
      </c>
      <c r="W109" s="391">
        <f ca="1">IF($A109="*","",IFERROR(VLOOKUP($C109,COM_N_2017!$B$61:$AJ$122,MATCH(VLOOKUP("*"&amp;$AW109,$A$10:$J$11,$J$9,FALSE)&amp;W$7,COM_N_2017!$B$58:$AJ$58,0),FALSE),""))</f>
        <v>5.4777954187059212E-2</v>
      </c>
      <c r="X109" s="391" t="str">
        <f ca="1">IFERROR(VLOOKUP($C109,COM_N_2012!$B$62:$AJ$122,MATCH(VLOOKUP("*"&amp;$AW109,$A$10:$J$11,$J$9,FALSE)&amp;X$7,COM_N_2012!$B$58:$AJ$58,0),FALSE),"")</f>
        <v/>
      </c>
      <c r="Y109" s="391" t="str">
        <f ca="1">IFERROR(VLOOKUP($C109,COM_N_2012!$B$62:$AJ$122,MATCH(VLOOKUP("*"&amp;$AW109,$A$10:$J$11,$J$9,FALSE)&amp;Y$7,COM_N_2012!$B$58:$AJ$58,0),FALSE),"")</f>
        <v/>
      </c>
      <c r="Z109" s="391" t="str">
        <f ca="1">IFERROR(VLOOKUP($C109,COM_N_2012!$B$62:$AJ$122,MATCH(VLOOKUP("*"&amp;$AW109,$A$10:$J$11,$J$9,FALSE)&amp;Z$7,COM_N_2012!$B$58:$AJ$58,0),FALSE),"")</f>
        <v/>
      </c>
      <c r="AA109" s="391" t="str">
        <f ca="1">IFERROR(VLOOKUP($C109,COM_N_2012!$B$62:$AJ$122,MATCH(VLOOKUP("*"&amp;$AW109,$A$10:$J$11,$J$9,FALSE)&amp;AA$7,COM_N_2012!$B$58:$AJ$58,0),FALSE),"")</f>
        <v/>
      </c>
      <c r="AB109" s="391">
        <f ca="1">IF($A109="*","",IFERROR(VLOOKUP($C109,COM_N_2017!$B$61:$AJ$122,MATCH(VLOOKUP("*"&amp;$AW109,$A$10:$J$11,$J$9,FALSE)&amp;AB$7,COM_N_2017!$B$58:$AJ$58,0),FALSE),""))</f>
        <v>4.2605075478823834E-2</v>
      </c>
      <c r="AC109" s="391" t="str">
        <f ca="1">IFERROR(VLOOKUP($C109,COM_N_2012!$B$62:$AJ$122,MATCH(VLOOKUP("*"&amp;$AW109,$A$10:$J$11,$J$9,FALSE)&amp;AC$7,COM_N_2012!$B$58:$AJ$58,0),FALSE),"")</f>
        <v/>
      </c>
      <c r="AD109" s="391" t="str">
        <f ca="1">IFERROR(VLOOKUP($C109,COM_N_2012!$B$62:$AJ$122,MATCH(VLOOKUP("*"&amp;$AW109,$A$10:$J$11,$J$9,FALSE)&amp;AD$7,COM_N_2012!$B$58:$AJ$58,0),FALSE),"")</f>
        <v/>
      </c>
      <c r="AE109" s="391" t="str">
        <f ca="1">IFERROR(VLOOKUP($C109,COM_N_2012!$B$62:$AJ$122,MATCH(VLOOKUP("*"&amp;$AW109,$A$10:$J$11,$J$9,FALSE)&amp;AE$7,COM_N_2012!$B$58:$AJ$58,0),FALSE),"")</f>
        <v/>
      </c>
      <c r="AF109" s="391" t="str">
        <f ca="1">IFERROR(VLOOKUP($C109,COM_N_2012!$B$62:$AJ$122,MATCH(VLOOKUP("*"&amp;$AW109,$A$10:$J$11,$J$9,FALSE)&amp;AF$7,COM_N_2012!$B$58:$AJ$58,0),FALSE),"")</f>
        <v/>
      </c>
      <c r="AG109" s="391">
        <f ca="1">IF($A109="*","",IFERROR(VLOOKUP($C109,COM_N_2017!$B$61:$AJ$122,MATCH(VLOOKUP("*"&amp;$AW109,$A$10:$J$11,$J$9,FALSE)&amp;AG$7,COM_N_2017!$B$58:$AJ$58,0),FALSE),""))</f>
        <v>3.0432196770588452E-2</v>
      </c>
      <c r="AH109" s="391" t="str">
        <f ca="1">IFERROR(VLOOKUP($C109,COM_N_2012!$B$62:$AJ$122,MATCH(VLOOKUP("*"&amp;$AW109,$A$10:$J$11,$J$9,FALSE)&amp;AH$7,COM_N_2012!$B$58:$AJ$58,0),FALSE),"")</f>
        <v/>
      </c>
      <c r="AI109" s="391" t="str">
        <f ca="1">IFERROR(VLOOKUP($C109,COM_N_2012!$B$62:$AJ$122,MATCH(VLOOKUP("*"&amp;$AW109,$A$10:$J$11,$J$9,FALSE)&amp;AI$7,COM_N_2012!$B$58:$AJ$58,0),FALSE),"")</f>
        <v/>
      </c>
      <c r="AJ109" s="391" t="str">
        <f ca="1">IFERROR(VLOOKUP($C109,COM_N_2012!$B$62:$AJ$122,MATCH(VLOOKUP("*"&amp;$AW109,$A$10:$J$11,$J$9,FALSE)&amp;AJ$7,COM_N_2012!$B$58:$AJ$58,0),FALSE),"")</f>
        <v/>
      </c>
      <c r="AK109" s="391" t="str">
        <f ca="1">IFERROR(VLOOKUP($C109,COM_N_2012!$B$62:$AJ$122,MATCH(VLOOKUP("*"&amp;$AW109,$A$10:$J$11,$J$9,FALSE)&amp;AK$7,COM_N_2012!$B$58:$AJ$58,0),FALSE),"")</f>
        <v/>
      </c>
      <c r="AL109" s="391">
        <f ca="1">IF($A109="*","",IFERROR(VLOOKUP($C109,COM_N_2017!$B$61:$AJ$122,MATCH(VLOOKUP("*"&amp;$AW109,$A$10:$J$11,$J$9,FALSE)&amp;AL$7,COM_N_2017!$B$58:$AJ$58,0),FALSE),""))</f>
        <v>1.8259318062353071E-2</v>
      </c>
      <c r="AM109" s="391">
        <f ca="1">IF($A109="*","",IFERROR(VLOOKUP($C109,COM_N_2017!$B$61:$AJ$122,MATCH(VLOOKUP("*"&amp;$AW109,$A$10:$J$11,$J$9,FALSE)&amp;AM$7,COM_N_2017!$B$58:$AJ$58,0),FALSE),""))</f>
        <v>6.0864393541176908E-3</v>
      </c>
      <c r="AN109" s="391">
        <f ca="1">IF($A109="*","",IFERROR(VLOOKUP($C109,COM_N_2017!$B$61:$AJ$122,MATCH(VLOOKUP("*"&amp;$AW109,$A$10:$J$11,$J$9,FALSE)&amp;AN$7,COM_N_2017!$B$58:$AJ$58,0),FALSE),""))</f>
        <v>0</v>
      </c>
      <c r="AO109" s="391" t="str">
        <f ca="1">IFERROR(VLOOKUP($C109,COM_N_2012!$B$62:$AJ$122,MATCH(VLOOKUP("*"&amp;$AW109,$A$10:$J$11,$J$9,FALSE)&amp;AO$7,COM_N_2012!$B$58:$AJ$58,0),FALSE),"")</f>
        <v/>
      </c>
      <c r="AP109" s="391" t="str">
        <f ca="1">IFERROR(VLOOKUP($C109,COM_N_2012!$B$62:$AJ$122,MATCH(VLOOKUP("*"&amp;$AW109,$A$10:$J$11,$J$9,FALSE)&amp;AP$7,COM_N_2012!$B$58:$AJ$58,0),FALSE),"")</f>
        <v/>
      </c>
      <c r="AQ109" s="391" t="str">
        <f ca="1">IFERROR(VLOOKUP($C109,COM_N_2012!$B$62:$AJ$122,MATCH(VLOOKUP("*"&amp;$AW109,$A$10:$J$11,$J$9,FALSE)&amp;AQ$7,COM_N_2012!$B$58:$AJ$58,0),FALSE),"")</f>
        <v/>
      </c>
      <c r="AR109" s="391" t="str">
        <f ca="1">IFERROR(VLOOKUP($C109,COM_N_2012!$B$62:$AJ$122,MATCH(VLOOKUP("*"&amp;$AW109,$A$10:$J$11,$J$9,FALSE)&amp;AR$7,COM_N_2012!$B$58:$AJ$58,0),FALSE),"")</f>
        <v/>
      </c>
      <c r="AS109" s="391" t="str">
        <f ca="1">IFERROR(VLOOKUP($C109,COM_N_2012!$B$62:$AJ$122,MATCH(VLOOKUP("*"&amp;$AW109,$A$10:$J$11,$J$9,FALSE)&amp;AS$7,COM_N_2012!$B$58:$AJ$58,0),FALSE),"")</f>
        <v/>
      </c>
      <c r="AT109" s="391" t="str">
        <f ca="1">IFERROR(VLOOKUP($C109,COM_N_2012!$B$62:$AJ$122,MATCH(VLOOKUP("*"&amp;$AW109,$A$10:$J$11,$J$9,FALSE)&amp;AT$7,COM_N_2012!$B$58:$AJ$58,0),FALSE),"")</f>
        <v/>
      </c>
      <c r="AU109" s="391" t="str">
        <f ca="1">IFERROR(VLOOKUP($C109,COM_N_2012!$B$62:$AJ$122,MATCH(VLOOKUP("*"&amp;$AW109,$A$10:$J$11,$J$9,FALSE)&amp;AU$7,COM_N_2012!$B$58:$AJ$58,0),FALSE),"")</f>
        <v/>
      </c>
      <c r="AV109" s="391" t="str">
        <f ca="1">IFERROR(VLOOKUP($C109,COM_N_2012!$B$62:$AJ$122,MATCH(VLOOKUP("*"&amp;$AW109,$A$10:$J$11,$J$9,FALSE)&amp;AV$7,COM_N_2012!$B$58:$AJ$58,0),FALSE),"")</f>
        <v/>
      </c>
      <c r="AW109" s="304">
        <f>IF(AX108=COM_N_2012!$AK$121,AW108+1,AW108)</f>
        <v>2</v>
      </c>
      <c r="AX109" s="304">
        <f t="shared" si="23"/>
        <v>36</v>
      </c>
    </row>
    <row r="110" spans="1:50">
      <c r="A110" s="304" t="str">
        <f ca="1">IF(LEFT(OFFSET(COM_N_2012!$A$60,AX110,0),2)="\I","*","")</f>
        <v/>
      </c>
      <c r="B110" s="369" t="str">
        <f t="shared" ca="1" si="24"/>
        <v>FLO_MRKPRD</v>
      </c>
      <c r="C110" s="369" t="str">
        <f ca="1">IF($A110="*","",OFFSET(COM_N_2012!$B$60,AX110,0))</f>
        <v>CNWOKE-E</v>
      </c>
      <c r="D110" s="369" t="str">
        <f t="shared" ca="1" si="25"/>
        <v>CNW</v>
      </c>
      <c r="E110" s="369" t="str">
        <f t="shared" ca="1" si="20"/>
        <v>-</v>
      </c>
      <c r="F110" s="370" t="str">
        <f t="shared" ca="1" si="22"/>
        <v>-</v>
      </c>
      <c r="G110" s="370" t="str">
        <f t="shared" ca="1" si="22"/>
        <v>ANNUAL</v>
      </c>
      <c r="H110" s="370" t="str">
        <f t="shared" ca="1" si="21"/>
        <v>LO</v>
      </c>
      <c r="I110" s="370">
        <f t="shared" ca="1" si="21"/>
        <v>0</v>
      </c>
      <c r="J110" s="391">
        <f ca="1">IFERROR(VLOOKUP($C110,COM_N_2012!$B$61:$AJ$122,MATCH(VLOOKUP("*"&amp;$AW110,$A$10:$J$11,$J$9,FALSE)&amp;J$7,COM_N_2012!$B$58:$AJ$58,0),FALSE),"")</f>
        <v>0.1818024677346711</v>
      </c>
      <c r="K110" s="391" t="str">
        <f ca="1">IFERROR(VLOOKUP($C110,COM_N_2012!$B$62:$AJ$122,MATCH(VLOOKUP("*"&amp;$AW110,$A$10:$J$11,$J$9,FALSE)&amp;K$7,COM_N_2012!$B$58:$AJ$58,0),FALSE),"")</f>
        <v/>
      </c>
      <c r="L110" s="391" t="str">
        <f ca="1">IFERROR(VLOOKUP($C110,COM_N_2012!$B$62:$AJ$122,MATCH(VLOOKUP("*"&amp;$AW110,$A$10:$J$11,$J$9,FALSE)&amp;L$7,COM_N_2012!$B$58:$AJ$58,0),FALSE),"")</f>
        <v/>
      </c>
      <c r="M110" s="391">
        <f ca="1">IFERROR(VLOOKUP($C110,COM_N_2012!$B$62:$AJ$122,MATCH(VLOOKUP("*"&amp;$AW110,$A$10:$J$11,$J$9,FALSE)&amp;M$7,COM_N_2012!$B$58:$AJ$58,0),FALSE),"")</f>
        <v>0.14544197418773688</v>
      </c>
      <c r="N110" s="391" t="str">
        <f ca="1">IFERROR(VLOOKUP($C110,COM_N_2012!$B$62:$AJ$122,MATCH(VLOOKUP("*"&amp;$AW110,$A$10:$J$11,$J$9,FALSE)&amp;N$7,COM_N_2012!$B$58:$AJ$58,0),FALSE),"")</f>
        <v/>
      </c>
      <c r="O110" s="391">
        <f ca="1">IF($A110="*","",IFERROR(VLOOKUP($C110,COM_N_2017!$B$61:$AJ$122,MATCH(VLOOKUP("*"&amp;$AW110,$A$10:$J$11,$J$9,FALSE)&amp;O$7,COM_N_2017!$B$58:$AJ$58,0),FALSE),""))</f>
        <v>3.7056342103342001E-2</v>
      </c>
      <c r="P110" s="391" t="str">
        <f ca="1">IFERROR(VLOOKUP($C110,COM_N_2012!$B$62:$AJ$122,MATCH(VLOOKUP("*"&amp;$AW110,$A$10:$J$11,$J$9,FALSE)&amp;P$7,COM_N_2012!$B$58:$AJ$58,0),FALSE),"")</f>
        <v/>
      </c>
      <c r="Q110" s="391" t="str">
        <f ca="1">IFERROR(VLOOKUP($C110,COM_N_2012!$B$62:$AJ$122,MATCH(VLOOKUP("*"&amp;$AW110,$A$10:$J$11,$J$9,FALSE)&amp;Q$7,COM_N_2012!$B$58:$AJ$58,0),FALSE),"")</f>
        <v/>
      </c>
      <c r="R110" s="391">
        <f ca="1">IF($A110="*","",IFERROR(VLOOKUP($C110,COM_N_2017!$B$61:$AJ$122,MATCH(VLOOKUP("*"&amp;$AW110,$A$10:$J$11,$J$9,FALSE)&amp;R$7,COM_N_2017!$B$58:$AJ$58,0),FALSE),""))</f>
        <v>3.5944651840241738E-2</v>
      </c>
      <c r="S110" s="391" t="str">
        <f ca="1">IFERROR(VLOOKUP($C110,COM_N_2012!$B$62:$AJ$122,MATCH(VLOOKUP("*"&amp;$AW110,$A$10:$J$11,$J$9,FALSE)&amp;S$7,COM_N_2012!$B$58:$AJ$58,0),FALSE),"")</f>
        <v/>
      </c>
      <c r="T110" s="391" t="str">
        <f ca="1">IFERROR(VLOOKUP($C110,COM_N_2012!$B$62:$AJ$122,MATCH(VLOOKUP("*"&amp;$AW110,$A$10:$J$11,$J$9,FALSE)&amp;T$7,COM_N_2012!$B$58:$AJ$58,0),FALSE),"")</f>
        <v/>
      </c>
      <c r="U110" s="391" t="str">
        <f ca="1">IFERROR(VLOOKUP($C110,COM_N_2012!$B$62:$AJ$122,MATCH(VLOOKUP("*"&amp;$AW110,$A$10:$J$11,$J$9,FALSE)&amp;U$7,COM_N_2012!$B$58:$AJ$58,0),FALSE),"")</f>
        <v/>
      </c>
      <c r="V110" s="391" t="str">
        <f ca="1">IFERROR(VLOOKUP($C110,COM_N_2012!$B$62:$AJ$122,MATCH(VLOOKUP("*"&amp;$AW110,$A$10:$J$11,$J$9,FALSE)&amp;V$7,COM_N_2012!$B$58:$AJ$58,0),FALSE),"")</f>
        <v/>
      </c>
      <c r="W110" s="391">
        <f ca="1">IF($A110="*","",IFERROR(VLOOKUP($C110,COM_N_2017!$B$61:$AJ$122,MATCH(VLOOKUP("*"&amp;$AW110,$A$10:$J$11,$J$9,FALSE)&amp;W$7,COM_N_2017!$B$58:$AJ$58,0),FALSE),""))</f>
        <v>3.33507078930078E-2</v>
      </c>
      <c r="X110" s="391" t="str">
        <f ca="1">IFERROR(VLOOKUP($C110,COM_N_2012!$B$62:$AJ$122,MATCH(VLOOKUP("*"&amp;$AW110,$A$10:$J$11,$J$9,FALSE)&amp;X$7,COM_N_2012!$B$58:$AJ$58,0),FALSE),"")</f>
        <v/>
      </c>
      <c r="Y110" s="391" t="str">
        <f ca="1">IFERROR(VLOOKUP($C110,COM_N_2012!$B$62:$AJ$122,MATCH(VLOOKUP("*"&amp;$AW110,$A$10:$J$11,$J$9,FALSE)&amp;Y$7,COM_N_2012!$B$58:$AJ$58,0),FALSE),"")</f>
        <v/>
      </c>
      <c r="Z110" s="391" t="str">
        <f ca="1">IFERROR(VLOOKUP($C110,COM_N_2012!$B$62:$AJ$122,MATCH(VLOOKUP("*"&amp;$AW110,$A$10:$J$11,$J$9,FALSE)&amp;Z$7,COM_N_2012!$B$58:$AJ$58,0),FALSE),"")</f>
        <v/>
      </c>
      <c r="AA110" s="391" t="str">
        <f ca="1">IFERROR(VLOOKUP($C110,COM_N_2012!$B$62:$AJ$122,MATCH(VLOOKUP("*"&amp;$AW110,$A$10:$J$11,$J$9,FALSE)&amp;AA$7,COM_N_2012!$B$58:$AJ$58,0),FALSE),"")</f>
        <v/>
      </c>
      <c r="AB110" s="391">
        <f ca="1">IF($A110="*","",IFERROR(VLOOKUP($C110,COM_N_2017!$B$61:$AJ$122,MATCH(VLOOKUP("*"&amp;$AW110,$A$10:$J$11,$J$9,FALSE)&amp;AB$7,COM_N_2017!$B$58:$AJ$58,0),FALSE),""))</f>
        <v>2.5939439472339398E-2</v>
      </c>
      <c r="AC110" s="391" t="str">
        <f ca="1">IFERROR(VLOOKUP($C110,COM_N_2012!$B$62:$AJ$122,MATCH(VLOOKUP("*"&amp;$AW110,$A$10:$J$11,$J$9,FALSE)&amp;AC$7,COM_N_2012!$B$58:$AJ$58,0),FALSE),"")</f>
        <v/>
      </c>
      <c r="AD110" s="391" t="str">
        <f ca="1">IFERROR(VLOOKUP($C110,COM_N_2012!$B$62:$AJ$122,MATCH(VLOOKUP("*"&amp;$AW110,$A$10:$J$11,$J$9,FALSE)&amp;AD$7,COM_N_2012!$B$58:$AJ$58,0),FALSE),"")</f>
        <v/>
      </c>
      <c r="AE110" s="391" t="str">
        <f ca="1">IFERROR(VLOOKUP($C110,COM_N_2012!$B$62:$AJ$122,MATCH(VLOOKUP("*"&amp;$AW110,$A$10:$J$11,$J$9,FALSE)&amp;AE$7,COM_N_2012!$B$58:$AJ$58,0),FALSE),"")</f>
        <v/>
      </c>
      <c r="AF110" s="391" t="str">
        <f ca="1">IFERROR(VLOOKUP($C110,COM_N_2012!$B$62:$AJ$122,MATCH(VLOOKUP("*"&amp;$AW110,$A$10:$J$11,$J$9,FALSE)&amp;AF$7,COM_N_2012!$B$58:$AJ$58,0),FALSE),"")</f>
        <v/>
      </c>
      <c r="AG110" s="391">
        <f ca="1">IF($A110="*","",IFERROR(VLOOKUP($C110,COM_N_2017!$B$61:$AJ$122,MATCH(VLOOKUP("*"&amp;$AW110,$A$10:$J$11,$J$9,FALSE)&amp;AG$7,COM_N_2017!$B$58:$AJ$58,0),FALSE),""))</f>
        <v>1.8528171051671E-2</v>
      </c>
      <c r="AH110" s="391" t="str">
        <f ca="1">IFERROR(VLOOKUP($C110,COM_N_2012!$B$62:$AJ$122,MATCH(VLOOKUP("*"&amp;$AW110,$A$10:$J$11,$J$9,FALSE)&amp;AH$7,COM_N_2012!$B$58:$AJ$58,0),FALSE),"")</f>
        <v/>
      </c>
      <c r="AI110" s="391" t="str">
        <f ca="1">IFERROR(VLOOKUP($C110,COM_N_2012!$B$62:$AJ$122,MATCH(VLOOKUP("*"&amp;$AW110,$A$10:$J$11,$J$9,FALSE)&amp;AI$7,COM_N_2012!$B$58:$AJ$58,0),FALSE),"")</f>
        <v/>
      </c>
      <c r="AJ110" s="391" t="str">
        <f ca="1">IFERROR(VLOOKUP($C110,COM_N_2012!$B$62:$AJ$122,MATCH(VLOOKUP("*"&amp;$AW110,$A$10:$J$11,$J$9,FALSE)&amp;AJ$7,COM_N_2012!$B$58:$AJ$58,0),FALSE),"")</f>
        <v/>
      </c>
      <c r="AK110" s="391" t="str">
        <f ca="1">IFERROR(VLOOKUP($C110,COM_N_2012!$B$62:$AJ$122,MATCH(VLOOKUP("*"&amp;$AW110,$A$10:$J$11,$J$9,FALSE)&amp;AK$7,COM_N_2012!$B$58:$AJ$58,0),FALSE),"")</f>
        <v/>
      </c>
      <c r="AL110" s="391">
        <f ca="1">IF($A110="*","",IFERROR(VLOOKUP($C110,COM_N_2017!$B$61:$AJ$122,MATCH(VLOOKUP("*"&amp;$AW110,$A$10:$J$11,$J$9,FALSE)&amp;AL$7,COM_N_2017!$B$58:$AJ$58,0),FALSE),""))</f>
        <v>1.1116902631002601E-2</v>
      </c>
      <c r="AM110" s="391">
        <f ca="1">IF($A110="*","",IFERROR(VLOOKUP($C110,COM_N_2017!$B$61:$AJ$122,MATCH(VLOOKUP("*"&amp;$AW110,$A$10:$J$11,$J$9,FALSE)&amp;AM$7,COM_N_2017!$B$58:$AJ$58,0),FALSE),""))</f>
        <v>3.7056342103342003E-3</v>
      </c>
      <c r="AN110" s="391">
        <f ca="1">IF($A110="*","",IFERROR(VLOOKUP($C110,COM_N_2017!$B$61:$AJ$122,MATCH(VLOOKUP("*"&amp;$AW110,$A$10:$J$11,$J$9,FALSE)&amp;AN$7,COM_N_2017!$B$58:$AJ$58,0),FALSE),""))</f>
        <v>0</v>
      </c>
      <c r="AO110" s="391" t="str">
        <f ca="1">IFERROR(VLOOKUP($C110,COM_N_2012!$B$62:$AJ$122,MATCH(VLOOKUP("*"&amp;$AW110,$A$10:$J$11,$J$9,FALSE)&amp;AO$7,COM_N_2012!$B$58:$AJ$58,0),FALSE),"")</f>
        <v/>
      </c>
      <c r="AP110" s="391" t="str">
        <f ca="1">IFERROR(VLOOKUP($C110,COM_N_2012!$B$62:$AJ$122,MATCH(VLOOKUP("*"&amp;$AW110,$A$10:$J$11,$J$9,FALSE)&amp;AP$7,COM_N_2012!$B$58:$AJ$58,0),FALSE),"")</f>
        <v/>
      </c>
      <c r="AQ110" s="391" t="str">
        <f ca="1">IFERROR(VLOOKUP($C110,COM_N_2012!$B$62:$AJ$122,MATCH(VLOOKUP("*"&amp;$AW110,$A$10:$J$11,$J$9,FALSE)&amp;AQ$7,COM_N_2012!$B$58:$AJ$58,0),FALSE),"")</f>
        <v/>
      </c>
      <c r="AR110" s="391" t="str">
        <f ca="1">IFERROR(VLOOKUP($C110,COM_N_2012!$B$62:$AJ$122,MATCH(VLOOKUP("*"&amp;$AW110,$A$10:$J$11,$J$9,FALSE)&amp;AR$7,COM_N_2012!$B$58:$AJ$58,0),FALSE),"")</f>
        <v/>
      </c>
      <c r="AS110" s="391" t="str">
        <f ca="1">IFERROR(VLOOKUP($C110,COM_N_2012!$B$62:$AJ$122,MATCH(VLOOKUP("*"&amp;$AW110,$A$10:$J$11,$J$9,FALSE)&amp;AS$7,COM_N_2012!$B$58:$AJ$58,0),FALSE),"")</f>
        <v/>
      </c>
      <c r="AT110" s="391" t="str">
        <f ca="1">IFERROR(VLOOKUP($C110,COM_N_2012!$B$62:$AJ$122,MATCH(VLOOKUP("*"&amp;$AW110,$A$10:$J$11,$J$9,FALSE)&amp;AT$7,COM_N_2012!$B$58:$AJ$58,0),FALSE),"")</f>
        <v/>
      </c>
      <c r="AU110" s="391" t="str">
        <f ca="1">IFERROR(VLOOKUP($C110,COM_N_2012!$B$62:$AJ$122,MATCH(VLOOKUP("*"&amp;$AW110,$A$10:$J$11,$J$9,FALSE)&amp;AU$7,COM_N_2012!$B$58:$AJ$58,0),FALSE),"")</f>
        <v/>
      </c>
      <c r="AV110" s="391" t="str">
        <f ca="1">IFERROR(VLOOKUP($C110,COM_N_2012!$B$62:$AJ$122,MATCH(VLOOKUP("*"&amp;$AW110,$A$10:$J$11,$J$9,FALSE)&amp;AV$7,COM_N_2012!$B$58:$AJ$58,0),FALSE),"")</f>
        <v/>
      </c>
      <c r="AW110" s="304">
        <f>IF(AX109=COM_N_2012!$AK$121,AW109+1,AW109)</f>
        <v>2</v>
      </c>
      <c r="AX110" s="304">
        <f t="shared" si="23"/>
        <v>37</v>
      </c>
    </row>
    <row r="111" spans="1:50">
      <c r="A111" s="304" t="str">
        <f ca="1">IF(LEFT(OFFSET(COM_N_2012!$A$60,AX111,0),2)="\I","*","")</f>
        <v/>
      </c>
      <c r="B111" s="369" t="str">
        <f t="shared" ca="1" si="24"/>
        <v>FLO_MRKPRD</v>
      </c>
      <c r="C111" s="369" t="str">
        <f ca="1">IF($A111="*","",OFFSET(COM_N_2012!$B$60,AX111,0))</f>
        <v>CNWELC-N</v>
      </c>
      <c r="D111" s="369" t="str">
        <f t="shared" ca="1" si="25"/>
        <v>CNW</v>
      </c>
      <c r="E111" s="369" t="str">
        <f t="shared" ca="1" si="20"/>
        <v>-</v>
      </c>
      <c r="F111" s="370" t="str">
        <f t="shared" ca="1" si="22"/>
        <v>-</v>
      </c>
      <c r="G111" s="370" t="str">
        <f t="shared" ca="1" si="22"/>
        <v>ANNUAL</v>
      </c>
      <c r="H111" s="370" t="str">
        <f t="shared" ca="1" si="21"/>
        <v>LO</v>
      </c>
      <c r="I111" s="370">
        <f t="shared" ca="1" si="21"/>
        <v>0</v>
      </c>
      <c r="J111" s="391">
        <f ca="1">IFERROR(VLOOKUP($C111,COM_N_2012!$B$61:$AJ$122,MATCH(VLOOKUP("*"&amp;$AW111,$A$10:$J$11,$J$9,FALSE)&amp;J$7,COM_N_2012!$B$58:$AJ$58,0),FALSE),"")</f>
        <v>0</v>
      </c>
      <c r="K111" s="391" t="str">
        <f ca="1">IFERROR(VLOOKUP($C111,COM_N_2012!$B$62:$AJ$122,MATCH(VLOOKUP("*"&amp;$AW111,$A$10:$J$11,$J$9,FALSE)&amp;K$7,COM_N_2012!$B$58:$AJ$58,0),FALSE),"")</f>
        <v/>
      </c>
      <c r="L111" s="391" t="str">
        <f ca="1">IFERROR(VLOOKUP($C111,COM_N_2012!$B$62:$AJ$122,MATCH(VLOOKUP("*"&amp;$AW111,$A$10:$J$11,$J$9,FALSE)&amp;L$7,COM_N_2012!$B$58:$AJ$58,0),FALSE),"")</f>
        <v/>
      </c>
      <c r="M111" s="391">
        <f ca="1">IFERROR(VLOOKUP($C111,COM_N_2012!$B$62:$AJ$122,MATCH(VLOOKUP("*"&amp;$AW111,$A$10:$J$11,$J$9,FALSE)&amp;M$7,COM_N_2012!$B$58:$AJ$58,0),FALSE),"")</f>
        <v>0</v>
      </c>
      <c r="N111" s="391" t="str">
        <f ca="1">IFERROR(VLOOKUP($C111,COM_N_2012!$B$62:$AJ$122,MATCH(VLOOKUP("*"&amp;$AW111,$A$10:$J$11,$J$9,FALSE)&amp;N$7,COM_N_2012!$B$58:$AJ$58,0),FALSE),"")</f>
        <v/>
      </c>
      <c r="O111" s="391">
        <f ca="1">IF($A111="*","",IFERROR(VLOOKUP($C111,COM_N_2017!$B$61:$AJ$122,MATCH(VLOOKUP("*"&amp;$AW111,$A$10:$J$11,$J$9,FALSE)&amp;O$7,COM_N_2017!$B$58:$AJ$58,0),FALSE),""))</f>
        <v>0</v>
      </c>
      <c r="P111" s="391" t="str">
        <f ca="1">IFERROR(VLOOKUP($C111,COM_N_2012!$B$62:$AJ$122,MATCH(VLOOKUP("*"&amp;$AW111,$A$10:$J$11,$J$9,FALSE)&amp;P$7,COM_N_2012!$B$58:$AJ$58,0),FALSE),"")</f>
        <v/>
      </c>
      <c r="Q111" s="391" t="str">
        <f ca="1">IFERROR(VLOOKUP($C111,COM_N_2012!$B$62:$AJ$122,MATCH(VLOOKUP("*"&amp;$AW111,$A$10:$J$11,$J$9,FALSE)&amp;Q$7,COM_N_2012!$B$58:$AJ$58,0),FALSE),"")</f>
        <v/>
      </c>
      <c r="R111" s="391">
        <f ca="1">IF($A111="*","",IFERROR(VLOOKUP($C111,COM_N_2017!$B$61:$AJ$122,MATCH(VLOOKUP("*"&amp;$AW111,$A$10:$J$11,$J$9,FALSE)&amp;R$7,COM_N_2017!$B$58:$AJ$58,0),FALSE),""))</f>
        <v>0</v>
      </c>
      <c r="S111" s="391" t="str">
        <f ca="1">IFERROR(VLOOKUP($C111,COM_N_2012!$B$62:$AJ$122,MATCH(VLOOKUP("*"&amp;$AW111,$A$10:$J$11,$J$9,FALSE)&amp;S$7,COM_N_2012!$B$58:$AJ$58,0),FALSE),"")</f>
        <v/>
      </c>
      <c r="T111" s="391" t="str">
        <f ca="1">IFERROR(VLOOKUP($C111,COM_N_2012!$B$62:$AJ$122,MATCH(VLOOKUP("*"&amp;$AW111,$A$10:$J$11,$J$9,FALSE)&amp;T$7,COM_N_2012!$B$58:$AJ$58,0),FALSE),"")</f>
        <v/>
      </c>
      <c r="U111" s="391" t="str">
        <f ca="1">IFERROR(VLOOKUP($C111,COM_N_2012!$B$62:$AJ$122,MATCH(VLOOKUP("*"&amp;$AW111,$A$10:$J$11,$J$9,FALSE)&amp;U$7,COM_N_2012!$B$58:$AJ$58,0),FALSE),"")</f>
        <v/>
      </c>
      <c r="V111" s="391" t="str">
        <f ca="1">IFERROR(VLOOKUP($C111,COM_N_2012!$B$62:$AJ$122,MATCH(VLOOKUP("*"&amp;$AW111,$A$10:$J$11,$J$9,FALSE)&amp;V$7,COM_N_2012!$B$58:$AJ$58,0),FALSE),"")</f>
        <v/>
      </c>
      <c r="W111" s="391">
        <f ca="1">IF($A111="*","",IFERROR(VLOOKUP($C111,COM_N_2017!$B$61:$AJ$122,MATCH(VLOOKUP("*"&amp;$AW111,$A$10:$J$11,$J$9,FALSE)&amp;W$7,COM_N_2017!$B$58:$AJ$58,0),FALSE),""))</f>
        <v>0</v>
      </c>
      <c r="X111" s="391" t="str">
        <f ca="1">IFERROR(VLOOKUP($C111,COM_N_2012!$B$62:$AJ$122,MATCH(VLOOKUP("*"&amp;$AW111,$A$10:$J$11,$J$9,FALSE)&amp;X$7,COM_N_2012!$B$58:$AJ$58,0),FALSE),"")</f>
        <v/>
      </c>
      <c r="Y111" s="391" t="str">
        <f ca="1">IFERROR(VLOOKUP($C111,COM_N_2012!$B$62:$AJ$122,MATCH(VLOOKUP("*"&amp;$AW111,$A$10:$J$11,$J$9,FALSE)&amp;Y$7,COM_N_2012!$B$58:$AJ$58,0),FALSE),"")</f>
        <v/>
      </c>
      <c r="Z111" s="391" t="str">
        <f ca="1">IFERROR(VLOOKUP($C111,COM_N_2012!$B$62:$AJ$122,MATCH(VLOOKUP("*"&amp;$AW111,$A$10:$J$11,$J$9,FALSE)&amp;Z$7,COM_N_2012!$B$58:$AJ$58,0),FALSE),"")</f>
        <v/>
      </c>
      <c r="AA111" s="391" t="str">
        <f ca="1">IFERROR(VLOOKUP($C111,COM_N_2012!$B$62:$AJ$122,MATCH(VLOOKUP("*"&amp;$AW111,$A$10:$J$11,$J$9,FALSE)&amp;AA$7,COM_N_2012!$B$58:$AJ$58,0),FALSE),"")</f>
        <v/>
      </c>
      <c r="AB111" s="391">
        <f ca="1">IF($A111="*","",IFERROR(VLOOKUP($C111,COM_N_2017!$B$61:$AJ$122,MATCH(VLOOKUP("*"&amp;$AW111,$A$10:$J$11,$J$9,FALSE)&amp;AB$7,COM_N_2017!$B$58:$AJ$58,0),FALSE),""))</f>
        <v>0</v>
      </c>
      <c r="AC111" s="391" t="str">
        <f ca="1">IFERROR(VLOOKUP($C111,COM_N_2012!$B$62:$AJ$122,MATCH(VLOOKUP("*"&amp;$AW111,$A$10:$J$11,$J$9,FALSE)&amp;AC$7,COM_N_2012!$B$58:$AJ$58,0),FALSE),"")</f>
        <v/>
      </c>
      <c r="AD111" s="391" t="str">
        <f ca="1">IFERROR(VLOOKUP($C111,COM_N_2012!$B$62:$AJ$122,MATCH(VLOOKUP("*"&amp;$AW111,$A$10:$J$11,$J$9,FALSE)&amp;AD$7,COM_N_2012!$B$58:$AJ$58,0),FALSE),"")</f>
        <v/>
      </c>
      <c r="AE111" s="391" t="str">
        <f ca="1">IFERROR(VLOOKUP($C111,COM_N_2012!$B$62:$AJ$122,MATCH(VLOOKUP("*"&amp;$AW111,$A$10:$J$11,$J$9,FALSE)&amp;AE$7,COM_N_2012!$B$58:$AJ$58,0),FALSE),"")</f>
        <v/>
      </c>
      <c r="AF111" s="391" t="str">
        <f ca="1">IFERROR(VLOOKUP($C111,COM_N_2012!$B$62:$AJ$122,MATCH(VLOOKUP("*"&amp;$AW111,$A$10:$J$11,$J$9,FALSE)&amp;AF$7,COM_N_2012!$B$58:$AJ$58,0),FALSE),"")</f>
        <v/>
      </c>
      <c r="AG111" s="391">
        <f ca="1">IF($A111="*","",IFERROR(VLOOKUP($C111,COM_N_2017!$B$61:$AJ$122,MATCH(VLOOKUP("*"&amp;$AW111,$A$10:$J$11,$J$9,FALSE)&amp;AG$7,COM_N_2017!$B$58:$AJ$58,0),FALSE),""))</f>
        <v>0</v>
      </c>
      <c r="AH111" s="391" t="str">
        <f ca="1">IFERROR(VLOOKUP($C111,COM_N_2012!$B$62:$AJ$122,MATCH(VLOOKUP("*"&amp;$AW111,$A$10:$J$11,$J$9,FALSE)&amp;AH$7,COM_N_2012!$B$58:$AJ$58,0),FALSE),"")</f>
        <v/>
      </c>
      <c r="AI111" s="391" t="str">
        <f ca="1">IFERROR(VLOOKUP($C111,COM_N_2012!$B$62:$AJ$122,MATCH(VLOOKUP("*"&amp;$AW111,$A$10:$J$11,$J$9,FALSE)&amp;AI$7,COM_N_2012!$B$58:$AJ$58,0),FALSE),"")</f>
        <v/>
      </c>
      <c r="AJ111" s="391" t="str">
        <f ca="1">IFERROR(VLOOKUP($C111,COM_N_2012!$B$62:$AJ$122,MATCH(VLOOKUP("*"&amp;$AW111,$A$10:$J$11,$J$9,FALSE)&amp;AJ$7,COM_N_2012!$B$58:$AJ$58,0),FALSE),"")</f>
        <v/>
      </c>
      <c r="AK111" s="391" t="str">
        <f ca="1">IFERROR(VLOOKUP($C111,COM_N_2012!$B$62:$AJ$122,MATCH(VLOOKUP("*"&amp;$AW111,$A$10:$J$11,$J$9,FALSE)&amp;AK$7,COM_N_2012!$B$58:$AJ$58,0),FALSE),"")</f>
        <v/>
      </c>
      <c r="AL111" s="391">
        <f ca="1">IF($A111="*","",IFERROR(VLOOKUP($C111,COM_N_2017!$B$61:$AJ$122,MATCH(VLOOKUP("*"&amp;$AW111,$A$10:$J$11,$J$9,FALSE)&amp;AL$7,COM_N_2017!$B$58:$AJ$58,0),FALSE),""))</f>
        <v>0</v>
      </c>
      <c r="AM111" s="391">
        <f ca="1">IF($A111="*","",IFERROR(VLOOKUP($C111,COM_N_2017!$B$61:$AJ$122,MATCH(VLOOKUP("*"&amp;$AW111,$A$10:$J$11,$J$9,FALSE)&amp;AM$7,COM_N_2017!$B$58:$AJ$58,0),FALSE),""))</f>
        <v>0</v>
      </c>
      <c r="AN111" s="391">
        <f ca="1">IF($A111="*","",IFERROR(VLOOKUP($C111,COM_N_2017!$B$61:$AJ$122,MATCH(VLOOKUP("*"&amp;$AW111,$A$10:$J$11,$J$9,FALSE)&amp;AN$7,COM_N_2017!$B$58:$AJ$58,0),FALSE),""))</f>
        <v>0</v>
      </c>
      <c r="AO111" s="391" t="str">
        <f ca="1">IFERROR(VLOOKUP($C111,COM_N_2012!$B$62:$AJ$122,MATCH(VLOOKUP("*"&amp;$AW111,$A$10:$J$11,$J$9,FALSE)&amp;AO$7,COM_N_2012!$B$58:$AJ$58,0),FALSE),"")</f>
        <v/>
      </c>
      <c r="AP111" s="391" t="str">
        <f ca="1">IFERROR(VLOOKUP($C111,COM_N_2012!$B$62:$AJ$122,MATCH(VLOOKUP("*"&amp;$AW111,$A$10:$J$11,$J$9,FALSE)&amp;AP$7,COM_N_2012!$B$58:$AJ$58,0),FALSE),"")</f>
        <v/>
      </c>
      <c r="AQ111" s="391" t="str">
        <f ca="1">IFERROR(VLOOKUP($C111,COM_N_2012!$B$62:$AJ$122,MATCH(VLOOKUP("*"&amp;$AW111,$A$10:$J$11,$J$9,FALSE)&amp;AQ$7,COM_N_2012!$B$58:$AJ$58,0),FALSE),"")</f>
        <v/>
      </c>
      <c r="AR111" s="391" t="str">
        <f ca="1">IFERROR(VLOOKUP($C111,COM_N_2012!$B$62:$AJ$122,MATCH(VLOOKUP("*"&amp;$AW111,$A$10:$J$11,$J$9,FALSE)&amp;AR$7,COM_N_2012!$B$58:$AJ$58,0),FALSE),"")</f>
        <v/>
      </c>
      <c r="AS111" s="391" t="str">
        <f ca="1">IFERROR(VLOOKUP($C111,COM_N_2012!$B$62:$AJ$122,MATCH(VLOOKUP("*"&amp;$AW111,$A$10:$J$11,$J$9,FALSE)&amp;AS$7,COM_N_2012!$B$58:$AJ$58,0),FALSE),"")</f>
        <v/>
      </c>
      <c r="AT111" s="391" t="str">
        <f ca="1">IFERROR(VLOOKUP($C111,COM_N_2012!$B$62:$AJ$122,MATCH(VLOOKUP("*"&amp;$AW111,$A$10:$J$11,$J$9,FALSE)&amp;AT$7,COM_N_2012!$B$58:$AJ$58,0),FALSE),"")</f>
        <v/>
      </c>
      <c r="AU111" s="391" t="str">
        <f ca="1">IFERROR(VLOOKUP($C111,COM_N_2012!$B$62:$AJ$122,MATCH(VLOOKUP("*"&amp;$AW111,$A$10:$J$11,$J$9,FALSE)&amp;AU$7,COM_N_2012!$B$58:$AJ$58,0),FALSE),"")</f>
        <v/>
      </c>
      <c r="AV111" s="391" t="str">
        <f ca="1">IFERROR(VLOOKUP($C111,COM_N_2012!$B$62:$AJ$122,MATCH(VLOOKUP("*"&amp;$AW111,$A$10:$J$11,$J$9,FALSE)&amp;AV$7,COM_N_2012!$B$58:$AJ$58,0),FALSE),"")</f>
        <v/>
      </c>
      <c r="AW111" s="304">
        <f>IF(AX110=COM_N_2012!$AK$121,AW110+1,AW110)</f>
        <v>2</v>
      </c>
      <c r="AX111" s="304">
        <f t="shared" si="23"/>
        <v>38</v>
      </c>
    </row>
    <row r="112" spans="1:50">
      <c r="A112" s="304" t="str">
        <f ca="1">IF(LEFT(OFFSET(COM_N_2012!$A$60,AX112,0),2)="\I","*","")</f>
        <v/>
      </c>
      <c r="B112" s="369" t="str">
        <f t="shared" ca="1" si="24"/>
        <v>FLO_MRKPRD</v>
      </c>
      <c r="C112" s="369" t="str">
        <f ca="1">IF($A112="*","",OFFSET(COM_N_2012!$B$60,AX112,0))</f>
        <v>CNWELCHP-N</v>
      </c>
      <c r="D112" s="369" t="str">
        <f t="shared" ca="1" si="25"/>
        <v>CNW</v>
      </c>
      <c r="E112" s="369" t="str">
        <f t="shared" ca="1" si="20"/>
        <v>-</v>
      </c>
      <c r="F112" s="370" t="str">
        <f t="shared" ca="1" si="22"/>
        <v>-</v>
      </c>
      <c r="G112" s="370" t="str">
        <f t="shared" ca="1" si="22"/>
        <v>ANNUAL</v>
      </c>
      <c r="H112" s="370" t="str">
        <f t="shared" ca="1" si="21"/>
        <v>LO</v>
      </c>
      <c r="I112" s="370">
        <f t="shared" ca="1" si="21"/>
        <v>0</v>
      </c>
      <c r="J112" s="391">
        <f ca="1">IFERROR(VLOOKUP($C112,COM_N_2012!$B$61:$AJ$122,MATCH(VLOOKUP("*"&amp;$AW112,$A$10:$J$11,$J$9,FALSE)&amp;J$7,COM_N_2012!$B$58:$AJ$58,0),FALSE),"")</f>
        <v>0</v>
      </c>
      <c r="K112" s="391" t="str">
        <f ca="1">IFERROR(VLOOKUP($C112,COM_N_2012!$B$62:$AJ$122,MATCH(VLOOKUP("*"&amp;$AW112,$A$10:$J$11,$J$9,FALSE)&amp;K$7,COM_N_2012!$B$58:$AJ$58,0),FALSE),"")</f>
        <v/>
      </c>
      <c r="L112" s="391" t="str">
        <f ca="1">IFERROR(VLOOKUP($C112,COM_N_2012!$B$62:$AJ$122,MATCH(VLOOKUP("*"&amp;$AW112,$A$10:$J$11,$J$9,FALSE)&amp;L$7,COM_N_2012!$B$58:$AJ$58,0),FALSE),"")</f>
        <v/>
      </c>
      <c r="M112" s="391">
        <f ca="1">IFERROR(VLOOKUP($C112,COM_N_2012!$B$62:$AJ$122,MATCH(VLOOKUP("*"&amp;$AW112,$A$10:$J$11,$J$9,FALSE)&amp;M$7,COM_N_2012!$B$58:$AJ$58,0),FALSE),"")</f>
        <v>0</v>
      </c>
      <c r="N112" s="391" t="str">
        <f ca="1">IFERROR(VLOOKUP($C112,COM_N_2012!$B$62:$AJ$122,MATCH(VLOOKUP("*"&amp;$AW112,$A$10:$J$11,$J$9,FALSE)&amp;N$7,COM_N_2012!$B$58:$AJ$58,0),FALSE),"")</f>
        <v/>
      </c>
      <c r="O112" s="391">
        <f ca="1">IF($A112="*","",IFERROR(VLOOKUP($C112,COM_N_2017!$B$61:$AJ$122,MATCH(VLOOKUP("*"&amp;$AW112,$A$10:$J$11,$J$9,FALSE)&amp;O$7,COM_N_2017!$B$58:$AJ$58,0),FALSE),""))</f>
        <v>0</v>
      </c>
      <c r="P112" s="391" t="str">
        <f ca="1">IFERROR(VLOOKUP($C112,COM_N_2012!$B$62:$AJ$122,MATCH(VLOOKUP("*"&amp;$AW112,$A$10:$J$11,$J$9,FALSE)&amp;P$7,COM_N_2012!$B$58:$AJ$58,0),FALSE),"")</f>
        <v/>
      </c>
      <c r="Q112" s="391" t="str">
        <f ca="1">IFERROR(VLOOKUP($C112,COM_N_2012!$B$62:$AJ$122,MATCH(VLOOKUP("*"&amp;$AW112,$A$10:$J$11,$J$9,FALSE)&amp;Q$7,COM_N_2012!$B$58:$AJ$58,0),FALSE),"")</f>
        <v/>
      </c>
      <c r="R112" s="391">
        <f ca="1">IF($A112="*","",IFERROR(VLOOKUP($C112,COM_N_2017!$B$61:$AJ$122,MATCH(VLOOKUP("*"&amp;$AW112,$A$10:$J$11,$J$9,FALSE)&amp;R$7,COM_N_2017!$B$58:$AJ$58,0),FALSE),""))</f>
        <v>0</v>
      </c>
      <c r="S112" s="391" t="str">
        <f ca="1">IFERROR(VLOOKUP($C112,COM_N_2012!$B$62:$AJ$122,MATCH(VLOOKUP("*"&amp;$AW112,$A$10:$J$11,$J$9,FALSE)&amp;S$7,COM_N_2012!$B$58:$AJ$58,0),FALSE),"")</f>
        <v/>
      </c>
      <c r="T112" s="391" t="str">
        <f ca="1">IFERROR(VLOOKUP($C112,COM_N_2012!$B$62:$AJ$122,MATCH(VLOOKUP("*"&amp;$AW112,$A$10:$J$11,$J$9,FALSE)&amp;T$7,COM_N_2012!$B$58:$AJ$58,0),FALSE),"")</f>
        <v/>
      </c>
      <c r="U112" s="391" t="str">
        <f ca="1">IFERROR(VLOOKUP($C112,COM_N_2012!$B$62:$AJ$122,MATCH(VLOOKUP("*"&amp;$AW112,$A$10:$J$11,$J$9,FALSE)&amp;U$7,COM_N_2012!$B$58:$AJ$58,0),FALSE),"")</f>
        <v/>
      </c>
      <c r="V112" s="391" t="str">
        <f ca="1">IFERROR(VLOOKUP($C112,COM_N_2012!$B$62:$AJ$122,MATCH(VLOOKUP("*"&amp;$AW112,$A$10:$J$11,$J$9,FALSE)&amp;V$7,COM_N_2012!$B$58:$AJ$58,0),FALSE),"")</f>
        <v/>
      </c>
      <c r="W112" s="391">
        <f ca="1">IF($A112="*","",IFERROR(VLOOKUP($C112,COM_N_2017!$B$61:$AJ$122,MATCH(VLOOKUP("*"&amp;$AW112,$A$10:$J$11,$J$9,FALSE)&amp;W$7,COM_N_2017!$B$58:$AJ$58,0),FALSE),""))</f>
        <v>0</v>
      </c>
      <c r="X112" s="391" t="str">
        <f ca="1">IFERROR(VLOOKUP($C112,COM_N_2012!$B$62:$AJ$122,MATCH(VLOOKUP("*"&amp;$AW112,$A$10:$J$11,$J$9,FALSE)&amp;X$7,COM_N_2012!$B$58:$AJ$58,0),FALSE),"")</f>
        <v/>
      </c>
      <c r="Y112" s="391" t="str">
        <f ca="1">IFERROR(VLOOKUP($C112,COM_N_2012!$B$62:$AJ$122,MATCH(VLOOKUP("*"&amp;$AW112,$A$10:$J$11,$J$9,FALSE)&amp;Y$7,COM_N_2012!$B$58:$AJ$58,0),FALSE),"")</f>
        <v/>
      </c>
      <c r="Z112" s="391" t="str">
        <f ca="1">IFERROR(VLOOKUP($C112,COM_N_2012!$B$62:$AJ$122,MATCH(VLOOKUP("*"&amp;$AW112,$A$10:$J$11,$J$9,FALSE)&amp;Z$7,COM_N_2012!$B$58:$AJ$58,0),FALSE),"")</f>
        <v/>
      </c>
      <c r="AA112" s="391" t="str">
        <f ca="1">IFERROR(VLOOKUP($C112,COM_N_2012!$B$62:$AJ$122,MATCH(VLOOKUP("*"&amp;$AW112,$A$10:$J$11,$J$9,FALSE)&amp;AA$7,COM_N_2012!$B$58:$AJ$58,0),FALSE),"")</f>
        <v/>
      </c>
      <c r="AB112" s="391">
        <f ca="1">IF($A112="*","",IFERROR(VLOOKUP($C112,COM_N_2017!$B$61:$AJ$122,MATCH(VLOOKUP("*"&amp;$AW112,$A$10:$J$11,$J$9,FALSE)&amp;AB$7,COM_N_2017!$B$58:$AJ$58,0),FALSE),""))</f>
        <v>0</v>
      </c>
      <c r="AC112" s="391" t="str">
        <f ca="1">IFERROR(VLOOKUP($C112,COM_N_2012!$B$62:$AJ$122,MATCH(VLOOKUP("*"&amp;$AW112,$A$10:$J$11,$J$9,FALSE)&amp;AC$7,COM_N_2012!$B$58:$AJ$58,0),FALSE),"")</f>
        <v/>
      </c>
      <c r="AD112" s="391" t="str">
        <f ca="1">IFERROR(VLOOKUP($C112,COM_N_2012!$B$62:$AJ$122,MATCH(VLOOKUP("*"&amp;$AW112,$A$10:$J$11,$J$9,FALSE)&amp;AD$7,COM_N_2012!$B$58:$AJ$58,0),FALSE),"")</f>
        <v/>
      </c>
      <c r="AE112" s="391" t="str">
        <f ca="1">IFERROR(VLOOKUP($C112,COM_N_2012!$B$62:$AJ$122,MATCH(VLOOKUP("*"&amp;$AW112,$A$10:$J$11,$J$9,FALSE)&amp;AE$7,COM_N_2012!$B$58:$AJ$58,0),FALSE),"")</f>
        <v/>
      </c>
      <c r="AF112" s="391" t="str">
        <f ca="1">IFERROR(VLOOKUP($C112,COM_N_2012!$B$62:$AJ$122,MATCH(VLOOKUP("*"&amp;$AW112,$A$10:$J$11,$J$9,FALSE)&amp;AF$7,COM_N_2012!$B$58:$AJ$58,0),FALSE),"")</f>
        <v/>
      </c>
      <c r="AG112" s="391">
        <f ca="1">IF($A112="*","",IFERROR(VLOOKUP($C112,COM_N_2017!$B$61:$AJ$122,MATCH(VLOOKUP("*"&amp;$AW112,$A$10:$J$11,$J$9,FALSE)&amp;AG$7,COM_N_2017!$B$58:$AJ$58,0),FALSE),""))</f>
        <v>0</v>
      </c>
      <c r="AH112" s="391" t="str">
        <f ca="1">IFERROR(VLOOKUP($C112,COM_N_2012!$B$62:$AJ$122,MATCH(VLOOKUP("*"&amp;$AW112,$A$10:$J$11,$J$9,FALSE)&amp;AH$7,COM_N_2012!$B$58:$AJ$58,0),FALSE),"")</f>
        <v/>
      </c>
      <c r="AI112" s="391" t="str">
        <f ca="1">IFERROR(VLOOKUP($C112,COM_N_2012!$B$62:$AJ$122,MATCH(VLOOKUP("*"&amp;$AW112,$A$10:$J$11,$J$9,FALSE)&amp;AI$7,COM_N_2012!$B$58:$AJ$58,0),FALSE),"")</f>
        <v/>
      </c>
      <c r="AJ112" s="391" t="str">
        <f ca="1">IFERROR(VLOOKUP($C112,COM_N_2012!$B$62:$AJ$122,MATCH(VLOOKUP("*"&amp;$AW112,$A$10:$J$11,$J$9,FALSE)&amp;AJ$7,COM_N_2012!$B$58:$AJ$58,0),FALSE),"")</f>
        <v/>
      </c>
      <c r="AK112" s="391" t="str">
        <f ca="1">IFERROR(VLOOKUP($C112,COM_N_2012!$B$62:$AJ$122,MATCH(VLOOKUP("*"&amp;$AW112,$A$10:$J$11,$J$9,FALSE)&amp;AK$7,COM_N_2012!$B$58:$AJ$58,0),FALSE),"")</f>
        <v/>
      </c>
      <c r="AL112" s="391">
        <f ca="1">IF($A112="*","",IFERROR(VLOOKUP($C112,COM_N_2017!$B$61:$AJ$122,MATCH(VLOOKUP("*"&amp;$AW112,$A$10:$J$11,$J$9,FALSE)&amp;AL$7,COM_N_2017!$B$58:$AJ$58,0),FALSE),""))</f>
        <v>0</v>
      </c>
      <c r="AM112" s="391">
        <f ca="1">IF($A112="*","",IFERROR(VLOOKUP($C112,COM_N_2017!$B$61:$AJ$122,MATCH(VLOOKUP("*"&amp;$AW112,$A$10:$J$11,$J$9,FALSE)&amp;AM$7,COM_N_2017!$B$58:$AJ$58,0),FALSE),""))</f>
        <v>0</v>
      </c>
      <c r="AN112" s="391">
        <f ca="1">IF($A112="*","",IFERROR(VLOOKUP($C112,COM_N_2017!$B$61:$AJ$122,MATCH(VLOOKUP("*"&amp;$AW112,$A$10:$J$11,$J$9,FALSE)&amp;AN$7,COM_N_2017!$B$58:$AJ$58,0),FALSE),""))</f>
        <v>0</v>
      </c>
      <c r="AO112" s="391" t="str">
        <f ca="1">IFERROR(VLOOKUP($C112,COM_N_2012!$B$62:$AJ$122,MATCH(VLOOKUP("*"&amp;$AW112,$A$10:$J$11,$J$9,FALSE)&amp;AO$7,COM_N_2012!$B$58:$AJ$58,0),FALSE),"")</f>
        <v/>
      </c>
      <c r="AP112" s="391" t="str">
        <f ca="1">IFERROR(VLOOKUP($C112,COM_N_2012!$B$62:$AJ$122,MATCH(VLOOKUP("*"&amp;$AW112,$A$10:$J$11,$J$9,FALSE)&amp;AP$7,COM_N_2012!$B$58:$AJ$58,0),FALSE),"")</f>
        <v/>
      </c>
      <c r="AQ112" s="391" t="str">
        <f ca="1">IFERROR(VLOOKUP($C112,COM_N_2012!$B$62:$AJ$122,MATCH(VLOOKUP("*"&amp;$AW112,$A$10:$J$11,$J$9,FALSE)&amp;AQ$7,COM_N_2012!$B$58:$AJ$58,0),FALSE),"")</f>
        <v/>
      </c>
      <c r="AR112" s="391" t="str">
        <f ca="1">IFERROR(VLOOKUP($C112,COM_N_2012!$B$62:$AJ$122,MATCH(VLOOKUP("*"&amp;$AW112,$A$10:$J$11,$J$9,FALSE)&amp;AR$7,COM_N_2012!$B$58:$AJ$58,0),FALSE),"")</f>
        <v/>
      </c>
      <c r="AS112" s="391" t="str">
        <f ca="1">IFERROR(VLOOKUP($C112,COM_N_2012!$B$62:$AJ$122,MATCH(VLOOKUP("*"&amp;$AW112,$A$10:$J$11,$J$9,FALSE)&amp;AS$7,COM_N_2012!$B$58:$AJ$58,0),FALSE),"")</f>
        <v/>
      </c>
      <c r="AT112" s="391" t="str">
        <f ca="1">IFERROR(VLOOKUP($C112,COM_N_2012!$B$62:$AJ$122,MATCH(VLOOKUP("*"&amp;$AW112,$A$10:$J$11,$J$9,FALSE)&amp;AT$7,COM_N_2012!$B$58:$AJ$58,0),FALSE),"")</f>
        <v/>
      </c>
      <c r="AU112" s="391" t="str">
        <f ca="1">IFERROR(VLOOKUP($C112,COM_N_2012!$B$62:$AJ$122,MATCH(VLOOKUP("*"&amp;$AW112,$A$10:$J$11,$J$9,FALSE)&amp;AU$7,COM_N_2012!$B$58:$AJ$58,0),FALSE),"")</f>
        <v/>
      </c>
      <c r="AV112" s="391" t="str">
        <f ca="1">IFERROR(VLOOKUP($C112,COM_N_2012!$B$62:$AJ$122,MATCH(VLOOKUP("*"&amp;$AW112,$A$10:$J$11,$J$9,FALSE)&amp;AV$7,COM_N_2012!$B$58:$AJ$58,0),FALSE),"")</f>
        <v/>
      </c>
      <c r="AW112" s="304">
        <f>IF(AX111=COM_N_2012!$AK$121,AW111+1,AW111)</f>
        <v>2</v>
      </c>
      <c r="AX112" s="304">
        <f t="shared" si="23"/>
        <v>39</v>
      </c>
    </row>
    <row r="113" spans="1:50">
      <c r="A113" s="304" t="str">
        <f ca="1">IF(LEFT(OFFSET(COM_N_2012!$A$60,AX113,0),2)="\I","*","")</f>
        <v>*</v>
      </c>
      <c r="B113" s="369" t="str">
        <f t="shared" ca="1" si="24"/>
        <v/>
      </c>
      <c r="C113" s="369" t="str">
        <f ca="1">IF($A113="*","",OFFSET(COM_N_2012!$B$60,AX113,0))</f>
        <v/>
      </c>
      <c r="D113" s="369" t="str">
        <f t="shared" ca="1" si="25"/>
        <v/>
      </c>
      <c r="E113" s="369" t="str">
        <f t="shared" ca="1" si="20"/>
        <v/>
      </c>
      <c r="F113" s="370" t="str">
        <f t="shared" ca="1" si="22"/>
        <v/>
      </c>
      <c r="G113" s="370" t="str">
        <f t="shared" ca="1" si="22"/>
        <v/>
      </c>
      <c r="H113" s="370" t="str">
        <f t="shared" ca="1" si="21"/>
        <v/>
      </c>
      <c r="I113" s="370" t="str">
        <f t="shared" ca="1" si="21"/>
        <v/>
      </c>
      <c r="J113" s="391" t="str">
        <f ca="1">IFERROR(VLOOKUP($C113,COM_N_2012!$B$61:$AJ$122,MATCH(VLOOKUP("*"&amp;$AW113,$A$10:$J$11,$J$9,FALSE)&amp;J$7,COM_N_2012!$B$58:$AJ$58,0),FALSE),"")</f>
        <v/>
      </c>
      <c r="K113" s="391" t="str">
        <f ca="1">IFERROR(VLOOKUP($C113,COM_N_2012!$B$62:$AJ$122,MATCH(VLOOKUP("*"&amp;$AW113,$A$10:$J$11,$J$9,FALSE)&amp;K$7,COM_N_2012!$B$58:$AJ$58,0),FALSE),"")</f>
        <v/>
      </c>
      <c r="L113" s="391" t="str">
        <f ca="1">IFERROR(VLOOKUP($C113,COM_N_2012!$B$62:$AJ$122,MATCH(VLOOKUP("*"&amp;$AW113,$A$10:$J$11,$J$9,FALSE)&amp;L$7,COM_N_2012!$B$58:$AJ$58,0),FALSE),"")</f>
        <v/>
      </c>
      <c r="M113" s="391" t="str">
        <f ca="1">IFERROR(VLOOKUP($C113,COM_N_2012!$B$62:$AJ$122,MATCH(VLOOKUP("*"&amp;$AW113,$A$10:$J$11,$J$9,FALSE)&amp;M$7,COM_N_2012!$B$58:$AJ$58,0),FALSE),"")</f>
        <v/>
      </c>
      <c r="N113" s="391" t="str">
        <f ca="1">IFERROR(VLOOKUP($C113,COM_N_2012!$B$62:$AJ$122,MATCH(VLOOKUP("*"&amp;$AW113,$A$10:$J$11,$J$9,FALSE)&amp;N$7,COM_N_2012!$B$58:$AJ$58,0),FALSE),"")</f>
        <v/>
      </c>
      <c r="O113" s="391" t="str">
        <f ca="1">IF($A113="*","",IFERROR(VLOOKUP($C113,COM_N_2017!$B$61:$AJ$122,MATCH(VLOOKUP("*"&amp;$AW113,$A$10:$J$11,$J$9,FALSE)&amp;O$7,COM_N_2017!$B$58:$AJ$58,0),FALSE),""))</f>
        <v/>
      </c>
      <c r="P113" s="391" t="str">
        <f ca="1">IFERROR(VLOOKUP($C113,COM_N_2012!$B$62:$AJ$122,MATCH(VLOOKUP("*"&amp;$AW113,$A$10:$J$11,$J$9,FALSE)&amp;P$7,COM_N_2012!$B$58:$AJ$58,0),FALSE),"")</f>
        <v/>
      </c>
      <c r="Q113" s="391" t="str">
        <f ca="1">IFERROR(VLOOKUP($C113,COM_N_2012!$B$62:$AJ$122,MATCH(VLOOKUP("*"&amp;$AW113,$A$10:$J$11,$J$9,FALSE)&amp;Q$7,COM_N_2012!$B$58:$AJ$58,0),FALSE),"")</f>
        <v/>
      </c>
      <c r="R113" s="391" t="str">
        <f ca="1">IF($A113="*","",IFERROR(VLOOKUP($C113,COM_N_2017!$B$61:$AJ$122,MATCH(VLOOKUP("*"&amp;$AW113,$A$10:$J$11,$J$9,FALSE)&amp;R$7,COM_N_2017!$B$58:$AJ$58,0),FALSE),""))</f>
        <v/>
      </c>
      <c r="S113" s="391" t="str">
        <f ca="1">IFERROR(VLOOKUP($C113,COM_N_2012!$B$62:$AJ$122,MATCH(VLOOKUP("*"&amp;$AW113,$A$10:$J$11,$J$9,FALSE)&amp;S$7,COM_N_2012!$B$58:$AJ$58,0),FALSE),"")</f>
        <v/>
      </c>
      <c r="T113" s="391" t="str">
        <f ca="1">IFERROR(VLOOKUP($C113,COM_N_2012!$B$62:$AJ$122,MATCH(VLOOKUP("*"&amp;$AW113,$A$10:$J$11,$J$9,FALSE)&amp;T$7,COM_N_2012!$B$58:$AJ$58,0),FALSE),"")</f>
        <v/>
      </c>
      <c r="U113" s="391" t="str">
        <f ca="1">IFERROR(VLOOKUP($C113,COM_N_2012!$B$62:$AJ$122,MATCH(VLOOKUP("*"&amp;$AW113,$A$10:$J$11,$J$9,FALSE)&amp;U$7,COM_N_2012!$B$58:$AJ$58,0),FALSE),"")</f>
        <v/>
      </c>
      <c r="V113" s="391" t="str">
        <f ca="1">IFERROR(VLOOKUP($C113,COM_N_2012!$B$62:$AJ$122,MATCH(VLOOKUP("*"&amp;$AW113,$A$10:$J$11,$J$9,FALSE)&amp;V$7,COM_N_2012!$B$58:$AJ$58,0),FALSE),"")</f>
        <v/>
      </c>
      <c r="W113" s="391" t="str">
        <f ca="1">IF($A113="*","",IFERROR(VLOOKUP($C113,COM_N_2017!$B$61:$AJ$122,MATCH(VLOOKUP("*"&amp;$AW113,$A$10:$J$11,$J$9,FALSE)&amp;W$7,COM_N_2017!$B$58:$AJ$58,0),FALSE),""))</f>
        <v/>
      </c>
      <c r="X113" s="391" t="str">
        <f ca="1">IFERROR(VLOOKUP($C113,COM_N_2012!$B$62:$AJ$122,MATCH(VLOOKUP("*"&amp;$AW113,$A$10:$J$11,$J$9,FALSE)&amp;X$7,COM_N_2012!$B$58:$AJ$58,0),FALSE),"")</f>
        <v/>
      </c>
      <c r="Y113" s="391" t="str">
        <f ca="1">IFERROR(VLOOKUP($C113,COM_N_2012!$B$62:$AJ$122,MATCH(VLOOKUP("*"&amp;$AW113,$A$10:$J$11,$J$9,FALSE)&amp;Y$7,COM_N_2012!$B$58:$AJ$58,0),FALSE),"")</f>
        <v/>
      </c>
      <c r="Z113" s="391" t="str">
        <f ca="1">IFERROR(VLOOKUP($C113,COM_N_2012!$B$62:$AJ$122,MATCH(VLOOKUP("*"&amp;$AW113,$A$10:$J$11,$J$9,FALSE)&amp;Z$7,COM_N_2012!$B$58:$AJ$58,0),FALSE),"")</f>
        <v/>
      </c>
      <c r="AA113" s="391" t="str">
        <f ca="1">IFERROR(VLOOKUP($C113,COM_N_2012!$B$62:$AJ$122,MATCH(VLOOKUP("*"&amp;$AW113,$A$10:$J$11,$J$9,FALSE)&amp;AA$7,COM_N_2012!$B$58:$AJ$58,0),FALSE),"")</f>
        <v/>
      </c>
      <c r="AB113" s="391" t="str">
        <f ca="1">IF($A113="*","",IFERROR(VLOOKUP($C113,COM_N_2017!$B$61:$AJ$122,MATCH(VLOOKUP("*"&amp;$AW113,$A$10:$J$11,$J$9,FALSE)&amp;AB$7,COM_N_2017!$B$58:$AJ$58,0),FALSE),""))</f>
        <v/>
      </c>
      <c r="AC113" s="391" t="str">
        <f ca="1">IFERROR(VLOOKUP($C113,COM_N_2012!$B$62:$AJ$122,MATCH(VLOOKUP("*"&amp;$AW113,$A$10:$J$11,$J$9,FALSE)&amp;AC$7,COM_N_2012!$B$58:$AJ$58,0),FALSE),"")</f>
        <v/>
      </c>
      <c r="AD113" s="391" t="str">
        <f ca="1">IFERROR(VLOOKUP($C113,COM_N_2012!$B$62:$AJ$122,MATCH(VLOOKUP("*"&amp;$AW113,$A$10:$J$11,$J$9,FALSE)&amp;AD$7,COM_N_2012!$B$58:$AJ$58,0),FALSE),"")</f>
        <v/>
      </c>
      <c r="AE113" s="391" t="str">
        <f ca="1">IFERROR(VLOOKUP($C113,COM_N_2012!$B$62:$AJ$122,MATCH(VLOOKUP("*"&amp;$AW113,$A$10:$J$11,$J$9,FALSE)&amp;AE$7,COM_N_2012!$B$58:$AJ$58,0),FALSE),"")</f>
        <v/>
      </c>
      <c r="AF113" s="391" t="str">
        <f ca="1">IFERROR(VLOOKUP($C113,COM_N_2012!$B$62:$AJ$122,MATCH(VLOOKUP("*"&amp;$AW113,$A$10:$J$11,$J$9,FALSE)&amp;AF$7,COM_N_2012!$B$58:$AJ$58,0),FALSE),"")</f>
        <v/>
      </c>
      <c r="AG113" s="391" t="str">
        <f ca="1">IF($A113="*","",IFERROR(VLOOKUP($C113,COM_N_2017!$B$61:$AJ$122,MATCH(VLOOKUP("*"&amp;$AW113,$A$10:$J$11,$J$9,FALSE)&amp;AG$7,COM_N_2017!$B$58:$AJ$58,0),FALSE),""))</f>
        <v/>
      </c>
      <c r="AH113" s="391" t="str">
        <f ca="1">IFERROR(VLOOKUP($C113,COM_N_2012!$B$62:$AJ$122,MATCH(VLOOKUP("*"&amp;$AW113,$A$10:$J$11,$J$9,FALSE)&amp;AH$7,COM_N_2012!$B$58:$AJ$58,0),FALSE),"")</f>
        <v/>
      </c>
      <c r="AI113" s="391" t="str">
        <f ca="1">IFERROR(VLOOKUP($C113,COM_N_2012!$B$62:$AJ$122,MATCH(VLOOKUP("*"&amp;$AW113,$A$10:$J$11,$J$9,FALSE)&amp;AI$7,COM_N_2012!$B$58:$AJ$58,0),FALSE),"")</f>
        <v/>
      </c>
      <c r="AJ113" s="391" t="str">
        <f ca="1">IFERROR(VLOOKUP($C113,COM_N_2012!$B$62:$AJ$122,MATCH(VLOOKUP("*"&amp;$AW113,$A$10:$J$11,$J$9,FALSE)&amp;AJ$7,COM_N_2012!$B$58:$AJ$58,0),FALSE),"")</f>
        <v/>
      </c>
      <c r="AK113" s="391" t="str">
        <f ca="1">IFERROR(VLOOKUP($C113,COM_N_2012!$B$62:$AJ$122,MATCH(VLOOKUP("*"&amp;$AW113,$A$10:$J$11,$J$9,FALSE)&amp;AK$7,COM_N_2012!$B$58:$AJ$58,0),FALSE),"")</f>
        <v/>
      </c>
      <c r="AL113" s="391" t="str">
        <f ca="1">IF($A113="*","",IFERROR(VLOOKUP($C113,COM_N_2017!$B$61:$AJ$122,MATCH(VLOOKUP("*"&amp;$AW113,$A$10:$J$11,$J$9,FALSE)&amp;AL$7,COM_N_2017!$B$58:$AJ$58,0),FALSE),""))</f>
        <v/>
      </c>
      <c r="AM113" s="391" t="str">
        <f ca="1">IF($A113="*","",IFERROR(VLOOKUP($C113,COM_N_2017!$B$61:$AJ$122,MATCH(VLOOKUP("*"&amp;$AW113,$A$10:$J$11,$J$9,FALSE)&amp;AM$7,COM_N_2017!$B$58:$AJ$58,0),FALSE),""))</f>
        <v/>
      </c>
      <c r="AN113" s="391" t="str">
        <f ca="1">IF($A113="*","",IFERROR(VLOOKUP($C113,COM_N_2017!$B$61:$AJ$122,MATCH(VLOOKUP("*"&amp;$AW113,$A$10:$J$11,$J$9,FALSE)&amp;AN$7,COM_N_2017!$B$58:$AJ$58,0),FALSE),""))</f>
        <v/>
      </c>
      <c r="AO113" s="391" t="str">
        <f ca="1">IFERROR(VLOOKUP($C113,COM_N_2012!$B$62:$AJ$122,MATCH(VLOOKUP("*"&amp;$AW113,$A$10:$J$11,$J$9,FALSE)&amp;AO$7,COM_N_2012!$B$58:$AJ$58,0),FALSE),"")</f>
        <v/>
      </c>
      <c r="AP113" s="391" t="str">
        <f ca="1">IFERROR(VLOOKUP($C113,COM_N_2012!$B$62:$AJ$122,MATCH(VLOOKUP("*"&amp;$AW113,$A$10:$J$11,$J$9,FALSE)&amp;AP$7,COM_N_2012!$B$58:$AJ$58,0),FALSE),"")</f>
        <v/>
      </c>
      <c r="AQ113" s="391" t="str">
        <f ca="1">IFERROR(VLOOKUP($C113,COM_N_2012!$B$62:$AJ$122,MATCH(VLOOKUP("*"&amp;$AW113,$A$10:$J$11,$J$9,FALSE)&amp;AQ$7,COM_N_2012!$B$58:$AJ$58,0),FALSE),"")</f>
        <v/>
      </c>
      <c r="AR113" s="391" t="str">
        <f ca="1">IFERROR(VLOOKUP($C113,COM_N_2012!$B$62:$AJ$122,MATCH(VLOOKUP("*"&amp;$AW113,$A$10:$J$11,$J$9,FALSE)&amp;AR$7,COM_N_2012!$B$58:$AJ$58,0),FALSE),"")</f>
        <v/>
      </c>
      <c r="AS113" s="391" t="str">
        <f ca="1">IFERROR(VLOOKUP($C113,COM_N_2012!$B$62:$AJ$122,MATCH(VLOOKUP("*"&amp;$AW113,$A$10:$J$11,$J$9,FALSE)&amp;AS$7,COM_N_2012!$B$58:$AJ$58,0),FALSE),"")</f>
        <v/>
      </c>
      <c r="AT113" s="391" t="str">
        <f ca="1">IFERROR(VLOOKUP($C113,COM_N_2012!$B$62:$AJ$122,MATCH(VLOOKUP("*"&amp;$AW113,$A$10:$J$11,$J$9,FALSE)&amp;AT$7,COM_N_2012!$B$58:$AJ$58,0),FALSE),"")</f>
        <v/>
      </c>
      <c r="AU113" s="391" t="str">
        <f ca="1">IFERROR(VLOOKUP($C113,COM_N_2012!$B$62:$AJ$122,MATCH(VLOOKUP("*"&amp;$AW113,$A$10:$J$11,$J$9,FALSE)&amp;AU$7,COM_N_2012!$B$58:$AJ$58,0),FALSE),"")</f>
        <v/>
      </c>
      <c r="AV113" s="391" t="str">
        <f ca="1">IFERROR(VLOOKUP($C113,COM_N_2012!$B$62:$AJ$122,MATCH(VLOOKUP("*"&amp;$AW113,$A$10:$J$11,$J$9,FALSE)&amp;AV$7,COM_N_2012!$B$58:$AJ$58,0),FALSE),"")</f>
        <v/>
      </c>
      <c r="AW113" s="304">
        <f>IF(AX112=COM_N_2012!$AK$121,AW112+1,AW112)</f>
        <v>2</v>
      </c>
      <c r="AX113" s="304">
        <f t="shared" si="23"/>
        <v>40</v>
      </c>
    </row>
    <row r="114" spans="1:50">
      <c r="A114" s="304" t="str">
        <f ca="1">IF(LEFT(OFFSET(COM_N_2012!$A$60,AX114,0),2)="\I","*","")</f>
        <v>*</v>
      </c>
      <c r="B114" s="369" t="str">
        <f t="shared" ca="1" si="24"/>
        <v/>
      </c>
      <c r="C114" s="369" t="str">
        <f ca="1">IF($A114="*","",OFFSET(COM_N_2012!$B$60,AX114,0))</f>
        <v/>
      </c>
      <c r="D114" s="369" t="str">
        <f t="shared" ca="1" si="25"/>
        <v/>
      </c>
      <c r="E114" s="369" t="str">
        <f t="shared" ca="1" si="20"/>
        <v/>
      </c>
      <c r="F114" s="370" t="str">
        <f t="shared" ca="1" si="22"/>
        <v/>
      </c>
      <c r="G114" s="370" t="str">
        <f t="shared" ca="1" si="22"/>
        <v/>
      </c>
      <c r="H114" s="370" t="str">
        <f t="shared" ca="1" si="21"/>
        <v/>
      </c>
      <c r="I114" s="370" t="str">
        <f t="shared" ca="1" si="21"/>
        <v/>
      </c>
      <c r="J114" s="391" t="str">
        <f ca="1">IFERROR(VLOOKUP($C114,COM_N_2012!$B$61:$AJ$122,MATCH(VLOOKUP("*"&amp;$AW114,$A$10:$J$11,$J$9,FALSE)&amp;J$7,COM_N_2012!$B$58:$AJ$58,0),FALSE),"")</f>
        <v/>
      </c>
      <c r="K114" s="391" t="str">
        <f ca="1">IFERROR(VLOOKUP($C114,COM_N_2012!$B$62:$AJ$122,MATCH(VLOOKUP("*"&amp;$AW114,$A$10:$J$11,$J$9,FALSE)&amp;K$7,COM_N_2012!$B$58:$AJ$58,0),FALSE),"")</f>
        <v/>
      </c>
      <c r="L114" s="391" t="str">
        <f ca="1">IFERROR(VLOOKUP($C114,COM_N_2012!$B$62:$AJ$122,MATCH(VLOOKUP("*"&amp;$AW114,$A$10:$J$11,$J$9,FALSE)&amp;L$7,COM_N_2012!$B$58:$AJ$58,0),FALSE),"")</f>
        <v/>
      </c>
      <c r="M114" s="391" t="str">
        <f ca="1">IFERROR(VLOOKUP($C114,COM_N_2012!$B$62:$AJ$122,MATCH(VLOOKUP("*"&amp;$AW114,$A$10:$J$11,$J$9,FALSE)&amp;M$7,COM_N_2012!$B$58:$AJ$58,0),FALSE),"")</f>
        <v/>
      </c>
      <c r="N114" s="391" t="str">
        <f ca="1">IFERROR(VLOOKUP($C114,COM_N_2012!$B$62:$AJ$122,MATCH(VLOOKUP("*"&amp;$AW114,$A$10:$J$11,$J$9,FALSE)&amp;N$7,COM_N_2012!$B$58:$AJ$58,0),FALSE),"")</f>
        <v/>
      </c>
      <c r="O114" s="391" t="str">
        <f ca="1">IF($A114="*","",IFERROR(VLOOKUP($C114,COM_N_2017!$B$61:$AJ$122,MATCH(VLOOKUP("*"&amp;$AW114,$A$10:$J$11,$J$9,FALSE)&amp;O$7,COM_N_2017!$B$58:$AJ$58,0),FALSE),""))</f>
        <v/>
      </c>
      <c r="P114" s="391" t="str">
        <f ca="1">IFERROR(VLOOKUP($C114,COM_N_2012!$B$62:$AJ$122,MATCH(VLOOKUP("*"&amp;$AW114,$A$10:$J$11,$J$9,FALSE)&amp;P$7,COM_N_2012!$B$58:$AJ$58,0),FALSE),"")</f>
        <v/>
      </c>
      <c r="Q114" s="391" t="str">
        <f ca="1">IFERROR(VLOOKUP($C114,COM_N_2012!$B$62:$AJ$122,MATCH(VLOOKUP("*"&amp;$AW114,$A$10:$J$11,$J$9,FALSE)&amp;Q$7,COM_N_2012!$B$58:$AJ$58,0),FALSE),"")</f>
        <v/>
      </c>
      <c r="R114" s="391" t="str">
        <f ca="1">IF($A114="*","",IFERROR(VLOOKUP($C114,COM_N_2017!$B$61:$AJ$122,MATCH(VLOOKUP("*"&amp;$AW114,$A$10:$J$11,$J$9,FALSE)&amp;R$7,COM_N_2017!$B$58:$AJ$58,0),FALSE),""))</f>
        <v/>
      </c>
      <c r="S114" s="391" t="str">
        <f ca="1">IFERROR(VLOOKUP($C114,COM_N_2012!$B$62:$AJ$122,MATCH(VLOOKUP("*"&amp;$AW114,$A$10:$J$11,$J$9,FALSE)&amp;S$7,COM_N_2012!$B$58:$AJ$58,0),FALSE),"")</f>
        <v/>
      </c>
      <c r="T114" s="391" t="str">
        <f ca="1">IFERROR(VLOOKUP($C114,COM_N_2012!$B$62:$AJ$122,MATCH(VLOOKUP("*"&amp;$AW114,$A$10:$J$11,$J$9,FALSE)&amp;T$7,COM_N_2012!$B$58:$AJ$58,0),FALSE),"")</f>
        <v/>
      </c>
      <c r="U114" s="391" t="str">
        <f ca="1">IFERROR(VLOOKUP($C114,COM_N_2012!$B$62:$AJ$122,MATCH(VLOOKUP("*"&amp;$AW114,$A$10:$J$11,$J$9,FALSE)&amp;U$7,COM_N_2012!$B$58:$AJ$58,0),FALSE),"")</f>
        <v/>
      </c>
      <c r="V114" s="391" t="str">
        <f ca="1">IFERROR(VLOOKUP($C114,COM_N_2012!$B$62:$AJ$122,MATCH(VLOOKUP("*"&amp;$AW114,$A$10:$J$11,$J$9,FALSE)&amp;V$7,COM_N_2012!$B$58:$AJ$58,0),FALSE),"")</f>
        <v/>
      </c>
      <c r="W114" s="391" t="str">
        <f ca="1">IF($A114="*","",IFERROR(VLOOKUP($C114,COM_N_2017!$B$61:$AJ$122,MATCH(VLOOKUP("*"&amp;$AW114,$A$10:$J$11,$J$9,FALSE)&amp;W$7,COM_N_2017!$B$58:$AJ$58,0),FALSE),""))</f>
        <v/>
      </c>
      <c r="X114" s="391" t="str">
        <f ca="1">IFERROR(VLOOKUP($C114,COM_N_2012!$B$62:$AJ$122,MATCH(VLOOKUP("*"&amp;$AW114,$A$10:$J$11,$J$9,FALSE)&amp;X$7,COM_N_2012!$B$58:$AJ$58,0),FALSE),"")</f>
        <v/>
      </c>
      <c r="Y114" s="391" t="str">
        <f ca="1">IFERROR(VLOOKUP($C114,COM_N_2012!$B$62:$AJ$122,MATCH(VLOOKUP("*"&amp;$AW114,$A$10:$J$11,$J$9,FALSE)&amp;Y$7,COM_N_2012!$B$58:$AJ$58,0),FALSE),"")</f>
        <v/>
      </c>
      <c r="Z114" s="391" t="str">
        <f ca="1">IFERROR(VLOOKUP($C114,COM_N_2012!$B$62:$AJ$122,MATCH(VLOOKUP("*"&amp;$AW114,$A$10:$J$11,$J$9,FALSE)&amp;Z$7,COM_N_2012!$B$58:$AJ$58,0),FALSE),"")</f>
        <v/>
      </c>
      <c r="AA114" s="391" t="str">
        <f ca="1">IFERROR(VLOOKUP($C114,COM_N_2012!$B$62:$AJ$122,MATCH(VLOOKUP("*"&amp;$AW114,$A$10:$J$11,$J$9,FALSE)&amp;AA$7,COM_N_2012!$B$58:$AJ$58,0),FALSE),"")</f>
        <v/>
      </c>
      <c r="AB114" s="391" t="str">
        <f ca="1">IF($A114="*","",IFERROR(VLOOKUP($C114,COM_N_2017!$B$61:$AJ$122,MATCH(VLOOKUP("*"&amp;$AW114,$A$10:$J$11,$J$9,FALSE)&amp;AB$7,COM_N_2017!$B$58:$AJ$58,0),FALSE),""))</f>
        <v/>
      </c>
      <c r="AC114" s="391" t="str">
        <f ca="1">IFERROR(VLOOKUP($C114,COM_N_2012!$B$62:$AJ$122,MATCH(VLOOKUP("*"&amp;$AW114,$A$10:$J$11,$J$9,FALSE)&amp;AC$7,COM_N_2012!$B$58:$AJ$58,0),FALSE),"")</f>
        <v/>
      </c>
      <c r="AD114" s="391" t="str">
        <f ca="1">IFERROR(VLOOKUP($C114,COM_N_2012!$B$62:$AJ$122,MATCH(VLOOKUP("*"&amp;$AW114,$A$10:$J$11,$J$9,FALSE)&amp;AD$7,COM_N_2012!$B$58:$AJ$58,0),FALSE),"")</f>
        <v/>
      </c>
      <c r="AE114" s="391" t="str">
        <f ca="1">IFERROR(VLOOKUP($C114,COM_N_2012!$B$62:$AJ$122,MATCH(VLOOKUP("*"&amp;$AW114,$A$10:$J$11,$J$9,FALSE)&amp;AE$7,COM_N_2012!$B$58:$AJ$58,0),FALSE),"")</f>
        <v/>
      </c>
      <c r="AF114" s="391" t="str">
        <f ca="1">IFERROR(VLOOKUP($C114,COM_N_2012!$B$62:$AJ$122,MATCH(VLOOKUP("*"&amp;$AW114,$A$10:$J$11,$J$9,FALSE)&amp;AF$7,COM_N_2012!$B$58:$AJ$58,0),FALSE),"")</f>
        <v/>
      </c>
      <c r="AG114" s="391" t="str">
        <f ca="1">IF($A114="*","",IFERROR(VLOOKUP($C114,COM_N_2017!$B$61:$AJ$122,MATCH(VLOOKUP("*"&amp;$AW114,$A$10:$J$11,$J$9,FALSE)&amp;AG$7,COM_N_2017!$B$58:$AJ$58,0),FALSE),""))</f>
        <v/>
      </c>
      <c r="AH114" s="391" t="str">
        <f ca="1">IFERROR(VLOOKUP($C114,COM_N_2012!$B$62:$AJ$122,MATCH(VLOOKUP("*"&amp;$AW114,$A$10:$J$11,$J$9,FALSE)&amp;AH$7,COM_N_2012!$B$58:$AJ$58,0),FALSE),"")</f>
        <v/>
      </c>
      <c r="AI114" s="391" t="str">
        <f ca="1">IFERROR(VLOOKUP($C114,COM_N_2012!$B$62:$AJ$122,MATCH(VLOOKUP("*"&amp;$AW114,$A$10:$J$11,$J$9,FALSE)&amp;AI$7,COM_N_2012!$B$58:$AJ$58,0),FALSE),"")</f>
        <v/>
      </c>
      <c r="AJ114" s="391" t="str">
        <f ca="1">IFERROR(VLOOKUP($C114,COM_N_2012!$B$62:$AJ$122,MATCH(VLOOKUP("*"&amp;$AW114,$A$10:$J$11,$J$9,FALSE)&amp;AJ$7,COM_N_2012!$B$58:$AJ$58,0),FALSE),"")</f>
        <v/>
      </c>
      <c r="AK114" s="391" t="str">
        <f ca="1">IFERROR(VLOOKUP($C114,COM_N_2012!$B$62:$AJ$122,MATCH(VLOOKUP("*"&amp;$AW114,$A$10:$J$11,$J$9,FALSE)&amp;AK$7,COM_N_2012!$B$58:$AJ$58,0),FALSE),"")</f>
        <v/>
      </c>
      <c r="AL114" s="391" t="str">
        <f ca="1">IF($A114="*","",IFERROR(VLOOKUP($C114,COM_N_2017!$B$61:$AJ$122,MATCH(VLOOKUP("*"&amp;$AW114,$A$10:$J$11,$J$9,FALSE)&amp;AL$7,COM_N_2017!$B$58:$AJ$58,0),FALSE),""))</f>
        <v/>
      </c>
      <c r="AM114" s="391" t="str">
        <f ca="1">IF($A114="*","",IFERROR(VLOOKUP($C114,COM_N_2017!$B$61:$AJ$122,MATCH(VLOOKUP("*"&amp;$AW114,$A$10:$J$11,$J$9,FALSE)&amp;AM$7,COM_N_2017!$B$58:$AJ$58,0),FALSE),""))</f>
        <v/>
      </c>
      <c r="AN114" s="391" t="str">
        <f ca="1">IF($A114="*","",IFERROR(VLOOKUP($C114,COM_N_2017!$B$61:$AJ$122,MATCH(VLOOKUP("*"&amp;$AW114,$A$10:$J$11,$J$9,FALSE)&amp;AN$7,COM_N_2017!$B$58:$AJ$58,0),FALSE),""))</f>
        <v/>
      </c>
      <c r="AO114" s="391" t="str">
        <f ca="1">IFERROR(VLOOKUP($C114,COM_N_2012!$B$62:$AJ$122,MATCH(VLOOKUP("*"&amp;$AW114,$A$10:$J$11,$J$9,FALSE)&amp;AO$7,COM_N_2012!$B$58:$AJ$58,0),FALSE),"")</f>
        <v/>
      </c>
      <c r="AP114" s="391" t="str">
        <f ca="1">IFERROR(VLOOKUP($C114,COM_N_2012!$B$62:$AJ$122,MATCH(VLOOKUP("*"&amp;$AW114,$A$10:$J$11,$J$9,FALSE)&amp;AP$7,COM_N_2012!$B$58:$AJ$58,0),FALSE),"")</f>
        <v/>
      </c>
      <c r="AQ114" s="391" t="str">
        <f ca="1">IFERROR(VLOOKUP($C114,COM_N_2012!$B$62:$AJ$122,MATCH(VLOOKUP("*"&amp;$AW114,$A$10:$J$11,$J$9,FALSE)&amp;AQ$7,COM_N_2012!$B$58:$AJ$58,0),FALSE),"")</f>
        <v/>
      </c>
      <c r="AR114" s="391" t="str">
        <f ca="1">IFERROR(VLOOKUP($C114,COM_N_2012!$B$62:$AJ$122,MATCH(VLOOKUP("*"&amp;$AW114,$A$10:$J$11,$J$9,FALSE)&amp;AR$7,COM_N_2012!$B$58:$AJ$58,0),FALSE),"")</f>
        <v/>
      </c>
      <c r="AS114" s="391" t="str">
        <f ca="1">IFERROR(VLOOKUP($C114,COM_N_2012!$B$62:$AJ$122,MATCH(VLOOKUP("*"&amp;$AW114,$A$10:$J$11,$J$9,FALSE)&amp;AS$7,COM_N_2012!$B$58:$AJ$58,0),FALSE),"")</f>
        <v/>
      </c>
      <c r="AT114" s="391" t="str">
        <f ca="1">IFERROR(VLOOKUP($C114,COM_N_2012!$B$62:$AJ$122,MATCH(VLOOKUP("*"&amp;$AW114,$A$10:$J$11,$J$9,FALSE)&amp;AT$7,COM_N_2012!$B$58:$AJ$58,0),FALSE),"")</f>
        <v/>
      </c>
      <c r="AU114" s="391" t="str">
        <f ca="1">IFERROR(VLOOKUP($C114,COM_N_2012!$B$62:$AJ$122,MATCH(VLOOKUP("*"&amp;$AW114,$A$10:$J$11,$J$9,FALSE)&amp;AU$7,COM_N_2012!$B$58:$AJ$58,0),FALSE),"")</f>
        <v/>
      </c>
      <c r="AV114" s="391" t="str">
        <f ca="1">IFERROR(VLOOKUP($C114,COM_N_2012!$B$62:$AJ$122,MATCH(VLOOKUP("*"&amp;$AW114,$A$10:$J$11,$J$9,FALSE)&amp;AV$7,COM_N_2012!$B$58:$AJ$58,0),FALSE),"")</f>
        <v/>
      </c>
      <c r="AW114" s="304">
        <f>IF(AX113=COM_N_2012!$AK$121,AW113+1,AW113)</f>
        <v>2</v>
      </c>
      <c r="AX114" s="304">
        <f t="shared" si="23"/>
        <v>41</v>
      </c>
    </row>
    <row r="115" spans="1:50">
      <c r="A115" s="304" t="str">
        <f ca="1">IF(LEFT(OFFSET(COM_N_2012!$A$60,AX115,0),2)="\I","*","")</f>
        <v/>
      </c>
      <c r="B115" s="369" t="str">
        <f t="shared" ref="B115:B117" ca="1" si="26">IF(A115="*","",VLOOKUP("*"&amp;AW115,$A$9:$B$11,2,FALSE))</f>
        <v>FLO_MRKPRD</v>
      </c>
      <c r="C115" s="369" t="str">
        <f ca="1">IF($A115="*","",OFFSET(COM_N_2012!$B$60,AX115,0))</f>
        <v>CNGELCINC-E</v>
      </c>
      <c r="D115" s="369" t="str">
        <f t="shared" ca="1" si="25"/>
        <v>CNG</v>
      </c>
      <c r="E115" s="369" t="str">
        <f t="shared" ca="1" si="20"/>
        <v>-</v>
      </c>
      <c r="F115" s="370" t="str">
        <f t="shared" ca="1" si="22"/>
        <v>-</v>
      </c>
      <c r="G115" s="370" t="str">
        <f t="shared" ca="1" si="22"/>
        <v>ANNUAL</v>
      </c>
      <c r="H115" s="370" t="str">
        <f t="shared" ca="1" si="21"/>
        <v>LO</v>
      </c>
      <c r="I115" s="370">
        <f t="shared" ca="1" si="21"/>
        <v>0</v>
      </c>
      <c r="J115" s="391">
        <f ca="1">IFERROR(VLOOKUP($C115,COM_N_2012!$B$61:$AJ$122,MATCH(VLOOKUP("*"&amp;$AW115,$A$10:$J$11,$J$9,FALSE)&amp;J$7,COM_N_2012!$B$58:$AJ$58,0),FALSE),"")</f>
        <v>1.4246896791684427E-2</v>
      </c>
      <c r="K115" s="391" t="str">
        <f ca="1">IFERROR(VLOOKUP($C115,COM_N_2012!$B$62:$AJ$122,MATCH(VLOOKUP("*"&amp;$AW115,$A$10:$J$11,$J$9,FALSE)&amp;K$7,COM_N_2012!$B$58:$AJ$58,0),FALSE),"")</f>
        <v/>
      </c>
      <c r="L115" s="391" t="str">
        <f ca="1">IFERROR(VLOOKUP($C115,COM_N_2012!$B$62:$AJ$122,MATCH(VLOOKUP("*"&amp;$AW115,$A$10:$J$11,$J$9,FALSE)&amp;L$7,COM_N_2012!$B$58:$AJ$58,0),FALSE),"")</f>
        <v/>
      </c>
      <c r="M115" s="391">
        <f ca="1">IFERROR(VLOOKUP($C115,COM_N_2012!$B$62:$AJ$122,MATCH(VLOOKUP("*"&amp;$AW115,$A$10:$J$11,$J$9,FALSE)&amp;M$7,COM_N_2012!$B$58:$AJ$58,0),FALSE),"")</f>
        <v>1.1397517433347541E-2</v>
      </c>
      <c r="N115" s="391" t="str">
        <f ca="1">IFERROR(VLOOKUP($C115,COM_N_2012!$B$62:$AJ$122,MATCH(VLOOKUP("*"&amp;$AW115,$A$10:$J$11,$J$9,FALSE)&amp;N$7,COM_N_2012!$B$58:$AJ$58,0),FALSE),"")</f>
        <v/>
      </c>
      <c r="O115" s="391">
        <f ca="1">IF($A115="*","",IFERROR(VLOOKUP($C115,COM_N_2017!$B$61:$AJ$122,MATCH(VLOOKUP("*"&amp;$AW115,$A$10:$J$11,$J$9,FALSE)&amp;O$7,COM_N_2017!$B$58:$AJ$58,0),FALSE),""))</f>
        <v>1.4107221332942425E-2</v>
      </c>
      <c r="P115" s="391" t="str">
        <f ca="1">IFERROR(VLOOKUP($C115,COM_N_2012!$B$62:$AJ$122,MATCH(VLOOKUP("*"&amp;$AW115,$A$10:$J$11,$J$9,FALSE)&amp;P$7,COM_N_2012!$B$58:$AJ$58,0),FALSE),"")</f>
        <v/>
      </c>
      <c r="Q115" s="391" t="str">
        <f ca="1">IFERROR(VLOOKUP($C115,COM_N_2012!$B$62:$AJ$122,MATCH(VLOOKUP("*"&amp;$AW115,$A$10:$J$11,$J$9,FALSE)&amp;Q$7,COM_N_2012!$B$58:$AJ$58,0),FALSE),"")</f>
        <v/>
      </c>
      <c r="R115" s="391">
        <f ca="1">IF($A115="*","",IFERROR(VLOOKUP($C115,COM_N_2017!$B$61:$AJ$122,MATCH(VLOOKUP("*"&amp;$AW115,$A$10:$J$11,$J$9,FALSE)&amp;R$7,COM_N_2017!$B$58:$AJ$58,0),FALSE),""))</f>
        <v>1.4107221332942425E-2</v>
      </c>
      <c r="S115" s="391" t="str">
        <f ca="1">IFERROR(VLOOKUP($C115,COM_N_2012!$B$62:$AJ$122,MATCH(VLOOKUP("*"&amp;$AW115,$A$10:$J$11,$J$9,FALSE)&amp;S$7,COM_N_2012!$B$58:$AJ$58,0),FALSE),"")</f>
        <v/>
      </c>
      <c r="T115" s="391" t="str">
        <f ca="1">IFERROR(VLOOKUP($C115,COM_N_2012!$B$62:$AJ$122,MATCH(VLOOKUP("*"&amp;$AW115,$A$10:$J$11,$J$9,FALSE)&amp;T$7,COM_N_2012!$B$58:$AJ$58,0),FALSE),"")</f>
        <v/>
      </c>
      <c r="U115" s="391" t="str">
        <f ca="1">IFERROR(VLOOKUP($C115,COM_N_2012!$B$62:$AJ$122,MATCH(VLOOKUP("*"&amp;$AW115,$A$10:$J$11,$J$9,FALSE)&amp;U$7,COM_N_2012!$B$58:$AJ$58,0),FALSE),"")</f>
        <v/>
      </c>
      <c r="V115" s="391" t="str">
        <f ca="1">IFERROR(VLOOKUP($C115,COM_N_2012!$B$62:$AJ$122,MATCH(VLOOKUP("*"&amp;$AW115,$A$10:$J$11,$J$9,FALSE)&amp;V$7,COM_N_2012!$B$58:$AJ$58,0),FALSE),"")</f>
        <v/>
      </c>
      <c r="W115" s="391">
        <f ca="1">IF($A115="*","",IFERROR(VLOOKUP($C115,COM_N_2017!$B$61:$AJ$122,MATCH(VLOOKUP("*"&amp;$AW115,$A$10:$J$11,$J$9,FALSE)&amp;W$7,COM_N_2017!$B$58:$AJ$58,0),FALSE),""))</f>
        <v>1.4107221332942425E-2</v>
      </c>
      <c r="X115" s="391" t="str">
        <f ca="1">IFERROR(VLOOKUP($C115,COM_N_2012!$B$62:$AJ$122,MATCH(VLOOKUP("*"&amp;$AW115,$A$10:$J$11,$J$9,FALSE)&amp;X$7,COM_N_2012!$B$58:$AJ$58,0),FALSE),"")</f>
        <v/>
      </c>
      <c r="Y115" s="391" t="str">
        <f ca="1">IFERROR(VLOOKUP($C115,COM_N_2012!$B$62:$AJ$122,MATCH(VLOOKUP("*"&amp;$AW115,$A$10:$J$11,$J$9,FALSE)&amp;Y$7,COM_N_2012!$B$58:$AJ$58,0),FALSE),"")</f>
        <v/>
      </c>
      <c r="Z115" s="391" t="str">
        <f ca="1">IFERROR(VLOOKUP($C115,COM_N_2012!$B$62:$AJ$122,MATCH(VLOOKUP("*"&amp;$AW115,$A$10:$J$11,$J$9,FALSE)&amp;Z$7,COM_N_2012!$B$58:$AJ$58,0),FALSE),"")</f>
        <v/>
      </c>
      <c r="AA115" s="391" t="str">
        <f ca="1">IFERROR(VLOOKUP($C115,COM_N_2012!$B$62:$AJ$122,MATCH(VLOOKUP("*"&amp;$AW115,$A$10:$J$11,$J$9,FALSE)&amp;AA$7,COM_N_2012!$B$58:$AJ$58,0),FALSE),"")</f>
        <v/>
      </c>
      <c r="AB115" s="391">
        <f ca="1">IF($A115="*","",IFERROR(VLOOKUP($C115,COM_N_2017!$B$61:$AJ$122,MATCH(VLOOKUP("*"&amp;$AW115,$A$10:$J$11,$J$9,FALSE)&amp;AB$7,COM_N_2017!$B$58:$AJ$58,0),FALSE),""))</f>
        <v>0</v>
      </c>
      <c r="AC115" s="391" t="str">
        <f ca="1">IFERROR(VLOOKUP($C115,COM_N_2012!$B$62:$AJ$122,MATCH(VLOOKUP("*"&amp;$AW115,$A$10:$J$11,$J$9,FALSE)&amp;AC$7,COM_N_2012!$B$58:$AJ$58,0),FALSE),"")</f>
        <v/>
      </c>
      <c r="AD115" s="391" t="str">
        <f ca="1">IFERROR(VLOOKUP($C115,COM_N_2012!$B$62:$AJ$122,MATCH(VLOOKUP("*"&amp;$AW115,$A$10:$J$11,$J$9,FALSE)&amp;AD$7,COM_N_2012!$B$58:$AJ$58,0),FALSE),"")</f>
        <v/>
      </c>
      <c r="AE115" s="391" t="str">
        <f ca="1">IFERROR(VLOOKUP($C115,COM_N_2012!$B$62:$AJ$122,MATCH(VLOOKUP("*"&amp;$AW115,$A$10:$J$11,$J$9,FALSE)&amp;AE$7,COM_N_2012!$B$58:$AJ$58,0),FALSE),"")</f>
        <v/>
      </c>
      <c r="AF115" s="391" t="str">
        <f ca="1">IFERROR(VLOOKUP($C115,COM_N_2012!$B$62:$AJ$122,MATCH(VLOOKUP("*"&amp;$AW115,$A$10:$J$11,$J$9,FALSE)&amp;AF$7,COM_N_2012!$B$58:$AJ$58,0),FALSE),"")</f>
        <v/>
      </c>
      <c r="AG115" s="391">
        <f ca="1">IF($A115="*","",IFERROR(VLOOKUP($C115,COM_N_2017!$B$61:$AJ$122,MATCH(VLOOKUP("*"&amp;$AW115,$A$10:$J$11,$J$9,FALSE)&amp;AG$7,COM_N_2017!$B$58:$AJ$58,0),FALSE),""))</f>
        <v>0</v>
      </c>
      <c r="AH115" s="391" t="str">
        <f ca="1">IFERROR(VLOOKUP($C115,COM_N_2012!$B$62:$AJ$122,MATCH(VLOOKUP("*"&amp;$AW115,$A$10:$J$11,$J$9,FALSE)&amp;AH$7,COM_N_2012!$B$58:$AJ$58,0),FALSE),"")</f>
        <v/>
      </c>
      <c r="AI115" s="391" t="str">
        <f ca="1">IFERROR(VLOOKUP($C115,COM_N_2012!$B$62:$AJ$122,MATCH(VLOOKUP("*"&amp;$AW115,$A$10:$J$11,$J$9,FALSE)&amp;AI$7,COM_N_2012!$B$58:$AJ$58,0),FALSE),"")</f>
        <v/>
      </c>
      <c r="AJ115" s="391" t="str">
        <f ca="1">IFERROR(VLOOKUP($C115,COM_N_2012!$B$62:$AJ$122,MATCH(VLOOKUP("*"&amp;$AW115,$A$10:$J$11,$J$9,FALSE)&amp;AJ$7,COM_N_2012!$B$58:$AJ$58,0),FALSE),"")</f>
        <v/>
      </c>
      <c r="AK115" s="391" t="str">
        <f ca="1">IFERROR(VLOOKUP($C115,COM_N_2012!$B$62:$AJ$122,MATCH(VLOOKUP("*"&amp;$AW115,$A$10:$J$11,$J$9,FALSE)&amp;AK$7,COM_N_2012!$B$58:$AJ$58,0),FALSE),"")</f>
        <v/>
      </c>
      <c r="AL115" s="391">
        <f ca="1">IF($A115="*","",IFERROR(VLOOKUP($C115,COM_N_2017!$B$61:$AJ$122,MATCH(VLOOKUP("*"&amp;$AW115,$A$10:$J$11,$J$9,FALSE)&amp;AL$7,COM_N_2017!$B$58:$AJ$58,0),FALSE),""))</f>
        <v>0</v>
      </c>
      <c r="AM115" s="391">
        <f ca="1">IF($A115="*","",IFERROR(VLOOKUP($C115,COM_N_2017!$B$61:$AJ$122,MATCH(VLOOKUP("*"&amp;$AW115,$A$10:$J$11,$J$9,FALSE)&amp;AM$7,COM_N_2017!$B$58:$AJ$58,0),FALSE),""))</f>
        <v>0</v>
      </c>
      <c r="AN115" s="391">
        <f ca="1">IF($A115="*","",IFERROR(VLOOKUP($C115,COM_N_2017!$B$61:$AJ$122,MATCH(VLOOKUP("*"&amp;$AW115,$A$10:$J$11,$J$9,FALSE)&amp;AN$7,COM_N_2017!$B$58:$AJ$58,0),FALSE),""))</f>
        <v>0</v>
      </c>
      <c r="AO115" s="391" t="str">
        <f ca="1">IFERROR(VLOOKUP($C115,COM_N_2012!$B$62:$AJ$122,MATCH(VLOOKUP("*"&amp;$AW115,$A$10:$J$11,$J$9,FALSE)&amp;AO$7,COM_N_2012!$B$58:$AJ$58,0),FALSE),"")</f>
        <v/>
      </c>
      <c r="AP115" s="391" t="str">
        <f ca="1">IFERROR(VLOOKUP($C115,COM_N_2012!$B$62:$AJ$122,MATCH(VLOOKUP("*"&amp;$AW115,$A$10:$J$11,$J$9,FALSE)&amp;AP$7,COM_N_2012!$B$58:$AJ$58,0),FALSE),"")</f>
        <v/>
      </c>
      <c r="AQ115" s="391" t="str">
        <f ca="1">IFERROR(VLOOKUP($C115,COM_N_2012!$B$62:$AJ$122,MATCH(VLOOKUP("*"&amp;$AW115,$A$10:$J$11,$J$9,FALSE)&amp;AQ$7,COM_N_2012!$B$58:$AJ$58,0),FALSE),"")</f>
        <v/>
      </c>
      <c r="AR115" s="391" t="str">
        <f ca="1">IFERROR(VLOOKUP($C115,COM_N_2012!$B$62:$AJ$122,MATCH(VLOOKUP("*"&amp;$AW115,$A$10:$J$11,$J$9,FALSE)&amp;AR$7,COM_N_2012!$B$58:$AJ$58,0),FALSE),"")</f>
        <v/>
      </c>
      <c r="AS115" s="391" t="str">
        <f ca="1">IFERROR(VLOOKUP($C115,COM_N_2012!$B$62:$AJ$122,MATCH(VLOOKUP("*"&amp;$AW115,$A$10:$J$11,$J$9,FALSE)&amp;AS$7,COM_N_2012!$B$58:$AJ$58,0),FALSE),"")</f>
        <v/>
      </c>
      <c r="AT115" s="391" t="str">
        <f ca="1">IFERROR(VLOOKUP($C115,COM_N_2012!$B$62:$AJ$122,MATCH(VLOOKUP("*"&amp;$AW115,$A$10:$J$11,$J$9,FALSE)&amp;AT$7,COM_N_2012!$B$58:$AJ$58,0),FALSE),"")</f>
        <v/>
      </c>
      <c r="AU115" s="391" t="str">
        <f ca="1">IFERROR(VLOOKUP($C115,COM_N_2012!$B$62:$AJ$122,MATCH(VLOOKUP("*"&amp;$AW115,$A$10:$J$11,$J$9,FALSE)&amp;AU$7,COM_N_2012!$B$58:$AJ$58,0),FALSE),"")</f>
        <v/>
      </c>
      <c r="AV115" s="391" t="str">
        <f ca="1">IFERROR(VLOOKUP($C115,COM_N_2012!$B$62:$AJ$122,MATCH(VLOOKUP("*"&amp;$AW115,$A$10:$J$11,$J$9,FALSE)&amp;AV$7,COM_N_2012!$B$58:$AJ$58,0),FALSE),"")</f>
        <v/>
      </c>
      <c r="AW115" s="304">
        <f>IF(AX114=COM_N_2012!$AK$121,AW114+1,AW114)</f>
        <v>2</v>
      </c>
      <c r="AX115" s="304">
        <f t="shared" si="23"/>
        <v>42</v>
      </c>
    </row>
    <row r="116" spans="1:50">
      <c r="A116" s="304" t="str">
        <f ca="1">IF(LEFT(OFFSET(COM_N_2012!$A$60,AX116,0),2)="\I","*","")</f>
        <v/>
      </c>
      <c r="B116" s="369" t="str">
        <f t="shared" ca="1" si="26"/>
        <v>FLO_MRKPRD</v>
      </c>
      <c r="C116" s="369" t="str">
        <f ca="1">IF($A116="*","",OFFSET(COM_N_2012!$B$60,AX116,0))</f>
        <v>CNGELCHAL-E</v>
      </c>
      <c r="D116" s="369" t="str">
        <f t="shared" ca="1" si="25"/>
        <v>CNG</v>
      </c>
      <c r="E116" s="369" t="str">
        <f t="shared" ca="1" si="20"/>
        <v>-</v>
      </c>
      <c r="F116" s="370" t="str">
        <f t="shared" ca="1" si="22"/>
        <v>-</v>
      </c>
      <c r="G116" s="370" t="str">
        <f t="shared" ca="1" si="22"/>
        <v>ANNUAL</v>
      </c>
      <c r="H116" s="370" t="str">
        <f t="shared" ca="1" si="21"/>
        <v>LO</v>
      </c>
      <c r="I116" s="370">
        <f t="shared" ca="1" si="21"/>
        <v>0</v>
      </c>
      <c r="J116" s="391">
        <f ca="1">IFERROR(VLOOKUP($C116,COM_N_2012!$B$61:$AJ$122,MATCH(VLOOKUP("*"&amp;$AW116,$A$10:$J$11,$J$9,FALSE)&amp;J$7,COM_N_2012!$B$58:$AJ$58,0),FALSE),"")</f>
        <v>2.8493793583368853E-2</v>
      </c>
      <c r="K116" s="391" t="str">
        <f ca="1">IFERROR(VLOOKUP($C116,COM_N_2012!$B$62:$AJ$122,MATCH(VLOOKUP("*"&amp;$AW116,$A$10:$J$11,$J$9,FALSE)&amp;K$7,COM_N_2012!$B$58:$AJ$58,0),FALSE),"")</f>
        <v/>
      </c>
      <c r="L116" s="391" t="str">
        <f ca="1">IFERROR(VLOOKUP($C116,COM_N_2012!$B$62:$AJ$122,MATCH(VLOOKUP("*"&amp;$AW116,$A$10:$J$11,$J$9,FALSE)&amp;L$7,COM_N_2012!$B$58:$AJ$58,0),FALSE),"")</f>
        <v/>
      </c>
      <c r="M116" s="391">
        <f ca="1">IFERROR(VLOOKUP($C116,COM_N_2012!$B$62:$AJ$122,MATCH(VLOOKUP("*"&amp;$AW116,$A$10:$J$11,$J$9,FALSE)&amp;M$7,COM_N_2012!$B$58:$AJ$58,0),FALSE),"")</f>
        <v>2.2795034866695082E-2</v>
      </c>
      <c r="N116" s="391" t="str">
        <f ca="1">IFERROR(VLOOKUP($C116,COM_N_2012!$B$62:$AJ$122,MATCH(VLOOKUP("*"&amp;$AW116,$A$10:$J$11,$J$9,FALSE)&amp;N$7,COM_N_2012!$B$58:$AJ$58,0),FALSE),"")</f>
        <v/>
      </c>
      <c r="O116" s="391">
        <f ca="1">IF($A116="*","",IFERROR(VLOOKUP($C116,COM_N_2017!$B$61:$AJ$122,MATCH(VLOOKUP("*"&amp;$AW116,$A$10:$J$11,$J$9,FALSE)&amp;O$7,COM_N_2017!$B$58:$AJ$58,0),FALSE),""))</f>
        <v>2.821444266588485E-2</v>
      </c>
      <c r="P116" s="391" t="str">
        <f ca="1">IFERROR(VLOOKUP($C116,COM_N_2012!$B$62:$AJ$122,MATCH(VLOOKUP("*"&amp;$AW116,$A$10:$J$11,$J$9,FALSE)&amp;P$7,COM_N_2012!$B$58:$AJ$58,0),FALSE),"")</f>
        <v/>
      </c>
      <c r="Q116" s="391" t="str">
        <f ca="1">IFERROR(VLOOKUP($C116,COM_N_2012!$B$62:$AJ$122,MATCH(VLOOKUP("*"&amp;$AW116,$A$10:$J$11,$J$9,FALSE)&amp;Q$7,COM_N_2012!$B$58:$AJ$58,0),FALSE),"")</f>
        <v/>
      </c>
      <c r="R116" s="391">
        <f ca="1">IF($A116="*","",IFERROR(VLOOKUP($C116,COM_N_2017!$B$61:$AJ$122,MATCH(VLOOKUP("*"&amp;$AW116,$A$10:$J$11,$J$9,FALSE)&amp;R$7,COM_N_2017!$B$58:$AJ$58,0),FALSE),""))</f>
        <v>2.7368009385908304E-2</v>
      </c>
      <c r="S116" s="391" t="str">
        <f ca="1">IFERROR(VLOOKUP($C116,COM_N_2012!$B$62:$AJ$122,MATCH(VLOOKUP("*"&amp;$AW116,$A$10:$J$11,$J$9,FALSE)&amp;S$7,COM_N_2012!$B$58:$AJ$58,0),FALSE),"")</f>
        <v/>
      </c>
      <c r="T116" s="391" t="str">
        <f ca="1">IFERROR(VLOOKUP($C116,COM_N_2012!$B$62:$AJ$122,MATCH(VLOOKUP("*"&amp;$AW116,$A$10:$J$11,$J$9,FALSE)&amp;T$7,COM_N_2012!$B$58:$AJ$58,0),FALSE),"")</f>
        <v/>
      </c>
      <c r="U116" s="391" t="str">
        <f ca="1">IFERROR(VLOOKUP($C116,COM_N_2012!$B$62:$AJ$122,MATCH(VLOOKUP("*"&amp;$AW116,$A$10:$J$11,$J$9,FALSE)&amp;U$7,COM_N_2012!$B$58:$AJ$58,0),FALSE),"")</f>
        <v/>
      </c>
      <c r="V116" s="391" t="str">
        <f ca="1">IFERROR(VLOOKUP($C116,COM_N_2012!$B$62:$AJ$122,MATCH(VLOOKUP("*"&amp;$AW116,$A$10:$J$11,$J$9,FALSE)&amp;V$7,COM_N_2012!$B$58:$AJ$58,0),FALSE),"")</f>
        <v/>
      </c>
      <c r="W116" s="391">
        <f ca="1">IF($A116="*","",IFERROR(VLOOKUP($C116,COM_N_2017!$B$61:$AJ$122,MATCH(VLOOKUP("*"&amp;$AW116,$A$10:$J$11,$J$9,FALSE)&amp;W$7,COM_N_2017!$B$58:$AJ$58,0),FALSE),""))</f>
        <v>2.5392998399296367E-2</v>
      </c>
      <c r="X116" s="391" t="str">
        <f ca="1">IFERROR(VLOOKUP($C116,COM_N_2012!$B$62:$AJ$122,MATCH(VLOOKUP("*"&amp;$AW116,$A$10:$J$11,$J$9,FALSE)&amp;X$7,COM_N_2012!$B$58:$AJ$58,0),FALSE),"")</f>
        <v/>
      </c>
      <c r="Y116" s="391" t="str">
        <f ca="1">IFERROR(VLOOKUP($C116,COM_N_2012!$B$62:$AJ$122,MATCH(VLOOKUP("*"&amp;$AW116,$A$10:$J$11,$J$9,FALSE)&amp;Y$7,COM_N_2012!$B$58:$AJ$58,0),FALSE),"")</f>
        <v/>
      </c>
      <c r="Z116" s="391" t="str">
        <f ca="1">IFERROR(VLOOKUP($C116,COM_N_2012!$B$62:$AJ$122,MATCH(VLOOKUP("*"&amp;$AW116,$A$10:$J$11,$J$9,FALSE)&amp;Z$7,COM_N_2012!$B$58:$AJ$58,0),FALSE),"")</f>
        <v/>
      </c>
      <c r="AA116" s="391" t="str">
        <f ca="1">IFERROR(VLOOKUP($C116,COM_N_2012!$B$62:$AJ$122,MATCH(VLOOKUP("*"&amp;$AW116,$A$10:$J$11,$J$9,FALSE)&amp;AA$7,COM_N_2012!$B$58:$AJ$58,0),FALSE),"")</f>
        <v/>
      </c>
      <c r="AB116" s="391">
        <f ca="1">IF($A116="*","",IFERROR(VLOOKUP($C116,COM_N_2017!$B$61:$AJ$122,MATCH(VLOOKUP("*"&amp;$AW116,$A$10:$J$11,$J$9,FALSE)&amp;AB$7,COM_N_2017!$B$58:$AJ$58,0),FALSE),""))</f>
        <v>1.9750109866119393E-2</v>
      </c>
      <c r="AC116" s="391" t="str">
        <f ca="1">IFERROR(VLOOKUP($C116,COM_N_2012!$B$62:$AJ$122,MATCH(VLOOKUP("*"&amp;$AW116,$A$10:$J$11,$J$9,FALSE)&amp;AC$7,COM_N_2012!$B$58:$AJ$58,0),FALSE),"")</f>
        <v/>
      </c>
      <c r="AD116" s="391" t="str">
        <f ca="1">IFERROR(VLOOKUP($C116,COM_N_2012!$B$62:$AJ$122,MATCH(VLOOKUP("*"&amp;$AW116,$A$10:$J$11,$J$9,FALSE)&amp;AD$7,COM_N_2012!$B$58:$AJ$58,0),FALSE),"")</f>
        <v/>
      </c>
      <c r="AE116" s="391" t="str">
        <f ca="1">IFERROR(VLOOKUP($C116,COM_N_2012!$B$62:$AJ$122,MATCH(VLOOKUP("*"&amp;$AW116,$A$10:$J$11,$J$9,FALSE)&amp;AE$7,COM_N_2012!$B$58:$AJ$58,0),FALSE),"")</f>
        <v/>
      </c>
      <c r="AF116" s="391" t="str">
        <f ca="1">IFERROR(VLOOKUP($C116,COM_N_2012!$B$62:$AJ$122,MATCH(VLOOKUP("*"&amp;$AW116,$A$10:$J$11,$J$9,FALSE)&amp;AF$7,COM_N_2012!$B$58:$AJ$58,0),FALSE),"")</f>
        <v/>
      </c>
      <c r="AG116" s="391">
        <f ca="1">IF($A116="*","",IFERROR(VLOOKUP($C116,COM_N_2017!$B$61:$AJ$122,MATCH(VLOOKUP("*"&amp;$AW116,$A$10:$J$11,$J$9,FALSE)&amp;AG$7,COM_N_2017!$B$58:$AJ$58,0),FALSE),""))</f>
        <v>1.4107221332942425E-2</v>
      </c>
      <c r="AH116" s="391" t="str">
        <f ca="1">IFERROR(VLOOKUP($C116,COM_N_2012!$B$62:$AJ$122,MATCH(VLOOKUP("*"&amp;$AW116,$A$10:$J$11,$J$9,FALSE)&amp;AH$7,COM_N_2012!$B$58:$AJ$58,0),FALSE),"")</f>
        <v/>
      </c>
      <c r="AI116" s="391" t="str">
        <f ca="1">IFERROR(VLOOKUP($C116,COM_N_2012!$B$62:$AJ$122,MATCH(VLOOKUP("*"&amp;$AW116,$A$10:$J$11,$J$9,FALSE)&amp;AI$7,COM_N_2012!$B$58:$AJ$58,0),FALSE),"")</f>
        <v/>
      </c>
      <c r="AJ116" s="391" t="str">
        <f ca="1">IFERROR(VLOOKUP($C116,COM_N_2012!$B$62:$AJ$122,MATCH(VLOOKUP("*"&amp;$AW116,$A$10:$J$11,$J$9,FALSE)&amp;AJ$7,COM_N_2012!$B$58:$AJ$58,0),FALSE),"")</f>
        <v/>
      </c>
      <c r="AK116" s="391" t="str">
        <f ca="1">IFERROR(VLOOKUP($C116,COM_N_2012!$B$62:$AJ$122,MATCH(VLOOKUP("*"&amp;$AW116,$A$10:$J$11,$J$9,FALSE)&amp;AK$7,COM_N_2012!$B$58:$AJ$58,0),FALSE),"")</f>
        <v/>
      </c>
      <c r="AL116" s="391">
        <f ca="1">IF($A116="*","",IFERROR(VLOOKUP($C116,COM_N_2017!$B$61:$AJ$122,MATCH(VLOOKUP("*"&amp;$AW116,$A$10:$J$11,$J$9,FALSE)&amp;AL$7,COM_N_2017!$B$58:$AJ$58,0),FALSE),""))</f>
        <v>8.464332799765455E-3</v>
      </c>
      <c r="AM116" s="391">
        <f ca="1">IF($A116="*","",IFERROR(VLOOKUP($C116,COM_N_2017!$B$61:$AJ$122,MATCH(VLOOKUP("*"&amp;$AW116,$A$10:$J$11,$J$9,FALSE)&amp;AM$7,COM_N_2017!$B$58:$AJ$58,0),FALSE),""))</f>
        <v>2.821444266588485E-3</v>
      </c>
      <c r="AN116" s="391">
        <f ca="1">IF($A116="*","",IFERROR(VLOOKUP($C116,COM_N_2017!$B$61:$AJ$122,MATCH(VLOOKUP("*"&amp;$AW116,$A$10:$J$11,$J$9,FALSE)&amp;AN$7,COM_N_2017!$B$58:$AJ$58,0),FALSE),""))</f>
        <v>0</v>
      </c>
      <c r="AO116" s="391" t="str">
        <f ca="1">IFERROR(VLOOKUP($C116,COM_N_2012!$B$62:$AJ$122,MATCH(VLOOKUP("*"&amp;$AW116,$A$10:$J$11,$J$9,FALSE)&amp;AO$7,COM_N_2012!$B$58:$AJ$58,0),FALSE),"")</f>
        <v/>
      </c>
      <c r="AP116" s="391" t="str">
        <f ca="1">IFERROR(VLOOKUP($C116,COM_N_2012!$B$62:$AJ$122,MATCH(VLOOKUP("*"&amp;$AW116,$A$10:$J$11,$J$9,FALSE)&amp;AP$7,COM_N_2012!$B$58:$AJ$58,0),FALSE),"")</f>
        <v/>
      </c>
      <c r="AQ116" s="391" t="str">
        <f ca="1">IFERROR(VLOOKUP($C116,COM_N_2012!$B$62:$AJ$122,MATCH(VLOOKUP("*"&amp;$AW116,$A$10:$J$11,$J$9,FALSE)&amp;AQ$7,COM_N_2012!$B$58:$AJ$58,0),FALSE),"")</f>
        <v/>
      </c>
      <c r="AR116" s="391" t="str">
        <f ca="1">IFERROR(VLOOKUP($C116,COM_N_2012!$B$62:$AJ$122,MATCH(VLOOKUP("*"&amp;$AW116,$A$10:$J$11,$J$9,FALSE)&amp;AR$7,COM_N_2012!$B$58:$AJ$58,0),FALSE),"")</f>
        <v/>
      </c>
      <c r="AS116" s="391" t="str">
        <f ca="1">IFERROR(VLOOKUP($C116,COM_N_2012!$B$62:$AJ$122,MATCH(VLOOKUP("*"&amp;$AW116,$A$10:$J$11,$J$9,FALSE)&amp;AS$7,COM_N_2012!$B$58:$AJ$58,0),FALSE),"")</f>
        <v/>
      </c>
      <c r="AT116" s="391" t="str">
        <f ca="1">IFERROR(VLOOKUP($C116,COM_N_2012!$B$62:$AJ$122,MATCH(VLOOKUP("*"&amp;$AW116,$A$10:$J$11,$J$9,FALSE)&amp;AT$7,COM_N_2012!$B$58:$AJ$58,0),FALSE),"")</f>
        <v/>
      </c>
      <c r="AU116" s="391" t="str">
        <f ca="1">IFERROR(VLOOKUP($C116,COM_N_2012!$B$62:$AJ$122,MATCH(VLOOKUP("*"&amp;$AW116,$A$10:$J$11,$J$9,FALSE)&amp;AU$7,COM_N_2012!$B$58:$AJ$58,0),FALSE),"")</f>
        <v/>
      </c>
      <c r="AV116" s="391" t="str">
        <f ca="1">IFERROR(VLOOKUP($C116,COM_N_2012!$B$62:$AJ$122,MATCH(VLOOKUP("*"&amp;$AW116,$A$10:$J$11,$J$9,FALSE)&amp;AV$7,COM_N_2012!$B$58:$AJ$58,0),FALSE),"")</f>
        <v/>
      </c>
      <c r="AW116" s="304">
        <f>IF(AX115=COM_N_2012!$AK$121,AW115+1,AW115)</f>
        <v>2</v>
      </c>
      <c r="AX116" s="304">
        <f t="shared" si="23"/>
        <v>43</v>
      </c>
    </row>
    <row r="117" spans="1:50">
      <c r="A117" s="304" t="str">
        <f ca="1">IF(LEFT(OFFSET(COM_N_2012!$A$60,AX117,0),2)="\I","*","")</f>
        <v/>
      </c>
      <c r="B117" s="369" t="str">
        <f t="shared" ca="1" si="26"/>
        <v>FLO_MRKPRD</v>
      </c>
      <c r="C117" s="369" t="str">
        <f ca="1">IF($A117="*","",OFFSET(COM_N_2012!$B$60,AX117,0))</f>
        <v>CNGELCHPM-E</v>
      </c>
      <c r="D117" s="369" t="str">
        <f t="shared" ca="1" si="25"/>
        <v>CNG</v>
      </c>
      <c r="E117" s="369" t="str">
        <f t="shared" ref="E117:E123" ca="1" si="27">IF($A117="*","",VLOOKUP($B117,$B$10:$I$11,E$9,FALSE))</f>
        <v>-</v>
      </c>
      <c r="F117" s="370" t="str">
        <f t="shared" ca="1" si="22"/>
        <v>-</v>
      </c>
      <c r="G117" s="370" t="str">
        <f t="shared" ca="1" si="22"/>
        <v>ANNUAL</v>
      </c>
      <c r="H117" s="370" t="str">
        <f t="shared" ref="H117:I123" ca="1" si="28">IF($A117="*","",VLOOKUP("*"&amp;$AW117,$A$10:$I$11,H$9,FALSE))</f>
        <v>LO</v>
      </c>
      <c r="I117" s="370">
        <f t="shared" ca="1" si="28"/>
        <v>0</v>
      </c>
      <c r="J117" s="391">
        <f ca="1">IFERROR(VLOOKUP($C117,COM_N_2012!$B$61:$AJ$122,MATCH(VLOOKUP("*"&amp;$AW117,$A$10:$J$11,$J$9,FALSE)&amp;J$7,COM_N_2012!$B$58:$AJ$58,0),FALSE),"")</f>
        <v>0.43238986602269341</v>
      </c>
      <c r="K117" s="391" t="str">
        <f ca="1">IFERROR(VLOOKUP($C117,COM_N_2012!$B$62:$AJ$122,MATCH(VLOOKUP("*"&amp;$AW117,$A$10:$J$11,$J$9,FALSE)&amp;K$7,COM_N_2012!$B$58:$AJ$58,0),FALSE),"")</f>
        <v/>
      </c>
      <c r="L117" s="391" t="str">
        <f ca="1">IFERROR(VLOOKUP($C117,COM_N_2012!$B$62:$AJ$122,MATCH(VLOOKUP("*"&amp;$AW117,$A$10:$J$11,$J$9,FALSE)&amp;L$7,COM_N_2012!$B$58:$AJ$58,0),FALSE),"")</f>
        <v/>
      </c>
      <c r="M117" s="391">
        <f ca="1">IFERROR(VLOOKUP($C117,COM_N_2012!$B$62:$AJ$122,MATCH(VLOOKUP("*"&amp;$AW117,$A$10:$J$11,$J$9,FALSE)&amp;M$7,COM_N_2012!$B$58:$AJ$58,0),FALSE),"")</f>
        <v>0.34591189281815476</v>
      </c>
      <c r="N117" s="391" t="str">
        <f ca="1">IFERROR(VLOOKUP($C117,COM_N_2012!$B$62:$AJ$122,MATCH(VLOOKUP("*"&amp;$AW117,$A$10:$J$11,$J$9,FALSE)&amp;N$7,COM_N_2012!$B$58:$AJ$58,0),FALSE),"")</f>
        <v/>
      </c>
      <c r="O117" s="391">
        <f ca="1">IF($A117="*","",IFERROR(VLOOKUP($C117,COM_N_2017!$B$61:$AJ$122,MATCH(VLOOKUP("*"&amp;$AW117,$A$10:$J$11,$J$9,FALSE)&amp;O$7,COM_N_2017!$B$58:$AJ$58,0),FALSE),""))</f>
        <v>0.42815074968913769</v>
      </c>
      <c r="P117" s="391" t="str">
        <f ca="1">IFERROR(VLOOKUP($C117,COM_N_2012!$B$62:$AJ$122,MATCH(VLOOKUP("*"&amp;$AW117,$A$10:$J$11,$J$9,FALSE)&amp;P$7,COM_N_2012!$B$58:$AJ$58,0),FALSE),"")</f>
        <v/>
      </c>
      <c r="Q117" s="391" t="str">
        <f ca="1">IFERROR(VLOOKUP($C117,COM_N_2012!$B$62:$AJ$122,MATCH(VLOOKUP("*"&amp;$AW117,$A$10:$J$11,$J$9,FALSE)&amp;Q$7,COM_N_2012!$B$58:$AJ$58,0),FALSE),"")</f>
        <v/>
      </c>
      <c r="R117" s="391">
        <f ca="1">IF($A117="*","",IFERROR(VLOOKUP($C117,COM_N_2017!$B$61:$AJ$122,MATCH(VLOOKUP("*"&amp;$AW117,$A$10:$J$11,$J$9,FALSE)&amp;R$7,COM_N_2017!$B$58:$AJ$58,0),FALSE),""))</f>
        <v>0.41530622719846355</v>
      </c>
      <c r="S117" s="391" t="str">
        <f ca="1">IFERROR(VLOOKUP($C117,COM_N_2012!$B$62:$AJ$122,MATCH(VLOOKUP("*"&amp;$AW117,$A$10:$J$11,$J$9,FALSE)&amp;S$7,COM_N_2012!$B$58:$AJ$58,0),FALSE),"")</f>
        <v/>
      </c>
      <c r="T117" s="391" t="str">
        <f ca="1">IFERROR(VLOOKUP($C117,COM_N_2012!$B$62:$AJ$122,MATCH(VLOOKUP("*"&amp;$AW117,$A$10:$J$11,$J$9,FALSE)&amp;T$7,COM_N_2012!$B$58:$AJ$58,0),FALSE),"")</f>
        <v/>
      </c>
      <c r="U117" s="391" t="str">
        <f ca="1">IFERROR(VLOOKUP($C117,COM_N_2012!$B$62:$AJ$122,MATCH(VLOOKUP("*"&amp;$AW117,$A$10:$J$11,$J$9,FALSE)&amp;U$7,COM_N_2012!$B$58:$AJ$58,0),FALSE),"")</f>
        <v/>
      </c>
      <c r="V117" s="391" t="str">
        <f ca="1">IFERROR(VLOOKUP($C117,COM_N_2012!$B$62:$AJ$122,MATCH(VLOOKUP("*"&amp;$AW117,$A$10:$J$11,$J$9,FALSE)&amp;V$7,COM_N_2012!$B$58:$AJ$58,0),FALSE),"")</f>
        <v/>
      </c>
      <c r="W117" s="391">
        <f ca="1">IF($A117="*","",IFERROR(VLOOKUP($C117,COM_N_2017!$B$61:$AJ$122,MATCH(VLOOKUP("*"&amp;$AW117,$A$10:$J$11,$J$9,FALSE)&amp;W$7,COM_N_2017!$B$58:$AJ$58,0),FALSE),""))</f>
        <v>0.38533567472022395</v>
      </c>
      <c r="X117" s="391" t="str">
        <f ca="1">IFERROR(VLOOKUP($C117,COM_N_2012!$B$62:$AJ$122,MATCH(VLOOKUP("*"&amp;$AW117,$A$10:$J$11,$J$9,FALSE)&amp;X$7,COM_N_2012!$B$58:$AJ$58,0),FALSE),"")</f>
        <v/>
      </c>
      <c r="Y117" s="391" t="str">
        <f ca="1">IFERROR(VLOOKUP($C117,COM_N_2012!$B$62:$AJ$122,MATCH(VLOOKUP("*"&amp;$AW117,$A$10:$J$11,$J$9,FALSE)&amp;Y$7,COM_N_2012!$B$58:$AJ$58,0),FALSE),"")</f>
        <v/>
      </c>
      <c r="Z117" s="391" t="str">
        <f ca="1">IFERROR(VLOOKUP($C117,COM_N_2012!$B$62:$AJ$122,MATCH(VLOOKUP("*"&amp;$AW117,$A$10:$J$11,$J$9,FALSE)&amp;Z$7,COM_N_2012!$B$58:$AJ$58,0),FALSE),"")</f>
        <v/>
      </c>
      <c r="AA117" s="391" t="str">
        <f ca="1">IFERROR(VLOOKUP($C117,COM_N_2012!$B$62:$AJ$122,MATCH(VLOOKUP("*"&amp;$AW117,$A$10:$J$11,$J$9,FALSE)&amp;AA$7,COM_N_2012!$B$58:$AJ$58,0),FALSE),"")</f>
        <v/>
      </c>
      <c r="AB117" s="391">
        <f ca="1">IF($A117="*","",IFERROR(VLOOKUP($C117,COM_N_2017!$B$61:$AJ$122,MATCH(VLOOKUP("*"&amp;$AW117,$A$10:$J$11,$J$9,FALSE)&amp;AB$7,COM_N_2017!$B$58:$AJ$58,0),FALSE),""))</f>
        <v>0.29970552478239637</v>
      </c>
      <c r="AC117" s="391" t="str">
        <f ca="1">IFERROR(VLOOKUP($C117,COM_N_2012!$B$62:$AJ$122,MATCH(VLOOKUP("*"&amp;$AW117,$A$10:$J$11,$J$9,FALSE)&amp;AC$7,COM_N_2012!$B$58:$AJ$58,0),FALSE),"")</f>
        <v/>
      </c>
      <c r="AD117" s="391" t="str">
        <f ca="1">IFERROR(VLOOKUP($C117,COM_N_2012!$B$62:$AJ$122,MATCH(VLOOKUP("*"&amp;$AW117,$A$10:$J$11,$J$9,FALSE)&amp;AD$7,COM_N_2012!$B$58:$AJ$58,0),FALSE),"")</f>
        <v/>
      </c>
      <c r="AE117" s="391" t="str">
        <f ca="1">IFERROR(VLOOKUP($C117,COM_N_2012!$B$62:$AJ$122,MATCH(VLOOKUP("*"&amp;$AW117,$A$10:$J$11,$J$9,FALSE)&amp;AE$7,COM_N_2012!$B$58:$AJ$58,0),FALSE),"")</f>
        <v/>
      </c>
      <c r="AF117" s="391" t="str">
        <f ca="1">IFERROR(VLOOKUP($C117,COM_N_2012!$B$62:$AJ$122,MATCH(VLOOKUP("*"&amp;$AW117,$A$10:$J$11,$J$9,FALSE)&amp;AF$7,COM_N_2012!$B$58:$AJ$58,0),FALSE),"")</f>
        <v/>
      </c>
      <c r="AG117" s="391">
        <f ca="1">IF($A117="*","",IFERROR(VLOOKUP($C117,COM_N_2017!$B$61:$AJ$122,MATCH(VLOOKUP("*"&amp;$AW117,$A$10:$J$11,$J$9,FALSE)&amp;AG$7,COM_N_2017!$B$58:$AJ$58,0),FALSE),""))</f>
        <v>0.21407537484456884</v>
      </c>
      <c r="AH117" s="391" t="str">
        <f ca="1">IFERROR(VLOOKUP($C117,COM_N_2012!$B$62:$AJ$122,MATCH(VLOOKUP("*"&amp;$AW117,$A$10:$J$11,$J$9,FALSE)&amp;AH$7,COM_N_2012!$B$58:$AJ$58,0),FALSE),"")</f>
        <v/>
      </c>
      <c r="AI117" s="391" t="str">
        <f ca="1">IFERROR(VLOOKUP($C117,COM_N_2012!$B$62:$AJ$122,MATCH(VLOOKUP("*"&amp;$AW117,$A$10:$J$11,$J$9,FALSE)&amp;AI$7,COM_N_2012!$B$58:$AJ$58,0),FALSE),"")</f>
        <v/>
      </c>
      <c r="AJ117" s="391" t="str">
        <f ca="1">IFERROR(VLOOKUP($C117,COM_N_2012!$B$62:$AJ$122,MATCH(VLOOKUP("*"&amp;$AW117,$A$10:$J$11,$J$9,FALSE)&amp;AJ$7,COM_N_2012!$B$58:$AJ$58,0),FALSE),"")</f>
        <v/>
      </c>
      <c r="AK117" s="391" t="str">
        <f ca="1">IFERROR(VLOOKUP($C117,COM_N_2012!$B$62:$AJ$122,MATCH(VLOOKUP("*"&amp;$AW117,$A$10:$J$11,$J$9,FALSE)&amp;AK$7,COM_N_2012!$B$58:$AJ$58,0),FALSE),"")</f>
        <v/>
      </c>
      <c r="AL117" s="391">
        <f ca="1">IF($A117="*","",IFERROR(VLOOKUP($C117,COM_N_2017!$B$61:$AJ$122,MATCH(VLOOKUP("*"&amp;$AW117,$A$10:$J$11,$J$9,FALSE)&amp;AL$7,COM_N_2017!$B$58:$AJ$58,0),FALSE),""))</f>
        <v>0.12844522490674129</v>
      </c>
      <c r="AM117" s="391">
        <f ca="1">IF($A117="*","",IFERROR(VLOOKUP($C117,COM_N_2017!$B$61:$AJ$122,MATCH(VLOOKUP("*"&amp;$AW117,$A$10:$J$11,$J$9,FALSE)&amp;AM$7,COM_N_2017!$B$58:$AJ$58,0),FALSE),""))</f>
        <v>4.281507496891377E-2</v>
      </c>
      <c r="AN117" s="391">
        <f ca="1">IF($A117="*","",IFERROR(VLOOKUP($C117,COM_N_2017!$B$61:$AJ$122,MATCH(VLOOKUP("*"&amp;$AW117,$A$10:$J$11,$J$9,FALSE)&amp;AN$7,COM_N_2017!$B$58:$AJ$58,0),FALSE),""))</f>
        <v>0</v>
      </c>
      <c r="AO117" s="391" t="str">
        <f ca="1">IFERROR(VLOOKUP($C117,COM_N_2012!$B$62:$AJ$122,MATCH(VLOOKUP("*"&amp;$AW117,$A$10:$J$11,$J$9,FALSE)&amp;AO$7,COM_N_2012!$B$58:$AJ$58,0),FALSE),"")</f>
        <v/>
      </c>
      <c r="AP117" s="391" t="str">
        <f ca="1">IFERROR(VLOOKUP($C117,COM_N_2012!$B$62:$AJ$122,MATCH(VLOOKUP("*"&amp;$AW117,$A$10:$J$11,$J$9,FALSE)&amp;AP$7,COM_N_2012!$B$58:$AJ$58,0),FALSE),"")</f>
        <v/>
      </c>
      <c r="AQ117" s="391" t="str">
        <f ca="1">IFERROR(VLOOKUP($C117,COM_N_2012!$B$62:$AJ$122,MATCH(VLOOKUP("*"&amp;$AW117,$A$10:$J$11,$J$9,FALSE)&amp;AQ$7,COM_N_2012!$B$58:$AJ$58,0),FALSE),"")</f>
        <v/>
      </c>
      <c r="AR117" s="391" t="str">
        <f ca="1">IFERROR(VLOOKUP($C117,COM_N_2012!$B$62:$AJ$122,MATCH(VLOOKUP("*"&amp;$AW117,$A$10:$J$11,$J$9,FALSE)&amp;AR$7,COM_N_2012!$B$58:$AJ$58,0),FALSE),"")</f>
        <v/>
      </c>
      <c r="AS117" s="391" t="str">
        <f ca="1">IFERROR(VLOOKUP($C117,COM_N_2012!$B$62:$AJ$122,MATCH(VLOOKUP("*"&amp;$AW117,$A$10:$J$11,$J$9,FALSE)&amp;AS$7,COM_N_2012!$B$58:$AJ$58,0),FALSE),"")</f>
        <v/>
      </c>
      <c r="AT117" s="391" t="str">
        <f ca="1">IFERROR(VLOOKUP($C117,COM_N_2012!$B$62:$AJ$122,MATCH(VLOOKUP("*"&amp;$AW117,$A$10:$J$11,$J$9,FALSE)&amp;AT$7,COM_N_2012!$B$58:$AJ$58,0),FALSE),"")</f>
        <v/>
      </c>
      <c r="AU117" s="391" t="str">
        <f ca="1">IFERROR(VLOOKUP($C117,COM_N_2012!$B$62:$AJ$122,MATCH(VLOOKUP("*"&amp;$AW117,$A$10:$J$11,$J$9,FALSE)&amp;AU$7,COM_N_2012!$B$58:$AJ$58,0),FALSE),"")</f>
        <v/>
      </c>
      <c r="AV117" s="391" t="str">
        <f ca="1">IFERROR(VLOOKUP($C117,COM_N_2012!$B$62:$AJ$122,MATCH(VLOOKUP("*"&amp;$AW117,$A$10:$J$11,$J$9,FALSE)&amp;AV$7,COM_N_2012!$B$58:$AJ$58,0),FALSE),"")</f>
        <v/>
      </c>
      <c r="AW117" s="304">
        <f>IF(AX116=COM_N_2012!$AK$121,AW116+1,AW116)</f>
        <v>2</v>
      </c>
      <c r="AX117" s="304">
        <f t="shared" si="23"/>
        <v>44</v>
      </c>
    </row>
    <row r="118" spans="1:50">
      <c r="A118" s="304" t="str">
        <f ca="1">IF(LEFT(OFFSET(COM_N_2012!$A$60,AX118,0),2)="\I","*","")</f>
        <v/>
      </c>
      <c r="B118" s="369" t="str">
        <f t="shared" ref="B118:B123" ca="1" si="29">IF(A118="*","",VLOOKUP("*"&amp;AW118,$A$9:$B$11,2,FALSE))</f>
        <v>FLO_MRKPRD</v>
      </c>
      <c r="C118" s="369" t="str">
        <f ca="1">IF($A118="*","",OFFSET(COM_N_2012!$B$60,AX118,0))</f>
        <v>CNGELCHPS-E</v>
      </c>
      <c r="D118" s="369" t="str">
        <f t="shared" ref="D118:D123" ca="1" si="30">IF($A118="*","",LEFT(C118,3))</f>
        <v>CNG</v>
      </c>
      <c r="E118" s="369" t="str">
        <f t="shared" ca="1" si="27"/>
        <v>-</v>
      </c>
      <c r="F118" s="370" t="str">
        <f t="shared" ca="1" si="22"/>
        <v>-</v>
      </c>
      <c r="G118" s="370" t="str">
        <f t="shared" ca="1" si="22"/>
        <v>ANNUAL</v>
      </c>
      <c r="H118" s="370" t="str">
        <f t="shared" ca="1" si="28"/>
        <v>LO</v>
      </c>
      <c r="I118" s="370">
        <f t="shared" ca="1" si="28"/>
        <v>0</v>
      </c>
      <c r="J118" s="391">
        <f ca="1">IFERROR(VLOOKUP($C118,COM_N_2012!$B$61:$AJ$122,MATCH(VLOOKUP("*"&amp;$AW118,$A$10:$J$11,$J$9,FALSE)&amp;J$7,COM_N_2012!$B$58:$AJ$58,0),FALSE),"")</f>
        <v>0.49230628176817998</v>
      </c>
      <c r="K118" s="391" t="str">
        <f ca="1">IFERROR(VLOOKUP($C118,COM_N_2012!$B$62:$AJ$122,MATCH(VLOOKUP("*"&amp;$AW118,$A$10:$J$11,$J$9,FALSE)&amp;K$7,COM_N_2012!$B$58:$AJ$58,0),FALSE),"")</f>
        <v/>
      </c>
      <c r="L118" s="391" t="str">
        <f ca="1">IFERROR(VLOOKUP($C118,COM_N_2012!$B$62:$AJ$122,MATCH(VLOOKUP("*"&amp;$AW118,$A$10:$J$11,$J$9,FALSE)&amp;L$7,COM_N_2012!$B$58:$AJ$58,0),FALSE),"")</f>
        <v/>
      </c>
      <c r="M118" s="391">
        <f ca="1">IFERROR(VLOOKUP($C118,COM_N_2012!$B$62:$AJ$122,MATCH(VLOOKUP("*"&amp;$AW118,$A$10:$J$11,$J$9,FALSE)&amp;M$7,COM_N_2012!$B$58:$AJ$58,0),FALSE),"")</f>
        <v>0.39384502541454403</v>
      </c>
      <c r="N118" s="391" t="str">
        <f ca="1">IFERROR(VLOOKUP($C118,COM_N_2012!$B$62:$AJ$122,MATCH(VLOOKUP("*"&amp;$AW118,$A$10:$J$11,$J$9,FALSE)&amp;N$7,COM_N_2012!$B$58:$AJ$58,0),FALSE),"")</f>
        <v/>
      </c>
      <c r="O118" s="391">
        <f ca="1">IF($A118="*","",IFERROR(VLOOKUP($C118,COM_N_2017!$B$61:$AJ$122,MATCH(VLOOKUP("*"&amp;$AW118,$A$10:$J$11,$J$9,FALSE)&amp;O$7,COM_N_2017!$B$58:$AJ$58,0),FALSE),""))</f>
        <v>0.4874797495939821</v>
      </c>
      <c r="P118" s="391" t="str">
        <f ca="1">IFERROR(VLOOKUP($C118,COM_N_2012!$B$62:$AJ$122,MATCH(VLOOKUP("*"&amp;$AW118,$A$10:$J$11,$J$9,FALSE)&amp;P$7,COM_N_2012!$B$58:$AJ$58,0),FALSE),"")</f>
        <v/>
      </c>
      <c r="Q118" s="391" t="str">
        <f ca="1">IFERROR(VLOOKUP($C118,COM_N_2012!$B$62:$AJ$122,MATCH(VLOOKUP("*"&amp;$AW118,$A$10:$J$11,$J$9,FALSE)&amp;Q$7,COM_N_2012!$B$58:$AJ$58,0),FALSE),"")</f>
        <v/>
      </c>
      <c r="R118" s="391">
        <f ca="1">IF($A118="*","",IFERROR(VLOOKUP($C118,COM_N_2017!$B$61:$AJ$122,MATCH(VLOOKUP("*"&amp;$AW118,$A$10:$J$11,$J$9,FALSE)&amp;R$7,COM_N_2017!$B$58:$AJ$58,0),FALSE),""))</f>
        <v>0.47285535710616261</v>
      </c>
      <c r="S118" s="391" t="str">
        <f ca="1">IFERROR(VLOOKUP($C118,COM_N_2012!$B$62:$AJ$122,MATCH(VLOOKUP("*"&amp;$AW118,$A$10:$J$11,$J$9,FALSE)&amp;S$7,COM_N_2012!$B$58:$AJ$58,0),FALSE),"")</f>
        <v/>
      </c>
      <c r="T118" s="391" t="str">
        <f ca="1">IFERROR(VLOOKUP($C118,COM_N_2012!$B$62:$AJ$122,MATCH(VLOOKUP("*"&amp;$AW118,$A$10:$J$11,$J$9,FALSE)&amp;T$7,COM_N_2012!$B$58:$AJ$58,0),FALSE),"")</f>
        <v/>
      </c>
      <c r="U118" s="391" t="str">
        <f ca="1">IFERROR(VLOOKUP($C118,COM_N_2012!$B$62:$AJ$122,MATCH(VLOOKUP("*"&amp;$AW118,$A$10:$J$11,$J$9,FALSE)&amp;U$7,COM_N_2012!$B$58:$AJ$58,0),FALSE),"")</f>
        <v/>
      </c>
      <c r="V118" s="391" t="str">
        <f ca="1">IFERROR(VLOOKUP($C118,COM_N_2012!$B$62:$AJ$122,MATCH(VLOOKUP("*"&amp;$AW118,$A$10:$J$11,$J$9,FALSE)&amp;V$7,COM_N_2012!$B$58:$AJ$58,0),FALSE),"")</f>
        <v/>
      </c>
      <c r="W118" s="391">
        <f ca="1">IF($A118="*","",IFERROR(VLOOKUP($C118,COM_N_2017!$B$61:$AJ$122,MATCH(VLOOKUP("*"&amp;$AW118,$A$10:$J$11,$J$9,FALSE)&amp;W$7,COM_N_2017!$B$58:$AJ$58,0),FALSE),""))</f>
        <v>0.4387317746345839</v>
      </c>
      <c r="X118" s="391" t="str">
        <f ca="1">IFERROR(VLOOKUP($C118,COM_N_2012!$B$62:$AJ$122,MATCH(VLOOKUP("*"&amp;$AW118,$A$10:$J$11,$J$9,FALSE)&amp;X$7,COM_N_2012!$B$58:$AJ$58,0),FALSE),"")</f>
        <v/>
      </c>
      <c r="Y118" s="391" t="str">
        <f ca="1">IFERROR(VLOOKUP($C118,COM_N_2012!$B$62:$AJ$122,MATCH(VLOOKUP("*"&amp;$AW118,$A$10:$J$11,$J$9,FALSE)&amp;Y$7,COM_N_2012!$B$58:$AJ$58,0),FALSE),"")</f>
        <v/>
      </c>
      <c r="Z118" s="391" t="str">
        <f ca="1">IFERROR(VLOOKUP($C118,COM_N_2012!$B$62:$AJ$122,MATCH(VLOOKUP("*"&amp;$AW118,$A$10:$J$11,$J$9,FALSE)&amp;Z$7,COM_N_2012!$B$58:$AJ$58,0),FALSE),"")</f>
        <v/>
      </c>
      <c r="AA118" s="391" t="str">
        <f ca="1">IFERROR(VLOOKUP($C118,COM_N_2012!$B$62:$AJ$122,MATCH(VLOOKUP("*"&amp;$AW118,$A$10:$J$11,$J$9,FALSE)&amp;AA$7,COM_N_2012!$B$58:$AJ$58,0),FALSE),"")</f>
        <v/>
      </c>
      <c r="AB118" s="391">
        <f ca="1">IF($A118="*","",IFERROR(VLOOKUP($C118,COM_N_2017!$B$61:$AJ$122,MATCH(VLOOKUP("*"&amp;$AW118,$A$10:$J$11,$J$9,FALSE)&amp;AB$7,COM_N_2017!$B$58:$AJ$58,0),FALSE),""))</f>
        <v>0.34123582471578745</v>
      </c>
      <c r="AC118" s="391" t="str">
        <f ca="1">IFERROR(VLOOKUP($C118,COM_N_2012!$B$62:$AJ$122,MATCH(VLOOKUP("*"&amp;$AW118,$A$10:$J$11,$J$9,FALSE)&amp;AC$7,COM_N_2012!$B$58:$AJ$58,0),FALSE),"")</f>
        <v/>
      </c>
      <c r="AD118" s="391" t="str">
        <f ca="1">IFERROR(VLOOKUP($C118,COM_N_2012!$B$62:$AJ$122,MATCH(VLOOKUP("*"&amp;$AW118,$A$10:$J$11,$J$9,FALSE)&amp;AD$7,COM_N_2012!$B$58:$AJ$58,0),FALSE),"")</f>
        <v/>
      </c>
      <c r="AE118" s="391" t="str">
        <f ca="1">IFERROR(VLOOKUP($C118,COM_N_2012!$B$62:$AJ$122,MATCH(VLOOKUP("*"&amp;$AW118,$A$10:$J$11,$J$9,FALSE)&amp;AE$7,COM_N_2012!$B$58:$AJ$58,0),FALSE),"")</f>
        <v/>
      </c>
      <c r="AF118" s="391" t="str">
        <f ca="1">IFERROR(VLOOKUP($C118,COM_N_2012!$B$62:$AJ$122,MATCH(VLOOKUP("*"&amp;$AW118,$A$10:$J$11,$J$9,FALSE)&amp;AF$7,COM_N_2012!$B$58:$AJ$58,0),FALSE),"")</f>
        <v/>
      </c>
      <c r="AG118" s="391">
        <f ca="1">IF($A118="*","",IFERROR(VLOOKUP($C118,COM_N_2017!$B$61:$AJ$122,MATCH(VLOOKUP("*"&amp;$AW118,$A$10:$J$11,$J$9,FALSE)&amp;AG$7,COM_N_2017!$B$58:$AJ$58,0),FALSE),""))</f>
        <v>0.24373987479699105</v>
      </c>
      <c r="AH118" s="391" t="str">
        <f ca="1">IFERROR(VLOOKUP($C118,COM_N_2012!$B$62:$AJ$122,MATCH(VLOOKUP("*"&amp;$AW118,$A$10:$J$11,$J$9,FALSE)&amp;AH$7,COM_N_2012!$B$58:$AJ$58,0),FALSE),"")</f>
        <v/>
      </c>
      <c r="AI118" s="391" t="str">
        <f ca="1">IFERROR(VLOOKUP($C118,COM_N_2012!$B$62:$AJ$122,MATCH(VLOOKUP("*"&amp;$AW118,$A$10:$J$11,$J$9,FALSE)&amp;AI$7,COM_N_2012!$B$58:$AJ$58,0),FALSE),"")</f>
        <v/>
      </c>
      <c r="AJ118" s="391" t="str">
        <f ca="1">IFERROR(VLOOKUP($C118,COM_N_2012!$B$62:$AJ$122,MATCH(VLOOKUP("*"&amp;$AW118,$A$10:$J$11,$J$9,FALSE)&amp;AJ$7,COM_N_2012!$B$58:$AJ$58,0),FALSE),"")</f>
        <v/>
      </c>
      <c r="AK118" s="391" t="str">
        <f ca="1">IFERROR(VLOOKUP($C118,COM_N_2012!$B$62:$AJ$122,MATCH(VLOOKUP("*"&amp;$AW118,$A$10:$J$11,$J$9,FALSE)&amp;AK$7,COM_N_2012!$B$58:$AJ$58,0),FALSE),"")</f>
        <v/>
      </c>
      <c r="AL118" s="391">
        <f ca="1">IF($A118="*","",IFERROR(VLOOKUP($C118,COM_N_2017!$B$61:$AJ$122,MATCH(VLOOKUP("*"&amp;$AW118,$A$10:$J$11,$J$9,FALSE)&amp;AL$7,COM_N_2017!$B$58:$AJ$58,0),FALSE),""))</f>
        <v>0.14624392487819463</v>
      </c>
      <c r="AM118" s="391">
        <f ca="1">IF($A118="*","",IFERROR(VLOOKUP($C118,COM_N_2017!$B$61:$AJ$122,MATCH(VLOOKUP("*"&amp;$AW118,$A$10:$J$11,$J$9,FALSE)&amp;AM$7,COM_N_2017!$B$58:$AJ$58,0),FALSE),""))</f>
        <v>4.8747974959398213E-2</v>
      </c>
      <c r="AN118" s="391">
        <f ca="1">IF($A118="*","",IFERROR(VLOOKUP($C118,COM_N_2017!$B$61:$AJ$122,MATCH(VLOOKUP("*"&amp;$AW118,$A$10:$J$11,$J$9,FALSE)&amp;AN$7,COM_N_2017!$B$58:$AJ$58,0),FALSE),""))</f>
        <v>0</v>
      </c>
      <c r="AO118" s="391" t="str">
        <f ca="1">IFERROR(VLOOKUP($C118,COM_N_2012!$B$62:$AJ$122,MATCH(VLOOKUP("*"&amp;$AW118,$A$10:$J$11,$J$9,FALSE)&amp;AO$7,COM_N_2012!$B$58:$AJ$58,0),FALSE),"")</f>
        <v/>
      </c>
      <c r="AP118" s="391" t="str">
        <f ca="1">IFERROR(VLOOKUP($C118,COM_N_2012!$B$62:$AJ$122,MATCH(VLOOKUP("*"&amp;$AW118,$A$10:$J$11,$J$9,FALSE)&amp;AP$7,COM_N_2012!$B$58:$AJ$58,0),FALSE),"")</f>
        <v/>
      </c>
      <c r="AQ118" s="391" t="str">
        <f ca="1">IFERROR(VLOOKUP($C118,COM_N_2012!$B$62:$AJ$122,MATCH(VLOOKUP("*"&amp;$AW118,$A$10:$J$11,$J$9,FALSE)&amp;AQ$7,COM_N_2012!$B$58:$AJ$58,0),FALSE),"")</f>
        <v/>
      </c>
      <c r="AR118" s="391" t="str">
        <f ca="1">IFERROR(VLOOKUP($C118,COM_N_2012!$B$62:$AJ$122,MATCH(VLOOKUP("*"&amp;$AW118,$A$10:$J$11,$J$9,FALSE)&amp;AR$7,COM_N_2012!$B$58:$AJ$58,0),FALSE),"")</f>
        <v/>
      </c>
      <c r="AS118" s="391" t="str">
        <f ca="1">IFERROR(VLOOKUP($C118,COM_N_2012!$B$62:$AJ$122,MATCH(VLOOKUP("*"&amp;$AW118,$A$10:$J$11,$J$9,FALSE)&amp;AS$7,COM_N_2012!$B$58:$AJ$58,0),FALSE),"")</f>
        <v/>
      </c>
      <c r="AT118" s="391" t="str">
        <f ca="1">IFERROR(VLOOKUP($C118,COM_N_2012!$B$62:$AJ$122,MATCH(VLOOKUP("*"&amp;$AW118,$A$10:$J$11,$J$9,FALSE)&amp;AT$7,COM_N_2012!$B$58:$AJ$58,0),FALSE),"")</f>
        <v/>
      </c>
      <c r="AU118" s="391" t="str">
        <f ca="1">IFERROR(VLOOKUP($C118,COM_N_2012!$B$62:$AJ$122,MATCH(VLOOKUP("*"&amp;$AW118,$A$10:$J$11,$J$9,FALSE)&amp;AU$7,COM_N_2012!$B$58:$AJ$58,0),FALSE),"")</f>
        <v/>
      </c>
      <c r="AV118" s="391" t="str">
        <f ca="1">IFERROR(VLOOKUP($C118,COM_N_2012!$B$62:$AJ$122,MATCH(VLOOKUP("*"&amp;$AW118,$A$10:$J$11,$J$9,FALSE)&amp;AV$7,COM_N_2012!$B$58:$AJ$58,0),FALSE),"")</f>
        <v/>
      </c>
      <c r="AW118" s="304">
        <f>IF(AX117=COM_N_2012!$AK$121,AW117+1,AW117)</f>
        <v>2</v>
      </c>
      <c r="AX118" s="304">
        <f t="shared" si="23"/>
        <v>45</v>
      </c>
    </row>
    <row r="119" spans="1:50">
      <c r="A119" s="304" t="str">
        <f ca="1">IF(LEFT(OFFSET(COM_N_2012!$A$60,AX119,0),2)="\I","*","")</f>
        <v/>
      </c>
      <c r="B119" s="369" t="str">
        <f t="shared" ca="1" si="29"/>
        <v>FLO_MRKPRD</v>
      </c>
      <c r="C119" s="369" t="str">
        <f ca="1">IF($A119="*","",OFFSET(COM_N_2012!$B$60,AX119,0))</f>
        <v>CNGELCMHL-E</v>
      </c>
      <c r="D119" s="369" t="str">
        <f t="shared" ca="1" si="30"/>
        <v>CNG</v>
      </c>
      <c r="E119" s="369" t="str">
        <f t="shared" ca="1" si="27"/>
        <v>-</v>
      </c>
      <c r="F119" s="370" t="str">
        <f t="shared" ca="1" si="22"/>
        <v>-</v>
      </c>
      <c r="G119" s="370" t="str">
        <f t="shared" ca="1" si="22"/>
        <v>ANNUAL</v>
      </c>
      <c r="H119" s="370" t="str">
        <f t="shared" ca="1" si="28"/>
        <v>LO</v>
      </c>
      <c r="I119" s="370">
        <f t="shared" ca="1" si="28"/>
        <v>0</v>
      </c>
      <c r="J119" s="391">
        <f ca="1">IFERROR(VLOOKUP($C119,COM_N_2012!$B$61:$AJ$122,MATCH(VLOOKUP("*"&amp;$AW119,$A$10:$J$11,$J$9,FALSE)&amp;J$7,COM_N_2012!$B$58:$AJ$58,0),FALSE),"")</f>
        <v>1.3332392603304025E-2</v>
      </c>
      <c r="K119" s="391" t="str">
        <f ca="1">IFERROR(VLOOKUP($C119,COM_N_2012!$B$62:$AJ$122,MATCH(VLOOKUP("*"&amp;$AW119,$A$10:$J$11,$J$9,FALSE)&amp;K$7,COM_N_2012!$B$58:$AJ$58,0),FALSE),"")</f>
        <v/>
      </c>
      <c r="L119" s="391" t="str">
        <f ca="1">IFERROR(VLOOKUP($C119,COM_N_2012!$B$62:$AJ$122,MATCH(VLOOKUP("*"&amp;$AW119,$A$10:$J$11,$J$9,FALSE)&amp;L$7,COM_N_2012!$B$58:$AJ$58,0),FALSE),"")</f>
        <v/>
      </c>
      <c r="M119" s="391">
        <f ca="1">IFERROR(VLOOKUP($C119,COM_N_2012!$B$62:$AJ$122,MATCH(VLOOKUP("*"&amp;$AW119,$A$10:$J$11,$J$9,FALSE)&amp;M$7,COM_N_2012!$B$58:$AJ$58,0),FALSE),"")</f>
        <v>1.0665914082643221E-2</v>
      </c>
      <c r="N119" s="391" t="str">
        <f ca="1">IFERROR(VLOOKUP($C119,COM_N_2012!$B$62:$AJ$122,MATCH(VLOOKUP("*"&amp;$AW119,$A$10:$J$11,$J$9,FALSE)&amp;N$7,COM_N_2012!$B$58:$AJ$58,0),FALSE),"")</f>
        <v/>
      </c>
      <c r="O119" s="391">
        <f ca="1">IF($A119="*","",IFERROR(VLOOKUP($C119,COM_N_2017!$B$61:$AJ$122,MATCH(VLOOKUP("*"&amp;$AW119,$A$10:$J$11,$J$9,FALSE)&amp;O$7,COM_N_2017!$B$58:$AJ$58,0),FALSE),""))</f>
        <v>1.3201682871899085E-2</v>
      </c>
      <c r="P119" s="391" t="str">
        <f ca="1">IFERROR(VLOOKUP($C119,COM_N_2012!$B$62:$AJ$122,MATCH(VLOOKUP("*"&amp;$AW119,$A$10:$J$11,$J$9,FALSE)&amp;P$7,COM_N_2012!$B$58:$AJ$58,0),FALSE),"")</f>
        <v/>
      </c>
      <c r="Q119" s="391" t="str">
        <f ca="1">IFERROR(VLOOKUP($C119,COM_N_2012!$B$62:$AJ$122,MATCH(VLOOKUP("*"&amp;$AW119,$A$10:$J$11,$J$9,FALSE)&amp;Q$7,COM_N_2012!$B$58:$AJ$58,0),FALSE),"")</f>
        <v/>
      </c>
      <c r="R119" s="391">
        <f ca="1">IF($A119="*","",IFERROR(VLOOKUP($C119,COM_N_2017!$B$61:$AJ$122,MATCH(VLOOKUP("*"&amp;$AW119,$A$10:$J$11,$J$9,FALSE)&amp;R$7,COM_N_2017!$B$58:$AJ$58,0),FALSE),""))</f>
        <v>1.2805632385742113E-2</v>
      </c>
      <c r="S119" s="391" t="str">
        <f ca="1">IFERROR(VLOOKUP($C119,COM_N_2012!$B$62:$AJ$122,MATCH(VLOOKUP("*"&amp;$AW119,$A$10:$J$11,$J$9,FALSE)&amp;S$7,COM_N_2012!$B$58:$AJ$58,0),FALSE),"")</f>
        <v/>
      </c>
      <c r="T119" s="391" t="str">
        <f ca="1">IFERROR(VLOOKUP($C119,COM_N_2012!$B$62:$AJ$122,MATCH(VLOOKUP("*"&amp;$AW119,$A$10:$J$11,$J$9,FALSE)&amp;T$7,COM_N_2012!$B$58:$AJ$58,0),FALSE),"")</f>
        <v/>
      </c>
      <c r="U119" s="391" t="str">
        <f ca="1">IFERROR(VLOOKUP($C119,COM_N_2012!$B$62:$AJ$122,MATCH(VLOOKUP("*"&amp;$AW119,$A$10:$J$11,$J$9,FALSE)&amp;U$7,COM_N_2012!$B$58:$AJ$58,0),FALSE),"")</f>
        <v/>
      </c>
      <c r="V119" s="391" t="str">
        <f ca="1">IFERROR(VLOOKUP($C119,COM_N_2012!$B$62:$AJ$122,MATCH(VLOOKUP("*"&amp;$AW119,$A$10:$J$11,$J$9,FALSE)&amp;V$7,COM_N_2012!$B$58:$AJ$58,0),FALSE),"")</f>
        <v/>
      </c>
      <c r="W119" s="391">
        <f ca="1">IF($A119="*","",IFERROR(VLOOKUP($C119,COM_N_2017!$B$61:$AJ$122,MATCH(VLOOKUP("*"&amp;$AW119,$A$10:$J$11,$J$9,FALSE)&amp;W$7,COM_N_2017!$B$58:$AJ$58,0),FALSE),""))</f>
        <v>1.1881514584709176E-2</v>
      </c>
      <c r="X119" s="391" t="str">
        <f ca="1">IFERROR(VLOOKUP($C119,COM_N_2012!$B$62:$AJ$122,MATCH(VLOOKUP("*"&amp;$AW119,$A$10:$J$11,$J$9,FALSE)&amp;X$7,COM_N_2012!$B$58:$AJ$58,0),FALSE),"")</f>
        <v/>
      </c>
      <c r="Y119" s="391" t="str">
        <f ca="1">IFERROR(VLOOKUP($C119,COM_N_2012!$B$62:$AJ$122,MATCH(VLOOKUP("*"&amp;$AW119,$A$10:$J$11,$J$9,FALSE)&amp;Y$7,COM_N_2012!$B$58:$AJ$58,0),FALSE),"")</f>
        <v/>
      </c>
      <c r="Z119" s="391" t="str">
        <f ca="1">IFERROR(VLOOKUP($C119,COM_N_2012!$B$62:$AJ$122,MATCH(VLOOKUP("*"&amp;$AW119,$A$10:$J$11,$J$9,FALSE)&amp;Z$7,COM_N_2012!$B$58:$AJ$58,0),FALSE),"")</f>
        <v/>
      </c>
      <c r="AA119" s="391" t="str">
        <f ca="1">IFERROR(VLOOKUP($C119,COM_N_2012!$B$62:$AJ$122,MATCH(VLOOKUP("*"&amp;$AW119,$A$10:$J$11,$J$9,FALSE)&amp;AA$7,COM_N_2012!$B$58:$AJ$58,0),FALSE),"")</f>
        <v/>
      </c>
      <c r="AB119" s="391">
        <f ca="1">IF($A119="*","",IFERROR(VLOOKUP($C119,COM_N_2017!$B$61:$AJ$122,MATCH(VLOOKUP("*"&amp;$AW119,$A$10:$J$11,$J$9,FALSE)&amp;AB$7,COM_N_2017!$B$58:$AJ$58,0),FALSE),""))</f>
        <v>9.2411780103293598E-3</v>
      </c>
      <c r="AC119" s="391" t="str">
        <f ca="1">IFERROR(VLOOKUP($C119,COM_N_2012!$B$62:$AJ$122,MATCH(VLOOKUP("*"&amp;$AW119,$A$10:$J$11,$J$9,FALSE)&amp;AC$7,COM_N_2012!$B$58:$AJ$58,0),FALSE),"")</f>
        <v/>
      </c>
      <c r="AD119" s="391" t="str">
        <f ca="1">IFERROR(VLOOKUP($C119,COM_N_2012!$B$62:$AJ$122,MATCH(VLOOKUP("*"&amp;$AW119,$A$10:$J$11,$J$9,FALSE)&amp;AD$7,COM_N_2012!$B$58:$AJ$58,0),FALSE),"")</f>
        <v/>
      </c>
      <c r="AE119" s="391" t="str">
        <f ca="1">IFERROR(VLOOKUP($C119,COM_N_2012!$B$62:$AJ$122,MATCH(VLOOKUP("*"&amp;$AW119,$A$10:$J$11,$J$9,FALSE)&amp;AE$7,COM_N_2012!$B$58:$AJ$58,0),FALSE),"")</f>
        <v/>
      </c>
      <c r="AF119" s="391" t="str">
        <f ca="1">IFERROR(VLOOKUP($C119,COM_N_2012!$B$62:$AJ$122,MATCH(VLOOKUP("*"&amp;$AW119,$A$10:$J$11,$J$9,FALSE)&amp;AF$7,COM_N_2012!$B$58:$AJ$58,0),FALSE),"")</f>
        <v/>
      </c>
      <c r="AG119" s="391">
        <f ca="1">IF($A119="*","",IFERROR(VLOOKUP($C119,COM_N_2017!$B$61:$AJ$122,MATCH(VLOOKUP("*"&amp;$AW119,$A$10:$J$11,$J$9,FALSE)&amp;AG$7,COM_N_2017!$B$58:$AJ$58,0),FALSE),""))</f>
        <v>6.6008414359495426E-3</v>
      </c>
      <c r="AH119" s="391" t="str">
        <f ca="1">IFERROR(VLOOKUP($C119,COM_N_2012!$B$62:$AJ$122,MATCH(VLOOKUP("*"&amp;$AW119,$A$10:$J$11,$J$9,FALSE)&amp;AH$7,COM_N_2012!$B$58:$AJ$58,0),FALSE),"")</f>
        <v/>
      </c>
      <c r="AI119" s="391" t="str">
        <f ca="1">IFERROR(VLOOKUP($C119,COM_N_2012!$B$62:$AJ$122,MATCH(VLOOKUP("*"&amp;$AW119,$A$10:$J$11,$J$9,FALSE)&amp;AI$7,COM_N_2012!$B$58:$AJ$58,0),FALSE),"")</f>
        <v/>
      </c>
      <c r="AJ119" s="391" t="str">
        <f ca="1">IFERROR(VLOOKUP($C119,COM_N_2012!$B$62:$AJ$122,MATCH(VLOOKUP("*"&amp;$AW119,$A$10:$J$11,$J$9,FALSE)&amp;AJ$7,COM_N_2012!$B$58:$AJ$58,0),FALSE),"")</f>
        <v/>
      </c>
      <c r="AK119" s="391" t="str">
        <f ca="1">IFERROR(VLOOKUP($C119,COM_N_2012!$B$62:$AJ$122,MATCH(VLOOKUP("*"&amp;$AW119,$A$10:$J$11,$J$9,FALSE)&amp;AK$7,COM_N_2012!$B$58:$AJ$58,0),FALSE),"")</f>
        <v/>
      </c>
      <c r="AL119" s="391">
        <f ca="1">IF($A119="*","",IFERROR(VLOOKUP($C119,COM_N_2017!$B$61:$AJ$122,MATCH(VLOOKUP("*"&amp;$AW119,$A$10:$J$11,$J$9,FALSE)&amp;AL$7,COM_N_2017!$B$58:$AJ$58,0),FALSE),""))</f>
        <v>3.9605048615697254E-3</v>
      </c>
      <c r="AM119" s="391">
        <f ca="1">IF($A119="*","",IFERROR(VLOOKUP($C119,COM_N_2017!$B$61:$AJ$122,MATCH(VLOOKUP("*"&amp;$AW119,$A$10:$J$11,$J$9,FALSE)&amp;AM$7,COM_N_2017!$B$58:$AJ$58,0),FALSE),""))</f>
        <v>1.3201682871899086E-3</v>
      </c>
      <c r="AN119" s="391">
        <f ca="1">IF($A119="*","",IFERROR(VLOOKUP($C119,COM_N_2017!$B$61:$AJ$122,MATCH(VLOOKUP("*"&amp;$AW119,$A$10:$J$11,$J$9,FALSE)&amp;AN$7,COM_N_2017!$B$58:$AJ$58,0),FALSE),""))</f>
        <v>0</v>
      </c>
      <c r="AO119" s="391" t="str">
        <f ca="1">IFERROR(VLOOKUP($C119,COM_N_2012!$B$62:$AJ$122,MATCH(VLOOKUP("*"&amp;$AW119,$A$10:$J$11,$J$9,FALSE)&amp;AO$7,COM_N_2012!$B$58:$AJ$58,0),FALSE),"")</f>
        <v/>
      </c>
      <c r="AP119" s="391" t="str">
        <f ca="1">IFERROR(VLOOKUP($C119,COM_N_2012!$B$62:$AJ$122,MATCH(VLOOKUP("*"&amp;$AW119,$A$10:$J$11,$J$9,FALSE)&amp;AP$7,COM_N_2012!$B$58:$AJ$58,0),FALSE),"")</f>
        <v/>
      </c>
      <c r="AQ119" s="391" t="str">
        <f ca="1">IFERROR(VLOOKUP($C119,COM_N_2012!$B$62:$AJ$122,MATCH(VLOOKUP("*"&amp;$AW119,$A$10:$J$11,$J$9,FALSE)&amp;AQ$7,COM_N_2012!$B$58:$AJ$58,0),FALSE),"")</f>
        <v/>
      </c>
      <c r="AR119" s="391" t="str">
        <f ca="1">IFERROR(VLOOKUP($C119,COM_N_2012!$B$62:$AJ$122,MATCH(VLOOKUP("*"&amp;$AW119,$A$10:$J$11,$J$9,FALSE)&amp;AR$7,COM_N_2012!$B$58:$AJ$58,0),FALSE),"")</f>
        <v/>
      </c>
      <c r="AS119" s="391" t="str">
        <f ca="1">IFERROR(VLOOKUP($C119,COM_N_2012!$B$62:$AJ$122,MATCH(VLOOKUP("*"&amp;$AW119,$A$10:$J$11,$J$9,FALSE)&amp;AS$7,COM_N_2012!$B$58:$AJ$58,0),FALSE),"")</f>
        <v/>
      </c>
      <c r="AT119" s="391" t="str">
        <f ca="1">IFERROR(VLOOKUP($C119,COM_N_2012!$B$62:$AJ$122,MATCH(VLOOKUP("*"&amp;$AW119,$A$10:$J$11,$J$9,FALSE)&amp;AT$7,COM_N_2012!$B$58:$AJ$58,0),FALSE),"")</f>
        <v/>
      </c>
      <c r="AU119" s="391" t="str">
        <f ca="1">IFERROR(VLOOKUP($C119,COM_N_2012!$B$62:$AJ$122,MATCH(VLOOKUP("*"&amp;$AW119,$A$10:$J$11,$J$9,FALSE)&amp;AU$7,COM_N_2012!$B$58:$AJ$58,0),FALSE),"")</f>
        <v/>
      </c>
      <c r="AV119" s="369"/>
      <c r="AW119" s="304">
        <f>IF(AX118=COM_N_2012!$AK$121,AW118+1,AW118)</f>
        <v>2</v>
      </c>
      <c r="AX119" s="304">
        <f t="shared" ref="AX119:AX124" si="31">IF(AW119=AW118,AX118+1,1)</f>
        <v>46</v>
      </c>
    </row>
    <row r="120" spans="1:50">
      <c r="A120" s="304" t="str">
        <f ca="1">IF(LEFT(OFFSET(COM_N_2012!$A$60,AX120,0),2)="\I","*","")</f>
        <v/>
      </c>
      <c r="B120" s="369" t="str">
        <f t="shared" ca="1" si="29"/>
        <v>FLO_MRKPRD</v>
      </c>
      <c r="C120" s="369" t="str">
        <f ca="1">IF($A120="*","",OFFSET(COM_N_2012!$B$60,AX120,0))</f>
        <v>CNGELCLED-N</v>
      </c>
      <c r="D120" s="369" t="str">
        <f t="shared" ca="1" si="30"/>
        <v>CNG</v>
      </c>
      <c r="E120" s="369" t="str">
        <f t="shared" ca="1" si="27"/>
        <v>-</v>
      </c>
      <c r="F120" s="370" t="str">
        <f t="shared" ca="1" si="22"/>
        <v>-</v>
      </c>
      <c r="G120" s="370" t="str">
        <f t="shared" ca="1" si="22"/>
        <v>ANNUAL</v>
      </c>
      <c r="H120" s="370" t="str">
        <f t="shared" ca="1" si="28"/>
        <v>LO</v>
      </c>
      <c r="I120" s="370">
        <f t="shared" ca="1" si="28"/>
        <v>0</v>
      </c>
      <c r="J120" s="391">
        <f ca="1">IFERROR(VLOOKUP($C120,COM_N_2012!$B$61:$AJ$122,MATCH(VLOOKUP("*"&amp;$AW120,$A$10:$J$11,$J$9,FALSE)&amp;J$7,COM_N_2012!$B$58:$AJ$58,0),FALSE),"")</f>
        <v>0</v>
      </c>
      <c r="K120" s="391" t="str">
        <f ca="1">IFERROR(VLOOKUP($C120,COM_N_2012!$B$62:$AJ$122,MATCH(VLOOKUP("*"&amp;$AW120,$A$10:$J$11,$J$9,FALSE)&amp;K$7,COM_N_2012!$B$58:$AJ$58,0),FALSE),"")</f>
        <v/>
      </c>
      <c r="L120" s="391" t="str">
        <f ca="1">IFERROR(VLOOKUP($C120,COM_N_2012!$B$62:$AJ$122,MATCH(VLOOKUP("*"&amp;$AW120,$A$10:$J$11,$J$9,FALSE)&amp;L$7,COM_N_2012!$B$58:$AJ$58,0),FALSE),"")</f>
        <v/>
      </c>
      <c r="M120" s="391">
        <f ca="1">IFERROR(VLOOKUP($C120,COM_N_2012!$B$62:$AJ$122,MATCH(VLOOKUP("*"&amp;$AW120,$A$10:$J$11,$J$9,FALSE)&amp;M$7,COM_N_2012!$B$58:$AJ$58,0),FALSE),"")</f>
        <v>0</v>
      </c>
      <c r="N120" s="391" t="str">
        <f ca="1">IFERROR(VLOOKUP($C120,COM_N_2012!$B$62:$AJ$122,MATCH(VLOOKUP("*"&amp;$AW120,$A$10:$J$11,$J$9,FALSE)&amp;N$7,COM_N_2012!$B$58:$AJ$58,0),FALSE),"")</f>
        <v/>
      </c>
      <c r="O120" s="391">
        <f ca="1">IF($A120="*","",IFERROR(VLOOKUP($C120,COM_N_2017!$B$61:$AJ$122,MATCH(VLOOKUP("*"&amp;$AW120,$A$10:$J$11,$J$9,FALSE)&amp;O$7,COM_N_2017!$B$58:$AJ$58,0),FALSE),""))</f>
        <v>0</v>
      </c>
      <c r="P120" s="391" t="str">
        <f ca="1">IFERROR(VLOOKUP($C120,COM_N_2012!$B$62:$AJ$122,MATCH(VLOOKUP("*"&amp;$AW120,$A$10:$J$11,$J$9,FALSE)&amp;P$7,COM_N_2012!$B$58:$AJ$58,0),FALSE),"")</f>
        <v/>
      </c>
      <c r="Q120" s="391" t="str">
        <f ca="1">IFERROR(VLOOKUP($C120,COM_N_2012!$B$62:$AJ$122,MATCH(VLOOKUP("*"&amp;$AW120,$A$10:$J$11,$J$9,FALSE)&amp;Q$7,COM_N_2012!$B$58:$AJ$58,0),FALSE),"")</f>
        <v/>
      </c>
      <c r="R120" s="391">
        <f ca="1">IF($A120="*","",IFERROR(VLOOKUP($C120,COM_N_2017!$B$61:$AJ$122,MATCH(VLOOKUP("*"&amp;$AW120,$A$10:$J$11,$J$9,FALSE)&amp;R$7,COM_N_2017!$B$58:$AJ$58,0),FALSE),""))</f>
        <v>0</v>
      </c>
      <c r="S120" s="391" t="str">
        <f ca="1">IFERROR(VLOOKUP($C120,COM_N_2012!$B$62:$AJ$122,MATCH(VLOOKUP("*"&amp;$AW120,$A$10:$J$11,$J$9,FALSE)&amp;S$7,COM_N_2012!$B$58:$AJ$58,0),FALSE),"")</f>
        <v/>
      </c>
      <c r="T120" s="391" t="str">
        <f ca="1">IFERROR(VLOOKUP($C120,COM_N_2012!$B$62:$AJ$122,MATCH(VLOOKUP("*"&amp;$AW120,$A$10:$J$11,$J$9,FALSE)&amp;T$7,COM_N_2012!$B$58:$AJ$58,0),FALSE),"")</f>
        <v/>
      </c>
      <c r="U120" s="391" t="str">
        <f ca="1">IFERROR(VLOOKUP($C120,COM_N_2012!$B$62:$AJ$122,MATCH(VLOOKUP("*"&amp;$AW120,$A$10:$J$11,$J$9,FALSE)&amp;U$7,COM_N_2012!$B$58:$AJ$58,0),FALSE),"")</f>
        <v/>
      </c>
      <c r="V120" s="391" t="str">
        <f ca="1">IFERROR(VLOOKUP($C120,COM_N_2012!$B$62:$AJ$122,MATCH(VLOOKUP("*"&amp;$AW120,$A$10:$J$11,$J$9,FALSE)&amp;V$7,COM_N_2012!$B$58:$AJ$58,0),FALSE),"")</f>
        <v/>
      </c>
      <c r="W120" s="391">
        <f ca="1">IF($A120="*","",IFERROR(VLOOKUP($C120,COM_N_2017!$B$61:$AJ$122,MATCH(VLOOKUP("*"&amp;$AW120,$A$10:$J$11,$J$9,FALSE)&amp;W$7,COM_N_2017!$B$58:$AJ$58,0),FALSE),""))</f>
        <v>0</v>
      </c>
      <c r="X120" s="391" t="str">
        <f ca="1">IFERROR(VLOOKUP($C120,COM_N_2012!$B$62:$AJ$122,MATCH(VLOOKUP("*"&amp;$AW120,$A$10:$J$11,$J$9,FALSE)&amp;X$7,COM_N_2012!$B$58:$AJ$58,0),FALSE),"")</f>
        <v/>
      </c>
      <c r="Y120" s="391" t="str">
        <f ca="1">IFERROR(VLOOKUP($C120,COM_N_2012!$B$62:$AJ$122,MATCH(VLOOKUP("*"&amp;$AW120,$A$10:$J$11,$J$9,FALSE)&amp;Y$7,COM_N_2012!$B$58:$AJ$58,0),FALSE),"")</f>
        <v/>
      </c>
      <c r="Z120" s="391" t="str">
        <f ca="1">IFERROR(VLOOKUP($C120,COM_N_2012!$B$62:$AJ$122,MATCH(VLOOKUP("*"&amp;$AW120,$A$10:$J$11,$J$9,FALSE)&amp;Z$7,COM_N_2012!$B$58:$AJ$58,0),FALSE),"")</f>
        <v/>
      </c>
      <c r="AA120" s="391" t="str">
        <f ca="1">IFERROR(VLOOKUP($C120,COM_N_2012!$B$62:$AJ$122,MATCH(VLOOKUP("*"&amp;$AW120,$A$10:$J$11,$J$9,FALSE)&amp;AA$7,COM_N_2012!$B$58:$AJ$58,0),FALSE),"")</f>
        <v/>
      </c>
      <c r="AB120" s="391">
        <f ca="1">IF($A120="*","",IFERROR(VLOOKUP($C120,COM_N_2017!$B$61:$AJ$122,MATCH(VLOOKUP("*"&amp;$AW120,$A$10:$J$11,$J$9,FALSE)&amp;AB$7,COM_N_2017!$B$58:$AJ$58,0),FALSE),""))</f>
        <v>0</v>
      </c>
      <c r="AC120" s="391" t="str">
        <f ca="1">IFERROR(VLOOKUP($C120,COM_N_2012!$B$62:$AJ$122,MATCH(VLOOKUP("*"&amp;$AW120,$A$10:$J$11,$J$9,FALSE)&amp;AC$7,COM_N_2012!$B$58:$AJ$58,0),FALSE),"")</f>
        <v/>
      </c>
      <c r="AD120" s="391" t="str">
        <f ca="1">IFERROR(VLOOKUP($C120,COM_N_2012!$B$62:$AJ$122,MATCH(VLOOKUP("*"&amp;$AW120,$A$10:$J$11,$J$9,FALSE)&amp;AD$7,COM_N_2012!$B$58:$AJ$58,0),FALSE),"")</f>
        <v/>
      </c>
      <c r="AE120" s="391" t="str">
        <f ca="1">IFERROR(VLOOKUP($C120,COM_N_2012!$B$62:$AJ$122,MATCH(VLOOKUP("*"&amp;$AW120,$A$10:$J$11,$J$9,FALSE)&amp;AE$7,COM_N_2012!$B$58:$AJ$58,0),FALSE),"")</f>
        <v/>
      </c>
      <c r="AF120" s="391" t="str">
        <f ca="1">IFERROR(VLOOKUP($C120,COM_N_2012!$B$62:$AJ$122,MATCH(VLOOKUP("*"&amp;$AW120,$A$10:$J$11,$J$9,FALSE)&amp;AF$7,COM_N_2012!$B$58:$AJ$58,0),FALSE),"")</f>
        <v/>
      </c>
      <c r="AG120" s="391">
        <f ca="1">IF($A120="*","",IFERROR(VLOOKUP($C120,COM_N_2017!$B$61:$AJ$122,MATCH(VLOOKUP("*"&amp;$AW120,$A$10:$J$11,$J$9,FALSE)&amp;AG$7,COM_N_2017!$B$58:$AJ$58,0),FALSE),""))</f>
        <v>0</v>
      </c>
      <c r="AH120" s="391" t="str">
        <f ca="1">IFERROR(VLOOKUP($C120,COM_N_2012!$B$62:$AJ$122,MATCH(VLOOKUP("*"&amp;$AW120,$A$10:$J$11,$J$9,FALSE)&amp;AH$7,COM_N_2012!$B$58:$AJ$58,0),FALSE),"")</f>
        <v/>
      </c>
      <c r="AI120" s="391" t="str">
        <f ca="1">IFERROR(VLOOKUP($C120,COM_N_2012!$B$62:$AJ$122,MATCH(VLOOKUP("*"&amp;$AW120,$A$10:$J$11,$J$9,FALSE)&amp;AI$7,COM_N_2012!$B$58:$AJ$58,0),FALSE),"")</f>
        <v/>
      </c>
      <c r="AJ120" s="391" t="str">
        <f ca="1">IFERROR(VLOOKUP($C120,COM_N_2012!$B$62:$AJ$122,MATCH(VLOOKUP("*"&amp;$AW120,$A$10:$J$11,$J$9,FALSE)&amp;AJ$7,COM_N_2012!$B$58:$AJ$58,0),FALSE),"")</f>
        <v/>
      </c>
      <c r="AK120" s="391" t="str">
        <f ca="1">IFERROR(VLOOKUP($C120,COM_N_2012!$B$62:$AJ$122,MATCH(VLOOKUP("*"&amp;$AW120,$A$10:$J$11,$J$9,FALSE)&amp;AK$7,COM_N_2012!$B$58:$AJ$58,0),FALSE),"")</f>
        <v/>
      </c>
      <c r="AL120" s="391">
        <f ca="1">IF($A120="*","",IFERROR(VLOOKUP($C120,COM_N_2017!$B$61:$AJ$122,MATCH(VLOOKUP("*"&amp;$AW120,$A$10:$J$11,$J$9,FALSE)&amp;AL$7,COM_N_2017!$B$58:$AJ$58,0),FALSE),""))</f>
        <v>0</v>
      </c>
      <c r="AM120" s="391">
        <f ca="1">IF($A120="*","",IFERROR(VLOOKUP($C120,COM_N_2017!$B$61:$AJ$122,MATCH(VLOOKUP("*"&amp;$AW120,$A$10:$J$11,$J$9,FALSE)&amp;AM$7,COM_N_2017!$B$58:$AJ$58,0),FALSE),""))</f>
        <v>0</v>
      </c>
      <c r="AN120" s="391">
        <f ca="1">IF($A120="*","",IFERROR(VLOOKUP($C120,COM_N_2017!$B$61:$AJ$122,MATCH(VLOOKUP("*"&amp;$AW120,$A$10:$J$11,$J$9,FALSE)&amp;AN$7,COM_N_2017!$B$58:$AJ$58,0),FALSE),""))</f>
        <v>0</v>
      </c>
      <c r="AO120" s="391" t="str">
        <f ca="1">IFERROR(VLOOKUP($C120,COM_N_2012!$B$62:$AJ$122,MATCH(VLOOKUP("*"&amp;$AW120,$A$10:$J$11,$J$9,FALSE)&amp;AO$7,COM_N_2012!$B$58:$AJ$58,0),FALSE),"")</f>
        <v/>
      </c>
      <c r="AP120" s="391" t="str">
        <f ca="1">IFERROR(VLOOKUP($C120,COM_N_2012!$B$62:$AJ$122,MATCH(VLOOKUP("*"&amp;$AW120,$A$10:$J$11,$J$9,FALSE)&amp;AP$7,COM_N_2012!$B$58:$AJ$58,0),FALSE),"")</f>
        <v/>
      </c>
      <c r="AQ120" s="391" t="str">
        <f ca="1">IFERROR(VLOOKUP($C120,COM_N_2012!$B$62:$AJ$122,MATCH(VLOOKUP("*"&amp;$AW120,$A$10:$J$11,$J$9,FALSE)&amp;AQ$7,COM_N_2012!$B$58:$AJ$58,0),FALSE),"")</f>
        <v/>
      </c>
      <c r="AR120" s="391" t="str">
        <f ca="1">IFERROR(VLOOKUP($C120,COM_N_2012!$B$62:$AJ$122,MATCH(VLOOKUP("*"&amp;$AW120,$A$10:$J$11,$J$9,FALSE)&amp;AR$7,COM_N_2012!$B$58:$AJ$58,0),FALSE),"")</f>
        <v/>
      </c>
      <c r="AS120" s="391" t="str">
        <f ca="1">IFERROR(VLOOKUP($C120,COM_N_2012!$B$62:$AJ$122,MATCH(VLOOKUP("*"&amp;$AW120,$A$10:$J$11,$J$9,FALSE)&amp;AS$7,COM_N_2012!$B$58:$AJ$58,0),FALSE),"")</f>
        <v/>
      </c>
      <c r="AT120" s="391" t="str">
        <f ca="1">IFERROR(VLOOKUP($C120,COM_N_2012!$B$62:$AJ$122,MATCH(VLOOKUP("*"&amp;$AW120,$A$10:$J$11,$J$9,FALSE)&amp;AT$7,COM_N_2012!$B$58:$AJ$58,0),FALSE),"")</f>
        <v/>
      </c>
      <c r="AU120" s="391" t="str">
        <f ca="1">IFERROR(VLOOKUP($C120,COM_N_2012!$B$62:$AJ$122,MATCH(VLOOKUP("*"&amp;$AW120,$A$10:$J$11,$J$9,FALSE)&amp;AU$7,COM_N_2012!$B$58:$AJ$58,0),FALSE),"")</f>
        <v/>
      </c>
      <c r="AV120" s="369"/>
      <c r="AW120" s="304">
        <f>IF(AX119=COM_N_2012!$AK$121,AW119+1,AW119)</f>
        <v>2</v>
      </c>
      <c r="AX120" s="304">
        <f t="shared" si="31"/>
        <v>47</v>
      </c>
    </row>
    <row r="121" spans="1:50">
      <c r="A121" s="304" t="str">
        <f ca="1">IF(LEFT(OFFSET(COM_N_2012!$A$60,AX121,0),2)="\I","*","")</f>
        <v>*</v>
      </c>
      <c r="B121" s="369" t="str">
        <f t="shared" ca="1" si="29"/>
        <v/>
      </c>
      <c r="C121" s="369" t="str">
        <f ca="1">IF($A121="*","",OFFSET(COM_N_2012!$B$60,AX121,0))</f>
        <v/>
      </c>
      <c r="D121" s="369" t="str">
        <f t="shared" ca="1" si="30"/>
        <v/>
      </c>
      <c r="E121" s="369" t="str">
        <f t="shared" ca="1" si="27"/>
        <v/>
      </c>
      <c r="F121" s="370" t="str">
        <f t="shared" ca="1" si="22"/>
        <v/>
      </c>
      <c r="G121" s="370" t="str">
        <f t="shared" ca="1" si="22"/>
        <v/>
      </c>
      <c r="H121" s="370" t="str">
        <f t="shared" ca="1" si="28"/>
        <v/>
      </c>
      <c r="I121" s="370" t="str">
        <f t="shared" ca="1" si="28"/>
        <v/>
      </c>
      <c r="J121" s="391" t="str">
        <f ca="1">IFERROR(VLOOKUP($C121,COM_N_2012!$B$61:$AJ$122,MATCH(VLOOKUP("*"&amp;$AW121,$A$10:$J$11,$J$9,FALSE)&amp;J$7,COM_N_2012!$B$58:$AJ$58,0),FALSE),"")</f>
        <v/>
      </c>
      <c r="K121" s="391" t="str">
        <f ca="1">IFERROR(VLOOKUP($C121,COM_N_2012!$B$62:$AJ$122,MATCH(VLOOKUP("*"&amp;$AW121,$A$10:$J$11,$J$9,FALSE)&amp;K$7,COM_N_2012!$B$58:$AJ$58,0),FALSE),"")</f>
        <v/>
      </c>
      <c r="L121" s="391" t="str">
        <f ca="1">IFERROR(VLOOKUP($C121,COM_N_2012!$B$62:$AJ$122,MATCH(VLOOKUP("*"&amp;$AW121,$A$10:$J$11,$J$9,FALSE)&amp;L$7,COM_N_2012!$B$58:$AJ$58,0),FALSE),"")</f>
        <v/>
      </c>
      <c r="M121" s="391" t="str">
        <f ca="1">IFERROR(VLOOKUP($C121,COM_N_2012!$B$62:$AJ$122,MATCH(VLOOKUP("*"&amp;$AW121,$A$10:$J$11,$J$9,FALSE)&amp;M$7,COM_N_2012!$B$58:$AJ$58,0),FALSE),"")</f>
        <v/>
      </c>
      <c r="N121" s="391" t="str">
        <f ca="1">IFERROR(VLOOKUP($C121,COM_N_2012!$B$62:$AJ$122,MATCH(VLOOKUP("*"&amp;$AW121,$A$10:$J$11,$J$9,FALSE)&amp;N$7,COM_N_2012!$B$58:$AJ$58,0),FALSE),"")</f>
        <v/>
      </c>
      <c r="O121" s="391" t="str">
        <f ca="1">IF($A121="*","",IFERROR(VLOOKUP($C121,COM_N_2017!$B$61:$AJ$122,MATCH(VLOOKUP("*"&amp;$AW121,$A$10:$J$11,$J$9,FALSE)&amp;O$7,COM_N_2017!$B$58:$AJ$58,0),FALSE),""))</f>
        <v/>
      </c>
      <c r="P121" s="391" t="str">
        <f ca="1">IFERROR(VLOOKUP($C121,COM_N_2012!$B$62:$AJ$122,MATCH(VLOOKUP("*"&amp;$AW121,$A$10:$J$11,$J$9,FALSE)&amp;P$7,COM_N_2012!$B$58:$AJ$58,0),FALSE),"")</f>
        <v/>
      </c>
      <c r="Q121" s="391" t="str">
        <f ca="1">IFERROR(VLOOKUP($C121,COM_N_2012!$B$62:$AJ$122,MATCH(VLOOKUP("*"&amp;$AW121,$A$10:$J$11,$J$9,FALSE)&amp;Q$7,COM_N_2012!$B$58:$AJ$58,0),FALSE),"")</f>
        <v/>
      </c>
      <c r="R121" s="391" t="str">
        <f ca="1">IF($A121="*","",IFERROR(VLOOKUP($C121,COM_N_2017!$B$61:$AJ$122,MATCH(VLOOKUP("*"&amp;$AW121,$A$10:$J$11,$J$9,FALSE)&amp;R$7,COM_N_2017!$B$58:$AJ$58,0),FALSE),""))</f>
        <v/>
      </c>
      <c r="S121" s="391" t="str">
        <f ca="1">IFERROR(VLOOKUP($C121,COM_N_2012!$B$62:$AJ$122,MATCH(VLOOKUP("*"&amp;$AW121,$A$10:$J$11,$J$9,FALSE)&amp;S$7,COM_N_2012!$B$58:$AJ$58,0),FALSE),"")</f>
        <v/>
      </c>
      <c r="T121" s="391" t="str">
        <f ca="1">IFERROR(VLOOKUP($C121,COM_N_2012!$B$62:$AJ$122,MATCH(VLOOKUP("*"&amp;$AW121,$A$10:$J$11,$J$9,FALSE)&amp;T$7,COM_N_2012!$B$58:$AJ$58,0),FALSE),"")</f>
        <v/>
      </c>
      <c r="U121" s="391" t="str">
        <f ca="1">IFERROR(VLOOKUP($C121,COM_N_2012!$B$62:$AJ$122,MATCH(VLOOKUP("*"&amp;$AW121,$A$10:$J$11,$J$9,FALSE)&amp;U$7,COM_N_2012!$B$58:$AJ$58,0),FALSE),"")</f>
        <v/>
      </c>
      <c r="V121" s="391" t="str">
        <f ca="1">IFERROR(VLOOKUP($C121,COM_N_2012!$B$62:$AJ$122,MATCH(VLOOKUP("*"&amp;$AW121,$A$10:$J$11,$J$9,FALSE)&amp;V$7,COM_N_2012!$B$58:$AJ$58,0),FALSE),"")</f>
        <v/>
      </c>
      <c r="W121" s="391" t="str">
        <f ca="1">IF($A121="*","",IFERROR(VLOOKUP($C121,COM_N_2017!$B$61:$AJ$122,MATCH(VLOOKUP("*"&amp;$AW121,$A$10:$J$11,$J$9,FALSE)&amp;W$7,COM_N_2017!$B$58:$AJ$58,0),FALSE),""))</f>
        <v/>
      </c>
      <c r="X121" s="391" t="str">
        <f ca="1">IFERROR(VLOOKUP($C121,COM_N_2012!$B$62:$AJ$122,MATCH(VLOOKUP("*"&amp;$AW121,$A$10:$J$11,$J$9,FALSE)&amp;X$7,COM_N_2012!$B$58:$AJ$58,0),FALSE),"")</f>
        <v/>
      </c>
      <c r="Y121" s="391" t="str">
        <f ca="1">IFERROR(VLOOKUP($C121,COM_N_2012!$B$62:$AJ$122,MATCH(VLOOKUP("*"&amp;$AW121,$A$10:$J$11,$J$9,FALSE)&amp;Y$7,COM_N_2012!$B$58:$AJ$58,0),FALSE),"")</f>
        <v/>
      </c>
      <c r="Z121" s="391" t="str">
        <f ca="1">IFERROR(VLOOKUP($C121,COM_N_2012!$B$62:$AJ$122,MATCH(VLOOKUP("*"&amp;$AW121,$A$10:$J$11,$J$9,FALSE)&amp;Z$7,COM_N_2012!$B$58:$AJ$58,0),FALSE),"")</f>
        <v/>
      </c>
      <c r="AA121" s="391" t="str">
        <f ca="1">IFERROR(VLOOKUP($C121,COM_N_2012!$B$62:$AJ$122,MATCH(VLOOKUP("*"&amp;$AW121,$A$10:$J$11,$J$9,FALSE)&amp;AA$7,COM_N_2012!$B$58:$AJ$58,0),FALSE),"")</f>
        <v/>
      </c>
      <c r="AB121" s="391" t="str">
        <f ca="1">IF($A121="*","",IFERROR(VLOOKUP($C121,COM_N_2017!$B$61:$AJ$122,MATCH(VLOOKUP("*"&amp;$AW121,$A$10:$J$11,$J$9,FALSE)&amp;AB$7,COM_N_2017!$B$58:$AJ$58,0),FALSE),""))</f>
        <v/>
      </c>
      <c r="AC121" s="391" t="str">
        <f ca="1">IFERROR(VLOOKUP($C121,COM_N_2012!$B$62:$AJ$122,MATCH(VLOOKUP("*"&amp;$AW121,$A$10:$J$11,$J$9,FALSE)&amp;AC$7,COM_N_2012!$B$58:$AJ$58,0),FALSE),"")</f>
        <v/>
      </c>
      <c r="AD121" s="391" t="str">
        <f ca="1">IFERROR(VLOOKUP($C121,COM_N_2012!$B$62:$AJ$122,MATCH(VLOOKUP("*"&amp;$AW121,$A$10:$J$11,$J$9,FALSE)&amp;AD$7,COM_N_2012!$B$58:$AJ$58,0),FALSE),"")</f>
        <v/>
      </c>
      <c r="AE121" s="391" t="str">
        <f ca="1">IFERROR(VLOOKUP($C121,COM_N_2012!$B$62:$AJ$122,MATCH(VLOOKUP("*"&amp;$AW121,$A$10:$J$11,$J$9,FALSE)&amp;AE$7,COM_N_2012!$B$58:$AJ$58,0),FALSE),"")</f>
        <v/>
      </c>
      <c r="AF121" s="391" t="str">
        <f ca="1">IFERROR(VLOOKUP($C121,COM_N_2012!$B$62:$AJ$122,MATCH(VLOOKUP("*"&amp;$AW121,$A$10:$J$11,$J$9,FALSE)&amp;AF$7,COM_N_2012!$B$58:$AJ$58,0),FALSE),"")</f>
        <v/>
      </c>
      <c r="AG121" s="391" t="str">
        <f ca="1">IF($A121="*","",IFERROR(VLOOKUP($C121,COM_N_2017!$B$61:$AJ$122,MATCH(VLOOKUP("*"&amp;$AW121,$A$10:$J$11,$J$9,FALSE)&amp;AG$7,COM_N_2017!$B$58:$AJ$58,0),FALSE),""))</f>
        <v/>
      </c>
      <c r="AH121" s="391" t="str">
        <f ca="1">IFERROR(VLOOKUP($C121,COM_N_2012!$B$62:$AJ$122,MATCH(VLOOKUP("*"&amp;$AW121,$A$10:$J$11,$J$9,FALSE)&amp;AH$7,COM_N_2012!$B$58:$AJ$58,0),FALSE),"")</f>
        <v/>
      </c>
      <c r="AI121" s="391" t="str">
        <f ca="1">IFERROR(VLOOKUP($C121,COM_N_2012!$B$62:$AJ$122,MATCH(VLOOKUP("*"&amp;$AW121,$A$10:$J$11,$J$9,FALSE)&amp;AI$7,COM_N_2012!$B$58:$AJ$58,0),FALSE),"")</f>
        <v/>
      </c>
      <c r="AJ121" s="391" t="str">
        <f ca="1">IFERROR(VLOOKUP($C121,COM_N_2012!$B$62:$AJ$122,MATCH(VLOOKUP("*"&amp;$AW121,$A$10:$J$11,$J$9,FALSE)&amp;AJ$7,COM_N_2012!$B$58:$AJ$58,0),FALSE),"")</f>
        <v/>
      </c>
      <c r="AK121" s="391" t="str">
        <f ca="1">IFERROR(VLOOKUP($C121,COM_N_2012!$B$62:$AJ$122,MATCH(VLOOKUP("*"&amp;$AW121,$A$10:$J$11,$J$9,FALSE)&amp;AK$7,COM_N_2012!$B$58:$AJ$58,0),FALSE),"")</f>
        <v/>
      </c>
      <c r="AL121" s="391" t="str">
        <f ca="1">IF($A121="*","",IFERROR(VLOOKUP($C121,COM_N_2017!$B$61:$AJ$122,MATCH(VLOOKUP("*"&amp;$AW121,$A$10:$J$11,$J$9,FALSE)&amp;AL$7,COM_N_2017!$B$58:$AJ$58,0),FALSE),""))</f>
        <v/>
      </c>
      <c r="AM121" s="391" t="str">
        <f ca="1">IF($A121="*","",IFERROR(VLOOKUP($C121,COM_N_2017!$B$61:$AJ$122,MATCH(VLOOKUP("*"&amp;$AW121,$A$10:$J$11,$J$9,FALSE)&amp;AM$7,COM_N_2017!$B$58:$AJ$58,0),FALSE),""))</f>
        <v/>
      </c>
      <c r="AN121" s="391" t="str">
        <f ca="1">IF($A121="*","",IFERROR(VLOOKUP($C121,COM_N_2017!$B$61:$AJ$122,MATCH(VLOOKUP("*"&amp;$AW121,$A$10:$J$11,$J$9,FALSE)&amp;AN$7,COM_N_2017!$B$58:$AJ$58,0),FALSE),""))</f>
        <v/>
      </c>
      <c r="AO121" s="391" t="str">
        <f ca="1">IFERROR(VLOOKUP($C121,COM_N_2012!$B$62:$AJ$122,MATCH(VLOOKUP("*"&amp;$AW121,$A$10:$J$11,$J$9,FALSE)&amp;AO$7,COM_N_2012!$B$58:$AJ$58,0),FALSE),"")</f>
        <v/>
      </c>
      <c r="AP121" s="391" t="str">
        <f ca="1">IFERROR(VLOOKUP($C121,COM_N_2012!$B$62:$AJ$122,MATCH(VLOOKUP("*"&amp;$AW121,$A$10:$J$11,$J$9,FALSE)&amp;AP$7,COM_N_2012!$B$58:$AJ$58,0),FALSE),"")</f>
        <v/>
      </c>
      <c r="AQ121" s="391" t="str">
        <f ca="1">IFERROR(VLOOKUP($C121,COM_N_2012!$B$62:$AJ$122,MATCH(VLOOKUP("*"&amp;$AW121,$A$10:$J$11,$J$9,FALSE)&amp;AQ$7,COM_N_2012!$B$58:$AJ$58,0),FALSE),"")</f>
        <v/>
      </c>
      <c r="AR121" s="391" t="str">
        <f ca="1">IFERROR(VLOOKUP($C121,COM_N_2012!$B$62:$AJ$122,MATCH(VLOOKUP("*"&amp;$AW121,$A$10:$J$11,$J$9,FALSE)&amp;AR$7,COM_N_2012!$B$58:$AJ$58,0),FALSE),"")</f>
        <v/>
      </c>
      <c r="AS121" s="391" t="str">
        <f ca="1">IFERROR(VLOOKUP($C121,COM_N_2012!$B$62:$AJ$122,MATCH(VLOOKUP("*"&amp;$AW121,$A$10:$J$11,$J$9,FALSE)&amp;AS$7,COM_N_2012!$B$58:$AJ$58,0),FALSE),"")</f>
        <v/>
      </c>
      <c r="AT121" s="391" t="str">
        <f ca="1">IFERROR(VLOOKUP($C121,COM_N_2012!$B$62:$AJ$122,MATCH(VLOOKUP("*"&amp;$AW121,$A$10:$J$11,$J$9,FALSE)&amp;AT$7,COM_N_2012!$B$58:$AJ$58,0),FALSE),"")</f>
        <v/>
      </c>
      <c r="AU121" s="391" t="str">
        <f ca="1">IFERROR(VLOOKUP($C121,COM_N_2012!$B$62:$AJ$122,MATCH(VLOOKUP("*"&amp;$AW121,$A$10:$J$11,$J$9,FALSE)&amp;AU$7,COM_N_2012!$B$58:$AJ$58,0),FALSE),"")</f>
        <v/>
      </c>
      <c r="AV121" s="369"/>
      <c r="AW121" s="304">
        <f>IF(AX120=COM_N_2012!$AK$121,AW120+1,AW120)</f>
        <v>2</v>
      </c>
      <c r="AX121" s="304">
        <f t="shared" si="31"/>
        <v>48</v>
      </c>
    </row>
    <row r="122" spans="1:50">
      <c r="A122" s="304" t="str">
        <f ca="1">IF(LEFT(OFFSET(COM_N_2012!$A$60,AX122,0),2)="\I","*","")</f>
        <v>*</v>
      </c>
      <c r="B122" s="369" t="str">
        <f t="shared" ca="1" si="29"/>
        <v/>
      </c>
      <c r="C122" s="369" t="str">
        <f ca="1">IF($A122="*","",OFFSET(COM_N_2012!$B$60,AX122,0))</f>
        <v/>
      </c>
      <c r="D122" s="369" t="str">
        <f t="shared" ca="1" si="30"/>
        <v/>
      </c>
      <c r="E122" s="369" t="str">
        <f t="shared" ca="1" si="27"/>
        <v/>
      </c>
      <c r="F122" s="370" t="str">
        <f t="shared" ca="1" si="22"/>
        <v/>
      </c>
      <c r="G122" s="370" t="str">
        <f t="shared" ca="1" si="22"/>
        <v/>
      </c>
      <c r="H122" s="370" t="str">
        <f t="shared" ca="1" si="28"/>
        <v/>
      </c>
      <c r="I122" s="370" t="str">
        <f t="shared" ca="1" si="28"/>
        <v/>
      </c>
      <c r="J122" s="391" t="str">
        <f ca="1">IFERROR(VLOOKUP($C122,COM_N_2012!$B$61:$AJ$122,MATCH(VLOOKUP("*"&amp;$AW122,$A$10:$J$11,$J$9,FALSE)&amp;J$7,COM_N_2012!$B$58:$AJ$58,0),FALSE),"")</f>
        <v/>
      </c>
      <c r="K122" s="391" t="str">
        <f ca="1">IFERROR(VLOOKUP($C122,COM_N_2012!$B$62:$AJ$122,MATCH(VLOOKUP("*"&amp;$AW122,$A$10:$J$11,$J$9,FALSE)&amp;K$7,COM_N_2012!$B$58:$AJ$58,0),FALSE),"")</f>
        <v/>
      </c>
      <c r="L122" s="391" t="str">
        <f ca="1">IFERROR(VLOOKUP($C122,COM_N_2012!$B$62:$AJ$122,MATCH(VLOOKUP("*"&amp;$AW122,$A$10:$J$11,$J$9,FALSE)&amp;L$7,COM_N_2012!$B$58:$AJ$58,0),FALSE),"")</f>
        <v/>
      </c>
      <c r="M122" s="391" t="str">
        <f ca="1">IFERROR(VLOOKUP($C122,COM_N_2012!$B$62:$AJ$122,MATCH(VLOOKUP("*"&amp;$AW122,$A$10:$J$11,$J$9,FALSE)&amp;M$7,COM_N_2012!$B$58:$AJ$58,0),FALSE),"")</f>
        <v/>
      </c>
      <c r="N122" s="391" t="str">
        <f ca="1">IFERROR(VLOOKUP($C122,COM_N_2012!$B$62:$AJ$122,MATCH(VLOOKUP("*"&amp;$AW122,$A$10:$J$11,$J$9,FALSE)&amp;N$7,COM_N_2012!$B$58:$AJ$58,0),FALSE),"")</f>
        <v/>
      </c>
      <c r="O122" s="391" t="str">
        <f ca="1">IF($A122="*","",IFERROR(VLOOKUP($C122,COM_N_2017!$B$61:$AJ$122,MATCH(VLOOKUP("*"&amp;$AW122,$A$10:$J$11,$J$9,FALSE)&amp;O$7,COM_N_2017!$B$58:$AJ$58,0),FALSE),""))</f>
        <v/>
      </c>
      <c r="P122" s="391" t="str">
        <f ca="1">IFERROR(VLOOKUP($C122,COM_N_2012!$B$62:$AJ$122,MATCH(VLOOKUP("*"&amp;$AW122,$A$10:$J$11,$J$9,FALSE)&amp;P$7,COM_N_2012!$B$58:$AJ$58,0),FALSE),"")</f>
        <v/>
      </c>
      <c r="Q122" s="391" t="str">
        <f ca="1">IFERROR(VLOOKUP($C122,COM_N_2012!$B$62:$AJ$122,MATCH(VLOOKUP("*"&amp;$AW122,$A$10:$J$11,$J$9,FALSE)&amp;Q$7,COM_N_2012!$B$58:$AJ$58,0),FALSE),"")</f>
        <v/>
      </c>
      <c r="R122" s="391" t="str">
        <f ca="1">IF($A122="*","",IFERROR(VLOOKUP($C122,COM_N_2017!$B$61:$AJ$122,MATCH(VLOOKUP("*"&amp;$AW122,$A$10:$J$11,$J$9,FALSE)&amp;R$7,COM_N_2017!$B$58:$AJ$58,0),FALSE),""))</f>
        <v/>
      </c>
      <c r="S122" s="391" t="str">
        <f ca="1">IFERROR(VLOOKUP($C122,COM_N_2012!$B$62:$AJ$122,MATCH(VLOOKUP("*"&amp;$AW122,$A$10:$J$11,$J$9,FALSE)&amp;S$7,COM_N_2012!$B$58:$AJ$58,0),FALSE),"")</f>
        <v/>
      </c>
      <c r="T122" s="391" t="str">
        <f ca="1">IFERROR(VLOOKUP($C122,COM_N_2012!$B$62:$AJ$122,MATCH(VLOOKUP("*"&amp;$AW122,$A$10:$J$11,$J$9,FALSE)&amp;T$7,COM_N_2012!$B$58:$AJ$58,0),FALSE),"")</f>
        <v/>
      </c>
      <c r="U122" s="391" t="str">
        <f ca="1">IFERROR(VLOOKUP($C122,COM_N_2012!$B$62:$AJ$122,MATCH(VLOOKUP("*"&amp;$AW122,$A$10:$J$11,$J$9,FALSE)&amp;U$7,COM_N_2012!$B$58:$AJ$58,0),FALSE),"")</f>
        <v/>
      </c>
      <c r="V122" s="391" t="str">
        <f ca="1">IFERROR(VLOOKUP($C122,COM_N_2012!$B$62:$AJ$122,MATCH(VLOOKUP("*"&amp;$AW122,$A$10:$J$11,$J$9,FALSE)&amp;V$7,COM_N_2012!$B$58:$AJ$58,0),FALSE),"")</f>
        <v/>
      </c>
      <c r="W122" s="391" t="str">
        <f ca="1">IF($A122="*","",IFERROR(VLOOKUP($C122,COM_N_2017!$B$61:$AJ$122,MATCH(VLOOKUP("*"&amp;$AW122,$A$10:$J$11,$J$9,FALSE)&amp;W$7,COM_N_2017!$B$58:$AJ$58,0),FALSE),""))</f>
        <v/>
      </c>
      <c r="X122" s="391" t="str">
        <f ca="1">IFERROR(VLOOKUP($C122,COM_N_2012!$B$62:$AJ$122,MATCH(VLOOKUP("*"&amp;$AW122,$A$10:$J$11,$J$9,FALSE)&amp;X$7,COM_N_2012!$B$58:$AJ$58,0),FALSE),"")</f>
        <v/>
      </c>
      <c r="Y122" s="391" t="str">
        <f ca="1">IFERROR(VLOOKUP($C122,COM_N_2012!$B$62:$AJ$122,MATCH(VLOOKUP("*"&amp;$AW122,$A$10:$J$11,$J$9,FALSE)&amp;Y$7,COM_N_2012!$B$58:$AJ$58,0),FALSE),"")</f>
        <v/>
      </c>
      <c r="Z122" s="391" t="str">
        <f ca="1">IFERROR(VLOOKUP($C122,COM_N_2012!$B$62:$AJ$122,MATCH(VLOOKUP("*"&amp;$AW122,$A$10:$J$11,$J$9,FALSE)&amp;Z$7,COM_N_2012!$B$58:$AJ$58,0),FALSE),"")</f>
        <v/>
      </c>
      <c r="AA122" s="391" t="str">
        <f ca="1">IFERROR(VLOOKUP($C122,COM_N_2012!$B$62:$AJ$122,MATCH(VLOOKUP("*"&amp;$AW122,$A$10:$J$11,$J$9,FALSE)&amp;AA$7,COM_N_2012!$B$58:$AJ$58,0),FALSE),"")</f>
        <v/>
      </c>
      <c r="AB122" s="391" t="str">
        <f ca="1">IF($A122="*","",IFERROR(VLOOKUP($C122,COM_N_2017!$B$61:$AJ$122,MATCH(VLOOKUP("*"&amp;$AW122,$A$10:$J$11,$J$9,FALSE)&amp;AB$7,COM_N_2017!$B$58:$AJ$58,0),FALSE),""))</f>
        <v/>
      </c>
      <c r="AC122" s="391" t="str">
        <f ca="1">IFERROR(VLOOKUP($C122,COM_N_2012!$B$62:$AJ$122,MATCH(VLOOKUP("*"&amp;$AW122,$A$10:$J$11,$J$9,FALSE)&amp;AC$7,COM_N_2012!$B$58:$AJ$58,0),FALSE),"")</f>
        <v/>
      </c>
      <c r="AD122" s="391" t="str">
        <f ca="1">IFERROR(VLOOKUP($C122,COM_N_2012!$B$62:$AJ$122,MATCH(VLOOKUP("*"&amp;$AW122,$A$10:$J$11,$J$9,FALSE)&amp;AD$7,COM_N_2012!$B$58:$AJ$58,0),FALSE),"")</f>
        <v/>
      </c>
      <c r="AE122" s="391" t="str">
        <f ca="1">IFERROR(VLOOKUP($C122,COM_N_2012!$B$62:$AJ$122,MATCH(VLOOKUP("*"&amp;$AW122,$A$10:$J$11,$J$9,FALSE)&amp;AE$7,COM_N_2012!$B$58:$AJ$58,0),FALSE),"")</f>
        <v/>
      </c>
      <c r="AF122" s="391" t="str">
        <f ca="1">IFERROR(VLOOKUP($C122,COM_N_2012!$B$62:$AJ$122,MATCH(VLOOKUP("*"&amp;$AW122,$A$10:$J$11,$J$9,FALSE)&amp;AF$7,COM_N_2012!$B$58:$AJ$58,0),FALSE),"")</f>
        <v/>
      </c>
      <c r="AG122" s="391" t="str">
        <f ca="1">IF($A122="*","",IFERROR(VLOOKUP($C122,COM_N_2017!$B$61:$AJ$122,MATCH(VLOOKUP("*"&amp;$AW122,$A$10:$J$11,$J$9,FALSE)&amp;AG$7,COM_N_2017!$B$58:$AJ$58,0),FALSE),""))</f>
        <v/>
      </c>
      <c r="AH122" s="391" t="str">
        <f ca="1">IFERROR(VLOOKUP($C122,COM_N_2012!$B$62:$AJ$122,MATCH(VLOOKUP("*"&amp;$AW122,$A$10:$J$11,$J$9,FALSE)&amp;AH$7,COM_N_2012!$B$58:$AJ$58,0),FALSE),"")</f>
        <v/>
      </c>
      <c r="AI122" s="391" t="str">
        <f ca="1">IFERROR(VLOOKUP($C122,COM_N_2012!$B$62:$AJ$122,MATCH(VLOOKUP("*"&amp;$AW122,$A$10:$J$11,$J$9,FALSE)&amp;AI$7,COM_N_2012!$B$58:$AJ$58,0),FALSE),"")</f>
        <v/>
      </c>
      <c r="AJ122" s="391" t="str">
        <f ca="1">IFERROR(VLOOKUP($C122,COM_N_2012!$B$62:$AJ$122,MATCH(VLOOKUP("*"&amp;$AW122,$A$10:$J$11,$J$9,FALSE)&amp;AJ$7,COM_N_2012!$B$58:$AJ$58,0),FALSE),"")</f>
        <v/>
      </c>
      <c r="AK122" s="391" t="str">
        <f ca="1">IFERROR(VLOOKUP($C122,COM_N_2012!$B$62:$AJ$122,MATCH(VLOOKUP("*"&amp;$AW122,$A$10:$J$11,$J$9,FALSE)&amp;AK$7,COM_N_2012!$B$58:$AJ$58,0),FALSE),"")</f>
        <v/>
      </c>
      <c r="AL122" s="391" t="str">
        <f ca="1">IF($A122="*","",IFERROR(VLOOKUP($C122,COM_N_2017!$B$61:$AJ$122,MATCH(VLOOKUP("*"&amp;$AW122,$A$10:$J$11,$J$9,FALSE)&amp;AL$7,COM_N_2017!$B$58:$AJ$58,0),FALSE),""))</f>
        <v/>
      </c>
      <c r="AM122" s="391" t="str">
        <f ca="1">IF($A122="*","",IFERROR(VLOOKUP($C122,COM_N_2017!$B$61:$AJ$122,MATCH(VLOOKUP("*"&amp;$AW122,$A$10:$J$11,$J$9,FALSE)&amp;AM$7,COM_N_2017!$B$58:$AJ$58,0),FALSE),""))</f>
        <v/>
      </c>
      <c r="AN122" s="391" t="str">
        <f ca="1">IF($A122="*","",IFERROR(VLOOKUP($C122,COM_N_2017!$B$61:$AJ$122,MATCH(VLOOKUP("*"&amp;$AW122,$A$10:$J$11,$J$9,FALSE)&amp;AN$7,COM_N_2017!$B$58:$AJ$58,0),FALSE),""))</f>
        <v/>
      </c>
      <c r="AO122" s="391" t="str">
        <f ca="1">IFERROR(VLOOKUP($C122,COM_N_2012!$B$62:$AJ$122,MATCH(VLOOKUP("*"&amp;$AW122,$A$10:$J$11,$J$9,FALSE)&amp;AO$7,COM_N_2012!$B$58:$AJ$58,0),FALSE),"")</f>
        <v/>
      </c>
      <c r="AP122" s="391" t="str">
        <f ca="1">IFERROR(VLOOKUP($C122,COM_N_2012!$B$62:$AJ$122,MATCH(VLOOKUP("*"&amp;$AW122,$A$10:$J$11,$J$9,FALSE)&amp;AP$7,COM_N_2012!$B$58:$AJ$58,0),FALSE),"")</f>
        <v/>
      </c>
      <c r="AQ122" s="391" t="str">
        <f ca="1">IFERROR(VLOOKUP($C122,COM_N_2012!$B$62:$AJ$122,MATCH(VLOOKUP("*"&amp;$AW122,$A$10:$J$11,$J$9,FALSE)&amp;AQ$7,COM_N_2012!$B$58:$AJ$58,0),FALSE),"")</f>
        <v/>
      </c>
      <c r="AR122" s="391" t="str">
        <f ca="1">IFERROR(VLOOKUP($C122,COM_N_2012!$B$62:$AJ$122,MATCH(VLOOKUP("*"&amp;$AW122,$A$10:$J$11,$J$9,FALSE)&amp;AR$7,COM_N_2012!$B$58:$AJ$58,0),FALSE),"")</f>
        <v/>
      </c>
      <c r="AS122" s="391" t="str">
        <f ca="1">IFERROR(VLOOKUP($C122,COM_N_2012!$B$62:$AJ$122,MATCH(VLOOKUP("*"&amp;$AW122,$A$10:$J$11,$J$9,FALSE)&amp;AS$7,COM_N_2012!$B$58:$AJ$58,0),FALSE),"")</f>
        <v/>
      </c>
      <c r="AT122" s="391" t="str">
        <f ca="1">IFERROR(VLOOKUP($C122,COM_N_2012!$B$62:$AJ$122,MATCH(VLOOKUP("*"&amp;$AW122,$A$10:$J$11,$J$9,FALSE)&amp;AT$7,COM_N_2012!$B$58:$AJ$58,0),FALSE),"")</f>
        <v/>
      </c>
      <c r="AU122" s="391" t="str">
        <f ca="1">IFERROR(VLOOKUP($C122,COM_N_2012!$B$62:$AJ$122,MATCH(VLOOKUP("*"&amp;$AW122,$A$10:$J$11,$J$9,FALSE)&amp;AU$7,COM_N_2012!$B$58:$AJ$58,0),FALSE),"")</f>
        <v/>
      </c>
      <c r="AV122" s="369"/>
      <c r="AW122" s="304">
        <f>IF(AX121=COM_N_2012!$AK$121,AW121+1,AW121)</f>
        <v>2</v>
      </c>
      <c r="AX122" s="304">
        <f t="shared" si="31"/>
        <v>49</v>
      </c>
    </row>
    <row r="123" spans="1:50">
      <c r="A123" s="304" t="str">
        <f ca="1">IF(LEFT(OFFSET(COM_N_2012!$A$60,AX123,0),2)="\I","*","")</f>
        <v/>
      </c>
      <c r="B123" s="369" t="str">
        <f t="shared" ca="1" si="29"/>
        <v>FLO_MRKPRD</v>
      </c>
      <c r="C123" s="369" t="str">
        <f ca="1">IF($A123="*","",OFFSET(COM_N_2012!$B$60,AX123,0))</f>
        <v>CNTELC-E</v>
      </c>
      <c r="D123" s="369" t="str">
        <f t="shared" ca="1" si="30"/>
        <v>CNT</v>
      </c>
      <c r="E123" s="369" t="str">
        <f t="shared" ca="1" si="27"/>
        <v>-</v>
      </c>
      <c r="F123" s="370" t="str">
        <f t="shared" ca="1" si="22"/>
        <v>-</v>
      </c>
      <c r="G123" s="370" t="str">
        <f t="shared" ca="1" si="22"/>
        <v>ANNUAL</v>
      </c>
      <c r="H123" s="370" t="str">
        <f t="shared" ca="1" si="28"/>
        <v>LO</v>
      </c>
      <c r="I123" s="370">
        <f t="shared" ca="1" si="28"/>
        <v>0</v>
      </c>
      <c r="J123" s="391">
        <f ca="1">IFERROR(VLOOKUP($C123,COM_N_2012!$B$61:$AJ$122,MATCH(VLOOKUP("*"&amp;$AW123,$A$10:$J$11,$J$9,FALSE)&amp;J$7,COM_N_2012!$B$58:$AJ$58,0),FALSE),"")</f>
        <v>0.96153846153846145</v>
      </c>
      <c r="K123" s="391" t="str">
        <f ca="1">IFERROR(VLOOKUP($C123,COM_N_2012!$B$62:$AJ$122,MATCH(VLOOKUP("*"&amp;$AW123,$A$10:$J$11,$J$9,FALSE)&amp;K$7,COM_N_2012!$B$58:$AJ$58,0),FALSE),"")</f>
        <v/>
      </c>
      <c r="L123" s="391" t="str">
        <f ca="1">IFERROR(VLOOKUP($C123,COM_N_2012!$B$62:$AJ$122,MATCH(VLOOKUP("*"&amp;$AW123,$A$10:$J$11,$J$9,FALSE)&amp;L$7,COM_N_2012!$B$58:$AJ$58,0),FALSE),"")</f>
        <v/>
      </c>
      <c r="M123" s="391">
        <f ca="1">IFERROR(VLOOKUP($C123,COM_N_2012!$B$62:$AJ$122,MATCH(VLOOKUP("*"&amp;$AW123,$A$10:$J$11,$J$9,FALSE)&amp;M$7,COM_N_2012!$B$58:$AJ$58,0),FALSE),"")</f>
        <v>0.76923076923076916</v>
      </c>
      <c r="N123" s="391" t="str">
        <f ca="1">IFERROR(VLOOKUP($C123,COM_N_2012!$B$62:$AJ$122,MATCH(VLOOKUP("*"&amp;$AW123,$A$10:$J$11,$J$9,FALSE)&amp;N$7,COM_N_2012!$B$58:$AJ$58,0),FALSE),"")</f>
        <v/>
      </c>
      <c r="O123" s="391">
        <f ca="1">IF($A123="*","",IFERROR(VLOOKUP($C123,COM_N_2017!$B$61:$AJ$122,MATCH(VLOOKUP("*"&amp;$AW123,$A$10:$J$11,$J$9,FALSE)&amp;O$7,COM_N_2017!$B$58:$AJ$58,0),FALSE),""))</f>
        <v>0.96153846153846145</v>
      </c>
      <c r="P123" s="391" t="str">
        <f ca="1">IFERROR(VLOOKUP($C123,COM_N_2012!$B$62:$AJ$122,MATCH(VLOOKUP("*"&amp;$AW123,$A$10:$J$11,$J$9,FALSE)&amp;P$7,COM_N_2012!$B$58:$AJ$58,0),FALSE),"")</f>
        <v/>
      </c>
      <c r="Q123" s="391" t="str">
        <f ca="1">IFERROR(VLOOKUP($C123,COM_N_2012!$B$62:$AJ$122,MATCH(VLOOKUP("*"&amp;$AW123,$A$10:$J$11,$J$9,FALSE)&amp;Q$7,COM_N_2012!$B$58:$AJ$58,0),FALSE),"")</f>
        <v/>
      </c>
      <c r="R123" s="391">
        <f ca="1">IF($A123="*","",IFERROR(VLOOKUP($C123,COM_N_2017!$B$61:$AJ$122,MATCH(VLOOKUP("*"&amp;$AW123,$A$10:$J$11,$J$9,FALSE)&amp;R$7,COM_N_2017!$B$58:$AJ$58,0),FALSE),""))</f>
        <v>0.9326923076923076</v>
      </c>
      <c r="S123" s="391" t="str">
        <f ca="1">IFERROR(VLOOKUP($C123,COM_N_2012!$B$62:$AJ$122,MATCH(VLOOKUP("*"&amp;$AW123,$A$10:$J$11,$J$9,FALSE)&amp;S$7,COM_N_2012!$B$58:$AJ$58,0),FALSE),"")</f>
        <v/>
      </c>
      <c r="T123" s="391" t="str">
        <f ca="1">IFERROR(VLOOKUP($C123,COM_N_2012!$B$62:$AJ$122,MATCH(VLOOKUP("*"&amp;$AW123,$A$10:$J$11,$J$9,FALSE)&amp;T$7,COM_N_2012!$B$58:$AJ$58,0),FALSE),"")</f>
        <v/>
      </c>
      <c r="U123" s="391" t="str">
        <f ca="1">IFERROR(VLOOKUP($C123,COM_N_2012!$B$62:$AJ$122,MATCH(VLOOKUP("*"&amp;$AW123,$A$10:$J$11,$J$9,FALSE)&amp;U$7,COM_N_2012!$B$58:$AJ$58,0),FALSE),"")</f>
        <v/>
      </c>
      <c r="V123" s="391" t="str">
        <f ca="1">IFERROR(VLOOKUP($C123,COM_N_2012!$B$62:$AJ$122,MATCH(VLOOKUP("*"&amp;$AW123,$A$10:$J$11,$J$9,FALSE)&amp;V$7,COM_N_2012!$B$58:$AJ$58,0),FALSE),"")</f>
        <v/>
      </c>
      <c r="W123" s="391">
        <f ca="1">IF($A123="*","",IFERROR(VLOOKUP($C123,COM_N_2017!$B$61:$AJ$122,MATCH(VLOOKUP("*"&amp;$AW123,$A$10:$J$11,$J$9,FALSE)&amp;W$7,COM_N_2017!$B$58:$AJ$58,0),FALSE),""))</f>
        <v>0.86538461538461531</v>
      </c>
      <c r="X123" s="391" t="str">
        <f ca="1">IFERROR(VLOOKUP($C123,COM_N_2012!$B$62:$AJ$122,MATCH(VLOOKUP("*"&amp;$AW123,$A$10:$J$11,$J$9,FALSE)&amp;X$7,COM_N_2012!$B$58:$AJ$58,0),FALSE),"")</f>
        <v/>
      </c>
      <c r="Y123" s="391" t="str">
        <f ca="1">IFERROR(VLOOKUP($C123,COM_N_2012!$B$62:$AJ$122,MATCH(VLOOKUP("*"&amp;$AW123,$A$10:$J$11,$J$9,FALSE)&amp;Y$7,COM_N_2012!$B$58:$AJ$58,0),FALSE),"")</f>
        <v/>
      </c>
      <c r="Z123" s="391" t="str">
        <f ca="1">IFERROR(VLOOKUP($C123,COM_N_2012!$B$62:$AJ$122,MATCH(VLOOKUP("*"&amp;$AW123,$A$10:$J$11,$J$9,FALSE)&amp;Z$7,COM_N_2012!$B$58:$AJ$58,0),FALSE),"")</f>
        <v/>
      </c>
      <c r="AA123" s="391" t="str">
        <f ca="1">IFERROR(VLOOKUP($C123,COM_N_2012!$B$62:$AJ$122,MATCH(VLOOKUP("*"&amp;$AW123,$A$10:$J$11,$J$9,FALSE)&amp;AA$7,COM_N_2012!$B$58:$AJ$58,0),FALSE),"")</f>
        <v/>
      </c>
      <c r="AB123" s="391">
        <f ca="1">IF($A123="*","",IFERROR(VLOOKUP($C123,COM_N_2017!$B$61:$AJ$122,MATCH(VLOOKUP("*"&amp;$AW123,$A$10:$J$11,$J$9,FALSE)&amp;AB$7,COM_N_2017!$B$58:$AJ$58,0),FALSE),""))</f>
        <v>0.67307692307692302</v>
      </c>
      <c r="AC123" s="391" t="str">
        <f ca="1">IFERROR(VLOOKUP($C123,COM_N_2012!$B$62:$AJ$122,MATCH(VLOOKUP("*"&amp;$AW123,$A$10:$J$11,$J$9,FALSE)&amp;AC$7,COM_N_2012!$B$58:$AJ$58,0),FALSE),"")</f>
        <v/>
      </c>
      <c r="AD123" s="391" t="str">
        <f ca="1">IFERROR(VLOOKUP($C123,COM_N_2012!$B$62:$AJ$122,MATCH(VLOOKUP("*"&amp;$AW123,$A$10:$J$11,$J$9,FALSE)&amp;AD$7,COM_N_2012!$B$58:$AJ$58,0),FALSE),"")</f>
        <v/>
      </c>
      <c r="AE123" s="391" t="str">
        <f ca="1">IFERROR(VLOOKUP($C123,COM_N_2012!$B$62:$AJ$122,MATCH(VLOOKUP("*"&amp;$AW123,$A$10:$J$11,$J$9,FALSE)&amp;AE$7,COM_N_2012!$B$58:$AJ$58,0),FALSE),"")</f>
        <v/>
      </c>
      <c r="AF123" s="391" t="str">
        <f ca="1">IFERROR(VLOOKUP($C123,COM_N_2012!$B$62:$AJ$122,MATCH(VLOOKUP("*"&amp;$AW123,$A$10:$J$11,$J$9,FALSE)&amp;AF$7,COM_N_2012!$B$58:$AJ$58,0),FALSE),"")</f>
        <v/>
      </c>
      <c r="AG123" s="391">
        <f ca="1">IF($A123="*","",IFERROR(VLOOKUP($C123,COM_N_2017!$B$61:$AJ$122,MATCH(VLOOKUP("*"&amp;$AW123,$A$10:$J$11,$J$9,FALSE)&amp;AG$7,COM_N_2017!$B$58:$AJ$58,0),FALSE),""))</f>
        <v>0.48076923076923073</v>
      </c>
      <c r="AH123" s="391" t="str">
        <f ca="1">IFERROR(VLOOKUP($C123,COM_N_2012!$B$62:$AJ$122,MATCH(VLOOKUP("*"&amp;$AW123,$A$10:$J$11,$J$9,FALSE)&amp;AH$7,COM_N_2012!$B$58:$AJ$58,0),FALSE),"")</f>
        <v/>
      </c>
      <c r="AI123" s="391" t="str">
        <f ca="1">IFERROR(VLOOKUP($C123,COM_N_2012!$B$62:$AJ$122,MATCH(VLOOKUP("*"&amp;$AW123,$A$10:$J$11,$J$9,FALSE)&amp;AI$7,COM_N_2012!$B$58:$AJ$58,0),FALSE),"")</f>
        <v/>
      </c>
      <c r="AJ123" s="391" t="str">
        <f ca="1">IFERROR(VLOOKUP($C123,COM_N_2012!$B$62:$AJ$122,MATCH(VLOOKUP("*"&amp;$AW123,$A$10:$J$11,$J$9,FALSE)&amp;AJ$7,COM_N_2012!$B$58:$AJ$58,0),FALSE),"")</f>
        <v/>
      </c>
      <c r="AK123" s="391" t="str">
        <f ca="1">IFERROR(VLOOKUP($C123,COM_N_2012!$B$62:$AJ$122,MATCH(VLOOKUP("*"&amp;$AW123,$A$10:$J$11,$J$9,FALSE)&amp;AK$7,COM_N_2012!$B$58:$AJ$58,0),FALSE),"")</f>
        <v/>
      </c>
      <c r="AL123" s="391">
        <f ca="1">IF($A123="*","",IFERROR(VLOOKUP($C123,COM_N_2017!$B$61:$AJ$122,MATCH(VLOOKUP("*"&amp;$AW123,$A$10:$J$11,$J$9,FALSE)&amp;AL$7,COM_N_2017!$B$58:$AJ$58,0),FALSE),""))</f>
        <v>0.28846153846153844</v>
      </c>
      <c r="AM123" s="391">
        <f ca="1">IF($A123="*","",IFERROR(VLOOKUP($C123,COM_N_2017!$B$61:$AJ$122,MATCH(VLOOKUP("*"&amp;$AW123,$A$10:$J$11,$J$9,FALSE)&amp;AM$7,COM_N_2017!$B$58:$AJ$58,0),FALSE),""))</f>
        <v>9.6153846153846145E-2</v>
      </c>
      <c r="AN123" s="391">
        <f ca="1">IF($A123="*","",IFERROR(VLOOKUP($C123,COM_N_2017!$B$61:$AJ$122,MATCH(VLOOKUP("*"&amp;$AW123,$A$10:$J$11,$J$9,FALSE)&amp;AN$7,COM_N_2017!$B$58:$AJ$58,0),FALSE),""))</f>
        <v>0</v>
      </c>
      <c r="AO123" s="391" t="str">
        <f ca="1">IFERROR(VLOOKUP($C123,COM_N_2012!$B$62:$AJ$122,MATCH(VLOOKUP("*"&amp;$AW123,$A$10:$J$11,$J$9,FALSE)&amp;AO$7,COM_N_2012!$B$58:$AJ$58,0),FALSE),"")</f>
        <v/>
      </c>
      <c r="AP123" s="391" t="str">
        <f ca="1">IFERROR(VLOOKUP($C123,COM_N_2012!$B$62:$AJ$122,MATCH(VLOOKUP("*"&amp;$AW123,$A$10:$J$11,$J$9,FALSE)&amp;AP$7,COM_N_2012!$B$58:$AJ$58,0),FALSE),"")</f>
        <v/>
      </c>
      <c r="AQ123" s="391" t="str">
        <f ca="1">IFERROR(VLOOKUP($C123,COM_N_2012!$B$62:$AJ$122,MATCH(VLOOKUP("*"&amp;$AW123,$A$10:$J$11,$J$9,FALSE)&amp;AQ$7,COM_N_2012!$B$58:$AJ$58,0),FALSE),"")</f>
        <v/>
      </c>
      <c r="AR123" s="391" t="str">
        <f ca="1">IFERROR(VLOOKUP($C123,COM_N_2012!$B$62:$AJ$122,MATCH(VLOOKUP("*"&amp;$AW123,$A$10:$J$11,$J$9,FALSE)&amp;AR$7,COM_N_2012!$B$58:$AJ$58,0),FALSE),"")</f>
        <v/>
      </c>
      <c r="AS123" s="391" t="str">
        <f ca="1">IFERROR(VLOOKUP($C123,COM_N_2012!$B$62:$AJ$122,MATCH(VLOOKUP("*"&amp;$AW123,$A$10:$J$11,$J$9,FALSE)&amp;AS$7,COM_N_2012!$B$58:$AJ$58,0),FALSE),"")</f>
        <v/>
      </c>
      <c r="AT123" s="391" t="str">
        <f ca="1">IFERROR(VLOOKUP($C123,COM_N_2012!$B$62:$AJ$122,MATCH(VLOOKUP("*"&amp;$AW123,$A$10:$J$11,$J$9,FALSE)&amp;AT$7,COM_N_2012!$B$58:$AJ$58,0),FALSE),"")</f>
        <v/>
      </c>
      <c r="AU123" s="391" t="str">
        <f ca="1">IFERROR(VLOOKUP($C123,COM_N_2012!$B$62:$AJ$122,MATCH(VLOOKUP("*"&amp;$AW123,$A$10:$J$11,$J$9,FALSE)&amp;AU$7,COM_N_2012!$B$58:$AJ$58,0),FALSE),"")</f>
        <v/>
      </c>
      <c r="AW123" s="304">
        <f>IF(AX122=COM_N_2012!$AK$121,AW122+1,AW122)</f>
        <v>2</v>
      </c>
      <c r="AX123" s="304">
        <f t="shared" si="31"/>
        <v>50</v>
      </c>
    </row>
    <row r="124" spans="1:50">
      <c r="A124" s="304" t="str">
        <f ca="1">IF(LEFT(OFFSET(COM_N_2012!$A$60,AX124,0),2)="\I","*","")</f>
        <v>*</v>
      </c>
      <c r="B124" s="369"/>
      <c r="C124" s="369" t="str">
        <f ca="1">IF($A124="*","",OFFSET(COM_N_2012!$B$60,AX124,0))</f>
        <v/>
      </c>
      <c r="D124" s="369"/>
      <c r="E124" s="369"/>
      <c r="F124" s="370" t="str">
        <f t="shared" ref="F124:G132" ca="1" si="32">IF($A124="*","",VLOOKUP("*"&amp;$AW124,$A$10:$I$11,F$9,FALSE))</f>
        <v/>
      </c>
      <c r="G124" s="370" t="str">
        <f t="shared" ca="1" si="32"/>
        <v/>
      </c>
      <c r="H124" s="370"/>
      <c r="I124" s="370"/>
      <c r="J124" s="391" t="str">
        <f ca="1">IFERROR(VLOOKUP($C124,COM_N_2012!$B$61:$AJ$122,MATCH(VLOOKUP("*"&amp;$AW124,$A$10:$J$11,$J$9,FALSE)&amp;J$7,COM_N_2012!$B$58:$AJ$58,0),FALSE),"")</f>
        <v/>
      </c>
      <c r="K124" s="391"/>
      <c r="L124" s="391"/>
      <c r="M124" s="391"/>
      <c r="N124" s="391"/>
      <c r="O124" s="391" t="str">
        <f ca="1">IF($A124="*","",IFERROR(VLOOKUP($C124,COM_N_2017!$B$61:$AJ$122,MATCH(VLOOKUP("*"&amp;$AW124,$A$10:$J$11,$J$9,FALSE)&amp;O$7,COM_N_2017!$B$58:$AJ$58,0),FALSE),""))</f>
        <v/>
      </c>
      <c r="P124" s="369"/>
      <c r="Q124" s="369"/>
      <c r="R124" s="391" t="str">
        <f ca="1">IF($A124="*","",IFERROR(VLOOKUP($C124,COM_N_2017!$B$61:$AJ$122,MATCH(VLOOKUP("*"&amp;$AW124,$A$10:$J$11,$J$9,FALSE)&amp;R$7,COM_N_2017!$B$58:$AJ$58,0),FALSE),""))</f>
        <v/>
      </c>
      <c r="S124" s="369"/>
      <c r="T124" s="369"/>
      <c r="U124" s="369"/>
      <c r="V124" s="369"/>
      <c r="W124" s="391" t="str">
        <f ca="1">IF($A124="*","",IFERROR(VLOOKUP($C124,COM_N_2017!$B$61:$AJ$122,MATCH(VLOOKUP("*"&amp;$AW124,$A$10:$J$11,$J$9,FALSE)&amp;W$7,COM_N_2017!$B$58:$AJ$58,0),FALSE),""))</f>
        <v/>
      </c>
      <c r="X124" s="369"/>
      <c r="Y124" s="369"/>
      <c r="Z124" s="369"/>
      <c r="AA124" s="369"/>
      <c r="AB124" s="391" t="str">
        <f ca="1">IF($A124="*","",IFERROR(VLOOKUP($C124,COM_N_2017!$B$61:$AJ$122,MATCH(VLOOKUP("*"&amp;$AW124,$A$10:$J$11,$J$9,FALSE)&amp;AB$7,COM_N_2017!$B$58:$AJ$58,0),FALSE),""))</f>
        <v/>
      </c>
      <c r="AC124" s="369"/>
      <c r="AD124" s="369"/>
      <c r="AE124" s="369"/>
      <c r="AF124" s="369"/>
      <c r="AG124" s="391" t="str">
        <f ca="1">IF($A124="*","",IFERROR(VLOOKUP($C124,COM_N_2017!$B$61:$AJ$122,MATCH(VLOOKUP("*"&amp;$AW124,$A$10:$J$11,$J$9,FALSE)&amp;AG$7,COM_N_2017!$B$58:$AJ$58,0),FALSE),""))</f>
        <v/>
      </c>
      <c r="AH124" s="369"/>
      <c r="AI124" s="369"/>
      <c r="AJ124" s="369"/>
      <c r="AK124" s="369"/>
      <c r="AL124" s="391" t="str">
        <f ca="1">IF($A124="*","",IFERROR(VLOOKUP($C124,COM_N_2017!$B$61:$AJ$122,MATCH(VLOOKUP("*"&amp;$AW124,$A$10:$J$11,$J$9,FALSE)&amp;AL$7,COM_N_2017!$B$58:$AJ$58,0),FALSE),""))</f>
        <v/>
      </c>
      <c r="AM124" s="391" t="str">
        <f ca="1">IF($A124="*","",IFERROR(VLOOKUP($C124,COM_N_2017!$B$61:$AJ$122,MATCH(VLOOKUP("*"&amp;$AW124,$A$10:$J$11,$J$9,FALSE)&amp;AM$7,COM_N_2017!$B$58:$AJ$58,0),FALSE),""))</f>
        <v/>
      </c>
      <c r="AN124" s="391" t="str">
        <f ca="1">IF($A124="*","",IFERROR(VLOOKUP($C124,COM_N_2017!$B$61:$AJ$122,MATCH(VLOOKUP("*"&amp;$AW124,$A$10:$J$11,$J$9,FALSE)&amp;AN$7,COM_N_2017!$B$58:$AJ$58,0),FALSE),""))</f>
        <v/>
      </c>
      <c r="AO124" s="369"/>
      <c r="AP124" s="369"/>
      <c r="AQ124" s="369"/>
      <c r="AR124" s="369"/>
      <c r="AS124" s="369"/>
      <c r="AT124" s="369"/>
      <c r="AW124" s="304">
        <f>IF(AX123=COM_N_2012!$AK$121,AW123+1,AW123)</f>
        <v>2</v>
      </c>
      <c r="AX124" s="304">
        <f t="shared" si="31"/>
        <v>51</v>
      </c>
    </row>
    <row r="125" spans="1:50">
      <c r="A125" s="304" t="str">
        <f ca="1">IF(LEFT(OFFSET(COM_N_2012!$A$60,AX125,0),2)="\I","*","")</f>
        <v>*</v>
      </c>
      <c r="B125" s="369"/>
      <c r="C125" s="369" t="str">
        <f ca="1">IF($A125="*","",OFFSET(COM_N_2012!$B$60,AX125,0))</f>
        <v/>
      </c>
      <c r="D125" s="369"/>
      <c r="E125" s="369"/>
      <c r="F125" s="370" t="str">
        <f t="shared" ca="1" si="32"/>
        <v/>
      </c>
      <c r="G125" s="370" t="str">
        <f t="shared" ca="1" si="32"/>
        <v/>
      </c>
      <c r="H125" s="370"/>
      <c r="I125" s="370"/>
      <c r="J125" s="391" t="str">
        <f ca="1">IFERROR(VLOOKUP($C125,COM_N_2012!$B$61:$AJ$122,MATCH(VLOOKUP("*"&amp;$AW125,$A$10:$J$11,$J$9,FALSE)&amp;J$7,COM_N_2012!$B$58:$AJ$58,0),FALSE),"")</f>
        <v/>
      </c>
      <c r="K125" s="391"/>
      <c r="L125" s="391"/>
      <c r="M125" s="391"/>
      <c r="N125" s="391"/>
      <c r="O125" s="391" t="str">
        <f ca="1">IF($A125="*","",IFERROR(VLOOKUP($C125,COM_N_2017!$B$61:$AJ$122,MATCH(VLOOKUP("*"&amp;$AW125,$A$10:$J$11,$J$9,FALSE)&amp;O$7,COM_N_2017!$B$58:$AJ$58,0),FALSE),""))</f>
        <v/>
      </c>
      <c r="P125" s="369"/>
      <c r="Q125" s="369"/>
      <c r="R125" s="391" t="str">
        <f ca="1">IF($A125="*","",IFERROR(VLOOKUP($C125,COM_N_2017!$B$61:$AJ$122,MATCH(VLOOKUP("*"&amp;$AW125,$A$10:$J$11,$J$9,FALSE)&amp;R$7,COM_N_2017!$B$58:$AJ$58,0),FALSE),""))</f>
        <v/>
      </c>
      <c r="S125" s="369"/>
      <c r="T125" s="369"/>
      <c r="U125" s="369"/>
      <c r="V125" s="369"/>
      <c r="W125" s="391" t="str">
        <f ca="1">IF($A125="*","",IFERROR(VLOOKUP($C125,COM_N_2017!$B$61:$AJ$122,MATCH(VLOOKUP("*"&amp;$AW125,$A$10:$J$11,$J$9,FALSE)&amp;W$7,COM_N_2017!$B$58:$AJ$58,0),FALSE),""))</f>
        <v/>
      </c>
      <c r="X125" s="369"/>
      <c r="Y125" s="369"/>
      <c r="Z125" s="369"/>
      <c r="AA125" s="369"/>
      <c r="AB125" s="391" t="str">
        <f ca="1">IF($A125="*","",IFERROR(VLOOKUP($C125,COM_N_2017!$B$61:$AJ$122,MATCH(VLOOKUP("*"&amp;$AW125,$A$10:$J$11,$J$9,FALSE)&amp;AB$7,COM_N_2017!$B$58:$AJ$58,0),FALSE),""))</f>
        <v/>
      </c>
      <c r="AC125" s="369"/>
      <c r="AD125" s="369"/>
      <c r="AE125" s="369"/>
      <c r="AF125" s="369"/>
      <c r="AG125" s="391" t="str">
        <f ca="1">IF($A125="*","",IFERROR(VLOOKUP($C125,COM_N_2017!$B$61:$AJ$122,MATCH(VLOOKUP("*"&amp;$AW125,$A$10:$J$11,$J$9,FALSE)&amp;AG$7,COM_N_2017!$B$58:$AJ$58,0),FALSE),""))</f>
        <v/>
      </c>
      <c r="AH125" s="369"/>
      <c r="AI125" s="369"/>
      <c r="AJ125" s="369"/>
      <c r="AK125" s="369"/>
      <c r="AL125" s="391" t="str">
        <f ca="1">IF($A125="*","",IFERROR(VLOOKUP($C125,COM_N_2017!$B$61:$AJ$122,MATCH(VLOOKUP("*"&amp;$AW125,$A$10:$J$11,$J$9,FALSE)&amp;AL$7,COM_N_2017!$B$58:$AJ$58,0),FALSE),""))</f>
        <v/>
      </c>
      <c r="AM125" s="391" t="str">
        <f ca="1">IF($A125="*","",IFERROR(VLOOKUP($C125,COM_N_2017!$B$61:$AJ$122,MATCH(VLOOKUP("*"&amp;$AW125,$A$10:$J$11,$J$9,FALSE)&amp;AM$7,COM_N_2017!$B$58:$AJ$58,0),FALSE),""))</f>
        <v/>
      </c>
      <c r="AN125" s="391" t="str">
        <f ca="1">IF($A125="*","",IFERROR(VLOOKUP($C125,COM_N_2017!$B$61:$AJ$122,MATCH(VLOOKUP("*"&amp;$AW125,$A$10:$J$11,$J$9,FALSE)&amp;AN$7,COM_N_2017!$B$58:$AJ$58,0),FALSE),""))</f>
        <v/>
      </c>
      <c r="AO125" s="369"/>
      <c r="AP125" s="369"/>
      <c r="AQ125" s="369"/>
      <c r="AR125" s="369"/>
      <c r="AS125" s="369"/>
      <c r="AT125" s="369"/>
      <c r="AW125" s="304">
        <f>IF(AX124=COM_N_2012!$AK$121,AW124+1,AW124)</f>
        <v>2</v>
      </c>
      <c r="AX125" s="304">
        <f t="shared" ref="AX125:AX134" si="33">IF(AW125=AW124,AX124+1,1)</f>
        <v>52</v>
      </c>
    </row>
    <row r="126" spans="1:50">
      <c r="A126" s="304" t="str">
        <f ca="1">IF(LEFT(OFFSET(COM_N_2012!$A$60,AX126,0),2)="\I","*","")</f>
        <v/>
      </c>
      <c r="B126" s="369" t="str">
        <f t="shared" ref="B126:B134" ca="1" si="34">IF(A126="*","",VLOOKUP("*"&amp;AW126,$A$9:$B$11,2,FALSE))</f>
        <v>FLO_MRKPRD</v>
      </c>
      <c r="C126" s="369" t="str">
        <f ca="1">IF($A126="*","",OFFSET(COM_N_2012!$B$60,AX126,0))</f>
        <v>CNOCOA-E</v>
      </c>
      <c r="D126" s="369" t="str">
        <f t="shared" ref="D126:D134" ca="1" si="35">IF($A126="*","",LEFT(C126,3))</f>
        <v>CNO</v>
      </c>
      <c r="E126" s="369" t="str">
        <f t="shared" ref="E126:E134" ca="1" si="36">IF($A126="*","",VLOOKUP($B126,$B$10:$I$11,E$9,FALSE))</f>
        <v>-</v>
      </c>
      <c r="F126" s="370" t="str">
        <f t="shared" ca="1" si="32"/>
        <v>-</v>
      </c>
      <c r="G126" s="370" t="str">
        <f t="shared" ca="1" si="32"/>
        <v>ANNUAL</v>
      </c>
      <c r="H126" s="370" t="str">
        <f t="shared" ref="H126:I134" ca="1" si="37">IF($A126="*","",VLOOKUP("*"&amp;$AW126,$A$10:$I$11,H$9,FALSE))</f>
        <v>LO</v>
      </c>
      <c r="I126" s="370">
        <f t="shared" ca="1" si="37"/>
        <v>0</v>
      </c>
      <c r="J126" s="391">
        <f ca="1">IFERROR(VLOOKUP($C126,COM_N_2012!$B$61:$AJ$122,MATCH(VLOOKUP("*"&amp;$AW126,$A$10:$J$11,$J$9,FALSE)&amp;J$7,COM_N_2012!$B$58:$AJ$58,0),FALSE),"")</f>
        <v>0</v>
      </c>
      <c r="K126" s="391" t="str">
        <f ca="1">IFERROR(VLOOKUP($C126,COM_N_2012!$B$62:$AJ$122,MATCH(VLOOKUP("*"&amp;$AW126,$A$10:$J$11,$J$9,FALSE)&amp;K$7,COM_N_2012!$B$58:$AJ$58,0),FALSE),"")</f>
        <v/>
      </c>
      <c r="L126" s="391" t="str">
        <f ca="1">IFERROR(VLOOKUP($C126,COM_N_2012!$B$62:$AJ$122,MATCH(VLOOKUP("*"&amp;$AW126,$A$10:$J$11,$J$9,FALSE)&amp;L$7,COM_N_2012!$B$58:$AJ$58,0),FALSE),"")</f>
        <v/>
      </c>
      <c r="M126" s="391">
        <f ca="1">IFERROR(VLOOKUP($C126,COM_N_2012!$B$62:$AJ$122,MATCH(VLOOKUP("*"&amp;$AW126,$A$10:$J$11,$J$9,FALSE)&amp;M$7,COM_N_2012!$B$58:$AJ$58,0),FALSE),"")</f>
        <v>0</v>
      </c>
      <c r="N126" s="391" t="str">
        <f ca="1">IFERROR(VLOOKUP($C126,COM_N_2012!$B$62:$AJ$122,MATCH(VLOOKUP("*"&amp;$AW126,$A$10:$J$11,$J$9,FALSE)&amp;N$7,COM_N_2012!$B$58:$AJ$58,0),FALSE),"")</f>
        <v/>
      </c>
      <c r="O126" s="391">
        <f ca="1">IF($A126="*","",IFERROR(VLOOKUP($C126,COM_N_2017!$B$61:$AJ$122,MATCH(VLOOKUP("*"&amp;$AW126,$A$10:$J$11,$J$9,FALSE)&amp;O$7,COM_N_2017!$B$58:$AJ$58,0),FALSE),""))</f>
        <v>0</v>
      </c>
      <c r="P126" s="391" t="str">
        <f ca="1">IFERROR(VLOOKUP($C126,COM_N_2012!$B$62:$AJ$122,MATCH(VLOOKUP("*"&amp;$AW126,$A$10:$J$11,$J$9,FALSE)&amp;P$7,COM_N_2012!$B$58:$AJ$58,0),FALSE),"")</f>
        <v/>
      </c>
      <c r="Q126" s="391" t="str">
        <f ca="1">IFERROR(VLOOKUP($C126,COM_N_2012!$B$62:$AJ$122,MATCH(VLOOKUP("*"&amp;$AW126,$A$10:$J$11,$J$9,FALSE)&amp;Q$7,COM_N_2012!$B$58:$AJ$58,0),FALSE),"")</f>
        <v/>
      </c>
      <c r="R126" s="391">
        <f ca="1">IF($A126="*","",IFERROR(VLOOKUP($C126,COM_N_2017!$B$61:$AJ$122,MATCH(VLOOKUP("*"&amp;$AW126,$A$10:$J$11,$J$9,FALSE)&amp;R$7,COM_N_2017!$B$58:$AJ$58,0),FALSE),""))</f>
        <v>0</v>
      </c>
      <c r="S126" s="391" t="str">
        <f ca="1">IFERROR(VLOOKUP($C126,COM_N_2012!$B$62:$AJ$122,MATCH(VLOOKUP("*"&amp;$AW126,$A$10:$J$11,$J$9,FALSE)&amp;S$7,COM_N_2012!$B$58:$AJ$58,0),FALSE),"")</f>
        <v/>
      </c>
      <c r="T126" s="391" t="str">
        <f ca="1">IFERROR(VLOOKUP($C126,COM_N_2012!$B$62:$AJ$122,MATCH(VLOOKUP("*"&amp;$AW126,$A$10:$J$11,$J$9,FALSE)&amp;T$7,COM_N_2012!$B$58:$AJ$58,0),FALSE),"")</f>
        <v/>
      </c>
      <c r="U126" s="391" t="str">
        <f ca="1">IFERROR(VLOOKUP($C126,COM_N_2012!$B$62:$AJ$122,MATCH(VLOOKUP("*"&amp;$AW126,$A$10:$J$11,$J$9,FALSE)&amp;U$7,COM_N_2012!$B$58:$AJ$58,0),FALSE),"")</f>
        <v/>
      </c>
      <c r="V126" s="391" t="str">
        <f ca="1">IFERROR(VLOOKUP($C126,COM_N_2012!$B$62:$AJ$122,MATCH(VLOOKUP("*"&amp;$AW126,$A$10:$J$11,$J$9,FALSE)&amp;V$7,COM_N_2012!$B$58:$AJ$58,0),FALSE),"")</f>
        <v/>
      </c>
      <c r="W126" s="391">
        <f ca="1">IF($A126="*","",IFERROR(VLOOKUP($C126,COM_N_2017!$B$61:$AJ$122,MATCH(VLOOKUP("*"&amp;$AW126,$A$10:$J$11,$J$9,FALSE)&amp;W$7,COM_N_2017!$B$58:$AJ$58,0),FALSE),""))</f>
        <v>0</v>
      </c>
      <c r="X126" s="391" t="str">
        <f ca="1">IFERROR(VLOOKUP($C126,COM_N_2012!$B$62:$AJ$122,MATCH(VLOOKUP("*"&amp;$AW126,$A$10:$J$11,$J$9,FALSE)&amp;X$7,COM_N_2012!$B$58:$AJ$58,0),FALSE),"")</f>
        <v/>
      </c>
      <c r="Y126" s="391" t="str">
        <f ca="1">IFERROR(VLOOKUP($C126,COM_N_2012!$B$62:$AJ$122,MATCH(VLOOKUP("*"&amp;$AW126,$A$10:$J$11,$J$9,FALSE)&amp;Y$7,COM_N_2012!$B$58:$AJ$58,0),FALSE),"")</f>
        <v/>
      </c>
      <c r="Z126" s="391" t="str">
        <f ca="1">IFERROR(VLOOKUP($C126,COM_N_2012!$B$62:$AJ$122,MATCH(VLOOKUP("*"&amp;$AW126,$A$10:$J$11,$J$9,FALSE)&amp;Z$7,COM_N_2012!$B$58:$AJ$58,0),FALSE),"")</f>
        <v/>
      </c>
      <c r="AA126" s="391" t="str">
        <f ca="1">IFERROR(VLOOKUP($C126,COM_N_2012!$B$62:$AJ$122,MATCH(VLOOKUP("*"&amp;$AW126,$A$10:$J$11,$J$9,FALSE)&amp;AA$7,COM_N_2012!$B$58:$AJ$58,0),FALSE),"")</f>
        <v/>
      </c>
      <c r="AB126" s="391">
        <f ca="1">IF($A126="*","",IFERROR(VLOOKUP($C126,COM_N_2017!$B$61:$AJ$122,MATCH(VLOOKUP("*"&amp;$AW126,$A$10:$J$11,$J$9,FALSE)&amp;AB$7,COM_N_2017!$B$58:$AJ$58,0),FALSE),""))</f>
        <v>0</v>
      </c>
      <c r="AC126" s="391" t="str">
        <f ca="1">IFERROR(VLOOKUP($C126,COM_N_2012!$B$62:$AJ$122,MATCH(VLOOKUP("*"&amp;$AW126,$A$10:$J$11,$J$9,FALSE)&amp;AC$7,COM_N_2012!$B$58:$AJ$58,0),FALSE),"")</f>
        <v/>
      </c>
      <c r="AD126" s="391" t="str">
        <f ca="1">IFERROR(VLOOKUP($C126,COM_N_2012!$B$62:$AJ$122,MATCH(VLOOKUP("*"&amp;$AW126,$A$10:$J$11,$J$9,FALSE)&amp;AD$7,COM_N_2012!$B$58:$AJ$58,0),FALSE),"")</f>
        <v/>
      </c>
      <c r="AE126" s="391" t="str">
        <f ca="1">IFERROR(VLOOKUP($C126,COM_N_2012!$B$62:$AJ$122,MATCH(VLOOKUP("*"&amp;$AW126,$A$10:$J$11,$J$9,FALSE)&amp;AE$7,COM_N_2012!$B$58:$AJ$58,0),FALSE),"")</f>
        <v/>
      </c>
      <c r="AF126" s="391" t="str">
        <f ca="1">IFERROR(VLOOKUP($C126,COM_N_2012!$B$62:$AJ$122,MATCH(VLOOKUP("*"&amp;$AW126,$A$10:$J$11,$J$9,FALSE)&amp;AF$7,COM_N_2012!$B$58:$AJ$58,0),FALSE),"")</f>
        <v/>
      </c>
      <c r="AG126" s="391">
        <f ca="1">IF($A126="*","",IFERROR(VLOOKUP($C126,COM_N_2017!$B$61:$AJ$122,MATCH(VLOOKUP("*"&amp;$AW126,$A$10:$J$11,$J$9,FALSE)&amp;AG$7,COM_N_2017!$B$58:$AJ$58,0),FALSE),""))</f>
        <v>0</v>
      </c>
      <c r="AH126" s="391" t="str">
        <f ca="1">IFERROR(VLOOKUP($C126,COM_N_2012!$B$62:$AJ$122,MATCH(VLOOKUP("*"&amp;$AW126,$A$10:$J$11,$J$9,FALSE)&amp;AH$7,COM_N_2012!$B$58:$AJ$58,0),FALSE),"")</f>
        <v/>
      </c>
      <c r="AI126" s="391" t="str">
        <f ca="1">IFERROR(VLOOKUP($C126,COM_N_2012!$B$62:$AJ$122,MATCH(VLOOKUP("*"&amp;$AW126,$A$10:$J$11,$J$9,FALSE)&amp;AI$7,COM_N_2012!$B$58:$AJ$58,0),FALSE),"")</f>
        <v/>
      </c>
      <c r="AJ126" s="391" t="str">
        <f ca="1">IFERROR(VLOOKUP($C126,COM_N_2012!$B$62:$AJ$122,MATCH(VLOOKUP("*"&amp;$AW126,$A$10:$J$11,$J$9,FALSE)&amp;AJ$7,COM_N_2012!$B$58:$AJ$58,0),FALSE),"")</f>
        <v/>
      </c>
      <c r="AK126" s="391" t="str">
        <f ca="1">IFERROR(VLOOKUP($C126,COM_N_2012!$B$62:$AJ$122,MATCH(VLOOKUP("*"&amp;$AW126,$A$10:$J$11,$J$9,FALSE)&amp;AK$7,COM_N_2012!$B$58:$AJ$58,0),FALSE),"")</f>
        <v/>
      </c>
      <c r="AL126" s="391">
        <f ca="1">IF($A126="*","",IFERROR(VLOOKUP($C126,COM_N_2017!$B$61:$AJ$122,MATCH(VLOOKUP("*"&amp;$AW126,$A$10:$J$11,$J$9,FALSE)&amp;AL$7,COM_N_2017!$B$58:$AJ$58,0),FALSE),""))</f>
        <v>0</v>
      </c>
      <c r="AM126" s="391">
        <f ca="1">IF($A126="*","",IFERROR(VLOOKUP($C126,COM_N_2017!$B$61:$AJ$122,MATCH(VLOOKUP("*"&amp;$AW126,$A$10:$J$11,$J$9,FALSE)&amp;AM$7,COM_N_2017!$B$58:$AJ$58,0),FALSE),""))</f>
        <v>0</v>
      </c>
      <c r="AN126" s="391">
        <f ca="1">IF($A126="*","",IFERROR(VLOOKUP($C126,COM_N_2017!$B$61:$AJ$122,MATCH(VLOOKUP("*"&amp;$AW126,$A$10:$J$11,$J$9,FALSE)&amp;AN$7,COM_N_2017!$B$58:$AJ$58,0),FALSE),""))</f>
        <v>0</v>
      </c>
      <c r="AO126" s="391" t="str">
        <f ca="1">IFERROR(VLOOKUP($C126,COM_N_2012!$B$62:$AJ$122,MATCH(VLOOKUP("*"&amp;$AW126,$A$10:$J$11,$J$9,FALSE)&amp;AO$7,COM_N_2012!$B$58:$AJ$58,0),FALSE),"")</f>
        <v/>
      </c>
      <c r="AP126" s="391" t="str">
        <f ca="1">IFERROR(VLOOKUP($C126,COM_N_2012!$B$62:$AJ$122,MATCH(VLOOKUP("*"&amp;$AW126,$A$10:$J$11,$J$9,FALSE)&amp;AP$7,COM_N_2012!$B$58:$AJ$58,0),FALSE),"")</f>
        <v/>
      </c>
      <c r="AQ126" s="391" t="str">
        <f ca="1">IFERROR(VLOOKUP($C126,COM_N_2012!$B$62:$AJ$122,MATCH(VLOOKUP("*"&amp;$AW126,$A$10:$J$11,$J$9,FALSE)&amp;AQ$7,COM_N_2012!$B$58:$AJ$58,0),FALSE),"")</f>
        <v/>
      </c>
      <c r="AR126" s="391" t="str">
        <f ca="1">IFERROR(VLOOKUP($C126,COM_N_2012!$B$62:$AJ$122,MATCH(VLOOKUP("*"&amp;$AW126,$A$10:$J$11,$J$9,FALSE)&amp;AR$7,COM_N_2012!$B$58:$AJ$58,0),FALSE),"")</f>
        <v/>
      </c>
      <c r="AS126" s="391" t="str">
        <f ca="1">IFERROR(VLOOKUP($C126,COM_N_2012!$B$62:$AJ$122,MATCH(VLOOKUP("*"&amp;$AW126,$A$10:$J$11,$J$9,FALSE)&amp;AS$7,COM_N_2012!$B$58:$AJ$58,0),FALSE),"")</f>
        <v/>
      </c>
      <c r="AT126" s="391" t="str">
        <f ca="1">IFERROR(VLOOKUP($C126,COM_N_2012!$B$62:$AJ$122,MATCH(VLOOKUP("*"&amp;$AW126,$A$10:$J$11,$J$9,FALSE)&amp;AT$7,COM_N_2012!$B$58:$AJ$58,0),FALSE),"")</f>
        <v/>
      </c>
      <c r="AU126" s="391" t="str">
        <f ca="1">IFERROR(VLOOKUP($C126,COM_N_2012!$B$62:$AJ$122,MATCH(VLOOKUP("*"&amp;$AW126,$A$10:$J$11,$J$9,FALSE)&amp;AU$7,COM_N_2012!$B$58:$AJ$58,0),FALSE),"")</f>
        <v/>
      </c>
      <c r="AW126" s="304">
        <f>IF(AX125=COM_N_2012!$AK$121,AW125+1,AW125)</f>
        <v>2</v>
      </c>
      <c r="AX126" s="304">
        <f t="shared" si="33"/>
        <v>53</v>
      </c>
    </row>
    <row r="127" spans="1:50">
      <c r="A127" s="304" t="str">
        <f ca="1">IF(LEFT(OFFSET(COM_N_2012!$A$60,AX127,0),2)="\I","*","")</f>
        <v/>
      </c>
      <c r="B127" s="369" t="str">
        <f t="shared" ca="1" si="34"/>
        <v>FLO_MRKPRD</v>
      </c>
      <c r="C127" s="369" t="str">
        <f ca="1">IF($A127="*","",OFFSET(COM_N_2012!$B$60,AX127,0))</f>
        <v>CNOODS-E</v>
      </c>
      <c r="D127" s="369" t="str">
        <f t="shared" ca="1" si="35"/>
        <v>CNO</v>
      </c>
      <c r="E127" s="369" t="str">
        <f t="shared" ca="1" si="36"/>
        <v>-</v>
      </c>
      <c r="F127" s="370" t="str">
        <f t="shared" ca="1" si="32"/>
        <v>-</v>
      </c>
      <c r="G127" s="370" t="str">
        <f t="shared" ca="1" si="32"/>
        <v>ANNUAL</v>
      </c>
      <c r="H127" s="370" t="str">
        <f t="shared" ca="1" si="37"/>
        <v>LO</v>
      </c>
      <c r="I127" s="370">
        <f t="shared" ca="1" si="37"/>
        <v>0</v>
      </c>
      <c r="J127" s="391">
        <f ca="1">IFERROR(VLOOKUP($C127,COM_N_2012!$B$61:$AJ$122,MATCH(VLOOKUP("*"&amp;$AW127,$A$10:$J$11,$J$9,FALSE)&amp;J$7,COM_N_2012!$B$58:$AJ$58,0),FALSE),"")</f>
        <v>3.2723037496905472E-2</v>
      </c>
      <c r="K127" s="391" t="str">
        <f ca="1">IFERROR(VLOOKUP($C127,COM_N_2012!$B$62:$AJ$122,MATCH(VLOOKUP("*"&amp;$AW127,$A$10:$J$11,$J$9,FALSE)&amp;K$7,COM_N_2012!$B$58:$AJ$58,0),FALSE),"")</f>
        <v/>
      </c>
      <c r="L127" s="391" t="str">
        <f ca="1">IFERROR(VLOOKUP($C127,COM_N_2012!$B$62:$AJ$122,MATCH(VLOOKUP("*"&amp;$AW127,$A$10:$J$11,$J$9,FALSE)&amp;L$7,COM_N_2012!$B$58:$AJ$58,0),FALSE),"")</f>
        <v/>
      </c>
      <c r="M127" s="391">
        <f ca="1">IFERROR(VLOOKUP($C127,COM_N_2012!$B$62:$AJ$122,MATCH(VLOOKUP("*"&amp;$AW127,$A$10:$J$11,$J$9,FALSE)&amp;M$7,COM_N_2012!$B$58:$AJ$58,0),FALSE),"")</f>
        <v>3.2723037496905472E-2</v>
      </c>
      <c r="N127" s="391" t="str">
        <f ca="1">IFERROR(VLOOKUP($C127,COM_N_2012!$B$62:$AJ$122,MATCH(VLOOKUP("*"&amp;$AW127,$A$10:$J$11,$J$9,FALSE)&amp;N$7,COM_N_2012!$B$58:$AJ$58,0),FALSE),"")</f>
        <v/>
      </c>
      <c r="O127" s="391">
        <f ca="1">IF($A127="*","",IFERROR(VLOOKUP($C127,COM_N_2017!$B$61:$AJ$122,MATCH(VLOOKUP("*"&amp;$AW127,$A$10:$J$11,$J$9,FALSE)&amp;O$7,COM_N_2017!$B$58:$AJ$58,0),FALSE),""))</f>
        <v>7.7073064401258967E-2</v>
      </c>
      <c r="P127" s="391" t="str">
        <f ca="1">IFERROR(VLOOKUP($C127,COM_N_2012!$B$62:$AJ$122,MATCH(VLOOKUP("*"&amp;$AW127,$A$10:$J$11,$J$9,FALSE)&amp;P$7,COM_N_2012!$B$58:$AJ$58,0),FALSE),"")</f>
        <v/>
      </c>
      <c r="Q127" s="391" t="str">
        <f ca="1">IFERROR(VLOOKUP($C127,COM_N_2012!$B$62:$AJ$122,MATCH(VLOOKUP("*"&amp;$AW127,$A$10:$J$11,$J$9,FALSE)&amp;Q$7,COM_N_2012!$B$58:$AJ$58,0),FALSE),"")</f>
        <v/>
      </c>
      <c r="R127" s="391">
        <f ca="1">IF($A127="*","",IFERROR(VLOOKUP($C127,COM_N_2017!$B$61:$AJ$122,MATCH(VLOOKUP("*"&amp;$AW127,$A$10:$J$11,$J$9,FALSE)&amp;R$7,COM_N_2017!$B$58:$AJ$58,0),FALSE),""))</f>
        <v>7.4760872469221196E-2</v>
      </c>
      <c r="S127" s="391" t="str">
        <f ca="1">IFERROR(VLOOKUP($C127,COM_N_2012!$B$62:$AJ$122,MATCH(VLOOKUP("*"&amp;$AW127,$A$10:$J$11,$J$9,FALSE)&amp;S$7,COM_N_2012!$B$58:$AJ$58,0),FALSE),"")</f>
        <v/>
      </c>
      <c r="T127" s="391" t="str">
        <f ca="1">IFERROR(VLOOKUP($C127,COM_N_2012!$B$62:$AJ$122,MATCH(VLOOKUP("*"&amp;$AW127,$A$10:$J$11,$J$9,FALSE)&amp;T$7,COM_N_2012!$B$58:$AJ$58,0),FALSE),"")</f>
        <v/>
      </c>
      <c r="U127" s="391" t="str">
        <f ca="1">IFERROR(VLOOKUP($C127,COM_N_2012!$B$62:$AJ$122,MATCH(VLOOKUP("*"&amp;$AW127,$A$10:$J$11,$J$9,FALSE)&amp;U$7,COM_N_2012!$B$58:$AJ$58,0),FALSE),"")</f>
        <v/>
      </c>
      <c r="V127" s="391" t="str">
        <f ca="1">IFERROR(VLOOKUP($C127,COM_N_2012!$B$62:$AJ$122,MATCH(VLOOKUP("*"&amp;$AW127,$A$10:$J$11,$J$9,FALSE)&amp;V$7,COM_N_2012!$B$58:$AJ$58,0),FALSE),"")</f>
        <v/>
      </c>
      <c r="W127" s="391">
        <f ca="1">IF($A127="*","",IFERROR(VLOOKUP($C127,COM_N_2017!$B$61:$AJ$122,MATCH(VLOOKUP("*"&amp;$AW127,$A$10:$J$11,$J$9,FALSE)&amp;W$7,COM_N_2017!$B$58:$AJ$58,0),FALSE),""))</f>
        <v>6.9365757961133076E-2</v>
      </c>
      <c r="X127" s="391" t="str">
        <f ca="1">IFERROR(VLOOKUP($C127,COM_N_2012!$B$62:$AJ$122,MATCH(VLOOKUP("*"&amp;$AW127,$A$10:$J$11,$J$9,FALSE)&amp;X$7,COM_N_2012!$B$58:$AJ$58,0),FALSE),"")</f>
        <v/>
      </c>
      <c r="Y127" s="391" t="str">
        <f ca="1">IFERROR(VLOOKUP($C127,COM_N_2012!$B$62:$AJ$122,MATCH(VLOOKUP("*"&amp;$AW127,$A$10:$J$11,$J$9,FALSE)&amp;Y$7,COM_N_2012!$B$58:$AJ$58,0),FALSE),"")</f>
        <v/>
      </c>
      <c r="Z127" s="391" t="str">
        <f ca="1">IFERROR(VLOOKUP($C127,COM_N_2012!$B$62:$AJ$122,MATCH(VLOOKUP("*"&amp;$AW127,$A$10:$J$11,$J$9,FALSE)&amp;Z$7,COM_N_2012!$B$58:$AJ$58,0),FALSE),"")</f>
        <v/>
      </c>
      <c r="AA127" s="391" t="str">
        <f ca="1">IFERROR(VLOOKUP($C127,COM_N_2012!$B$62:$AJ$122,MATCH(VLOOKUP("*"&amp;$AW127,$A$10:$J$11,$J$9,FALSE)&amp;AA$7,COM_N_2012!$B$58:$AJ$58,0),FALSE),"")</f>
        <v/>
      </c>
      <c r="AB127" s="391">
        <f ca="1">IF($A127="*","",IFERROR(VLOOKUP($C127,COM_N_2017!$B$61:$AJ$122,MATCH(VLOOKUP("*"&amp;$AW127,$A$10:$J$11,$J$9,FALSE)&amp;AB$7,COM_N_2017!$B$58:$AJ$58,0),FALSE),""))</f>
        <v>5.3951145080881273E-2</v>
      </c>
      <c r="AC127" s="391" t="str">
        <f ca="1">IFERROR(VLOOKUP($C127,COM_N_2012!$B$62:$AJ$122,MATCH(VLOOKUP("*"&amp;$AW127,$A$10:$J$11,$J$9,FALSE)&amp;AC$7,COM_N_2012!$B$58:$AJ$58,0),FALSE),"")</f>
        <v/>
      </c>
      <c r="AD127" s="391" t="str">
        <f ca="1">IFERROR(VLOOKUP($C127,COM_N_2012!$B$62:$AJ$122,MATCH(VLOOKUP("*"&amp;$AW127,$A$10:$J$11,$J$9,FALSE)&amp;AD$7,COM_N_2012!$B$58:$AJ$58,0),FALSE),"")</f>
        <v/>
      </c>
      <c r="AE127" s="391" t="str">
        <f ca="1">IFERROR(VLOOKUP($C127,COM_N_2012!$B$62:$AJ$122,MATCH(VLOOKUP("*"&amp;$AW127,$A$10:$J$11,$J$9,FALSE)&amp;AE$7,COM_N_2012!$B$58:$AJ$58,0),FALSE),"")</f>
        <v/>
      </c>
      <c r="AF127" s="391" t="str">
        <f ca="1">IFERROR(VLOOKUP($C127,COM_N_2012!$B$62:$AJ$122,MATCH(VLOOKUP("*"&amp;$AW127,$A$10:$J$11,$J$9,FALSE)&amp;AF$7,COM_N_2012!$B$58:$AJ$58,0),FALSE),"")</f>
        <v/>
      </c>
      <c r="AG127" s="391">
        <f ca="1">IF($A127="*","",IFERROR(VLOOKUP($C127,COM_N_2017!$B$61:$AJ$122,MATCH(VLOOKUP("*"&amp;$AW127,$A$10:$J$11,$J$9,FALSE)&amp;AG$7,COM_N_2017!$B$58:$AJ$58,0),FALSE),""))</f>
        <v>3.8536532200629484E-2</v>
      </c>
      <c r="AH127" s="391" t="str">
        <f ca="1">IFERROR(VLOOKUP($C127,COM_N_2012!$B$62:$AJ$122,MATCH(VLOOKUP("*"&amp;$AW127,$A$10:$J$11,$J$9,FALSE)&amp;AH$7,COM_N_2012!$B$58:$AJ$58,0),FALSE),"")</f>
        <v/>
      </c>
      <c r="AI127" s="391" t="str">
        <f ca="1">IFERROR(VLOOKUP($C127,COM_N_2012!$B$62:$AJ$122,MATCH(VLOOKUP("*"&amp;$AW127,$A$10:$J$11,$J$9,FALSE)&amp;AI$7,COM_N_2012!$B$58:$AJ$58,0),FALSE),"")</f>
        <v/>
      </c>
      <c r="AJ127" s="391" t="str">
        <f ca="1">IFERROR(VLOOKUP($C127,COM_N_2012!$B$62:$AJ$122,MATCH(VLOOKUP("*"&amp;$AW127,$A$10:$J$11,$J$9,FALSE)&amp;AJ$7,COM_N_2012!$B$58:$AJ$58,0),FALSE),"")</f>
        <v/>
      </c>
      <c r="AK127" s="391" t="str">
        <f ca="1">IFERROR(VLOOKUP($C127,COM_N_2012!$B$62:$AJ$122,MATCH(VLOOKUP("*"&amp;$AW127,$A$10:$J$11,$J$9,FALSE)&amp;AK$7,COM_N_2012!$B$58:$AJ$58,0),FALSE),"")</f>
        <v/>
      </c>
      <c r="AL127" s="391">
        <f ca="1">IF($A127="*","",IFERROR(VLOOKUP($C127,COM_N_2017!$B$61:$AJ$122,MATCH(VLOOKUP("*"&amp;$AW127,$A$10:$J$11,$J$9,FALSE)&amp;AL$7,COM_N_2017!$B$58:$AJ$58,0),FALSE),""))</f>
        <v>2.3121919320377691E-2</v>
      </c>
      <c r="AM127" s="391">
        <f ca="1">IF($A127="*","",IFERROR(VLOOKUP($C127,COM_N_2017!$B$61:$AJ$122,MATCH(VLOOKUP("*"&amp;$AW127,$A$10:$J$11,$J$9,FALSE)&amp;AM$7,COM_N_2017!$B$58:$AJ$58,0),FALSE),""))</f>
        <v>7.7073064401258972E-3</v>
      </c>
      <c r="AN127" s="391">
        <f ca="1">IF($A127="*","",IFERROR(VLOOKUP($C127,COM_N_2017!$B$61:$AJ$122,MATCH(VLOOKUP("*"&amp;$AW127,$A$10:$J$11,$J$9,FALSE)&amp;AN$7,COM_N_2017!$B$58:$AJ$58,0),FALSE),""))</f>
        <v>0</v>
      </c>
      <c r="AO127" s="391" t="str">
        <f ca="1">IFERROR(VLOOKUP($C127,COM_N_2012!$B$62:$AJ$122,MATCH(VLOOKUP("*"&amp;$AW127,$A$10:$J$11,$J$9,FALSE)&amp;AO$7,COM_N_2012!$B$58:$AJ$58,0),FALSE),"")</f>
        <v/>
      </c>
      <c r="AP127" s="391" t="str">
        <f ca="1">IFERROR(VLOOKUP($C127,COM_N_2012!$B$62:$AJ$122,MATCH(VLOOKUP("*"&amp;$AW127,$A$10:$J$11,$J$9,FALSE)&amp;AP$7,COM_N_2012!$B$58:$AJ$58,0),FALSE),"")</f>
        <v/>
      </c>
      <c r="AQ127" s="391" t="str">
        <f ca="1">IFERROR(VLOOKUP($C127,COM_N_2012!$B$62:$AJ$122,MATCH(VLOOKUP("*"&amp;$AW127,$A$10:$J$11,$J$9,FALSE)&amp;AQ$7,COM_N_2012!$B$58:$AJ$58,0),FALSE),"")</f>
        <v/>
      </c>
      <c r="AR127" s="391" t="str">
        <f ca="1">IFERROR(VLOOKUP($C127,COM_N_2012!$B$62:$AJ$122,MATCH(VLOOKUP("*"&amp;$AW127,$A$10:$J$11,$J$9,FALSE)&amp;AR$7,COM_N_2012!$B$58:$AJ$58,0),FALSE),"")</f>
        <v/>
      </c>
      <c r="AS127" s="391" t="str">
        <f ca="1">IFERROR(VLOOKUP($C127,COM_N_2012!$B$62:$AJ$122,MATCH(VLOOKUP("*"&amp;$AW127,$A$10:$J$11,$J$9,FALSE)&amp;AS$7,COM_N_2012!$B$58:$AJ$58,0),FALSE),"")</f>
        <v/>
      </c>
      <c r="AT127" s="391" t="str">
        <f ca="1">IFERROR(VLOOKUP($C127,COM_N_2012!$B$62:$AJ$122,MATCH(VLOOKUP("*"&amp;$AW127,$A$10:$J$11,$J$9,FALSE)&amp;AT$7,COM_N_2012!$B$58:$AJ$58,0),FALSE),"")</f>
        <v/>
      </c>
      <c r="AU127" s="391" t="str">
        <f ca="1">IFERROR(VLOOKUP($C127,COM_N_2012!$B$62:$AJ$122,MATCH(VLOOKUP("*"&amp;$AW127,$A$10:$J$11,$J$9,FALSE)&amp;AU$7,COM_N_2012!$B$58:$AJ$58,0),FALSE),"")</f>
        <v/>
      </c>
      <c r="AW127" s="304">
        <f>IF(AX126=COM_N_2012!$AK$121,AW126+1,AW126)</f>
        <v>2</v>
      </c>
      <c r="AX127" s="304">
        <f t="shared" si="33"/>
        <v>54</v>
      </c>
    </row>
    <row r="128" spans="1:50">
      <c r="A128" s="304" t="str">
        <f ca="1">IF(LEFT(OFFSET(COM_N_2012!$A$60,AX128,0),2)="\I","*","")</f>
        <v/>
      </c>
      <c r="B128" s="369" t="str">
        <f t="shared" ca="1" si="34"/>
        <v>FLO_MRKPRD</v>
      </c>
      <c r="C128" s="369" t="str">
        <f ca="1">IF($A128="*","",OFFSET(COM_N_2012!$B$60,AX128,0))</f>
        <v>CNOELC-E</v>
      </c>
      <c r="D128" s="369" t="str">
        <f t="shared" ca="1" si="35"/>
        <v>CNO</v>
      </c>
      <c r="E128" s="369" t="str">
        <f t="shared" ca="1" si="36"/>
        <v>-</v>
      </c>
      <c r="F128" s="370" t="str">
        <f t="shared" ca="1" si="32"/>
        <v>-</v>
      </c>
      <c r="G128" s="370" t="str">
        <f t="shared" ca="1" si="32"/>
        <v>ANNUAL</v>
      </c>
      <c r="H128" s="370" t="str">
        <f t="shared" ca="1" si="37"/>
        <v>LO</v>
      </c>
      <c r="I128" s="370">
        <f t="shared" ca="1" si="37"/>
        <v>0</v>
      </c>
      <c r="J128" s="391">
        <f ca="1">IFERROR(VLOOKUP($C128,COM_N_2012!$B$61:$AJ$122,MATCH(VLOOKUP("*"&amp;$AW128,$A$10:$J$11,$J$9,FALSE)&amp;J$7,COM_N_2012!$B$58:$AJ$58,0),FALSE),"")</f>
        <v>0.93585765274854715</v>
      </c>
      <c r="K128" s="391" t="str">
        <f ca="1">IFERROR(VLOOKUP($C128,COM_N_2012!$B$62:$AJ$122,MATCH(VLOOKUP("*"&amp;$AW128,$A$10:$J$11,$J$9,FALSE)&amp;K$7,COM_N_2012!$B$58:$AJ$58,0),FALSE),"")</f>
        <v/>
      </c>
      <c r="L128" s="391" t="str">
        <f ca="1">IFERROR(VLOOKUP($C128,COM_N_2012!$B$62:$AJ$122,MATCH(VLOOKUP("*"&amp;$AW128,$A$10:$J$11,$J$9,FALSE)&amp;L$7,COM_N_2012!$B$58:$AJ$58,0),FALSE),"")</f>
        <v/>
      </c>
      <c r="M128" s="391">
        <f ca="1">IFERROR(VLOOKUP($C128,COM_N_2012!$B$62:$AJ$122,MATCH(VLOOKUP("*"&amp;$AW128,$A$10:$J$11,$J$9,FALSE)&amp;M$7,COM_N_2012!$B$58:$AJ$58,0),FALSE),"")</f>
        <v>0.93585765274854715</v>
      </c>
      <c r="N128" s="391" t="str">
        <f ca="1">IFERROR(VLOOKUP($C128,COM_N_2012!$B$62:$AJ$122,MATCH(VLOOKUP("*"&amp;$AW128,$A$10:$J$11,$J$9,FALSE)&amp;N$7,COM_N_2012!$B$58:$AJ$58,0),FALSE),"")</f>
        <v/>
      </c>
      <c r="O128" s="391">
        <f ca="1">IF($A128="*","",IFERROR(VLOOKUP($C128,COM_N_2017!$B$61:$AJ$122,MATCH(VLOOKUP("*"&amp;$AW128,$A$10:$J$11,$J$9,FALSE)&amp;O$7,COM_N_2017!$B$58:$AJ$58,0),FALSE),""))</f>
        <v>0.88076151062665153</v>
      </c>
      <c r="P128" s="391" t="str">
        <f ca="1">IFERROR(VLOOKUP($C128,COM_N_2012!$B$62:$AJ$122,MATCH(VLOOKUP("*"&amp;$AW128,$A$10:$J$11,$J$9,FALSE)&amp;P$7,COM_N_2012!$B$58:$AJ$58,0),FALSE),"")</f>
        <v/>
      </c>
      <c r="Q128" s="391" t="str">
        <f ca="1">IFERROR(VLOOKUP($C128,COM_N_2012!$B$62:$AJ$122,MATCH(VLOOKUP("*"&amp;$AW128,$A$10:$J$11,$J$9,FALSE)&amp;Q$7,COM_N_2012!$B$58:$AJ$58,0),FALSE),"")</f>
        <v/>
      </c>
      <c r="R128" s="391">
        <f ca="1">IF($A128="*","",IFERROR(VLOOKUP($C128,COM_N_2017!$B$61:$AJ$122,MATCH(VLOOKUP("*"&amp;$AW128,$A$10:$J$11,$J$9,FALSE)&amp;R$7,COM_N_2017!$B$58:$AJ$58,0),FALSE),""))</f>
        <v>0.85433866530785196</v>
      </c>
      <c r="S128" s="391" t="str">
        <f ca="1">IFERROR(VLOOKUP($C128,COM_N_2012!$B$62:$AJ$122,MATCH(VLOOKUP("*"&amp;$AW128,$A$10:$J$11,$J$9,FALSE)&amp;S$7,COM_N_2012!$B$58:$AJ$58,0),FALSE),"")</f>
        <v/>
      </c>
      <c r="T128" s="391" t="str">
        <f ca="1">IFERROR(VLOOKUP($C128,COM_N_2012!$B$62:$AJ$122,MATCH(VLOOKUP("*"&amp;$AW128,$A$10:$J$11,$J$9,FALSE)&amp;T$7,COM_N_2012!$B$58:$AJ$58,0),FALSE),"")</f>
        <v/>
      </c>
      <c r="U128" s="391" t="str">
        <f ca="1">IFERROR(VLOOKUP($C128,COM_N_2012!$B$62:$AJ$122,MATCH(VLOOKUP("*"&amp;$AW128,$A$10:$J$11,$J$9,FALSE)&amp;U$7,COM_N_2012!$B$58:$AJ$58,0),FALSE),"")</f>
        <v/>
      </c>
      <c r="V128" s="391" t="str">
        <f ca="1">IFERROR(VLOOKUP($C128,COM_N_2012!$B$62:$AJ$122,MATCH(VLOOKUP("*"&amp;$AW128,$A$10:$J$11,$J$9,FALSE)&amp;V$7,COM_N_2012!$B$58:$AJ$58,0),FALSE),"")</f>
        <v/>
      </c>
      <c r="W128" s="391">
        <f ca="1">IF($A128="*","",IFERROR(VLOOKUP($C128,COM_N_2017!$B$61:$AJ$122,MATCH(VLOOKUP("*"&amp;$AW128,$A$10:$J$11,$J$9,FALSE)&amp;W$7,COM_N_2017!$B$58:$AJ$58,0),FALSE),""))</f>
        <v>0.79268535956398645</v>
      </c>
      <c r="X128" s="391" t="str">
        <f ca="1">IFERROR(VLOOKUP($C128,COM_N_2012!$B$62:$AJ$122,MATCH(VLOOKUP("*"&amp;$AW128,$A$10:$J$11,$J$9,FALSE)&amp;X$7,COM_N_2012!$B$58:$AJ$58,0),FALSE),"")</f>
        <v/>
      </c>
      <c r="Y128" s="391" t="str">
        <f ca="1">IFERROR(VLOOKUP($C128,COM_N_2012!$B$62:$AJ$122,MATCH(VLOOKUP("*"&amp;$AW128,$A$10:$J$11,$J$9,FALSE)&amp;Y$7,COM_N_2012!$B$58:$AJ$58,0),FALSE),"")</f>
        <v/>
      </c>
      <c r="Z128" s="391" t="str">
        <f ca="1">IFERROR(VLOOKUP($C128,COM_N_2012!$B$62:$AJ$122,MATCH(VLOOKUP("*"&amp;$AW128,$A$10:$J$11,$J$9,FALSE)&amp;Z$7,COM_N_2012!$B$58:$AJ$58,0),FALSE),"")</f>
        <v/>
      </c>
      <c r="AA128" s="391" t="str">
        <f ca="1">IFERROR(VLOOKUP($C128,COM_N_2012!$B$62:$AJ$122,MATCH(VLOOKUP("*"&amp;$AW128,$A$10:$J$11,$J$9,FALSE)&amp;AA$7,COM_N_2012!$B$58:$AJ$58,0),FALSE),"")</f>
        <v/>
      </c>
      <c r="AB128" s="391">
        <f ca="1">IF($A128="*","",IFERROR(VLOOKUP($C128,COM_N_2017!$B$61:$AJ$122,MATCH(VLOOKUP("*"&amp;$AW128,$A$10:$J$11,$J$9,FALSE)&amp;AB$7,COM_N_2017!$B$58:$AJ$58,0),FALSE),""))</f>
        <v>0.61653305743865605</v>
      </c>
      <c r="AC128" s="391" t="str">
        <f ca="1">IFERROR(VLOOKUP($C128,COM_N_2012!$B$62:$AJ$122,MATCH(VLOOKUP("*"&amp;$AW128,$A$10:$J$11,$J$9,FALSE)&amp;AC$7,COM_N_2012!$B$58:$AJ$58,0),FALSE),"")</f>
        <v/>
      </c>
      <c r="AD128" s="391" t="str">
        <f ca="1">IFERROR(VLOOKUP($C128,COM_N_2012!$B$62:$AJ$122,MATCH(VLOOKUP("*"&amp;$AW128,$A$10:$J$11,$J$9,FALSE)&amp;AD$7,COM_N_2012!$B$58:$AJ$58,0),FALSE),"")</f>
        <v/>
      </c>
      <c r="AE128" s="391" t="str">
        <f ca="1">IFERROR(VLOOKUP($C128,COM_N_2012!$B$62:$AJ$122,MATCH(VLOOKUP("*"&amp;$AW128,$A$10:$J$11,$J$9,FALSE)&amp;AE$7,COM_N_2012!$B$58:$AJ$58,0),FALSE),"")</f>
        <v/>
      </c>
      <c r="AF128" s="391" t="str">
        <f ca="1">IFERROR(VLOOKUP($C128,COM_N_2012!$B$62:$AJ$122,MATCH(VLOOKUP("*"&amp;$AW128,$A$10:$J$11,$J$9,FALSE)&amp;AF$7,COM_N_2012!$B$58:$AJ$58,0),FALSE),"")</f>
        <v/>
      </c>
      <c r="AG128" s="391">
        <f ca="1">IF($A128="*","",IFERROR(VLOOKUP($C128,COM_N_2017!$B$61:$AJ$122,MATCH(VLOOKUP("*"&amp;$AW128,$A$10:$J$11,$J$9,FALSE)&amp;AG$7,COM_N_2017!$B$58:$AJ$58,0),FALSE),""))</f>
        <v>0.44038075531332577</v>
      </c>
      <c r="AH128" s="391" t="str">
        <f ca="1">IFERROR(VLOOKUP($C128,COM_N_2012!$B$62:$AJ$122,MATCH(VLOOKUP("*"&amp;$AW128,$A$10:$J$11,$J$9,FALSE)&amp;AH$7,COM_N_2012!$B$58:$AJ$58,0),FALSE),"")</f>
        <v/>
      </c>
      <c r="AI128" s="391" t="str">
        <f ca="1">IFERROR(VLOOKUP($C128,COM_N_2012!$B$62:$AJ$122,MATCH(VLOOKUP("*"&amp;$AW128,$A$10:$J$11,$J$9,FALSE)&amp;AI$7,COM_N_2012!$B$58:$AJ$58,0),FALSE),"")</f>
        <v/>
      </c>
      <c r="AJ128" s="391" t="str">
        <f ca="1">IFERROR(VLOOKUP($C128,COM_N_2012!$B$62:$AJ$122,MATCH(VLOOKUP("*"&amp;$AW128,$A$10:$J$11,$J$9,FALSE)&amp;AJ$7,COM_N_2012!$B$58:$AJ$58,0),FALSE),"")</f>
        <v/>
      </c>
      <c r="AK128" s="391" t="str">
        <f ca="1">IFERROR(VLOOKUP($C128,COM_N_2012!$B$62:$AJ$122,MATCH(VLOOKUP("*"&amp;$AW128,$A$10:$J$11,$J$9,FALSE)&amp;AK$7,COM_N_2012!$B$58:$AJ$58,0),FALSE),"")</f>
        <v/>
      </c>
      <c r="AL128" s="391">
        <f ca="1">IF($A128="*","",IFERROR(VLOOKUP($C128,COM_N_2017!$B$61:$AJ$122,MATCH(VLOOKUP("*"&amp;$AW128,$A$10:$J$11,$J$9,FALSE)&amp;AL$7,COM_N_2017!$B$58:$AJ$58,0),FALSE),""))</f>
        <v>0.26422845318799543</v>
      </c>
      <c r="AM128" s="391">
        <f ca="1">IF($A128="*","",IFERROR(VLOOKUP($C128,COM_N_2017!$B$61:$AJ$122,MATCH(VLOOKUP("*"&amp;$AW128,$A$10:$J$11,$J$9,FALSE)&amp;AM$7,COM_N_2017!$B$58:$AJ$58,0),FALSE),""))</f>
        <v>8.8076151062665156E-2</v>
      </c>
      <c r="AN128" s="391">
        <f ca="1">IF($A128="*","",IFERROR(VLOOKUP($C128,COM_N_2017!$B$61:$AJ$122,MATCH(VLOOKUP("*"&amp;$AW128,$A$10:$J$11,$J$9,FALSE)&amp;AN$7,COM_N_2017!$B$58:$AJ$58,0),FALSE),""))</f>
        <v>0</v>
      </c>
      <c r="AO128" s="391" t="str">
        <f ca="1">IFERROR(VLOOKUP($C128,COM_N_2012!$B$62:$AJ$122,MATCH(VLOOKUP("*"&amp;$AW128,$A$10:$J$11,$J$9,FALSE)&amp;AO$7,COM_N_2012!$B$58:$AJ$58,0),FALSE),"")</f>
        <v/>
      </c>
      <c r="AP128" s="391" t="str">
        <f ca="1">IFERROR(VLOOKUP($C128,COM_N_2012!$B$62:$AJ$122,MATCH(VLOOKUP("*"&amp;$AW128,$A$10:$J$11,$J$9,FALSE)&amp;AP$7,COM_N_2012!$B$58:$AJ$58,0),FALSE),"")</f>
        <v/>
      </c>
      <c r="AQ128" s="391" t="str">
        <f ca="1">IFERROR(VLOOKUP($C128,COM_N_2012!$B$62:$AJ$122,MATCH(VLOOKUP("*"&amp;$AW128,$A$10:$J$11,$J$9,FALSE)&amp;AQ$7,COM_N_2012!$B$58:$AJ$58,0),FALSE),"")</f>
        <v/>
      </c>
      <c r="AR128" s="391" t="str">
        <f ca="1">IFERROR(VLOOKUP($C128,COM_N_2012!$B$62:$AJ$122,MATCH(VLOOKUP("*"&amp;$AW128,$A$10:$J$11,$J$9,FALSE)&amp;AR$7,COM_N_2012!$B$58:$AJ$58,0),FALSE),"")</f>
        <v/>
      </c>
      <c r="AS128" s="391" t="str">
        <f ca="1">IFERROR(VLOOKUP($C128,COM_N_2012!$B$62:$AJ$122,MATCH(VLOOKUP("*"&amp;$AW128,$A$10:$J$11,$J$9,FALSE)&amp;AS$7,COM_N_2012!$B$58:$AJ$58,0),FALSE),"")</f>
        <v/>
      </c>
      <c r="AT128" s="391" t="str">
        <f ca="1">IFERROR(VLOOKUP($C128,COM_N_2012!$B$62:$AJ$122,MATCH(VLOOKUP("*"&amp;$AW128,$A$10:$J$11,$J$9,FALSE)&amp;AT$7,COM_N_2012!$B$58:$AJ$58,0),FALSE),"")</f>
        <v/>
      </c>
      <c r="AU128" s="391" t="str">
        <f ca="1">IFERROR(VLOOKUP($C128,COM_N_2012!$B$62:$AJ$122,MATCH(VLOOKUP("*"&amp;$AW128,$A$10:$J$11,$J$9,FALSE)&amp;AU$7,COM_N_2012!$B$58:$AJ$58,0),FALSE),"")</f>
        <v/>
      </c>
      <c r="AW128" s="304">
        <f>IF(AX127=COM_N_2012!$AK$121,AW127+1,AW127)</f>
        <v>2</v>
      </c>
      <c r="AX128" s="304">
        <f t="shared" si="33"/>
        <v>55</v>
      </c>
    </row>
    <row r="129" spans="1:50">
      <c r="A129" s="304" t="str">
        <f ca="1">IF(LEFT(OFFSET(COM_N_2012!$A$60,AX129,0),2)="\I","*","")</f>
        <v/>
      </c>
      <c r="B129" s="369" t="str">
        <f t="shared" ca="1" si="34"/>
        <v>FLO_MRKPRD</v>
      </c>
      <c r="C129" s="369" t="str">
        <f ca="1">IF($A129="*","",OFFSET(COM_N_2012!$B$60,AX129,0))</f>
        <v>CNOGAS-E</v>
      </c>
      <c r="D129" s="369" t="str">
        <f t="shared" ca="1" si="35"/>
        <v>CNO</v>
      </c>
      <c r="E129" s="369" t="str">
        <f t="shared" ca="1" si="36"/>
        <v>-</v>
      </c>
      <c r="F129" s="370" t="str">
        <f t="shared" ca="1" si="32"/>
        <v>-</v>
      </c>
      <c r="G129" s="370" t="str">
        <f t="shared" ca="1" si="32"/>
        <v>ANNUAL</v>
      </c>
      <c r="H129" s="370" t="str">
        <f t="shared" ca="1" si="37"/>
        <v>LO</v>
      </c>
      <c r="I129" s="370">
        <f t="shared" ca="1" si="37"/>
        <v>0</v>
      </c>
      <c r="J129" s="391">
        <f ca="1">IFERROR(VLOOKUP($C129,COM_N_2012!$B$61:$AJ$122,MATCH(VLOOKUP("*"&amp;$AW129,$A$10:$J$11,$J$9,FALSE)&amp;J$7,COM_N_2012!$B$58:$AJ$58,0),FALSE),"")</f>
        <v>0</v>
      </c>
      <c r="K129" s="391" t="str">
        <f ca="1">IFERROR(VLOOKUP($C129,COM_N_2012!$B$62:$AJ$122,MATCH(VLOOKUP("*"&amp;$AW129,$A$10:$J$11,$J$9,FALSE)&amp;K$7,COM_N_2012!$B$58:$AJ$58,0),FALSE),"")</f>
        <v/>
      </c>
      <c r="L129" s="391" t="str">
        <f ca="1">IFERROR(VLOOKUP($C129,COM_N_2012!$B$62:$AJ$122,MATCH(VLOOKUP("*"&amp;$AW129,$A$10:$J$11,$J$9,FALSE)&amp;L$7,COM_N_2012!$B$58:$AJ$58,0),FALSE),"")</f>
        <v/>
      </c>
      <c r="M129" s="391">
        <f ca="1">IFERROR(VLOOKUP($C129,COM_N_2012!$B$62:$AJ$122,MATCH(VLOOKUP("*"&amp;$AW129,$A$10:$J$11,$J$9,FALSE)&amp;M$7,COM_N_2012!$B$58:$AJ$58,0),FALSE),"")</f>
        <v>0</v>
      </c>
      <c r="N129" s="391" t="str">
        <f ca="1">IFERROR(VLOOKUP($C129,COM_N_2012!$B$62:$AJ$122,MATCH(VLOOKUP("*"&amp;$AW129,$A$10:$J$11,$J$9,FALSE)&amp;N$7,COM_N_2012!$B$58:$AJ$58,0),FALSE),"")</f>
        <v/>
      </c>
      <c r="O129" s="391">
        <f ca="1">IF($A129="*","",IFERROR(VLOOKUP($C129,COM_N_2017!$B$61:$AJ$122,MATCH(VLOOKUP("*"&amp;$AW129,$A$10:$J$11,$J$9,FALSE)&amp;O$7,COM_N_2017!$B$58:$AJ$58,0),FALSE),""))</f>
        <v>0</v>
      </c>
      <c r="P129" s="391" t="str">
        <f ca="1">IFERROR(VLOOKUP($C129,COM_N_2012!$B$62:$AJ$122,MATCH(VLOOKUP("*"&amp;$AW129,$A$10:$J$11,$J$9,FALSE)&amp;P$7,COM_N_2012!$B$58:$AJ$58,0),FALSE),"")</f>
        <v/>
      </c>
      <c r="Q129" s="391" t="str">
        <f ca="1">IFERROR(VLOOKUP($C129,COM_N_2012!$B$62:$AJ$122,MATCH(VLOOKUP("*"&amp;$AW129,$A$10:$J$11,$J$9,FALSE)&amp;Q$7,COM_N_2012!$B$58:$AJ$58,0),FALSE),"")</f>
        <v/>
      </c>
      <c r="R129" s="391">
        <f ca="1">IF($A129="*","",IFERROR(VLOOKUP($C129,COM_N_2017!$B$61:$AJ$122,MATCH(VLOOKUP("*"&amp;$AW129,$A$10:$J$11,$J$9,FALSE)&amp;R$7,COM_N_2017!$B$58:$AJ$58,0),FALSE),""))</f>
        <v>0</v>
      </c>
      <c r="S129" s="391" t="str">
        <f ca="1">IFERROR(VLOOKUP($C129,COM_N_2012!$B$62:$AJ$122,MATCH(VLOOKUP("*"&amp;$AW129,$A$10:$J$11,$J$9,FALSE)&amp;S$7,COM_N_2012!$B$58:$AJ$58,0),FALSE),"")</f>
        <v/>
      </c>
      <c r="T129" s="391" t="str">
        <f ca="1">IFERROR(VLOOKUP($C129,COM_N_2012!$B$62:$AJ$122,MATCH(VLOOKUP("*"&amp;$AW129,$A$10:$J$11,$J$9,FALSE)&amp;T$7,COM_N_2012!$B$58:$AJ$58,0),FALSE),"")</f>
        <v/>
      </c>
      <c r="U129" s="391" t="str">
        <f ca="1">IFERROR(VLOOKUP($C129,COM_N_2012!$B$62:$AJ$122,MATCH(VLOOKUP("*"&amp;$AW129,$A$10:$J$11,$J$9,FALSE)&amp;U$7,COM_N_2012!$B$58:$AJ$58,0),FALSE),"")</f>
        <v/>
      </c>
      <c r="V129" s="391" t="str">
        <f ca="1">IFERROR(VLOOKUP($C129,COM_N_2012!$B$62:$AJ$122,MATCH(VLOOKUP("*"&amp;$AW129,$A$10:$J$11,$J$9,FALSE)&amp;V$7,COM_N_2012!$B$58:$AJ$58,0),FALSE),"")</f>
        <v/>
      </c>
      <c r="W129" s="391">
        <f ca="1">IF($A129="*","",IFERROR(VLOOKUP($C129,COM_N_2017!$B$61:$AJ$122,MATCH(VLOOKUP("*"&amp;$AW129,$A$10:$J$11,$J$9,FALSE)&amp;W$7,COM_N_2017!$B$58:$AJ$58,0),FALSE),""))</f>
        <v>0</v>
      </c>
      <c r="X129" s="391" t="str">
        <f ca="1">IFERROR(VLOOKUP($C129,COM_N_2012!$B$62:$AJ$122,MATCH(VLOOKUP("*"&amp;$AW129,$A$10:$J$11,$J$9,FALSE)&amp;X$7,COM_N_2012!$B$58:$AJ$58,0),FALSE),"")</f>
        <v/>
      </c>
      <c r="Y129" s="391" t="str">
        <f ca="1">IFERROR(VLOOKUP($C129,COM_N_2012!$B$62:$AJ$122,MATCH(VLOOKUP("*"&amp;$AW129,$A$10:$J$11,$J$9,FALSE)&amp;Y$7,COM_N_2012!$B$58:$AJ$58,0),FALSE),"")</f>
        <v/>
      </c>
      <c r="Z129" s="391" t="str">
        <f ca="1">IFERROR(VLOOKUP($C129,COM_N_2012!$B$62:$AJ$122,MATCH(VLOOKUP("*"&amp;$AW129,$A$10:$J$11,$J$9,FALSE)&amp;Z$7,COM_N_2012!$B$58:$AJ$58,0),FALSE),"")</f>
        <v/>
      </c>
      <c r="AA129" s="391" t="str">
        <f ca="1">IFERROR(VLOOKUP($C129,COM_N_2012!$B$62:$AJ$122,MATCH(VLOOKUP("*"&amp;$AW129,$A$10:$J$11,$J$9,FALSE)&amp;AA$7,COM_N_2012!$B$58:$AJ$58,0),FALSE),"")</f>
        <v/>
      </c>
      <c r="AB129" s="391">
        <f ca="1">IF($A129="*","",IFERROR(VLOOKUP($C129,COM_N_2017!$B$61:$AJ$122,MATCH(VLOOKUP("*"&amp;$AW129,$A$10:$J$11,$J$9,FALSE)&amp;AB$7,COM_N_2017!$B$58:$AJ$58,0),FALSE),""))</f>
        <v>0</v>
      </c>
      <c r="AC129" s="391" t="str">
        <f ca="1">IFERROR(VLOOKUP($C129,COM_N_2012!$B$62:$AJ$122,MATCH(VLOOKUP("*"&amp;$AW129,$A$10:$J$11,$J$9,FALSE)&amp;AC$7,COM_N_2012!$B$58:$AJ$58,0),FALSE),"")</f>
        <v/>
      </c>
      <c r="AD129" s="391" t="str">
        <f ca="1">IFERROR(VLOOKUP($C129,COM_N_2012!$B$62:$AJ$122,MATCH(VLOOKUP("*"&amp;$AW129,$A$10:$J$11,$J$9,FALSE)&amp;AD$7,COM_N_2012!$B$58:$AJ$58,0),FALSE),"")</f>
        <v/>
      </c>
      <c r="AE129" s="391" t="str">
        <f ca="1">IFERROR(VLOOKUP($C129,COM_N_2012!$B$62:$AJ$122,MATCH(VLOOKUP("*"&amp;$AW129,$A$10:$J$11,$J$9,FALSE)&amp;AE$7,COM_N_2012!$B$58:$AJ$58,0),FALSE),"")</f>
        <v/>
      </c>
      <c r="AF129" s="391" t="str">
        <f ca="1">IFERROR(VLOOKUP($C129,COM_N_2012!$B$62:$AJ$122,MATCH(VLOOKUP("*"&amp;$AW129,$A$10:$J$11,$J$9,FALSE)&amp;AF$7,COM_N_2012!$B$58:$AJ$58,0),FALSE),"")</f>
        <v/>
      </c>
      <c r="AG129" s="391">
        <f ca="1">IF($A129="*","",IFERROR(VLOOKUP($C129,COM_N_2017!$B$61:$AJ$122,MATCH(VLOOKUP("*"&amp;$AW129,$A$10:$J$11,$J$9,FALSE)&amp;AG$7,COM_N_2017!$B$58:$AJ$58,0),FALSE),""))</f>
        <v>0</v>
      </c>
      <c r="AH129" s="391" t="str">
        <f ca="1">IFERROR(VLOOKUP($C129,COM_N_2012!$B$62:$AJ$122,MATCH(VLOOKUP("*"&amp;$AW129,$A$10:$J$11,$J$9,FALSE)&amp;AH$7,COM_N_2012!$B$58:$AJ$58,0),FALSE),"")</f>
        <v/>
      </c>
      <c r="AI129" s="391" t="str">
        <f ca="1">IFERROR(VLOOKUP($C129,COM_N_2012!$B$62:$AJ$122,MATCH(VLOOKUP("*"&amp;$AW129,$A$10:$J$11,$J$9,FALSE)&amp;AI$7,COM_N_2012!$B$58:$AJ$58,0),FALSE),"")</f>
        <v/>
      </c>
      <c r="AJ129" s="391" t="str">
        <f ca="1">IFERROR(VLOOKUP($C129,COM_N_2012!$B$62:$AJ$122,MATCH(VLOOKUP("*"&amp;$AW129,$A$10:$J$11,$J$9,FALSE)&amp;AJ$7,COM_N_2012!$B$58:$AJ$58,0),FALSE),"")</f>
        <v/>
      </c>
      <c r="AK129" s="391" t="str">
        <f ca="1">IFERROR(VLOOKUP($C129,COM_N_2012!$B$62:$AJ$122,MATCH(VLOOKUP("*"&amp;$AW129,$A$10:$J$11,$J$9,FALSE)&amp;AK$7,COM_N_2012!$B$58:$AJ$58,0),FALSE),"")</f>
        <v/>
      </c>
      <c r="AL129" s="391">
        <f ca="1">IF($A129="*","",IFERROR(VLOOKUP($C129,COM_N_2017!$B$61:$AJ$122,MATCH(VLOOKUP("*"&amp;$AW129,$A$10:$J$11,$J$9,FALSE)&amp;AL$7,COM_N_2017!$B$58:$AJ$58,0),FALSE),""))</f>
        <v>0</v>
      </c>
      <c r="AM129" s="391">
        <f ca="1">IF($A129="*","",IFERROR(VLOOKUP($C129,COM_N_2017!$B$61:$AJ$122,MATCH(VLOOKUP("*"&amp;$AW129,$A$10:$J$11,$J$9,FALSE)&amp;AM$7,COM_N_2017!$B$58:$AJ$58,0),FALSE),""))</f>
        <v>0</v>
      </c>
      <c r="AN129" s="391">
        <f ca="1">IF($A129="*","",IFERROR(VLOOKUP($C129,COM_N_2017!$B$61:$AJ$122,MATCH(VLOOKUP("*"&amp;$AW129,$A$10:$J$11,$J$9,FALSE)&amp;AN$7,COM_N_2017!$B$58:$AJ$58,0),FALSE),""))</f>
        <v>0</v>
      </c>
      <c r="AO129" s="391" t="str">
        <f ca="1">IFERROR(VLOOKUP($C129,COM_N_2012!$B$62:$AJ$122,MATCH(VLOOKUP("*"&amp;$AW129,$A$10:$J$11,$J$9,FALSE)&amp;AO$7,COM_N_2012!$B$58:$AJ$58,0),FALSE),"")</f>
        <v/>
      </c>
      <c r="AP129" s="391" t="str">
        <f ca="1">IFERROR(VLOOKUP($C129,COM_N_2012!$B$62:$AJ$122,MATCH(VLOOKUP("*"&amp;$AW129,$A$10:$J$11,$J$9,FALSE)&amp;AP$7,COM_N_2012!$B$58:$AJ$58,0),FALSE),"")</f>
        <v/>
      </c>
      <c r="AQ129" s="391" t="str">
        <f ca="1">IFERROR(VLOOKUP($C129,COM_N_2012!$B$62:$AJ$122,MATCH(VLOOKUP("*"&amp;$AW129,$A$10:$J$11,$J$9,FALSE)&amp;AQ$7,COM_N_2012!$B$58:$AJ$58,0),FALSE),"")</f>
        <v/>
      </c>
      <c r="AR129" s="391" t="str">
        <f ca="1">IFERROR(VLOOKUP($C129,COM_N_2012!$B$62:$AJ$122,MATCH(VLOOKUP("*"&amp;$AW129,$A$10:$J$11,$J$9,FALSE)&amp;AR$7,COM_N_2012!$B$58:$AJ$58,0),FALSE),"")</f>
        <v/>
      </c>
      <c r="AS129" s="391" t="str">
        <f ca="1">IFERROR(VLOOKUP($C129,COM_N_2012!$B$62:$AJ$122,MATCH(VLOOKUP("*"&amp;$AW129,$A$10:$J$11,$J$9,FALSE)&amp;AS$7,COM_N_2012!$B$58:$AJ$58,0),FALSE),"")</f>
        <v/>
      </c>
      <c r="AT129" s="391" t="str">
        <f ca="1">IFERROR(VLOOKUP($C129,COM_N_2012!$B$62:$AJ$122,MATCH(VLOOKUP("*"&amp;$AW129,$A$10:$J$11,$J$9,FALSE)&amp;AT$7,COM_N_2012!$B$58:$AJ$58,0),FALSE),"")</f>
        <v/>
      </c>
      <c r="AU129" s="391" t="str">
        <f ca="1">IFERROR(VLOOKUP($C129,COM_N_2012!$B$62:$AJ$122,MATCH(VLOOKUP("*"&amp;$AW129,$A$10:$J$11,$J$9,FALSE)&amp;AU$7,COM_N_2012!$B$58:$AJ$58,0),FALSE),"")</f>
        <v/>
      </c>
      <c r="AW129" s="304">
        <f>IF(AX128=COM_N_2012!$AK$121,AW128+1,AW128)</f>
        <v>2</v>
      </c>
      <c r="AX129" s="304">
        <f t="shared" si="33"/>
        <v>56</v>
      </c>
    </row>
    <row r="130" spans="1:50">
      <c r="A130" s="304" t="str">
        <f ca="1">IF(LEFT(OFFSET(COM_N_2012!$A$60,AX130,0),2)="\I","*","")</f>
        <v/>
      </c>
      <c r="B130" s="369" t="str">
        <f t="shared" ca="1" si="34"/>
        <v>FLO_MRKPRD</v>
      </c>
      <c r="C130" s="369" t="str">
        <f ca="1">IF($A130="*","",OFFSET(COM_N_2012!$B$60,AX130,0))</f>
        <v>CNOOGS-E</v>
      </c>
      <c r="D130" s="369" t="str">
        <f t="shared" ca="1" si="35"/>
        <v>CNO</v>
      </c>
      <c r="E130" s="369" t="str">
        <f t="shared" ca="1" si="36"/>
        <v>-</v>
      </c>
      <c r="F130" s="370" t="str">
        <f t="shared" ca="1" si="32"/>
        <v>-</v>
      </c>
      <c r="G130" s="370" t="str">
        <f t="shared" ca="1" si="32"/>
        <v>ANNUAL</v>
      </c>
      <c r="H130" s="370" t="str">
        <f t="shared" ca="1" si="37"/>
        <v>LO</v>
      </c>
      <c r="I130" s="370">
        <f t="shared" ca="1" si="37"/>
        <v>0</v>
      </c>
      <c r="J130" s="391">
        <f ca="1">IFERROR(VLOOKUP($C130,COM_N_2012!$B$61:$AJ$122,MATCH(VLOOKUP("*"&amp;$AW130,$A$10:$J$11,$J$9,FALSE)&amp;J$7,COM_N_2012!$B$58:$AJ$58,0),FALSE),"")</f>
        <v>0</v>
      </c>
      <c r="K130" s="391" t="str">
        <f ca="1">IFERROR(VLOOKUP($C130,COM_N_2012!$B$62:$AJ$122,MATCH(VLOOKUP("*"&amp;$AW130,$A$10:$J$11,$J$9,FALSE)&amp;K$7,COM_N_2012!$B$58:$AJ$58,0),FALSE),"")</f>
        <v/>
      </c>
      <c r="L130" s="391" t="str">
        <f ca="1">IFERROR(VLOOKUP($C130,COM_N_2012!$B$62:$AJ$122,MATCH(VLOOKUP("*"&amp;$AW130,$A$10:$J$11,$J$9,FALSE)&amp;L$7,COM_N_2012!$B$58:$AJ$58,0),FALSE),"")</f>
        <v/>
      </c>
      <c r="M130" s="391">
        <f ca="1">IFERROR(VLOOKUP($C130,COM_N_2012!$B$62:$AJ$122,MATCH(VLOOKUP("*"&amp;$AW130,$A$10:$J$11,$J$9,FALSE)&amp;M$7,COM_N_2012!$B$58:$AJ$58,0),FALSE),"")</f>
        <v>0</v>
      </c>
      <c r="N130" s="391" t="str">
        <f ca="1">IFERROR(VLOOKUP($C130,COM_N_2012!$B$62:$AJ$122,MATCH(VLOOKUP("*"&amp;$AW130,$A$10:$J$11,$J$9,FALSE)&amp;N$7,COM_N_2012!$B$58:$AJ$58,0),FALSE),"")</f>
        <v/>
      </c>
      <c r="O130" s="391">
        <f ca="1">IF($A130="*","",IFERROR(VLOOKUP($C130,COM_N_2017!$B$61:$AJ$122,MATCH(VLOOKUP("*"&amp;$AW130,$A$10:$J$11,$J$9,FALSE)&amp;O$7,COM_N_2017!$B$58:$AJ$58,0),FALSE),""))</f>
        <v>0</v>
      </c>
      <c r="P130" s="391" t="str">
        <f ca="1">IFERROR(VLOOKUP($C130,COM_N_2012!$B$62:$AJ$122,MATCH(VLOOKUP("*"&amp;$AW130,$A$10:$J$11,$J$9,FALSE)&amp;P$7,COM_N_2012!$B$58:$AJ$58,0),FALSE),"")</f>
        <v/>
      </c>
      <c r="Q130" s="391" t="str">
        <f ca="1">IFERROR(VLOOKUP($C130,COM_N_2012!$B$62:$AJ$122,MATCH(VLOOKUP("*"&amp;$AW130,$A$10:$J$11,$J$9,FALSE)&amp;Q$7,COM_N_2012!$B$58:$AJ$58,0),FALSE),"")</f>
        <v/>
      </c>
      <c r="R130" s="391">
        <f ca="1">IF($A130="*","",IFERROR(VLOOKUP($C130,COM_N_2017!$B$61:$AJ$122,MATCH(VLOOKUP("*"&amp;$AW130,$A$10:$J$11,$J$9,FALSE)&amp;R$7,COM_N_2017!$B$58:$AJ$58,0),FALSE),""))</f>
        <v>0</v>
      </c>
      <c r="S130" s="391" t="str">
        <f ca="1">IFERROR(VLOOKUP($C130,COM_N_2012!$B$62:$AJ$122,MATCH(VLOOKUP("*"&amp;$AW130,$A$10:$J$11,$J$9,FALSE)&amp;S$7,COM_N_2012!$B$58:$AJ$58,0),FALSE),"")</f>
        <v/>
      </c>
      <c r="T130" s="391" t="str">
        <f ca="1">IFERROR(VLOOKUP($C130,COM_N_2012!$B$62:$AJ$122,MATCH(VLOOKUP("*"&amp;$AW130,$A$10:$J$11,$J$9,FALSE)&amp;T$7,COM_N_2012!$B$58:$AJ$58,0),FALSE),"")</f>
        <v/>
      </c>
      <c r="U130" s="391" t="str">
        <f ca="1">IFERROR(VLOOKUP($C130,COM_N_2012!$B$62:$AJ$122,MATCH(VLOOKUP("*"&amp;$AW130,$A$10:$J$11,$J$9,FALSE)&amp;U$7,COM_N_2012!$B$58:$AJ$58,0),FALSE),"")</f>
        <v/>
      </c>
      <c r="V130" s="391" t="str">
        <f ca="1">IFERROR(VLOOKUP($C130,COM_N_2012!$B$62:$AJ$122,MATCH(VLOOKUP("*"&amp;$AW130,$A$10:$J$11,$J$9,FALSE)&amp;V$7,COM_N_2012!$B$58:$AJ$58,0),FALSE),"")</f>
        <v/>
      </c>
      <c r="W130" s="391">
        <f ca="1">IF($A130="*","",IFERROR(VLOOKUP($C130,COM_N_2017!$B$61:$AJ$122,MATCH(VLOOKUP("*"&amp;$AW130,$A$10:$J$11,$J$9,FALSE)&amp;W$7,COM_N_2017!$B$58:$AJ$58,0),FALSE),""))</f>
        <v>0</v>
      </c>
      <c r="X130" s="391" t="str">
        <f ca="1">IFERROR(VLOOKUP($C130,COM_N_2012!$B$62:$AJ$122,MATCH(VLOOKUP("*"&amp;$AW130,$A$10:$J$11,$J$9,FALSE)&amp;X$7,COM_N_2012!$B$58:$AJ$58,0),FALSE),"")</f>
        <v/>
      </c>
      <c r="Y130" s="391" t="str">
        <f ca="1">IFERROR(VLOOKUP($C130,COM_N_2012!$B$62:$AJ$122,MATCH(VLOOKUP("*"&amp;$AW130,$A$10:$J$11,$J$9,FALSE)&amp;Y$7,COM_N_2012!$B$58:$AJ$58,0),FALSE),"")</f>
        <v/>
      </c>
      <c r="Z130" s="391" t="str">
        <f ca="1">IFERROR(VLOOKUP($C130,COM_N_2012!$B$62:$AJ$122,MATCH(VLOOKUP("*"&amp;$AW130,$A$10:$J$11,$J$9,FALSE)&amp;Z$7,COM_N_2012!$B$58:$AJ$58,0),FALSE),"")</f>
        <v/>
      </c>
      <c r="AA130" s="391" t="str">
        <f ca="1">IFERROR(VLOOKUP($C130,COM_N_2012!$B$62:$AJ$122,MATCH(VLOOKUP("*"&amp;$AW130,$A$10:$J$11,$J$9,FALSE)&amp;AA$7,COM_N_2012!$B$58:$AJ$58,0),FALSE),"")</f>
        <v/>
      </c>
      <c r="AB130" s="391">
        <f ca="1">IF($A130="*","",IFERROR(VLOOKUP($C130,COM_N_2017!$B$61:$AJ$122,MATCH(VLOOKUP("*"&amp;$AW130,$A$10:$J$11,$J$9,FALSE)&amp;AB$7,COM_N_2017!$B$58:$AJ$58,0),FALSE),""))</f>
        <v>0</v>
      </c>
      <c r="AC130" s="391" t="str">
        <f ca="1">IFERROR(VLOOKUP($C130,COM_N_2012!$B$62:$AJ$122,MATCH(VLOOKUP("*"&amp;$AW130,$A$10:$J$11,$J$9,FALSE)&amp;AC$7,COM_N_2012!$B$58:$AJ$58,0),FALSE),"")</f>
        <v/>
      </c>
      <c r="AD130" s="391" t="str">
        <f ca="1">IFERROR(VLOOKUP($C130,COM_N_2012!$B$62:$AJ$122,MATCH(VLOOKUP("*"&amp;$AW130,$A$10:$J$11,$J$9,FALSE)&amp;AD$7,COM_N_2012!$B$58:$AJ$58,0),FALSE),"")</f>
        <v/>
      </c>
      <c r="AE130" s="391" t="str">
        <f ca="1">IFERROR(VLOOKUP($C130,COM_N_2012!$B$62:$AJ$122,MATCH(VLOOKUP("*"&amp;$AW130,$A$10:$J$11,$J$9,FALSE)&amp;AE$7,COM_N_2012!$B$58:$AJ$58,0),FALSE),"")</f>
        <v/>
      </c>
      <c r="AF130" s="391" t="str">
        <f ca="1">IFERROR(VLOOKUP($C130,COM_N_2012!$B$62:$AJ$122,MATCH(VLOOKUP("*"&amp;$AW130,$A$10:$J$11,$J$9,FALSE)&amp;AF$7,COM_N_2012!$B$58:$AJ$58,0),FALSE),"")</f>
        <v/>
      </c>
      <c r="AG130" s="391">
        <f ca="1">IF($A130="*","",IFERROR(VLOOKUP($C130,COM_N_2017!$B$61:$AJ$122,MATCH(VLOOKUP("*"&amp;$AW130,$A$10:$J$11,$J$9,FALSE)&amp;AG$7,COM_N_2017!$B$58:$AJ$58,0),FALSE),""))</f>
        <v>0</v>
      </c>
      <c r="AH130" s="391" t="str">
        <f ca="1">IFERROR(VLOOKUP($C130,COM_N_2012!$B$62:$AJ$122,MATCH(VLOOKUP("*"&amp;$AW130,$A$10:$J$11,$J$9,FALSE)&amp;AH$7,COM_N_2012!$B$58:$AJ$58,0),FALSE),"")</f>
        <v/>
      </c>
      <c r="AI130" s="391" t="str">
        <f ca="1">IFERROR(VLOOKUP($C130,COM_N_2012!$B$62:$AJ$122,MATCH(VLOOKUP("*"&amp;$AW130,$A$10:$J$11,$J$9,FALSE)&amp;AI$7,COM_N_2012!$B$58:$AJ$58,0),FALSE),"")</f>
        <v/>
      </c>
      <c r="AJ130" s="391" t="str">
        <f ca="1">IFERROR(VLOOKUP($C130,COM_N_2012!$B$62:$AJ$122,MATCH(VLOOKUP("*"&amp;$AW130,$A$10:$J$11,$J$9,FALSE)&amp;AJ$7,COM_N_2012!$B$58:$AJ$58,0),FALSE),"")</f>
        <v/>
      </c>
      <c r="AK130" s="391" t="str">
        <f ca="1">IFERROR(VLOOKUP($C130,COM_N_2012!$B$62:$AJ$122,MATCH(VLOOKUP("*"&amp;$AW130,$A$10:$J$11,$J$9,FALSE)&amp;AK$7,COM_N_2012!$B$58:$AJ$58,0),FALSE),"")</f>
        <v/>
      </c>
      <c r="AL130" s="391">
        <f ca="1">IF($A130="*","",IFERROR(VLOOKUP($C130,COM_N_2017!$B$61:$AJ$122,MATCH(VLOOKUP("*"&amp;$AW130,$A$10:$J$11,$J$9,FALSE)&amp;AL$7,COM_N_2017!$B$58:$AJ$58,0),FALSE),""))</f>
        <v>0</v>
      </c>
      <c r="AM130" s="391">
        <f ca="1">IF($A130="*","",IFERROR(VLOOKUP($C130,COM_N_2017!$B$61:$AJ$122,MATCH(VLOOKUP("*"&amp;$AW130,$A$10:$J$11,$J$9,FALSE)&amp;AM$7,COM_N_2017!$B$58:$AJ$58,0),FALSE),""))</f>
        <v>0</v>
      </c>
      <c r="AN130" s="391">
        <f ca="1">IF($A130="*","",IFERROR(VLOOKUP($C130,COM_N_2017!$B$61:$AJ$122,MATCH(VLOOKUP("*"&amp;$AW130,$A$10:$J$11,$J$9,FALSE)&amp;AN$7,COM_N_2017!$B$58:$AJ$58,0),FALSE),""))</f>
        <v>0</v>
      </c>
      <c r="AO130" s="391" t="str">
        <f ca="1">IFERROR(VLOOKUP($C130,COM_N_2012!$B$62:$AJ$122,MATCH(VLOOKUP("*"&amp;$AW130,$A$10:$J$11,$J$9,FALSE)&amp;AO$7,COM_N_2012!$B$58:$AJ$58,0),FALSE),"")</f>
        <v/>
      </c>
      <c r="AP130" s="391" t="str">
        <f ca="1">IFERROR(VLOOKUP($C130,COM_N_2012!$B$62:$AJ$122,MATCH(VLOOKUP("*"&amp;$AW130,$A$10:$J$11,$J$9,FALSE)&amp;AP$7,COM_N_2012!$B$58:$AJ$58,0),FALSE),"")</f>
        <v/>
      </c>
      <c r="AQ130" s="391" t="str">
        <f ca="1">IFERROR(VLOOKUP($C130,COM_N_2012!$B$62:$AJ$122,MATCH(VLOOKUP("*"&amp;$AW130,$A$10:$J$11,$J$9,FALSE)&amp;AQ$7,COM_N_2012!$B$58:$AJ$58,0),FALSE),"")</f>
        <v/>
      </c>
      <c r="AR130" s="391" t="str">
        <f ca="1">IFERROR(VLOOKUP($C130,COM_N_2012!$B$62:$AJ$122,MATCH(VLOOKUP("*"&amp;$AW130,$A$10:$J$11,$J$9,FALSE)&amp;AR$7,COM_N_2012!$B$58:$AJ$58,0),FALSE),"")</f>
        <v/>
      </c>
      <c r="AS130" s="391" t="str">
        <f ca="1">IFERROR(VLOOKUP($C130,COM_N_2012!$B$62:$AJ$122,MATCH(VLOOKUP("*"&amp;$AW130,$A$10:$J$11,$J$9,FALSE)&amp;AS$7,COM_N_2012!$B$58:$AJ$58,0),FALSE),"")</f>
        <v/>
      </c>
      <c r="AT130" s="391" t="str">
        <f ca="1">IFERROR(VLOOKUP($C130,COM_N_2012!$B$62:$AJ$122,MATCH(VLOOKUP("*"&amp;$AW130,$A$10:$J$11,$J$9,FALSE)&amp;AT$7,COM_N_2012!$B$58:$AJ$58,0),FALSE),"")</f>
        <v/>
      </c>
      <c r="AU130" s="391" t="str">
        <f ca="1">IFERROR(VLOOKUP($C130,COM_N_2012!$B$62:$AJ$122,MATCH(VLOOKUP("*"&amp;$AW130,$A$10:$J$11,$J$9,FALSE)&amp;AU$7,COM_N_2012!$B$58:$AJ$58,0),FALSE),"")</f>
        <v/>
      </c>
      <c r="AW130" s="304">
        <f>IF(AX129=COM_N_2012!$AK$121,AW129+1,AW129)</f>
        <v>2</v>
      </c>
      <c r="AX130" s="304">
        <f t="shared" si="33"/>
        <v>57</v>
      </c>
    </row>
    <row r="131" spans="1:50">
      <c r="A131" s="304" t="str">
        <f ca="1">IF(LEFT(OFFSET(COM_N_2012!$A$60,AX131,0),2)="\I","*","")</f>
        <v/>
      </c>
      <c r="B131" s="369" t="str">
        <f t="shared" ca="1" si="34"/>
        <v>FLO_MRKPRD</v>
      </c>
      <c r="C131" s="369" t="str">
        <f ca="1">IF($A131="*","",OFFSET(COM_N_2012!$B$60,AX131,0))</f>
        <v>CNOOHF-E</v>
      </c>
      <c r="D131" s="369" t="str">
        <f t="shared" ca="1" si="35"/>
        <v>CNO</v>
      </c>
      <c r="E131" s="369" t="str">
        <f t="shared" ca="1" si="36"/>
        <v>-</v>
      </c>
      <c r="F131" s="370" t="str">
        <f t="shared" ca="1" si="32"/>
        <v>-</v>
      </c>
      <c r="G131" s="370" t="str">
        <f t="shared" ca="1" si="32"/>
        <v>ANNUAL</v>
      </c>
      <c r="H131" s="370" t="str">
        <f t="shared" ca="1" si="37"/>
        <v>LO</v>
      </c>
      <c r="I131" s="370">
        <f t="shared" ca="1" si="37"/>
        <v>0</v>
      </c>
      <c r="J131" s="391">
        <f ca="1">IFERROR(VLOOKUP($C131,COM_N_2012!$B$61:$AJ$122,MATCH(VLOOKUP("*"&amp;$AW131,$A$10:$J$11,$J$9,FALSE)&amp;J$7,COM_N_2012!$B$58:$AJ$58,0),FALSE),"")</f>
        <v>1.2188540523778213E-2</v>
      </c>
      <c r="K131" s="391" t="str">
        <f ca="1">IFERROR(VLOOKUP($C131,COM_N_2012!$B$62:$AJ$122,MATCH(VLOOKUP("*"&amp;$AW131,$A$10:$J$11,$J$9,FALSE)&amp;K$7,COM_N_2012!$B$58:$AJ$58,0),FALSE),"")</f>
        <v/>
      </c>
      <c r="L131" s="391" t="str">
        <f ca="1">IFERROR(VLOOKUP($C131,COM_N_2012!$B$62:$AJ$122,MATCH(VLOOKUP("*"&amp;$AW131,$A$10:$J$11,$J$9,FALSE)&amp;L$7,COM_N_2012!$B$58:$AJ$58,0),FALSE),"")</f>
        <v/>
      </c>
      <c r="M131" s="391">
        <f ca="1">IFERROR(VLOOKUP($C131,COM_N_2012!$B$62:$AJ$122,MATCH(VLOOKUP("*"&amp;$AW131,$A$10:$J$11,$J$9,FALSE)&amp;M$7,COM_N_2012!$B$58:$AJ$58,0),FALSE),"")</f>
        <v>1.2188540523778213E-2</v>
      </c>
      <c r="N131" s="391" t="str">
        <f ca="1">IFERROR(VLOOKUP($C131,COM_N_2012!$B$62:$AJ$122,MATCH(VLOOKUP("*"&amp;$AW131,$A$10:$J$11,$J$9,FALSE)&amp;N$7,COM_N_2012!$B$58:$AJ$58,0),FALSE),"")</f>
        <v/>
      </c>
      <c r="O131" s="391">
        <f ca="1">IF($A131="*","",IFERROR(VLOOKUP($C131,COM_N_2017!$B$61:$AJ$122,MATCH(VLOOKUP("*"&amp;$AW131,$A$10:$J$11,$J$9,FALSE)&amp;O$7,COM_N_2017!$B$58:$AJ$58,0),FALSE),""))</f>
        <v>1.3319271125935599E-2</v>
      </c>
      <c r="P131" s="391" t="str">
        <f ca="1">IFERROR(VLOOKUP($C131,COM_N_2012!$B$62:$AJ$122,MATCH(VLOOKUP("*"&amp;$AW131,$A$10:$J$11,$J$9,FALSE)&amp;P$7,COM_N_2012!$B$58:$AJ$58,0),FALSE),"")</f>
        <v/>
      </c>
      <c r="Q131" s="391" t="str">
        <f ca="1">IFERROR(VLOOKUP($C131,COM_N_2012!$B$62:$AJ$122,MATCH(VLOOKUP("*"&amp;$AW131,$A$10:$J$11,$J$9,FALSE)&amp;Q$7,COM_N_2012!$B$58:$AJ$58,0),FALSE),"")</f>
        <v/>
      </c>
      <c r="R131" s="391">
        <f ca="1">IF($A131="*","",IFERROR(VLOOKUP($C131,COM_N_2017!$B$61:$AJ$122,MATCH(VLOOKUP("*"&amp;$AW131,$A$10:$J$11,$J$9,FALSE)&amp;R$7,COM_N_2017!$B$58:$AJ$58,0),FALSE),""))</f>
        <v>1.2919692992157531E-2</v>
      </c>
      <c r="S131" s="391" t="str">
        <f ca="1">IFERROR(VLOOKUP($C131,COM_N_2012!$B$62:$AJ$122,MATCH(VLOOKUP("*"&amp;$AW131,$A$10:$J$11,$J$9,FALSE)&amp;S$7,COM_N_2012!$B$58:$AJ$58,0),FALSE),"")</f>
        <v/>
      </c>
      <c r="T131" s="391" t="str">
        <f ca="1">IFERROR(VLOOKUP($C131,COM_N_2012!$B$62:$AJ$122,MATCH(VLOOKUP("*"&amp;$AW131,$A$10:$J$11,$J$9,FALSE)&amp;T$7,COM_N_2012!$B$58:$AJ$58,0),FALSE),"")</f>
        <v/>
      </c>
      <c r="U131" s="391" t="str">
        <f ca="1">IFERROR(VLOOKUP($C131,COM_N_2012!$B$62:$AJ$122,MATCH(VLOOKUP("*"&amp;$AW131,$A$10:$J$11,$J$9,FALSE)&amp;U$7,COM_N_2012!$B$58:$AJ$58,0),FALSE),"")</f>
        <v/>
      </c>
      <c r="V131" s="391" t="str">
        <f ca="1">IFERROR(VLOOKUP($C131,COM_N_2012!$B$62:$AJ$122,MATCH(VLOOKUP("*"&amp;$AW131,$A$10:$J$11,$J$9,FALSE)&amp;V$7,COM_N_2012!$B$58:$AJ$58,0),FALSE),"")</f>
        <v/>
      </c>
      <c r="W131" s="391">
        <f ca="1">IF($A131="*","",IFERROR(VLOOKUP($C131,COM_N_2017!$B$61:$AJ$122,MATCH(VLOOKUP("*"&amp;$AW131,$A$10:$J$11,$J$9,FALSE)&amp;W$7,COM_N_2017!$B$58:$AJ$58,0),FALSE),""))</f>
        <v>1.198734401334204E-2</v>
      </c>
      <c r="X131" s="391" t="str">
        <f ca="1">IFERROR(VLOOKUP($C131,COM_N_2012!$B$62:$AJ$122,MATCH(VLOOKUP("*"&amp;$AW131,$A$10:$J$11,$J$9,FALSE)&amp;X$7,COM_N_2012!$B$58:$AJ$58,0),FALSE),"")</f>
        <v/>
      </c>
      <c r="Y131" s="391" t="str">
        <f ca="1">IFERROR(VLOOKUP($C131,COM_N_2012!$B$62:$AJ$122,MATCH(VLOOKUP("*"&amp;$AW131,$A$10:$J$11,$J$9,FALSE)&amp;Y$7,COM_N_2012!$B$58:$AJ$58,0),FALSE),"")</f>
        <v/>
      </c>
      <c r="Z131" s="391" t="str">
        <f ca="1">IFERROR(VLOOKUP($C131,COM_N_2012!$B$62:$AJ$122,MATCH(VLOOKUP("*"&amp;$AW131,$A$10:$J$11,$J$9,FALSE)&amp;Z$7,COM_N_2012!$B$58:$AJ$58,0),FALSE),"")</f>
        <v/>
      </c>
      <c r="AA131" s="391" t="str">
        <f ca="1">IFERROR(VLOOKUP($C131,COM_N_2012!$B$62:$AJ$122,MATCH(VLOOKUP("*"&amp;$AW131,$A$10:$J$11,$J$9,FALSE)&amp;AA$7,COM_N_2012!$B$58:$AJ$58,0),FALSE),"")</f>
        <v/>
      </c>
      <c r="AB131" s="391">
        <f ca="1">IF($A131="*","",IFERROR(VLOOKUP($C131,COM_N_2017!$B$61:$AJ$122,MATCH(VLOOKUP("*"&amp;$AW131,$A$10:$J$11,$J$9,FALSE)&amp;AB$7,COM_N_2017!$B$58:$AJ$58,0),FALSE),""))</f>
        <v>9.3234897881549188E-3</v>
      </c>
      <c r="AC131" s="391" t="str">
        <f ca="1">IFERROR(VLOOKUP($C131,COM_N_2012!$B$62:$AJ$122,MATCH(VLOOKUP("*"&amp;$AW131,$A$10:$J$11,$J$9,FALSE)&amp;AC$7,COM_N_2012!$B$58:$AJ$58,0),FALSE),"")</f>
        <v/>
      </c>
      <c r="AD131" s="391" t="str">
        <f ca="1">IFERROR(VLOOKUP($C131,COM_N_2012!$B$62:$AJ$122,MATCH(VLOOKUP("*"&amp;$AW131,$A$10:$J$11,$J$9,FALSE)&amp;AD$7,COM_N_2012!$B$58:$AJ$58,0),FALSE),"")</f>
        <v/>
      </c>
      <c r="AE131" s="391" t="str">
        <f ca="1">IFERROR(VLOOKUP($C131,COM_N_2012!$B$62:$AJ$122,MATCH(VLOOKUP("*"&amp;$AW131,$A$10:$J$11,$J$9,FALSE)&amp;AE$7,COM_N_2012!$B$58:$AJ$58,0),FALSE),"")</f>
        <v/>
      </c>
      <c r="AF131" s="391" t="str">
        <f ca="1">IFERROR(VLOOKUP($C131,COM_N_2012!$B$62:$AJ$122,MATCH(VLOOKUP("*"&amp;$AW131,$A$10:$J$11,$J$9,FALSE)&amp;AF$7,COM_N_2012!$B$58:$AJ$58,0),FALSE),"")</f>
        <v/>
      </c>
      <c r="AG131" s="391">
        <f ca="1">IF($A131="*","",IFERROR(VLOOKUP($C131,COM_N_2017!$B$61:$AJ$122,MATCH(VLOOKUP("*"&amp;$AW131,$A$10:$J$11,$J$9,FALSE)&amp;AG$7,COM_N_2017!$B$58:$AJ$58,0),FALSE),""))</f>
        <v>6.6596355629677997E-3</v>
      </c>
      <c r="AH131" s="391" t="str">
        <f ca="1">IFERROR(VLOOKUP($C131,COM_N_2012!$B$62:$AJ$122,MATCH(VLOOKUP("*"&amp;$AW131,$A$10:$J$11,$J$9,FALSE)&amp;AH$7,COM_N_2012!$B$58:$AJ$58,0),FALSE),"")</f>
        <v/>
      </c>
      <c r="AI131" s="391" t="str">
        <f ca="1">IFERROR(VLOOKUP($C131,COM_N_2012!$B$62:$AJ$122,MATCH(VLOOKUP("*"&amp;$AW131,$A$10:$J$11,$J$9,FALSE)&amp;AI$7,COM_N_2012!$B$58:$AJ$58,0),FALSE),"")</f>
        <v/>
      </c>
      <c r="AJ131" s="391" t="str">
        <f ca="1">IFERROR(VLOOKUP($C131,COM_N_2012!$B$62:$AJ$122,MATCH(VLOOKUP("*"&amp;$AW131,$A$10:$J$11,$J$9,FALSE)&amp;AJ$7,COM_N_2012!$B$58:$AJ$58,0),FALSE),"")</f>
        <v/>
      </c>
      <c r="AK131" s="391" t="str">
        <f ca="1">IFERROR(VLOOKUP($C131,COM_N_2012!$B$62:$AJ$122,MATCH(VLOOKUP("*"&amp;$AW131,$A$10:$J$11,$J$9,FALSE)&amp;AK$7,COM_N_2012!$B$58:$AJ$58,0),FALSE),"")</f>
        <v/>
      </c>
      <c r="AL131" s="391">
        <f ca="1">IF($A131="*","",IFERROR(VLOOKUP($C131,COM_N_2017!$B$61:$AJ$122,MATCH(VLOOKUP("*"&amp;$AW131,$A$10:$J$11,$J$9,FALSE)&amp;AL$7,COM_N_2017!$B$58:$AJ$58,0),FALSE),""))</f>
        <v>3.9957813377806796E-3</v>
      </c>
      <c r="AM131" s="391">
        <f ca="1">IF($A131="*","",IFERROR(VLOOKUP($C131,COM_N_2017!$B$61:$AJ$122,MATCH(VLOOKUP("*"&amp;$AW131,$A$10:$J$11,$J$9,FALSE)&amp;AM$7,COM_N_2017!$B$58:$AJ$58,0),FALSE),""))</f>
        <v>1.33192711259356E-3</v>
      </c>
      <c r="AN131" s="391">
        <f ca="1">IF($A131="*","",IFERROR(VLOOKUP($C131,COM_N_2017!$B$61:$AJ$122,MATCH(VLOOKUP("*"&amp;$AW131,$A$10:$J$11,$J$9,FALSE)&amp;AN$7,COM_N_2017!$B$58:$AJ$58,0),FALSE),""))</f>
        <v>0</v>
      </c>
      <c r="AO131" s="391" t="str">
        <f ca="1">IFERROR(VLOOKUP($C131,COM_N_2012!$B$62:$AJ$122,MATCH(VLOOKUP("*"&amp;$AW131,$A$10:$J$11,$J$9,FALSE)&amp;AO$7,COM_N_2012!$B$58:$AJ$58,0),FALSE),"")</f>
        <v/>
      </c>
      <c r="AP131" s="391" t="str">
        <f ca="1">IFERROR(VLOOKUP($C131,COM_N_2012!$B$62:$AJ$122,MATCH(VLOOKUP("*"&amp;$AW131,$A$10:$J$11,$J$9,FALSE)&amp;AP$7,COM_N_2012!$B$58:$AJ$58,0),FALSE),"")</f>
        <v/>
      </c>
      <c r="AQ131" s="391" t="str">
        <f ca="1">IFERROR(VLOOKUP($C131,COM_N_2012!$B$62:$AJ$122,MATCH(VLOOKUP("*"&amp;$AW131,$A$10:$J$11,$J$9,FALSE)&amp;AQ$7,COM_N_2012!$B$58:$AJ$58,0),FALSE),"")</f>
        <v/>
      </c>
      <c r="AR131" s="391" t="str">
        <f ca="1">IFERROR(VLOOKUP($C131,COM_N_2012!$B$62:$AJ$122,MATCH(VLOOKUP("*"&amp;$AW131,$A$10:$J$11,$J$9,FALSE)&amp;AR$7,COM_N_2012!$B$58:$AJ$58,0),FALSE),"")</f>
        <v/>
      </c>
      <c r="AS131" s="391" t="str">
        <f ca="1">IFERROR(VLOOKUP($C131,COM_N_2012!$B$62:$AJ$122,MATCH(VLOOKUP("*"&amp;$AW131,$A$10:$J$11,$J$9,FALSE)&amp;AS$7,COM_N_2012!$B$58:$AJ$58,0),FALSE),"")</f>
        <v/>
      </c>
      <c r="AT131" s="391" t="str">
        <f ca="1">IFERROR(VLOOKUP($C131,COM_N_2012!$B$62:$AJ$122,MATCH(VLOOKUP("*"&amp;$AW131,$A$10:$J$11,$J$9,FALSE)&amp;AT$7,COM_N_2012!$B$58:$AJ$58,0),FALSE),"")</f>
        <v/>
      </c>
      <c r="AU131" s="391" t="str">
        <f ca="1">IFERROR(VLOOKUP($C131,COM_N_2012!$B$62:$AJ$122,MATCH(VLOOKUP("*"&amp;$AW131,$A$10:$J$11,$J$9,FALSE)&amp;AU$7,COM_N_2012!$B$58:$AJ$58,0),FALSE),"")</f>
        <v/>
      </c>
      <c r="AW131" s="304">
        <f>IF(AX130=COM_N_2012!$AK$121,AW130+1,AW130)</f>
        <v>2</v>
      </c>
      <c r="AX131" s="304">
        <f t="shared" si="33"/>
        <v>58</v>
      </c>
    </row>
    <row r="132" spans="1:50">
      <c r="B132" s="369" t="str">
        <f t="shared" si="34"/>
        <v>FLO_MRKPRD</v>
      </c>
      <c r="C132" s="369" t="str">
        <f ca="1">IF($A132="*","",OFFSET(COM_N_2012!$B$60,AX132,0))</f>
        <v>CNOOKE-E</v>
      </c>
      <c r="D132" s="369" t="str">
        <f t="shared" ca="1" si="35"/>
        <v>CNO</v>
      </c>
      <c r="E132" s="369" t="str">
        <f t="shared" si="36"/>
        <v>-</v>
      </c>
      <c r="F132" s="370" t="str">
        <f t="shared" si="32"/>
        <v>-</v>
      </c>
      <c r="G132" s="370" t="str">
        <f t="shared" si="32"/>
        <v>ANNUAL</v>
      </c>
      <c r="H132" s="370" t="str">
        <f t="shared" si="37"/>
        <v>LO</v>
      </c>
      <c r="I132" s="370">
        <f t="shared" si="37"/>
        <v>0</v>
      </c>
      <c r="J132" s="391">
        <f ca="1">IFERROR(VLOOKUP($C132,COM_N_2012!$B$61:$AJ$122,MATCH(VLOOKUP("*"&amp;$AW132,$A$10:$J$11,$J$9,FALSE)&amp;J$7,COM_N_2012!$B$58:$AJ$58,0),FALSE),"")</f>
        <v>0</v>
      </c>
      <c r="K132" s="391" t="str">
        <f ca="1">IFERROR(VLOOKUP($C132,COM_N_2012!$B$62:$AJ$122,MATCH(VLOOKUP("*"&amp;$AW132,$A$10:$J$11,$J$9,FALSE)&amp;K$7,COM_N_2012!$B$58:$AJ$58,0),FALSE),"")</f>
        <v/>
      </c>
      <c r="L132" s="391" t="str">
        <f ca="1">IFERROR(VLOOKUP($C132,COM_N_2012!$B$62:$AJ$122,MATCH(VLOOKUP("*"&amp;$AW132,$A$10:$J$11,$J$9,FALSE)&amp;L$7,COM_N_2012!$B$58:$AJ$58,0),FALSE),"")</f>
        <v/>
      </c>
      <c r="M132" s="391">
        <f ca="1">IFERROR(VLOOKUP($C132,COM_N_2012!$B$62:$AJ$122,MATCH(VLOOKUP("*"&amp;$AW132,$A$10:$J$11,$J$9,FALSE)&amp;M$7,COM_N_2012!$B$58:$AJ$58,0),FALSE),"")</f>
        <v>0</v>
      </c>
      <c r="N132" s="391" t="str">
        <f ca="1">IFERROR(VLOOKUP($C132,COM_N_2012!$B$62:$AJ$122,MATCH(VLOOKUP("*"&amp;$AW132,$A$10:$J$11,$J$9,FALSE)&amp;N$7,COM_N_2012!$B$58:$AJ$58,0),FALSE),"")</f>
        <v/>
      </c>
      <c r="O132" s="391">
        <f ca="1">IF($A132="*","",IFERROR(VLOOKUP($C132,COM_N_2017!$B$61:$AJ$122,MATCH(VLOOKUP("*"&amp;$AW132,$A$10:$J$11,$J$9,FALSE)&amp;O$7,COM_N_2017!$B$58:$AJ$58,0),FALSE),""))</f>
        <v>0</v>
      </c>
      <c r="P132" s="391" t="str">
        <f ca="1">IFERROR(VLOOKUP($C132,COM_N_2012!$B$62:$AJ$122,MATCH(VLOOKUP("*"&amp;$AW132,$A$10:$J$11,$J$9,FALSE)&amp;P$7,COM_N_2012!$B$58:$AJ$58,0),FALSE),"")</f>
        <v/>
      </c>
      <c r="Q132" s="391" t="str">
        <f ca="1">IFERROR(VLOOKUP($C132,COM_N_2012!$B$62:$AJ$122,MATCH(VLOOKUP("*"&amp;$AW132,$A$10:$J$11,$J$9,FALSE)&amp;Q$7,COM_N_2012!$B$58:$AJ$58,0),FALSE),"")</f>
        <v/>
      </c>
      <c r="R132" s="391">
        <f ca="1">IF($A132="*","",IFERROR(VLOOKUP($C132,COM_N_2017!$B$61:$AJ$122,MATCH(VLOOKUP("*"&amp;$AW132,$A$10:$J$11,$J$9,FALSE)&amp;R$7,COM_N_2017!$B$58:$AJ$58,0),FALSE),""))</f>
        <v>0</v>
      </c>
      <c r="S132" s="391" t="str">
        <f ca="1">IFERROR(VLOOKUP($C132,COM_N_2012!$B$62:$AJ$122,MATCH(VLOOKUP("*"&amp;$AW132,$A$10:$J$11,$J$9,FALSE)&amp;S$7,COM_N_2012!$B$58:$AJ$58,0),FALSE),"")</f>
        <v/>
      </c>
      <c r="T132" s="391" t="str">
        <f ca="1">IFERROR(VLOOKUP($C132,COM_N_2012!$B$62:$AJ$122,MATCH(VLOOKUP("*"&amp;$AW132,$A$10:$J$11,$J$9,FALSE)&amp;T$7,COM_N_2012!$B$58:$AJ$58,0),FALSE),"")</f>
        <v/>
      </c>
      <c r="U132" s="391" t="str">
        <f ca="1">IFERROR(VLOOKUP($C132,COM_N_2012!$B$62:$AJ$122,MATCH(VLOOKUP("*"&amp;$AW132,$A$10:$J$11,$J$9,FALSE)&amp;U$7,COM_N_2012!$B$58:$AJ$58,0),FALSE),"")</f>
        <v/>
      </c>
      <c r="V132" s="391" t="str">
        <f ca="1">IFERROR(VLOOKUP($C132,COM_N_2012!$B$62:$AJ$122,MATCH(VLOOKUP("*"&amp;$AW132,$A$10:$J$11,$J$9,FALSE)&amp;V$7,COM_N_2012!$B$58:$AJ$58,0),FALSE),"")</f>
        <v/>
      </c>
      <c r="W132" s="391">
        <f ca="1">IF($A132="*","",IFERROR(VLOOKUP($C132,COM_N_2017!$B$61:$AJ$122,MATCH(VLOOKUP("*"&amp;$AW132,$A$10:$J$11,$J$9,FALSE)&amp;W$7,COM_N_2017!$B$58:$AJ$58,0),FALSE),""))</f>
        <v>0</v>
      </c>
      <c r="X132" s="391" t="str">
        <f ca="1">IFERROR(VLOOKUP($C132,COM_N_2012!$B$62:$AJ$122,MATCH(VLOOKUP("*"&amp;$AW132,$A$10:$J$11,$J$9,FALSE)&amp;X$7,COM_N_2012!$B$58:$AJ$58,0),FALSE),"")</f>
        <v/>
      </c>
      <c r="Y132" s="391" t="str">
        <f ca="1">IFERROR(VLOOKUP($C132,COM_N_2012!$B$62:$AJ$122,MATCH(VLOOKUP("*"&amp;$AW132,$A$10:$J$11,$J$9,FALSE)&amp;Y$7,COM_N_2012!$B$58:$AJ$58,0),FALSE),"")</f>
        <v/>
      </c>
      <c r="Z132" s="391" t="str">
        <f ca="1">IFERROR(VLOOKUP($C132,COM_N_2012!$B$62:$AJ$122,MATCH(VLOOKUP("*"&amp;$AW132,$A$10:$J$11,$J$9,FALSE)&amp;Z$7,COM_N_2012!$B$58:$AJ$58,0),FALSE),"")</f>
        <v/>
      </c>
      <c r="AA132" s="391" t="str">
        <f ca="1">IFERROR(VLOOKUP($C132,COM_N_2012!$B$62:$AJ$122,MATCH(VLOOKUP("*"&amp;$AW132,$A$10:$J$11,$J$9,FALSE)&amp;AA$7,COM_N_2012!$B$58:$AJ$58,0),FALSE),"")</f>
        <v/>
      </c>
      <c r="AB132" s="391">
        <f ca="1">IF($A132="*","",IFERROR(VLOOKUP($C132,COM_N_2017!$B$61:$AJ$122,MATCH(VLOOKUP("*"&amp;$AW132,$A$10:$J$11,$J$9,FALSE)&amp;AB$7,COM_N_2017!$B$58:$AJ$58,0),FALSE),""))</f>
        <v>0</v>
      </c>
      <c r="AC132" s="391" t="str">
        <f ca="1">IFERROR(VLOOKUP($C132,COM_N_2012!$B$62:$AJ$122,MATCH(VLOOKUP("*"&amp;$AW132,$A$10:$J$11,$J$9,FALSE)&amp;AC$7,COM_N_2012!$B$58:$AJ$58,0),FALSE),"")</f>
        <v/>
      </c>
      <c r="AD132" s="391" t="str">
        <f ca="1">IFERROR(VLOOKUP($C132,COM_N_2012!$B$62:$AJ$122,MATCH(VLOOKUP("*"&amp;$AW132,$A$10:$J$11,$J$9,FALSE)&amp;AD$7,COM_N_2012!$B$58:$AJ$58,0),FALSE),"")</f>
        <v/>
      </c>
      <c r="AE132" s="391" t="str">
        <f ca="1">IFERROR(VLOOKUP($C132,COM_N_2012!$B$62:$AJ$122,MATCH(VLOOKUP("*"&amp;$AW132,$A$10:$J$11,$J$9,FALSE)&amp;AE$7,COM_N_2012!$B$58:$AJ$58,0),FALSE),"")</f>
        <v/>
      </c>
      <c r="AF132" s="391" t="str">
        <f ca="1">IFERROR(VLOOKUP($C132,COM_N_2012!$B$62:$AJ$122,MATCH(VLOOKUP("*"&amp;$AW132,$A$10:$J$11,$J$9,FALSE)&amp;AF$7,COM_N_2012!$B$58:$AJ$58,0),FALSE),"")</f>
        <v/>
      </c>
      <c r="AG132" s="391">
        <f ca="1">IF($A132="*","",IFERROR(VLOOKUP($C132,COM_N_2017!$B$61:$AJ$122,MATCH(VLOOKUP("*"&amp;$AW132,$A$10:$J$11,$J$9,FALSE)&amp;AG$7,COM_N_2017!$B$58:$AJ$58,0),FALSE),""))</f>
        <v>0</v>
      </c>
      <c r="AH132" s="391" t="str">
        <f ca="1">IFERROR(VLOOKUP($C132,COM_N_2012!$B$62:$AJ$122,MATCH(VLOOKUP("*"&amp;$AW132,$A$10:$J$11,$J$9,FALSE)&amp;AH$7,COM_N_2012!$B$58:$AJ$58,0),FALSE),"")</f>
        <v/>
      </c>
      <c r="AI132" s="391" t="str">
        <f ca="1">IFERROR(VLOOKUP($C132,COM_N_2012!$B$62:$AJ$122,MATCH(VLOOKUP("*"&amp;$AW132,$A$10:$J$11,$J$9,FALSE)&amp;AI$7,COM_N_2012!$B$58:$AJ$58,0),FALSE),"")</f>
        <v/>
      </c>
      <c r="AJ132" s="391" t="str">
        <f ca="1">IFERROR(VLOOKUP($C132,COM_N_2012!$B$62:$AJ$122,MATCH(VLOOKUP("*"&amp;$AW132,$A$10:$J$11,$J$9,FALSE)&amp;AJ$7,COM_N_2012!$B$58:$AJ$58,0),FALSE),"")</f>
        <v/>
      </c>
      <c r="AK132" s="391" t="str">
        <f ca="1">IFERROR(VLOOKUP($C132,COM_N_2012!$B$62:$AJ$122,MATCH(VLOOKUP("*"&amp;$AW132,$A$10:$J$11,$J$9,FALSE)&amp;AK$7,COM_N_2012!$B$58:$AJ$58,0),FALSE),"")</f>
        <v/>
      </c>
      <c r="AL132" s="391">
        <f ca="1">IF($A132="*","",IFERROR(VLOOKUP($C132,COM_N_2017!$B$61:$AJ$122,MATCH(VLOOKUP("*"&amp;$AW132,$A$10:$J$11,$J$9,FALSE)&amp;AL$7,COM_N_2017!$B$58:$AJ$58,0),FALSE),""))</f>
        <v>0</v>
      </c>
      <c r="AM132" s="391">
        <f ca="1">IF($A132="*","",IFERROR(VLOOKUP($C132,COM_N_2017!$B$61:$AJ$122,MATCH(VLOOKUP("*"&amp;$AW132,$A$10:$J$11,$J$9,FALSE)&amp;AM$7,COM_N_2017!$B$58:$AJ$58,0),FALSE),""))</f>
        <v>0</v>
      </c>
      <c r="AN132" s="391">
        <f ca="1">IF($A132="*","",IFERROR(VLOOKUP($C132,COM_N_2017!$B$61:$AJ$122,MATCH(VLOOKUP("*"&amp;$AW132,$A$10:$J$11,$J$9,FALSE)&amp;AN$7,COM_N_2017!$B$58:$AJ$58,0),FALSE),""))</f>
        <v>0</v>
      </c>
      <c r="AO132" s="391" t="str">
        <f ca="1">IFERROR(VLOOKUP($C132,COM_N_2012!$B$62:$AJ$122,MATCH(VLOOKUP("*"&amp;$AW132,$A$10:$J$11,$J$9,FALSE)&amp;AO$7,COM_N_2012!$B$58:$AJ$58,0),FALSE),"")</f>
        <v/>
      </c>
      <c r="AP132" s="391" t="str">
        <f ca="1">IFERROR(VLOOKUP($C132,COM_N_2012!$B$62:$AJ$122,MATCH(VLOOKUP("*"&amp;$AW132,$A$10:$J$11,$J$9,FALSE)&amp;AP$7,COM_N_2012!$B$58:$AJ$58,0),FALSE),"")</f>
        <v/>
      </c>
      <c r="AQ132" s="391" t="str">
        <f ca="1">IFERROR(VLOOKUP($C132,COM_N_2012!$B$62:$AJ$122,MATCH(VLOOKUP("*"&amp;$AW132,$A$10:$J$11,$J$9,FALSE)&amp;AQ$7,COM_N_2012!$B$58:$AJ$58,0),FALSE),"")</f>
        <v/>
      </c>
      <c r="AR132" s="391" t="str">
        <f ca="1">IFERROR(VLOOKUP($C132,COM_N_2012!$B$62:$AJ$122,MATCH(VLOOKUP("*"&amp;$AW132,$A$10:$J$11,$J$9,FALSE)&amp;AR$7,COM_N_2012!$B$58:$AJ$58,0),FALSE),"")</f>
        <v/>
      </c>
      <c r="AS132" s="391" t="str">
        <f ca="1">IFERROR(VLOOKUP($C132,COM_N_2012!$B$62:$AJ$122,MATCH(VLOOKUP("*"&amp;$AW132,$A$10:$J$11,$J$9,FALSE)&amp;AS$7,COM_N_2012!$B$58:$AJ$58,0),FALSE),"")</f>
        <v/>
      </c>
      <c r="AT132" s="391" t="str">
        <f ca="1">IFERROR(VLOOKUP($C132,COM_N_2012!$B$62:$AJ$122,MATCH(VLOOKUP("*"&amp;$AW132,$A$10:$J$11,$J$9,FALSE)&amp;AT$7,COM_N_2012!$B$58:$AJ$58,0),FALSE),"")</f>
        <v/>
      </c>
      <c r="AU132" s="391" t="str">
        <f ca="1">IFERROR(VLOOKUP($C132,COM_N_2012!$B$62:$AJ$122,MATCH(VLOOKUP("*"&amp;$AW132,$A$10:$J$11,$J$9,FALSE)&amp;AU$7,COM_N_2012!$B$58:$AJ$58,0),FALSE),"")</f>
        <v/>
      </c>
      <c r="AW132" s="304">
        <f>IF(AX131=COM_N_2012!$AK$121,AW131+1,AW131)</f>
        <v>2</v>
      </c>
      <c r="AX132" s="304">
        <f t="shared" si="33"/>
        <v>59</v>
      </c>
    </row>
    <row r="133" spans="1:50">
      <c r="A133" s="304" t="s">
        <v>709</v>
      </c>
      <c r="B133" s="369" t="str">
        <f t="shared" si="34"/>
        <v/>
      </c>
      <c r="C133" s="369" t="str">
        <f ca="1">IF($A133="*","",OFFSET(COM_N_2012!$B$60,AX133,0))</f>
        <v/>
      </c>
      <c r="D133" s="369" t="str">
        <f t="shared" si="35"/>
        <v/>
      </c>
      <c r="E133" s="369" t="str">
        <f t="shared" si="36"/>
        <v/>
      </c>
      <c r="G133" s="369" t="str">
        <f t="shared" ref="G133:G134" si="38">IF($A133="*","",VLOOKUP($B133,$B$10:$I$11,F$9,FALSE))</f>
        <v/>
      </c>
      <c r="H133" s="370" t="str">
        <f t="shared" si="37"/>
        <v/>
      </c>
      <c r="I133" s="370" t="str">
        <f t="shared" si="37"/>
        <v/>
      </c>
      <c r="J133" s="391" t="str">
        <f ca="1">IFERROR(VLOOKUP($C133,COM_N_2012!$B$61:$AJ$122,MATCH(VLOOKUP("*"&amp;$AW133,$A$10:$J$11,$J$9,FALSE)&amp;J$7,COM_N_2012!$B$58:$AJ$58,0),FALSE),"")</f>
        <v/>
      </c>
      <c r="K133" s="391" t="str">
        <f ca="1">IFERROR(VLOOKUP($C133,COM_N_2012!$B$62:$AJ$122,MATCH(VLOOKUP("*"&amp;$AW133,$A$10:$J$11,$J$9,FALSE)&amp;K$7,COM_N_2012!$B$58:$AJ$58,0),FALSE),"")</f>
        <v/>
      </c>
      <c r="L133" s="391" t="str">
        <f ca="1">IFERROR(VLOOKUP($C133,COM_N_2012!$B$62:$AJ$122,MATCH(VLOOKUP("*"&amp;$AW133,$A$10:$J$11,$J$9,FALSE)&amp;L$7,COM_N_2012!$B$58:$AJ$58,0),FALSE),"")</f>
        <v/>
      </c>
      <c r="M133" s="391" t="str">
        <f ca="1">IFERROR(VLOOKUP($C133,COM_N_2012!$B$62:$AJ$122,MATCH(VLOOKUP("*"&amp;$AW133,$A$10:$J$11,$J$9,FALSE)&amp;M$7,COM_N_2012!$B$58:$AJ$58,0),FALSE),"")</f>
        <v/>
      </c>
      <c r="N133" s="391" t="str">
        <f ca="1">IFERROR(VLOOKUP($C133,COM_N_2012!$B$62:$AJ$122,MATCH(VLOOKUP("*"&amp;$AW133,$A$10:$J$11,$J$9,FALSE)&amp;N$7,COM_N_2012!$B$58:$AJ$58,0),FALSE),"")</f>
        <v/>
      </c>
      <c r="O133" s="391" t="str">
        <f ca="1">IFERROR(VLOOKUP($C133,COM_N_2012!$B$62:$AJ$122,MATCH(VLOOKUP("*"&amp;$AW133,$A$10:$J$11,$J$9,FALSE)&amp;O$7,COM_N_2012!$B$58:$AJ$58,0),FALSE),"")</f>
        <v/>
      </c>
      <c r="P133" s="391" t="str">
        <f ca="1">IFERROR(VLOOKUP($C133,COM_N_2012!$B$62:$AJ$122,MATCH(VLOOKUP("*"&amp;$AW133,$A$10:$J$11,$J$9,FALSE)&amp;P$7,COM_N_2012!$B$58:$AJ$58,0),FALSE),"")</f>
        <v/>
      </c>
      <c r="Q133" s="391" t="str">
        <f ca="1">IFERROR(VLOOKUP($C133,COM_N_2012!$B$62:$AJ$122,MATCH(VLOOKUP("*"&amp;$AW133,$A$10:$J$11,$J$9,FALSE)&amp;Q$7,COM_N_2012!$B$58:$AJ$58,0),FALSE),"")</f>
        <v/>
      </c>
      <c r="R133" s="391" t="str">
        <f ca="1">IFERROR(VLOOKUP($C133,COM_N_2012!$B$62:$AJ$122,MATCH(VLOOKUP("*"&amp;$AW133,$A$10:$J$11,$J$9,FALSE)&amp;R$7,COM_N_2012!$B$58:$AJ$58,0),FALSE),"")</f>
        <v/>
      </c>
      <c r="S133" s="391" t="str">
        <f ca="1">IFERROR(VLOOKUP($C133,COM_N_2012!$B$62:$AJ$122,MATCH(VLOOKUP("*"&amp;$AW133,$A$10:$J$11,$J$9,FALSE)&amp;S$7,COM_N_2012!$B$58:$AJ$58,0),FALSE),"")</f>
        <v/>
      </c>
      <c r="T133" s="391" t="str">
        <f ca="1">IFERROR(VLOOKUP($C133,COM_N_2012!$B$62:$AJ$122,MATCH(VLOOKUP("*"&amp;$AW133,$A$10:$J$11,$J$9,FALSE)&amp;T$7,COM_N_2012!$B$58:$AJ$58,0),FALSE),"")</f>
        <v/>
      </c>
      <c r="U133" s="391" t="str">
        <f ca="1">IFERROR(VLOOKUP($C133,COM_N_2012!$B$62:$AJ$122,MATCH(VLOOKUP("*"&amp;$AW133,$A$10:$J$11,$J$9,FALSE)&amp;U$7,COM_N_2012!$B$58:$AJ$58,0),FALSE),"")</f>
        <v/>
      </c>
      <c r="V133" s="391" t="str">
        <f ca="1">IFERROR(VLOOKUP($C133,COM_N_2012!$B$62:$AJ$122,MATCH(VLOOKUP("*"&amp;$AW133,$A$10:$J$11,$J$9,FALSE)&amp;V$7,COM_N_2012!$B$58:$AJ$58,0),FALSE),"")</f>
        <v/>
      </c>
      <c r="W133" s="391" t="str">
        <f ca="1">IFERROR(VLOOKUP($C133,COM_N_2012!$B$62:$AJ$122,MATCH(VLOOKUP("*"&amp;$AW133,$A$10:$J$11,$J$9,FALSE)&amp;W$7,COM_N_2012!$B$58:$AJ$58,0),FALSE),"")</f>
        <v/>
      </c>
      <c r="X133" s="391" t="str">
        <f ca="1">IFERROR(VLOOKUP($C133,COM_N_2012!$B$62:$AJ$122,MATCH(VLOOKUP("*"&amp;$AW133,$A$10:$J$11,$J$9,FALSE)&amp;X$7,COM_N_2012!$B$58:$AJ$58,0),FALSE),"")</f>
        <v/>
      </c>
      <c r="Y133" s="391" t="str">
        <f ca="1">IFERROR(VLOOKUP($C133,COM_N_2012!$B$62:$AJ$122,MATCH(VLOOKUP("*"&amp;$AW133,$A$10:$J$11,$J$9,FALSE)&amp;Y$7,COM_N_2012!$B$58:$AJ$58,0),FALSE),"")</f>
        <v/>
      </c>
      <c r="Z133" s="391" t="str">
        <f ca="1">IFERROR(VLOOKUP($C133,COM_N_2012!$B$62:$AJ$122,MATCH(VLOOKUP("*"&amp;$AW133,$A$10:$J$11,$J$9,FALSE)&amp;Z$7,COM_N_2012!$B$58:$AJ$58,0),FALSE),"")</f>
        <v/>
      </c>
      <c r="AA133" s="391" t="str">
        <f ca="1">IFERROR(VLOOKUP($C133,COM_N_2012!$B$62:$AJ$122,MATCH(VLOOKUP("*"&amp;$AW133,$A$10:$J$11,$J$9,FALSE)&amp;AA$7,COM_N_2012!$B$58:$AJ$58,0),FALSE),"")</f>
        <v/>
      </c>
      <c r="AB133" s="391" t="str">
        <f ca="1">IFERROR(VLOOKUP($C133,COM_N_2012!$B$62:$AJ$122,MATCH(VLOOKUP("*"&amp;$AW133,$A$10:$J$11,$J$9,FALSE)&amp;AB$7,COM_N_2012!$B$58:$AJ$58,0),FALSE),"")</f>
        <v/>
      </c>
      <c r="AC133" s="391" t="str">
        <f ca="1">IFERROR(VLOOKUP($C133,COM_N_2012!$B$62:$AJ$122,MATCH(VLOOKUP("*"&amp;$AW133,$A$10:$J$11,$J$9,FALSE)&amp;AC$7,COM_N_2012!$B$58:$AJ$58,0),FALSE),"")</f>
        <v/>
      </c>
      <c r="AD133" s="391" t="str">
        <f ca="1">IFERROR(VLOOKUP($C133,COM_N_2012!$B$62:$AJ$122,MATCH(VLOOKUP("*"&amp;$AW133,$A$10:$J$11,$J$9,FALSE)&amp;AD$7,COM_N_2012!$B$58:$AJ$58,0),FALSE),"")</f>
        <v/>
      </c>
      <c r="AE133" s="391" t="str">
        <f ca="1">IFERROR(VLOOKUP($C133,COM_N_2012!$B$62:$AJ$122,MATCH(VLOOKUP("*"&amp;$AW133,$A$10:$J$11,$J$9,FALSE)&amp;AE$7,COM_N_2012!$B$58:$AJ$58,0),FALSE),"")</f>
        <v/>
      </c>
      <c r="AF133" s="391" t="str">
        <f ca="1">IFERROR(VLOOKUP($C133,COM_N_2012!$B$62:$AJ$122,MATCH(VLOOKUP("*"&amp;$AW133,$A$10:$J$11,$J$9,FALSE)&amp;AF$7,COM_N_2012!$B$58:$AJ$58,0),FALSE),"")</f>
        <v/>
      </c>
      <c r="AG133" s="391" t="str">
        <f ca="1">IFERROR(VLOOKUP($C133,COM_N_2012!$B$62:$AJ$122,MATCH(VLOOKUP("*"&amp;$AW133,$A$10:$J$11,$J$9,FALSE)&amp;AG$7,COM_N_2012!$B$58:$AJ$58,0),FALSE),"")</f>
        <v/>
      </c>
      <c r="AH133" s="391" t="str">
        <f ca="1">IFERROR(VLOOKUP($C133,COM_N_2012!$B$62:$AJ$122,MATCH(VLOOKUP("*"&amp;$AW133,$A$10:$J$11,$J$9,FALSE)&amp;AH$7,COM_N_2012!$B$58:$AJ$58,0),FALSE),"")</f>
        <v/>
      </c>
      <c r="AI133" s="391" t="str">
        <f ca="1">IFERROR(VLOOKUP($C133,COM_N_2012!$B$62:$AJ$122,MATCH(VLOOKUP("*"&amp;$AW133,$A$10:$J$11,$J$9,FALSE)&amp;AI$7,COM_N_2012!$B$58:$AJ$58,0),FALSE),"")</f>
        <v/>
      </c>
      <c r="AJ133" s="391" t="str">
        <f ca="1">IFERROR(VLOOKUP($C133,COM_N_2012!$B$62:$AJ$122,MATCH(VLOOKUP("*"&amp;$AW133,$A$10:$J$11,$J$9,FALSE)&amp;AJ$7,COM_N_2012!$B$58:$AJ$58,0),FALSE),"")</f>
        <v/>
      </c>
      <c r="AK133" s="391" t="str">
        <f ca="1">IFERROR(VLOOKUP($C133,COM_N_2012!$B$62:$AJ$122,MATCH(VLOOKUP("*"&amp;$AW133,$A$10:$J$11,$J$9,FALSE)&amp;AK$7,COM_N_2012!$B$58:$AJ$58,0),FALSE),"")</f>
        <v/>
      </c>
      <c r="AL133" s="391" t="str">
        <f ca="1">IFERROR(VLOOKUP($C133,COM_N_2012!$B$62:$AJ$122,MATCH(VLOOKUP("*"&amp;$AW133,$A$10:$J$11,$J$9,FALSE)&amp;AL$7,COM_N_2012!$B$58:$AJ$58,0),FALSE),"")</f>
        <v/>
      </c>
      <c r="AM133" s="391" t="str">
        <f ca="1">IFERROR(VLOOKUP($C133,COM_N_2012!$B$62:$AJ$122,MATCH(VLOOKUP("*"&amp;$AW133,$A$10:$J$11,$J$9,FALSE)&amp;AM$7,COM_N_2012!$B$58:$AJ$58,0),FALSE),"")</f>
        <v/>
      </c>
      <c r="AN133" s="391" t="str">
        <f ca="1">IFERROR(VLOOKUP($C133,COM_N_2012!$B$62:$AJ$122,MATCH(VLOOKUP("*"&amp;$AW133,$A$10:$J$11,$J$9,FALSE)&amp;AN$7,COM_N_2012!$B$58:$AJ$58,0),FALSE),"")</f>
        <v/>
      </c>
      <c r="AO133" s="391" t="str">
        <f ca="1">IFERROR(VLOOKUP($C133,COM_N_2012!$B$62:$AJ$122,MATCH(VLOOKUP("*"&amp;$AW133,$A$10:$J$11,$J$9,FALSE)&amp;AO$7,COM_N_2012!$B$58:$AJ$58,0),FALSE),"")</f>
        <v/>
      </c>
      <c r="AP133" s="391" t="str">
        <f ca="1">IFERROR(VLOOKUP($C133,COM_N_2012!$B$62:$AJ$122,MATCH(VLOOKUP("*"&amp;$AW133,$A$10:$J$11,$J$9,FALSE)&amp;AP$7,COM_N_2012!$B$58:$AJ$58,0),FALSE),"")</f>
        <v/>
      </c>
      <c r="AQ133" s="391" t="str">
        <f ca="1">IFERROR(VLOOKUP($C133,COM_N_2012!$B$62:$AJ$122,MATCH(VLOOKUP("*"&amp;$AW133,$A$10:$J$11,$J$9,FALSE)&amp;AQ$7,COM_N_2012!$B$58:$AJ$58,0),FALSE),"")</f>
        <v/>
      </c>
      <c r="AR133" s="391" t="str">
        <f ca="1">IFERROR(VLOOKUP($C133,COM_N_2012!$B$62:$AJ$122,MATCH(VLOOKUP("*"&amp;$AW133,$A$10:$J$11,$J$9,FALSE)&amp;AR$7,COM_N_2012!$B$58:$AJ$58,0),FALSE),"")</f>
        <v/>
      </c>
      <c r="AS133" s="391" t="str">
        <f ca="1">IFERROR(VLOOKUP($C133,COM_N_2012!$B$62:$AJ$122,MATCH(VLOOKUP("*"&amp;$AW133,$A$10:$J$11,$J$9,FALSE)&amp;AS$7,COM_N_2012!$B$58:$AJ$58,0),FALSE),"")</f>
        <v/>
      </c>
      <c r="AT133" s="391" t="str">
        <f ca="1">IFERROR(VLOOKUP($C133,COM_N_2012!$B$62:$AJ$122,MATCH(VLOOKUP("*"&amp;$AW133,$A$10:$J$11,$J$9,FALSE)&amp;AT$7,COM_N_2012!$B$58:$AJ$58,0),FALSE),"")</f>
        <v/>
      </c>
      <c r="AU133" s="391" t="str">
        <f ca="1">IFERROR(VLOOKUP($C133,COM_N_2012!$B$62:$AJ$122,MATCH(VLOOKUP("*"&amp;$AW133,$A$10:$J$11,$J$9,FALSE)&amp;AU$7,COM_N_2012!$B$58:$AJ$58,0),FALSE),"")</f>
        <v/>
      </c>
      <c r="AW133" s="304">
        <f>IF(AX132=COM_N_2012!$AK$121,AW132+1,AW132)</f>
        <v>2</v>
      </c>
      <c r="AX133" s="304">
        <f t="shared" si="33"/>
        <v>60</v>
      </c>
    </row>
    <row r="134" spans="1:50">
      <c r="A134" s="304" t="s">
        <v>709</v>
      </c>
      <c r="B134" s="369" t="str">
        <f t="shared" si="34"/>
        <v/>
      </c>
      <c r="C134" s="369" t="str">
        <f ca="1">IF($A134="*","",OFFSET(COM_N_2012!$B$60,AX134,0))</f>
        <v/>
      </c>
      <c r="D134" s="369" t="str">
        <f t="shared" si="35"/>
        <v/>
      </c>
      <c r="E134" s="369" t="str">
        <f t="shared" si="36"/>
        <v/>
      </c>
      <c r="G134" s="369" t="str">
        <f t="shared" si="38"/>
        <v/>
      </c>
      <c r="H134" s="370" t="str">
        <f t="shared" si="37"/>
        <v/>
      </c>
      <c r="I134" s="370" t="str">
        <f t="shared" si="37"/>
        <v/>
      </c>
      <c r="J134" s="391" t="str">
        <f ca="1">IFERROR(VLOOKUP($C134,COM_N_2012!$B$61:$AJ$122,MATCH(VLOOKUP("*"&amp;$AW134,$A$10:$J$11,$J$9,FALSE)&amp;J$7,COM_N_2012!$B$58:$AJ$58,0),FALSE),"")</f>
        <v/>
      </c>
      <c r="K134" s="391" t="str">
        <f ca="1">IFERROR(VLOOKUP($C134,COM_N_2012!$B$62:$AJ$122,MATCH(VLOOKUP("*"&amp;$AW134,$A$10:$J$11,$J$9,FALSE)&amp;K$7,COM_N_2012!$B$58:$AJ$58,0),FALSE),"")</f>
        <v/>
      </c>
      <c r="L134" s="391" t="str">
        <f ca="1">IFERROR(VLOOKUP($C134,COM_N_2012!$B$62:$AJ$122,MATCH(VLOOKUP("*"&amp;$AW134,$A$10:$J$11,$J$9,FALSE)&amp;L$7,COM_N_2012!$B$58:$AJ$58,0),FALSE),"")</f>
        <v/>
      </c>
      <c r="M134" s="391" t="str">
        <f ca="1">IFERROR(VLOOKUP($C134,COM_N_2012!$B$62:$AJ$122,MATCH(VLOOKUP("*"&amp;$AW134,$A$10:$J$11,$J$9,FALSE)&amp;M$7,COM_N_2012!$B$58:$AJ$58,0),FALSE),"")</f>
        <v/>
      </c>
      <c r="N134" s="391" t="str">
        <f ca="1">IFERROR(VLOOKUP($C134,COM_N_2012!$B$62:$AJ$122,MATCH(VLOOKUP("*"&amp;$AW134,$A$10:$J$11,$J$9,FALSE)&amp;N$7,COM_N_2012!$B$58:$AJ$58,0),FALSE),"")</f>
        <v/>
      </c>
      <c r="O134" s="391" t="str">
        <f ca="1">IFERROR(VLOOKUP($C134,COM_N_2012!$B$62:$AJ$122,MATCH(VLOOKUP("*"&amp;$AW134,$A$10:$J$11,$J$9,FALSE)&amp;O$7,COM_N_2012!$B$58:$AJ$58,0),FALSE),"")</f>
        <v/>
      </c>
      <c r="P134" s="391" t="str">
        <f ca="1">IFERROR(VLOOKUP($C134,COM_N_2012!$B$62:$AJ$122,MATCH(VLOOKUP("*"&amp;$AW134,$A$10:$J$11,$J$9,FALSE)&amp;P$7,COM_N_2012!$B$58:$AJ$58,0),FALSE),"")</f>
        <v/>
      </c>
      <c r="Q134" s="391" t="str">
        <f ca="1">IFERROR(VLOOKUP($C134,COM_N_2012!$B$62:$AJ$122,MATCH(VLOOKUP("*"&amp;$AW134,$A$10:$J$11,$J$9,FALSE)&amp;Q$7,COM_N_2012!$B$58:$AJ$58,0),FALSE),"")</f>
        <v/>
      </c>
      <c r="R134" s="391" t="str">
        <f ca="1">IFERROR(VLOOKUP($C134,COM_N_2012!$B$62:$AJ$122,MATCH(VLOOKUP("*"&amp;$AW134,$A$10:$J$11,$J$9,FALSE)&amp;R$7,COM_N_2012!$B$58:$AJ$58,0),FALSE),"")</f>
        <v/>
      </c>
      <c r="S134" s="391" t="str">
        <f ca="1">IFERROR(VLOOKUP($C134,COM_N_2012!$B$62:$AJ$122,MATCH(VLOOKUP("*"&amp;$AW134,$A$10:$J$11,$J$9,FALSE)&amp;S$7,COM_N_2012!$B$58:$AJ$58,0),FALSE),"")</f>
        <v/>
      </c>
      <c r="T134" s="391" t="str">
        <f ca="1">IFERROR(VLOOKUP($C134,COM_N_2012!$B$62:$AJ$122,MATCH(VLOOKUP("*"&amp;$AW134,$A$10:$J$11,$J$9,FALSE)&amp;T$7,COM_N_2012!$B$58:$AJ$58,0),FALSE),"")</f>
        <v/>
      </c>
      <c r="U134" s="391" t="str">
        <f ca="1">IFERROR(VLOOKUP($C134,COM_N_2012!$B$62:$AJ$122,MATCH(VLOOKUP("*"&amp;$AW134,$A$10:$J$11,$J$9,FALSE)&amp;U$7,COM_N_2012!$B$58:$AJ$58,0),FALSE),"")</f>
        <v/>
      </c>
      <c r="V134" s="391" t="str">
        <f ca="1">IFERROR(VLOOKUP($C134,COM_N_2012!$B$62:$AJ$122,MATCH(VLOOKUP("*"&amp;$AW134,$A$10:$J$11,$J$9,FALSE)&amp;V$7,COM_N_2012!$B$58:$AJ$58,0),FALSE),"")</f>
        <v/>
      </c>
      <c r="W134" s="391" t="str">
        <f ca="1">IFERROR(VLOOKUP($C134,COM_N_2012!$B$62:$AJ$122,MATCH(VLOOKUP("*"&amp;$AW134,$A$10:$J$11,$J$9,FALSE)&amp;W$7,COM_N_2012!$B$58:$AJ$58,0),FALSE),"")</f>
        <v/>
      </c>
      <c r="X134" s="391" t="str">
        <f ca="1">IFERROR(VLOOKUP($C134,COM_N_2012!$B$62:$AJ$122,MATCH(VLOOKUP("*"&amp;$AW134,$A$10:$J$11,$J$9,FALSE)&amp;X$7,COM_N_2012!$B$58:$AJ$58,0),FALSE),"")</f>
        <v/>
      </c>
      <c r="Y134" s="391" t="str">
        <f ca="1">IFERROR(VLOOKUP($C134,COM_N_2012!$B$62:$AJ$122,MATCH(VLOOKUP("*"&amp;$AW134,$A$10:$J$11,$J$9,FALSE)&amp;Y$7,COM_N_2012!$B$58:$AJ$58,0),FALSE),"")</f>
        <v/>
      </c>
      <c r="Z134" s="391" t="str">
        <f ca="1">IFERROR(VLOOKUP($C134,COM_N_2012!$B$62:$AJ$122,MATCH(VLOOKUP("*"&amp;$AW134,$A$10:$J$11,$J$9,FALSE)&amp;Z$7,COM_N_2012!$B$58:$AJ$58,0),FALSE),"")</f>
        <v/>
      </c>
      <c r="AA134" s="391" t="str">
        <f ca="1">IFERROR(VLOOKUP($C134,COM_N_2012!$B$62:$AJ$122,MATCH(VLOOKUP("*"&amp;$AW134,$A$10:$J$11,$J$9,FALSE)&amp;AA$7,COM_N_2012!$B$58:$AJ$58,0),FALSE),"")</f>
        <v/>
      </c>
      <c r="AB134" s="391" t="str">
        <f ca="1">IFERROR(VLOOKUP($C134,COM_N_2012!$B$62:$AJ$122,MATCH(VLOOKUP("*"&amp;$AW134,$A$10:$J$11,$J$9,FALSE)&amp;AB$7,COM_N_2012!$B$58:$AJ$58,0),FALSE),"")</f>
        <v/>
      </c>
      <c r="AC134" s="391" t="str">
        <f ca="1">IFERROR(VLOOKUP($C134,COM_N_2012!$B$62:$AJ$122,MATCH(VLOOKUP("*"&amp;$AW134,$A$10:$J$11,$J$9,FALSE)&amp;AC$7,COM_N_2012!$B$58:$AJ$58,0),FALSE),"")</f>
        <v/>
      </c>
      <c r="AD134" s="391" t="str">
        <f ca="1">IFERROR(VLOOKUP($C134,COM_N_2012!$B$62:$AJ$122,MATCH(VLOOKUP("*"&amp;$AW134,$A$10:$J$11,$J$9,FALSE)&amp;AD$7,COM_N_2012!$B$58:$AJ$58,0),FALSE),"")</f>
        <v/>
      </c>
      <c r="AE134" s="391" t="str">
        <f ca="1">IFERROR(VLOOKUP($C134,COM_N_2012!$B$62:$AJ$122,MATCH(VLOOKUP("*"&amp;$AW134,$A$10:$J$11,$J$9,FALSE)&amp;AE$7,COM_N_2012!$B$58:$AJ$58,0),FALSE),"")</f>
        <v/>
      </c>
      <c r="AF134" s="391" t="str">
        <f ca="1">IFERROR(VLOOKUP($C134,COM_N_2012!$B$62:$AJ$122,MATCH(VLOOKUP("*"&amp;$AW134,$A$10:$J$11,$J$9,FALSE)&amp;AF$7,COM_N_2012!$B$58:$AJ$58,0),FALSE),"")</f>
        <v/>
      </c>
      <c r="AG134" s="391" t="str">
        <f ca="1">IFERROR(VLOOKUP($C134,COM_N_2012!$B$62:$AJ$122,MATCH(VLOOKUP("*"&amp;$AW134,$A$10:$J$11,$J$9,FALSE)&amp;AG$7,COM_N_2012!$B$58:$AJ$58,0),FALSE),"")</f>
        <v/>
      </c>
      <c r="AH134" s="391" t="str">
        <f ca="1">IFERROR(VLOOKUP($C134,COM_N_2012!$B$62:$AJ$122,MATCH(VLOOKUP("*"&amp;$AW134,$A$10:$J$11,$J$9,FALSE)&amp;AH$7,COM_N_2012!$B$58:$AJ$58,0),FALSE),"")</f>
        <v/>
      </c>
      <c r="AI134" s="391" t="str">
        <f ca="1">IFERROR(VLOOKUP($C134,COM_N_2012!$B$62:$AJ$122,MATCH(VLOOKUP("*"&amp;$AW134,$A$10:$J$11,$J$9,FALSE)&amp;AI$7,COM_N_2012!$B$58:$AJ$58,0),FALSE),"")</f>
        <v/>
      </c>
      <c r="AJ134" s="391" t="str">
        <f ca="1">IFERROR(VLOOKUP($C134,COM_N_2012!$B$62:$AJ$122,MATCH(VLOOKUP("*"&amp;$AW134,$A$10:$J$11,$J$9,FALSE)&amp;AJ$7,COM_N_2012!$B$58:$AJ$58,0),FALSE),"")</f>
        <v/>
      </c>
      <c r="AK134" s="391" t="str">
        <f ca="1">IFERROR(VLOOKUP($C134,COM_N_2012!$B$62:$AJ$122,MATCH(VLOOKUP("*"&amp;$AW134,$A$10:$J$11,$J$9,FALSE)&amp;AK$7,COM_N_2012!$B$58:$AJ$58,0),FALSE),"")</f>
        <v/>
      </c>
      <c r="AL134" s="391" t="str">
        <f ca="1">IFERROR(VLOOKUP($C134,COM_N_2012!$B$62:$AJ$122,MATCH(VLOOKUP("*"&amp;$AW134,$A$10:$J$11,$J$9,FALSE)&amp;AL$7,COM_N_2012!$B$58:$AJ$58,0),FALSE),"")</f>
        <v/>
      </c>
      <c r="AM134" s="391" t="str">
        <f ca="1">IFERROR(VLOOKUP($C134,COM_N_2012!$B$62:$AJ$122,MATCH(VLOOKUP("*"&amp;$AW134,$A$10:$J$11,$J$9,FALSE)&amp;AM$7,COM_N_2012!$B$58:$AJ$58,0),FALSE),"")</f>
        <v/>
      </c>
      <c r="AN134" s="391" t="str">
        <f ca="1">IFERROR(VLOOKUP($C134,COM_N_2012!$B$62:$AJ$122,MATCH(VLOOKUP("*"&amp;$AW134,$A$10:$J$11,$J$9,FALSE)&amp;AN$7,COM_N_2012!$B$58:$AJ$58,0),FALSE),"")</f>
        <v/>
      </c>
      <c r="AO134" s="391" t="str">
        <f ca="1">IFERROR(VLOOKUP($C134,COM_N_2012!$B$62:$AJ$122,MATCH(VLOOKUP("*"&amp;$AW134,$A$10:$J$11,$J$9,FALSE)&amp;AO$7,COM_N_2012!$B$58:$AJ$58,0),FALSE),"")</f>
        <v/>
      </c>
      <c r="AP134" s="391" t="str">
        <f ca="1">IFERROR(VLOOKUP($C134,COM_N_2012!$B$62:$AJ$122,MATCH(VLOOKUP("*"&amp;$AW134,$A$10:$J$11,$J$9,FALSE)&amp;AP$7,COM_N_2012!$B$58:$AJ$58,0),FALSE),"")</f>
        <v/>
      </c>
      <c r="AQ134" s="391" t="str">
        <f ca="1">IFERROR(VLOOKUP($C134,COM_N_2012!$B$62:$AJ$122,MATCH(VLOOKUP("*"&amp;$AW134,$A$10:$J$11,$J$9,FALSE)&amp;AQ$7,COM_N_2012!$B$58:$AJ$58,0),FALSE),"")</f>
        <v/>
      </c>
      <c r="AR134" s="391" t="str">
        <f ca="1">IFERROR(VLOOKUP($C134,COM_N_2012!$B$62:$AJ$122,MATCH(VLOOKUP("*"&amp;$AW134,$A$10:$J$11,$J$9,FALSE)&amp;AR$7,COM_N_2012!$B$58:$AJ$58,0),FALSE),"")</f>
        <v/>
      </c>
      <c r="AS134" s="391" t="str">
        <f ca="1">IFERROR(VLOOKUP($C134,COM_N_2012!$B$62:$AJ$122,MATCH(VLOOKUP("*"&amp;$AW134,$A$10:$J$11,$J$9,FALSE)&amp;AS$7,COM_N_2012!$B$58:$AJ$58,0),FALSE),"")</f>
        <v/>
      </c>
      <c r="AT134" s="391" t="str">
        <f ca="1">IFERROR(VLOOKUP($C134,COM_N_2012!$B$62:$AJ$122,MATCH(VLOOKUP("*"&amp;$AW134,$A$10:$J$11,$J$9,FALSE)&amp;AT$7,COM_N_2012!$B$58:$AJ$58,0),FALSE),"")</f>
        <v/>
      </c>
      <c r="AU134" s="391" t="str">
        <f ca="1">IFERROR(VLOOKUP($C134,COM_N_2012!$B$62:$AJ$122,MATCH(VLOOKUP("*"&amp;$AW134,$A$10:$J$11,$J$9,FALSE)&amp;AU$7,COM_N_2012!$B$58:$AJ$58,0),FALSE),"")</f>
        <v/>
      </c>
      <c r="AW134" s="304">
        <f>IF(AX133=COM_N_2012!$AK$121,AW133+1,AW133)</f>
        <v>2</v>
      </c>
      <c r="AX134" s="304">
        <f t="shared" si="33"/>
        <v>61</v>
      </c>
    </row>
    <row r="135" spans="1:50">
      <c r="B135" s="369"/>
      <c r="C135" s="369"/>
      <c r="D135" s="369"/>
      <c r="E135" s="369"/>
      <c r="F135" s="369"/>
      <c r="G135" s="369"/>
      <c r="H135" s="370"/>
      <c r="I135" s="370"/>
      <c r="K135" s="391"/>
      <c r="L135" s="391"/>
      <c r="M135" s="391"/>
      <c r="N135" s="391"/>
      <c r="O135" s="391"/>
      <c r="P135" s="391"/>
      <c r="Q135" s="391"/>
      <c r="R135" s="391"/>
      <c r="S135" s="391"/>
      <c r="T135" s="391"/>
      <c r="U135" s="391"/>
      <c r="V135" s="391"/>
      <c r="W135" s="391"/>
      <c r="X135" s="391"/>
      <c r="Y135" s="391"/>
      <c r="Z135" s="391"/>
      <c r="AA135" s="391"/>
      <c r="AB135" s="391"/>
      <c r="AC135" s="391"/>
      <c r="AD135" s="391"/>
      <c r="AE135" s="391"/>
      <c r="AF135" s="391"/>
      <c r="AG135" s="391"/>
      <c r="AH135" s="391"/>
      <c r="AI135" s="391"/>
      <c r="AJ135" s="391"/>
      <c r="AK135" s="391"/>
      <c r="AL135" s="391"/>
      <c r="AM135" s="391"/>
      <c r="AN135" s="391"/>
      <c r="AO135" s="391"/>
      <c r="AP135" s="391"/>
      <c r="AQ135" s="391"/>
      <c r="AR135" s="391"/>
      <c r="AS135" s="391"/>
      <c r="AT135" s="391"/>
      <c r="AU135" s="391"/>
    </row>
  </sheetData>
  <pageMargins left="0.75" right="0.75" top="1" bottom="1" header="0.5" footer="0.5"/>
  <headerFooter alignWithMargins="0"/>
  <drawing r:id="rId1"/>
  <legacyDrawing r:id="rId2"/>
  <controls>
    <mc:AlternateContent xmlns:mc="http://schemas.openxmlformats.org/markup-compatibility/2006">
      <mc:Choice Requires="x14">
        <control shapeId="1223689"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1223689" r:id="rId3" name="cmdSpecifyIEOptcode"/>
      </mc:Fallback>
    </mc:AlternateContent>
    <mc:AlternateContent xmlns:mc="http://schemas.openxmlformats.org/markup-compatibility/2006">
      <mc:Choice Requires="x14">
        <control shapeId="1223688"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1223688" r:id="rId5" name="cmdSpecifyArg6"/>
      </mc:Fallback>
    </mc:AlternateContent>
    <mc:AlternateContent xmlns:mc="http://schemas.openxmlformats.org/markup-compatibility/2006">
      <mc:Choice Requires="x14">
        <control shapeId="1223687"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1223687" r:id="rId7" name="cmdSpecifyArg5"/>
      </mc:Fallback>
    </mc:AlternateContent>
    <mc:AlternateContent xmlns:mc="http://schemas.openxmlformats.org/markup-compatibility/2006">
      <mc:Choice Requires="x14">
        <control shapeId="1223686"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1223686" r:id="rId9" name="cmdSpecifyArg4"/>
      </mc:Fallback>
    </mc:AlternateContent>
    <mc:AlternateContent xmlns:mc="http://schemas.openxmlformats.org/markup-compatibility/2006">
      <mc:Choice Requires="x14">
        <control shapeId="122368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23685" r:id="rId11" name="cmdSpecifyArg3"/>
      </mc:Fallback>
    </mc:AlternateContent>
    <mc:AlternateContent xmlns:mc="http://schemas.openxmlformats.org/markup-compatibility/2006">
      <mc:Choice Requires="x14">
        <control shapeId="1223684"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1223684" r:id="rId13" name="cmdSpecifyArg2"/>
      </mc:Fallback>
    </mc:AlternateContent>
    <mc:AlternateContent xmlns:mc="http://schemas.openxmlformats.org/markup-compatibility/2006">
      <mc:Choice Requires="x14">
        <control shapeId="1223683"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223683" r:id="rId15" name="cmdSpecifyArg1"/>
      </mc:Fallback>
    </mc:AlternateContent>
    <mc:AlternateContent xmlns:mc="http://schemas.openxmlformats.org/markup-compatibility/2006">
      <mc:Choice Requires="x14">
        <control shapeId="1223682"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223682" r:id="rId17" name="cmdSpecifyParameter"/>
      </mc:Fallback>
    </mc:AlternateContent>
    <mc:AlternateContent xmlns:mc="http://schemas.openxmlformats.org/markup-compatibility/2006">
      <mc:Choice Requires="x14">
        <control shapeId="1223681"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1223681" r:id="rId19" name="cmdCheckTSandTIDDataSheet"/>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COM_2012!$D$59</f>
        <v>2</v>
      </c>
    </row>
    <row r="12" spans="1:13">
      <c r="A12" s="304" t="s">
        <v>740</v>
      </c>
      <c r="B12" s="369" t="s">
        <v>751</v>
      </c>
      <c r="C12" s="369" t="s">
        <v>732</v>
      </c>
      <c r="D12" s="369" t="s">
        <v>750</v>
      </c>
      <c r="E12" s="369" t="s">
        <v>463</v>
      </c>
      <c r="F12" s="369" t="s">
        <v>463</v>
      </c>
      <c r="G12" s="369" t="s">
        <v>463</v>
      </c>
      <c r="H12" s="369" t="s">
        <v>463</v>
      </c>
      <c r="I12" s="369">
        <v>1</v>
      </c>
      <c r="J12" s="369"/>
      <c r="M12" s="304">
        <f>COM_2012!$C$59</f>
        <v>1</v>
      </c>
    </row>
    <row r="13" spans="1:13">
      <c r="A13" s="304" t="s">
        <v>709</v>
      </c>
    </row>
    <row r="14" spans="1:13">
      <c r="A14" s="304" t="str">
        <f ca="1">IF(LEFT(OFFSET(COM_2012!$A$60,L14,0),2)="\I","*","")</f>
        <v/>
      </c>
      <c r="B14" s="369" t="str">
        <f t="shared" ref="B14:B19" ca="1" si="0">IF(A14="*","",VLOOKUP("*"&amp;K14,$A$9:$B$14,2,FALSE))</f>
        <v>PRC_ACTUNT</v>
      </c>
      <c r="C14" s="369" t="str">
        <f ca="1">IF($A14="*","",OFFSET(COM_2012!$B$60,L14,0))</f>
        <v>CECELCCHIL-E</v>
      </c>
      <c r="D14" s="369" t="str">
        <f ca="1">IF($A14="*","",IF(LEFT($B14,3)="TOP",OFFSET(COM_2012!$B$60,$L14,SUMIF($B$9:$B$12,$B14,$M$9:$M$12)),"-"))</f>
        <v>-</v>
      </c>
      <c r="E14" s="369" t="str">
        <f ca="1">IF($A14="*","",IF($B14="PRC_ACTUNT",OFFSET(COM_2012!$B$60,$L14,SUMIF($B$9:$B$12,$B14,$M$9:$M$12)),"-"))</f>
        <v>CEC</v>
      </c>
      <c r="F14" s="369" t="str">
        <f ca="1">IF($A14="*","","-")</f>
        <v>-</v>
      </c>
      <c r="G14" s="369" t="str">
        <f t="shared" ref="G14:H29" ca="1" si="1">IF($A14="*","","-")</f>
        <v>-</v>
      </c>
      <c r="H14" s="369" t="str">
        <f t="shared" ca="1" si="1"/>
        <v>-</v>
      </c>
      <c r="I14" s="369">
        <f t="shared" ref="I14:I19" ca="1" si="2">IF($A14="*","",SUMIF($B$9:$B$12,B14,$I$9:$I$12))</f>
        <v>1</v>
      </c>
      <c r="J14" s="369"/>
      <c r="K14" s="304">
        <v>1</v>
      </c>
      <c r="L14" s="304">
        <v>1</v>
      </c>
    </row>
    <row r="15" spans="1:13">
      <c r="A15" s="304" t="str">
        <f ca="1">IF(LEFT(OFFSET(COM_2012!$A$60,L15,0),2)="\I","*","")</f>
        <v/>
      </c>
      <c r="B15" s="369" t="str">
        <f t="shared" ca="1" si="0"/>
        <v>PRC_ACTUNT</v>
      </c>
      <c r="C15" s="369" t="str">
        <f ca="1">IF($A15="*","",OFFSET(COM_2012!$B$60,L15,0))</f>
        <v>CECELCCEN-E</v>
      </c>
      <c r="D15" s="369" t="str">
        <f ca="1">IF($A15="*","",IF(LEFT($B15,3)="TOP",OFFSET(COM_2012!$B$60,$L15,SUMIF($B$9:$B$12,$B15,$M$9:$M$12)),"-"))</f>
        <v>-</v>
      </c>
      <c r="E15" s="369" t="str">
        <f ca="1">IF($A15="*","",IF($B15="PRC_ACTUNT",OFFSET(COM_2012!$B$60,$L15,SUMIF($B$9:$B$12,$B15,$M$9:$M$12)),"-"))</f>
        <v>CEC</v>
      </c>
      <c r="F15" s="369" t="str">
        <f t="shared" ref="F15:H54" ca="1" si="3">IF($A15="*","","-")</f>
        <v>-</v>
      </c>
      <c r="G15" s="369" t="str">
        <f t="shared" ca="1" si="1"/>
        <v>-</v>
      </c>
      <c r="H15" s="369" t="str">
        <f t="shared" ca="1" si="1"/>
        <v>-</v>
      </c>
      <c r="I15" s="369">
        <f t="shared" ca="1" si="2"/>
        <v>1</v>
      </c>
      <c r="J15" s="369"/>
      <c r="K15" s="304">
        <f>IF(L14=COM_2012!$AI$121,K14+1,K14)</f>
        <v>1</v>
      </c>
      <c r="L15" s="304">
        <f>IF(K15=K14,L14+1,1)</f>
        <v>2</v>
      </c>
    </row>
    <row r="16" spans="1:13">
      <c r="A16" s="304" t="str">
        <f ca="1">IF(LEFT(OFFSET(COM_2012!$A$60,L16,0),2)="\I","*","")</f>
        <v/>
      </c>
      <c r="B16" s="369" t="str">
        <f t="shared" ca="1" si="0"/>
        <v>PRC_ACTUNT</v>
      </c>
      <c r="C16" s="369" t="str">
        <f ca="1">IF($A16="*","",OFFSET(COM_2012!$B$60,L16,0))</f>
        <v>CECELCHP-E</v>
      </c>
      <c r="D16" s="369" t="str">
        <f ca="1">IF($A16="*","",IF(LEFT($B16,3)="TOP",OFFSET(COM_2012!$B$60,$L16,SUMIF($B$9:$B$12,$B16,$M$9:$M$12)),"-"))</f>
        <v>-</v>
      </c>
      <c r="E16" s="369" t="str">
        <f ca="1">IF($A16="*","",IF($B16="PRC_ACTUNT",OFFSET(COM_2012!$B$60,$L16,SUMIF($B$9:$B$12,$B16,$M$9:$M$12)),"-"))</f>
        <v>CEC</v>
      </c>
      <c r="F16" s="369" t="str">
        <f t="shared" ca="1" si="3"/>
        <v>-</v>
      </c>
      <c r="G16" s="369" t="str">
        <f t="shared" ca="1" si="1"/>
        <v>-</v>
      </c>
      <c r="H16" s="369" t="str">
        <f t="shared" ca="1" si="1"/>
        <v>-</v>
      </c>
      <c r="I16" s="369">
        <f t="shared" ca="1" si="2"/>
        <v>1</v>
      </c>
      <c r="J16" s="369"/>
      <c r="K16" s="304">
        <f>IF(L15=COM_2012!$AI$121,K15+1,K15)</f>
        <v>1</v>
      </c>
      <c r="L16" s="304">
        <f>IF(K16=K15,L15+1,1)</f>
        <v>3</v>
      </c>
    </row>
    <row r="17" spans="1:12">
      <c r="A17" s="304" t="str">
        <f ca="1">IF(LEFT(OFFSET(COM_2012!$A$60,L17,0),2)="\I","*","")</f>
        <v/>
      </c>
      <c r="B17" s="369" t="str">
        <f t="shared" ca="1" si="0"/>
        <v>PRC_ACTUNT</v>
      </c>
      <c r="C17" s="369" t="str">
        <f ca="1">IF($A17="*","",OFFSET(COM_2012!$B$60,L17,0))</f>
        <v>CECELCROOM-E</v>
      </c>
      <c r="D17" s="369" t="str">
        <f ca="1">IF($A17="*","",IF(LEFT($B17,3)="TOP",OFFSET(COM_2012!$B$60,$L17,SUMIF($B$9:$B$12,$B17,$M$9:$M$12)),"-"))</f>
        <v>-</v>
      </c>
      <c r="E17" s="369" t="str">
        <f ca="1">IF($A17="*","",IF($B17="PRC_ACTUNT",OFFSET(COM_2012!$B$60,$L17,SUMIF($B$9:$B$12,$B17,$M$9:$M$12)),"-"))</f>
        <v>CEC</v>
      </c>
      <c r="F17" s="369" t="str">
        <f t="shared" ca="1" si="3"/>
        <v>-</v>
      </c>
      <c r="G17" s="369" t="str">
        <f t="shared" ca="1" si="1"/>
        <v>-</v>
      </c>
      <c r="H17" s="369" t="str">
        <f t="shared" ca="1" si="1"/>
        <v>-</v>
      </c>
      <c r="I17" s="369">
        <f t="shared" ca="1" si="2"/>
        <v>1</v>
      </c>
      <c r="J17" s="369"/>
      <c r="K17" s="304">
        <f>IF(L16=COM_2012!$AI$121,K16+1,K16)</f>
        <v>1</v>
      </c>
      <c r="L17" s="304">
        <f>IF(K17=K16,L16+1,1)</f>
        <v>4</v>
      </c>
    </row>
    <row r="18" spans="1:12">
      <c r="A18" s="304" t="str">
        <f ca="1">IF(LEFT(OFFSET(COM_2012!$A$60,L18,0),2)="\I","*","")</f>
        <v/>
      </c>
      <c r="B18" s="369" t="str">
        <f t="shared" ca="1" si="0"/>
        <v>PRC_ACTUNT</v>
      </c>
      <c r="C18" s="369" t="str">
        <f ca="1">IF($A18="*","",OFFSET(COM_2012!$B$60,L18,0))</f>
        <v>CECELCCEN-N</v>
      </c>
      <c r="D18" s="369" t="str">
        <f ca="1">IF($A18="*","",IF(LEFT($B18,3)="TOP",OFFSET(COM_2012!$B$60,$L18,SUMIF($B$9:$B$12,$B18,$M$9:$M$12)),"-"))</f>
        <v>-</v>
      </c>
      <c r="E18" s="369" t="str">
        <f ca="1">IF($A18="*","",IF($B18="PRC_ACTUNT",OFFSET(COM_2012!$B$60,$L18,SUMIF($B$9:$B$12,$B18,$M$9:$M$12)),"-"))</f>
        <v>CEC</v>
      </c>
      <c r="F18" s="369" t="str">
        <f t="shared" ca="1" si="3"/>
        <v>-</v>
      </c>
      <c r="G18" s="369" t="str">
        <f t="shared" ca="1" si="1"/>
        <v>-</v>
      </c>
      <c r="H18" s="369" t="str">
        <f t="shared" ca="1" si="1"/>
        <v>-</v>
      </c>
      <c r="I18" s="369">
        <f t="shared" ca="1" si="2"/>
        <v>1</v>
      </c>
      <c r="J18" s="369"/>
      <c r="K18" s="304">
        <f>IF(L17=COM_2012!$AI$121,K17+1,K17)</f>
        <v>1</v>
      </c>
      <c r="L18" s="304">
        <f>IF(K18=K17,L17+1,1)</f>
        <v>5</v>
      </c>
    </row>
    <row r="19" spans="1:12">
      <c r="A19" s="304" t="str">
        <f ca="1">IF(LEFT(OFFSET(COM_2012!$A$60,L19,0),2)="\I","*","")</f>
        <v/>
      </c>
      <c r="B19" s="369" t="str">
        <f t="shared" ca="1" si="0"/>
        <v>PRC_ACTUNT</v>
      </c>
      <c r="C19" s="369" t="str">
        <f ca="1">IF($A19="*","",OFFSET(COM_2012!$B$60,L19,0))</f>
        <v>CECELCHP-N</v>
      </c>
      <c r="D19" s="369" t="str">
        <f ca="1">IF($A19="*","",IF(LEFT($B19,3)="TOP",OFFSET(COM_2012!$B$60,$L19,SUMIF($B$9:$B$12,$B19,$M$9:$M$12)),"-"))</f>
        <v>-</v>
      </c>
      <c r="E19" s="369" t="str">
        <f ca="1">IF($A19="*","",IF($B19="PRC_ACTUNT",OFFSET(COM_2012!$B$60,$L19,SUMIF($B$9:$B$12,$B19,$M$9:$M$12)),"-"))</f>
        <v>CEC</v>
      </c>
      <c r="F19" s="369" t="str">
        <f t="shared" ca="1" si="3"/>
        <v>-</v>
      </c>
      <c r="G19" s="369" t="str">
        <f t="shared" ca="1" si="1"/>
        <v>-</v>
      </c>
      <c r="H19" s="369" t="str">
        <f t="shared" ca="1" si="1"/>
        <v>-</v>
      </c>
      <c r="I19" s="369">
        <f t="shared" ca="1" si="2"/>
        <v>1</v>
      </c>
      <c r="J19" s="369"/>
      <c r="K19" s="304">
        <f>IF(L18=COM_2012!$AI$121,K18+1,K18)</f>
        <v>1</v>
      </c>
      <c r="L19" s="304">
        <f>IF(K19=K18,L18+1,1)</f>
        <v>6</v>
      </c>
    </row>
    <row r="20" spans="1:12">
      <c r="A20" s="304" t="str">
        <f ca="1">IF(LEFT(OFFSET(COM_2012!$A$60,L20,0),2)="\I","*","")</f>
        <v>*</v>
      </c>
      <c r="B20" s="369" t="str">
        <f t="shared" ref="B20:B83" ca="1" si="4">IF(A20="*","",VLOOKUP("*"&amp;K20,$A$9:$B$14,2,FALSE))</f>
        <v/>
      </c>
      <c r="C20" s="369" t="str">
        <f ca="1">IF($A20="*","",OFFSET(COM_2012!$B$60,L20,0))</f>
        <v/>
      </c>
      <c r="D20" s="369" t="str">
        <f ca="1">IF($A20="*","",IF(LEFT($B20,3)="TOP",OFFSET(COM_2012!$B$60,$L20,SUMIF($B$9:$B$12,$B20,$M$9:$M$12)),"-"))</f>
        <v/>
      </c>
      <c r="E20" s="369" t="str">
        <f ca="1">IF($A20="*","",IF($B20="PRC_ACTUNT",OFFSET(COM_2012!$B$60,$L20,SUMIF($B$9:$B$12,$B20,$M$9:$M$12)),"-"))</f>
        <v/>
      </c>
      <c r="F20" s="369" t="str">
        <f t="shared" ca="1" si="3"/>
        <v/>
      </c>
      <c r="G20" s="369" t="str">
        <f t="shared" ca="1" si="1"/>
        <v/>
      </c>
      <c r="H20" s="369" t="str">
        <f t="shared" ca="1" si="1"/>
        <v/>
      </c>
      <c r="I20" s="369" t="str">
        <f t="shared" ref="I20:I83" ca="1" si="5">IF($A20="*","",SUMIF($B$9:$B$12,B20,$I$9:$I$12))</f>
        <v/>
      </c>
      <c r="J20" s="369"/>
      <c r="K20" s="304">
        <f>IF(L19=COM_2012!$AI$121,K19+1,K19)</f>
        <v>1</v>
      </c>
      <c r="L20" s="304">
        <f t="shared" ref="L20:L83" si="6">IF(K20=K19,L19+1,1)</f>
        <v>7</v>
      </c>
    </row>
    <row r="21" spans="1:12">
      <c r="A21" s="304" t="str">
        <f ca="1">IF(LEFT(OFFSET(COM_2012!$A$60,L21,0),2)="\I","*","")</f>
        <v>*</v>
      </c>
      <c r="B21" s="369" t="str">
        <f t="shared" ca="1" si="4"/>
        <v/>
      </c>
      <c r="C21" s="369" t="str">
        <f ca="1">IF($A21="*","",OFFSET(COM_2012!$B$60,L21,0))</f>
        <v/>
      </c>
      <c r="D21" s="369" t="str">
        <f ca="1">IF($A21="*","",IF(LEFT($B21,3)="TOP",OFFSET(COM_2012!$B$60,$L21,SUMIF($B$9:$B$12,$B21,$M$9:$M$12)),"-"))</f>
        <v/>
      </c>
      <c r="E21" s="369" t="str">
        <f ca="1">IF($A21="*","",IF($B21="PRC_ACTUNT",OFFSET(COM_2012!$B$60,$L21,SUMIF($B$9:$B$12,$B21,$M$9:$M$12)),"-"))</f>
        <v/>
      </c>
      <c r="F21" s="369" t="str">
        <f t="shared" ca="1" si="3"/>
        <v/>
      </c>
      <c r="G21" s="369" t="str">
        <f t="shared" ca="1" si="1"/>
        <v/>
      </c>
      <c r="H21" s="369" t="str">
        <f t="shared" ca="1" si="1"/>
        <v/>
      </c>
      <c r="I21" s="369" t="str">
        <f t="shared" ca="1" si="5"/>
        <v/>
      </c>
      <c r="J21" s="369"/>
      <c r="K21" s="304">
        <f>IF(L20=COM_2012!$AI$121,K20+1,K20)</f>
        <v>1</v>
      </c>
      <c r="L21" s="304">
        <f t="shared" si="6"/>
        <v>8</v>
      </c>
    </row>
    <row r="22" spans="1:12">
      <c r="A22" s="304" t="str">
        <f ca="1">IF(LEFT(OFFSET(COM_2012!$A$60,L22,0),2)="\I","*","")</f>
        <v/>
      </c>
      <c r="B22" s="369" t="str">
        <f t="shared" ca="1" si="4"/>
        <v>PRC_ACTUNT</v>
      </c>
      <c r="C22" s="369" t="str">
        <f ca="1">IF($A22="*","",OFFSET(COM_2012!$B$60,L22,0))</f>
        <v>CEHCOA-E</v>
      </c>
      <c r="D22" s="369" t="str">
        <f ca="1">IF($A22="*","",IF(LEFT($B22,3)="TOP",OFFSET(COM_2012!$B$60,$L22,SUMIF($B$9:$B$12,$B22,$M$9:$M$12)),"-"))</f>
        <v>-</v>
      </c>
      <c r="E22" s="369" t="str">
        <f ca="1">IF($A22="*","",IF($B22="PRC_ACTUNT",OFFSET(COM_2012!$B$60,$L22,SUMIF($B$9:$B$12,$B22,$M$9:$M$12)),"-"))</f>
        <v>CEH</v>
      </c>
      <c r="F22" s="369" t="str">
        <f t="shared" ca="1" si="3"/>
        <v>-</v>
      </c>
      <c r="G22" s="369" t="str">
        <f t="shared" ca="1" si="1"/>
        <v>-</v>
      </c>
      <c r="H22" s="369" t="str">
        <f t="shared" ca="1" si="1"/>
        <v>-</v>
      </c>
      <c r="I22" s="369">
        <f t="shared" ca="1" si="5"/>
        <v>1</v>
      </c>
      <c r="J22" s="369"/>
      <c r="K22" s="304">
        <f>IF(L21=COM_2012!$AI$121,K21+1,K21)</f>
        <v>1</v>
      </c>
      <c r="L22" s="304">
        <f t="shared" si="6"/>
        <v>9</v>
      </c>
    </row>
    <row r="23" spans="1:12">
      <c r="A23" s="304" t="str">
        <f ca="1">IF(LEFT(OFFSET(COM_2012!$A$60,L23,0),2)="\I","*","")</f>
        <v/>
      </c>
      <c r="B23" s="369" t="str">
        <f t="shared" ca="1" si="4"/>
        <v>PRC_ACTUNT</v>
      </c>
      <c r="C23" s="369" t="str">
        <f ca="1">IF($A23="*","",OFFSET(COM_2012!$B$60,L23,0))</f>
        <v>CEHELC-E</v>
      </c>
      <c r="D23" s="369" t="str">
        <f ca="1">IF($A23="*","",IF(LEFT($B23,3)="TOP",OFFSET(COM_2012!$B$60,$L23,SUMIF($B$9:$B$12,$B23,$M$9:$M$12)),"-"))</f>
        <v>-</v>
      </c>
      <c r="E23" s="369" t="str">
        <f ca="1">IF($A23="*","",IF($B23="PRC_ACTUNT",OFFSET(COM_2012!$B$60,$L23,SUMIF($B$9:$B$12,$B23,$M$9:$M$12)),"-"))</f>
        <v>CEH</v>
      </c>
      <c r="F23" s="369" t="str">
        <f t="shared" ca="1" si="3"/>
        <v>-</v>
      </c>
      <c r="G23" s="369" t="str">
        <f t="shared" ca="1" si="1"/>
        <v>-</v>
      </c>
      <c r="H23" s="369" t="str">
        <f t="shared" ca="1" si="1"/>
        <v>-</v>
      </c>
      <c r="I23" s="369">
        <f t="shared" ca="1" si="5"/>
        <v>1</v>
      </c>
      <c r="J23" s="369"/>
      <c r="K23" s="304">
        <f>IF(L22=COM_2012!$AI$121,K22+1,K22)</f>
        <v>1</v>
      </c>
      <c r="L23" s="304">
        <f t="shared" si="6"/>
        <v>10</v>
      </c>
    </row>
    <row r="24" spans="1:12">
      <c r="A24" s="304" t="str">
        <f ca="1">IF(LEFT(OFFSET(COM_2012!$A$60,L24,0),2)="\I","*","")</f>
        <v/>
      </c>
      <c r="B24" s="369" t="str">
        <f t="shared" ca="1" si="4"/>
        <v>PRC_ACTUNT</v>
      </c>
      <c r="C24" s="369" t="str">
        <f ca="1">IF($A24="*","",OFFSET(COM_2012!$B$60,L24,0))</f>
        <v>CEHGAS-E</v>
      </c>
      <c r="D24" s="369" t="str">
        <f ca="1">IF($A24="*","",IF(LEFT($B24,3)="TOP",OFFSET(COM_2012!$B$60,$L24,SUMIF($B$9:$B$12,$B24,$M$9:$M$12)),"-"))</f>
        <v>-</v>
      </c>
      <c r="E24" s="369" t="str">
        <f ca="1">IF($A24="*","",IF($B24="PRC_ACTUNT",OFFSET(COM_2012!$B$60,$L24,SUMIF($B$9:$B$12,$B24,$M$9:$M$12)),"-"))</f>
        <v>CEH</v>
      </c>
      <c r="F24" s="369" t="str">
        <f t="shared" ca="1" si="3"/>
        <v>-</v>
      </c>
      <c r="G24" s="369" t="str">
        <f t="shared" ca="1" si="1"/>
        <v>-</v>
      </c>
      <c r="H24" s="369" t="str">
        <f t="shared" ca="1" si="1"/>
        <v>-</v>
      </c>
      <c r="I24" s="369">
        <f t="shared" ca="1" si="5"/>
        <v>1</v>
      </c>
      <c r="J24" s="369"/>
      <c r="K24" s="304">
        <f>IF(L23=COM_2012!$AI$121,K23+1,K23)</f>
        <v>1</v>
      </c>
      <c r="L24" s="304">
        <f t="shared" si="6"/>
        <v>11</v>
      </c>
    </row>
    <row r="25" spans="1:12">
      <c r="A25" s="304" t="str">
        <f ca="1">IF(LEFT(OFFSET(COM_2012!$A$60,L25,0),2)="\I","*","")</f>
        <v/>
      </c>
      <c r="B25" s="369" t="str">
        <f t="shared" ca="1" si="4"/>
        <v>PRC_ACTUNT</v>
      </c>
      <c r="C25" s="369" t="str">
        <f ca="1">IF($A25="*","",OFFSET(COM_2012!$B$60,L25,0))</f>
        <v>CEHELC-N</v>
      </c>
      <c r="D25" s="369" t="str">
        <f ca="1">IF($A25="*","",IF(LEFT($B25,3)="TOP",OFFSET(COM_2012!$B$60,$L25,SUMIF($B$9:$B$12,$B25,$M$9:$M$12)),"-"))</f>
        <v>-</v>
      </c>
      <c r="E25" s="369" t="str">
        <f ca="1">IF($A25="*","",IF($B25="PRC_ACTUNT",OFFSET(COM_2012!$B$60,$L25,SUMIF($B$9:$B$12,$B25,$M$9:$M$12)),"-"))</f>
        <v>CEH</v>
      </c>
      <c r="F25" s="369" t="str">
        <f t="shared" ca="1" si="3"/>
        <v>-</v>
      </c>
      <c r="G25" s="369" t="str">
        <f t="shared" ca="1" si="1"/>
        <v>-</v>
      </c>
      <c r="H25" s="369" t="str">
        <f t="shared" ca="1" si="1"/>
        <v>-</v>
      </c>
      <c r="I25" s="369">
        <f t="shared" ca="1" si="5"/>
        <v>1</v>
      </c>
      <c r="J25" s="369"/>
      <c r="K25" s="304">
        <f>IF(L24=COM_2012!$AI$121,K24+1,K24)</f>
        <v>1</v>
      </c>
      <c r="L25" s="304">
        <f t="shared" si="6"/>
        <v>12</v>
      </c>
    </row>
    <row r="26" spans="1:12">
      <c r="A26" s="304" t="str">
        <f ca="1">IF(LEFT(OFFSET(COM_2012!$A$60,L26,0),2)="\I","*","")</f>
        <v/>
      </c>
      <c r="B26" s="369" t="str">
        <f t="shared" ca="1" si="4"/>
        <v>PRC_ACTUNT</v>
      </c>
      <c r="C26" s="369" t="str">
        <f ca="1">IF($A26="*","",OFFSET(COM_2012!$B$60,L26,0))</f>
        <v>CEHGAS-N</v>
      </c>
      <c r="D26" s="369" t="str">
        <f ca="1">IF($A26="*","",IF(LEFT($B26,3)="TOP",OFFSET(COM_2012!$B$60,$L26,SUMIF($B$9:$B$12,$B26,$M$9:$M$12)),"-"))</f>
        <v>-</v>
      </c>
      <c r="E26" s="369" t="str">
        <f ca="1">IF($A26="*","",IF($B26="PRC_ACTUNT",OFFSET(COM_2012!$B$60,$L26,SUMIF($B$9:$B$12,$B26,$M$9:$M$12)),"-"))</f>
        <v>CEH</v>
      </c>
      <c r="F26" s="369" t="str">
        <f t="shared" ca="1" si="3"/>
        <v>-</v>
      </c>
      <c r="G26" s="369" t="str">
        <f t="shared" ca="1" si="1"/>
        <v>-</v>
      </c>
      <c r="H26" s="369" t="str">
        <f t="shared" ca="1" si="1"/>
        <v>-</v>
      </c>
      <c r="I26" s="369">
        <f t="shared" ca="1" si="5"/>
        <v>1</v>
      </c>
      <c r="J26" s="369"/>
      <c r="K26" s="304">
        <f>IF(L25=COM_2012!$AI$121,K25+1,K25)</f>
        <v>1</v>
      </c>
      <c r="L26" s="304">
        <f t="shared" si="6"/>
        <v>13</v>
      </c>
    </row>
    <row r="27" spans="1:12">
      <c r="A27" s="304" t="str">
        <f ca="1">IF(LEFT(OFFSET(COM_2012!$A$60,L27,0),2)="\I","*","")</f>
        <v>*</v>
      </c>
      <c r="B27" s="369" t="str">
        <f t="shared" ca="1" si="4"/>
        <v/>
      </c>
      <c r="C27" s="369" t="str">
        <f ca="1">IF($A27="*","",OFFSET(COM_2012!$B$60,L27,0))</f>
        <v/>
      </c>
      <c r="D27" s="369" t="str">
        <f ca="1">IF($A27="*","",IF(LEFT($B27,3)="TOP",OFFSET(COM_2012!$B$60,$L27,SUMIF($B$9:$B$12,$B27,$M$9:$M$12)),"-"))</f>
        <v/>
      </c>
      <c r="E27" s="369" t="str">
        <f ca="1">IF($A27="*","",IF($B27="PRC_ACTUNT",OFFSET(COM_2012!$B$60,$L27,SUMIF($B$9:$B$12,$B27,$M$9:$M$12)),"-"))</f>
        <v/>
      </c>
      <c r="F27" s="369" t="str">
        <f t="shared" ca="1" si="3"/>
        <v/>
      </c>
      <c r="G27" s="369" t="str">
        <f t="shared" ca="1" si="1"/>
        <v/>
      </c>
      <c r="H27" s="369" t="str">
        <f t="shared" ca="1" si="1"/>
        <v/>
      </c>
      <c r="I27" s="369" t="str">
        <f t="shared" ca="1" si="5"/>
        <v/>
      </c>
      <c r="J27" s="369"/>
      <c r="K27" s="304">
        <f>IF(L26=COM_2012!$AI$121,K26+1,K26)</f>
        <v>1</v>
      </c>
      <c r="L27" s="304">
        <f t="shared" si="6"/>
        <v>14</v>
      </c>
    </row>
    <row r="28" spans="1:12">
      <c r="A28" s="304" t="str">
        <f ca="1">IF(LEFT(OFFSET(COM_2012!$A$60,L28,0),2)="\I","*","")</f>
        <v>*</v>
      </c>
      <c r="B28" s="369" t="str">
        <f t="shared" ca="1" si="4"/>
        <v/>
      </c>
      <c r="C28" s="369" t="str">
        <f ca="1">IF($A28="*","",OFFSET(COM_2012!$B$60,L28,0))</f>
        <v/>
      </c>
      <c r="D28" s="369" t="str">
        <f ca="1">IF($A28="*","",IF(LEFT($B28,3)="TOP",OFFSET(COM_2012!$B$60,$L28,SUMIF($B$9:$B$12,$B28,$M$9:$M$12)),"-"))</f>
        <v/>
      </c>
      <c r="E28" s="369" t="str">
        <f ca="1">IF($A28="*","",IF($B28="PRC_ACTUNT",OFFSET(COM_2012!$B$60,$L28,SUMIF($B$9:$B$12,$B28,$M$9:$M$12)),"-"))</f>
        <v/>
      </c>
      <c r="F28" s="369" t="str">
        <f t="shared" ca="1" si="3"/>
        <v/>
      </c>
      <c r="G28" s="369" t="str">
        <f t="shared" ca="1" si="1"/>
        <v/>
      </c>
      <c r="H28" s="369" t="str">
        <f t="shared" ca="1" si="1"/>
        <v/>
      </c>
      <c r="I28" s="369" t="str">
        <f t="shared" ca="1" si="5"/>
        <v/>
      </c>
      <c r="J28" s="369"/>
      <c r="K28" s="304">
        <f>IF(L27=COM_2012!$AI$121,K27+1,K27)</f>
        <v>1</v>
      </c>
      <c r="L28" s="304">
        <f t="shared" si="6"/>
        <v>15</v>
      </c>
    </row>
    <row r="29" spans="1:12">
      <c r="A29" s="304" t="str">
        <f ca="1">IF(LEFT(OFFSET(COM_2012!$A$60,L29,0),2)="\I","*","")</f>
        <v/>
      </c>
      <c r="B29" s="369" t="str">
        <f t="shared" ca="1" si="4"/>
        <v>PRC_ACTUNT</v>
      </c>
      <c r="C29" s="369" t="str">
        <f ca="1">IF($A29="*","",OFFSET(COM_2012!$B$60,L29,0))</f>
        <v>CEKOLP-E</v>
      </c>
      <c r="D29" s="369" t="str">
        <f ca="1">IF($A29="*","",IF(LEFT($B29,3)="TOP",OFFSET(COM_2012!$B$60,$L29,SUMIF($B$9:$B$12,$B29,$M$9:$M$12)),"-"))</f>
        <v>-</v>
      </c>
      <c r="E29" s="369" t="str">
        <f ca="1">IF($A29="*","",IF($B29="PRC_ACTUNT",OFFSET(COM_2012!$B$60,$L29,SUMIF($B$9:$B$12,$B29,$M$9:$M$12)),"-"))</f>
        <v>CEK</v>
      </c>
      <c r="F29" s="369" t="str">
        <f t="shared" ca="1" si="3"/>
        <v>-</v>
      </c>
      <c r="G29" s="369" t="str">
        <f t="shared" ca="1" si="1"/>
        <v>-</v>
      </c>
      <c r="H29" s="369" t="str">
        <f t="shared" ca="1" si="1"/>
        <v>-</v>
      </c>
      <c r="I29" s="369">
        <f t="shared" ca="1" si="5"/>
        <v>1</v>
      </c>
      <c r="J29" s="369"/>
      <c r="K29" s="304">
        <f>IF(L28=COM_2012!$AI$121,K28+1,K28)</f>
        <v>1</v>
      </c>
      <c r="L29" s="304">
        <f t="shared" si="6"/>
        <v>16</v>
      </c>
    </row>
    <row r="30" spans="1:12">
      <c r="A30" s="304" t="str">
        <f ca="1">IF(LEFT(OFFSET(COM_2012!$A$60,L30,0),2)="\I","*","")</f>
        <v/>
      </c>
      <c r="B30" s="369" t="str">
        <f t="shared" ca="1" si="4"/>
        <v>PRC_ACTUNT</v>
      </c>
      <c r="C30" s="369" t="str">
        <f ca="1">IF($A30="*","",OFFSET(COM_2012!$B$60,L30,0))</f>
        <v>CEKELC-E</v>
      </c>
      <c r="D30" s="369" t="str">
        <f ca="1">IF($A30="*","",IF(LEFT($B30,3)="TOP",OFFSET(COM_2012!$B$60,$L30,SUMIF($B$9:$B$12,$B30,$M$9:$M$12)),"-"))</f>
        <v>-</v>
      </c>
      <c r="E30" s="369" t="str">
        <f ca="1">IF($A30="*","",IF($B30="PRC_ACTUNT",OFFSET(COM_2012!$B$60,$L30,SUMIF($B$9:$B$12,$B30,$M$9:$M$12)),"-"))</f>
        <v>CEK</v>
      </c>
      <c r="F30" s="369" t="str">
        <f t="shared" ca="1" si="3"/>
        <v>-</v>
      </c>
      <c r="G30" s="369" t="str">
        <f t="shared" ca="1" si="3"/>
        <v>-</v>
      </c>
      <c r="H30" s="369" t="str">
        <f t="shared" ca="1" si="3"/>
        <v>-</v>
      </c>
      <c r="I30" s="369">
        <f t="shared" ca="1" si="5"/>
        <v>1</v>
      </c>
      <c r="J30" s="369"/>
      <c r="K30" s="304">
        <f>IF(L29=COM_2012!$AI$121,K29+1,K29)</f>
        <v>1</v>
      </c>
      <c r="L30" s="304">
        <f t="shared" si="6"/>
        <v>17</v>
      </c>
    </row>
    <row r="31" spans="1:12">
      <c r="A31" s="304" t="str">
        <f ca="1">IF(LEFT(OFFSET(COM_2012!$A$60,L31,0),2)="\I","*","")</f>
        <v/>
      </c>
      <c r="B31" s="369" t="str">
        <f t="shared" ca="1" si="4"/>
        <v>PRC_ACTUNT</v>
      </c>
      <c r="C31" s="369" t="str">
        <f ca="1">IF($A31="*","",OFFSET(COM_2012!$B$60,L31,0))</f>
        <v>CEKCOA-E</v>
      </c>
      <c r="D31" s="369" t="str">
        <f ca="1">IF($A31="*","",IF(LEFT($B31,3)="TOP",OFFSET(COM_2012!$B$60,$L31,SUMIF($B$9:$B$12,$B31,$M$9:$M$12)),"-"))</f>
        <v>-</v>
      </c>
      <c r="E31" s="369" t="str">
        <f ca="1">IF($A31="*","",IF($B31="PRC_ACTUNT",OFFSET(COM_2012!$B$60,$L31,SUMIF($B$9:$B$12,$B31,$M$9:$M$12)),"-"))</f>
        <v>CEK</v>
      </c>
      <c r="F31" s="369" t="str">
        <f t="shared" ca="1" si="3"/>
        <v>-</v>
      </c>
      <c r="G31" s="369" t="str">
        <f t="shared" ca="1" si="3"/>
        <v>-</v>
      </c>
      <c r="H31" s="369" t="str">
        <f t="shared" ca="1" si="3"/>
        <v>-</v>
      </c>
      <c r="I31" s="369">
        <f t="shared" ca="1" si="5"/>
        <v>1</v>
      </c>
      <c r="J31" s="369"/>
      <c r="K31" s="304">
        <f>IF(L30=COM_2012!$AI$121,K30+1,K30)</f>
        <v>1</v>
      </c>
      <c r="L31" s="304">
        <f t="shared" si="6"/>
        <v>18</v>
      </c>
    </row>
    <row r="32" spans="1:12">
      <c r="A32" s="304" t="str">
        <f ca="1">IF(LEFT(OFFSET(COM_2012!$A$60,L32,0),2)="\I","*","")</f>
        <v>*</v>
      </c>
      <c r="B32" s="369" t="str">
        <f t="shared" ca="1" si="4"/>
        <v/>
      </c>
      <c r="C32" s="369" t="str">
        <f ca="1">IF($A32="*","",OFFSET(COM_2012!$B$60,L32,0))</f>
        <v/>
      </c>
      <c r="D32" s="369" t="str">
        <f ca="1">IF($A32="*","",IF(LEFT($B32,3)="TOP",OFFSET(COM_2012!$B$60,$L32,SUMIF($B$9:$B$12,$B32,$M$9:$M$12)),"-"))</f>
        <v/>
      </c>
      <c r="E32" s="369" t="str">
        <f ca="1">IF($A32="*","",IF($B32="PRC_ACTUNT",OFFSET(COM_2012!$B$60,$L32,SUMIF($B$9:$B$12,$B32,$M$9:$M$12)),"-"))</f>
        <v/>
      </c>
      <c r="F32" s="369" t="str">
        <f t="shared" ca="1" si="3"/>
        <v/>
      </c>
      <c r="G32" s="369" t="str">
        <f t="shared" ca="1" si="3"/>
        <v/>
      </c>
      <c r="H32" s="369" t="str">
        <f t="shared" ca="1" si="3"/>
        <v/>
      </c>
      <c r="I32" s="369" t="str">
        <f t="shared" ca="1" si="5"/>
        <v/>
      </c>
      <c r="J32" s="369"/>
      <c r="K32" s="304">
        <f>IF(L31=COM_2012!$AI$121,K31+1,K31)</f>
        <v>1</v>
      </c>
      <c r="L32" s="304">
        <f t="shared" si="6"/>
        <v>19</v>
      </c>
    </row>
    <row r="33" spans="1:12">
      <c r="A33" s="304" t="str">
        <f ca="1">IF(LEFT(OFFSET(COM_2012!$A$60,L33,0),2)="\I","*","")</f>
        <v>*</v>
      </c>
      <c r="B33" s="369" t="str">
        <f t="shared" ca="1" si="4"/>
        <v/>
      </c>
      <c r="C33" s="369" t="str">
        <f ca="1">IF($A33="*","",OFFSET(COM_2012!$B$60,L33,0))</f>
        <v/>
      </c>
      <c r="D33" s="369" t="str">
        <f ca="1">IF($A33="*","",IF(LEFT($B33,3)="TOP",OFFSET(COM_2012!$B$60,$L33,SUMIF($B$9:$B$12,$B33,$M$9:$M$12)),"-"))</f>
        <v/>
      </c>
      <c r="E33" s="369" t="str">
        <f ca="1">IF($A33="*","",IF($B33="PRC_ACTUNT",OFFSET(COM_2012!$B$60,$L33,SUMIF($B$9:$B$12,$B33,$M$9:$M$12)),"-"))</f>
        <v/>
      </c>
      <c r="F33" s="369" t="str">
        <f t="shared" ca="1" si="3"/>
        <v/>
      </c>
      <c r="G33" s="369" t="str">
        <f t="shared" ca="1" si="3"/>
        <v/>
      </c>
      <c r="H33" s="369" t="str">
        <f t="shared" ca="1" si="3"/>
        <v/>
      </c>
      <c r="I33" s="369" t="str">
        <f t="shared" ca="1" si="5"/>
        <v/>
      </c>
      <c r="J33" s="369"/>
      <c r="K33" s="304">
        <f>IF(L32=COM_2012!$AI$121,K32+1,K32)</f>
        <v>1</v>
      </c>
      <c r="L33" s="304">
        <f t="shared" si="6"/>
        <v>20</v>
      </c>
    </row>
    <row r="34" spans="1:12">
      <c r="A34" s="304" t="str">
        <f ca="1">IF(LEFT(OFFSET(COM_2012!$A$60,L34,0),2)="\I","*","")</f>
        <v/>
      </c>
      <c r="B34" s="369" t="str">
        <f t="shared" ca="1" si="4"/>
        <v>PRC_ACTUNT</v>
      </c>
      <c r="C34" s="369" t="str">
        <f ca="1">IF($A34="*","",OFFSET(COM_2012!$B$60,L34,0))</f>
        <v>CELELCCFL-E</v>
      </c>
      <c r="D34" s="369" t="str">
        <f ca="1">IF($A34="*","",IF(LEFT($B34,3)="TOP",OFFSET(COM_2012!$B$60,$L34,SUMIF($B$9:$B$12,$B34,$M$9:$M$12)),"-"))</f>
        <v>-</v>
      </c>
      <c r="E34" s="369" t="str">
        <f ca="1">IF($A34="*","",IF($B34="PRC_ACTUNT",OFFSET(COM_2012!$B$60,$L34,SUMIF($B$9:$B$12,$B34,$M$9:$M$12)),"-"))</f>
        <v>CEL</v>
      </c>
      <c r="F34" s="369" t="str">
        <f t="shared" ca="1" si="3"/>
        <v>-</v>
      </c>
      <c r="G34" s="369" t="str">
        <f t="shared" ca="1" si="3"/>
        <v>-</v>
      </c>
      <c r="H34" s="369" t="str">
        <f t="shared" ca="1" si="3"/>
        <v>-</v>
      </c>
      <c r="I34" s="369">
        <f t="shared" ca="1" si="5"/>
        <v>1</v>
      </c>
      <c r="J34" s="369"/>
      <c r="K34" s="304">
        <f>IF(L33=COM_2012!$AI$121,K33+1,K33)</f>
        <v>1</v>
      </c>
      <c r="L34" s="304">
        <f t="shared" si="6"/>
        <v>21</v>
      </c>
    </row>
    <row r="35" spans="1:12">
      <c r="A35" s="304" t="str">
        <f ca="1">IF(LEFT(OFFSET(COM_2012!$A$60,L35,0),2)="\I","*","")</f>
        <v/>
      </c>
      <c r="B35" s="369" t="str">
        <f t="shared" ca="1" si="4"/>
        <v>PRC_ACTUNT</v>
      </c>
      <c r="C35" s="369" t="str">
        <f ca="1">IF($A35="*","",OFFSET(COM_2012!$B$60,L35,0))</f>
        <v>CELELCFLU-E</v>
      </c>
      <c r="D35" s="369" t="str">
        <f ca="1">IF($A35="*","",IF(LEFT($B35,3)="TOP",OFFSET(COM_2012!$B$60,$L35,SUMIF($B$9:$B$12,$B35,$M$9:$M$12)),"-"))</f>
        <v>-</v>
      </c>
      <c r="E35" s="369" t="str">
        <f ca="1">IF($A35="*","",IF($B35="PRC_ACTUNT",OFFSET(COM_2012!$B$60,$L35,SUMIF($B$9:$B$12,$B35,$M$9:$M$12)),"-"))</f>
        <v>CEL</v>
      </c>
      <c r="F35" s="369" t="str">
        <f t="shared" ca="1" si="3"/>
        <v>-</v>
      </c>
      <c r="G35" s="369" t="str">
        <f t="shared" ca="1" si="3"/>
        <v>-</v>
      </c>
      <c r="H35" s="369" t="str">
        <f t="shared" ca="1" si="3"/>
        <v>-</v>
      </c>
      <c r="I35" s="369">
        <f t="shared" ca="1" si="5"/>
        <v>1</v>
      </c>
      <c r="J35" s="369"/>
      <c r="K35" s="304">
        <f>IF(L34=COM_2012!$AI$121,K34+1,K34)</f>
        <v>1</v>
      </c>
      <c r="L35" s="304">
        <f t="shared" si="6"/>
        <v>22</v>
      </c>
    </row>
    <row r="36" spans="1:12">
      <c r="A36" s="304" t="str">
        <f ca="1">IF(LEFT(OFFSET(COM_2012!$A$60,L36,0),2)="\I","*","")</f>
        <v/>
      </c>
      <c r="B36" s="369" t="str">
        <f t="shared" ca="1" si="4"/>
        <v>PRC_ACTUNT</v>
      </c>
      <c r="C36" s="369" t="str">
        <f ca="1">IF($A36="*","",OFFSET(COM_2012!$B$60,L36,0))</f>
        <v>CELELCHAL-E</v>
      </c>
      <c r="D36" s="369" t="str">
        <f ca="1">IF($A36="*","",IF(LEFT($B36,3)="TOP",OFFSET(COM_2012!$B$60,$L36,SUMIF($B$9:$B$12,$B36,$M$9:$M$12)),"-"))</f>
        <v>-</v>
      </c>
      <c r="E36" s="369" t="str">
        <f ca="1">IF($A36="*","",IF($B36="PRC_ACTUNT",OFFSET(COM_2012!$B$60,$L36,SUMIF($B$9:$B$12,$B36,$M$9:$M$12)),"-"))</f>
        <v>CEL</v>
      </c>
      <c r="F36" s="369" t="str">
        <f t="shared" ca="1" si="3"/>
        <v>-</v>
      </c>
      <c r="G36" s="369" t="str">
        <f t="shared" ca="1" si="3"/>
        <v>-</v>
      </c>
      <c r="H36" s="369" t="str">
        <f t="shared" ca="1" si="3"/>
        <v>-</v>
      </c>
      <c r="I36" s="369">
        <f t="shared" ca="1" si="5"/>
        <v>1</v>
      </c>
      <c r="J36" s="369"/>
      <c r="K36" s="304">
        <f>IF(L35=COM_2012!$AI$121,K35+1,K35)</f>
        <v>1</v>
      </c>
      <c r="L36" s="304">
        <f t="shared" si="6"/>
        <v>23</v>
      </c>
    </row>
    <row r="37" spans="1:12">
      <c r="A37" s="304" t="str">
        <f ca="1">IF(LEFT(OFFSET(COM_2012!$A$60,L37,0),2)="\I","*","")</f>
        <v/>
      </c>
      <c r="B37" s="369" t="str">
        <f t="shared" ca="1" si="4"/>
        <v>PRC_ACTUNT</v>
      </c>
      <c r="C37" s="369" t="str">
        <f ca="1">IF($A37="*","",OFFSET(COM_2012!$B$60,L37,0))</f>
        <v>CELELCHID-E</v>
      </c>
      <c r="D37" s="369" t="str">
        <f ca="1">IF($A37="*","",IF(LEFT($B37,3)="TOP",OFFSET(COM_2012!$B$60,$L37,SUMIF($B$9:$B$12,$B37,$M$9:$M$12)),"-"))</f>
        <v>-</v>
      </c>
      <c r="E37" s="369" t="str">
        <f ca="1">IF($A37="*","",IF($B37="PRC_ACTUNT",OFFSET(COM_2012!$B$60,$L37,SUMIF($B$9:$B$12,$B37,$M$9:$M$12)),"-"))</f>
        <v>CEL</v>
      </c>
      <c r="F37" s="369" t="str">
        <f t="shared" ca="1" si="3"/>
        <v>-</v>
      </c>
      <c r="G37" s="369" t="str">
        <f t="shared" ca="1" si="3"/>
        <v>-</v>
      </c>
      <c r="H37" s="369" t="str">
        <f t="shared" ca="1" si="3"/>
        <v>-</v>
      </c>
      <c r="I37" s="369">
        <f t="shared" ca="1" si="5"/>
        <v>1</v>
      </c>
      <c r="J37" s="369"/>
      <c r="K37" s="304">
        <f>IF(L36=COM_2012!$AI$121,K36+1,K36)</f>
        <v>1</v>
      </c>
      <c r="L37" s="304">
        <f t="shared" si="6"/>
        <v>24</v>
      </c>
    </row>
    <row r="38" spans="1:12">
      <c r="A38" s="304" t="str">
        <f ca="1">IF(LEFT(OFFSET(COM_2012!$A$60,L38,0),2)="\I","*","")</f>
        <v/>
      </c>
      <c r="B38" s="369" t="str">
        <f t="shared" ca="1" si="4"/>
        <v>PRC_ACTUNT</v>
      </c>
      <c r="C38" s="369" t="str">
        <f ca="1">IF($A38="*","",OFFSET(COM_2012!$B$60,L38,0))</f>
        <v>CELELCINC-E</v>
      </c>
      <c r="D38" s="369" t="str">
        <f ca="1">IF($A38="*","",IF(LEFT($B38,3)="TOP",OFFSET(COM_2012!$B$60,$L38,SUMIF($B$9:$B$12,$B38,$M$9:$M$12)),"-"))</f>
        <v>-</v>
      </c>
      <c r="E38" s="369" t="str">
        <f ca="1">IF($A38="*","",IF($B38="PRC_ACTUNT",OFFSET(COM_2012!$B$60,$L38,SUMIF($B$9:$B$12,$B38,$M$9:$M$12)),"-"))</f>
        <v>CEL</v>
      </c>
      <c r="F38" s="369" t="str">
        <f t="shared" ca="1" si="3"/>
        <v>-</v>
      </c>
      <c r="G38" s="369" t="str">
        <f t="shared" ca="1" si="3"/>
        <v>-</v>
      </c>
      <c r="H38" s="369" t="str">
        <f t="shared" ca="1" si="3"/>
        <v>-</v>
      </c>
      <c r="I38" s="369">
        <f t="shared" ca="1" si="5"/>
        <v>1</v>
      </c>
      <c r="J38" s="369"/>
      <c r="K38" s="304">
        <f>IF(L37=COM_2012!$AI$121,K37+1,K37)</f>
        <v>1</v>
      </c>
      <c r="L38" s="304">
        <f t="shared" si="6"/>
        <v>25</v>
      </c>
    </row>
    <row r="39" spans="1:12">
      <c r="A39" s="304" t="str">
        <f ca="1">IF(LEFT(OFFSET(COM_2012!$A$60,L39,0),2)="\I","*","")</f>
        <v/>
      </c>
      <c r="B39" s="369" t="str">
        <f t="shared" ca="1" si="4"/>
        <v>PRC_ACTUNT</v>
      </c>
      <c r="C39" s="369" t="str">
        <f ca="1">IF($A39="*","",OFFSET(COM_2012!$B$60,L39,0))</f>
        <v>CELELCLED-N</v>
      </c>
      <c r="D39" s="369" t="str">
        <f ca="1">IF($A39="*","",IF(LEFT($B39,3)="TOP",OFFSET(COM_2012!$B$60,$L39,SUMIF($B$9:$B$12,$B39,$M$9:$M$12)),"-"))</f>
        <v>-</v>
      </c>
      <c r="E39" s="369" t="str">
        <f ca="1">IF($A39="*","",IF($B39="PRC_ACTUNT",OFFSET(COM_2012!$B$60,$L39,SUMIF($B$9:$B$12,$B39,$M$9:$M$12)),"-"))</f>
        <v>CEL</v>
      </c>
      <c r="F39" s="369" t="str">
        <f t="shared" ca="1" si="3"/>
        <v>-</v>
      </c>
      <c r="G39" s="369" t="str">
        <f t="shared" ca="1" si="3"/>
        <v>-</v>
      </c>
      <c r="H39" s="369" t="str">
        <f t="shared" ca="1" si="3"/>
        <v>-</v>
      </c>
      <c r="I39" s="369">
        <f t="shared" ca="1" si="5"/>
        <v>1</v>
      </c>
      <c r="J39" s="369"/>
      <c r="K39" s="304">
        <f>IF(L38=COM_2012!$AI$121,K38+1,K38)</f>
        <v>1</v>
      </c>
      <c r="L39" s="304">
        <f t="shared" si="6"/>
        <v>26</v>
      </c>
    </row>
    <row r="40" spans="1:12">
      <c r="A40" s="304" t="str">
        <f ca="1">IF(LEFT(OFFSET(COM_2012!$A$60,L40,0),2)="\I","*","")</f>
        <v>*</v>
      </c>
      <c r="B40" s="369" t="str">
        <f t="shared" ca="1" si="4"/>
        <v/>
      </c>
      <c r="C40" s="369" t="str">
        <f ca="1">IF($A40="*","",OFFSET(COM_2012!$B$60,L40,0))</f>
        <v/>
      </c>
      <c r="D40" s="369" t="str">
        <f ca="1">IF($A40="*","",IF(LEFT($B40,3)="TOP",OFFSET(COM_2012!$B$60,$L40,SUMIF($B$9:$B$12,$B40,$M$9:$M$12)),"-"))</f>
        <v/>
      </c>
      <c r="E40" s="369" t="str">
        <f ca="1">IF($A40="*","",IF($B40="PRC_ACTUNT",OFFSET(COM_2012!$B$60,$L40,SUMIF($B$9:$B$12,$B40,$M$9:$M$12)),"-"))</f>
        <v/>
      </c>
      <c r="F40" s="369" t="str">
        <f t="shared" ca="1" si="3"/>
        <v/>
      </c>
      <c r="G40" s="369" t="str">
        <f t="shared" ca="1" si="3"/>
        <v/>
      </c>
      <c r="H40" s="369" t="str">
        <f t="shared" ca="1" si="3"/>
        <v/>
      </c>
      <c r="I40" s="369" t="str">
        <f t="shared" ca="1" si="5"/>
        <v/>
      </c>
      <c r="J40" s="369"/>
      <c r="K40" s="304">
        <f>IF(L39=COM_2012!$AI$121,K39+1,K39)</f>
        <v>1</v>
      </c>
      <c r="L40" s="304">
        <f t="shared" si="6"/>
        <v>27</v>
      </c>
    </row>
    <row r="41" spans="1:12">
      <c r="A41" s="304" t="str">
        <f ca="1">IF(LEFT(OFFSET(COM_2012!$A$60,L41,0),2)="\I","*","")</f>
        <v>*</v>
      </c>
      <c r="B41" s="369" t="str">
        <f t="shared" ca="1" si="4"/>
        <v/>
      </c>
      <c r="C41" s="369" t="str">
        <f ca="1">IF($A41="*","",OFFSET(COM_2012!$B$60,L41,0))</f>
        <v/>
      </c>
      <c r="D41" s="369" t="str">
        <f ca="1">IF($A41="*","",IF(LEFT($B41,3)="TOP",OFFSET(COM_2012!$B$60,$L41,SUMIF($B$9:$B$12,$B41,$M$9:$M$12)),"-"))</f>
        <v/>
      </c>
      <c r="E41" s="369" t="str">
        <f ca="1">IF($A41="*","",IF($B41="PRC_ACTUNT",OFFSET(COM_2012!$B$60,$L41,SUMIF($B$9:$B$12,$B41,$M$9:$M$12)),"-"))</f>
        <v/>
      </c>
      <c r="F41" s="369" t="str">
        <f t="shared" ca="1" si="3"/>
        <v/>
      </c>
      <c r="G41" s="369" t="str">
        <f t="shared" ca="1" si="3"/>
        <v/>
      </c>
      <c r="H41" s="369" t="str">
        <f t="shared" ca="1" si="3"/>
        <v/>
      </c>
      <c r="I41" s="369" t="str">
        <f t="shared" ca="1" si="5"/>
        <v/>
      </c>
      <c r="J41" s="369"/>
      <c r="K41" s="304">
        <f>IF(L40=COM_2012!$AI$121,K40+1,K40)</f>
        <v>1</v>
      </c>
      <c r="L41" s="304">
        <f t="shared" si="6"/>
        <v>28</v>
      </c>
    </row>
    <row r="42" spans="1:12">
      <c r="A42" s="304" t="str">
        <f ca="1">IF(LEFT(OFFSET(COM_2012!$A$60,L42,0),2)="\I","*","")</f>
        <v/>
      </c>
      <c r="B42" s="369" t="str">
        <f t="shared" ca="1" si="4"/>
        <v>PRC_ACTUNT</v>
      </c>
      <c r="C42" s="369" t="str">
        <f ca="1">IF($A42="*","",OFFSET(COM_2012!$B$60,L42,0))</f>
        <v>CERELC-E</v>
      </c>
      <c r="D42" s="369" t="str">
        <f ca="1">IF($A42="*","",IF(LEFT($B42,3)="TOP",OFFSET(COM_2012!$B$60,$L42,SUMIF($B$9:$B$12,$B42,$M$9:$M$12)),"-"))</f>
        <v>-</v>
      </c>
      <c r="E42" s="369" t="str">
        <f ca="1">IF($A42="*","",IF($B42="PRC_ACTUNT",OFFSET(COM_2012!$B$60,$L42,SUMIF($B$9:$B$12,$B42,$M$9:$M$12)),"-"))</f>
        <v>CER</v>
      </c>
      <c r="F42" s="369" t="str">
        <f t="shared" ca="1" si="3"/>
        <v>-</v>
      </c>
      <c r="G42" s="369" t="str">
        <f t="shared" ca="1" si="3"/>
        <v>-</v>
      </c>
      <c r="H42" s="369" t="str">
        <f t="shared" ca="1" si="3"/>
        <v>-</v>
      </c>
      <c r="I42" s="369">
        <f t="shared" ca="1" si="5"/>
        <v>1</v>
      </c>
      <c r="J42" s="369"/>
      <c r="K42" s="304">
        <f>IF(L41=COM_2012!$AI$121,K41+1,K41)</f>
        <v>1</v>
      </c>
      <c r="L42" s="304">
        <f t="shared" si="6"/>
        <v>29</v>
      </c>
    </row>
    <row r="43" spans="1:12">
      <c r="A43" s="304" t="str">
        <f ca="1">IF(LEFT(OFFSET(COM_2012!$A$60,L43,0),2)="\I","*","")</f>
        <v/>
      </c>
      <c r="B43" s="369" t="str">
        <f t="shared" ca="1" si="4"/>
        <v>PRC_ACTUNT</v>
      </c>
      <c r="C43" s="369" t="str">
        <f ca="1">IF($A43="*","",OFFSET(COM_2012!$B$60,L43,0))</f>
        <v>CERELC-N</v>
      </c>
      <c r="D43" s="369" t="str">
        <f ca="1">IF($A43="*","",IF(LEFT($B43,3)="TOP",OFFSET(COM_2012!$B$60,$L43,SUMIF($B$9:$B$12,$B43,$M$9:$M$12)),"-"))</f>
        <v>-</v>
      </c>
      <c r="E43" s="369" t="str">
        <f ca="1">IF($A43="*","",IF($B43="PRC_ACTUNT",OFFSET(COM_2012!$B$60,$L43,SUMIF($B$9:$B$12,$B43,$M$9:$M$12)),"-"))</f>
        <v>CER</v>
      </c>
      <c r="F43" s="369" t="str">
        <f t="shared" ca="1" si="3"/>
        <v>-</v>
      </c>
      <c r="G43" s="369" t="str">
        <f t="shared" ca="1" si="3"/>
        <v>-</v>
      </c>
      <c r="H43" s="369" t="str">
        <f t="shared" ca="1" si="3"/>
        <v>-</v>
      </c>
      <c r="I43" s="369">
        <f t="shared" ca="1" si="5"/>
        <v>1</v>
      </c>
      <c r="J43" s="369"/>
      <c r="K43" s="304">
        <f>IF(L42=COM_2012!$AI$121,K42+1,K42)</f>
        <v>1</v>
      </c>
      <c r="L43" s="304">
        <f t="shared" si="6"/>
        <v>30</v>
      </c>
    </row>
    <row r="44" spans="1:12">
      <c r="A44" s="304" t="str">
        <f ca="1">IF(LEFT(OFFSET(COM_2012!$A$60,L44,0),2)="\I","*","")</f>
        <v>*</v>
      </c>
      <c r="B44" s="369" t="str">
        <f t="shared" ca="1" si="4"/>
        <v/>
      </c>
      <c r="C44" s="369" t="str">
        <f ca="1">IF($A44="*","",OFFSET(COM_2012!$B$60,L44,0))</f>
        <v/>
      </c>
      <c r="D44" s="369" t="str">
        <f ca="1">IF($A44="*","",IF(LEFT($B44,3)="TOP",OFFSET(COM_2012!$B$60,$L44,SUMIF($B$9:$B$12,$B44,$M$9:$M$12)),"-"))</f>
        <v/>
      </c>
      <c r="E44" s="369" t="str">
        <f ca="1">IF($A44="*","",IF($B44="PRC_ACTUNT",OFFSET(COM_2012!$B$60,$L44,SUMIF($B$9:$B$12,$B44,$M$9:$M$12)),"-"))</f>
        <v/>
      </c>
      <c r="F44" s="369" t="str">
        <f t="shared" ca="1" si="3"/>
        <v/>
      </c>
      <c r="G44" s="369" t="str">
        <f t="shared" ca="1" si="3"/>
        <v/>
      </c>
      <c r="H44" s="369" t="str">
        <f t="shared" ca="1" si="3"/>
        <v/>
      </c>
      <c r="I44" s="369" t="str">
        <f t="shared" ca="1" si="5"/>
        <v/>
      </c>
      <c r="J44" s="369"/>
      <c r="K44" s="304">
        <f>IF(L43=COM_2012!$AI$121,K43+1,K43)</f>
        <v>1</v>
      </c>
      <c r="L44" s="304">
        <f t="shared" si="6"/>
        <v>31</v>
      </c>
    </row>
    <row r="45" spans="1:12">
      <c r="A45" s="304" t="str">
        <f ca="1">IF(LEFT(OFFSET(COM_2012!$A$60,L45,0),2)="\I","*","")</f>
        <v>*</v>
      </c>
      <c r="B45" s="369" t="str">
        <f t="shared" ca="1" si="4"/>
        <v/>
      </c>
      <c r="C45" s="369" t="str">
        <f ca="1">IF($A45="*","",OFFSET(COM_2012!$B$60,L45,0))</f>
        <v/>
      </c>
      <c r="D45" s="369" t="str">
        <f ca="1">IF($A45="*","",IF(LEFT($B45,3)="TOP",OFFSET(COM_2012!$B$60,$L45,SUMIF($B$9:$B$12,$B45,$M$9:$M$12)),"-"))</f>
        <v/>
      </c>
      <c r="E45" s="369" t="str">
        <f ca="1">IF($A45="*","",IF($B45="PRC_ACTUNT",OFFSET(COM_2012!$B$60,$L45,SUMIF($B$9:$B$12,$B45,$M$9:$M$12)),"-"))</f>
        <v/>
      </c>
      <c r="F45" s="369" t="str">
        <f t="shared" ca="1" si="3"/>
        <v/>
      </c>
      <c r="G45" s="369" t="str">
        <f t="shared" ca="1" si="3"/>
        <v/>
      </c>
      <c r="H45" s="369" t="str">
        <f t="shared" ca="1" si="3"/>
        <v/>
      </c>
      <c r="I45" s="369" t="str">
        <f t="shared" ca="1" si="5"/>
        <v/>
      </c>
      <c r="J45" s="369"/>
      <c r="K45" s="304">
        <f>IF(L44=COM_2012!$AI$121,K44+1,K44)</f>
        <v>1</v>
      </c>
      <c r="L45" s="304">
        <f t="shared" si="6"/>
        <v>32</v>
      </c>
    </row>
    <row r="46" spans="1:12">
      <c r="A46" s="304" t="str">
        <f ca="1">IF(LEFT(OFFSET(COM_2012!$A$60,L46,0),2)="\I","*","")</f>
        <v/>
      </c>
      <c r="B46" s="369" t="str">
        <f t="shared" ca="1" si="4"/>
        <v>PRC_ACTUNT</v>
      </c>
      <c r="C46" s="369" t="str">
        <f ca="1">IF($A46="*","",OFFSET(COM_2012!$B$60,L46,0))</f>
        <v>CEWELC-E</v>
      </c>
      <c r="D46" s="369" t="str">
        <f ca="1">IF($A46="*","",IF(LEFT($B46,3)="TOP",OFFSET(COM_2012!$B$60,$L46,SUMIF($B$9:$B$12,$B46,$M$9:$M$12)),"-"))</f>
        <v>-</v>
      </c>
      <c r="E46" s="369" t="str">
        <f ca="1">IF($A46="*","",IF($B46="PRC_ACTUNT",OFFSET(COM_2012!$B$60,$L46,SUMIF($B$9:$B$12,$B46,$M$9:$M$12)),"-"))</f>
        <v>CEW</v>
      </c>
      <c r="F46" s="369" t="str">
        <f t="shared" ca="1" si="3"/>
        <v>-</v>
      </c>
      <c r="G46" s="369" t="str">
        <f t="shared" ca="1" si="3"/>
        <v>-</v>
      </c>
      <c r="H46" s="369" t="str">
        <f t="shared" ca="1" si="3"/>
        <v>-</v>
      </c>
      <c r="I46" s="369">
        <f t="shared" ca="1" si="5"/>
        <v>1</v>
      </c>
      <c r="J46" s="369"/>
      <c r="K46" s="304">
        <f>IF(L45=COM_2012!$AI$121,K45+1,K45)</f>
        <v>1</v>
      </c>
      <c r="L46" s="304">
        <f t="shared" si="6"/>
        <v>33</v>
      </c>
    </row>
    <row r="47" spans="1:12">
      <c r="A47" s="304" t="str">
        <f ca="1">IF(LEFT(OFFSET(COM_2012!$A$60,L47,0),2)="\I","*","")</f>
        <v/>
      </c>
      <c r="B47" s="369" t="str">
        <f t="shared" ca="1" si="4"/>
        <v>PRC_ACTUNT</v>
      </c>
      <c r="C47" s="369" t="str">
        <f ca="1">IF($A47="*","",OFFSET(COM_2012!$B$60,L47,0))</f>
        <v>CEWCOA-E</v>
      </c>
      <c r="D47" s="369" t="str">
        <f ca="1">IF($A47="*","",IF(LEFT($B47,3)="TOP",OFFSET(COM_2012!$B$60,$L47,SUMIF($B$9:$B$12,$B47,$M$9:$M$12)),"-"))</f>
        <v>-</v>
      </c>
      <c r="E47" s="369" t="str">
        <f ca="1">IF($A47="*","",IF($B47="PRC_ACTUNT",OFFSET(COM_2012!$B$60,$L47,SUMIF($B$9:$B$12,$B47,$M$9:$M$12)),"-"))</f>
        <v>CEW</v>
      </c>
      <c r="F47" s="369" t="str">
        <f t="shared" ca="1" si="3"/>
        <v>-</v>
      </c>
      <c r="G47" s="369" t="str">
        <f t="shared" ca="1" si="3"/>
        <v>-</v>
      </c>
      <c r="H47" s="369" t="str">
        <f t="shared" ca="1" si="3"/>
        <v>-</v>
      </c>
      <c r="I47" s="369">
        <f t="shared" ca="1" si="5"/>
        <v>1</v>
      </c>
      <c r="J47" s="369"/>
      <c r="K47" s="304">
        <f>IF(L46=COM_2012!$AI$121,K46+1,K46)</f>
        <v>1</v>
      </c>
      <c r="L47" s="304">
        <f t="shared" si="6"/>
        <v>34</v>
      </c>
    </row>
    <row r="48" spans="1:12">
      <c r="A48" s="304" t="str">
        <f ca="1">IF(LEFT(OFFSET(COM_2012!$A$60,L48,0),2)="\I","*","")</f>
        <v/>
      </c>
      <c r="B48" s="369" t="str">
        <f t="shared" ca="1" si="4"/>
        <v>PRC_ACTUNT</v>
      </c>
      <c r="C48" s="369" t="str">
        <f ca="1">IF($A48="*","",OFFSET(COM_2012!$B$60,L48,0))</f>
        <v>CEWOLP-E</v>
      </c>
      <c r="D48" s="369" t="str">
        <f ca="1">IF($A48="*","",IF(LEFT($B48,3)="TOP",OFFSET(COM_2012!$B$60,$L48,SUMIF($B$9:$B$12,$B48,$M$9:$M$12)),"-"))</f>
        <v>-</v>
      </c>
      <c r="E48" s="369" t="str">
        <f ca="1">IF($A48="*","",IF($B48="PRC_ACTUNT",OFFSET(COM_2012!$B$60,$L48,SUMIF($B$9:$B$12,$B48,$M$9:$M$12)),"-"))</f>
        <v>CEW</v>
      </c>
      <c r="F48" s="369" t="str">
        <f t="shared" ca="1" si="3"/>
        <v>-</v>
      </c>
      <c r="G48" s="369" t="str">
        <f t="shared" ca="1" si="3"/>
        <v>-</v>
      </c>
      <c r="H48" s="369" t="str">
        <f t="shared" ca="1" si="3"/>
        <v>-</v>
      </c>
      <c r="I48" s="369">
        <f t="shared" ca="1" si="5"/>
        <v>1</v>
      </c>
      <c r="J48" s="369"/>
      <c r="K48" s="304">
        <f>IF(L47=COM_2012!$AI$121,K47+1,K47)</f>
        <v>1</v>
      </c>
      <c r="L48" s="304">
        <f t="shared" si="6"/>
        <v>35</v>
      </c>
    </row>
    <row r="49" spans="1:12">
      <c r="A49" s="304" t="str">
        <f ca="1">IF(LEFT(OFFSET(COM_2012!$A$60,L49,0),2)="\I","*","")</f>
        <v/>
      </c>
      <c r="B49" s="369" t="str">
        <f t="shared" ca="1" si="4"/>
        <v>PRC_ACTUNT</v>
      </c>
      <c r="C49" s="369" t="str">
        <f ca="1">IF($A49="*","",OFFSET(COM_2012!$B$60,L49,0))</f>
        <v>CEWGAS-E</v>
      </c>
      <c r="D49" s="369" t="str">
        <f ca="1">IF($A49="*","",IF(LEFT($B49,3)="TOP",OFFSET(COM_2012!$B$60,$L49,SUMIF($B$9:$B$12,$B49,$M$9:$M$12)),"-"))</f>
        <v>-</v>
      </c>
      <c r="E49" s="369" t="str">
        <f ca="1">IF($A49="*","",IF($B49="PRC_ACTUNT",OFFSET(COM_2012!$B$60,$L49,SUMIF($B$9:$B$12,$B49,$M$9:$M$12)),"-"))</f>
        <v>CEW</v>
      </c>
      <c r="F49" s="369" t="str">
        <f t="shared" ca="1" si="3"/>
        <v>-</v>
      </c>
      <c r="G49" s="369" t="str">
        <f t="shared" ca="1" si="3"/>
        <v>-</v>
      </c>
      <c r="H49" s="369" t="str">
        <f t="shared" ca="1" si="3"/>
        <v>-</v>
      </c>
      <c r="I49" s="369">
        <f t="shared" ca="1" si="5"/>
        <v>1</v>
      </c>
      <c r="J49" s="369"/>
      <c r="K49" s="304">
        <f>IF(L48=COM_2012!$AI$121,K48+1,K48)</f>
        <v>1</v>
      </c>
      <c r="L49" s="304">
        <f t="shared" si="6"/>
        <v>36</v>
      </c>
    </row>
    <row r="50" spans="1:12">
      <c r="A50" s="304" t="str">
        <f ca="1">IF(LEFT(OFFSET(COM_2012!$A$60,L50,0),2)="\I","*","")</f>
        <v/>
      </c>
      <c r="B50" s="369" t="str">
        <f t="shared" ca="1" si="4"/>
        <v>PRC_ACTUNT</v>
      </c>
      <c r="C50" s="369" t="str">
        <f ca="1">IF($A50="*","",OFFSET(COM_2012!$B$60,L50,0))</f>
        <v>CEWOKE-E</v>
      </c>
      <c r="D50" s="369" t="str">
        <f ca="1">IF($A50="*","",IF(LEFT($B50,3)="TOP",OFFSET(COM_2012!$B$60,$L50,SUMIF($B$9:$B$12,$B50,$M$9:$M$12)),"-"))</f>
        <v>-</v>
      </c>
      <c r="E50" s="369" t="str">
        <f ca="1">IF($A50="*","",IF($B50="PRC_ACTUNT",OFFSET(COM_2012!$B$60,$L50,SUMIF($B$9:$B$12,$B50,$M$9:$M$12)),"-"))</f>
        <v>CEW</v>
      </c>
      <c r="F50" s="369" t="str">
        <f t="shared" ca="1" si="3"/>
        <v>-</v>
      </c>
      <c r="G50" s="369" t="str">
        <f t="shared" ca="1" si="3"/>
        <v>-</v>
      </c>
      <c r="H50" s="369" t="str">
        <f t="shared" ca="1" si="3"/>
        <v>-</v>
      </c>
      <c r="I50" s="369">
        <f t="shared" ca="1" si="5"/>
        <v>1</v>
      </c>
      <c r="J50" s="369"/>
      <c r="K50" s="304">
        <f>IF(L49=COM_2012!$AI$121,K49+1,K49)</f>
        <v>1</v>
      </c>
      <c r="L50" s="304">
        <f t="shared" si="6"/>
        <v>37</v>
      </c>
    </row>
    <row r="51" spans="1:12">
      <c r="A51" s="304" t="str">
        <f ca="1">IF(LEFT(OFFSET(COM_2012!$A$60,L51,0),2)="\I","*","")</f>
        <v/>
      </c>
      <c r="B51" s="369" t="str">
        <f t="shared" ca="1" si="4"/>
        <v>PRC_ACTUNT</v>
      </c>
      <c r="C51" s="369" t="str">
        <f ca="1">IF($A51="*","",OFFSET(COM_2012!$B$60,L51,0))</f>
        <v>CEWELC-N</v>
      </c>
      <c r="D51" s="369" t="str">
        <f ca="1">IF($A51="*","",IF(LEFT($B51,3)="TOP",OFFSET(COM_2012!$B$60,$L51,SUMIF($B$9:$B$12,$B51,$M$9:$M$12)),"-"))</f>
        <v>-</v>
      </c>
      <c r="E51" s="369" t="str">
        <f ca="1">IF($A51="*","",IF($B51="PRC_ACTUNT",OFFSET(COM_2012!$B$60,$L51,SUMIF($B$9:$B$12,$B51,$M$9:$M$12)),"-"))</f>
        <v>CEW</v>
      </c>
      <c r="F51" s="369" t="str">
        <f t="shared" ca="1" si="3"/>
        <v>-</v>
      </c>
      <c r="G51" s="369" t="str">
        <f t="shared" ca="1" si="3"/>
        <v>-</v>
      </c>
      <c r="H51" s="369" t="str">
        <f t="shared" ca="1" si="3"/>
        <v>-</v>
      </c>
      <c r="I51" s="369">
        <f t="shared" ca="1" si="5"/>
        <v>1</v>
      </c>
      <c r="J51" s="369"/>
      <c r="K51" s="304">
        <f>IF(L50=COM_2012!$AI$121,K50+1,K50)</f>
        <v>1</v>
      </c>
      <c r="L51" s="304">
        <f t="shared" si="6"/>
        <v>38</v>
      </c>
    </row>
    <row r="52" spans="1:12">
      <c r="A52" s="304" t="str">
        <f ca="1">IF(LEFT(OFFSET(COM_2012!$A$60,L52,0),2)="\I","*","")</f>
        <v/>
      </c>
      <c r="B52" s="369" t="str">
        <f t="shared" ca="1" si="4"/>
        <v>PRC_ACTUNT</v>
      </c>
      <c r="C52" s="369" t="str">
        <f ca="1">IF($A52="*","",OFFSET(COM_2012!$B$60,L52,0))</f>
        <v>CEWELCHP-N</v>
      </c>
      <c r="D52" s="369" t="str">
        <f ca="1">IF($A52="*","",IF(LEFT($B52,3)="TOP",OFFSET(COM_2012!$B$60,$L52,SUMIF($B$9:$B$12,$B52,$M$9:$M$12)),"-"))</f>
        <v>-</v>
      </c>
      <c r="E52" s="369" t="str">
        <f ca="1">IF($A52="*","",IF($B52="PRC_ACTUNT",OFFSET(COM_2012!$B$60,$L52,SUMIF($B$9:$B$12,$B52,$M$9:$M$12)),"-"))</f>
        <v>CEW</v>
      </c>
      <c r="F52" s="369" t="str">
        <f t="shared" ca="1" si="3"/>
        <v>-</v>
      </c>
      <c r="G52" s="369" t="str">
        <f t="shared" ca="1" si="3"/>
        <v>-</v>
      </c>
      <c r="H52" s="369" t="str">
        <f t="shared" ca="1" si="3"/>
        <v>-</v>
      </c>
      <c r="I52" s="369">
        <f t="shared" ca="1" si="5"/>
        <v>1</v>
      </c>
      <c r="J52" s="369"/>
      <c r="K52" s="304">
        <f>IF(L51=COM_2012!$AI$121,K51+1,K51)</f>
        <v>1</v>
      </c>
      <c r="L52" s="304">
        <f t="shared" si="6"/>
        <v>39</v>
      </c>
    </row>
    <row r="53" spans="1:12">
      <c r="A53" s="304" t="str">
        <f ca="1">IF(LEFT(OFFSET(COM_2012!$A$60,L53,0),2)="\I","*","")</f>
        <v>*</v>
      </c>
      <c r="B53" s="369" t="str">
        <f t="shared" ca="1" si="4"/>
        <v/>
      </c>
      <c r="C53" s="369" t="str">
        <f ca="1">IF($A53="*","",OFFSET(COM_2012!$B$60,L53,0))</f>
        <v/>
      </c>
      <c r="D53" s="369" t="str">
        <f ca="1">IF($A53="*","",IF(LEFT($B53,3)="TOP",OFFSET(COM_2012!$B$60,$L53,SUMIF($B$9:$B$12,$B53,$M$9:$M$12)),"-"))</f>
        <v/>
      </c>
      <c r="E53" s="369" t="str">
        <f ca="1">IF($A53="*","",IF($B53="PRC_ACTUNT",OFFSET(COM_2012!$B$60,$L53,SUMIF($B$9:$B$12,$B53,$M$9:$M$12)),"-"))</f>
        <v/>
      </c>
      <c r="F53" s="369" t="str">
        <f t="shared" ca="1" si="3"/>
        <v/>
      </c>
      <c r="G53" s="369" t="str">
        <f t="shared" ca="1" si="3"/>
        <v/>
      </c>
      <c r="H53" s="369" t="str">
        <f t="shared" ca="1" si="3"/>
        <v/>
      </c>
      <c r="I53" s="369" t="str">
        <f t="shared" ca="1" si="5"/>
        <v/>
      </c>
      <c r="J53" s="369"/>
      <c r="K53" s="304">
        <f>IF(L52=COM_2012!$AI$121,K52+1,K52)</f>
        <v>1</v>
      </c>
      <c r="L53" s="304">
        <f t="shared" si="6"/>
        <v>40</v>
      </c>
    </row>
    <row r="54" spans="1:12">
      <c r="A54" s="304" t="str">
        <f ca="1">IF(LEFT(OFFSET(COM_2012!$A$60,L54,0),2)="\I","*","")</f>
        <v>*</v>
      </c>
      <c r="B54" s="369" t="str">
        <f t="shared" ca="1" si="4"/>
        <v/>
      </c>
      <c r="C54" s="369" t="str">
        <f ca="1">IF($A54="*","",OFFSET(COM_2012!$B$60,L54,0))</f>
        <v/>
      </c>
      <c r="D54" s="369" t="str">
        <f ca="1">IF($A54="*","",IF(LEFT($B54,3)="TOP",OFFSET(COM_2012!$B$60,$L54,SUMIF($B$9:$B$12,$B54,$M$9:$M$12)),"-"))</f>
        <v/>
      </c>
      <c r="E54" s="369" t="str">
        <f ca="1">IF($A54="*","",IF($B54="PRC_ACTUNT",OFFSET(COM_2012!$B$60,$L54,SUMIF($B$9:$B$12,$B54,$M$9:$M$12)),"-"))</f>
        <v/>
      </c>
      <c r="F54" s="369" t="str">
        <f t="shared" ca="1" si="3"/>
        <v/>
      </c>
      <c r="G54" s="369" t="str">
        <f t="shared" ca="1" si="3"/>
        <v/>
      </c>
      <c r="H54" s="369" t="str">
        <f t="shared" ca="1" si="3"/>
        <v/>
      </c>
      <c r="I54" s="369" t="str">
        <f t="shared" ca="1" si="5"/>
        <v/>
      </c>
      <c r="J54" s="369"/>
      <c r="K54" s="304">
        <f>IF(L53=COM_2012!$AI$121,K53+1,K53)</f>
        <v>1</v>
      </c>
      <c r="L54" s="304">
        <f t="shared" si="6"/>
        <v>41</v>
      </c>
    </row>
    <row r="55" spans="1:12">
      <c r="A55" s="304" t="str">
        <f ca="1">IF(LEFT(OFFSET(COM_2012!$A$60,L55,0),2)="\I","*","")</f>
        <v/>
      </c>
      <c r="B55" s="369" t="str">
        <f t="shared" ca="1" si="4"/>
        <v>PRC_ACTUNT</v>
      </c>
      <c r="C55" s="369" t="str">
        <f ca="1">IF($A55="*","",OFFSET(COM_2012!$B$60,L55,0))</f>
        <v>CEGELCINC-E</v>
      </c>
      <c r="D55" s="369" t="str">
        <f ca="1">IF($A55="*","",IF(LEFT($B55,3)="TOP",OFFSET(COM_2012!$B$60,$L55,SUMIF($B$9:$B$12,$B55,$M$9:$M$12)),"-"))</f>
        <v>-</v>
      </c>
      <c r="E55" s="369" t="str">
        <f ca="1">IF($A55="*","",IF($B55="PRC_ACTUNT",OFFSET(COM_2012!$B$60,$L55,SUMIF($B$9:$B$12,$B55,$M$9:$M$12)),"-"))</f>
        <v>CEG</v>
      </c>
      <c r="F55" s="369" t="str">
        <f t="shared" ref="F55:H118" ca="1" si="7">IF($A55="*","","-")</f>
        <v>-</v>
      </c>
      <c r="G55" s="369" t="str">
        <f t="shared" ca="1" si="7"/>
        <v>-</v>
      </c>
      <c r="H55" s="369" t="str">
        <f t="shared" ca="1" si="7"/>
        <v>-</v>
      </c>
      <c r="I55" s="369">
        <f t="shared" ca="1" si="5"/>
        <v>1</v>
      </c>
      <c r="J55" s="369"/>
      <c r="K55" s="304">
        <f>IF(L54=COM_2012!$AI$121,K54+1,K54)</f>
        <v>1</v>
      </c>
      <c r="L55" s="304">
        <f t="shared" si="6"/>
        <v>42</v>
      </c>
    </row>
    <row r="56" spans="1:12">
      <c r="A56" s="304" t="str">
        <f ca="1">IF(LEFT(OFFSET(COM_2012!$A$60,L56,0),2)="\I","*","")</f>
        <v/>
      </c>
      <c r="B56" s="369" t="str">
        <f t="shared" ca="1" si="4"/>
        <v>PRC_ACTUNT</v>
      </c>
      <c r="C56" s="369" t="str">
        <f ca="1">IF($A56="*","",OFFSET(COM_2012!$B$60,L56,0))</f>
        <v>CEGELCHAL-E</v>
      </c>
      <c r="D56" s="369" t="str">
        <f ca="1">IF($A56="*","",IF(LEFT($B56,3)="TOP",OFFSET(COM_2012!$B$60,$L56,SUMIF($B$9:$B$12,$B56,$M$9:$M$12)),"-"))</f>
        <v>-</v>
      </c>
      <c r="E56" s="369" t="str">
        <f ca="1">IF($A56="*","",IF($B56="PRC_ACTUNT",OFFSET(COM_2012!$B$60,$L56,SUMIF($B$9:$B$12,$B56,$M$9:$M$12)),"-"))</f>
        <v>CEG</v>
      </c>
      <c r="F56" s="369" t="str">
        <f t="shared" ca="1" si="7"/>
        <v>-</v>
      </c>
      <c r="G56" s="369" t="str">
        <f t="shared" ca="1" si="7"/>
        <v>-</v>
      </c>
      <c r="H56" s="369" t="str">
        <f t="shared" ca="1" si="7"/>
        <v>-</v>
      </c>
      <c r="I56" s="369">
        <f t="shared" ca="1" si="5"/>
        <v>1</v>
      </c>
      <c r="J56" s="369"/>
      <c r="K56" s="304">
        <f>IF(L55=COM_2012!$AI$121,K55+1,K55)</f>
        <v>1</v>
      </c>
      <c r="L56" s="304">
        <f t="shared" si="6"/>
        <v>43</v>
      </c>
    </row>
    <row r="57" spans="1:12">
      <c r="A57" s="304" t="str">
        <f ca="1">IF(LEFT(OFFSET(COM_2012!$A$60,L57,0),2)="\I","*","")</f>
        <v/>
      </c>
      <c r="B57" s="369" t="str">
        <f t="shared" ca="1" si="4"/>
        <v>PRC_ACTUNT</v>
      </c>
      <c r="C57" s="369" t="str">
        <f ca="1">IF($A57="*","",OFFSET(COM_2012!$B$60,L57,0))</f>
        <v>CEGELCHPM-E</v>
      </c>
      <c r="D57" s="369" t="str">
        <f ca="1">IF($A57="*","",IF(LEFT($B57,3)="TOP",OFFSET(COM_2012!$B$60,$L57,SUMIF($B$9:$B$12,$B57,$M$9:$M$12)),"-"))</f>
        <v>-</v>
      </c>
      <c r="E57" s="369" t="str">
        <f ca="1">IF($A57="*","",IF($B57="PRC_ACTUNT",OFFSET(COM_2012!$B$60,$L57,SUMIF($B$9:$B$12,$B57,$M$9:$M$12)),"-"))</f>
        <v>CEG</v>
      </c>
      <c r="F57" s="369" t="str">
        <f t="shared" ca="1" si="7"/>
        <v>-</v>
      </c>
      <c r="G57" s="369" t="str">
        <f t="shared" ca="1" si="7"/>
        <v>-</v>
      </c>
      <c r="H57" s="369" t="str">
        <f t="shared" ca="1" si="7"/>
        <v>-</v>
      </c>
      <c r="I57" s="369">
        <f t="shared" ca="1" si="5"/>
        <v>1</v>
      </c>
      <c r="J57" s="369"/>
      <c r="K57" s="304">
        <f>IF(L56=COM_2012!$AI$121,K56+1,K56)</f>
        <v>1</v>
      </c>
      <c r="L57" s="304">
        <f t="shared" si="6"/>
        <v>44</v>
      </c>
    </row>
    <row r="58" spans="1:12">
      <c r="A58" s="304" t="str">
        <f ca="1">IF(LEFT(OFFSET(COM_2012!$A$60,L58,0),2)="\I","*","")</f>
        <v/>
      </c>
      <c r="B58" s="369" t="str">
        <f t="shared" ca="1" si="4"/>
        <v>PRC_ACTUNT</v>
      </c>
      <c r="C58" s="369" t="str">
        <f ca="1">IF($A58="*","",OFFSET(COM_2012!$B$60,L58,0))</f>
        <v>CEGELCHPS-E</v>
      </c>
      <c r="D58" s="369" t="str">
        <f ca="1">IF($A58="*","",IF(LEFT($B58,3)="TOP",OFFSET(COM_2012!$B$60,$L58,SUMIF($B$9:$B$12,$B58,$M$9:$M$12)),"-"))</f>
        <v>-</v>
      </c>
      <c r="E58" s="369" t="str">
        <f ca="1">IF($A58="*","",IF($B58="PRC_ACTUNT",OFFSET(COM_2012!$B$60,$L58,SUMIF($B$9:$B$12,$B58,$M$9:$M$12)),"-"))</f>
        <v>CEG</v>
      </c>
      <c r="F58" s="369" t="str">
        <f t="shared" ca="1" si="7"/>
        <v>-</v>
      </c>
      <c r="G58" s="369" t="str">
        <f t="shared" ca="1" si="7"/>
        <v>-</v>
      </c>
      <c r="H58" s="369" t="str">
        <f t="shared" ca="1" si="7"/>
        <v>-</v>
      </c>
      <c r="I58" s="369">
        <f t="shared" ca="1" si="5"/>
        <v>1</v>
      </c>
      <c r="J58" s="369"/>
      <c r="K58" s="304">
        <f>IF(L57=COM_2012!$AI$121,K57+1,K57)</f>
        <v>1</v>
      </c>
      <c r="L58" s="304">
        <f t="shared" si="6"/>
        <v>45</v>
      </c>
    </row>
    <row r="59" spans="1:12">
      <c r="A59" s="304" t="str">
        <f ca="1">IF(LEFT(OFFSET(COM_2012!$A$60,L59,0),2)="\I","*","")</f>
        <v/>
      </c>
      <c r="B59" s="369" t="str">
        <f t="shared" ca="1" si="4"/>
        <v>PRC_ACTUNT</v>
      </c>
      <c r="C59" s="369" t="str">
        <f ca="1">IF($A59="*","",OFFSET(COM_2012!$B$60,L59,0))</f>
        <v>CEGELCMHL-E</v>
      </c>
      <c r="D59" s="369" t="str">
        <f ca="1">IF($A59="*","",IF(LEFT($B59,3)="TOP",OFFSET(COM_2012!$B$60,$L59,SUMIF($B$9:$B$12,$B59,$M$9:$M$12)),"-"))</f>
        <v>-</v>
      </c>
      <c r="E59" s="369" t="str">
        <f ca="1">IF($A59="*","",IF($B59="PRC_ACTUNT",OFFSET(COM_2012!$B$60,$L59,SUMIF($B$9:$B$12,$B59,$M$9:$M$12)),"-"))</f>
        <v>CEG</v>
      </c>
      <c r="F59" s="369" t="str">
        <f t="shared" ca="1" si="7"/>
        <v>-</v>
      </c>
      <c r="G59" s="369" t="str">
        <f t="shared" ca="1" si="7"/>
        <v>-</v>
      </c>
      <c r="H59" s="369" t="str">
        <f t="shared" ca="1" si="7"/>
        <v>-</v>
      </c>
      <c r="I59" s="369">
        <f t="shared" ca="1" si="5"/>
        <v>1</v>
      </c>
      <c r="J59" s="369"/>
      <c r="K59" s="304">
        <f>IF(L58=COM_2012!$AI$121,K58+1,K58)</f>
        <v>1</v>
      </c>
      <c r="L59" s="304">
        <f t="shared" si="6"/>
        <v>46</v>
      </c>
    </row>
    <row r="60" spans="1:12">
      <c r="A60" s="304" t="str">
        <f ca="1">IF(LEFT(OFFSET(COM_2012!$A$60,L60,0),2)="\I","*","")</f>
        <v/>
      </c>
      <c r="B60" s="369" t="str">
        <f t="shared" ca="1" si="4"/>
        <v>PRC_ACTUNT</v>
      </c>
      <c r="C60" s="369" t="str">
        <f ca="1">IF($A60="*","",OFFSET(COM_2012!$B$60,L60,0))</f>
        <v>CEGELCLED-N</v>
      </c>
      <c r="D60" s="369" t="str">
        <f ca="1">IF($A60="*","",IF(LEFT($B60,3)="TOP",OFFSET(COM_2012!$B$60,$L60,SUMIF($B$9:$B$12,$B60,$M$9:$M$12)),"-"))</f>
        <v>-</v>
      </c>
      <c r="E60" s="369" t="str">
        <f ca="1">IF($A60="*","",IF($B60="PRC_ACTUNT",OFFSET(COM_2012!$B$60,$L60,SUMIF($B$9:$B$12,$B60,$M$9:$M$12)),"-"))</f>
        <v>CEG</v>
      </c>
      <c r="F60" s="369" t="str">
        <f t="shared" ca="1" si="7"/>
        <v>-</v>
      </c>
      <c r="G60" s="369" t="str">
        <f t="shared" ca="1" si="7"/>
        <v>-</v>
      </c>
      <c r="H60" s="369" t="str">
        <f t="shared" ca="1" si="7"/>
        <v>-</v>
      </c>
      <c r="I60" s="369">
        <f t="shared" ca="1" si="5"/>
        <v>1</v>
      </c>
      <c r="J60" s="369"/>
      <c r="K60" s="304">
        <f>IF(L59=COM_2012!$AI$121,K59+1,K59)</f>
        <v>1</v>
      </c>
      <c r="L60" s="304">
        <f t="shared" si="6"/>
        <v>47</v>
      </c>
    </row>
    <row r="61" spans="1:12">
      <c r="A61" s="304" t="str">
        <f ca="1">IF(LEFT(OFFSET(COM_2012!$A$60,L61,0),2)="\I","*","")</f>
        <v>*</v>
      </c>
      <c r="B61" s="369" t="str">
        <f t="shared" ca="1" si="4"/>
        <v/>
      </c>
      <c r="C61" s="369" t="str">
        <f ca="1">IF($A61="*","",OFFSET(COM_2012!$B$60,L61,0))</f>
        <v/>
      </c>
      <c r="D61" s="369" t="str">
        <f ca="1">IF($A61="*","",IF(LEFT($B61,3)="TOP",OFFSET(COM_2012!$B$60,$L61,SUMIF($B$9:$B$12,$B61,$M$9:$M$12)),"-"))</f>
        <v/>
      </c>
      <c r="E61" s="369" t="str">
        <f ca="1">IF($A61="*","",IF($B61="PRC_ACTUNT",OFFSET(COM_2012!$B$60,$L61,SUMIF($B$9:$B$12,$B61,$M$9:$M$12)),"-"))</f>
        <v/>
      </c>
      <c r="F61" s="369" t="str">
        <f t="shared" ca="1" si="7"/>
        <v/>
      </c>
      <c r="G61" s="369" t="str">
        <f t="shared" ca="1" si="7"/>
        <v/>
      </c>
      <c r="H61" s="369" t="str">
        <f t="shared" ca="1" si="7"/>
        <v/>
      </c>
      <c r="I61" s="369" t="str">
        <f t="shared" ca="1" si="5"/>
        <v/>
      </c>
      <c r="J61" s="369"/>
      <c r="K61" s="304">
        <f>IF(L60=COM_2012!$AI$121,K60+1,K60)</f>
        <v>1</v>
      </c>
      <c r="L61" s="304">
        <f t="shared" si="6"/>
        <v>48</v>
      </c>
    </row>
    <row r="62" spans="1:12">
      <c r="A62" s="304" t="str">
        <f ca="1">IF(LEFT(OFFSET(COM_2012!$A$60,L62,0),2)="\I","*","")</f>
        <v>*</v>
      </c>
      <c r="B62" s="369" t="str">
        <f t="shared" ca="1" si="4"/>
        <v/>
      </c>
      <c r="C62" s="369" t="str">
        <f ca="1">IF($A62="*","",OFFSET(COM_2012!$B$60,L62,0))</f>
        <v/>
      </c>
      <c r="D62" s="369" t="str">
        <f ca="1">IF($A62="*","",IF(LEFT($B62,3)="TOP",OFFSET(COM_2012!$B$60,$L62,SUMIF($B$9:$B$12,$B62,$M$9:$M$12)),"-"))</f>
        <v/>
      </c>
      <c r="E62" s="369" t="str">
        <f ca="1">IF($A62="*","",IF($B62="PRC_ACTUNT",OFFSET(COM_2012!$B$60,$L62,SUMIF($B$9:$B$12,$B62,$M$9:$M$12)),"-"))</f>
        <v/>
      </c>
      <c r="F62" s="369" t="str">
        <f t="shared" ca="1" si="7"/>
        <v/>
      </c>
      <c r="G62" s="369" t="str">
        <f t="shared" ca="1" si="7"/>
        <v/>
      </c>
      <c r="H62" s="369" t="str">
        <f t="shared" ca="1" si="7"/>
        <v/>
      </c>
      <c r="I62" s="369" t="str">
        <f t="shared" ca="1" si="5"/>
        <v/>
      </c>
      <c r="J62" s="369"/>
      <c r="K62" s="304">
        <f>IF(L61=COM_2012!$AI$121,K61+1,K61)</f>
        <v>1</v>
      </c>
      <c r="L62" s="304">
        <f t="shared" si="6"/>
        <v>49</v>
      </c>
    </row>
    <row r="63" spans="1:12">
      <c r="A63" s="304" t="str">
        <f ca="1">IF(LEFT(OFFSET(COM_2012!$A$60,L63,0),2)="\I","*","")</f>
        <v/>
      </c>
      <c r="B63" s="369" t="str">
        <f t="shared" ca="1" si="4"/>
        <v>PRC_ACTUNT</v>
      </c>
      <c r="C63" s="369" t="str">
        <f ca="1">IF($A63="*","",OFFSET(COM_2012!$B$60,L63,0))</f>
        <v>CETELC-E</v>
      </c>
      <c r="D63" s="369" t="str">
        <f ca="1">IF($A63="*","",IF(LEFT($B63,3)="TOP",OFFSET(COM_2012!$B$60,$L63,SUMIF($B$9:$B$12,$B63,$M$9:$M$12)),"-"))</f>
        <v>-</v>
      </c>
      <c r="E63" s="369" t="str">
        <f ca="1">IF($A63="*","",IF($B63="PRC_ACTUNT",OFFSET(COM_2012!$B$60,$L63,SUMIF($B$9:$B$12,$B63,$M$9:$M$12)),"-"))</f>
        <v>CET</v>
      </c>
      <c r="F63" s="369" t="str">
        <f t="shared" ca="1" si="7"/>
        <v>-</v>
      </c>
      <c r="G63" s="369" t="str">
        <f t="shared" ca="1" si="7"/>
        <v>-</v>
      </c>
      <c r="H63" s="369" t="str">
        <f t="shared" ca="1" si="7"/>
        <v>-</v>
      </c>
      <c r="I63" s="369">
        <f t="shared" ca="1" si="5"/>
        <v>1</v>
      </c>
      <c r="J63" s="369"/>
      <c r="K63" s="304">
        <f>IF(L62=COM_2012!$AI$121,K62+1,K62)</f>
        <v>1</v>
      </c>
      <c r="L63" s="304">
        <f t="shared" si="6"/>
        <v>50</v>
      </c>
    </row>
    <row r="64" spans="1:12">
      <c r="A64" s="304" t="str">
        <f ca="1">IF(LEFT(OFFSET(COM_2012!$A$60,L64,0),2)="\I","*","")</f>
        <v>*</v>
      </c>
      <c r="B64" s="369" t="str">
        <f t="shared" ca="1" si="4"/>
        <v/>
      </c>
      <c r="C64" s="369" t="str">
        <f ca="1">IF($A64="*","",OFFSET(COM_2012!$B$60,L64,0))</f>
        <v/>
      </c>
      <c r="D64" s="369" t="str">
        <f ca="1">IF($A64="*","",IF(LEFT($B64,3)="TOP",OFFSET(COM_2012!$B$60,$L64,SUMIF($B$9:$B$12,$B64,$M$9:$M$12)),"-"))</f>
        <v/>
      </c>
      <c r="E64" s="369" t="str">
        <f ca="1">IF($A64="*","",IF($B64="PRC_ACTUNT",OFFSET(COM_2012!$B$60,$L64,SUMIF($B$9:$B$12,$B64,$M$9:$M$12)),"-"))</f>
        <v/>
      </c>
      <c r="F64" s="369" t="str">
        <f t="shared" ca="1" si="7"/>
        <v/>
      </c>
      <c r="G64" s="369" t="str">
        <f t="shared" ca="1" si="7"/>
        <v/>
      </c>
      <c r="H64" s="369" t="str">
        <f t="shared" ca="1" si="7"/>
        <v/>
      </c>
      <c r="I64" s="369" t="str">
        <f t="shared" ca="1" si="5"/>
        <v/>
      </c>
      <c r="J64" s="369"/>
      <c r="K64" s="304">
        <f>IF(L63=COM_2012!$AI$121,K63+1,K63)</f>
        <v>1</v>
      </c>
      <c r="L64" s="304">
        <f t="shared" si="6"/>
        <v>51</v>
      </c>
    </row>
    <row r="65" spans="1:12">
      <c r="A65" s="304" t="str">
        <f ca="1">IF(LEFT(OFFSET(COM_2012!$A$60,L65,0),2)="\I","*","")</f>
        <v>*</v>
      </c>
      <c r="B65" s="369" t="str">
        <f t="shared" ca="1" si="4"/>
        <v/>
      </c>
      <c r="C65" s="369" t="str">
        <f ca="1">IF($A65="*","",OFFSET(COM_2012!$B$60,L65,0))</f>
        <v/>
      </c>
      <c r="D65" s="369" t="str">
        <f ca="1">IF($A65="*","",IF(LEFT($B65,3)="TOP",OFFSET(COM_2012!$B$60,$L65,SUMIF($B$9:$B$12,$B65,$M$9:$M$12)),"-"))</f>
        <v/>
      </c>
      <c r="E65" s="369" t="str">
        <f ca="1">IF($A65="*","",IF($B65="PRC_ACTUNT",OFFSET(COM_2012!$B$60,$L65,SUMIF($B$9:$B$12,$B65,$M$9:$M$12)),"-"))</f>
        <v/>
      </c>
      <c r="F65" s="369" t="str">
        <f t="shared" ca="1" si="7"/>
        <v/>
      </c>
      <c r="G65" s="369" t="str">
        <f t="shared" ca="1" si="7"/>
        <v/>
      </c>
      <c r="H65" s="369" t="str">
        <f t="shared" ca="1" si="7"/>
        <v/>
      </c>
      <c r="I65" s="369" t="str">
        <f t="shared" ca="1" si="5"/>
        <v/>
      </c>
      <c r="J65" s="369"/>
      <c r="K65" s="304">
        <f>IF(L64=COM_2012!$AI$121,K64+1,K64)</f>
        <v>1</v>
      </c>
      <c r="L65" s="304">
        <f t="shared" si="6"/>
        <v>52</v>
      </c>
    </row>
    <row r="66" spans="1:12">
      <c r="A66" s="304" t="str">
        <f ca="1">IF(LEFT(OFFSET(COM_2012!$A$60,L66,0),2)="\I","*","")</f>
        <v/>
      </c>
      <c r="B66" s="369" t="str">
        <f t="shared" ca="1" si="4"/>
        <v>PRC_ACTUNT</v>
      </c>
      <c r="C66" s="369" t="str">
        <f ca="1">IF($A66="*","",OFFSET(COM_2012!$B$60,L66,0))</f>
        <v>CEOCOA-E</v>
      </c>
      <c r="D66" s="369" t="str">
        <f ca="1">IF($A66="*","",IF(LEFT($B66,3)="TOP",OFFSET(COM_2012!$B$60,$L66,SUMIF($B$9:$B$12,$B66,$M$9:$M$12)),"-"))</f>
        <v>-</v>
      </c>
      <c r="E66" s="369" t="str">
        <f ca="1">IF($A66="*","",IF($B66="PRC_ACTUNT",OFFSET(COM_2012!$B$60,$L66,SUMIF($B$9:$B$12,$B66,$M$9:$M$12)),"-"))</f>
        <v>CEO</v>
      </c>
      <c r="F66" s="369" t="str">
        <f t="shared" ca="1" si="7"/>
        <v>-</v>
      </c>
      <c r="G66" s="369" t="str">
        <f t="shared" ca="1" si="7"/>
        <v>-</v>
      </c>
      <c r="H66" s="369" t="str">
        <f t="shared" ca="1" si="7"/>
        <v>-</v>
      </c>
      <c r="I66" s="369">
        <f t="shared" ca="1" si="5"/>
        <v>1</v>
      </c>
      <c r="J66" s="369"/>
      <c r="K66" s="304">
        <f>IF(L65=COM_2012!$AI$121,K65+1,K65)</f>
        <v>1</v>
      </c>
      <c r="L66" s="304">
        <f t="shared" si="6"/>
        <v>53</v>
      </c>
    </row>
    <row r="67" spans="1:12">
      <c r="A67" s="304" t="str">
        <f ca="1">IF(LEFT(OFFSET(COM_2012!$A$60,L67,0),2)="\I","*","")</f>
        <v/>
      </c>
      <c r="B67" s="369" t="str">
        <f t="shared" ca="1" si="4"/>
        <v>PRC_ACTUNT</v>
      </c>
      <c r="C67" s="369" t="str">
        <f ca="1">IF($A67="*","",OFFSET(COM_2012!$B$60,L67,0))</f>
        <v>CEOODS-E</v>
      </c>
      <c r="D67" s="369" t="str">
        <f ca="1">IF($A67="*","",IF(LEFT($B67,3)="TOP",OFFSET(COM_2012!$B$60,$L67,SUMIF($B$9:$B$12,$B67,$M$9:$M$12)),"-"))</f>
        <v>-</v>
      </c>
      <c r="E67" s="369" t="str">
        <f ca="1">IF($A67="*","",IF($B67="PRC_ACTUNT",OFFSET(COM_2012!$B$60,$L67,SUMIF($B$9:$B$12,$B67,$M$9:$M$12)),"-"))</f>
        <v>CEO</v>
      </c>
      <c r="F67" s="369" t="str">
        <f t="shared" ca="1" si="7"/>
        <v>-</v>
      </c>
      <c r="G67" s="369" t="str">
        <f t="shared" ca="1" si="7"/>
        <v>-</v>
      </c>
      <c r="H67" s="369" t="str">
        <f t="shared" ca="1" si="7"/>
        <v>-</v>
      </c>
      <c r="I67" s="369">
        <f t="shared" ca="1" si="5"/>
        <v>1</v>
      </c>
      <c r="J67" s="369"/>
      <c r="K67" s="304">
        <f>IF(L66=COM_2012!$AI$121,K66+1,K66)</f>
        <v>1</v>
      </c>
      <c r="L67" s="304">
        <f t="shared" si="6"/>
        <v>54</v>
      </c>
    </row>
    <row r="68" spans="1:12">
      <c r="A68" s="304" t="str">
        <f ca="1">IF(LEFT(OFFSET(COM_2012!$A$60,L68,0),2)="\I","*","")</f>
        <v/>
      </c>
      <c r="B68" s="369" t="str">
        <f t="shared" ca="1" si="4"/>
        <v>PRC_ACTUNT</v>
      </c>
      <c r="C68" s="369" t="str">
        <f ca="1">IF($A68="*","",OFFSET(COM_2012!$B$60,L68,0))</f>
        <v>CEOELC-E</v>
      </c>
      <c r="D68" s="369" t="str">
        <f ca="1">IF($A68="*","",IF(LEFT($B68,3)="TOP",OFFSET(COM_2012!$B$60,$L68,SUMIF($B$9:$B$12,$B68,$M$9:$M$12)),"-"))</f>
        <v>-</v>
      </c>
      <c r="E68" s="369" t="str">
        <f ca="1">IF($A68="*","",IF($B68="PRC_ACTUNT",OFFSET(COM_2012!$B$60,$L68,SUMIF($B$9:$B$12,$B68,$M$9:$M$12)),"-"))</f>
        <v>CEO</v>
      </c>
      <c r="F68" s="369" t="str">
        <f t="shared" ca="1" si="7"/>
        <v>-</v>
      </c>
      <c r="G68" s="369" t="str">
        <f t="shared" ca="1" si="7"/>
        <v>-</v>
      </c>
      <c r="H68" s="369" t="str">
        <f t="shared" ca="1" si="7"/>
        <v>-</v>
      </c>
      <c r="I68" s="369">
        <f t="shared" ca="1" si="5"/>
        <v>1</v>
      </c>
      <c r="J68" s="369"/>
      <c r="K68" s="304">
        <f>IF(L67=COM_2012!$AI$121,K67+1,K67)</f>
        <v>1</v>
      </c>
      <c r="L68" s="304">
        <f t="shared" si="6"/>
        <v>55</v>
      </c>
    </row>
    <row r="69" spans="1:12">
      <c r="A69" s="304" t="str">
        <f ca="1">IF(LEFT(OFFSET(COM_2012!$A$60,L69,0),2)="\I","*","")</f>
        <v/>
      </c>
      <c r="B69" s="369" t="str">
        <f t="shared" ca="1" si="4"/>
        <v>PRC_ACTUNT</v>
      </c>
      <c r="C69" s="369" t="str">
        <f ca="1">IF($A69="*","",OFFSET(COM_2012!$B$60,L69,0))</f>
        <v>CEOGAS-E</v>
      </c>
      <c r="D69" s="369" t="str">
        <f ca="1">IF($A69="*","",IF(LEFT($B69,3)="TOP",OFFSET(COM_2012!$B$60,$L69,SUMIF($B$9:$B$12,$B69,$M$9:$M$12)),"-"))</f>
        <v>-</v>
      </c>
      <c r="E69" s="369" t="str">
        <f ca="1">IF($A69="*","",IF($B69="PRC_ACTUNT",OFFSET(COM_2012!$B$60,$L69,SUMIF($B$9:$B$12,$B69,$M$9:$M$12)),"-"))</f>
        <v>CEO</v>
      </c>
      <c r="F69" s="369" t="str">
        <f t="shared" ca="1" si="7"/>
        <v>-</v>
      </c>
      <c r="G69" s="369" t="str">
        <f t="shared" ca="1" si="7"/>
        <v>-</v>
      </c>
      <c r="H69" s="369" t="str">
        <f t="shared" ca="1" si="7"/>
        <v>-</v>
      </c>
      <c r="I69" s="369">
        <f t="shared" ca="1" si="5"/>
        <v>1</v>
      </c>
      <c r="J69" s="369"/>
      <c r="K69" s="304">
        <f>IF(L68=COM_2012!$AI$121,K68+1,K68)</f>
        <v>1</v>
      </c>
      <c r="L69" s="304">
        <f t="shared" si="6"/>
        <v>56</v>
      </c>
    </row>
    <row r="70" spans="1:12">
      <c r="A70" s="304" t="str">
        <f ca="1">IF(LEFT(OFFSET(COM_2012!$A$60,L70,0),2)="\I","*","")</f>
        <v/>
      </c>
      <c r="B70" s="369" t="str">
        <f t="shared" ca="1" si="4"/>
        <v>PRC_ACTUNT</v>
      </c>
      <c r="C70" s="369" t="str">
        <f ca="1">IF($A70="*","",OFFSET(COM_2012!$B$60,L70,0))</f>
        <v>CEOOGS-E</v>
      </c>
      <c r="D70" s="369" t="str">
        <f ca="1">IF($A70="*","",IF(LEFT($B70,3)="TOP",OFFSET(COM_2012!$B$60,$L70,SUMIF($B$9:$B$12,$B70,$M$9:$M$12)),"-"))</f>
        <v>-</v>
      </c>
      <c r="E70" s="369" t="str">
        <f ca="1">IF($A70="*","",IF($B70="PRC_ACTUNT",OFFSET(COM_2012!$B$60,$L70,SUMIF($B$9:$B$12,$B70,$M$9:$M$12)),"-"))</f>
        <v>CEO</v>
      </c>
      <c r="F70" s="369" t="str">
        <f t="shared" ca="1" si="7"/>
        <v>-</v>
      </c>
      <c r="G70" s="369" t="str">
        <f t="shared" ca="1" si="7"/>
        <v>-</v>
      </c>
      <c r="H70" s="369" t="str">
        <f t="shared" ca="1" si="7"/>
        <v>-</v>
      </c>
      <c r="I70" s="369">
        <f t="shared" ca="1" si="5"/>
        <v>1</v>
      </c>
      <c r="J70" s="369"/>
      <c r="K70" s="304">
        <f>IF(L69=COM_2012!$AI$121,K69+1,K69)</f>
        <v>1</v>
      </c>
      <c r="L70" s="304">
        <f t="shared" si="6"/>
        <v>57</v>
      </c>
    </row>
    <row r="71" spans="1:12">
      <c r="A71" s="304" t="str">
        <f ca="1">IF(LEFT(OFFSET(COM_2012!$A$60,L71,0),2)="\I","*","")</f>
        <v/>
      </c>
      <c r="B71" s="369" t="str">
        <f t="shared" ca="1" si="4"/>
        <v>PRC_ACTUNT</v>
      </c>
      <c r="C71" s="369" t="str">
        <f ca="1">IF($A71="*","",OFFSET(COM_2012!$B$60,L71,0))</f>
        <v>CEOOHF-E</v>
      </c>
      <c r="D71" s="369" t="str">
        <f ca="1">IF($A71="*","",IF(LEFT($B71,3)="TOP",OFFSET(COM_2012!$B$60,$L71,SUMIF($B$9:$B$12,$B71,$M$9:$M$12)),"-"))</f>
        <v>-</v>
      </c>
      <c r="E71" s="369" t="str">
        <f ca="1">IF($A71="*","",IF($B71="PRC_ACTUNT",OFFSET(COM_2012!$B$60,$L71,SUMIF($B$9:$B$12,$B71,$M$9:$M$12)),"-"))</f>
        <v>CEO</v>
      </c>
      <c r="F71" s="369" t="str">
        <f t="shared" ca="1" si="7"/>
        <v>-</v>
      </c>
      <c r="G71" s="369" t="str">
        <f t="shared" ca="1" si="7"/>
        <v>-</v>
      </c>
      <c r="H71" s="369" t="str">
        <f t="shared" ca="1" si="7"/>
        <v>-</v>
      </c>
      <c r="I71" s="369">
        <f t="shared" ca="1" si="5"/>
        <v>1</v>
      </c>
      <c r="J71" s="369"/>
      <c r="K71" s="304">
        <f>IF(L70=COM_2012!$AI$121,K70+1,K70)</f>
        <v>1</v>
      </c>
      <c r="L71" s="304">
        <f t="shared" si="6"/>
        <v>58</v>
      </c>
    </row>
    <row r="72" spans="1:12">
      <c r="A72" s="304" t="str">
        <f ca="1">IF(LEFT(OFFSET(COM_2012!$A$60,L72,0),2)="\I","*","")</f>
        <v/>
      </c>
      <c r="B72" s="369" t="str">
        <f t="shared" ca="1" si="4"/>
        <v>PRC_ACTUNT</v>
      </c>
      <c r="C72" s="369" t="str">
        <f ca="1">IF($A72="*","",OFFSET(COM_2012!$B$60,L72,0))</f>
        <v>CEOOKE-E</v>
      </c>
      <c r="D72" s="369" t="str">
        <f ca="1">IF($A72="*","",IF(LEFT($B72,3)="TOP",OFFSET(COM_2012!$B$60,$L72,SUMIF($B$9:$B$12,$B72,$M$9:$M$12)),"-"))</f>
        <v>-</v>
      </c>
      <c r="E72" s="369" t="str">
        <f ca="1">IF($A72="*","",IF($B72="PRC_ACTUNT",OFFSET(COM_2012!$B$60,$L72,SUMIF($B$9:$B$12,$B72,$M$9:$M$12)),"-"))</f>
        <v>CEO</v>
      </c>
      <c r="F72" s="369" t="str">
        <f t="shared" ca="1" si="7"/>
        <v>-</v>
      </c>
      <c r="G72" s="369" t="str">
        <f t="shared" ca="1" si="7"/>
        <v>-</v>
      </c>
      <c r="H72" s="369" t="str">
        <f t="shared" ca="1" si="7"/>
        <v>-</v>
      </c>
      <c r="I72" s="369">
        <f t="shared" ca="1" si="5"/>
        <v>1</v>
      </c>
      <c r="J72" s="369"/>
      <c r="K72" s="304">
        <f>IF(L71=COM_2012!$AI$121,K71+1,K71)</f>
        <v>1</v>
      </c>
      <c r="L72" s="304">
        <f t="shared" si="6"/>
        <v>59</v>
      </c>
    </row>
    <row r="73" spans="1:12">
      <c r="A73" s="304" t="str">
        <f ca="1">IF(LEFT(OFFSET(COM_2012!$A$60,L73,0),2)="\I","*","")</f>
        <v>*</v>
      </c>
      <c r="B73" s="369" t="str">
        <f t="shared" ca="1" si="4"/>
        <v/>
      </c>
      <c r="C73" s="369" t="str">
        <f ca="1">IF($A73="*","",OFFSET(COM_2012!$B$60,L73,0))</f>
        <v/>
      </c>
      <c r="D73" s="369" t="str">
        <f ca="1">IF($A73="*","",IF(LEFT($B73,3)="TOP",OFFSET(COM_2012!$B$60,$L73,SUMIF($B$9:$B$12,$B73,$M$9:$M$12)),"-"))</f>
        <v/>
      </c>
      <c r="E73" s="369" t="str">
        <f ca="1">IF($A73="*","",IF($B73="PRC_ACTUNT",OFFSET(COM_2012!$B$60,$L73,SUMIF($B$9:$B$12,$B73,$M$9:$M$12)),"-"))</f>
        <v/>
      </c>
      <c r="F73" s="369" t="str">
        <f t="shared" ca="1" si="7"/>
        <v/>
      </c>
      <c r="G73" s="369" t="str">
        <f t="shared" ca="1" si="7"/>
        <v/>
      </c>
      <c r="H73" s="369" t="str">
        <f t="shared" ca="1" si="7"/>
        <v/>
      </c>
      <c r="I73" s="369" t="str">
        <f t="shared" ca="1" si="5"/>
        <v/>
      </c>
      <c r="J73" s="369"/>
      <c r="K73" s="304">
        <f>IF(L72=COM_2012!$AI$121,K72+1,K72)</f>
        <v>1</v>
      </c>
      <c r="L73" s="304">
        <f t="shared" si="6"/>
        <v>60</v>
      </c>
    </row>
    <row r="74" spans="1:12">
      <c r="A74" s="304" t="str">
        <f ca="1">IF(LEFT(OFFSET(COM_2012!$A$60,L74,0),2)="\I","*","")</f>
        <v>*</v>
      </c>
      <c r="B74" s="369" t="str">
        <f t="shared" ca="1" si="4"/>
        <v/>
      </c>
      <c r="C74" s="369" t="str">
        <f ca="1">IF($A74="*","",OFFSET(COM_2012!$B$60,L74,0))</f>
        <v/>
      </c>
      <c r="D74" s="369" t="str">
        <f ca="1">IF($A74="*","",IF(LEFT($B74,3)="TOP",OFFSET(COM_2012!$B$60,$L74,SUMIF($B$9:$B$12,$B74,$M$9:$M$12)),"-"))</f>
        <v/>
      </c>
      <c r="E74" s="369" t="str">
        <f ca="1">IF($A74="*","",IF($B74="PRC_ACTUNT",OFFSET(COM_2012!$B$60,$L74,SUMIF($B$9:$B$12,$B74,$M$9:$M$12)),"-"))</f>
        <v/>
      </c>
      <c r="F74" s="369" t="str">
        <f t="shared" ca="1" si="7"/>
        <v/>
      </c>
      <c r="G74" s="369" t="str">
        <f t="shared" ca="1" si="7"/>
        <v/>
      </c>
      <c r="H74" s="369" t="str">
        <f t="shared" ca="1" si="7"/>
        <v/>
      </c>
      <c r="I74" s="369" t="str">
        <f t="shared" ca="1" si="5"/>
        <v/>
      </c>
      <c r="J74" s="369"/>
      <c r="K74" s="304">
        <f>IF(L73=COM_2012!$AI$121,K73+1,K73)</f>
        <v>1</v>
      </c>
      <c r="L74" s="304">
        <f t="shared" si="6"/>
        <v>61</v>
      </c>
    </row>
    <row r="75" spans="1:12">
      <c r="A75" s="304" t="str">
        <f ca="1">IF(LEFT(OFFSET(COM_2012!$A$60,L75,0),2)="\I","*","")</f>
        <v/>
      </c>
      <c r="B75" s="369" t="str">
        <f t="shared" ca="1" si="4"/>
        <v>PRC_CAPACT</v>
      </c>
      <c r="C75" s="369" t="str">
        <f ca="1">IF($A75="*","",OFFSET(COM_2012!$B$60,L75,0))</f>
        <v>CECELCCHIL-E</v>
      </c>
      <c r="D75" s="369" t="str">
        <f ca="1">IF($A75="*","",IF(LEFT($B75,3)="TOP",OFFSET(COM_2012!$B$60,$L75,SUMIF($B$9:$B$12,$B75,$M$9:$M$12)),"-"))</f>
        <v>-</v>
      </c>
      <c r="E75" s="369" t="str">
        <f ca="1">IF($A75="*","",IF($B75="PRC_ACTUNT",OFFSET(COM_2012!$B$60,$L75,SUMIF($B$9:$B$12,$B75,$M$9:$M$12)),"-"))</f>
        <v>-</v>
      </c>
      <c r="F75" s="369" t="str">
        <f t="shared" ca="1" si="7"/>
        <v>-</v>
      </c>
      <c r="G75" s="369" t="str">
        <f t="shared" ca="1" si="7"/>
        <v>-</v>
      </c>
      <c r="H75" s="369" t="str">
        <f t="shared" ca="1" si="7"/>
        <v>-</v>
      </c>
      <c r="I75" s="369">
        <f t="shared" ca="1" si="5"/>
        <v>1</v>
      </c>
      <c r="J75" s="369"/>
      <c r="K75" s="304">
        <f>IF(L74=COM_2012!$AI$121,K74+1,K74)</f>
        <v>2</v>
      </c>
      <c r="L75" s="304">
        <f t="shared" si="6"/>
        <v>1</v>
      </c>
    </row>
    <row r="76" spans="1:12">
      <c r="A76" s="304" t="str">
        <f ca="1">IF(LEFT(OFFSET(COM_2012!$A$60,L76,0),2)="\I","*","")</f>
        <v/>
      </c>
      <c r="B76" s="369" t="str">
        <f t="shared" ca="1" si="4"/>
        <v>PRC_CAPACT</v>
      </c>
      <c r="C76" s="369" t="str">
        <f ca="1">IF($A76="*","",OFFSET(COM_2012!$B$60,L76,0))</f>
        <v>CECELCCEN-E</v>
      </c>
      <c r="D76" s="369" t="str">
        <f ca="1">IF($A76="*","",IF(LEFT($B76,3)="TOP",OFFSET(COM_2012!$B$60,$L76,SUMIF($B$9:$B$12,$B76,$M$9:$M$12)),"-"))</f>
        <v>-</v>
      </c>
      <c r="E76" s="369" t="str">
        <f ca="1">IF($A76="*","",IF($B76="PRC_ACTUNT",OFFSET(COM_2012!$B$60,$L76,SUMIF($B$9:$B$12,$B76,$M$9:$M$12)),"-"))</f>
        <v>-</v>
      </c>
      <c r="F76" s="369" t="str">
        <f t="shared" ca="1" si="7"/>
        <v>-</v>
      </c>
      <c r="G76" s="369" t="str">
        <f t="shared" ca="1" si="7"/>
        <v>-</v>
      </c>
      <c r="H76" s="369" t="str">
        <f t="shared" ca="1" si="7"/>
        <v>-</v>
      </c>
      <c r="I76" s="369">
        <f t="shared" ca="1" si="5"/>
        <v>1</v>
      </c>
      <c r="J76" s="369"/>
      <c r="K76" s="304">
        <f>IF(L75=COM_2012!$AI$121,K75+1,K75)</f>
        <v>2</v>
      </c>
      <c r="L76" s="304">
        <f t="shared" si="6"/>
        <v>2</v>
      </c>
    </row>
    <row r="77" spans="1:12">
      <c r="A77" s="304" t="str">
        <f ca="1">IF(LEFT(OFFSET(COM_2012!$A$60,L77,0),2)="\I","*","")</f>
        <v/>
      </c>
      <c r="B77" s="369" t="str">
        <f t="shared" ca="1" si="4"/>
        <v>PRC_CAPACT</v>
      </c>
      <c r="C77" s="369" t="str">
        <f ca="1">IF($A77="*","",OFFSET(COM_2012!$B$60,L77,0))</f>
        <v>CECELCHP-E</v>
      </c>
      <c r="D77" s="369" t="str">
        <f ca="1">IF($A77="*","",IF(LEFT($B77,3)="TOP",OFFSET(COM_2012!$B$60,$L77,SUMIF($B$9:$B$12,$B77,$M$9:$M$12)),"-"))</f>
        <v>-</v>
      </c>
      <c r="E77" s="369" t="str">
        <f ca="1">IF($A77="*","",IF($B77="PRC_ACTUNT",OFFSET(COM_2012!$B$60,$L77,SUMIF($B$9:$B$12,$B77,$M$9:$M$12)),"-"))</f>
        <v>-</v>
      </c>
      <c r="F77" s="369" t="str">
        <f t="shared" ca="1" si="7"/>
        <v>-</v>
      </c>
      <c r="G77" s="369" t="str">
        <f t="shared" ca="1" si="7"/>
        <v>-</v>
      </c>
      <c r="H77" s="369" t="str">
        <f t="shared" ca="1" si="7"/>
        <v>-</v>
      </c>
      <c r="I77" s="369">
        <f t="shared" ca="1" si="5"/>
        <v>1</v>
      </c>
      <c r="J77" s="369"/>
      <c r="K77" s="304">
        <f>IF(L76=COM_2012!$AI$121,K76+1,K76)</f>
        <v>2</v>
      </c>
      <c r="L77" s="304">
        <f t="shared" si="6"/>
        <v>3</v>
      </c>
    </row>
    <row r="78" spans="1:12">
      <c r="A78" s="304" t="str">
        <f ca="1">IF(LEFT(OFFSET(COM_2012!$A$60,L78,0),2)="\I","*","")</f>
        <v/>
      </c>
      <c r="B78" s="369" t="str">
        <f t="shared" ca="1" si="4"/>
        <v>PRC_CAPACT</v>
      </c>
      <c r="C78" s="369" t="str">
        <f ca="1">IF($A78="*","",OFFSET(COM_2012!$B$60,L78,0))</f>
        <v>CECELCROOM-E</v>
      </c>
      <c r="D78" s="369" t="str">
        <f ca="1">IF($A78="*","",IF(LEFT($B78,3)="TOP",OFFSET(COM_2012!$B$60,$L78,SUMIF($B$9:$B$12,$B78,$M$9:$M$12)),"-"))</f>
        <v>-</v>
      </c>
      <c r="E78" s="369" t="str">
        <f ca="1">IF($A78="*","",IF($B78="PRC_ACTUNT",OFFSET(COM_2012!$B$60,$L78,SUMIF($B$9:$B$12,$B78,$M$9:$M$12)),"-"))</f>
        <v>-</v>
      </c>
      <c r="F78" s="369" t="str">
        <f t="shared" ca="1" si="7"/>
        <v>-</v>
      </c>
      <c r="G78" s="369" t="str">
        <f t="shared" ca="1" si="7"/>
        <v>-</v>
      </c>
      <c r="H78" s="369" t="str">
        <f t="shared" ca="1" si="7"/>
        <v>-</v>
      </c>
      <c r="I78" s="369">
        <f t="shared" ca="1" si="5"/>
        <v>1</v>
      </c>
      <c r="J78" s="369"/>
      <c r="K78" s="304">
        <f>IF(L77=COM_2012!$AI$121,K77+1,K77)</f>
        <v>2</v>
      </c>
      <c r="L78" s="304">
        <f t="shared" si="6"/>
        <v>4</v>
      </c>
    </row>
    <row r="79" spans="1:12">
      <c r="A79" s="304" t="str">
        <f ca="1">IF(LEFT(OFFSET(COM_2012!$A$60,L79,0),2)="\I","*","")</f>
        <v/>
      </c>
      <c r="B79" s="369" t="str">
        <f t="shared" ca="1" si="4"/>
        <v>PRC_CAPACT</v>
      </c>
      <c r="C79" s="369" t="str">
        <f ca="1">IF($A79="*","",OFFSET(COM_2012!$B$60,L79,0))</f>
        <v>CECELCCEN-N</v>
      </c>
      <c r="D79" s="369" t="str">
        <f ca="1">IF($A79="*","",IF(LEFT($B79,3)="TOP",OFFSET(COM_2012!$B$60,$L79,SUMIF($B$9:$B$12,$B79,$M$9:$M$12)),"-"))</f>
        <v>-</v>
      </c>
      <c r="E79" s="369" t="str">
        <f ca="1">IF($A79="*","",IF($B79="PRC_ACTUNT",OFFSET(COM_2012!$B$60,$L79,SUMIF($B$9:$B$12,$B79,$M$9:$M$12)),"-"))</f>
        <v>-</v>
      </c>
      <c r="F79" s="369" t="str">
        <f t="shared" ca="1" si="7"/>
        <v>-</v>
      </c>
      <c r="G79" s="369" t="str">
        <f t="shared" ca="1" si="7"/>
        <v>-</v>
      </c>
      <c r="H79" s="369" t="str">
        <f t="shared" ca="1" si="7"/>
        <v>-</v>
      </c>
      <c r="I79" s="369">
        <f t="shared" ca="1" si="5"/>
        <v>1</v>
      </c>
      <c r="J79" s="369"/>
      <c r="K79" s="304">
        <f>IF(L78=COM_2012!$AI$121,K78+1,K78)</f>
        <v>2</v>
      </c>
      <c r="L79" s="304">
        <f t="shared" si="6"/>
        <v>5</v>
      </c>
    </row>
    <row r="80" spans="1:12">
      <c r="A80" s="304" t="str">
        <f ca="1">IF(LEFT(OFFSET(COM_2012!$A$60,L80,0),2)="\I","*","")</f>
        <v/>
      </c>
      <c r="B80" s="369" t="str">
        <f t="shared" ca="1" si="4"/>
        <v>PRC_CAPACT</v>
      </c>
      <c r="C80" s="369" t="str">
        <f ca="1">IF($A80="*","",OFFSET(COM_2012!$B$60,L80,0))</f>
        <v>CECELCHP-N</v>
      </c>
      <c r="D80" s="369" t="str">
        <f ca="1">IF($A80="*","",IF(LEFT($B80,3)="TOP",OFFSET(COM_2012!$B$60,$L80,SUMIF($B$9:$B$12,$B80,$M$9:$M$12)),"-"))</f>
        <v>-</v>
      </c>
      <c r="E80" s="369" t="str">
        <f ca="1">IF($A80="*","",IF($B80="PRC_ACTUNT",OFFSET(COM_2012!$B$60,$L80,SUMIF($B$9:$B$12,$B80,$M$9:$M$12)),"-"))</f>
        <v>-</v>
      </c>
      <c r="F80" s="369" t="str">
        <f t="shared" ca="1" si="7"/>
        <v>-</v>
      </c>
      <c r="G80" s="369" t="str">
        <f t="shared" ca="1" si="7"/>
        <v>-</v>
      </c>
      <c r="H80" s="369" t="str">
        <f t="shared" ca="1" si="7"/>
        <v>-</v>
      </c>
      <c r="I80" s="369">
        <f t="shared" ca="1" si="5"/>
        <v>1</v>
      </c>
      <c r="J80" s="369"/>
      <c r="K80" s="304">
        <f>IF(L79=COM_2012!$AI$121,K79+1,K79)</f>
        <v>2</v>
      </c>
      <c r="L80" s="304">
        <f t="shared" si="6"/>
        <v>6</v>
      </c>
    </row>
    <row r="81" spans="1:12">
      <c r="A81" s="304" t="str">
        <f ca="1">IF(LEFT(OFFSET(COM_2012!$A$60,L81,0),2)="\I","*","")</f>
        <v>*</v>
      </c>
      <c r="B81" s="369" t="str">
        <f t="shared" ca="1" si="4"/>
        <v/>
      </c>
      <c r="C81" s="369" t="str">
        <f ca="1">IF($A81="*","",OFFSET(COM_2012!$B$60,L81,0))</f>
        <v/>
      </c>
      <c r="D81" s="369" t="str">
        <f ca="1">IF($A81="*","",IF(LEFT($B81,3)="TOP",OFFSET(COM_2012!$B$60,$L81,SUMIF($B$9:$B$12,$B81,$M$9:$M$12)),"-"))</f>
        <v/>
      </c>
      <c r="E81" s="369" t="str">
        <f ca="1">IF($A81="*","",IF($B81="PRC_ACTUNT",OFFSET(COM_2012!$B$60,$L81,SUMIF($B$9:$B$12,$B81,$M$9:$M$12)),"-"))</f>
        <v/>
      </c>
      <c r="F81" s="369" t="str">
        <f t="shared" ca="1" si="7"/>
        <v/>
      </c>
      <c r="G81" s="369" t="str">
        <f t="shared" ca="1" si="7"/>
        <v/>
      </c>
      <c r="H81" s="369" t="str">
        <f t="shared" ca="1" si="7"/>
        <v/>
      </c>
      <c r="I81" s="369" t="str">
        <f t="shared" ca="1" si="5"/>
        <v/>
      </c>
      <c r="J81" s="369"/>
      <c r="K81" s="304">
        <f>IF(L80=COM_2012!$AI$121,K80+1,K80)</f>
        <v>2</v>
      </c>
      <c r="L81" s="304">
        <f t="shared" si="6"/>
        <v>7</v>
      </c>
    </row>
    <row r="82" spans="1:12">
      <c r="A82" s="304" t="str">
        <f ca="1">IF(LEFT(OFFSET(COM_2012!$A$60,L82,0),2)="\I","*","")</f>
        <v>*</v>
      </c>
      <c r="B82" s="369" t="str">
        <f t="shared" ca="1" si="4"/>
        <v/>
      </c>
      <c r="C82" s="369" t="str">
        <f ca="1">IF($A82="*","",OFFSET(COM_2012!$B$60,L82,0))</f>
        <v/>
      </c>
      <c r="D82" s="369" t="str">
        <f ca="1">IF($A82="*","",IF(LEFT($B82,3)="TOP",OFFSET(COM_2012!$B$60,$L82,SUMIF($B$9:$B$12,$B82,$M$9:$M$12)),"-"))</f>
        <v/>
      </c>
      <c r="E82" s="369" t="str">
        <f ca="1">IF($A82="*","",IF($B82="PRC_ACTUNT",OFFSET(COM_2012!$B$60,$L82,SUMIF($B$9:$B$12,$B82,$M$9:$M$12)),"-"))</f>
        <v/>
      </c>
      <c r="F82" s="369" t="str">
        <f t="shared" ca="1" si="7"/>
        <v/>
      </c>
      <c r="G82" s="369" t="str">
        <f t="shared" ca="1" si="7"/>
        <v/>
      </c>
      <c r="H82" s="369" t="str">
        <f t="shared" ca="1" si="7"/>
        <v/>
      </c>
      <c r="I82" s="369" t="str">
        <f t="shared" ca="1" si="5"/>
        <v/>
      </c>
      <c r="J82" s="369"/>
      <c r="K82" s="304">
        <f>IF(L81=COM_2012!$AI$121,K81+1,K81)</f>
        <v>2</v>
      </c>
      <c r="L82" s="304">
        <f t="shared" si="6"/>
        <v>8</v>
      </c>
    </row>
    <row r="83" spans="1:12">
      <c r="A83" s="304" t="str">
        <f ca="1">IF(LEFT(OFFSET(COM_2012!$A$60,L83,0),2)="\I","*","")</f>
        <v/>
      </c>
      <c r="B83" s="369" t="str">
        <f t="shared" ca="1" si="4"/>
        <v>PRC_CAPACT</v>
      </c>
      <c r="C83" s="369" t="str">
        <f ca="1">IF($A83="*","",OFFSET(COM_2012!$B$60,L83,0))</f>
        <v>CEHCOA-E</v>
      </c>
      <c r="D83" s="369" t="str">
        <f ca="1">IF($A83="*","",IF(LEFT($B83,3)="TOP",OFFSET(COM_2012!$B$60,$L83,SUMIF($B$9:$B$12,$B83,$M$9:$M$12)),"-"))</f>
        <v>-</v>
      </c>
      <c r="E83" s="369" t="str">
        <f ca="1">IF($A83="*","",IF($B83="PRC_ACTUNT",OFFSET(COM_2012!$B$60,$L83,SUMIF($B$9:$B$12,$B83,$M$9:$M$12)),"-"))</f>
        <v>-</v>
      </c>
      <c r="F83" s="369" t="str">
        <f t="shared" ca="1" si="7"/>
        <v>-</v>
      </c>
      <c r="G83" s="369" t="str">
        <f t="shared" ca="1" si="7"/>
        <v>-</v>
      </c>
      <c r="H83" s="369" t="str">
        <f t="shared" ca="1" si="7"/>
        <v>-</v>
      </c>
      <c r="I83" s="369">
        <f t="shared" ca="1" si="5"/>
        <v>1</v>
      </c>
      <c r="J83" s="369"/>
      <c r="K83" s="304">
        <f>IF(L82=COM_2012!$AI$121,K82+1,K82)</f>
        <v>2</v>
      </c>
      <c r="L83" s="304">
        <f t="shared" si="6"/>
        <v>9</v>
      </c>
    </row>
    <row r="84" spans="1:12">
      <c r="A84" s="304" t="str">
        <f ca="1">IF(LEFT(OFFSET(COM_2012!$A$60,L84,0),2)="\I","*","")</f>
        <v/>
      </c>
      <c r="B84" s="369" t="str">
        <f t="shared" ref="B84:B147" ca="1" si="8">IF(A84="*","",VLOOKUP("*"&amp;K84,$A$9:$B$14,2,FALSE))</f>
        <v>PRC_CAPACT</v>
      </c>
      <c r="C84" s="369" t="str">
        <f ca="1">IF($A84="*","",OFFSET(COM_2012!$B$60,L84,0))</f>
        <v>CEHELC-E</v>
      </c>
      <c r="D84" s="369" t="str">
        <f ca="1">IF($A84="*","",IF(LEFT($B84,3)="TOP",OFFSET(COM_2012!$B$60,$L84,SUMIF($B$9:$B$12,$B84,$M$9:$M$12)),"-"))</f>
        <v>-</v>
      </c>
      <c r="E84" s="369" t="str">
        <f ca="1">IF($A84="*","",IF($B84="PRC_ACTUNT",OFFSET(COM_2012!$B$60,$L84,SUMIF($B$9:$B$12,$B84,$M$9:$M$12)),"-"))</f>
        <v>-</v>
      </c>
      <c r="F84" s="369" t="str">
        <f t="shared" ca="1" si="7"/>
        <v>-</v>
      </c>
      <c r="G84" s="369" t="str">
        <f t="shared" ca="1" si="7"/>
        <v>-</v>
      </c>
      <c r="H84" s="369" t="str">
        <f t="shared" ca="1" si="7"/>
        <v>-</v>
      </c>
      <c r="I84" s="369">
        <f t="shared" ref="I84:I147" ca="1" si="9">IF($A84="*","",SUMIF($B$9:$B$12,B84,$I$9:$I$12))</f>
        <v>1</v>
      </c>
      <c r="J84" s="369"/>
      <c r="K84" s="304">
        <f>IF(L83=COM_2012!$AI$121,K83+1,K83)</f>
        <v>2</v>
      </c>
      <c r="L84" s="304">
        <f t="shared" ref="L84:L147" si="10">IF(K84=K83,L83+1,1)</f>
        <v>10</v>
      </c>
    </row>
    <row r="85" spans="1:12">
      <c r="A85" s="304" t="str">
        <f ca="1">IF(LEFT(OFFSET(COM_2012!$A$60,L85,0),2)="\I","*","")</f>
        <v/>
      </c>
      <c r="B85" s="369" t="str">
        <f t="shared" ca="1" si="8"/>
        <v>PRC_CAPACT</v>
      </c>
      <c r="C85" s="369" t="str">
        <f ca="1">IF($A85="*","",OFFSET(COM_2012!$B$60,L85,0))</f>
        <v>CEHGAS-E</v>
      </c>
      <c r="D85" s="369" t="str">
        <f ca="1">IF($A85="*","",IF(LEFT($B85,3)="TOP",OFFSET(COM_2012!$B$60,$L85,SUMIF($B$9:$B$12,$B85,$M$9:$M$12)),"-"))</f>
        <v>-</v>
      </c>
      <c r="E85" s="369" t="str">
        <f ca="1">IF($A85="*","",IF($B85="PRC_ACTUNT",OFFSET(COM_2012!$B$60,$L85,SUMIF($B$9:$B$12,$B85,$M$9:$M$12)),"-"))</f>
        <v>-</v>
      </c>
      <c r="F85" s="369" t="str">
        <f t="shared" ca="1" si="7"/>
        <v>-</v>
      </c>
      <c r="G85" s="369" t="str">
        <f t="shared" ca="1" si="7"/>
        <v>-</v>
      </c>
      <c r="H85" s="369" t="str">
        <f t="shared" ca="1" si="7"/>
        <v>-</v>
      </c>
      <c r="I85" s="369">
        <f t="shared" ca="1" si="9"/>
        <v>1</v>
      </c>
      <c r="J85" s="369"/>
      <c r="K85" s="304">
        <f>IF(L84=COM_2012!$AI$121,K84+1,K84)</f>
        <v>2</v>
      </c>
      <c r="L85" s="304">
        <f t="shared" si="10"/>
        <v>11</v>
      </c>
    </row>
    <row r="86" spans="1:12">
      <c r="A86" s="304" t="str">
        <f ca="1">IF(LEFT(OFFSET(COM_2012!$A$60,L86,0),2)="\I","*","")</f>
        <v/>
      </c>
      <c r="B86" s="369" t="str">
        <f t="shared" ca="1" si="8"/>
        <v>PRC_CAPACT</v>
      </c>
      <c r="C86" s="369" t="str">
        <f ca="1">IF($A86="*","",OFFSET(COM_2012!$B$60,L86,0))</f>
        <v>CEHELC-N</v>
      </c>
      <c r="D86" s="369" t="str">
        <f ca="1">IF($A86="*","",IF(LEFT($B86,3)="TOP",OFFSET(COM_2012!$B$60,$L86,SUMIF($B$9:$B$12,$B86,$M$9:$M$12)),"-"))</f>
        <v>-</v>
      </c>
      <c r="E86" s="369" t="str">
        <f ca="1">IF($A86="*","",IF($B86="PRC_ACTUNT",OFFSET(COM_2012!$B$60,$L86,SUMIF($B$9:$B$12,$B86,$M$9:$M$12)),"-"))</f>
        <v>-</v>
      </c>
      <c r="F86" s="369" t="str">
        <f t="shared" ca="1" si="7"/>
        <v>-</v>
      </c>
      <c r="G86" s="369" t="str">
        <f t="shared" ca="1" si="7"/>
        <v>-</v>
      </c>
      <c r="H86" s="369" t="str">
        <f t="shared" ca="1" si="7"/>
        <v>-</v>
      </c>
      <c r="I86" s="369">
        <f t="shared" ca="1" si="9"/>
        <v>1</v>
      </c>
      <c r="J86" s="369"/>
      <c r="K86" s="304">
        <f>IF(L85=COM_2012!$AI$121,K85+1,K85)</f>
        <v>2</v>
      </c>
      <c r="L86" s="304">
        <f t="shared" si="10"/>
        <v>12</v>
      </c>
    </row>
    <row r="87" spans="1:12">
      <c r="A87" s="304" t="str">
        <f ca="1">IF(LEFT(OFFSET(COM_2012!$A$60,L87,0),2)="\I","*","")</f>
        <v/>
      </c>
      <c r="B87" s="369" t="str">
        <f t="shared" ca="1" si="8"/>
        <v>PRC_CAPACT</v>
      </c>
      <c r="C87" s="369" t="str">
        <f ca="1">IF($A87="*","",OFFSET(COM_2012!$B$60,L87,0))</f>
        <v>CEHGAS-N</v>
      </c>
      <c r="D87" s="369" t="str">
        <f ca="1">IF($A87="*","",IF(LEFT($B87,3)="TOP",OFFSET(COM_2012!$B$60,$L87,SUMIF($B$9:$B$12,$B87,$M$9:$M$12)),"-"))</f>
        <v>-</v>
      </c>
      <c r="E87" s="369" t="str">
        <f ca="1">IF($A87="*","",IF($B87="PRC_ACTUNT",OFFSET(COM_2012!$B$60,$L87,SUMIF($B$9:$B$12,$B87,$M$9:$M$12)),"-"))</f>
        <v>-</v>
      </c>
      <c r="F87" s="369" t="str">
        <f t="shared" ca="1" si="7"/>
        <v>-</v>
      </c>
      <c r="G87" s="369" t="str">
        <f t="shared" ca="1" si="7"/>
        <v>-</v>
      </c>
      <c r="H87" s="369" t="str">
        <f t="shared" ca="1" si="7"/>
        <v>-</v>
      </c>
      <c r="I87" s="369">
        <f t="shared" ca="1" si="9"/>
        <v>1</v>
      </c>
      <c r="J87" s="369"/>
      <c r="K87" s="304">
        <f>IF(L86=COM_2012!$AI$121,K86+1,K86)</f>
        <v>2</v>
      </c>
      <c r="L87" s="304">
        <f t="shared" si="10"/>
        <v>13</v>
      </c>
    </row>
    <row r="88" spans="1:12">
      <c r="A88" s="304" t="str">
        <f ca="1">IF(LEFT(OFFSET(COM_2012!$A$60,L88,0),2)="\I","*","")</f>
        <v>*</v>
      </c>
      <c r="B88" s="369" t="str">
        <f t="shared" ca="1" si="8"/>
        <v/>
      </c>
      <c r="C88" s="369" t="str">
        <f ca="1">IF($A88="*","",OFFSET(COM_2012!$B$60,L88,0))</f>
        <v/>
      </c>
      <c r="D88" s="369" t="str">
        <f ca="1">IF($A88="*","",IF(LEFT($B88,3)="TOP",OFFSET(COM_2012!$B$60,$L88,SUMIF($B$9:$B$12,$B88,$M$9:$M$12)),"-"))</f>
        <v/>
      </c>
      <c r="E88" s="369" t="str">
        <f ca="1">IF($A88="*","",IF($B88="PRC_ACTUNT",OFFSET(COM_2012!$B$60,$L88,SUMIF($B$9:$B$12,$B88,$M$9:$M$12)),"-"))</f>
        <v/>
      </c>
      <c r="F88" s="369" t="str">
        <f t="shared" ca="1" si="7"/>
        <v/>
      </c>
      <c r="G88" s="369" t="str">
        <f t="shared" ca="1" si="7"/>
        <v/>
      </c>
      <c r="H88" s="369" t="str">
        <f t="shared" ca="1" si="7"/>
        <v/>
      </c>
      <c r="I88" s="369" t="str">
        <f t="shared" ca="1" si="9"/>
        <v/>
      </c>
      <c r="J88" s="369"/>
      <c r="K88" s="304">
        <f>IF(L87=COM_2012!$AI$121,K87+1,K87)</f>
        <v>2</v>
      </c>
      <c r="L88" s="304">
        <f t="shared" si="10"/>
        <v>14</v>
      </c>
    </row>
    <row r="89" spans="1:12">
      <c r="A89" s="304" t="str">
        <f ca="1">IF(LEFT(OFFSET(COM_2012!$A$60,L89,0),2)="\I","*","")</f>
        <v>*</v>
      </c>
      <c r="B89" s="369" t="str">
        <f t="shared" ca="1" si="8"/>
        <v/>
      </c>
      <c r="C89" s="369" t="str">
        <f ca="1">IF($A89="*","",OFFSET(COM_2012!$B$60,L89,0))</f>
        <v/>
      </c>
      <c r="D89" s="369" t="str">
        <f ca="1">IF($A89="*","",IF(LEFT($B89,3)="TOP",OFFSET(COM_2012!$B$60,$L89,SUMIF($B$9:$B$12,$B89,$M$9:$M$12)),"-"))</f>
        <v/>
      </c>
      <c r="E89" s="369" t="str">
        <f ca="1">IF($A89="*","",IF($B89="PRC_ACTUNT",OFFSET(COM_2012!$B$60,$L89,SUMIF($B$9:$B$12,$B89,$M$9:$M$12)),"-"))</f>
        <v/>
      </c>
      <c r="F89" s="369" t="str">
        <f t="shared" ca="1" si="7"/>
        <v/>
      </c>
      <c r="G89" s="369" t="str">
        <f t="shared" ca="1" si="7"/>
        <v/>
      </c>
      <c r="H89" s="369" t="str">
        <f t="shared" ca="1" si="7"/>
        <v/>
      </c>
      <c r="I89" s="369" t="str">
        <f t="shared" ca="1" si="9"/>
        <v/>
      </c>
      <c r="J89" s="369"/>
      <c r="K89" s="304">
        <f>IF(L88=COM_2012!$AI$121,K88+1,K88)</f>
        <v>2</v>
      </c>
      <c r="L89" s="304">
        <f t="shared" si="10"/>
        <v>15</v>
      </c>
    </row>
    <row r="90" spans="1:12">
      <c r="A90" s="304" t="str">
        <f ca="1">IF(LEFT(OFFSET(COM_2012!$A$60,L90,0),2)="\I","*","")</f>
        <v/>
      </c>
      <c r="B90" s="369" t="str">
        <f t="shared" ca="1" si="8"/>
        <v>PRC_CAPACT</v>
      </c>
      <c r="C90" s="369" t="str">
        <f ca="1">IF($A90="*","",OFFSET(COM_2012!$B$60,L90,0))</f>
        <v>CEKOLP-E</v>
      </c>
      <c r="D90" s="369" t="str">
        <f ca="1">IF($A90="*","",IF(LEFT($B90,3)="TOP",OFFSET(COM_2012!$B$60,$L90,SUMIF($B$9:$B$12,$B90,$M$9:$M$12)),"-"))</f>
        <v>-</v>
      </c>
      <c r="E90" s="369" t="str">
        <f ca="1">IF($A90="*","",IF($B90="PRC_ACTUNT",OFFSET(COM_2012!$B$60,$L90,SUMIF($B$9:$B$12,$B90,$M$9:$M$12)),"-"))</f>
        <v>-</v>
      </c>
      <c r="F90" s="369" t="str">
        <f t="shared" ca="1" si="7"/>
        <v>-</v>
      </c>
      <c r="G90" s="369" t="str">
        <f t="shared" ca="1" si="7"/>
        <v>-</v>
      </c>
      <c r="H90" s="369" t="str">
        <f t="shared" ca="1" si="7"/>
        <v>-</v>
      </c>
      <c r="I90" s="369">
        <f t="shared" ca="1" si="9"/>
        <v>1</v>
      </c>
      <c r="J90" s="369"/>
      <c r="K90" s="304">
        <f>IF(L89=COM_2012!$AI$121,K89+1,K89)</f>
        <v>2</v>
      </c>
      <c r="L90" s="304">
        <f t="shared" si="10"/>
        <v>16</v>
      </c>
    </row>
    <row r="91" spans="1:12">
      <c r="A91" s="304" t="str">
        <f ca="1">IF(LEFT(OFFSET(COM_2012!$A$60,L91,0),2)="\I","*","")</f>
        <v/>
      </c>
      <c r="B91" s="369" t="str">
        <f t="shared" ca="1" si="8"/>
        <v>PRC_CAPACT</v>
      </c>
      <c r="C91" s="369" t="str">
        <f ca="1">IF($A91="*","",OFFSET(COM_2012!$B$60,L91,0))</f>
        <v>CEKELC-E</v>
      </c>
      <c r="D91" s="369" t="str">
        <f ca="1">IF($A91="*","",IF(LEFT($B91,3)="TOP",OFFSET(COM_2012!$B$60,$L91,SUMIF($B$9:$B$12,$B91,$M$9:$M$12)),"-"))</f>
        <v>-</v>
      </c>
      <c r="E91" s="369" t="str">
        <f ca="1">IF($A91="*","",IF($B91="PRC_ACTUNT",OFFSET(COM_2012!$B$60,$L91,SUMIF($B$9:$B$12,$B91,$M$9:$M$12)),"-"))</f>
        <v>-</v>
      </c>
      <c r="F91" s="369" t="str">
        <f t="shared" ca="1" si="7"/>
        <v>-</v>
      </c>
      <c r="G91" s="369" t="str">
        <f t="shared" ca="1" si="7"/>
        <v>-</v>
      </c>
      <c r="H91" s="369" t="str">
        <f t="shared" ca="1" si="7"/>
        <v>-</v>
      </c>
      <c r="I91" s="369">
        <f t="shared" ca="1" si="9"/>
        <v>1</v>
      </c>
      <c r="J91" s="369"/>
      <c r="K91" s="304">
        <f>IF(L90=COM_2012!$AI$121,K90+1,K90)</f>
        <v>2</v>
      </c>
      <c r="L91" s="304">
        <f t="shared" si="10"/>
        <v>17</v>
      </c>
    </row>
    <row r="92" spans="1:12">
      <c r="A92" s="304" t="str">
        <f ca="1">IF(LEFT(OFFSET(COM_2012!$A$60,L92,0),2)="\I","*","")</f>
        <v/>
      </c>
      <c r="B92" s="369" t="str">
        <f t="shared" ca="1" si="8"/>
        <v>PRC_CAPACT</v>
      </c>
      <c r="C92" s="369" t="str">
        <f ca="1">IF($A92="*","",OFFSET(COM_2012!$B$60,L92,0))</f>
        <v>CEKCOA-E</v>
      </c>
      <c r="D92" s="369" t="str">
        <f ca="1">IF($A92="*","",IF(LEFT($B92,3)="TOP",OFFSET(COM_2012!$B$60,$L92,SUMIF($B$9:$B$12,$B92,$M$9:$M$12)),"-"))</f>
        <v>-</v>
      </c>
      <c r="E92" s="369" t="str">
        <f ca="1">IF($A92="*","",IF($B92="PRC_ACTUNT",OFFSET(COM_2012!$B$60,$L92,SUMIF($B$9:$B$12,$B92,$M$9:$M$12)),"-"))</f>
        <v>-</v>
      </c>
      <c r="F92" s="369" t="str">
        <f t="shared" ca="1" si="7"/>
        <v>-</v>
      </c>
      <c r="G92" s="369" t="str">
        <f t="shared" ca="1" si="7"/>
        <v>-</v>
      </c>
      <c r="H92" s="369" t="str">
        <f t="shared" ca="1" si="7"/>
        <v>-</v>
      </c>
      <c r="I92" s="369">
        <f t="shared" ca="1" si="9"/>
        <v>1</v>
      </c>
      <c r="J92" s="369"/>
      <c r="K92" s="304">
        <f>IF(L91=COM_2012!$AI$121,K91+1,K91)</f>
        <v>2</v>
      </c>
      <c r="L92" s="304">
        <f t="shared" si="10"/>
        <v>18</v>
      </c>
    </row>
    <row r="93" spans="1:12">
      <c r="A93" s="304" t="str">
        <f ca="1">IF(LEFT(OFFSET(COM_2012!$A$60,L93,0),2)="\I","*","")</f>
        <v>*</v>
      </c>
      <c r="B93" s="369" t="str">
        <f t="shared" ca="1" si="8"/>
        <v/>
      </c>
      <c r="C93" s="369" t="str">
        <f ca="1">IF($A93="*","",OFFSET(COM_2012!$B$60,L93,0))</f>
        <v/>
      </c>
      <c r="D93" s="369" t="str">
        <f ca="1">IF($A93="*","",IF(LEFT($B93,3)="TOP",OFFSET(COM_2012!$B$60,$L93,SUMIF($B$9:$B$12,$B93,$M$9:$M$12)),"-"))</f>
        <v/>
      </c>
      <c r="E93" s="369" t="str">
        <f ca="1">IF($A93="*","",IF($B93="PRC_ACTUNT",OFFSET(COM_2012!$B$60,$L93,SUMIF($B$9:$B$12,$B93,$M$9:$M$12)),"-"))</f>
        <v/>
      </c>
      <c r="F93" s="369" t="str">
        <f t="shared" ca="1" si="7"/>
        <v/>
      </c>
      <c r="G93" s="369" t="str">
        <f t="shared" ca="1" si="7"/>
        <v/>
      </c>
      <c r="H93" s="369" t="str">
        <f t="shared" ca="1" si="7"/>
        <v/>
      </c>
      <c r="I93" s="369" t="str">
        <f t="shared" ca="1" si="9"/>
        <v/>
      </c>
      <c r="J93" s="369"/>
      <c r="K93" s="304">
        <f>IF(L92=COM_2012!$AI$121,K92+1,K92)</f>
        <v>2</v>
      </c>
      <c r="L93" s="304">
        <f t="shared" si="10"/>
        <v>19</v>
      </c>
    </row>
    <row r="94" spans="1:12">
      <c r="A94" s="304" t="str">
        <f ca="1">IF(LEFT(OFFSET(COM_2012!$A$60,L94,0),2)="\I","*","")</f>
        <v>*</v>
      </c>
      <c r="B94" s="369" t="str">
        <f t="shared" ca="1" si="8"/>
        <v/>
      </c>
      <c r="C94" s="369" t="str">
        <f ca="1">IF($A94="*","",OFFSET(COM_2012!$B$60,L94,0))</f>
        <v/>
      </c>
      <c r="D94" s="369" t="str">
        <f ca="1">IF($A94="*","",IF(LEFT($B94,3)="TOP",OFFSET(COM_2012!$B$60,$L94,SUMIF($B$9:$B$12,$B94,$M$9:$M$12)),"-"))</f>
        <v/>
      </c>
      <c r="E94" s="369" t="str">
        <f ca="1">IF($A94="*","",IF($B94="PRC_ACTUNT",OFFSET(COM_2012!$B$60,$L94,SUMIF($B$9:$B$12,$B94,$M$9:$M$12)),"-"))</f>
        <v/>
      </c>
      <c r="F94" s="369" t="str">
        <f t="shared" ca="1" si="7"/>
        <v/>
      </c>
      <c r="G94" s="369" t="str">
        <f t="shared" ca="1" si="7"/>
        <v/>
      </c>
      <c r="H94" s="369" t="str">
        <f t="shared" ca="1" si="7"/>
        <v/>
      </c>
      <c r="I94" s="369" t="str">
        <f t="shared" ca="1" si="9"/>
        <v/>
      </c>
      <c r="J94" s="369"/>
      <c r="K94" s="304">
        <f>IF(L93=COM_2012!$AI$121,K93+1,K93)</f>
        <v>2</v>
      </c>
      <c r="L94" s="304">
        <f t="shared" si="10"/>
        <v>20</v>
      </c>
    </row>
    <row r="95" spans="1:12">
      <c r="A95" s="304" t="str">
        <f ca="1">IF(LEFT(OFFSET(COM_2012!$A$60,L95,0),2)="\I","*","")</f>
        <v/>
      </c>
      <c r="B95" s="369" t="str">
        <f t="shared" ca="1" si="8"/>
        <v>PRC_CAPACT</v>
      </c>
      <c r="C95" s="369" t="str">
        <f ca="1">IF($A95="*","",OFFSET(COM_2012!$B$60,L95,0))</f>
        <v>CELELCCFL-E</v>
      </c>
      <c r="D95" s="369" t="str">
        <f ca="1">IF($A95="*","",IF(LEFT($B95,3)="TOP",OFFSET(COM_2012!$B$60,$L95,SUMIF($B$9:$B$12,$B95,$M$9:$M$12)),"-"))</f>
        <v>-</v>
      </c>
      <c r="E95" s="369" t="str">
        <f ca="1">IF($A95="*","",IF($B95="PRC_ACTUNT",OFFSET(COM_2012!$B$60,$L95,SUMIF($B$9:$B$12,$B95,$M$9:$M$12)),"-"))</f>
        <v>-</v>
      </c>
      <c r="F95" s="369" t="str">
        <f t="shared" ca="1" si="7"/>
        <v>-</v>
      </c>
      <c r="G95" s="369" t="str">
        <f t="shared" ca="1" si="7"/>
        <v>-</v>
      </c>
      <c r="H95" s="369" t="str">
        <f t="shared" ca="1" si="7"/>
        <v>-</v>
      </c>
      <c r="I95" s="369">
        <f t="shared" ca="1" si="9"/>
        <v>1</v>
      </c>
      <c r="J95" s="369"/>
      <c r="K95" s="304">
        <f>IF(L94=COM_2012!$AI$121,K94+1,K94)</f>
        <v>2</v>
      </c>
      <c r="L95" s="304">
        <f t="shared" si="10"/>
        <v>21</v>
      </c>
    </row>
    <row r="96" spans="1:12">
      <c r="A96" s="304" t="str">
        <f ca="1">IF(LEFT(OFFSET(COM_2012!$A$60,L96,0),2)="\I","*","")</f>
        <v/>
      </c>
      <c r="B96" s="369" t="str">
        <f t="shared" ca="1" si="8"/>
        <v>PRC_CAPACT</v>
      </c>
      <c r="C96" s="369" t="str">
        <f ca="1">IF($A96="*","",OFFSET(COM_2012!$B$60,L96,0))</f>
        <v>CELELCFLU-E</v>
      </c>
      <c r="D96" s="369" t="str">
        <f ca="1">IF($A96="*","",IF(LEFT($B96,3)="TOP",OFFSET(COM_2012!$B$60,$L96,SUMIF($B$9:$B$12,$B96,$M$9:$M$12)),"-"))</f>
        <v>-</v>
      </c>
      <c r="E96" s="369" t="str">
        <f ca="1">IF($A96="*","",IF($B96="PRC_ACTUNT",OFFSET(COM_2012!$B$60,$L96,SUMIF($B$9:$B$12,$B96,$M$9:$M$12)),"-"))</f>
        <v>-</v>
      </c>
      <c r="F96" s="369" t="str">
        <f t="shared" ca="1" si="7"/>
        <v>-</v>
      </c>
      <c r="G96" s="369" t="str">
        <f t="shared" ca="1" si="7"/>
        <v>-</v>
      </c>
      <c r="H96" s="369" t="str">
        <f t="shared" ca="1" si="7"/>
        <v>-</v>
      </c>
      <c r="I96" s="369">
        <f t="shared" ca="1" si="9"/>
        <v>1</v>
      </c>
      <c r="J96" s="369"/>
      <c r="K96" s="304">
        <f>IF(L95=COM_2012!$AI$121,K95+1,K95)</f>
        <v>2</v>
      </c>
      <c r="L96" s="304">
        <f t="shared" si="10"/>
        <v>22</v>
      </c>
    </row>
    <row r="97" spans="1:12">
      <c r="A97" s="304" t="str">
        <f ca="1">IF(LEFT(OFFSET(COM_2012!$A$60,L97,0),2)="\I","*","")</f>
        <v/>
      </c>
      <c r="B97" s="369" t="str">
        <f t="shared" ca="1" si="8"/>
        <v>PRC_CAPACT</v>
      </c>
      <c r="C97" s="369" t="str">
        <f ca="1">IF($A97="*","",OFFSET(COM_2012!$B$60,L97,0))</f>
        <v>CELELCHAL-E</v>
      </c>
      <c r="D97" s="369" t="str">
        <f ca="1">IF($A97="*","",IF(LEFT($B97,3)="TOP",OFFSET(COM_2012!$B$60,$L97,SUMIF($B$9:$B$12,$B97,$M$9:$M$12)),"-"))</f>
        <v>-</v>
      </c>
      <c r="E97" s="369" t="str">
        <f ca="1">IF($A97="*","",IF($B97="PRC_ACTUNT",OFFSET(COM_2012!$B$60,$L97,SUMIF($B$9:$B$12,$B97,$M$9:$M$12)),"-"))</f>
        <v>-</v>
      </c>
      <c r="F97" s="369" t="str">
        <f t="shared" ca="1" si="7"/>
        <v>-</v>
      </c>
      <c r="G97" s="369" t="str">
        <f t="shared" ca="1" si="7"/>
        <v>-</v>
      </c>
      <c r="H97" s="369" t="str">
        <f t="shared" ca="1" si="7"/>
        <v>-</v>
      </c>
      <c r="I97" s="369">
        <f t="shared" ca="1" si="9"/>
        <v>1</v>
      </c>
      <c r="J97" s="369"/>
      <c r="K97" s="304">
        <f>IF(L96=COM_2012!$AI$121,K96+1,K96)</f>
        <v>2</v>
      </c>
      <c r="L97" s="304">
        <f t="shared" si="10"/>
        <v>23</v>
      </c>
    </row>
    <row r="98" spans="1:12">
      <c r="A98" s="304" t="str">
        <f ca="1">IF(LEFT(OFFSET(COM_2012!$A$60,L98,0),2)="\I","*","")</f>
        <v/>
      </c>
      <c r="B98" s="369" t="str">
        <f t="shared" ca="1" si="8"/>
        <v>PRC_CAPACT</v>
      </c>
      <c r="C98" s="369" t="str">
        <f ca="1">IF($A98="*","",OFFSET(COM_2012!$B$60,L98,0))</f>
        <v>CELELCHID-E</v>
      </c>
      <c r="D98" s="369" t="str">
        <f ca="1">IF($A98="*","",IF(LEFT($B98,3)="TOP",OFFSET(COM_2012!$B$60,$L98,SUMIF($B$9:$B$12,$B98,$M$9:$M$12)),"-"))</f>
        <v>-</v>
      </c>
      <c r="E98" s="369" t="str">
        <f ca="1">IF($A98="*","",IF($B98="PRC_ACTUNT",OFFSET(COM_2012!$B$60,$L98,SUMIF($B$9:$B$12,$B98,$M$9:$M$12)),"-"))</f>
        <v>-</v>
      </c>
      <c r="F98" s="369" t="str">
        <f t="shared" ca="1" si="7"/>
        <v>-</v>
      </c>
      <c r="G98" s="369" t="str">
        <f t="shared" ca="1" si="7"/>
        <v>-</v>
      </c>
      <c r="H98" s="369" t="str">
        <f t="shared" ca="1" si="7"/>
        <v>-</v>
      </c>
      <c r="I98" s="369">
        <f t="shared" ca="1" si="9"/>
        <v>1</v>
      </c>
      <c r="J98" s="369"/>
      <c r="K98" s="304">
        <f>IF(L97=COM_2012!$AI$121,K97+1,K97)</f>
        <v>2</v>
      </c>
      <c r="L98" s="304">
        <f t="shared" si="10"/>
        <v>24</v>
      </c>
    </row>
    <row r="99" spans="1:12">
      <c r="A99" s="304" t="str">
        <f ca="1">IF(LEFT(OFFSET(COM_2012!$A$60,L99,0),2)="\I","*","")</f>
        <v/>
      </c>
      <c r="B99" s="369" t="str">
        <f t="shared" ca="1" si="8"/>
        <v>PRC_CAPACT</v>
      </c>
      <c r="C99" s="369" t="str">
        <f ca="1">IF($A99="*","",OFFSET(COM_2012!$B$60,L99,0))</f>
        <v>CELELCINC-E</v>
      </c>
      <c r="D99" s="369" t="str">
        <f ca="1">IF($A99="*","",IF(LEFT($B99,3)="TOP",OFFSET(COM_2012!$B$60,$L99,SUMIF($B$9:$B$12,$B99,$M$9:$M$12)),"-"))</f>
        <v>-</v>
      </c>
      <c r="E99" s="369" t="str">
        <f ca="1">IF($A99="*","",IF($B99="PRC_ACTUNT",OFFSET(COM_2012!$B$60,$L99,SUMIF($B$9:$B$12,$B99,$M$9:$M$12)),"-"))</f>
        <v>-</v>
      </c>
      <c r="F99" s="369" t="str">
        <f t="shared" ca="1" si="7"/>
        <v>-</v>
      </c>
      <c r="G99" s="369" t="str">
        <f t="shared" ca="1" si="7"/>
        <v>-</v>
      </c>
      <c r="H99" s="369" t="str">
        <f t="shared" ca="1" si="7"/>
        <v>-</v>
      </c>
      <c r="I99" s="369">
        <f t="shared" ca="1" si="9"/>
        <v>1</v>
      </c>
      <c r="J99" s="369"/>
      <c r="K99" s="304">
        <f>IF(L98=COM_2012!$AI$121,K98+1,K98)</f>
        <v>2</v>
      </c>
      <c r="L99" s="304">
        <f t="shared" si="10"/>
        <v>25</v>
      </c>
    </row>
    <row r="100" spans="1:12">
      <c r="A100" s="304" t="str">
        <f ca="1">IF(LEFT(OFFSET(COM_2012!$A$60,L100,0),2)="\I","*","")</f>
        <v/>
      </c>
      <c r="B100" s="369" t="str">
        <f t="shared" ca="1" si="8"/>
        <v>PRC_CAPACT</v>
      </c>
      <c r="C100" s="369" t="str">
        <f ca="1">IF($A100="*","",OFFSET(COM_2012!$B$60,L100,0))</f>
        <v>CELELCLED-N</v>
      </c>
      <c r="D100" s="369" t="str">
        <f ca="1">IF($A100="*","",IF(LEFT($B100,3)="TOP",OFFSET(COM_2012!$B$60,$L100,SUMIF($B$9:$B$12,$B100,$M$9:$M$12)),"-"))</f>
        <v>-</v>
      </c>
      <c r="E100" s="369" t="str">
        <f ca="1">IF($A100="*","",IF($B100="PRC_ACTUNT",OFFSET(COM_2012!$B$60,$L100,SUMIF($B$9:$B$12,$B100,$M$9:$M$12)),"-"))</f>
        <v>-</v>
      </c>
      <c r="F100" s="369" t="str">
        <f t="shared" ca="1" si="7"/>
        <v>-</v>
      </c>
      <c r="G100" s="369" t="str">
        <f t="shared" ca="1" si="7"/>
        <v>-</v>
      </c>
      <c r="H100" s="369" t="str">
        <f t="shared" ca="1" si="7"/>
        <v>-</v>
      </c>
      <c r="I100" s="369">
        <f t="shared" ca="1" si="9"/>
        <v>1</v>
      </c>
      <c r="J100" s="369"/>
      <c r="K100" s="304">
        <f>IF(L99=COM_2012!$AI$121,K99+1,K99)</f>
        <v>2</v>
      </c>
      <c r="L100" s="304">
        <f t="shared" si="10"/>
        <v>26</v>
      </c>
    </row>
    <row r="101" spans="1:12">
      <c r="A101" s="304" t="str">
        <f ca="1">IF(LEFT(OFFSET(COM_2012!$A$60,L101,0),2)="\I","*","")</f>
        <v>*</v>
      </c>
      <c r="B101" s="369" t="str">
        <f t="shared" ca="1" si="8"/>
        <v/>
      </c>
      <c r="C101" s="369" t="str">
        <f ca="1">IF($A101="*","",OFFSET(COM_2012!$B$60,L101,0))</f>
        <v/>
      </c>
      <c r="D101" s="369" t="str">
        <f ca="1">IF($A101="*","",IF(LEFT($B101,3)="TOP",OFFSET(COM_2012!$B$60,$L101,SUMIF($B$9:$B$12,$B101,$M$9:$M$12)),"-"))</f>
        <v/>
      </c>
      <c r="E101" s="369" t="str">
        <f ca="1">IF($A101="*","",IF($B101="PRC_ACTUNT",OFFSET(COM_2012!$B$60,$L101,SUMIF($B$9:$B$12,$B101,$M$9:$M$12)),"-"))</f>
        <v/>
      </c>
      <c r="F101" s="369" t="str">
        <f t="shared" ca="1" si="7"/>
        <v/>
      </c>
      <c r="G101" s="369" t="str">
        <f t="shared" ca="1" si="7"/>
        <v/>
      </c>
      <c r="H101" s="369" t="str">
        <f t="shared" ca="1" si="7"/>
        <v/>
      </c>
      <c r="I101" s="369" t="str">
        <f t="shared" ca="1" si="9"/>
        <v/>
      </c>
      <c r="J101" s="369"/>
      <c r="K101" s="304">
        <f>IF(L100=COM_2012!$AI$121,K100+1,K100)</f>
        <v>2</v>
      </c>
      <c r="L101" s="304">
        <f t="shared" si="10"/>
        <v>27</v>
      </c>
    </row>
    <row r="102" spans="1:12">
      <c r="A102" s="304" t="str">
        <f ca="1">IF(LEFT(OFFSET(COM_2012!$A$60,L102,0),2)="\I","*","")</f>
        <v>*</v>
      </c>
      <c r="B102" s="369" t="str">
        <f t="shared" ca="1" si="8"/>
        <v/>
      </c>
      <c r="C102" s="369" t="str">
        <f ca="1">IF($A102="*","",OFFSET(COM_2012!$B$60,L102,0))</f>
        <v/>
      </c>
      <c r="D102" s="369" t="str">
        <f ca="1">IF($A102="*","",IF(LEFT($B102,3)="TOP",OFFSET(COM_2012!$B$60,$L102,SUMIF($B$9:$B$12,$B102,$M$9:$M$12)),"-"))</f>
        <v/>
      </c>
      <c r="E102" s="369" t="str">
        <f ca="1">IF($A102="*","",IF($B102="PRC_ACTUNT",OFFSET(COM_2012!$B$60,$L102,SUMIF($B$9:$B$12,$B102,$M$9:$M$12)),"-"))</f>
        <v/>
      </c>
      <c r="F102" s="369" t="str">
        <f t="shared" ca="1" si="7"/>
        <v/>
      </c>
      <c r="G102" s="369" t="str">
        <f t="shared" ca="1" si="7"/>
        <v/>
      </c>
      <c r="H102" s="369" t="str">
        <f t="shared" ca="1" si="7"/>
        <v/>
      </c>
      <c r="I102" s="369" t="str">
        <f t="shared" ca="1" si="9"/>
        <v/>
      </c>
      <c r="J102" s="369"/>
      <c r="K102" s="304">
        <f>IF(L101=COM_2012!$AI$121,K101+1,K101)</f>
        <v>2</v>
      </c>
      <c r="L102" s="304">
        <f t="shared" si="10"/>
        <v>28</v>
      </c>
    </row>
    <row r="103" spans="1:12">
      <c r="A103" s="304" t="str">
        <f ca="1">IF(LEFT(OFFSET(COM_2012!$A$60,L103,0),2)="\I","*","")</f>
        <v/>
      </c>
      <c r="B103" s="369" t="str">
        <f t="shared" ca="1" si="8"/>
        <v>PRC_CAPACT</v>
      </c>
      <c r="C103" s="369" t="str">
        <f ca="1">IF($A103="*","",OFFSET(COM_2012!$B$60,L103,0))</f>
        <v>CERELC-E</v>
      </c>
      <c r="D103" s="369" t="str">
        <f ca="1">IF($A103="*","",IF(LEFT($B103,3)="TOP",OFFSET(COM_2012!$B$60,$L103,SUMIF($B$9:$B$12,$B103,$M$9:$M$12)),"-"))</f>
        <v>-</v>
      </c>
      <c r="E103" s="369" t="str">
        <f ca="1">IF($A103="*","",IF($B103="PRC_ACTUNT",OFFSET(COM_2012!$B$60,$L103,SUMIF($B$9:$B$12,$B103,$M$9:$M$12)),"-"))</f>
        <v>-</v>
      </c>
      <c r="F103" s="369" t="str">
        <f t="shared" ca="1" si="7"/>
        <v>-</v>
      </c>
      <c r="G103" s="369" t="str">
        <f t="shared" ca="1" si="7"/>
        <v>-</v>
      </c>
      <c r="H103" s="369" t="str">
        <f t="shared" ca="1" si="7"/>
        <v>-</v>
      </c>
      <c r="I103" s="369">
        <f t="shared" ca="1" si="9"/>
        <v>1</v>
      </c>
      <c r="J103" s="369"/>
      <c r="K103" s="304">
        <f>IF(L102=COM_2012!$AI$121,K102+1,K102)</f>
        <v>2</v>
      </c>
      <c r="L103" s="304">
        <f t="shared" si="10"/>
        <v>29</v>
      </c>
    </row>
    <row r="104" spans="1:12">
      <c r="A104" s="304" t="str">
        <f ca="1">IF(LEFT(OFFSET(COM_2012!$A$60,L104,0),2)="\I","*","")</f>
        <v/>
      </c>
      <c r="B104" s="369" t="str">
        <f t="shared" ca="1" si="8"/>
        <v>PRC_CAPACT</v>
      </c>
      <c r="C104" s="369" t="str">
        <f ca="1">IF($A104="*","",OFFSET(COM_2012!$B$60,L104,0))</f>
        <v>CERELC-N</v>
      </c>
      <c r="D104" s="369" t="str">
        <f ca="1">IF($A104="*","",IF(LEFT($B104,3)="TOP",OFFSET(COM_2012!$B$60,$L104,SUMIF($B$9:$B$12,$B104,$M$9:$M$12)),"-"))</f>
        <v>-</v>
      </c>
      <c r="E104" s="369" t="str">
        <f ca="1">IF($A104="*","",IF($B104="PRC_ACTUNT",OFFSET(COM_2012!$B$60,$L104,SUMIF($B$9:$B$12,$B104,$M$9:$M$12)),"-"))</f>
        <v>-</v>
      </c>
      <c r="F104" s="369" t="str">
        <f t="shared" ca="1" si="7"/>
        <v>-</v>
      </c>
      <c r="G104" s="369" t="str">
        <f t="shared" ca="1" si="7"/>
        <v>-</v>
      </c>
      <c r="H104" s="369" t="str">
        <f t="shared" ca="1" si="7"/>
        <v>-</v>
      </c>
      <c r="I104" s="369">
        <f t="shared" ca="1" si="9"/>
        <v>1</v>
      </c>
      <c r="J104" s="369"/>
      <c r="K104" s="304">
        <f>IF(L103=COM_2012!$AI$121,K103+1,K103)</f>
        <v>2</v>
      </c>
      <c r="L104" s="304">
        <f t="shared" si="10"/>
        <v>30</v>
      </c>
    </row>
    <row r="105" spans="1:12">
      <c r="A105" s="304" t="str">
        <f ca="1">IF(LEFT(OFFSET(COM_2012!$A$60,L105,0),2)="\I","*","")</f>
        <v>*</v>
      </c>
      <c r="B105" s="369" t="str">
        <f t="shared" ca="1" si="8"/>
        <v/>
      </c>
      <c r="C105" s="369" t="str">
        <f ca="1">IF($A105="*","",OFFSET(COM_2012!$B$60,L105,0))</f>
        <v/>
      </c>
      <c r="D105" s="369" t="str">
        <f ca="1">IF($A105="*","",IF(LEFT($B105,3)="TOP",OFFSET(COM_2012!$B$60,$L105,SUMIF($B$9:$B$12,$B105,$M$9:$M$12)),"-"))</f>
        <v/>
      </c>
      <c r="E105" s="369" t="str">
        <f ca="1">IF($A105="*","",IF($B105="PRC_ACTUNT",OFFSET(COM_2012!$B$60,$L105,SUMIF($B$9:$B$12,$B105,$M$9:$M$12)),"-"))</f>
        <v/>
      </c>
      <c r="F105" s="369" t="str">
        <f t="shared" ca="1" si="7"/>
        <v/>
      </c>
      <c r="G105" s="369" t="str">
        <f t="shared" ca="1" si="7"/>
        <v/>
      </c>
      <c r="H105" s="369" t="str">
        <f t="shared" ca="1" si="7"/>
        <v/>
      </c>
      <c r="I105" s="369" t="str">
        <f t="shared" ca="1" si="9"/>
        <v/>
      </c>
      <c r="J105" s="369"/>
      <c r="K105" s="304">
        <f>IF(L104=COM_2012!$AI$121,K104+1,K104)</f>
        <v>2</v>
      </c>
      <c r="L105" s="304">
        <f t="shared" si="10"/>
        <v>31</v>
      </c>
    </row>
    <row r="106" spans="1:12">
      <c r="A106" s="304" t="str">
        <f ca="1">IF(LEFT(OFFSET(COM_2012!$A$60,L106,0),2)="\I","*","")</f>
        <v>*</v>
      </c>
      <c r="B106" s="369" t="str">
        <f t="shared" ca="1" si="8"/>
        <v/>
      </c>
      <c r="C106" s="369" t="str">
        <f ca="1">IF($A106="*","",OFFSET(COM_2012!$B$60,L106,0))</f>
        <v/>
      </c>
      <c r="D106" s="369" t="str">
        <f ca="1">IF($A106="*","",IF(LEFT($B106,3)="TOP",OFFSET(COM_2012!$B$60,$L106,SUMIF($B$9:$B$12,$B106,$M$9:$M$12)),"-"))</f>
        <v/>
      </c>
      <c r="E106" s="369" t="str">
        <f ca="1">IF($A106="*","",IF($B106="PRC_ACTUNT",OFFSET(COM_2012!$B$60,$L106,SUMIF($B$9:$B$12,$B106,$M$9:$M$12)),"-"))</f>
        <v/>
      </c>
      <c r="F106" s="369" t="str">
        <f t="shared" ca="1" si="7"/>
        <v/>
      </c>
      <c r="G106" s="369" t="str">
        <f t="shared" ca="1" si="7"/>
        <v/>
      </c>
      <c r="H106" s="369" t="str">
        <f t="shared" ca="1" si="7"/>
        <v/>
      </c>
      <c r="I106" s="369" t="str">
        <f t="shared" ca="1" si="9"/>
        <v/>
      </c>
      <c r="J106" s="369"/>
      <c r="K106" s="304">
        <f>IF(L105=COM_2012!$AI$121,K105+1,K105)</f>
        <v>2</v>
      </c>
      <c r="L106" s="304">
        <f t="shared" si="10"/>
        <v>32</v>
      </c>
    </row>
    <row r="107" spans="1:12">
      <c r="A107" s="304" t="str">
        <f ca="1">IF(LEFT(OFFSET(COM_2012!$A$60,L107,0),2)="\I","*","")</f>
        <v/>
      </c>
      <c r="B107" s="369" t="str">
        <f t="shared" ca="1" si="8"/>
        <v>PRC_CAPACT</v>
      </c>
      <c r="C107" s="369" t="str">
        <f ca="1">IF($A107="*","",OFFSET(COM_2012!$B$60,L107,0))</f>
        <v>CEWELC-E</v>
      </c>
      <c r="D107" s="369" t="str">
        <f ca="1">IF($A107="*","",IF(LEFT($B107,3)="TOP",OFFSET(COM_2012!$B$60,$L107,SUMIF($B$9:$B$12,$B107,$M$9:$M$12)),"-"))</f>
        <v>-</v>
      </c>
      <c r="E107" s="369" t="str">
        <f ca="1">IF($A107="*","",IF($B107="PRC_ACTUNT",OFFSET(COM_2012!$B$60,$L107,SUMIF($B$9:$B$12,$B107,$M$9:$M$12)),"-"))</f>
        <v>-</v>
      </c>
      <c r="F107" s="369" t="str">
        <f t="shared" ca="1" si="7"/>
        <v>-</v>
      </c>
      <c r="G107" s="369" t="str">
        <f t="shared" ca="1" si="7"/>
        <v>-</v>
      </c>
      <c r="H107" s="369" t="str">
        <f t="shared" ca="1" si="7"/>
        <v>-</v>
      </c>
      <c r="I107" s="369">
        <f t="shared" ca="1" si="9"/>
        <v>1</v>
      </c>
      <c r="J107" s="369"/>
      <c r="K107" s="304">
        <f>IF(L106=COM_2012!$AI$121,K106+1,K106)</f>
        <v>2</v>
      </c>
      <c r="L107" s="304">
        <f t="shared" si="10"/>
        <v>33</v>
      </c>
    </row>
    <row r="108" spans="1:12">
      <c r="A108" s="304" t="str">
        <f ca="1">IF(LEFT(OFFSET(COM_2012!$A$60,L108,0),2)="\I","*","")</f>
        <v/>
      </c>
      <c r="B108" s="369" t="str">
        <f t="shared" ca="1" si="8"/>
        <v>PRC_CAPACT</v>
      </c>
      <c r="C108" s="369" t="str">
        <f ca="1">IF($A108="*","",OFFSET(COM_2012!$B$60,L108,0))</f>
        <v>CEWCOA-E</v>
      </c>
      <c r="D108" s="369" t="str">
        <f ca="1">IF($A108="*","",IF(LEFT($B108,3)="TOP",OFFSET(COM_2012!$B$60,$L108,SUMIF($B$9:$B$12,$B108,$M$9:$M$12)),"-"))</f>
        <v>-</v>
      </c>
      <c r="E108" s="369" t="str">
        <f ca="1">IF($A108="*","",IF($B108="PRC_ACTUNT",OFFSET(COM_2012!$B$60,$L108,SUMIF($B$9:$B$12,$B108,$M$9:$M$12)),"-"))</f>
        <v>-</v>
      </c>
      <c r="F108" s="369" t="str">
        <f t="shared" ca="1" si="7"/>
        <v>-</v>
      </c>
      <c r="G108" s="369" t="str">
        <f t="shared" ca="1" si="7"/>
        <v>-</v>
      </c>
      <c r="H108" s="369" t="str">
        <f t="shared" ca="1" si="7"/>
        <v>-</v>
      </c>
      <c r="I108" s="369">
        <f t="shared" ca="1" si="9"/>
        <v>1</v>
      </c>
      <c r="J108" s="369"/>
      <c r="K108" s="304">
        <f>IF(L107=COM_2012!$AI$121,K107+1,K107)</f>
        <v>2</v>
      </c>
      <c r="L108" s="304">
        <f t="shared" si="10"/>
        <v>34</v>
      </c>
    </row>
    <row r="109" spans="1:12">
      <c r="A109" s="304" t="str">
        <f ca="1">IF(LEFT(OFFSET(COM_2012!$A$60,L109,0),2)="\I","*","")</f>
        <v/>
      </c>
      <c r="B109" s="369" t="str">
        <f t="shared" ca="1" si="8"/>
        <v>PRC_CAPACT</v>
      </c>
      <c r="C109" s="369" t="str">
        <f ca="1">IF($A109="*","",OFFSET(COM_2012!$B$60,L109,0))</f>
        <v>CEWOLP-E</v>
      </c>
      <c r="D109" s="369" t="str">
        <f ca="1">IF($A109="*","",IF(LEFT($B109,3)="TOP",OFFSET(COM_2012!$B$60,$L109,SUMIF($B$9:$B$12,$B109,$M$9:$M$12)),"-"))</f>
        <v>-</v>
      </c>
      <c r="E109" s="369" t="str">
        <f ca="1">IF($A109="*","",IF($B109="PRC_ACTUNT",OFFSET(COM_2012!$B$60,$L109,SUMIF($B$9:$B$12,$B109,$M$9:$M$12)),"-"))</f>
        <v>-</v>
      </c>
      <c r="F109" s="369" t="str">
        <f t="shared" ca="1" si="7"/>
        <v>-</v>
      </c>
      <c r="G109" s="369" t="str">
        <f t="shared" ca="1" si="7"/>
        <v>-</v>
      </c>
      <c r="H109" s="369" t="str">
        <f t="shared" ca="1" si="7"/>
        <v>-</v>
      </c>
      <c r="I109" s="369">
        <f t="shared" ca="1" si="9"/>
        <v>1</v>
      </c>
      <c r="J109" s="369"/>
      <c r="K109" s="304">
        <f>IF(L108=COM_2012!$AI$121,K108+1,K108)</f>
        <v>2</v>
      </c>
      <c r="L109" s="304">
        <f t="shared" si="10"/>
        <v>35</v>
      </c>
    </row>
    <row r="110" spans="1:12">
      <c r="A110" s="304" t="str">
        <f ca="1">IF(LEFT(OFFSET(COM_2012!$A$60,L110,0),2)="\I","*","")</f>
        <v/>
      </c>
      <c r="B110" s="369" t="str">
        <f t="shared" ca="1" si="8"/>
        <v>PRC_CAPACT</v>
      </c>
      <c r="C110" s="369" t="str">
        <f ca="1">IF($A110="*","",OFFSET(COM_2012!$B$60,L110,0))</f>
        <v>CEWGAS-E</v>
      </c>
      <c r="D110" s="369" t="str">
        <f ca="1">IF($A110="*","",IF(LEFT($B110,3)="TOP",OFFSET(COM_2012!$B$60,$L110,SUMIF($B$9:$B$12,$B110,$M$9:$M$12)),"-"))</f>
        <v>-</v>
      </c>
      <c r="E110" s="369" t="str">
        <f ca="1">IF($A110="*","",IF($B110="PRC_ACTUNT",OFFSET(COM_2012!$B$60,$L110,SUMIF($B$9:$B$12,$B110,$M$9:$M$12)),"-"))</f>
        <v>-</v>
      </c>
      <c r="F110" s="369" t="str">
        <f t="shared" ca="1" si="7"/>
        <v>-</v>
      </c>
      <c r="G110" s="369" t="str">
        <f t="shared" ca="1" si="7"/>
        <v>-</v>
      </c>
      <c r="H110" s="369" t="str">
        <f t="shared" ca="1" si="7"/>
        <v>-</v>
      </c>
      <c r="I110" s="369">
        <f t="shared" ca="1" si="9"/>
        <v>1</v>
      </c>
      <c r="J110" s="369"/>
      <c r="K110" s="304">
        <f>IF(L109=COM_2012!$AI$121,K109+1,K109)</f>
        <v>2</v>
      </c>
      <c r="L110" s="304">
        <f t="shared" si="10"/>
        <v>36</v>
      </c>
    </row>
    <row r="111" spans="1:12">
      <c r="A111" s="304" t="str">
        <f ca="1">IF(LEFT(OFFSET(COM_2012!$A$60,L111,0),2)="\I","*","")</f>
        <v/>
      </c>
      <c r="B111" s="369" t="str">
        <f t="shared" ca="1" si="8"/>
        <v>PRC_CAPACT</v>
      </c>
      <c r="C111" s="369" t="str">
        <f ca="1">IF($A111="*","",OFFSET(COM_2012!$B$60,L111,0))</f>
        <v>CEWOKE-E</v>
      </c>
      <c r="D111" s="369" t="str">
        <f ca="1">IF($A111="*","",IF(LEFT($B111,3)="TOP",OFFSET(COM_2012!$B$60,$L111,SUMIF($B$9:$B$12,$B111,$M$9:$M$12)),"-"))</f>
        <v>-</v>
      </c>
      <c r="E111" s="369" t="str">
        <f ca="1">IF($A111="*","",IF($B111="PRC_ACTUNT",OFFSET(COM_2012!$B$60,$L111,SUMIF($B$9:$B$12,$B111,$M$9:$M$12)),"-"))</f>
        <v>-</v>
      </c>
      <c r="F111" s="369" t="str">
        <f t="shared" ca="1" si="7"/>
        <v>-</v>
      </c>
      <c r="G111" s="369" t="str">
        <f t="shared" ca="1" si="7"/>
        <v>-</v>
      </c>
      <c r="H111" s="369" t="str">
        <f t="shared" ca="1" si="7"/>
        <v>-</v>
      </c>
      <c r="I111" s="369">
        <f t="shared" ca="1" si="9"/>
        <v>1</v>
      </c>
      <c r="J111" s="369"/>
      <c r="K111" s="304">
        <f>IF(L110=COM_2012!$AI$121,K110+1,K110)</f>
        <v>2</v>
      </c>
      <c r="L111" s="304">
        <f t="shared" si="10"/>
        <v>37</v>
      </c>
    </row>
    <row r="112" spans="1:12">
      <c r="A112" s="304" t="str">
        <f ca="1">IF(LEFT(OFFSET(COM_2012!$A$60,L112,0),2)="\I","*","")</f>
        <v/>
      </c>
      <c r="B112" s="369" t="str">
        <f t="shared" ca="1" si="8"/>
        <v>PRC_CAPACT</v>
      </c>
      <c r="C112" s="369" t="str">
        <f ca="1">IF($A112="*","",OFFSET(COM_2012!$B$60,L112,0))</f>
        <v>CEWELC-N</v>
      </c>
      <c r="D112" s="369" t="str">
        <f ca="1">IF($A112="*","",IF(LEFT($B112,3)="TOP",OFFSET(COM_2012!$B$60,$L112,SUMIF($B$9:$B$12,$B112,$M$9:$M$12)),"-"))</f>
        <v>-</v>
      </c>
      <c r="E112" s="369" t="str">
        <f ca="1">IF($A112="*","",IF($B112="PRC_ACTUNT",OFFSET(COM_2012!$B$60,$L112,SUMIF($B$9:$B$12,$B112,$M$9:$M$12)),"-"))</f>
        <v>-</v>
      </c>
      <c r="F112" s="369" t="str">
        <f t="shared" ca="1" si="7"/>
        <v>-</v>
      </c>
      <c r="G112" s="369" t="str">
        <f t="shared" ca="1" si="7"/>
        <v>-</v>
      </c>
      <c r="H112" s="369" t="str">
        <f t="shared" ca="1" si="7"/>
        <v>-</v>
      </c>
      <c r="I112" s="369">
        <f t="shared" ca="1" si="9"/>
        <v>1</v>
      </c>
      <c r="J112" s="369"/>
      <c r="K112" s="304">
        <f>IF(L111=COM_2012!$AI$121,K111+1,K111)</f>
        <v>2</v>
      </c>
      <c r="L112" s="304">
        <f t="shared" si="10"/>
        <v>38</v>
      </c>
    </row>
    <row r="113" spans="1:12">
      <c r="A113" s="304" t="str">
        <f ca="1">IF(LEFT(OFFSET(COM_2012!$A$60,L113,0),2)="\I","*","")</f>
        <v/>
      </c>
      <c r="B113" s="369" t="str">
        <f t="shared" ca="1" si="8"/>
        <v>PRC_CAPACT</v>
      </c>
      <c r="C113" s="369" t="str">
        <f ca="1">IF($A113="*","",OFFSET(COM_2012!$B$60,L113,0))</f>
        <v>CEWELCHP-N</v>
      </c>
      <c r="D113" s="369" t="str">
        <f ca="1">IF($A113="*","",IF(LEFT($B113,3)="TOP",OFFSET(COM_2012!$B$60,$L113,SUMIF($B$9:$B$12,$B113,$M$9:$M$12)),"-"))</f>
        <v>-</v>
      </c>
      <c r="E113" s="369" t="str">
        <f ca="1">IF($A113="*","",IF($B113="PRC_ACTUNT",OFFSET(COM_2012!$B$60,$L113,SUMIF($B$9:$B$12,$B113,$M$9:$M$12)),"-"))</f>
        <v>-</v>
      </c>
      <c r="F113" s="369" t="str">
        <f t="shared" ca="1" si="7"/>
        <v>-</v>
      </c>
      <c r="G113" s="369" t="str">
        <f t="shared" ca="1" si="7"/>
        <v>-</v>
      </c>
      <c r="H113" s="369" t="str">
        <f t="shared" ca="1" si="7"/>
        <v>-</v>
      </c>
      <c r="I113" s="369">
        <f t="shared" ca="1" si="9"/>
        <v>1</v>
      </c>
      <c r="J113" s="369"/>
      <c r="K113" s="304">
        <f>IF(L112=COM_2012!$AI$121,K112+1,K112)</f>
        <v>2</v>
      </c>
      <c r="L113" s="304">
        <f t="shared" si="10"/>
        <v>39</v>
      </c>
    </row>
    <row r="114" spans="1:12">
      <c r="A114" s="304" t="str">
        <f ca="1">IF(LEFT(OFFSET(COM_2012!$A$60,L114,0),2)="\I","*","")</f>
        <v>*</v>
      </c>
      <c r="B114" s="369" t="str">
        <f t="shared" ca="1" si="8"/>
        <v/>
      </c>
      <c r="C114" s="369" t="str">
        <f ca="1">IF($A114="*","",OFFSET(COM_2012!$B$60,L114,0))</f>
        <v/>
      </c>
      <c r="D114" s="369" t="str">
        <f ca="1">IF($A114="*","",IF(LEFT($B114,3)="TOP",OFFSET(COM_2012!$B$60,$L114,SUMIF($B$9:$B$12,$B114,$M$9:$M$12)),"-"))</f>
        <v/>
      </c>
      <c r="E114" s="369" t="str">
        <f ca="1">IF($A114="*","",IF($B114="PRC_ACTUNT",OFFSET(COM_2012!$B$60,$L114,SUMIF($B$9:$B$12,$B114,$M$9:$M$12)),"-"))</f>
        <v/>
      </c>
      <c r="F114" s="369" t="str">
        <f t="shared" ca="1" si="7"/>
        <v/>
      </c>
      <c r="G114" s="369" t="str">
        <f t="shared" ca="1" si="7"/>
        <v/>
      </c>
      <c r="H114" s="369" t="str">
        <f t="shared" ca="1" si="7"/>
        <v/>
      </c>
      <c r="I114" s="369" t="str">
        <f t="shared" ca="1" si="9"/>
        <v/>
      </c>
      <c r="J114" s="369"/>
      <c r="K114" s="304">
        <f>IF(L113=COM_2012!$AI$121,K113+1,K113)</f>
        <v>2</v>
      </c>
      <c r="L114" s="304">
        <f t="shared" si="10"/>
        <v>40</v>
      </c>
    </row>
    <row r="115" spans="1:12">
      <c r="A115" s="304" t="str">
        <f ca="1">IF(LEFT(OFFSET(COM_2012!$A$60,L115,0),2)="\I","*","")</f>
        <v>*</v>
      </c>
      <c r="B115" s="369" t="str">
        <f t="shared" ca="1" si="8"/>
        <v/>
      </c>
      <c r="C115" s="369" t="str">
        <f ca="1">IF($A115="*","",OFFSET(COM_2012!$B$60,L115,0))</f>
        <v/>
      </c>
      <c r="D115" s="369" t="str">
        <f ca="1">IF($A115="*","",IF(LEFT($B115,3)="TOP",OFFSET(COM_2012!$B$60,$L115,SUMIF($B$9:$B$12,$B115,$M$9:$M$12)),"-"))</f>
        <v/>
      </c>
      <c r="E115" s="369" t="str">
        <f ca="1">IF($A115="*","",IF($B115="PRC_ACTUNT",OFFSET(COM_2012!$B$60,$L115,SUMIF($B$9:$B$12,$B115,$M$9:$M$12)),"-"))</f>
        <v/>
      </c>
      <c r="F115" s="369" t="str">
        <f t="shared" ca="1" si="7"/>
        <v/>
      </c>
      <c r="G115" s="369" t="str">
        <f t="shared" ca="1" si="7"/>
        <v/>
      </c>
      <c r="H115" s="369" t="str">
        <f t="shared" ca="1" si="7"/>
        <v/>
      </c>
      <c r="I115" s="369" t="str">
        <f t="shared" ca="1" si="9"/>
        <v/>
      </c>
      <c r="J115" s="369"/>
      <c r="K115" s="304">
        <f>IF(L114=COM_2012!$AI$121,K114+1,K114)</f>
        <v>2</v>
      </c>
      <c r="L115" s="304">
        <f t="shared" si="10"/>
        <v>41</v>
      </c>
    </row>
    <row r="116" spans="1:12">
      <c r="A116" s="304" t="str">
        <f ca="1">IF(LEFT(OFFSET(COM_2012!$A$60,L116,0),2)="\I","*","")</f>
        <v/>
      </c>
      <c r="B116" s="369" t="str">
        <f t="shared" ca="1" si="8"/>
        <v>PRC_CAPACT</v>
      </c>
      <c r="C116" s="369" t="str">
        <f ca="1">IF($A116="*","",OFFSET(COM_2012!$B$60,L116,0))</f>
        <v>CEGELCINC-E</v>
      </c>
      <c r="D116" s="369" t="str">
        <f ca="1">IF($A116="*","",IF(LEFT($B116,3)="TOP",OFFSET(COM_2012!$B$60,$L116,SUMIF($B$9:$B$12,$B116,$M$9:$M$12)),"-"))</f>
        <v>-</v>
      </c>
      <c r="E116" s="369" t="str">
        <f ca="1">IF($A116="*","",IF($B116="PRC_ACTUNT",OFFSET(COM_2012!$B$60,$L116,SUMIF($B$9:$B$12,$B116,$M$9:$M$12)),"-"))</f>
        <v>-</v>
      </c>
      <c r="F116" s="369" t="str">
        <f t="shared" ca="1" si="7"/>
        <v>-</v>
      </c>
      <c r="G116" s="369" t="str">
        <f t="shared" ca="1" si="7"/>
        <v>-</v>
      </c>
      <c r="H116" s="369" t="str">
        <f t="shared" ca="1" si="7"/>
        <v>-</v>
      </c>
      <c r="I116" s="369">
        <f t="shared" ca="1" si="9"/>
        <v>1</v>
      </c>
      <c r="J116" s="369"/>
      <c r="K116" s="304">
        <f>IF(L115=COM_2012!$AI$121,K115+1,K115)</f>
        <v>2</v>
      </c>
      <c r="L116" s="304">
        <f t="shared" si="10"/>
        <v>42</v>
      </c>
    </row>
    <row r="117" spans="1:12">
      <c r="A117" s="304" t="str">
        <f ca="1">IF(LEFT(OFFSET(COM_2012!$A$60,L117,0),2)="\I","*","")</f>
        <v/>
      </c>
      <c r="B117" s="369" t="str">
        <f t="shared" ca="1" si="8"/>
        <v>PRC_CAPACT</v>
      </c>
      <c r="C117" s="369" t="str">
        <f ca="1">IF($A117="*","",OFFSET(COM_2012!$B$60,L117,0))</f>
        <v>CEGELCHAL-E</v>
      </c>
      <c r="D117" s="369" t="str">
        <f ca="1">IF($A117="*","",IF(LEFT($B117,3)="TOP",OFFSET(COM_2012!$B$60,$L117,SUMIF($B$9:$B$12,$B117,$M$9:$M$12)),"-"))</f>
        <v>-</v>
      </c>
      <c r="E117" s="369" t="str">
        <f ca="1">IF($A117="*","",IF($B117="PRC_ACTUNT",OFFSET(COM_2012!$B$60,$L117,SUMIF($B$9:$B$12,$B117,$M$9:$M$12)),"-"))</f>
        <v>-</v>
      </c>
      <c r="F117" s="369" t="str">
        <f t="shared" ca="1" si="7"/>
        <v>-</v>
      </c>
      <c r="G117" s="369" t="str">
        <f t="shared" ca="1" si="7"/>
        <v>-</v>
      </c>
      <c r="H117" s="369" t="str">
        <f t="shared" ca="1" si="7"/>
        <v>-</v>
      </c>
      <c r="I117" s="369">
        <f t="shared" ca="1" si="9"/>
        <v>1</v>
      </c>
      <c r="J117" s="369"/>
      <c r="K117" s="304">
        <f>IF(L116=COM_2012!$AI$121,K116+1,K116)</f>
        <v>2</v>
      </c>
      <c r="L117" s="304">
        <f t="shared" si="10"/>
        <v>43</v>
      </c>
    </row>
    <row r="118" spans="1:12">
      <c r="A118" s="304" t="str">
        <f ca="1">IF(LEFT(OFFSET(COM_2012!$A$60,L118,0),2)="\I","*","")</f>
        <v/>
      </c>
      <c r="B118" s="369" t="str">
        <f t="shared" ca="1" si="8"/>
        <v>PRC_CAPACT</v>
      </c>
      <c r="C118" s="369" t="str">
        <f ca="1">IF($A118="*","",OFFSET(COM_2012!$B$60,L118,0))</f>
        <v>CEGELCHPM-E</v>
      </c>
      <c r="D118" s="369" t="str">
        <f ca="1">IF($A118="*","",IF(LEFT($B118,3)="TOP",OFFSET(COM_2012!$B$60,$L118,SUMIF($B$9:$B$12,$B118,$M$9:$M$12)),"-"))</f>
        <v>-</v>
      </c>
      <c r="E118" s="369" t="str">
        <f ca="1">IF($A118="*","",IF($B118="PRC_ACTUNT",OFFSET(COM_2012!$B$60,$L118,SUMIF($B$9:$B$12,$B118,$M$9:$M$12)),"-"))</f>
        <v>-</v>
      </c>
      <c r="F118" s="369" t="str">
        <f t="shared" ca="1" si="7"/>
        <v>-</v>
      </c>
      <c r="G118" s="369" t="str">
        <f t="shared" ca="1" si="7"/>
        <v>-</v>
      </c>
      <c r="H118" s="369" t="str">
        <f t="shared" ca="1" si="7"/>
        <v>-</v>
      </c>
      <c r="I118" s="369">
        <f t="shared" ca="1" si="9"/>
        <v>1</v>
      </c>
      <c r="J118" s="369"/>
      <c r="K118" s="304">
        <f>IF(L117=COM_2012!$AI$121,K117+1,K117)</f>
        <v>2</v>
      </c>
      <c r="L118" s="304">
        <f t="shared" si="10"/>
        <v>44</v>
      </c>
    </row>
    <row r="119" spans="1:12">
      <c r="A119" s="304" t="str">
        <f ca="1">IF(LEFT(OFFSET(COM_2012!$A$60,L119,0),2)="\I","*","")</f>
        <v/>
      </c>
      <c r="B119" s="369" t="str">
        <f t="shared" ca="1" si="8"/>
        <v>PRC_CAPACT</v>
      </c>
      <c r="C119" s="369" t="str">
        <f ca="1">IF($A119="*","",OFFSET(COM_2012!$B$60,L119,0))</f>
        <v>CEGELCHPS-E</v>
      </c>
      <c r="D119" s="369" t="str">
        <f ca="1">IF($A119="*","",IF(LEFT($B119,3)="TOP",OFFSET(COM_2012!$B$60,$L119,SUMIF($B$9:$B$12,$B119,$M$9:$M$12)),"-"))</f>
        <v>-</v>
      </c>
      <c r="E119" s="369" t="str">
        <f ca="1">IF($A119="*","",IF($B119="PRC_ACTUNT",OFFSET(COM_2012!$B$60,$L119,SUMIF($B$9:$B$12,$B119,$M$9:$M$12)),"-"))</f>
        <v>-</v>
      </c>
      <c r="F119" s="369" t="str">
        <f t="shared" ref="F119:H173" ca="1" si="11">IF($A119="*","","-")</f>
        <v>-</v>
      </c>
      <c r="G119" s="369" t="str">
        <f t="shared" ca="1" si="11"/>
        <v>-</v>
      </c>
      <c r="H119" s="369" 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
        <v>PRC_CAPACT</v>
      </c>
      <c r="C120" s="369" t="str">
        <f ca="1">IF($A120="*","",OFFSET(COM_2012!$B$60,L120,0))</f>
        <v>CEGELCMHL-E</v>
      </c>
      <c r="D120" s="369" t="str">
        <f ca="1">IF($A120="*","",IF(LEFT($B120,3)="TOP",OFFSET(COM_2012!$B$60,$L120,SUMIF($B$9:$B$12,$B120,$M$9:$M$12)),"-"))</f>
        <v>-</v>
      </c>
      <c r="E120" s="369" t="str">
        <f ca="1">IF($A120="*","",IF($B120="PRC_ACTUNT",OFFSET(COM_2012!$B$60,$L120,SUMIF($B$9:$B$12,$B120,$M$9:$M$12)),"-"))</f>
        <v>-</v>
      </c>
      <c r="F120" s="369" t="str">
        <f t="shared" ca="1" si="11"/>
        <v>-</v>
      </c>
      <c r="G120" s="369" t="str">
        <f t="shared" ca="1" si="11"/>
        <v>-</v>
      </c>
      <c r="H120" s="369" t="str">
        <f t="shared" ca="1" si="11"/>
        <v>-</v>
      </c>
      <c r="I120" s="369">
        <f t="shared" ca="1" si="9"/>
        <v>1</v>
      </c>
      <c r="J120" s="369"/>
      <c r="K120" s="304">
        <f>IF(L119=COM_2012!$AI$121,K119+1,K119)</f>
        <v>2</v>
      </c>
      <c r="L120" s="304">
        <f t="shared" si="10"/>
        <v>46</v>
      </c>
    </row>
    <row r="121" spans="1:12">
      <c r="A121" s="304" t="str">
        <f ca="1">IF(LEFT(OFFSET(COM_2012!$A$60,L121,0),2)="\I","*","")</f>
        <v/>
      </c>
      <c r="B121" s="369" t="str">
        <f t="shared" ca="1" si="8"/>
        <v>PRC_CAPACT</v>
      </c>
      <c r="C121" s="369" t="str">
        <f ca="1">IF($A121="*","",OFFSET(COM_2012!$B$60,L121,0))</f>
        <v>CEGELCLED-N</v>
      </c>
      <c r="D121" s="369" t="str">
        <f ca="1">IF($A121="*","",IF(LEFT($B121,3)="TOP",OFFSET(COM_2012!$B$60,$L121,SUMIF($B$9:$B$12,$B121,$M$9:$M$12)),"-"))</f>
        <v>-</v>
      </c>
      <c r="E121" s="369" t="str">
        <f ca="1">IF($A121="*","",IF($B121="PRC_ACTUNT",OFFSET(COM_2012!$B$60,$L121,SUMIF($B$9:$B$12,$B121,$M$9:$M$12)),"-"))</f>
        <v>-</v>
      </c>
      <c r="F121" s="369" t="str">
        <f t="shared" ca="1" si="11"/>
        <v>-</v>
      </c>
      <c r="G121" s="369" t="str">
        <f t="shared" ca="1" si="11"/>
        <v>-</v>
      </c>
      <c r="H121" s="369" t="str">
        <f t="shared" ca="1" si="11"/>
        <v>-</v>
      </c>
      <c r="I121" s="369">
        <f t="shared" ca="1" si="9"/>
        <v>1</v>
      </c>
      <c r="J121" s="369"/>
      <c r="K121" s="304">
        <f>IF(L120=COM_2012!$AI$121,K120+1,K120)</f>
        <v>2</v>
      </c>
      <c r="L121" s="304">
        <f t="shared" si="10"/>
        <v>47</v>
      </c>
    </row>
    <row r="122" spans="1:12">
      <c r="A122" s="304" t="str">
        <f ca="1">IF(LEFT(OFFSET(COM_2012!$A$60,L122,0),2)="\I","*","")</f>
        <v>*</v>
      </c>
      <c r="B122" s="369" t="str">
        <f t="shared" ca="1" si="8"/>
        <v/>
      </c>
      <c r="C122" s="369" t="str">
        <f ca="1">IF($A122="*","",OFFSET(COM_2012!$B$60,L122,0))</f>
        <v/>
      </c>
      <c r="D122" s="369" t="str">
        <f ca="1">IF($A122="*","",IF(LEFT($B122,3)="TOP",OFFSET(COM_2012!$B$60,$L122,SUMIF($B$9:$B$12,$B122,$M$9:$M$12)),"-"))</f>
        <v/>
      </c>
      <c r="E122" s="369" t="str">
        <f ca="1">IF($A122="*","",IF($B122="PRC_ACTUNT",OFFSET(COM_2012!$B$60,$L122,SUMIF($B$9:$B$12,$B122,$M$9:$M$12)),"-"))</f>
        <v/>
      </c>
      <c r="F122" s="369" t="str">
        <f t="shared" ca="1" si="11"/>
        <v/>
      </c>
      <c r="G122" s="369" t="str">
        <f t="shared" ca="1" si="11"/>
        <v/>
      </c>
      <c r="H122" s="369" t="str">
        <f t="shared" ca="1" si="11"/>
        <v/>
      </c>
      <c r="I122" s="369" t="str">
        <f t="shared" ca="1" si="9"/>
        <v/>
      </c>
      <c r="J122" s="369"/>
      <c r="K122" s="304">
        <f>IF(L121=COM_2012!$AI$121,K121+1,K121)</f>
        <v>2</v>
      </c>
      <c r="L122" s="304">
        <f t="shared" si="10"/>
        <v>48</v>
      </c>
    </row>
    <row r="123" spans="1:12">
      <c r="A123" s="304" t="str">
        <f ca="1">IF(LEFT(OFFSET(COM_2012!$A$60,L123,0),2)="\I","*","")</f>
        <v>*</v>
      </c>
      <c r="B123" s="369" t="str">
        <f t="shared" ca="1" si="8"/>
        <v/>
      </c>
      <c r="C123" s="369" t="str">
        <f ca="1">IF($A123="*","",OFFSET(COM_2012!$B$60,L123,0))</f>
        <v/>
      </c>
      <c r="D123" s="369" t="str">
        <f ca="1">IF($A123="*","",IF(LEFT($B123,3)="TOP",OFFSET(COM_2012!$B$60,$L123,SUMIF($B$9:$B$12,$B123,$M$9:$M$12)),"-"))</f>
        <v/>
      </c>
      <c r="E123" s="369" t="str">
        <f ca="1">IF($A123="*","",IF($B123="PRC_ACTUNT",OFFSET(COM_2012!$B$60,$L123,SUMIF($B$9:$B$12,$B123,$M$9:$M$12)),"-"))</f>
        <v/>
      </c>
      <c r="F123" s="369" t="str">
        <f t="shared" ca="1" si="11"/>
        <v/>
      </c>
      <c r="G123" s="369" t="str">
        <f t="shared" ca="1" si="11"/>
        <v/>
      </c>
      <c r="H123" s="369" t="str">
        <f t="shared" ca="1" si="11"/>
        <v/>
      </c>
      <c r="I123" s="369" t="str">
        <f t="shared" ca="1" si="9"/>
        <v/>
      </c>
      <c r="J123" s="369"/>
      <c r="K123" s="304">
        <f>IF(L122=COM_2012!$AI$121,K122+1,K122)</f>
        <v>2</v>
      </c>
      <c r="L123" s="304">
        <f t="shared" si="10"/>
        <v>49</v>
      </c>
    </row>
    <row r="124" spans="1:12">
      <c r="A124" s="304" t="str">
        <f ca="1">IF(LEFT(OFFSET(COM_2012!$A$60,L124,0),2)="\I","*","")</f>
        <v/>
      </c>
      <c r="B124" s="369" t="str">
        <f t="shared" ca="1" si="8"/>
        <v>PRC_CAPACT</v>
      </c>
      <c r="C124" s="369" t="str">
        <f ca="1">IF($A124="*","",OFFSET(COM_2012!$B$60,L124,0))</f>
        <v>CETELC-E</v>
      </c>
      <c r="D124" s="369" t="str">
        <f ca="1">IF($A124="*","",IF(LEFT($B124,3)="TOP",OFFSET(COM_2012!$B$60,$L124,SUMIF($B$9:$B$12,$B124,$M$9:$M$12)),"-"))</f>
        <v>-</v>
      </c>
      <c r="E124" s="369" t="str">
        <f ca="1">IF($A124="*","",IF($B124="PRC_ACTUNT",OFFSET(COM_2012!$B$60,$L124,SUMIF($B$9:$B$12,$B124,$M$9:$M$12)),"-"))</f>
        <v>-</v>
      </c>
      <c r="F124" s="369" t="str">
        <f t="shared" ca="1" si="11"/>
        <v>-</v>
      </c>
      <c r="G124" s="369" t="str">
        <f t="shared" ca="1" si="11"/>
        <v>-</v>
      </c>
      <c r="H124" s="369" t="str">
        <f t="shared" ca="1" si="11"/>
        <v>-</v>
      </c>
      <c r="I124" s="369">
        <f t="shared" ca="1" si="9"/>
        <v>1</v>
      </c>
      <c r="J124" s="369"/>
      <c r="K124" s="304">
        <f>IF(L123=COM_2012!$AI$121,K123+1,K123)</f>
        <v>2</v>
      </c>
      <c r="L124" s="304">
        <f t="shared" si="10"/>
        <v>50</v>
      </c>
    </row>
    <row r="125" spans="1:12">
      <c r="A125" s="304" t="str">
        <f ca="1">IF(LEFT(OFFSET(COM_2012!$A$60,L125,0),2)="\I","*","")</f>
        <v>*</v>
      </c>
      <c r="B125" s="369" t="str">
        <f t="shared" ca="1" si="8"/>
        <v/>
      </c>
      <c r="C125" s="369" t="str">
        <f ca="1">IF($A125="*","",OFFSET(COM_2012!$B$60,L125,0))</f>
        <v/>
      </c>
      <c r="D125" s="369" t="str">
        <f ca="1">IF($A125="*","",IF(LEFT($B125,3)="TOP",OFFSET(COM_2012!$B$60,$L125,SUMIF($B$9:$B$12,$B125,$M$9:$M$12)),"-"))</f>
        <v/>
      </c>
      <c r="E125" s="369" t="str">
        <f ca="1">IF($A125="*","",IF($B125="PRC_ACTUNT",OFFSET(COM_2012!$B$60,$L125,SUMIF($B$9:$B$12,$B125,$M$9:$M$12)),"-"))</f>
        <v/>
      </c>
      <c r="F125" s="369" t="str">
        <f t="shared" ca="1" si="11"/>
        <v/>
      </c>
      <c r="G125" s="369" t="str">
        <f t="shared" ca="1" si="11"/>
        <v/>
      </c>
      <c r="H125" s="369" t="str">
        <f t="shared" ca="1" si="11"/>
        <v/>
      </c>
      <c r="I125" s="369" t="str">
        <f t="shared" ca="1" si="9"/>
        <v/>
      </c>
      <c r="J125" s="369"/>
      <c r="K125" s="304">
        <f>IF(L124=COM_2012!$AI$121,K124+1,K124)</f>
        <v>2</v>
      </c>
      <c r="L125" s="304">
        <f t="shared" si="10"/>
        <v>51</v>
      </c>
    </row>
    <row r="126" spans="1:12">
      <c r="A126" s="304" t="str">
        <f ca="1">IF(LEFT(OFFSET(COM_2012!$A$60,L126,0),2)="\I","*","")</f>
        <v>*</v>
      </c>
      <c r="B126" s="369" t="str">
        <f t="shared" ca="1" si="8"/>
        <v/>
      </c>
      <c r="C126" s="369" t="str">
        <f ca="1">IF($A126="*","",OFFSET(COM_2012!$B$60,L126,0))</f>
        <v/>
      </c>
      <c r="D126" s="369" t="str">
        <f ca="1">IF($A126="*","",IF(LEFT($B126,3)="TOP",OFFSET(COM_2012!$B$60,$L126,SUMIF($B$9:$B$12,$B126,$M$9:$M$12)),"-"))</f>
        <v/>
      </c>
      <c r="E126" s="369" t="str">
        <f ca="1">IF($A126="*","",IF($B126="PRC_ACTUNT",OFFSET(COM_2012!$B$60,$L126,SUMIF($B$9:$B$12,$B126,$M$9:$M$12)),"-"))</f>
        <v/>
      </c>
      <c r="F126" s="369" t="str">
        <f t="shared" ca="1" si="11"/>
        <v/>
      </c>
      <c r="G126" s="369" t="str">
        <f t="shared" ca="1" si="11"/>
        <v/>
      </c>
      <c r="H126" s="369" t="str">
        <f t="shared" ca="1" si="11"/>
        <v/>
      </c>
      <c r="I126" s="369" t="str">
        <f t="shared" ca="1" si="9"/>
        <v/>
      </c>
      <c r="J126" s="369"/>
      <c r="K126" s="304">
        <f>IF(L125=COM_2012!$AI$121,K125+1,K125)</f>
        <v>2</v>
      </c>
      <c r="L126" s="304">
        <f t="shared" si="10"/>
        <v>52</v>
      </c>
    </row>
    <row r="127" spans="1:12">
      <c r="A127" s="304" t="str">
        <f ca="1">IF(LEFT(OFFSET(COM_2012!$A$60,L127,0),2)="\I","*","")</f>
        <v/>
      </c>
      <c r="B127" s="369" t="str">
        <f t="shared" ca="1" si="8"/>
        <v>PRC_CAPACT</v>
      </c>
      <c r="C127" s="369" t="str">
        <f ca="1">IF($A127="*","",OFFSET(COM_2012!$B$60,L127,0))</f>
        <v>CEOCOA-E</v>
      </c>
      <c r="D127" s="369" t="str">
        <f ca="1">IF($A127="*","",IF(LEFT($B127,3)="TOP",OFFSET(COM_2012!$B$60,$L127,SUMIF($B$9:$B$12,$B127,$M$9:$M$12)),"-"))</f>
        <v>-</v>
      </c>
      <c r="E127" s="369" t="str">
        <f ca="1">IF($A127="*","",IF($B127="PRC_ACTUNT",OFFSET(COM_2012!$B$60,$L127,SUMIF($B$9:$B$12,$B127,$M$9:$M$12)),"-"))</f>
        <v>-</v>
      </c>
      <c r="F127" s="369" t="str">
        <f t="shared" ca="1" si="11"/>
        <v>-</v>
      </c>
      <c r="G127" s="369" t="str">
        <f t="shared" ca="1" si="11"/>
        <v>-</v>
      </c>
      <c r="H127" s="369" t="str">
        <f t="shared" ca="1" si="11"/>
        <v>-</v>
      </c>
      <c r="I127" s="369">
        <f t="shared" ca="1" si="9"/>
        <v>1</v>
      </c>
      <c r="J127" s="369"/>
      <c r="K127" s="304">
        <f>IF(L126=COM_2012!$AI$121,K126+1,K126)</f>
        <v>2</v>
      </c>
      <c r="L127" s="304">
        <f t="shared" si="10"/>
        <v>53</v>
      </c>
    </row>
    <row r="128" spans="1:12">
      <c r="A128" s="304" t="str">
        <f ca="1">IF(LEFT(OFFSET(COM_2012!$A$60,L128,0),2)="\I","*","")</f>
        <v/>
      </c>
      <c r="B128" s="369" t="str">
        <f t="shared" ca="1" si="8"/>
        <v>PRC_CAPACT</v>
      </c>
      <c r="C128" s="369" t="str">
        <f ca="1">IF($A128="*","",OFFSET(COM_2012!$B$60,L128,0))</f>
        <v>CEOODS-E</v>
      </c>
      <c r="D128" s="369" t="str">
        <f ca="1">IF($A128="*","",IF(LEFT($B128,3)="TOP",OFFSET(COM_2012!$B$60,$L128,SUMIF($B$9:$B$12,$B128,$M$9:$M$12)),"-"))</f>
        <v>-</v>
      </c>
      <c r="E128" s="369" t="str">
        <f ca="1">IF($A128="*","",IF($B128="PRC_ACTUNT",OFFSET(COM_2012!$B$60,$L128,SUMIF($B$9:$B$12,$B128,$M$9:$M$12)),"-"))</f>
        <v>-</v>
      </c>
      <c r="F128" s="369" t="str">
        <f t="shared" ca="1" si="11"/>
        <v>-</v>
      </c>
      <c r="G128" s="369" t="str">
        <f t="shared" ca="1" si="11"/>
        <v>-</v>
      </c>
      <c r="H128" s="369" t="str">
        <f t="shared" ca="1" si="11"/>
        <v>-</v>
      </c>
      <c r="I128" s="369">
        <f t="shared" ca="1" si="9"/>
        <v>1</v>
      </c>
      <c r="J128" s="369"/>
      <c r="K128" s="304">
        <f>IF(L127=COM_2012!$AI$121,K127+1,K127)</f>
        <v>2</v>
      </c>
      <c r="L128" s="304">
        <f t="shared" si="10"/>
        <v>54</v>
      </c>
    </row>
    <row r="129" spans="1:12">
      <c r="A129" s="304" t="str">
        <f ca="1">IF(LEFT(OFFSET(COM_2012!$A$60,L129,0),2)="\I","*","")</f>
        <v/>
      </c>
      <c r="B129" s="369" t="str">
        <f t="shared" ca="1" si="8"/>
        <v>PRC_CAPACT</v>
      </c>
      <c r="C129" s="369" t="str">
        <f ca="1">IF($A129="*","",OFFSET(COM_2012!$B$60,L129,0))</f>
        <v>CEOELC-E</v>
      </c>
      <c r="D129" s="369" t="str">
        <f ca="1">IF($A129="*","",IF(LEFT($B129,3)="TOP",OFFSET(COM_2012!$B$60,$L129,SUMIF($B$9:$B$12,$B129,$M$9:$M$12)),"-"))</f>
        <v>-</v>
      </c>
      <c r="E129" s="369" t="str">
        <f ca="1">IF($A129="*","",IF($B129="PRC_ACTUNT",OFFSET(COM_2012!$B$60,$L129,SUMIF($B$9:$B$12,$B129,$M$9:$M$12)),"-"))</f>
        <v>-</v>
      </c>
      <c r="F129" s="369" t="str">
        <f t="shared" ca="1" si="11"/>
        <v>-</v>
      </c>
      <c r="G129" s="369" t="str">
        <f t="shared" ca="1" si="11"/>
        <v>-</v>
      </c>
      <c r="H129" s="369" t="str">
        <f t="shared" ca="1" si="11"/>
        <v>-</v>
      </c>
      <c r="I129" s="369">
        <f t="shared" ca="1" si="9"/>
        <v>1</v>
      </c>
      <c r="J129" s="369"/>
      <c r="K129" s="304">
        <f>IF(L128=COM_2012!$AI$121,K128+1,K128)</f>
        <v>2</v>
      </c>
      <c r="L129" s="304">
        <f t="shared" si="10"/>
        <v>55</v>
      </c>
    </row>
    <row r="130" spans="1:12">
      <c r="A130" s="304" t="str">
        <f ca="1">IF(LEFT(OFFSET(COM_2012!$A$60,L130,0),2)="\I","*","")</f>
        <v/>
      </c>
      <c r="B130" s="369" t="str">
        <f t="shared" ca="1" si="8"/>
        <v>PRC_CAPACT</v>
      </c>
      <c r="C130" s="369" t="str">
        <f ca="1">IF($A130="*","",OFFSET(COM_2012!$B$60,L130,0))</f>
        <v>CEOGAS-E</v>
      </c>
      <c r="D130" s="369" t="str">
        <f ca="1">IF($A130="*","",IF(LEFT($B130,3)="TOP",OFFSET(COM_2012!$B$60,$L130,SUMIF($B$9:$B$12,$B130,$M$9:$M$12)),"-"))</f>
        <v>-</v>
      </c>
      <c r="E130" s="369" t="str">
        <f ca="1">IF($A130="*","",IF($B130="PRC_ACTUNT",OFFSET(COM_2012!$B$60,$L130,SUMIF($B$9:$B$12,$B130,$M$9:$M$12)),"-"))</f>
        <v>-</v>
      </c>
      <c r="F130" s="369" t="str">
        <f t="shared" ca="1" si="11"/>
        <v>-</v>
      </c>
      <c r="G130" s="369" t="str">
        <f t="shared" ca="1" si="11"/>
        <v>-</v>
      </c>
      <c r="H130" s="369" t="str">
        <f t="shared" ca="1" si="11"/>
        <v>-</v>
      </c>
      <c r="I130" s="369">
        <f t="shared" ca="1" si="9"/>
        <v>1</v>
      </c>
      <c r="J130" s="369"/>
      <c r="K130" s="304">
        <f>IF(L129=COM_2012!$AI$121,K129+1,K129)</f>
        <v>2</v>
      </c>
      <c r="L130" s="304">
        <f t="shared" si="10"/>
        <v>56</v>
      </c>
    </row>
    <row r="131" spans="1:12">
      <c r="A131" s="304" t="str">
        <f ca="1">IF(LEFT(OFFSET(COM_2012!$A$60,L131,0),2)="\I","*","")</f>
        <v/>
      </c>
      <c r="B131" s="369" t="str">
        <f t="shared" ca="1" si="8"/>
        <v>PRC_CAPACT</v>
      </c>
      <c r="C131" s="369" t="str">
        <f ca="1">IF($A131="*","",OFFSET(COM_2012!$B$60,L131,0))</f>
        <v>CEOOGS-E</v>
      </c>
      <c r="D131" s="369" t="str">
        <f ca="1">IF($A131="*","",IF(LEFT($B131,3)="TOP",OFFSET(COM_2012!$B$60,$L131,SUMIF($B$9:$B$12,$B131,$M$9:$M$12)),"-"))</f>
        <v>-</v>
      </c>
      <c r="E131" s="369" t="str">
        <f ca="1">IF($A131="*","",IF($B131="PRC_ACTUNT",OFFSET(COM_2012!$B$60,$L131,SUMIF($B$9:$B$12,$B131,$M$9:$M$12)),"-"))</f>
        <v>-</v>
      </c>
      <c r="F131" s="369" t="str">
        <f t="shared" ca="1" si="11"/>
        <v>-</v>
      </c>
      <c r="G131" s="369" t="str">
        <f t="shared" ca="1" si="11"/>
        <v>-</v>
      </c>
      <c r="H131" s="369" t="str">
        <f t="shared" ca="1" si="11"/>
        <v>-</v>
      </c>
      <c r="I131" s="369">
        <f t="shared" ca="1" si="9"/>
        <v>1</v>
      </c>
      <c r="J131" s="369"/>
      <c r="K131" s="304">
        <f>IF(L130=COM_2012!$AI$121,K130+1,K130)</f>
        <v>2</v>
      </c>
      <c r="L131" s="304">
        <f t="shared" si="10"/>
        <v>57</v>
      </c>
    </row>
    <row r="132" spans="1:12">
      <c r="A132" s="304" t="str">
        <f ca="1">IF(LEFT(OFFSET(COM_2012!$A$60,L132,0),2)="\I","*","")</f>
        <v/>
      </c>
      <c r="B132" s="369" t="str">
        <f t="shared" ca="1" si="8"/>
        <v>PRC_CAPACT</v>
      </c>
      <c r="C132" s="369" t="str">
        <f ca="1">IF($A132="*","",OFFSET(COM_2012!$B$60,L132,0))</f>
        <v>CEOOHF-E</v>
      </c>
      <c r="D132" s="369" t="str">
        <f ca="1">IF($A132="*","",IF(LEFT($B132,3)="TOP",OFFSET(COM_2012!$B$60,$L132,SUMIF($B$9:$B$12,$B132,$M$9:$M$12)),"-"))</f>
        <v>-</v>
      </c>
      <c r="E132" s="369" t="str">
        <f ca="1">IF($A132="*","",IF($B132="PRC_ACTUNT",OFFSET(COM_2012!$B$60,$L132,SUMIF($B$9:$B$12,$B132,$M$9:$M$12)),"-"))</f>
        <v>-</v>
      </c>
      <c r="F132" s="369" t="str">
        <f t="shared" ca="1" si="11"/>
        <v>-</v>
      </c>
      <c r="G132" s="369" t="str">
        <f t="shared" ca="1" si="11"/>
        <v>-</v>
      </c>
      <c r="H132" s="369" t="str">
        <f t="shared" ca="1" si="11"/>
        <v>-</v>
      </c>
      <c r="I132" s="369">
        <f t="shared" ca="1" si="9"/>
        <v>1</v>
      </c>
      <c r="J132" s="369"/>
      <c r="K132" s="304">
        <f>IF(L131=COM_2012!$AI$121,K131+1,K131)</f>
        <v>2</v>
      </c>
      <c r="L132" s="304">
        <f t="shared" si="10"/>
        <v>58</v>
      </c>
    </row>
    <row r="133" spans="1:12">
      <c r="A133" s="304" t="str">
        <f ca="1">IF(LEFT(OFFSET(COM_2012!$A$60,L133,0),2)="\I","*","")</f>
        <v/>
      </c>
      <c r="B133" s="369" t="str">
        <f t="shared" ca="1" si="8"/>
        <v>PRC_CAPACT</v>
      </c>
      <c r="C133" s="369" t="str">
        <f ca="1">IF($A133="*","",OFFSET(COM_2012!$B$60,L133,0))</f>
        <v>CEOOKE-E</v>
      </c>
      <c r="D133" s="369" t="str">
        <f ca="1">IF($A133="*","",IF(LEFT($B133,3)="TOP",OFFSET(COM_2012!$B$60,$L133,SUMIF($B$9:$B$12,$B133,$M$9:$M$12)),"-"))</f>
        <v>-</v>
      </c>
      <c r="E133" s="369" t="str">
        <f ca="1">IF($A133="*","",IF($B133="PRC_ACTUNT",OFFSET(COM_2012!$B$60,$L133,SUMIF($B$9:$B$12,$B133,$M$9:$M$12)),"-"))</f>
        <v>-</v>
      </c>
      <c r="F133" s="369" t="str">
        <f t="shared" ca="1" si="11"/>
        <v>-</v>
      </c>
      <c r="G133" s="369" t="str">
        <f t="shared" ca="1" si="11"/>
        <v>-</v>
      </c>
      <c r="H133" s="369" t="str">
        <f t="shared" ca="1" si="11"/>
        <v>-</v>
      </c>
      <c r="I133" s="369">
        <f t="shared" ca="1" si="9"/>
        <v>1</v>
      </c>
      <c r="J133" s="369"/>
      <c r="K133" s="304">
        <f>IF(L132=COM_2012!$AI$121,K132+1,K132)</f>
        <v>2</v>
      </c>
      <c r="L133" s="304">
        <f t="shared" si="10"/>
        <v>59</v>
      </c>
    </row>
    <row r="134" spans="1:12">
      <c r="A134" s="304" t="str">
        <f ca="1">IF(LEFT(OFFSET(COM_2012!$A$60,L134,0),2)="\I","*","")</f>
        <v>*</v>
      </c>
      <c r="B134" s="369" t="str">
        <f t="shared" ca="1" si="8"/>
        <v/>
      </c>
      <c r="C134" s="369" t="str">
        <f ca="1">IF($A134="*","",OFFSET(COM_2012!$B$60,L134,0))</f>
        <v/>
      </c>
      <c r="D134" s="369" t="str">
        <f ca="1">IF($A134="*","",IF(LEFT($B134,3)="TOP",OFFSET(COM_2012!$B$60,$L134,SUMIF($B$9:$B$12,$B134,$M$9:$M$12)),"-"))</f>
        <v/>
      </c>
      <c r="E134" s="369" t="str">
        <f ca="1">IF($A134="*","",IF($B134="PRC_ACTUNT",OFFSET(COM_2012!$B$60,$L134,SUMIF($B$9:$B$12,$B134,$M$9:$M$12)),"-"))</f>
        <v/>
      </c>
      <c r="F134" s="369" t="str">
        <f t="shared" ca="1" si="11"/>
        <v/>
      </c>
      <c r="G134" s="369" t="str">
        <f t="shared" ca="1" si="11"/>
        <v/>
      </c>
      <c r="H134" s="369" t="str">
        <f t="shared" ca="1" si="11"/>
        <v/>
      </c>
      <c r="I134" s="369" t="str">
        <f t="shared" ca="1" si="9"/>
        <v/>
      </c>
      <c r="J134" s="369"/>
      <c r="K134" s="304">
        <f>IF(L133=COM_2012!$AI$121,K133+1,K133)</f>
        <v>2</v>
      </c>
      <c r="L134" s="304">
        <f t="shared" si="10"/>
        <v>60</v>
      </c>
    </row>
    <row r="135" spans="1:12">
      <c r="A135" s="304" t="str">
        <f ca="1">IF(LEFT(OFFSET(COM_2012!$A$60,L135,0),2)="\I","*","")</f>
        <v>*</v>
      </c>
      <c r="B135" s="369" t="str">
        <f t="shared" ca="1" si="8"/>
        <v/>
      </c>
      <c r="C135" s="369" t="str">
        <f ca="1">IF($A135="*","",OFFSET(COM_2012!$B$60,L135,0))</f>
        <v/>
      </c>
      <c r="D135" s="369" t="str">
        <f ca="1">IF($A135="*","",IF(LEFT($B135,3)="TOP",OFFSET(COM_2012!$B$60,$L135,SUMIF($B$9:$B$12,$B135,$M$9:$M$12)),"-"))</f>
        <v/>
      </c>
      <c r="E135" s="369" t="str">
        <f ca="1">IF($A135="*","",IF($B135="PRC_ACTUNT",OFFSET(COM_2012!$B$60,$L135,SUMIF($B$9:$B$12,$B135,$M$9:$M$12)),"-"))</f>
        <v/>
      </c>
      <c r="F135" s="369" t="str">
        <f t="shared" ca="1" si="11"/>
        <v/>
      </c>
      <c r="G135" s="369" t="str">
        <f t="shared" ca="1" si="11"/>
        <v/>
      </c>
      <c r="H135" s="369" t="str">
        <f t="shared" ca="1" si="11"/>
        <v/>
      </c>
      <c r="I135" s="369" t="str">
        <f t="shared" ca="1" si="9"/>
        <v/>
      </c>
      <c r="J135" s="369"/>
      <c r="K135" s="304">
        <f>IF(L134=COM_2012!$AI$121,K134+1,K134)</f>
        <v>2</v>
      </c>
      <c r="L135" s="304">
        <f t="shared" si="10"/>
        <v>61</v>
      </c>
    </row>
    <row r="136" spans="1:12">
      <c r="A136" s="304" t="str">
        <f ca="1">IF(LEFT(OFFSET(COM_2012!$A$60,L136,0),2)="\I","*","")</f>
        <v/>
      </c>
      <c r="B136" s="369" t="str">
        <f t="shared" ca="1" si="8"/>
        <v>TOP-OUT</v>
      </c>
      <c r="C136" s="369" t="str">
        <f ca="1">IF($A136="*","",OFFSET(COM_2012!$B$60,L136,0))</f>
        <v>CECELCCHIL-E</v>
      </c>
      <c r="D136" s="369" t="str">
        <f ca="1">IF($A136="*","",IF(LEFT($B136,3)="TOP",OFFSET(COM_2012!$B$60,$L136,SUMIF($B$9:$B$12,$B136,$M$9:$M$12)),"-"))</f>
        <v>CEC</v>
      </c>
      <c r="E136" s="369" t="str">
        <f ca="1">IF($A136="*","",IF($B136="PRC_ACTUNT",OFFSET(COM_2012!$B$60,$L136,SUMIF($B$9:$B$12,$B136,$M$9:$M$12)),"-"))</f>
        <v>-</v>
      </c>
      <c r="F136" s="369" t="str">
        <f t="shared" ca="1" si="11"/>
        <v>-</v>
      </c>
      <c r="G136" s="369" t="str">
        <f t="shared" ca="1" si="11"/>
        <v>-</v>
      </c>
      <c r="H136" s="369" t="str">
        <f t="shared" ca="1" si="11"/>
        <v>-</v>
      </c>
      <c r="I136" s="369">
        <f t="shared" ca="1" si="9"/>
        <v>1</v>
      </c>
      <c r="J136" s="369"/>
      <c r="K136" s="304">
        <f>IF(L135=COM_2012!$AI$121,K135+1,K135)</f>
        <v>3</v>
      </c>
      <c r="L136" s="304">
        <f t="shared" si="10"/>
        <v>1</v>
      </c>
    </row>
    <row r="137" spans="1:12">
      <c r="A137" s="304" t="str">
        <f ca="1">IF(LEFT(OFFSET(COM_2012!$A$60,L137,0),2)="\I","*","")</f>
        <v/>
      </c>
      <c r="B137" s="369" t="str">
        <f t="shared" ca="1" si="8"/>
        <v>TOP-OUT</v>
      </c>
      <c r="C137" s="369" t="str">
        <f ca="1">IF($A137="*","",OFFSET(COM_2012!$B$60,L137,0))</f>
        <v>CECELCCEN-E</v>
      </c>
      <c r="D137" s="369" t="str">
        <f ca="1">IF($A137="*","",IF(LEFT($B137,3)="TOP",OFFSET(COM_2012!$B$60,$L137,SUMIF($B$9:$B$12,$B137,$M$9:$M$12)),"-"))</f>
        <v>CEC</v>
      </c>
      <c r="E137" s="369" t="str">
        <f ca="1">IF($A137="*","",IF($B137="PRC_ACTUNT",OFFSET(COM_2012!$B$60,$L137,SUMIF($B$9:$B$12,$B137,$M$9:$M$12)),"-"))</f>
        <v>-</v>
      </c>
      <c r="F137" s="369" t="str">
        <f t="shared" ca="1" si="11"/>
        <v>-</v>
      </c>
      <c r="G137" s="369" t="str">
        <f t="shared" ca="1" si="11"/>
        <v>-</v>
      </c>
      <c r="H137" s="369" t="str">
        <f t="shared" ca="1" si="11"/>
        <v>-</v>
      </c>
      <c r="I137" s="369">
        <f t="shared" ca="1" si="9"/>
        <v>1</v>
      </c>
      <c r="J137" s="369"/>
      <c r="K137" s="304">
        <f>IF(L136=COM_2012!$AI$121,K136+1,K136)</f>
        <v>3</v>
      </c>
      <c r="L137" s="304">
        <f t="shared" si="10"/>
        <v>2</v>
      </c>
    </row>
    <row r="138" spans="1:12">
      <c r="A138" s="304" t="str">
        <f ca="1">IF(LEFT(OFFSET(COM_2012!$A$60,L138,0),2)="\I","*","")</f>
        <v/>
      </c>
      <c r="B138" s="369" t="str">
        <f t="shared" ca="1" si="8"/>
        <v>TOP-OUT</v>
      </c>
      <c r="C138" s="369" t="str">
        <f ca="1">IF($A138="*","",OFFSET(COM_2012!$B$60,L138,0))</f>
        <v>CECELCHP-E</v>
      </c>
      <c r="D138" s="369" t="str">
        <f ca="1">IF($A138="*","",IF(LEFT($B138,3)="TOP",OFFSET(COM_2012!$B$60,$L138,SUMIF($B$9:$B$12,$B138,$M$9:$M$12)),"-"))</f>
        <v>CEC</v>
      </c>
      <c r="E138" s="369" t="str">
        <f ca="1">IF($A138="*","",IF($B138="PRC_ACTUNT",OFFSET(COM_2012!$B$60,$L138,SUMIF($B$9:$B$12,$B138,$M$9:$M$12)),"-"))</f>
        <v>-</v>
      </c>
      <c r="F138" s="369" t="str">
        <f t="shared" ca="1" si="11"/>
        <v>-</v>
      </c>
      <c r="G138" s="369" t="str">
        <f t="shared" ca="1" si="11"/>
        <v>-</v>
      </c>
      <c r="H138" s="369" t="str">
        <f t="shared" ca="1" si="11"/>
        <v>-</v>
      </c>
      <c r="I138" s="369">
        <f t="shared" ca="1" si="9"/>
        <v>1</v>
      </c>
      <c r="J138" s="369"/>
      <c r="K138" s="304">
        <f>IF(L137=COM_2012!$AI$121,K137+1,K137)</f>
        <v>3</v>
      </c>
      <c r="L138" s="304">
        <f t="shared" si="10"/>
        <v>3</v>
      </c>
    </row>
    <row r="139" spans="1:12">
      <c r="A139" s="304" t="str">
        <f ca="1">IF(LEFT(OFFSET(COM_2012!$A$60,L139,0),2)="\I","*","")</f>
        <v/>
      </c>
      <c r="B139" s="369" t="str">
        <f t="shared" ca="1" si="8"/>
        <v>TOP-OUT</v>
      </c>
      <c r="C139" s="369" t="str">
        <f ca="1">IF($A139="*","",OFFSET(COM_2012!$B$60,L139,0))</f>
        <v>CECELCROOM-E</v>
      </c>
      <c r="D139" s="369" t="str">
        <f ca="1">IF($A139="*","",IF(LEFT($B139,3)="TOP",OFFSET(COM_2012!$B$60,$L139,SUMIF($B$9:$B$12,$B139,$M$9:$M$12)),"-"))</f>
        <v>CEC</v>
      </c>
      <c r="E139" s="369" t="str">
        <f ca="1">IF($A139="*","",IF($B139="PRC_ACTUNT",OFFSET(COM_2012!$B$60,$L139,SUMIF($B$9:$B$12,$B139,$M$9:$M$12)),"-"))</f>
        <v>-</v>
      </c>
      <c r="F139" s="369" t="str">
        <f t="shared" ca="1" si="11"/>
        <v>-</v>
      </c>
      <c r="G139" s="369" t="str">
        <f t="shared" ca="1" si="11"/>
        <v>-</v>
      </c>
      <c r="H139" s="369" t="str">
        <f t="shared" ca="1" si="11"/>
        <v>-</v>
      </c>
      <c r="I139" s="369">
        <f t="shared" ca="1" si="9"/>
        <v>1</v>
      </c>
      <c r="J139" s="369"/>
      <c r="K139" s="304">
        <f>IF(L138=COM_2012!$AI$121,K138+1,K138)</f>
        <v>3</v>
      </c>
      <c r="L139" s="304">
        <f t="shared" si="10"/>
        <v>4</v>
      </c>
    </row>
    <row r="140" spans="1:12">
      <c r="A140" s="304" t="str">
        <f ca="1">IF(LEFT(OFFSET(COM_2012!$A$60,L140,0),2)="\I","*","")</f>
        <v/>
      </c>
      <c r="B140" s="369" t="str">
        <f t="shared" ca="1" si="8"/>
        <v>TOP-OUT</v>
      </c>
      <c r="C140" s="369" t="str">
        <f ca="1">IF($A140="*","",OFFSET(COM_2012!$B$60,L140,0))</f>
        <v>CECELCCEN-N</v>
      </c>
      <c r="D140" s="369" t="str">
        <f ca="1">IF($A140="*","",IF(LEFT($B140,3)="TOP",OFFSET(COM_2012!$B$60,$L140,SUMIF($B$9:$B$12,$B140,$M$9:$M$12)),"-"))</f>
        <v>CEC</v>
      </c>
      <c r="E140" s="369" t="str">
        <f ca="1">IF($A140="*","",IF($B140="PRC_ACTUNT",OFFSET(COM_2012!$B$60,$L140,SUMIF($B$9:$B$12,$B140,$M$9:$M$12)),"-"))</f>
        <v>-</v>
      </c>
      <c r="F140" s="369" t="str">
        <f t="shared" ca="1" si="11"/>
        <v>-</v>
      </c>
      <c r="G140" s="369" t="str">
        <f t="shared" ca="1" si="11"/>
        <v>-</v>
      </c>
      <c r="H140" s="369" t="str">
        <f t="shared" ca="1" si="11"/>
        <v>-</v>
      </c>
      <c r="I140" s="369">
        <f t="shared" ca="1" si="9"/>
        <v>1</v>
      </c>
      <c r="J140" s="369"/>
      <c r="K140" s="304">
        <f>IF(L139=COM_2012!$AI$121,K139+1,K139)</f>
        <v>3</v>
      </c>
      <c r="L140" s="304">
        <f t="shared" si="10"/>
        <v>5</v>
      </c>
    </row>
    <row r="141" spans="1:12">
      <c r="A141" s="304" t="str">
        <f ca="1">IF(LEFT(OFFSET(COM_2012!$A$60,L141,0),2)="\I","*","")</f>
        <v/>
      </c>
      <c r="B141" s="369" t="str">
        <f t="shared" ca="1" si="8"/>
        <v>TOP-OUT</v>
      </c>
      <c r="C141" s="369" t="str">
        <f ca="1">IF($A141="*","",OFFSET(COM_2012!$B$60,L141,0))</f>
        <v>CECELCHP-N</v>
      </c>
      <c r="D141" s="369" t="str">
        <f ca="1">IF($A141="*","",IF(LEFT($B141,3)="TOP",OFFSET(COM_2012!$B$60,$L141,SUMIF($B$9:$B$12,$B141,$M$9:$M$12)),"-"))</f>
        <v>CEC</v>
      </c>
      <c r="E141" s="369" t="str">
        <f ca="1">IF($A141="*","",IF($B141="PRC_ACTUNT",OFFSET(COM_2012!$B$60,$L141,SUMIF($B$9:$B$12,$B141,$M$9:$M$12)),"-"))</f>
        <v>-</v>
      </c>
      <c r="F141" s="369" t="str">
        <f t="shared" ca="1" si="11"/>
        <v>-</v>
      </c>
      <c r="G141" s="369" t="str">
        <f t="shared" ca="1" si="11"/>
        <v>-</v>
      </c>
      <c r="H141" s="369" t="str">
        <f t="shared" ca="1" si="11"/>
        <v>-</v>
      </c>
      <c r="I141" s="369">
        <f t="shared" ca="1" si="9"/>
        <v>1</v>
      </c>
      <c r="J141" s="369"/>
      <c r="K141" s="304">
        <f>IF(L140=COM_2012!$AI$121,K140+1,K140)</f>
        <v>3</v>
      </c>
      <c r="L141" s="304">
        <f t="shared" si="10"/>
        <v>6</v>
      </c>
    </row>
    <row r="142" spans="1:12">
      <c r="A142" s="304" t="str">
        <f ca="1">IF(LEFT(OFFSET(COM_2012!$A$60,L142,0),2)="\I","*","")</f>
        <v>*</v>
      </c>
      <c r="B142" s="369" t="str">
        <f t="shared" ca="1" si="8"/>
        <v/>
      </c>
      <c r="C142" s="369" t="str">
        <f ca="1">IF($A142="*","",OFFSET(COM_2012!$B$60,L142,0))</f>
        <v/>
      </c>
      <c r="D142" s="369" t="str">
        <f ca="1">IF($A142="*","",IF(LEFT($B142,3)="TOP",OFFSET(COM_2012!$B$60,$L142,SUMIF($B$9:$B$12,$B142,$M$9:$M$12)),"-"))</f>
        <v/>
      </c>
      <c r="E142" s="369" t="str">
        <f ca="1">IF($A142="*","",IF($B142="PRC_ACTUNT",OFFSET(COM_2012!$B$60,$L142,SUMIF($B$9:$B$12,$B142,$M$9:$M$12)),"-"))</f>
        <v/>
      </c>
      <c r="F142" s="369" t="str">
        <f t="shared" ca="1" si="11"/>
        <v/>
      </c>
      <c r="G142" s="369" t="str">
        <f t="shared" ca="1" si="11"/>
        <v/>
      </c>
      <c r="H142" s="369" t="str">
        <f t="shared" ca="1" si="11"/>
        <v/>
      </c>
      <c r="I142" s="369" t="str">
        <f t="shared" ca="1" si="9"/>
        <v/>
      </c>
      <c r="J142" s="369"/>
      <c r="K142" s="304">
        <f>IF(L141=COM_2012!$AI$121,K141+1,K141)</f>
        <v>3</v>
      </c>
      <c r="L142" s="304">
        <f t="shared" si="10"/>
        <v>7</v>
      </c>
    </row>
    <row r="143" spans="1:12">
      <c r="A143" s="304" t="str">
        <f ca="1">IF(LEFT(OFFSET(COM_2012!$A$60,L143,0),2)="\I","*","")</f>
        <v>*</v>
      </c>
      <c r="B143" s="369" t="str">
        <f t="shared" ca="1" si="8"/>
        <v/>
      </c>
      <c r="C143" s="369" t="str">
        <f ca="1">IF($A143="*","",OFFSET(COM_2012!$B$60,L143,0))</f>
        <v/>
      </c>
      <c r="D143" s="369" t="str">
        <f ca="1">IF($A143="*","",IF(LEFT($B143,3)="TOP",OFFSET(COM_2012!$B$60,$L143,SUMIF($B$9:$B$12,$B143,$M$9:$M$12)),"-"))</f>
        <v/>
      </c>
      <c r="E143" s="369" t="str">
        <f ca="1">IF($A143="*","",IF($B143="PRC_ACTUNT",OFFSET(COM_2012!$B$60,$L143,SUMIF($B$9:$B$12,$B143,$M$9:$M$12)),"-"))</f>
        <v/>
      </c>
      <c r="F143" s="369" t="str">
        <f t="shared" ca="1" si="11"/>
        <v/>
      </c>
      <c r="G143" s="369" t="str">
        <f t="shared" ca="1" si="11"/>
        <v/>
      </c>
      <c r="H143" s="369" t="str">
        <f t="shared" ca="1" si="11"/>
        <v/>
      </c>
      <c r="I143" s="369" t="str">
        <f t="shared" ca="1" si="9"/>
        <v/>
      </c>
      <c r="J143" s="369"/>
      <c r="K143" s="304">
        <f>IF(L142=COM_2012!$AI$121,K142+1,K142)</f>
        <v>3</v>
      </c>
      <c r="L143" s="304">
        <f t="shared" si="10"/>
        <v>8</v>
      </c>
    </row>
    <row r="144" spans="1:12">
      <c r="A144" s="304" t="str">
        <f ca="1">IF(LEFT(OFFSET(COM_2012!$A$60,L144,0),2)="\I","*","")</f>
        <v/>
      </c>
      <c r="B144" s="369" t="str">
        <f t="shared" ca="1" si="8"/>
        <v>TOP-OUT</v>
      </c>
      <c r="C144" s="369" t="str">
        <f ca="1">IF($A144="*","",OFFSET(COM_2012!$B$60,L144,0))</f>
        <v>CEHCOA-E</v>
      </c>
      <c r="D144" s="369" t="str">
        <f ca="1">IF($A144="*","",IF(LEFT($B144,3)="TOP",OFFSET(COM_2012!$B$60,$L144,SUMIF($B$9:$B$12,$B144,$M$9:$M$12)),"-"))</f>
        <v>CEH</v>
      </c>
      <c r="E144" s="369" t="str">
        <f ca="1">IF($A144="*","",IF($B144="PRC_ACTUNT",OFFSET(COM_2012!$B$60,$L144,SUMIF($B$9:$B$12,$B144,$M$9:$M$12)),"-"))</f>
        <v>-</v>
      </c>
      <c r="F144" s="369" t="str">
        <f t="shared" ca="1" si="11"/>
        <v>-</v>
      </c>
      <c r="G144" s="369" t="str">
        <f t="shared" ca="1" si="11"/>
        <v>-</v>
      </c>
      <c r="H144" s="369" t="str">
        <f t="shared" ca="1" si="11"/>
        <v>-</v>
      </c>
      <c r="I144" s="369">
        <f t="shared" ca="1" si="9"/>
        <v>1</v>
      </c>
      <c r="J144" s="369"/>
      <c r="K144" s="304">
        <f>IF(L143=COM_2012!$AI$121,K143+1,K143)</f>
        <v>3</v>
      </c>
      <c r="L144" s="304">
        <f t="shared" si="10"/>
        <v>9</v>
      </c>
    </row>
    <row r="145" spans="1:12">
      <c r="A145" s="304" t="str">
        <f ca="1">IF(LEFT(OFFSET(COM_2012!$A$60,L145,0),2)="\I","*","")</f>
        <v/>
      </c>
      <c r="B145" s="369" t="str">
        <f t="shared" ca="1" si="8"/>
        <v>TOP-OUT</v>
      </c>
      <c r="C145" s="369" t="str">
        <f ca="1">IF($A145="*","",OFFSET(COM_2012!$B$60,L145,0))</f>
        <v>CEHELC-E</v>
      </c>
      <c r="D145" s="369" t="str">
        <f ca="1">IF($A145="*","",IF(LEFT($B145,3)="TOP",OFFSET(COM_2012!$B$60,$L145,SUMIF($B$9:$B$12,$B145,$M$9:$M$12)),"-"))</f>
        <v>CEH</v>
      </c>
      <c r="E145" s="369" t="str">
        <f ca="1">IF($A145="*","",IF($B145="PRC_ACTUNT",OFFSET(COM_2012!$B$60,$L145,SUMIF($B$9:$B$12,$B145,$M$9:$M$12)),"-"))</f>
        <v>-</v>
      </c>
      <c r="F145" s="369" t="str">
        <f t="shared" ca="1" si="11"/>
        <v>-</v>
      </c>
      <c r="G145" s="369" t="str">
        <f t="shared" ca="1" si="11"/>
        <v>-</v>
      </c>
      <c r="H145" s="369" t="str">
        <f t="shared" ca="1" si="11"/>
        <v>-</v>
      </c>
      <c r="I145" s="369">
        <f t="shared" ca="1" si="9"/>
        <v>1</v>
      </c>
      <c r="J145" s="369"/>
      <c r="K145" s="304">
        <f>IF(L144=COM_2012!$AI$121,K144+1,K144)</f>
        <v>3</v>
      </c>
      <c r="L145" s="304">
        <f t="shared" si="10"/>
        <v>10</v>
      </c>
    </row>
    <row r="146" spans="1:12">
      <c r="A146" s="304" t="str">
        <f ca="1">IF(LEFT(OFFSET(COM_2012!$A$60,L146,0),2)="\I","*","")</f>
        <v/>
      </c>
      <c r="B146" s="369" t="str">
        <f t="shared" ca="1" si="8"/>
        <v>TOP-OUT</v>
      </c>
      <c r="C146" s="369" t="str">
        <f ca="1">IF($A146="*","",OFFSET(COM_2012!$B$60,L146,0))</f>
        <v>CEHGAS-E</v>
      </c>
      <c r="D146" s="369" t="str">
        <f ca="1">IF($A146="*","",IF(LEFT($B146,3)="TOP",OFFSET(COM_2012!$B$60,$L146,SUMIF($B$9:$B$12,$B146,$M$9:$M$12)),"-"))</f>
        <v>CEH</v>
      </c>
      <c r="E146" s="369" t="str">
        <f ca="1">IF($A146="*","",IF($B146="PRC_ACTUNT",OFFSET(COM_2012!$B$60,$L146,SUMIF($B$9:$B$12,$B146,$M$9:$M$12)),"-"))</f>
        <v>-</v>
      </c>
      <c r="F146" s="369" t="str">
        <f t="shared" ca="1" si="11"/>
        <v>-</v>
      </c>
      <c r="G146" s="369" t="str">
        <f t="shared" ca="1" si="11"/>
        <v>-</v>
      </c>
      <c r="H146" s="369" t="str">
        <f t="shared" ca="1" si="11"/>
        <v>-</v>
      </c>
      <c r="I146" s="369">
        <f t="shared" ca="1" si="9"/>
        <v>1</v>
      </c>
      <c r="J146" s="369"/>
      <c r="K146" s="304">
        <f>IF(L145=COM_2012!$AI$121,K145+1,K145)</f>
        <v>3</v>
      </c>
      <c r="L146" s="304">
        <f t="shared" si="10"/>
        <v>11</v>
      </c>
    </row>
    <row r="147" spans="1:12">
      <c r="A147" s="304" t="str">
        <f ca="1">IF(LEFT(OFFSET(COM_2012!$A$60,L147,0),2)="\I","*","")</f>
        <v/>
      </c>
      <c r="B147" s="369" t="str">
        <f t="shared" ca="1" si="8"/>
        <v>TOP-OUT</v>
      </c>
      <c r="C147" s="369" t="str">
        <f ca="1">IF($A147="*","",OFFSET(COM_2012!$B$60,L147,0))</f>
        <v>CEHELC-N</v>
      </c>
      <c r="D147" s="369" t="str">
        <f ca="1">IF($A147="*","",IF(LEFT($B147,3)="TOP",OFFSET(COM_2012!$B$60,$L147,SUMIF($B$9:$B$12,$B147,$M$9:$M$12)),"-"))</f>
        <v>CEH</v>
      </c>
      <c r="E147" s="369" t="str">
        <f ca="1">IF($A147="*","",IF($B147="PRC_ACTUNT",OFFSET(COM_2012!$B$60,$L147,SUMIF($B$9:$B$12,$B147,$M$9:$M$12)),"-"))</f>
        <v>-</v>
      </c>
      <c r="F147" s="369" t="str">
        <f t="shared" ca="1" si="11"/>
        <v>-</v>
      </c>
      <c r="G147" s="369" t="str">
        <f t="shared" ca="1" si="11"/>
        <v>-</v>
      </c>
      <c r="H147" s="369" t="str">
        <f t="shared" ca="1" si="11"/>
        <v>-</v>
      </c>
      <c r="I147" s="369">
        <f t="shared" ca="1" si="9"/>
        <v>1</v>
      </c>
      <c r="J147" s="369"/>
      <c r="K147" s="304">
        <f>IF(L146=COM_2012!$AI$121,K146+1,K146)</f>
        <v>3</v>
      </c>
      <c r="L147" s="304">
        <f t="shared" si="10"/>
        <v>12</v>
      </c>
    </row>
    <row r="148" spans="1:12">
      <c r="A148" s="304" t="str">
        <f ca="1">IF(LEFT(OFFSET(COM_2012!$A$60,L148,0),2)="\I","*","")</f>
        <v/>
      </c>
      <c r="B148" s="369" t="str">
        <f t="shared" ref="B148:B180" ca="1" si="12">IF(A148="*","",VLOOKUP("*"&amp;K148,$A$9:$B$14,2,FALSE))</f>
        <v>TOP-OUT</v>
      </c>
      <c r="C148" s="369" t="str">
        <f ca="1">IF($A148="*","",OFFSET(COM_2012!$B$60,L148,0))</f>
        <v>CEHGAS-N</v>
      </c>
      <c r="D148" s="369" t="str">
        <f ca="1">IF($A148="*","",IF(LEFT($B148,3)="TOP",OFFSET(COM_2012!$B$60,$L148,SUMIF($B$9:$B$12,$B148,$M$9:$M$12)),"-"))</f>
        <v>CEH</v>
      </c>
      <c r="E148" s="369" t="str">
        <f ca="1">IF($A148="*","",IF($B148="PRC_ACTUNT",OFFSET(COM_2012!$B$60,$L148,SUMIF($B$9:$B$12,$B148,$M$9:$M$12)),"-"))</f>
        <v>-</v>
      </c>
      <c r="F148" s="369" t="str">
        <f t="shared" ca="1" si="11"/>
        <v>-</v>
      </c>
      <c r="G148" s="369" t="str">
        <f t="shared" ca="1" si="11"/>
        <v>-</v>
      </c>
      <c r="H148" s="369" t="str">
        <f t="shared" ca="1" si="11"/>
        <v>-</v>
      </c>
      <c r="I148" s="369">
        <f t="shared" ref="I148:I180" ca="1" si="13">IF($A148="*","",SUMIF($B$9:$B$12,B148,$I$9:$I$12))</f>
        <v>1</v>
      </c>
      <c r="J148" s="369"/>
      <c r="K148" s="304">
        <f>IF(L147=COM_2012!$AI$121,K147+1,K147)</f>
        <v>3</v>
      </c>
      <c r="L148" s="304">
        <f t="shared" ref="L148:L181" si="14">IF(K148=K147,L147+1,1)</f>
        <v>13</v>
      </c>
    </row>
    <row r="149" spans="1:12">
      <c r="A149" s="304" t="str">
        <f ca="1">IF(LEFT(OFFSET(COM_2012!$A$60,L149,0),2)="\I","*","")</f>
        <v>*</v>
      </c>
      <c r="B149" s="369" t="str">
        <f t="shared" ca="1" si="12"/>
        <v/>
      </c>
      <c r="C149" s="369" t="str">
        <f ca="1">IF($A149="*","",OFFSET(COM_2012!$B$60,L149,0))</f>
        <v/>
      </c>
      <c r="D149" s="369" t="str">
        <f ca="1">IF($A149="*","",IF(LEFT($B149,3)="TOP",OFFSET(COM_2012!$B$60,$L149,SUMIF($B$9:$B$12,$B149,$M$9:$M$12)),"-"))</f>
        <v/>
      </c>
      <c r="E149" s="369" t="str">
        <f ca="1">IF($A149="*","",IF($B149="PRC_ACTUNT",OFFSET(COM_2012!$B$60,$L149,SUMIF($B$9:$B$12,$B149,$M$9:$M$12)),"-"))</f>
        <v/>
      </c>
      <c r="F149" s="369" t="str">
        <f t="shared" ca="1" si="11"/>
        <v/>
      </c>
      <c r="G149" s="369" t="str">
        <f t="shared" ca="1" si="11"/>
        <v/>
      </c>
      <c r="H149" s="369" t="str">
        <f t="shared" ca="1" si="11"/>
        <v/>
      </c>
      <c r="I149" s="369" t="str">
        <f t="shared" ca="1" si="13"/>
        <v/>
      </c>
      <c r="J149" s="369"/>
      <c r="K149" s="304">
        <f>IF(L148=COM_2012!$AI$121,K148+1,K148)</f>
        <v>3</v>
      </c>
      <c r="L149" s="304">
        <f t="shared" si="14"/>
        <v>14</v>
      </c>
    </row>
    <row r="150" spans="1:12">
      <c r="A150" s="304" t="str">
        <f ca="1">IF(LEFT(OFFSET(COM_2012!$A$60,L150,0),2)="\I","*","")</f>
        <v>*</v>
      </c>
      <c r="B150" s="369" t="str">
        <f t="shared" ca="1" si="12"/>
        <v/>
      </c>
      <c r="C150" s="369" t="str">
        <f ca="1">IF($A150="*","",OFFSET(COM_2012!$B$60,L150,0))</f>
        <v/>
      </c>
      <c r="D150" s="369" t="str">
        <f ca="1">IF($A150="*","",IF(LEFT($B150,3)="TOP",OFFSET(COM_2012!$B$60,$L150,SUMIF($B$9:$B$12,$B150,$M$9:$M$12)),"-"))</f>
        <v/>
      </c>
      <c r="E150" s="369" t="str">
        <f ca="1">IF($A150="*","",IF($B150="PRC_ACTUNT",OFFSET(COM_2012!$B$60,$L150,SUMIF($B$9:$B$12,$B150,$M$9:$M$12)),"-"))</f>
        <v/>
      </c>
      <c r="F150" s="369" t="str">
        <f t="shared" ca="1" si="11"/>
        <v/>
      </c>
      <c r="G150" s="369" t="str">
        <f t="shared" ca="1" si="11"/>
        <v/>
      </c>
      <c r="H150" s="369" t="str">
        <f t="shared" ca="1" si="11"/>
        <v/>
      </c>
      <c r="I150" s="369" t="str">
        <f t="shared" ca="1" si="13"/>
        <v/>
      </c>
      <c r="J150" s="369"/>
      <c r="K150" s="304">
        <f>IF(L149=COM_2012!$AI$121,K149+1,K149)</f>
        <v>3</v>
      </c>
      <c r="L150" s="304">
        <f t="shared" si="14"/>
        <v>15</v>
      </c>
    </row>
    <row r="151" spans="1:12">
      <c r="A151" s="304" t="str">
        <f ca="1">IF(LEFT(OFFSET(COM_2012!$A$60,L151,0),2)="\I","*","")</f>
        <v/>
      </c>
      <c r="B151" s="369" t="str">
        <f t="shared" ca="1" si="12"/>
        <v>TOP-OUT</v>
      </c>
      <c r="C151" s="369" t="str">
        <f ca="1">IF($A151="*","",OFFSET(COM_2012!$B$60,L151,0))</f>
        <v>CEKOLP-E</v>
      </c>
      <c r="D151" s="369" t="str">
        <f ca="1">IF($A151="*","",IF(LEFT($B151,3)="TOP",OFFSET(COM_2012!$B$60,$L151,SUMIF($B$9:$B$12,$B151,$M$9:$M$12)),"-"))</f>
        <v>CEK</v>
      </c>
      <c r="E151" s="369" t="str">
        <f ca="1">IF($A151="*","",IF($B151="PRC_ACTUNT",OFFSET(COM_2012!$B$60,$L151,SUMIF($B$9:$B$12,$B151,$M$9:$M$12)),"-"))</f>
        <v>-</v>
      </c>
      <c r="F151" s="369" t="str">
        <f t="shared" ca="1" si="11"/>
        <v>-</v>
      </c>
      <c r="G151" s="369" t="str">
        <f t="shared" ca="1" si="11"/>
        <v>-</v>
      </c>
      <c r="H151" s="369" t="str">
        <f t="shared" ca="1" si="11"/>
        <v>-</v>
      </c>
      <c r="I151" s="369">
        <f t="shared" ca="1" si="13"/>
        <v>1</v>
      </c>
      <c r="J151" s="369"/>
      <c r="K151" s="304">
        <f>IF(L150=COM_2012!$AI$121,K150+1,K150)</f>
        <v>3</v>
      </c>
      <c r="L151" s="304">
        <f t="shared" si="14"/>
        <v>16</v>
      </c>
    </row>
    <row r="152" spans="1:12">
      <c r="A152" s="304" t="str">
        <f ca="1">IF(LEFT(OFFSET(COM_2012!$A$60,L152,0),2)="\I","*","")</f>
        <v/>
      </c>
      <c r="B152" s="369" t="str">
        <f t="shared" ca="1" si="12"/>
        <v>TOP-OUT</v>
      </c>
      <c r="C152" s="369" t="str">
        <f ca="1">IF($A152="*","",OFFSET(COM_2012!$B$60,L152,0))</f>
        <v>CEKELC-E</v>
      </c>
      <c r="D152" s="369" t="str">
        <f ca="1">IF($A152="*","",IF(LEFT($B152,3)="TOP",OFFSET(COM_2012!$B$60,$L152,SUMIF($B$9:$B$12,$B152,$M$9:$M$12)),"-"))</f>
        <v>CEK</v>
      </c>
      <c r="E152" s="369" t="str">
        <f ca="1">IF($A152="*","",IF($B152="PRC_ACTUNT",OFFSET(COM_2012!$B$60,$L152,SUMIF($B$9:$B$12,$B152,$M$9:$M$12)),"-"))</f>
        <v>-</v>
      </c>
      <c r="F152" s="369" t="str">
        <f t="shared" ca="1" si="11"/>
        <v>-</v>
      </c>
      <c r="G152" s="369" t="str">
        <f t="shared" ca="1" si="11"/>
        <v>-</v>
      </c>
      <c r="H152" s="369" t="str">
        <f t="shared" ca="1" si="11"/>
        <v>-</v>
      </c>
      <c r="I152" s="369">
        <f t="shared" ca="1" si="13"/>
        <v>1</v>
      </c>
      <c r="J152" s="369"/>
      <c r="K152" s="304">
        <f>IF(L151=COM_2012!$AI$121,K151+1,K151)</f>
        <v>3</v>
      </c>
      <c r="L152" s="304">
        <f t="shared" si="14"/>
        <v>17</v>
      </c>
    </row>
    <row r="153" spans="1:12">
      <c r="A153" s="304" t="str">
        <f ca="1">IF(LEFT(OFFSET(COM_2012!$A$60,L153,0),2)="\I","*","")</f>
        <v/>
      </c>
      <c r="B153" s="369" t="str">
        <f t="shared" ca="1" si="12"/>
        <v>TOP-OUT</v>
      </c>
      <c r="C153" s="369" t="str">
        <f ca="1">IF($A153="*","",OFFSET(COM_2012!$B$60,L153,0))</f>
        <v>CEKCOA-E</v>
      </c>
      <c r="D153" s="369" t="str">
        <f ca="1">IF($A153="*","",IF(LEFT($B153,3)="TOP",OFFSET(COM_2012!$B$60,$L153,SUMIF($B$9:$B$12,$B153,$M$9:$M$12)),"-"))</f>
        <v>CEK</v>
      </c>
      <c r="E153" s="369" t="str">
        <f ca="1">IF($A153="*","",IF($B153="PRC_ACTUNT",OFFSET(COM_2012!$B$60,$L153,SUMIF($B$9:$B$12,$B153,$M$9:$M$12)),"-"))</f>
        <v>-</v>
      </c>
      <c r="F153" s="369" t="str">
        <f t="shared" ca="1" si="11"/>
        <v>-</v>
      </c>
      <c r="G153" s="369" t="str">
        <f t="shared" ca="1" si="11"/>
        <v>-</v>
      </c>
      <c r="H153" s="369" t="str">
        <f t="shared" ca="1" si="11"/>
        <v>-</v>
      </c>
      <c r="I153" s="369">
        <f t="shared" ca="1" si="13"/>
        <v>1</v>
      </c>
      <c r="J153" s="369"/>
      <c r="K153" s="304">
        <f>IF(L152=COM_2012!$AI$121,K152+1,K152)</f>
        <v>3</v>
      </c>
      <c r="L153" s="304">
        <f t="shared" si="14"/>
        <v>18</v>
      </c>
    </row>
    <row r="154" spans="1:12">
      <c r="A154" s="304" t="str">
        <f ca="1">IF(LEFT(OFFSET(COM_2012!$A$60,L154,0),2)="\I","*","")</f>
        <v>*</v>
      </c>
      <c r="B154" s="369" t="str">
        <f t="shared" ca="1" si="12"/>
        <v/>
      </c>
      <c r="C154" s="369" t="str">
        <f ca="1">IF($A154="*","",OFFSET(COM_2012!$B$60,L154,0))</f>
        <v/>
      </c>
      <c r="D154" s="369" t="str">
        <f ca="1">IF($A154="*","",IF(LEFT($B154,3)="TOP",OFFSET(COM_2012!$B$60,$L154,SUMIF($B$9:$B$12,$B154,$M$9:$M$12)),"-"))</f>
        <v/>
      </c>
      <c r="E154" s="369" t="str">
        <f ca="1">IF($A154="*","",IF($B154="PRC_ACTUNT",OFFSET(COM_2012!$B$60,$L154,SUMIF($B$9:$B$12,$B154,$M$9:$M$12)),"-"))</f>
        <v/>
      </c>
      <c r="F154" s="369" t="str">
        <f t="shared" ca="1" si="11"/>
        <v/>
      </c>
      <c r="G154" s="369" t="str">
        <f t="shared" ca="1" si="11"/>
        <v/>
      </c>
      <c r="H154" s="369" t="str">
        <f t="shared" ca="1" si="11"/>
        <v/>
      </c>
      <c r="I154" s="369" t="str">
        <f t="shared" ca="1" si="13"/>
        <v/>
      </c>
      <c r="J154" s="369"/>
      <c r="K154" s="304">
        <f>IF(L153=COM_2012!$AI$121,K153+1,K153)</f>
        <v>3</v>
      </c>
      <c r="L154" s="304">
        <f t="shared" si="14"/>
        <v>19</v>
      </c>
    </row>
    <row r="155" spans="1:12">
      <c r="A155" s="304" t="str">
        <f ca="1">IF(LEFT(OFFSET(COM_2012!$A$60,L155,0),2)="\I","*","")</f>
        <v>*</v>
      </c>
      <c r="B155" s="369" t="str">
        <f t="shared" ca="1" si="12"/>
        <v/>
      </c>
      <c r="C155" s="369" t="str">
        <f ca="1">IF($A155="*","",OFFSET(COM_2012!$B$60,L155,0))</f>
        <v/>
      </c>
      <c r="D155" s="369" t="str">
        <f ca="1">IF($A155="*","",IF(LEFT($B155,3)="TOP",OFFSET(COM_2012!$B$60,$L155,SUMIF($B$9:$B$12,$B155,$M$9:$M$12)),"-"))</f>
        <v/>
      </c>
      <c r="E155" s="369" t="str">
        <f ca="1">IF($A155="*","",IF($B155="PRC_ACTUNT",OFFSET(COM_2012!$B$60,$L155,SUMIF($B$9:$B$12,$B155,$M$9:$M$12)),"-"))</f>
        <v/>
      </c>
      <c r="F155" s="369" t="str">
        <f t="shared" ca="1" si="11"/>
        <v/>
      </c>
      <c r="G155" s="369" t="str">
        <f t="shared" ca="1" si="11"/>
        <v/>
      </c>
      <c r="H155" s="369" t="str">
        <f t="shared" ca="1" si="11"/>
        <v/>
      </c>
      <c r="I155" s="369" t="str">
        <f t="shared" ca="1" si="13"/>
        <v/>
      </c>
      <c r="J155" s="369"/>
      <c r="K155" s="304">
        <f>IF(L154=COM_2012!$AI$121,K154+1,K154)</f>
        <v>3</v>
      </c>
      <c r="L155" s="304">
        <f t="shared" si="14"/>
        <v>20</v>
      </c>
    </row>
    <row r="156" spans="1:12">
      <c r="A156" s="304" t="str">
        <f ca="1">IF(LEFT(OFFSET(COM_2012!$A$60,L156,0),2)="\I","*","")</f>
        <v/>
      </c>
      <c r="B156" s="369" t="str">
        <f t="shared" ca="1" si="12"/>
        <v>TOP-OUT</v>
      </c>
      <c r="C156" s="369" t="str">
        <f ca="1">IF($A156="*","",OFFSET(COM_2012!$B$60,L156,0))</f>
        <v>CELELCCFL-E</v>
      </c>
      <c r="D156" s="369" t="str">
        <f ca="1">IF($A156="*","",IF(LEFT($B156,3)="TOP",OFFSET(COM_2012!$B$60,$L156,SUMIF($B$9:$B$12,$B156,$M$9:$M$12)),"-"))</f>
        <v>CEL</v>
      </c>
      <c r="E156" s="369" t="str">
        <f ca="1">IF($A156="*","",IF($B156="PRC_ACTUNT",OFFSET(COM_2012!$B$60,$L156,SUMIF($B$9:$B$12,$B156,$M$9:$M$12)),"-"))</f>
        <v>-</v>
      </c>
      <c r="F156" s="369" t="str">
        <f t="shared" ca="1" si="11"/>
        <v>-</v>
      </c>
      <c r="G156" s="369" t="str">
        <f t="shared" ca="1" si="11"/>
        <v>-</v>
      </c>
      <c r="H156" s="369" t="str">
        <f t="shared" ca="1" si="11"/>
        <v>-</v>
      </c>
      <c r="I156" s="369">
        <f t="shared" ca="1" si="13"/>
        <v>1</v>
      </c>
      <c r="J156" s="369"/>
      <c r="K156" s="304">
        <f>IF(L155=COM_2012!$AI$121,K155+1,K155)</f>
        <v>3</v>
      </c>
      <c r="L156" s="304">
        <f t="shared" si="14"/>
        <v>21</v>
      </c>
    </row>
    <row r="157" spans="1:12">
      <c r="A157" s="304" t="str">
        <f ca="1">IF(LEFT(OFFSET(COM_2012!$A$60,L157,0),2)="\I","*","")</f>
        <v/>
      </c>
      <c r="B157" s="369" t="str">
        <f t="shared" ca="1" si="12"/>
        <v>TOP-OUT</v>
      </c>
      <c r="C157" s="369" t="str">
        <f ca="1">IF($A157="*","",OFFSET(COM_2012!$B$60,L157,0))</f>
        <v>CELELCFLU-E</v>
      </c>
      <c r="D157" s="369" t="str">
        <f ca="1">IF($A157="*","",IF(LEFT($B157,3)="TOP",OFFSET(COM_2012!$B$60,$L157,SUMIF($B$9:$B$12,$B157,$M$9:$M$12)),"-"))</f>
        <v>CEL</v>
      </c>
      <c r="E157" s="369" t="str">
        <f ca="1">IF($A157="*","",IF($B157="PRC_ACTUNT",OFFSET(COM_2012!$B$60,$L157,SUMIF($B$9:$B$12,$B157,$M$9:$M$12)),"-"))</f>
        <v>-</v>
      </c>
      <c r="F157" s="369" t="str">
        <f t="shared" ca="1" si="11"/>
        <v>-</v>
      </c>
      <c r="G157" s="369" t="str">
        <f t="shared" ca="1" si="11"/>
        <v>-</v>
      </c>
      <c r="H157" s="369" t="str">
        <f t="shared" ca="1" si="11"/>
        <v>-</v>
      </c>
      <c r="I157" s="369">
        <f t="shared" ca="1" si="13"/>
        <v>1</v>
      </c>
      <c r="J157" s="369"/>
      <c r="K157" s="304">
        <f>IF(L156=COM_2012!$AI$121,K156+1,K156)</f>
        <v>3</v>
      </c>
      <c r="L157" s="304">
        <f t="shared" si="14"/>
        <v>22</v>
      </c>
    </row>
    <row r="158" spans="1:12">
      <c r="A158" s="304" t="str">
        <f ca="1">IF(LEFT(OFFSET(COM_2012!$A$60,L158,0),2)="\I","*","")</f>
        <v/>
      </c>
      <c r="B158" s="369" t="str">
        <f t="shared" ca="1" si="12"/>
        <v>TOP-OUT</v>
      </c>
      <c r="C158" s="369" t="str">
        <f ca="1">IF($A158="*","",OFFSET(COM_2012!$B$60,L158,0))</f>
        <v>CELELCHAL-E</v>
      </c>
      <c r="D158" s="369" t="str">
        <f ca="1">IF($A158="*","",IF(LEFT($B158,3)="TOP",OFFSET(COM_2012!$B$60,$L158,SUMIF($B$9:$B$12,$B158,$M$9:$M$12)),"-"))</f>
        <v>CEL</v>
      </c>
      <c r="E158" s="369" t="str">
        <f ca="1">IF($A158="*","",IF($B158="PRC_ACTUNT",OFFSET(COM_2012!$B$60,$L158,SUMIF($B$9:$B$12,$B158,$M$9:$M$12)),"-"))</f>
        <v>-</v>
      </c>
      <c r="F158" s="369" t="str">
        <f t="shared" ca="1" si="11"/>
        <v>-</v>
      </c>
      <c r="G158" s="369" t="str">
        <f t="shared" ca="1" si="11"/>
        <v>-</v>
      </c>
      <c r="H158" s="369" t="str">
        <f t="shared" ca="1" si="11"/>
        <v>-</v>
      </c>
      <c r="I158" s="369">
        <f t="shared" ca="1" si="13"/>
        <v>1</v>
      </c>
      <c r="J158" s="369"/>
      <c r="K158" s="304">
        <f>IF(L157=COM_2012!$AI$121,K157+1,K157)</f>
        <v>3</v>
      </c>
      <c r="L158" s="304">
        <f t="shared" si="14"/>
        <v>23</v>
      </c>
    </row>
    <row r="159" spans="1:12">
      <c r="A159" s="304" t="str">
        <f ca="1">IF(LEFT(OFFSET(COM_2012!$A$60,L159,0),2)="\I","*","")</f>
        <v/>
      </c>
      <c r="B159" s="369" t="str">
        <f t="shared" ca="1" si="12"/>
        <v>TOP-OUT</v>
      </c>
      <c r="C159" s="369" t="str">
        <f ca="1">IF($A159="*","",OFFSET(COM_2012!$B$60,L159,0))</f>
        <v>CELELCHID-E</v>
      </c>
      <c r="D159" s="369" t="str">
        <f ca="1">IF($A159="*","",IF(LEFT($B159,3)="TOP",OFFSET(COM_2012!$B$60,$L159,SUMIF($B$9:$B$12,$B159,$M$9:$M$12)),"-"))</f>
        <v>CEL</v>
      </c>
      <c r="E159" s="369" t="str">
        <f ca="1">IF($A159="*","",IF($B159="PRC_ACTUNT",OFFSET(COM_2012!$B$60,$L159,SUMIF($B$9:$B$12,$B159,$M$9:$M$12)),"-"))</f>
        <v>-</v>
      </c>
      <c r="F159" s="369" t="str">
        <f t="shared" ca="1" si="11"/>
        <v>-</v>
      </c>
      <c r="G159" s="369" t="str">
        <f t="shared" ca="1" si="11"/>
        <v>-</v>
      </c>
      <c r="H159" s="369" t="str">
        <f t="shared" ca="1" si="11"/>
        <v>-</v>
      </c>
      <c r="I159" s="369">
        <f t="shared" ca="1" si="13"/>
        <v>1</v>
      </c>
      <c r="J159" s="369"/>
      <c r="K159" s="304">
        <f>IF(L158=COM_2012!$AI$121,K158+1,K158)</f>
        <v>3</v>
      </c>
      <c r="L159" s="304">
        <f t="shared" si="14"/>
        <v>24</v>
      </c>
    </row>
    <row r="160" spans="1:12">
      <c r="A160" s="304" t="str">
        <f ca="1">IF(LEFT(OFFSET(COM_2012!$A$60,L160,0),2)="\I","*","")</f>
        <v/>
      </c>
      <c r="B160" s="369" t="str">
        <f t="shared" ca="1" si="12"/>
        <v>TOP-OUT</v>
      </c>
      <c r="C160" s="369" t="str">
        <f ca="1">IF($A160="*","",OFFSET(COM_2012!$B$60,L160,0))</f>
        <v>CELELCINC-E</v>
      </c>
      <c r="D160" s="369" t="str">
        <f ca="1">IF($A160="*","",IF(LEFT($B160,3)="TOP",OFFSET(COM_2012!$B$60,$L160,SUMIF($B$9:$B$12,$B160,$M$9:$M$12)),"-"))</f>
        <v>CEL</v>
      </c>
      <c r="E160" s="369" t="str">
        <f ca="1">IF($A160="*","",IF($B160="PRC_ACTUNT",OFFSET(COM_2012!$B$60,$L160,SUMIF($B$9:$B$12,$B160,$M$9:$M$12)),"-"))</f>
        <v>-</v>
      </c>
      <c r="F160" s="369" t="str">
        <f t="shared" ca="1" si="11"/>
        <v>-</v>
      </c>
      <c r="G160" s="369" t="str">
        <f t="shared" ca="1" si="11"/>
        <v>-</v>
      </c>
      <c r="H160" s="369" t="str">
        <f t="shared" ca="1" si="11"/>
        <v>-</v>
      </c>
      <c r="I160" s="369">
        <f t="shared" ca="1" si="13"/>
        <v>1</v>
      </c>
      <c r="J160" s="369"/>
      <c r="K160" s="304">
        <f>IF(L159=COM_2012!$AI$121,K159+1,K159)</f>
        <v>3</v>
      </c>
      <c r="L160" s="304">
        <f t="shared" si="14"/>
        <v>25</v>
      </c>
    </row>
    <row r="161" spans="1:12">
      <c r="A161" s="304" t="str">
        <f ca="1">IF(LEFT(OFFSET(COM_2012!$A$60,L161,0),2)="\I","*","")</f>
        <v/>
      </c>
      <c r="B161" s="369" t="str">
        <f t="shared" ca="1" si="12"/>
        <v>TOP-OUT</v>
      </c>
      <c r="C161" s="369" t="str">
        <f ca="1">IF($A161="*","",OFFSET(COM_2012!$B$60,L161,0))</f>
        <v>CELELCLED-N</v>
      </c>
      <c r="D161" s="369" t="str">
        <f ca="1">IF($A161="*","",IF(LEFT($B161,3)="TOP",OFFSET(COM_2012!$B$60,$L161,SUMIF($B$9:$B$12,$B161,$M$9:$M$12)),"-"))</f>
        <v>CEL</v>
      </c>
      <c r="E161" s="369" t="str">
        <f ca="1">IF($A161="*","",IF($B161="PRC_ACTUNT",OFFSET(COM_2012!$B$60,$L161,SUMIF($B$9:$B$12,$B161,$M$9:$M$12)),"-"))</f>
        <v>-</v>
      </c>
      <c r="F161" s="369" t="str">
        <f t="shared" ca="1" si="11"/>
        <v>-</v>
      </c>
      <c r="G161" s="369" t="str">
        <f t="shared" ca="1" si="11"/>
        <v>-</v>
      </c>
      <c r="H161" s="369" t="str">
        <f t="shared" ca="1" si="11"/>
        <v>-</v>
      </c>
      <c r="I161" s="369">
        <f t="shared" ca="1" si="13"/>
        <v>1</v>
      </c>
      <c r="J161" s="369"/>
      <c r="K161" s="304">
        <f>IF(L160=COM_2012!$AI$121,K160+1,K160)</f>
        <v>3</v>
      </c>
      <c r="L161" s="304">
        <f t="shared" si="14"/>
        <v>26</v>
      </c>
    </row>
    <row r="162" spans="1:12">
      <c r="A162" s="304" t="str">
        <f ca="1">IF(LEFT(OFFSET(COM_2012!$A$60,L162,0),2)="\I","*","")</f>
        <v>*</v>
      </c>
      <c r="B162" s="369" t="str">
        <f t="shared" ca="1" si="12"/>
        <v/>
      </c>
      <c r="C162" s="369" t="str">
        <f ca="1">IF($A162="*","",OFFSET(COM_2012!$B$60,L162,0))</f>
        <v/>
      </c>
      <c r="D162" s="369" t="str">
        <f ca="1">IF($A162="*","",IF(LEFT($B162,3)="TOP",OFFSET(COM_2012!$B$60,$L162,SUMIF($B$9:$B$12,$B162,$M$9:$M$12)),"-"))</f>
        <v/>
      </c>
      <c r="E162" s="369" t="str">
        <f ca="1">IF($A162="*","",IF($B162="PRC_ACTUNT",OFFSET(COM_2012!$B$60,$L162,SUMIF($B$9:$B$12,$B162,$M$9:$M$12)),"-"))</f>
        <v/>
      </c>
      <c r="F162" s="369" t="str">
        <f t="shared" ca="1" si="11"/>
        <v/>
      </c>
      <c r="G162" s="369" t="str">
        <f t="shared" ca="1" si="11"/>
        <v/>
      </c>
      <c r="H162" s="369" t="str">
        <f t="shared" ca="1" si="11"/>
        <v/>
      </c>
      <c r="I162" s="369" t="str">
        <f t="shared" ca="1" si="13"/>
        <v/>
      </c>
      <c r="J162" s="369"/>
      <c r="K162" s="304">
        <f>IF(L161=COM_2012!$AI$121,K161+1,K161)</f>
        <v>3</v>
      </c>
      <c r="L162" s="304">
        <f t="shared" si="14"/>
        <v>27</v>
      </c>
    </row>
    <row r="163" spans="1:12">
      <c r="A163" s="304" t="str">
        <f ca="1">IF(LEFT(OFFSET(COM_2012!$A$60,L163,0),2)="\I","*","")</f>
        <v>*</v>
      </c>
      <c r="B163" s="369" t="str">
        <f t="shared" ca="1" si="12"/>
        <v/>
      </c>
      <c r="C163" s="369" t="str">
        <f ca="1">IF($A163="*","",OFFSET(COM_2012!$B$60,L163,0))</f>
        <v/>
      </c>
      <c r="D163" s="369" t="str">
        <f ca="1">IF($A163="*","",IF(LEFT($B163,3)="TOP",OFFSET(COM_2012!$B$60,$L163,SUMIF($B$9:$B$12,$B163,$M$9:$M$12)),"-"))</f>
        <v/>
      </c>
      <c r="E163" s="369" t="str">
        <f ca="1">IF($A163="*","",IF($B163="PRC_ACTUNT",OFFSET(COM_2012!$B$60,$L163,SUMIF($B$9:$B$12,$B163,$M$9:$M$12)),"-"))</f>
        <v/>
      </c>
      <c r="F163" s="369" t="str">
        <f t="shared" ca="1" si="11"/>
        <v/>
      </c>
      <c r="G163" s="369" t="str">
        <f t="shared" ca="1" si="11"/>
        <v/>
      </c>
      <c r="H163" s="369" t="str">
        <f t="shared" ca="1" si="11"/>
        <v/>
      </c>
      <c r="I163" s="369" t="str">
        <f t="shared" ca="1" si="13"/>
        <v/>
      </c>
      <c r="J163" s="369"/>
      <c r="K163" s="304">
        <f>IF(L162=COM_2012!$AI$121,K162+1,K162)</f>
        <v>3</v>
      </c>
      <c r="L163" s="304">
        <f t="shared" si="14"/>
        <v>28</v>
      </c>
    </row>
    <row r="164" spans="1:12">
      <c r="A164" s="304" t="str">
        <f ca="1">IF(LEFT(OFFSET(COM_2012!$A$60,L164,0),2)="\I","*","")</f>
        <v/>
      </c>
      <c r="B164" s="369" t="str">
        <f t="shared" ca="1" si="12"/>
        <v>TOP-OUT</v>
      </c>
      <c r="C164" s="369" t="str">
        <f ca="1">IF($A164="*","",OFFSET(COM_2012!$B$60,L164,0))</f>
        <v>CERELC-E</v>
      </c>
      <c r="D164" s="369" t="str">
        <f ca="1">IF($A164="*","",IF(LEFT($B164,3)="TOP",OFFSET(COM_2012!$B$60,$L164,SUMIF($B$9:$B$12,$B164,$M$9:$M$12)),"-"))</f>
        <v>CER</v>
      </c>
      <c r="E164" s="369" t="str">
        <f ca="1">IF($A164="*","",IF($B164="PRC_ACTUNT",OFFSET(COM_2012!$B$60,$L164,SUMIF($B$9:$B$12,$B164,$M$9:$M$12)),"-"))</f>
        <v>-</v>
      </c>
      <c r="F164" s="369" t="str">
        <f t="shared" ca="1" si="11"/>
        <v>-</v>
      </c>
      <c r="G164" s="369" t="str">
        <f t="shared" ca="1" si="11"/>
        <v>-</v>
      </c>
      <c r="H164" s="369" t="str">
        <f t="shared" ca="1" si="11"/>
        <v>-</v>
      </c>
      <c r="I164" s="369">
        <f t="shared" ca="1" si="13"/>
        <v>1</v>
      </c>
      <c r="J164" s="369"/>
      <c r="K164" s="304">
        <f>IF(L163=COM_2012!$AI$121,K163+1,K163)</f>
        <v>3</v>
      </c>
      <c r="L164" s="304">
        <f t="shared" si="14"/>
        <v>29</v>
      </c>
    </row>
    <row r="165" spans="1:12">
      <c r="A165" s="304" t="str">
        <f ca="1">IF(LEFT(OFFSET(COM_2012!$A$60,L165,0),2)="\I","*","")</f>
        <v/>
      </c>
      <c r="B165" s="369" t="str">
        <f t="shared" ca="1" si="12"/>
        <v>TOP-OUT</v>
      </c>
      <c r="C165" s="369" t="str">
        <f ca="1">IF($A165="*","",OFFSET(COM_2012!$B$60,L165,0))</f>
        <v>CERELC-N</v>
      </c>
      <c r="D165" s="369" t="str">
        <f ca="1">IF($A165="*","",IF(LEFT($B165,3)="TOP",OFFSET(COM_2012!$B$60,$L165,SUMIF($B$9:$B$12,$B165,$M$9:$M$12)),"-"))</f>
        <v>CER</v>
      </c>
      <c r="E165" s="369" t="str">
        <f ca="1">IF($A165="*","",IF($B165="PRC_ACTUNT",OFFSET(COM_2012!$B$60,$L165,SUMIF($B$9:$B$12,$B165,$M$9:$M$12)),"-"))</f>
        <v>-</v>
      </c>
      <c r="F165" s="369" t="str">
        <f t="shared" ca="1" si="11"/>
        <v>-</v>
      </c>
      <c r="G165" s="369" t="str">
        <f t="shared" ca="1" si="11"/>
        <v>-</v>
      </c>
      <c r="H165" s="369" t="str">
        <f t="shared" ca="1" si="11"/>
        <v>-</v>
      </c>
      <c r="I165" s="369">
        <f t="shared" ca="1" si="13"/>
        <v>1</v>
      </c>
      <c r="J165" s="369"/>
      <c r="K165" s="304">
        <f>IF(L164=COM_2012!$AI$121,K164+1,K164)</f>
        <v>3</v>
      </c>
      <c r="L165" s="304">
        <f t="shared" si="14"/>
        <v>30</v>
      </c>
    </row>
    <row r="166" spans="1:12">
      <c r="A166" s="304" t="str">
        <f ca="1">IF(LEFT(OFFSET(COM_2012!$A$60,L166,0),2)="\I","*","")</f>
        <v>*</v>
      </c>
      <c r="B166" s="369" t="str">
        <f t="shared" ca="1" si="12"/>
        <v/>
      </c>
      <c r="C166" s="369" t="str">
        <f ca="1">IF($A166="*","",OFFSET(COM_2012!$B$60,L166,0))</f>
        <v/>
      </c>
      <c r="D166" s="369" t="str">
        <f ca="1">IF($A166="*","",IF(LEFT($B166,3)="TOP",OFFSET(COM_2012!$B$60,$L166,SUMIF($B$9:$B$12,$B166,$M$9:$M$12)),"-"))</f>
        <v/>
      </c>
      <c r="E166" s="369" t="str">
        <f ca="1">IF($A166="*","",IF($B166="PRC_ACTUNT",OFFSET(COM_2012!$B$60,$L166,SUMIF($B$9:$B$12,$B166,$M$9:$M$12)),"-"))</f>
        <v/>
      </c>
      <c r="F166" s="369" t="str">
        <f t="shared" ca="1" si="11"/>
        <v/>
      </c>
      <c r="G166" s="369" t="str">
        <f t="shared" ca="1" si="11"/>
        <v/>
      </c>
      <c r="H166" s="369" t="str">
        <f t="shared" ca="1" si="11"/>
        <v/>
      </c>
      <c r="I166" s="369" t="str">
        <f t="shared" ca="1" si="13"/>
        <v/>
      </c>
      <c r="J166" s="369"/>
      <c r="K166" s="304">
        <f>IF(L165=COM_2012!$AI$121,K165+1,K165)</f>
        <v>3</v>
      </c>
      <c r="L166" s="304">
        <f t="shared" si="14"/>
        <v>31</v>
      </c>
    </row>
    <row r="167" spans="1:12">
      <c r="A167" s="304" t="str">
        <f ca="1">IF(LEFT(OFFSET(COM_2012!$A$60,L167,0),2)="\I","*","")</f>
        <v>*</v>
      </c>
      <c r="B167" s="369" t="str">
        <f t="shared" ca="1" si="12"/>
        <v/>
      </c>
      <c r="C167" s="369" t="str">
        <f ca="1">IF($A167="*","",OFFSET(COM_2012!$B$60,L167,0))</f>
        <v/>
      </c>
      <c r="D167" s="369" t="str">
        <f ca="1">IF($A167="*","",IF(LEFT($B167,3)="TOP",OFFSET(COM_2012!$B$60,$L167,SUMIF($B$9:$B$12,$B167,$M$9:$M$12)),"-"))</f>
        <v/>
      </c>
      <c r="E167" s="369" t="str">
        <f ca="1">IF($A167="*","",IF($B167="PRC_ACTUNT",OFFSET(COM_2012!$B$60,$L167,SUMIF($B$9:$B$12,$B167,$M$9:$M$12)),"-"))</f>
        <v/>
      </c>
      <c r="F167" s="369" t="str">
        <f t="shared" ca="1" si="11"/>
        <v/>
      </c>
      <c r="G167" s="369" t="str">
        <f t="shared" ca="1" si="11"/>
        <v/>
      </c>
      <c r="H167" s="369" t="str">
        <f t="shared" ca="1" si="11"/>
        <v/>
      </c>
      <c r="I167" s="369" t="str">
        <f t="shared" ca="1" si="13"/>
        <v/>
      </c>
      <c r="J167" s="369"/>
      <c r="K167" s="304">
        <f>IF(L166=COM_2012!$AI$121,K166+1,K166)</f>
        <v>3</v>
      </c>
      <c r="L167" s="304">
        <f t="shared" si="14"/>
        <v>32</v>
      </c>
    </row>
    <row r="168" spans="1:12">
      <c r="A168" s="304" t="str">
        <f ca="1">IF(LEFT(OFFSET(COM_2012!$A$60,L168,0),2)="\I","*","")</f>
        <v/>
      </c>
      <c r="B168" s="369" t="str">
        <f t="shared" ca="1" si="12"/>
        <v>TOP-OUT</v>
      </c>
      <c r="C168" s="369" t="str">
        <f ca="1">IF($A168="*","",OFFSET(COM_2012!$B$60,L168,0))</f>
        <v>CEWELC-E</v>
      </c>
      <c r="D168" s="369" t="str">
        <f ca="1">IF($A168="*","",IF(LEFT($B168,3)="TOP",OFFSET(COM_2012!$B$60,$L168,SUMIF($B$9:$B$12,$B168,$M$9:$M$12)),"-"))</f>
        <v>CEW</v>
      </c>
      <c r="E168" s="369" t="str">
        <f ca="1">IF($A168="*","",IF($B168="PRC_ACTUNT",OFFSET(COM_2012!$B$60,$L168,SUMIF($B$9:$B$12,$B168,$M$9:$M$12)),"-"))</f>
        <v>-</v>
      </c>
      <c r="F168" s="369" t="str">
        <f t="shared" ca="1" si="11"/>
        <v>-</v>
      </c>
      <c r="G168" s="369" t="str">
        <f t="shared" ca="1" si="11"/>
        <v>-</v>
      </c>
      <c r="H168" s="369" t="str">
        <f t="shared" ca="1" si="11"/>
        <v>-</v>
      </c>
      <c r="I168" s="369">
        <f t="shared" ca="1" si="13"/>
        <v>1</v>
      </c>
      <c r="J168" s="369"/>
      <c r="K168" s="304">
        <f>IF(L167=COM_2012!$AI$121,K167+1,K167)</f>
        <v>3</v>
      </c>
      <c r="L168" s="304">
        <f t="shared" si="14"/>
        <v>33</v>
      </c>
    </row>
    <row r="169" spans="1:12">
      <c r="A169" s="304" t="str">
        <f ca="1">IF(LEFT(OFFSET(COM_2012!$A$60,L169,0),2)="\I","*","")</f>
        <v/>
      </c>
      <c r="B169" s="369" t="str">
        <f t="shared" ca="1" si="12"/>
        <v>TOP-OUT</v>
      </c>
      <c r="C169" s="369" t="str">
        <f ca="1">IF($A169="*","",OFFSET(COM_2012!$B$60,L169,0))</f>
        <v>CEWCOA-E</v>
      </c>
      <c r="D169" s="369" t="str">
        <f ca="1">IF($A169="*","",IF(LEFT($B169,3)="TOP",OFFSET(COM_2012!$B$60,$L169,SUMIF($B$9:$B$12,$B169,$M$9:$M$12)),"-"))</f>
        <v>CEW</v>
      </c>
      <c r="E169" s="369" t="str">
        <f ca="1">IF($A169="*","",IF($B169="PRC_ACTUNT",OFFSET(COM_2012!$B$60,$L169,SUMIF($B$9:$B$12,$B169,$M$9:$M$12)),"-"))</f>
        <v>-</v>
      </c>
      <c r="F169" s="369" t="str">
        <f t="shared" ca="1" si="11"/>
        <v>-</v>
      </c>
      <c r="G169" s="369" t="str">
        <f t="shared" ca="1" si="11"/>
        <v>-</v>
      </c>
      <c r="H169" s="369" t="str">
        <f t="shared" ca="1" si="11"/>
        <v>-</v>
      </c>
      <c r="I169" s="369">
        <f t="shared" ca="1" si="13"/>
        <v>1</v>
      </c>
      <c r="J169" s="369"/>
      <c r="K169" s="304">
        <f>IF(L168=COM_2012!$AI$121,K168+1,K168)</f>
        <v>3</v>
      </c>
      <c r="L169" s="304">
        <f t="shared" si="14"/>
        <v>34</v>
      </c>
    </row>
    <row r="170" spans="1:12">
      <c r="A170" s="304" t="str">
        <f ca="1">IF(LEFT(OFFSET(COM_2012!$A$60,L170,0),2)="\I","*","")</f>
        <v/>
      </c>
      <c r="B170" s="369" t="str">
        <f t="shared" ca="1" si="12"/>
        <v>TOP-OUT</v>
      </c>
      <c r="C170" s="369" t="str">
        <f ca="1">IF($A170="*","",OFFSET(COM_2012!$B$60,L170,0))</f>
        <v>CEWOLP-E</v>
      </c>
      <c r="D170" s="369" t="str">
        <f ca="1">IF($A170="*","",IF(LEFT($B170,3)="TOP",OFFSET(COM_2012!$B$60,$L170,SUMIF($B$9:$B$12,$B170,$M$9:$M$12)),"-"))</f>
        <v>CEW</v>
      </c>
      <c r="E170" s="369" t="str">
        <f ca="1">IF($A170="*","",IF($B170="PRC_ACTUNT",OFFSET(COM_2012!$B$60,$L170,SUMIF($B$9:$B$12,$B170,$M$9:$M$12)),"-"))</f>
        <v>-</v>
      </c>
      <c r="F170" s="369" t="str">
        <f t="shared" ca="1" si="11"/>
        <v>-</v>
      </c>
      <c r="G170" s="369" t="str">
        <f t="shared" ca="1" si="11"/>
        <v>-</v>
      </c>
      <c r="H170" s="369" t="str">
        <f t="shared" ca="1" si="11"/>
        <v>-</v>
      </c>
      <c r="I170" s="369">
        <f t="shared" ca="1" si="13"/>
        <v>1</v>
      </c>
      <c r="J170" s="369"/>
      <c r="K170" s="304">
        <f>IF(L169=COM_2012!$AI$121,K169+1,K169)</f>
        <v>3</v>
      </c>
      <c r="L170" s="304">
        <f t="shared" si="14"/>
        <v>35</v>
      </c>
    </row>
    <row r="171" spans="1:12">
      <c r="A171" s="304" t="str">
        <f ca="1">IF(LEFT(OFFSET(COM_2012!$A$60,L171,0),2)="\I","*","")</f>
        <v/>
      </c>
      <c r="B171" s="369" t="str">
        <f t="shared" ca="1" si="12"/>
        <v>TOP-OUT</v>
      </c>
      <c r="C171" s="369" t="str">
        <f ca="1">IF($A171="*","",OFFSET(COM_2012!$B$60,L171,0))</f>
        <v>CEWGAS-E</v>
      </c>
      <c r="D171" s="369" t="str">
        <f ca="1">IF($A171="*","",IF(LEFT($B171,3)="TOP",OFFSET(COM_2012!$B$60,$L171,SUMIF($B$9:$B$12,$B171,$M$9:$M$12)),"-"))</f>
        <v>CEW</v>
      </c>
      <c r="E171" s="369" t="str">
        <f ca="1">IF($A171="*","",IF($B171="PRC_ACTUNT",OFFSET(COM_2012!$B$60,$L171,SUMIF($B$9:$B$12,$B171,$M$9:$M$12)),"-"))</f>
        <v>-</v>
      </c>
      <c r="F171" s="369" t="str">
        <f t="shared" ca="1" si="11"/>
        <v>-</v>
      </c>
      <c r="G171" s="369" t="str">
        <f t="shared" ca="1" si="11"/>
        <v>-</v>
      </c>
      <c r="H171" s="369" t="str">
        <f t="shared" ca="1" si="11"/>
        <v>-</v>
      </c>
      <c r="I171" s="369">
        <f t="shared" ca="1" si="13"/>
        <v>1</v>
      </c>
      <c r="J171" s="369"/>
      <c r="K171" s="304">
        <f>IF(L170=COM_2012!$AI$121,K170+1,K170)</f>
        <v>3</v>
      </c>
      <c r="L171" s="304">
        <f t="shared" si="14"/>
        <v>36</v>
      </c>
    </row>
    <row r="172" spans="1:12">
      <c r="A172" s="304" t="str">
        <f ca="1">IF(LEFT(OFFSET(COM_2012!$A$60,L172,0),2)="\I","*","")</f>
        <v/>
      </c>
      <c r="B172" s="369" t="str">
        <f t="shared" ca="1" si="12"/>
        <v>TOP-OUT</v>
      </c>
      <c r="C172" s="369" t="str">
        <f ca="1">IF($A172="*","",OFFSET(COM_2012!$B$60,L172,0))</f>
        <v>CEWOKE-E</v>
      </c>
      <c r="D172" s="369" t="str">
        <f ca="1">IF($A172="*","",IF(LEFT($B172,3)="TOP",OFFSET(COM_2012!$B$60,$L172,SUMIF($B$9:$B$12,$B172,$M$9:$M$12)),"-"))</f>
        <v>CEW</v>
      </c>
      <c r="E172" s="369" t="str">
        <f ca="1">IF($A172="*","",IF($B172="PRC_ACTUNT",OFFSET(COM_2012!$B$60,$L172,SUMIF($B$9:$B$12,$B172,$M$9:$M$12)),"-"))</f>
        <v>-</v>
      </c>
      <c r="F172" s="369" t="str">
        <f t="shared" ca="1" si="11"/>
        <v>-</v>
      </c>
      <c r="G172" s="369" t="str">
        <f t="shared" ca="1" si="11"/>
        <v>-</v>
      </c>
      <c r="H172" s="369" t="str">
        <f t="shared" ca="1" si="11"/>
        <v>-</v>
      </c>
      <c r="I172" s="369">
        <f t="shared" ca="1" si="13"/>
        <v>1</v>
      </c>
      <c r="J172" s="369"/>
      <c r="K172" s="304">
        <f>IF(L171=COM_2012!$AI$121,K171+1,K171)</f>
        <v>3</v>
      </c>
      <c r="L172" s="304">
        <f t="shared" si="14"/>
        <v>37</v>
      </c>
    </row>
    <row r="173" spans="1:12">
      <c r="A173" s="304" t="str">
        <f ca="1">IF(LEFT(OFFSET(COM_2012!$A$60,L173,0),2)="\I","*","")</f>
        <v/>
      </c>
      <c r="B173" s="369" t="str">
        <f t="shared" ca="1" si="12"/>
        <v>TOP-OUT</v>
      </c>
      <c r="C173" s="369" t="str">
        <f ca="1">IF($A173="*","",OFFSET(COM_2012!$B$60,L173,0))</f>
        <v>CEWELC-N</v>
      </c>
      <c r="D173" s="369" t="str">
        <f ca="1">IF($A173="*","",IF(LEFT($B173,3)="TOP",OFFSET(COM_2012!$B$60,$L173,SUMIF($B$9:$B$12,$B173,$M$9:$M$12)),"-"))</f>
        <v>CEW</v>
      </c>
      <c r="E173" s="369" t="str">
        <f ca="1">IF($A173="*","",IF($B173="PRC_ACTUNT",OFFSET(COM_2012!$B$60,$L173,SUMIF($B$9:$B$12,$B173,$M$9:$M$12)),"-"))</f>
        <v>-</v>
      </c>
      <c r="F173" s="369" t="str">
        <f t="shared" ca="1" si="11"/>
        <v>-</v>
      </c>
      <c r="G173" s="369" t="str">
        <f t="shared" ca="1" si="11"/>
        <v>-</v>
      </c>
      <c r="H173" s="369" t="str">
        <f t="shared" ca="1" si="11"/>
        <v>-</v>
      </c>
      <c r="I173" s="369">
        <f t="shared" ca="1" si="13"/>
        <v>1</v>
      </c>
      <c r="J173" s="369"/>
      <c r="K173" s="304">
        <f>IF(L172=COM_2012!$AI$121,K172+1,K172)</f>
        <v>3</v>
      </c>
      <c r="L173" s="304">
        <f t="shared" si="14"/>
        <v>38</v>
      </c>
    </row>
    <row r="174" spans="1:12">
      <c r="A174" s="304" t="str">
        <f ca="1">IF(LEFT(OFFSET(COM_2012!$A$60,L174,0),2)="\I","*","")</f>
        <v/>
      </c>
      <c r="B174" s="369" t="str">
        <f t="shared" ca="1" si="12"/>
        <v>TOP-OUT</v>
      </c>
      <c r="C174" s="369" t="str">
        <f ca="1">IF($A174="*","",OFFSET(COM_2012!$B$60,L174,0))</f>
        <v>CEWELCHP-N</v>
      </c>
      <c r="D174" s="369" t="str">
        <f ca="1">IF($A174="*","",IF(LEFT($B174,3)="TOP",OFFSET(COM_2012!$B$60,$L174,SUMIF($B$9:$B$12,$B174,$M$9:$M$12)),"-"))</f>
        <v>CEW</v>
      </c>
      <c r="E174" s="369" t="str">
        <f ca="1">IF($A174="*","",IF($B174="PRC_ACTUNT",OFFSET(COM_2012!$B$60,$L174,SUMIF($B$9:$B$12,$B174,$M$9:$M$12)),"-"))</f>
        <v>-</v>
      </c>
      <c r="F174" s="369" t="str">
        <f t="shared" ref="F174:H189" ca="1" si="15">IF($A174="*","","-")</f>
        <v>-</v>
      </c>
      <c r="G174" s="369" t="str">
        <f t="shared" ca="1" si="15"/>
        <v>-</v>
      </c>
      <c r="H174" s="369" t="str">
        <f t="shared" ca="1" si="15"/>
        <v>-</v>
      </c>
      <c r="I174" s="369">
        <f t="shared" ca="1" si="13"/>
        <v>1</v>
      </c>
      <c r="J174" s="369"/>
      <c r="K174" s="304">
        <f>IF(L173=COM_2012!$AI$121,K173+1,K173)</f>
        <v>3</v>
      </c>
      <c r="L174" s="304">
        <f t="shared" si="14"/>
        <v>39</v>
      </c>
    </row>
    <row r="175" spans="1:12">
      <c r="A175" s="304" t="str">
        <f ca="1">IF(LEFT(OFFSET(COM_2012!$A$60,L175,0),2)="\I","*","")</f>
        <v>*</v>
      </c>
      <c r="B175" s="369" t="str">
        <f t="shared" ca="1" si="12"/>
        <v/>
      </c>
      <c r="C175" s="369" t="str">
        <f ca="1">IF($A175="*","",OFFSET(COM_2012!$B$60,L175,0))</f>
        <v/>
      </c>
      <c r="D175" s="369" t="str">
        <f ca="1">IF($A175="*","",IF(LEFT($B175,3)="TOP",OFFSET(COM_2012!$B$60,$L175,SUMIF($B$9:$B$12,$B175,$M$9:$M$12)),"-"))</f>
        <v/>
      </c>
      <c r="E175" s="369" t="str">
        <f ca="1">IF($A175="*","",IF($B175="PRC_ACTUNT",OFFSET(COM_2012!$B$60,$L175,SUMIF($B$9:$B$12,$B175,$M$9:$M$12)),"-"))</f>
        <v/>
      </c>
      <c r="F175" s="369" t="str">
        <f t="shared" ca="1" si="15"/>
        <v/>
      </c>
      <c r="G175" s="369" t="str">
        <f t="shared" ca="1" si="15"/>
        <v/>
      </c>
      <c r="H175" s="369" t="str">
        <f t="shared" ca="1" si="15"/>
        <v/>
      </c>
      <c r="I175" s="369" t="str">
        <f t="shared" ca="1" si="13"/>
        <v/>
      </c>
      <c r="J175" s="369"/>
      <c r="K175" s="304">
        <f>IF(L174=COM_2012!$AI$121,K174+1,K174)</f>
        <v>3</v>
      </c>
      <c r="L175" s="304">
        <f t="shared" si="14"/>
        <v>40</v>
      </c>
    </row>
    <row r="176" spans="1:12">
      <c r="A176" s="304" t="str">
        <f ca="1">IF(LEFT(OFFSET(COM_2012!$A$60,L176,0),2)="\I","*","")</f>
        <v>*</v>
      </c>
      <c r="B176" s="369" t="str">
        <f t="shared" ca="1" si="12"/>
        <v/>
      </c>
      <c r="C176" s="369" t="str">
        <f ca="1">IF($A176="*","",OFFSET(COM_2012!$B$60,L176,0))</f>
        <v/>
      </c>
      <c r="D176" s="369" t="str">
        <f ca="1">IF($A176="*","",IF(LEFT($B176,3)="TOP",OFFSET(COM_2012!$B$60,$L176,SUMIF($B$9:$B$12,$B176,$M$9:$M$12)),"-"))</f>
        <v/>
      </c>
      <c r="E176" s="369" t="str">
        <f ca="1">IF($A176="*","",IF($B176="PRC_ACTUNT",OFFSET(COM_2012!$B$60,$L176,SUMIF($B$9:$B$12,$B176,$M$9:$M$12)),"-"))</f>
        <v/>
      </c>
      <c r="F176" s="369" t="str">
        <f t="shared" ca="1" si="15"/>
        <v/>
      </c>
      <c r="G176" s="369" t="str">
        <f t="shared" ca="1" si="15"/>
        <v/>
      </c>
      <c r="H176" s="369" t="str">
        <f t="shared" ca="1" si="15"/>
        <v/>
      </c>
      <c r="I176" s="369" t="str">
        <f t="shared" ca="1" si="13"/>
        <v/>
      </c>
      <c r="J176" s="369"/>
      <c r="K176" s="304">
        <f>IF(L175=COM_2012!$AI$121,K175+1,K175)</f>
        <v>3</v>
      </c>
      <c r="L176" s="304">
        <f t="shared" si="14"/>
        <v>41</v>
      </c>
    </row>
    <row r="177" spans="1:12">
      <c r="A177" s="304" t="str">
        <f ca="1">IF(LEFT(OFFSET(COM_2012!$A$60,L177,0),2)="\I","*","")</f>
        <v/>
      </c>
      <c r="B177" s="369" t="str">
        <f t="shared" ca="1" si="12"/>
        <v>TOP-OUT</v>
      </c>
      <c r="C177" s="369" t="str">
        <f ca="1">IF($A177="*","",OFFSET(COM_2012!$B$60,L177,0))</f>
        <v>CEGELCINC-E</v>
      </c>
      <c r="D177" s="369" t="str">
        <f ca="1">IF($A177="*","",IF(LEFT($B177,3)="TOP",OFFSET(COM_2012!$B$60,$L177,SUMIF($B$9:$B$12,$B177,$M$9:$M$12)),"-"))</f>
        <v>CEG</v>
      </c>
      <c r="E177" s="369" t="str">
        <f ca="1">IF($A177="*","",IF($B177="PRC_ACTUNT",OFFSET(COM_2012!$B$60,$L177,SUMIF($B$9:$B$12,$B177,$M$9:$M$12)),"-"))</f>
        <v>-</v>
      </c>
      <c r="F177" s="369" t="str">
        <f t="shared" ca="1" si="15"/>
        <v>-</v>
      </c>
      <c r="G177" s="369" t="str">
        <f t="shared" ca="1" si="15"/>
        <v>-</v>
      </c>
      <c r="H177" s="369" t="str">
        <f t="shared" ca="1" si="15"/>
        <v>-</v>
      </c>
      <c r="I177" s="369">
        <f t="shared" ca="1" si="13"/>
        <v>1</v>
      </c>
      <c r="J177" s="369"/>
      <c r="K177" s="304">
        <f>IF(L176=COM_2012!$AI$121,K176+1,K176)</f>
        <v>3</v>
      </c>
      <c r="L177" s="304">
        <f t="shared" si="14"/>
        <v>42</v>
      </c>
    </row>
    <row r="178" spans="1:12">
      <c r="A178" s="304" t="str">
        <f ca="1">IF(LEFT(OFFSET(COM_2012!$A$60,L178,0),2)="\I","*","")</f>
        <v/>
      </c>
      <c r="B178" s="369" t="str">
        <f t="shared" ca="1" si="12"/>
        <v>TOP-OUT</v>
      </c>
      <c r="C178" s="369" t="str">
        <f ca="1">IF($A178="*","",OFFSET(COM_2012!$B$60,L178,0))</f>
        <v>CEGELCHAL-E</v>
      </c>
      <c r="D178" s="369" t="str">
        <f ca="1">IF($A178="*","",IF(LEFT($B178,3)="TOP",OFFSET(COM_2012!$B$60,$L178,SUMIF($B$9:$B$12,$B178,$M$9:$M$12)),"-"))</f>
        <v>CEG</v>
      </c>
      <c r="E178" s="369" t="str">
        <f ca="1">IF($A178="*","",IF($B178="PRC_ACTUNT",OFFSET(COM_2012!$B$60,$L178,SUMIF($B$9:$B$12,$B178,$M$9:$M$12)),"-"))</f>
        <v>-</v>
      </c>
      <c r="F178" s="369" t="str">
        <f t="shared" ca="1" si="15"/>
        <v>-</v>
      </c>
      <c r="G178" s="369" t="str">
        <f t="shared" ca="1" si="15"/>
        <v>-</v>
      </c>
      <c r="H178" s="369" t="str">
        <f t="shared" ca="1" si="15"/>
        <v>-</v>
      </c>
      <c r="I178" s="369">
        <f t="shared" ca="1" si="13"/>
        <v>1</v>
      </c>
      <c r="J178" s="369"/>
      <c r="K178" s="304">
        <f>IF(L177=COM_2012!$AI$121,K177+1,K177)</f>
        <v>3</v>
      </c>
      <c r="L178" s="304">
        <f t="shared" si="14"/>
        <v>43</v>
      </c>
    </row>
    <row r="179" spans="1:12">
      <c r="A179" s="304" t="str">
        <f ca="1">IF(LEFT(OFFSET(COM_2012!$A$60,L179,0),2)="\I","*","")</f>
        <v/>
      </c>
      <c r="B179" s="369" t="str">
        <f t="shared" ca="1" si="12"/>
        <v>TOP-OUT</v>
      </c>
      <c r="C179" s="369" t="str">
        <f ca="1">IF($A179="*","",OFFSET(COM_2012!$B$60,L179,0))</f>
        <v>CEGELCHPM-E</v>
      </c>
      <c r="D179" s="369" t="str">
        <f ca="1">IF($A179="*","",IF(LEFT($B179,3)="TOP",OFFSET(COM_2012!$B$60,$L179,SUMIF($B$9:$B$12,$B179,$M$9:$M$12)),"-"))</f>
        <v>CEG</v>
      </c>
      <c r="E179" s="369" t="str">
        <f ca="1">IF($A179="*","",IF($B179="PRC_ACTUNT",OFFSET(COM_2012!$B$60,$L179,SUMIF($B$9:$B$12,$B179,$M$9:$M$12)),"-"))</f>
        <v>-</v>
      </c>
      <c r="F179" s="369" t="str">
        <f t="shared" ca="1" si="15"/>
        <v>-</v>
      </c>
      <c r="G179" s="369" t="str">
        <f t="shared" ca="1" si="15"/>
        <v>-</v>
      </c>
      <c r="H179" s="369" t="str">
        <f t="shared" ca="1" si="15"/>
        <v>-</v>
      </c>
      <c r="I179" s="369">
        <f t="shared" ca="1" si="13"/>
        <v>1</v>
      </c>
      <c r="J179" s="369"/>
      <c r="K179" s="304">
        <f>IF(L178=COM_2012!$AI$121,K178+1,K178)</f>
        <v>3</v>
      </c>
      <c r="L179" s="304">
        <f t="shared" si="14"/>
        <v>44</v>
      </c>
    </row>
    <row r="180" spans="1:12">
      <c r="A180" s="304" t="str">
        <f ca="1">IF(LEFT(OFFSET(COM_2012!$A$60,L180,0),2)="\I","*","")</f>
        <v/>
      </c>
      <c r="B180" s="369" t="str">
        <f t="shared" ca="1" si="12"/>
        <v>TOP-OUT</v>
      </c>
      <c r="C180" s="369" t="str">
        <f ca="1">IF($A180="*","",OFFSET(COM_2012!$B$60,L180,0))</f>
        <v>CEGELCHPS-E</v>
      </c>
      <c r="D180" s="369" t="str">
        <f ca="1">IF($A180="*","",IF(LEFT($B180,3)="TOP",OFFSET(COM_2012!$B$60,$L180,SUMIF($B$9:$B$12,$B180,$M$9:$M$12)),"-"))</f>
        <v>CEG</v>
      </c>
      <c r="E180" s="369" t="str">
        <f ca="1">IF($A180="*","",IF($B180="PRC_ACTUNT",OFFSET(COM_2012!$B$60,$L180,SUMIF($B$9:$B$12,$B180,$M$9:$M$12)),"-"))</f>
        <v>-</v>
      </c>
      <c r="F180" s="369" t="str">
        <f t="shared" ca="1" si="15"/>
        <v>-</v>
      </c>
      <c r="G180" s="369" t="str">
        <f t="shared" ca="1" si="15"/>
        <v>-</v>
      </c>
      <c r="H180" s="369" t="str">
        <f t="shared" ca="1" si="15"/>
        <v>-</v>
      </c>
      <c r="I180" s="369">
        <f t="shared" ca="1" si="13"/>
        <v>1</v>
      </c>
      <c r="J180" s="369"/>
      <c r="K180" s="304">
        <f>IF(L179=COM_2012!$AI$121,K179+1,K179)</f>
        <v>3</v>
      </c>
      <c r="L180" s="304">
        <f t="shared" si="14"/>
        <v>45</v>
      </c>
    </row>
    <row r="181" spans="1:12">
      <c r="A181" s="304" t="str">
        <f ca="1">IF(LEFT(OFFSET(COM_2012!$A$60,L181,0),2)="\I","*","")</f>
        <v/>
      </c>
      <c r="B181" s="369" t="str">
        <f t="shared" ref="B181:B221" ca="1" si="16">IF(A181="*","",VLOOKUP("*"&amp;K181,$A$9:$B$14,2,FALSE))</f>
        <v>TOP-OUT</v>
      </c>
      <c r="C181" s="369" t="str">
        <f ca="1">IF($A181="*","",OFFSET(COM_2012!$B$60,L181,0))</f>
        <v>CEGELCMHL-E</v>
      </c>
      <c r="D181" s="369" t="str">
        <f ca="1">IF($A181="*","",IF(LEFT($B181,3)="TOP",OFFSET(COM_2012!$B$60,$L181,SUMIF($B$9:$B$12,$B181,$M$9:$M$12)),"-"))</f>
        <v>CEG</v>
      </c>
      <c r="E181" s="369" t="str">
        <f ca="1">IF($A181="*","",IF($B181="PRC_ACTUNT",OFFSET(COM_2012!$B$60,$L181,SUMIF($B$9:$B$12,$B181,$M$9:$M$12)),"-"))</f>
        <v>-</v>
      </c>
      <c r="F181" s="369" t="str">
        <f t="shared" ca="1" si="15"/>
        <v>-</v>
      </c>
      <c r="G181" s="369" t="str">
        <f t="shared" ca="1" si="15"/>
        <v>-</v>
      </c>
      <c r="H181" s="369" t="str">
        <f t="shared" ca="1" si="15"/>
        <v>-</v>
      </c>
      <c r="I181" s="369">
        <f t="shared" ref="I181:I221" ca="1" si="17">IF($A181="*","",SUMIF($B$9:$B$12,B181,$I$9:$I$12))</f>
        <v>1</v>
      </c>
      <c r="J181" s="369"/>
      <c r="K181" s="304">
        <f>IF(L180=COM_2012!$AI$121,K180+1,K180)</f>
        <v>3</v>
      </c>
      <c r="L181" s="304">
        <f t="shared" si="14"/>
        <v>46</v>
      </c>
    </row>
    <row r="182" spans="1:12">
      <c r="A182" s="304" t="str">
        <f ca="1">IF(LEFT(OFFSET(COM_2012!$A$60,L182,0),2)="\I","*","")</f>
        <v/>
      </c>
      <c r="B182" s="369" t="str">
        <f t="shared" ca="1" si="16"/>
        <v>TOP-OUT</v>
      </c>
      <c r="C182" s="369" t="str">
        <f ca="1">IF($A182="*","",OFFSET(COM_2012!$B$60,L182,0))</f>
        <v>CEGELCLED-N</v>
      </c>
      <c r="D182" s="369" t="str">
        <f ca="1">IF($A182="*","",IF(LEFT($B182,3)="TOP",OFFSET(COM_2012!$B$60,$L182,SUMIF($B$9:$B$12,$B182,$M$9:$M$12)),"-"))</f>
        <v>CEG</v>
      </c>
      <c r="E182" s="369" t="str">
        <f ca="1">IF($A182="*","",IF($B182="PRC_ACTUNT",OFFSET(COM_2012!$B$60,$L182,SUMIF($B$9:$B$12,$B182,$M$9:$M$12)),"-"))</f>
        <v>-</v>
      </c>
      <c r="F182" s="369" t="str">
        <f t="shared" ca="1" si="15"/>
        <v>-</v>
      </c>
      <c r="G182" s="369" t="str">
        <f t="shared" ca="1" si="15"/>
        <v>-</v>
      </c>
      <c r="H182" s="369" t="str">
        <f t="shared" ca="1" si="15"/>
        <v>-</v>
      </c>
      <c r="I182" s="369">
        <f t="shared" ca="1" si="17"/>
        <v>1</v>
      </c>
      <c r="J182" s="369"/>
      <c r="K182" s="304">
        <f>IF(L181=COM_2012!$AI$121,K181+1,K181)</f>
        <v>3</v>
      </c>
      <c r="L182" s="304">
        <f t="shared" ref="L182:L221" si="18">IF(K182=K181,L181+1,1)</f>
        <v>47</v>
      </c>
    </row>
    <row r="183" spans="1:12">
      <c r="A183" s="304" t="str">
        <f ca="1">IF(LEFT(OFFSET(COM_2012!$A$60,L183,0),2)="\I","*","")</f>
        <v>*</v>
      </c>
      <c r="B183" s="369" t="str">
        <f t="shared" ca="1" si="16"/>
        <v/>
      </c>
      <c r="C183" s="369" t="str">
        <f ca="1">IF($A183="*","",OFFSET(COM_2012!$B$60,L183,0))</f>
        <v/>
      </c>
      <c r="D183" s="369" t="str">
        <f ca="1">IF($A183="*","",IF(LEFT($B183,3)="TOP",OFFSET(COM_2012!$B$60,$L183,SUMIF($B$9:$B$12,$B183,$M$9:$M$12)),"-"))</f>
        <v/>
      </c>
      <c r="E183" s="369" t="str">
        <f ca="1">IF($A183="*","",IF($B183="PRC_ACTUNT",OFFSET(COM_2012!$B$60,$L183,SUMIF($B$9:$B$12,$B183,$M$9:$M$12)),"-"))</f>
        <v/>
      </c>
      <c r="F183" s="369" t="str">
        <f t="shared" ca="1" si="15"/>
        <v/>
      </c>
      <c r="G183" s="369" t="str">
        <f t="shared" ca="1" si="15"/>
        <v/>
      </c>
      <c r="H183" s="369" t="str">
        <f t="shared" ca="1" si="15"/>
        <v/>
      </c>
      <c r="I183" s="369" t="str">
        <f t="shared" ca="1" si="17"/>
        <v/>
      </c>
      <c r="J183" s="369"/>
      <c r="K183" s="304">
        <f>IF(L182=COM_2012!$AI$121,K182+1,K182)</f>
        <v>3</v>
      </c>
      <c r="L183" s="304">
        <f t="shared" si="18"/>
        <v>48</v>
      </c>
    </row>
    <row r="184" spans="1:12">
      <c r="A184" s="304" t="str">
        <f ca="1">IF(LEFT(OFFSET(COM_2012!$A$60,L184,0),2)="\I","*","")</f>
        <v>*</v>
      </c>
      <c r="B184" s="369" t="str">
        <f t="shared" ca="1" si="16"/>
        <v/>
      </c>
      <c r="C184" s="369" t="str">
        <f ca="1">IF($A184="*","",OFFSET(COM_2012!$B$60,L184,0))</f>
        <v/>
      </c>
      <c r="D184" s="369" t="str">
        <f ca="1">IF($A184="*","",IF(LEFT($B184,3)="TOP",OFFSET(COM_2012!$B$60,$L184,SUMIF($B$9:$B$12,$B184,$M$9:$M$12)),"-"))</f>
        <v/>
      </c>
      <c r="E184" s="369" t="str">
        <f ca="1">IF($A184="*","",IF($B184="PRC_ACTUNT",OFFSET(COM_2012!$B$60,$L184,SUMIF($B$9:$B$12,$B184,$M$9:$M$12)),"-"))</f>
        <v/>
      </c>
      <c r="F184" s="369" t="str">
        <f t="shared" ca="1" si="15"/>
        <v/>
      </c>
      <c r="G184" s="369" t="str">
        <f t="shared" ca="1" si="15"/>
        <v/>
      </c>
      <c r="H184" s="369" t="str">
        <f t="shared" ca="1" si="15"/>
        <v/>
      </c>
      <c r="I184" s="369" t="str">
        <f t="shared" ca="1" si="17"/>
        <v/>
      </c>
      <c r="J184" s="369"/>
      <c r="K184" s="304">
        <f>IF(L183=COM_2012!$AI$121,K183+1,K183)</f>
        <v>3</v>
      </c>
      <c r="L184" s="304">
        <f t="shared" si="18"/>
        <v>49</v>
      </c>
    </row>
    <row r="185" spans="1:12">
      <c r="A185" s="304" t="str">
        <f ca="1">IF(LEFT(OFFSET(COM_2012!$A$60,L185,0),2)="\I","*","")</f>
        <v/>
      </c>
      <c r="B185" s="369" t="str">
        <f t="shared" ca="1" si="16"/>
        <v>TOP-OUT</v>
      </c>
      <c r="C185" s="369" t="str">
        <f ca="1">IF($A185="*","",OFFSET(COM_2012!$B$60,L185,0))</f>
        <v>CETELC-E</v>
      </c>
      <c r="D185" s="369" t="str">
        <f ca="1">IF($A185="*","",IF(LEFT($B185,3)="TOP",OFFSET(COM_2012!$B$60,$L185,SUMIF($B$9:$B$12,$B185,$M$9:$M$12)),"-"))</f>
        <v>CET</v>
      </c>
      <c r="E185" s="369" t="str">
        <f ca="1">IF($A185="*","",IF($B185="PRC_ACTUNT",OFFSET(COM_2012!$B$60,$L185,SUMIF($B$9:$B$12,$B185,$M$9:$M$12)),"-"))</f>
        <v>-</v>
      </c>
      <c r="F185" s="369" t="str">
        <f t="shared" ca="1" si="15"/>
        <v>-</v>
      </c>
      <c r="G185" s="369" t="str">
        <f t="shared" ca="1" si="15"/>
        <v>-</v>
      </c>
      <c r="H185" s="369" t="str">
        <f t="shared" ca="1" si="15"/>
        <v>-</v>
      </c>
      <c r="I185" s="369">
        <f t="shared" ca="1" si="17"/>
        <v>1</v>
      </c>
      <c r="J185" s="369"/>
      <c r="K185" s="304">
        <f>IF(L184=COM_2012!$AI$121,K184+1,K184)</f>
        <v>3</v>
      </c>
      <c r="L185" s="304">
        <f t="shared" si="18"/>
        <v>50</v>
      </c>
    </row>
    <row r="186" spans="1:12">
      <c r="A186" s="304" t="str">
        <f ca="1">IF(LEFT(OFFSET(COM_2012!$A$60,L186,0),2)="\I","*","")</f>
        <v>*</v>
      </c>
      <c r="B186" s="369" t="str">
        <f t="shared" ca="1" si="16"/>
        <v/>
      </c>
      <c r="C186" s="369" t="str">
        <f ca="1">IF($A186="*","",OFFSET(COM_2012!$B$60,L186,0))</f>
        <v/>
      </c>
      <c r="D186" s="369" t="str">
        <f ca="1">IF($A186="*","",IF(LEFT($B186,3)="TOP",OFFSET(COM_2012!$B$60,$L186,SUMIF($B$9:$B$12,$B186,$M$9:$M$12)),"-"))</f>
        <v/>
      </c>
      <c r="E186" s="369" t="str">
        <f ca="1">IF($A186="*","",IF($B186="PRC_ACTUNT",OFFSET(COM_2012!$B$60,$L186,SUMIF($B$9:$B$12,$B186,$M$9:$M$12)),"-"))</f>
        <v/>
      </c>
      <c r="F186" s="369" t="str">
        <f t="shared" ca="1" si="15"/>
        <v/>
      </c>
      <c r="G186" s="369" t="str">
        <f t="shared" ca="1" si="15"/>
        <v/>
      </c>
      <c r="H186" s="369" t="str">
        <f t="shared" ca="1" si="15"/>
        <v/>
      </c>
      <c r="I186" s="369" t="str">
        <f t="shared" ca="1" si="17"/>
        <v/>
      </c>
      <c r="J186" s="369"/>
      <c r="K186" s="304">
        <f>IF(L185=COM_2012!$AI$121,K185+1,K185)</f>
        <v>3</v>
      </c>
      <c r="L186" s="304">
        <f t="shared" si="18"/>
        <v>51</v>
      </c>
    </row>
    <row r="187" spans="1:12">
      <c r="A187" s="304" t="str">
        <f ca="1">IF(LEFT(OFFSET(COM_2012!$A$60,L187,0),2)="\I","*","")</f>
        <v>*</v>
      </c>
      <c r="B187" s="369" t="str">
        <f t="shared" ca="1" si="16"/>
        <v/>
      </c>
      <c r="C187" s="369" t="str">
        <f ca="1">IF($A187="*","",OFFSET(COM_2012!$B$60,L187,0))</f>
        <v/>
      </c>
      <c r="D187" s="369" t="str">
        <f ca="1">IF($A187="*","",IF(LEFT($B187,3)="TOP",OFFSET(COM_2012!$B$60,$L187,SUMIF($B$9:$B$12,$B187,$M$9:$M$12)),"-"))</f>
        <v/>
      </c>
      <c r="E187" s="369" t="str">
        <f ca="1">IF($A187="*","",IF($B187="PRC_ACTUNT",OFFSET(COM_2012!$B$60,$L187,SUMIF($B$9:$B$12,$B187,$M$9:$M$12)),"-"))</f>
        <v/>
      </c>
      <c r="F187" s="369" t="str">
        <f t="shared" ca="1" si="15"/>
        <v/>
      </c>
      <c r="G187" s="369" t="str">
        <f t="shared" ca="1" si="15"/>
        <v/>
      </c>
      <c r="H187" s="369" t="str">
        <f t="shared" ca="1" si="15"/>
        <v/>
      </c>
      <c r="I187" s="369" t="str">
        <f t="shared" ca="1" si="17"/>
        <v/>
      </c>
      <c r="J187" s="369"/>
      <c r="K187" s="304">
        <f>IF(L186=COM_2012!$AI$121,K186+1,K186)</f>
        <v>3</v>
      </c>
      <c r="L187" s="304">
        <f t="shared" si="18"/>
        <v>52</v>
      </c>
    </row>
    <row r="188" spans="1:12">
      <c r="A188" s="304" t="str">
        <f ca="1">IF(LEFT(OFFSET(COM_2012!$A$60,L188,0),2)="\I","*","")</f>
        <v/>
      </c>
      <c r="B188" s="369" t="str">
        <f t="shared" ca="1" si="16"/>
        <v>TOP-OUT</v>
      </c>
      <c r="C188" s="369" t="str">
        <f ca="1">IF($A188="*","",OFFSET(COM_2012!$B$60,L188,0))</f>
        <v>CEOCOA-E</v>
      </c>
      <c r="D188" s="369" t="str">
        <f ca="1">IF($A188="*","",IF(LEFT($B188,3)="TOP",OFFSET(COM_2012!$B$60,$L188,SUMIF($B$9:$B$12,$B188,$M$9:$M$12)),"-"))</f>
        <v>CEO</v>
      </c>
      <c r="E188" s="369" t="str">
        <f ca="1">IF($A188="*","",IF($B188="PRC_ACTUNT",OFFSET(COM_2012!$B$60,$L188,SUMIF($B$9:$B$12,$B188,$M$9:$M$12)),"-"))</f>
        <v>-</v>
      </c>
      <c r="F188" s="369" t="str">
        <f t="shared" ca="1" si="15"/>
        <v>-</v>
      </c>
      <c r="G188" s="369" t="str">
        <f t="shared" ca="1" si="15"/>
        <v>-</v>
      </c>
      <c r="H188" s="369" t="str">
        <f t="shared" ca="1" si="15"/>
        <v>-</v>
      </c>
      <c r="I188" s="369">
        <f t="shared" ca="1" si="17"/>
        <v>1</v>
      </c>
      <c r="J188" s="369"/>
      <c r="K188" s="304">
        <f>IF(L187=COM_2012!$AI$121,K187+1,K187)</f>
        <v>3</v>
      </c>
      <c r="L188" s="304">
        <f t="shared" si="18"/>
        <v>53</v>
      </c>
    </row>
    <row r="189" spans="1:12">
      <c r="A189" s="304" t="str">
        <f ca="1">IF(LEFT(OFFSET(COM_2012!$A$60,L189,0),2)="\I","*","")</f>
        <v/>
      </c>
      <c r="B189" s="369" t="str">
        <f t="shared" ca="1" si="16"/>
        <v>TOP-OUT</v>
      </c>
      <c r="C189" s="369" t="str">
        <f ca="1">IF($A189="*","",OFFSET(COM_2012!$B$60,L189,0))</f>
        <v>CEOODS-E</v>
      </c>
      <c r="D189" s="369" t="str">
        <f ca="1">IF($A189="*","",IF(LEFT($B189,3)="TOP",OFFSET(COM_2012!$B$60,$L189,SUMIF($B$9:$B$12,$B189,$M$9:$M$12)),"-"))</f>
        <v>CEO</v>
      </c>
      <c r="E189" s="369" t="str">
        <f ca="1">IF($A189="*","",IF($B189="PRC_ACTUNT",OFFSET(COM_2012!$B$60,$L189,SUMIF($B$9:$B$12,$B189,$M$9:$M$12)),"-"))</f>
        <v>-</v>
      </c>
      <c r="F189" s="369" t="str">
        <f t="shared" ca="1" si="15"/>
        <v>-</v>
      </c>
      <c r="G189" s="369" t="str">
        <f t="shared" ca="1" si="15"/>
        <v>-</v>
      </c>
      <c r="H189" s="369" t="str">
        <f t="shared" ca="1" si="15"/>
        <v>-</v>
      </c>
      <c r="I189" s="369">
        <f t="shared" ca="1" si="17"/>
        <v>1</v>
      </c>
      <c r="J189" s="369"/>
      <c r="K189" s="304">
        <f>IF(L188=COM_2012!$AI$121,K188+1,K188)</f>
        <v>3</v>
      </c>
      <c r="L189" s="304">
        <f t="shared" si="18"/>
        <v>54</v>
      </c>
    </row>
    <row r="190" spans="1:12">
      <c r="A190" s="304" t="str">
        <f ca="1">IF(LEFT(OFFSET(COM_2012!$A$60,L190,0),2)="\I","*","")</f>
        <v/>
      </c>
      <c r="B190" s="369" t="str">
        <f t="shared" ca="1" si="16"/>
        <v>TOP-OUT</v>
      </c>
      <c r="C190" s="369" t="str">
        <f ca="1">IF($A190="*","",OFFSET(COM_2012!$B$60,L190,0))</f>
        <v>CEOELC-E</v>
      </c>
      <c r="D190" s="369" t="str">
        <f ca="1">IF($A190="*","",IF(LEFT($B190,3)="TOP",OFFSET(COM_2012!$B$60,$L190,SUMIF($B$9:$B$12,$B190,$M$9:$M$12)),"-"))</f>
        <v>CEO</v>
      </c>
      <c r="E190" s="369" t="str">
        <f ca="1">IF($A190="*","",IF($B190="PRC_ACTUNT",OFFSET(COM_2012!$B$60,$L190,SUMIF($B$9:$B$12,$B190,$M$9:$M$12)),"-"))</f>
        <v>-</v>
      </c>
      <c r="F190" s="369" t="str">
        <f t="shared" ref="F190:H222" ca="1" si="19">IF($A190="*","","-")</f>
        <v>-</v>
      </c>
      <c r="G190" s="369" t="str">
        <f t="shared" ca="1" si="19"/>
        <v>-</v>
      </c>
      <c r="H190" s="369" t="str">
        <f t="shared" ca="1" si="19"/>
        <v>-</v>
      </c>
      <c r="I190" s="369">
        <f t="shared" ca="1" si="17"/>
        <v>1</v>
      </c>
      <c r="J190" s="369"/>
      <c r="K190" s="304">
        <f>IF(L189=COM_2012!$AI$121,K189+1,K189)</f>
        <v>3</v>
      </c>
      <c r="L190" s="304">
        <f t="shared" si="18"/>
        <v>55</v>
      </c>
    </row>
    <row r="191" spans="1:12">
      <c r="A191" s="304" t="str">
        <f ca="1">IF(LEFT(OFFSET(COM_2012!$A$60,L191,0),2)="\I","*","")</f>
        <v/>
      </c>
      <c r="B191" s="369" t="str">
        <f t="shared" ca="1" si="16"/>
        <v>TOP-OUT</v>
      </c>
      <c r="C191" s="369" t="str">
        <f ca="1">IF($A191="*","",OFFSET(COM_2012!$B$60,L191,0))</f>
        <v>CEOGAS-E</v>
      </c>
      <c r="D191" s="369" t="str">
        <f ca="1">IF($A191="*","",IF(LEFT($B191,3)="TOP",OFFSET(COM_2012!$B$60,$L191,SUMIF($B$9:$B$12,$B191,$M$9:$M$12)),"-"))</f>
        <v>CEO</v>
      </c>
      <c r="E191" s="369" t="str">
        <f ca="1">IF($A191="*","",IF($B191="PRC_ACTUNT",OFFSET(COM_2012!$B$60,$L191,SUMIF($B$9:$B$12,$B191,$M$9:$M$12)),"-"))</f>
        <v>-</v>
      </c>
      <c r="F191" s="369" t="str">
        <f t="shared" ca="1" si="19"/>
        <v>-</v>
      </c>
      <c r="G191" s="369" t="str">
        <f t="shared" ca="1" si="19"/>
        <v>-</v>
      </c>
      <c r="H191" s="369" t="str">
        <f t="shared" ca="1" si="19"/>
        <v>-</v>
      </c>
      <c r="I191" s="369">
        <f t="shared" ca="1" si="17"/>
        <v>1</v>
      </c>
      <c r="K191" s="304">
        <f>IF(L190=COM_2012!$AI$121,K190+1,K190)</f>
        <v>3</v>
      </c>
      <c r="L191" s="304">
        <f t="shared" si="18"/>
        <v>56</v>
      </c>
    </row>
    <row r="192" spans="1:12">
      <c r="A192" s="304" t="str">
        <f ca="1">IF(LEFT(OFFSET(COM_2012!$A$60,L192,0),2)="\I","*","")</f>
        <v/>
      </c>
      <c r="B192" s="369" t="str">
        <f t="shared" ca="1" si="16"/>
        <v>TOP-OUT</v>
      </c>
      <c r="C192" s="369" t="str">
        <f ca="1">IF($A192="*","",OFFSET(COM_2012!$B$60,L192,0))</f>
        <v>CEOOGS-E</v>
      </c>
      <c r="D192" s="369" t="str">
        <f ca="1">IF($A192="*","",IF(LEFT($B192,3)="TOP",OFFSET(COM_2012!$B$60,$L192,SUMIF($B$9:$B$12,$B192,$M$9:$M$12)),"-"))</f>
        <v>CEO</v>
      </c>
      <c r="E192" s="369" t="str">
        <f ca="1">IF($A192="*","",IF($B192="PRC_ACTUNT",OFFSET(COM_2012!$B$60,$L192,SUMIF($B$9:$B$12,$B192,$M$9:$M$12)),"-"))</f>
        <v>-</v>
      </c>
      <c r="F192" s="369" t="str">
        <f t="shared" ca="1" si="19"/>
        <v>-</v>
      </c>
      <c r="G192" s="369" t="str">
        <f t="shared" ca="1" si="19"/>
        <v>-</v>
      </c>
      <c r="H192" s="369" t="str">
        <f t="shared" ca="1" si="19"/>
        <v>-</v>
      </c>
      <c r="I192" s="369">
        <f t="shared" ca="1" si="17"/>
        <v>1</v>
      </c>
      <c r="K192" s="304">
        <f>IF(L191=COM_2012!$AI$121,K191+1,K191)</f>
        <v>3</v>
      </c>
      <c r="L192" s="304">
        <f t="shared" si="18"/>
        <v>57</v>
      </c>
    </row>
    <row r="193" spans="1:12">
      <c r="A193" s="304" t="str">
        <f ca="1">IF(LEFT(OFFSET(COM_2012!$A$60,L193,0),2)="\I","*","")</f>
        <v/>
      </c>
      <c r="B193" s="369" t="str">
        <f t="shared" ca="1" si="16"/>
        <v>TOP-OUT</v>
      </c>
      <c r="C193" s="369" t="str">
        <f ca="1">IF($A193="*","",OFFSET(COM_2012!$B$60,L193,0))</f>
        <v>CEOOHF-E</v>
      </c>
      <c r="D193" s="369" t="str">
        <f ca="1">IF($A193="*","",IF(LEFT($B193,3)="TOP",OFFSET(COM_2012!$B$60,$L193,SUMIF($B$9:$B$12,$B193,$M$9:$M$12)),"-"))</f>
        <v>CEO</v>
      </c>
      <c r="E193" s="369" t="str">
        <f ca="1">IF($A193="*","",IF($B193="PRC_ACTUNT",OFFSET(COM_2012!$B$60,$L193,SUMIF($B$9:$B$12,$B193,$M$9:$M$12)),"-"))</f>
        <v>-</v>
      </c>
      <c r="F193" s="369" t="str">
        <f t="shared" ca="1" si="19"/>
        <v>-</v>
      </c>
      <c r="G193" s="369" t="str">
        <f t="shared" ca="1" si="19"/>
        <v>-</v>
      </c>
      <c r="H193" s="369" t="str">
        <f t="shared" ca="1" si="19"/>
        <v>-</v>
      </c>
      <c r="I193" s="369">
        <f t="shared" ca="1" si="17"/>
        <v>1</v>
      </c>
      <c r="K193" s="304">
        <f>IF(L192=COM_2012!$AI$121,K192+1,K192)</f>
        <v>3</v>
      </c>
      <c r="L193" s="304">
        <f t="shared" si="18"/>
        <v>58</v>
      </c>
    </row>
    <row r="194" spans="1:12">
      <c r="A194" s="304" t="str">
        <f ca="1">IF(LEFT(OFFSET(COM_2012!$A$60,L194,0),2)="\I","*","")</f>
        <v/>
      </c>
      <c r="B194" s="369" t="str">
        <f t="shared" ca="1" si="16"/>
        <v>TOP-OUT</v>
      </c>
      <c r="C194" s="369" t="str">
        <f ca="1">IF($A194="*","",OFFSET(COM_2012!$B$60,L194,0))</f>
        <v>CEOOKE-E</v>
      </c>
      <c r="D194" s="369" t="str">
        <f ca="1">IF($A194="*","",IF(LEFT($B194,3)="TOP",OFFSET(COM_2012!$B$60,$L194,SUMIF($B$9:$B$12,$B194,$M$9:$M$12)),"-"))</f>
        <v>CEO</v>
      </c>
      <c r="E194" s="369" t="str">
        <f ca="1">IF($A194="*","",IF($B194="PRC_ACTUNT",OFFSET(COM_2012!$B$60,$L194,SUMIF($B$9:$B$12,$B194,$M$9:$M$12)),"-"))</f>
        <v>-</v>
      </c>
      <c r="F194" s="369" t="str">
        <f t="shared" ca="1" si="19"/>
        <v>-</v>
      </c>
      <c r="G194" s="369" t="str">
        <f t="shared" ca="1" si="19"/>
        <v>-</v>
      </c>
      <c r="H194" s="369" t="str">
        <f t="shared" ca="1" si="19"/>
        <v>-</v>
      </c>
      <c r="I194" s="369">
        <f t="shared" ca="1" si="17"/>
        <v>1</v>
      </c>
      <c r="K194" s="304">
        <f>IF(L193=COM_2012!$AI$121,K193+1,K193)</f>
        <v>3</v>
      </c>
      <c r="L194" s="304">
        <f t="shared" si="18"/>
        <v>59</v>
      </c>
    </row>
    <row r="195" spans="1:12">
      <c r="A195" s="304" t="str">
        <f ca="1">IF(LEFT(OFFSET(COM_2012!$A$60,L195,0),2)="\I","*","")</f>
        <v>*</v>
      </c>
      <c r="B195" s="369" t="str">
        <f t="shared" ca="1" si="16"/>
        <v/>
      </c>
      <c r="C195" s="369" t="str">
        <f ca="1">IF($A195="*","",OFFSET(COM_2012!$B$60,L195,0))</f>
        <v/>
      </c>
      <c r="D195" s="369" t="str">
        <f ca="1">IF($A195="*","",IF(LEFT($B195,3)="TOP",OFFSET(COM_2012!$B$60,$L195,SUMIF($B$9:$B$12,$B195,$M$9:$M$12)),"-"))</f>
        <v/>
      </c>
      <c r="E195" s="369" t="str">
        <f ca="1">IF($A195="*","",IF($B195="PRC_ACTUNT",OFFSET(COM_2012!$B$60,$L195,SUMIF($B$9:$B$12,$B195,$M$9:$M$12)),"-"))</f>
        <v/>
      </c>
      <c r="F195" s="369" t="str">
        <f t="shared" ca="1" si="19"/>
        <v/>
      </c>
      <c r="G195" s="369" t="str">
        <f t="shared" ca="1" si="19"/>
        <v/>
      </c>
      <c r="H195" s="369" t="str">
        <f t="shared" ca="1" si="19"/>
        <v/>
      </c>
      <c r="I195" s="369" t="str">
        <f t="shared" ca="1" si="17"/>
        <v/>
      </c>
      <c r="K195" s="304">
        <f>IF(L194=COM_2012!$AI$121,K194+1,K194)</f>
        <v>3</v>
      </c>
      <c r="L195" s="304">
        <f t="shared" si="18"/>
        <v>60</v>
      </c>
    </row>
    <row r="196" spans="1:12">
      <c r="A196" s="304" t="str">
        <f ca="1">IF(LEFT(OFFSET(COM_2012!$A$60,L196,0),2)="\I","*","")</f>
        <v>*</v>
      </c>
      <c r="B196" s="369" t="str">
        <f t="shared" ca="1" si="16"/>
        <v/>
      </c>
      <c r="C196" s="369" t="str">
        <f ca="1">IF($A196="*","",OFFSET(COM_2012!$B$60,L196,0))</f>
        <v/>
      </c>
      <c r="D196" s="369" t="str">
        <f ca="1">IF($A196="*","",IF(LEFT($B196,3)="TOP",OFFSET(COM_2012!$B$60,$L196,SUMIF($B$9:$B$12,$B196,$M$9:$M$12)),"-"))</f>
        <v/>
      </c>
      <c r="E196" s="369" t="str">
        <f ca="1">IF($A196="*","",IF($B196="PRC_ACTUNT",OFFSET(COM_2012!$B$60,$L196,SUMIF($B$9:$B$12,$B196,$M$9:$M$12)),"-"))</f>
        <v/>
      </c>
      <c r="F196" s="369" t="str">
        <f t="shared" ca="1" si="19"/>
        <v/>
      </c>
      <c r="G196" s="369" t="str">
        <f t="shared" ca="1" si="19"/>
        <v/>
      </c>
      <c r="H196" s="369" t="str">
        <f t="shared" ca="1" si="19"/>
        <v/>
      </c>
      <c r="I196" s="369" t="str">
        <f t="shared" ca="1" si="17"/>
        <v/>
      </c>
      <c r="K196" s="304">
        <f>IF(L195=COM_2012!$AI$121,K195+1,K195)</f>
        <v>3</v>
      </c>
      <c r="L196" s="304">
        <f t="shared" si="18"/>
        <v>61</v>
      </c>
    </row>
    <row r="197" spans="1:12">
      <c r="A197" s="304" t="str">
        <f ca="1">IF(LEFT(OFFSET(COM_2012!$A$60,L197,0),2)="\I","*","")</f>
        <v/>
      </c>
      <c r="B197" s="369" t="str">
        <f t="shared" ca="1" si="16"/>
        <v>TOP-IN</v>
      </c>
      <c r="C197" s="369" t="str">
        <f ca="1">IF($A197="*","",OFFSET(COM_2012!$B$60,L197,0))</f>
        <v>CECELCCHIL-E</v>
      </c>
      <c r="D197" s="369" t="str">
        <f ca="1">IF($A197="*","",IF(LEFT($B197,3)="TOP",OFFSET(COM_2012!$B$60,$L197,SUMIF($B$9:$B$12,$B197,$M$9:$M$12)),"-"))</f>
        <v>COMELC</v>
      </c>
      <c r="E197" s="369" t="str">
        <f ca="1">IF($A197="*","",IF($B197="PRC_ACTUNT",OFFSET(COM_2012!$B$60,$L197,SUMIF($B$9:$B$12,$B197,$M$9:$M$12)),"-"))</f>
        <v>-</v>
      </c>
      <c r="F197" s="369" t="str">
        <f t="shared" ca="1" si="19"/>
        <v>-</v>
      </c>
      <c r="G197" s="369" t="str">
        <f t="shared" ca="1" si="19"/>
        <v>-</v>
      </c>
      <c r="H197" s="369" t="str">
        <f t="shared" ca="1" si="19"/>
        <v>-</v>
      </c>
      <c r="I197" s="369">
        <f t="shared" ca="1" si="17"/>
        <v>1</v>
      </c>
      <c r="K197" s="304">
        <f>IF(L196=COM_2012!$AI$121,K196+1,K196)</f>
        <v>4</v>
      </c>
      <c r="L197" s="304">
        <f t="shared" si="18"/>
        <v>1</v>
      </c>
    </row>
    <row r="198" spans="1:12">
      <c r="A198" s="304" t="str">
        <f ca="1">IF(LEFT(OFFSET(COM_2012!$A$60,L198,0),2)="\I","*","")</f>
        <v/>
      </c>
      <c r="B198" s="369" t="str">
        <f t="shared" ca="1" si="16"/>
        <v>TOP-IN</v>
      </c>
      <c r="C198" s="369" t="str">
        <f ca="1">IF($A198="*","",OFFSET(COM_2012!$B$60,L198,0))</f>
        <v>CECELCCEN-E</v>
      </c>
      <c r="D198" s="369" t="str">
        <f ca="1">IF($A198="*","",IF(LEFT($B198,3)="TOP",OFFSET(COM_2012!$B$60,$L198,SUMIF($B$9:$B$12,$B198,$M$9:$M$12)),"-"))</f>
        <v>COMELC</v>
      </c>
      <c r="E198" s="369" t="str">
        <f ca="1">IF($A198="*","",IF($B198="PRC_ACTUNT",OFFSET(COM_2012!$B$60,$L198,SUMIF($B$9:$B$12,$B198,$M$9:$M$12)),"-"))</f>
        <v>-</v>
      </c>
      <c r="F198" s="369" t="str">
        <f t="shared" ca="1" si="19"/>
        <v>-</v>
      </c>
      <c r="G198" s="369" t="str">
        <f t="shared" ca="1" si="19"/>
        <v>-</v>
      </c>
      <c r="H198" s="369" t="str">
        <f t="shared" ca="1" si="19"/>
        <v>-</v>
      </c>
      <c r="I198" s="369">
        <f t="shared" ca="1" si="17"/>
        <v>1</v>
      </c>
      <c r="K198" s="304">
        <f>IF(L197=COM_2012!$AI$121,K197+1,K197)</f>
        <v>4</v>
      </c>
      <c r="L198" s="304">
        <f t="shared" si="18"/>
        <v>2</v>
      </c>
    </row>
    <row r="199" spans="1:12">
      <c r="A199" s="304" t="str">
        <f ca="1">IF(LEFT(OFFSET(COM_2012!$A$60,L199,0),2)="\I","*","")</f>
        <v/>
      </c>
      <c r="B199" s="369" t="str">
        <f t="shared" ca="1" si="16"/>
        <v>TOP-IN</v>
      </c>
      <c r="C199" s="369" t="str">
        <f ca="1">IF($A199="*","",OFFSET(COM_2012!$B$60,L199,0))</f>
        <v>CECELCHP-E</v>
      </c>
      <c r="D199" s="369" t="str">
        <f ca="1">IF($A199="*","",IF(LEFT($B199,3)="TOP",OFFSET(COM_2012!$B$60,$L199,SUMIF($B$9:$B$12,$B199,$M$9:$M$12)),"-"))</f>
        <v>COMELC</v>
      </c>
      <c r="E199" s="369" t="str">
        <f ca="1">IF($A199="*","",IF($B199="PRC_ACTUNT",OFFSET(COM_2012!$B$60,$L199,SUMIF($B$9:$B$12,$B199,$M$9:$M$12)),"-"))</f>
        <v>-</v>
      </c>
      <c r="F199" s="369" t="str">
        <f t="shared" ca="1" si="19"/>
        <v>-</v>
      </c>
      <c r="G199" s="369" t="str">
        <f t="shared" ca="1" si="19"/>
        <v>-</v>
      </c>
      <c r="H199" s="369" t="str">
        <f t="shared" ca="1" si="19"/>
        <v>-</v>
      </c>
      <c r="I199" s="369">
        <f t="shared" ca="1" si="17"/>
        <v>1</v>
      </c>
      <c r="K199" s="304">
        <f>IF(L198=COM_2012!$AI$121,K198+1,K198)</f>
        <v>4</v>
      </c>
      <c r="L199" s="304">
        <f t="shared" si="18"/>
        <v>3</v>
      </c>
    </row>
    <row r="200" spans="1:12">
      <c r="A200" s="304" t="str">
        <f ca="1">IF(LEFT(OFFSET(COM_2012!$A$60,L200,0),2)="\I","*","")</f>
        <v/>
      </c>
      <c r="B200" s="369" t="str">
        <f t="shared" ca="1" si="16"/>
        <v>TOP-IN</v>
      </c>
      <c r="C200" s="369" t="str">
        <f ca="1">IF($A200="*","",OFFSET(COM_2012!$B$60,L200,0))</f>
        <v>CECELCROOM-E</v>
      </c>
      <c r="D200" s="369" t="str">
        <f ca="1">IF($A200="*","",IF(LEFT($B200,3)="TOP",OFFSET(COM_2012!$B$60,$L200,SUMIF($B$9:$B$12,$B200,$M$9:$M$12)),"-"))</f>
        <v>COMELC</v>
      </c>
      <c r="E200" s="369" t="str">
        <f ca="1">IF($A200="*","",IF($B200="PRC_ACTUNT",OFFSET(COM_2012!$B$60,$L200,SUMIF($B$9:$B$12,$B200,$M$9:$M$12)),"-"))</f>
        <v>-</v>
      </c>
      <c r="F200" s="369" t="str">
        <f t="shared" ca="1" si="19"/>
        <v>-</v>
      </c>
      <c r="G200" s="369" t="str">
        <f t="shared" ca="1" si="19"/>
        <v>-</v>
      </c>
      <c r="H200" s="369" t="str">
        <f t="shared" ca="1" si="19"/>
        <v>-</v>
      </c>
      <c r="I200" s="369">
        <f t="shared" ca="1" si="17"/>
        <v>1</v>
      </c>
      <c r="K200" s="304">
        <f>IF(L199=COM_2012!$AI$121,K199+1,K199)</f>
        <v>4</v>
      </c>
      <c r="L200" s="304">
        <f t="shared" si="18"/>
        <v>4</v>
      </c>
    </row>
    <row r="201" spans="1:12">
      <c r="A201" s="304" t="str">
        <f ca="1">IF(LEFT(OFFSET(COM_2012!$A$60,L201,0),2)="\I","*","")</f>
        <v/>
      </c>
      <c r="B201" s="369" t="str">
        <f t="shared" ca="1" si="16"/>
        <v>TOP-IN</v>
      </c>
      <c r="C201" s="369" t="str">
        <f ca="1">IF($A201="*","",OFFSET(COM_2012!$B$60,L201,0))</f>
        <v>CECELCCEN-N</v>
      </c>
      <c r="D201" s="369" t="str">
        <f ca="1">IF($A201="*","",IF(LEFT($B201,3)="TOP",OFFSET(COM_2012!$B$60,$L201,SUMIF($B$9:$B$12,$B201,$M$9:$M$12)),"-"))</f>
        <v>COMELC</v>
      </c>
      <c r="E201" s="369" t="str">
        <f ca="1">IF($A201="*","",IF($B201="PRC_ACTUNT",OFFSET(COM_2012!$B$60,$L201,SUMIF($B$9:$B$12,$B201,$M$9:$M$12)),"-"))</f>
        <v>-</v>
      </c>
      <c r="F201" s="369" t="str">
        <f t="shared" ca="1" si="19"/>
        <v>-</v>
      </c>
      <c r="G201" s="369" t="str">
        <f t="shared" ca="1" si="19"/>
        <v>-</v>
      </c>
      <c r="H201" s="369" t="str">
        <f t="shared" ca="1" si="19"/>
        <v>-</v>
      </c>
      <c r="I201" s="369">
        <f t="shared" ca="1" si="17"/>
        <v>1</v>
      </c>
      <c r="K201" s="304">
        <f>IF(L200=COM_2012!$AI$121,K200+1,K200)</f>
        <v>4</v>
      </c>
      <c r="L201" s="304">
        <f t="shared" si="18"/>
        <v>5</v>
      </c>
    </row>
    <row r="202" spans="1:12">
      <c r="A202" s="304" t="str">
        <f ca="1">IF(LEFT(OFFSET(COM_2012!$A$60,L202,0),2)="\I","*","")</f>
        <v/>
      </c>
      <c r="B202" s="369" t="str">
        <f t="shared" ca="1" si="16"/>
        <v>TOP-IN</v>
      </c>
      <c r="C202" s="369" t="str">
        <f ca="1">IF($A202="*","",OFFSET(COM_2012!$B$60,L202,0))</f>
        <v>CECELCHP-N</v>
      </c>
      <c r="D202" s="369" t="str">
        <f ca="1">IF($A202="*","",IF(LEFT($B202,3)="TOP",OFFSET(COM_2012!$B$60,$L202,SUMIF($B$9:$B$12,$B202,$M$9:$M$12)),"-"))</f>
        <v>COMELC</v>
      </c>
      <c r="E202" s="369" t="str">
        <f ca="1">IF($A202="*","",IF($B202="PRC_ACTUNT",OFFSET(COM_2012!$B$60,$L202,SUMIF($B$9:$B$12,$B202,$M$9:$M$12)),"-"))</f>
        <v>-</v>
      </c>
      <c r="F202" s="369" t="str">
        <f t="shared" ca="1" si="19"/>
        <v>-</v>
      </c>
      <c r="G202" s="369" t="str">
        <f t="shared" ca="1" si="19"/>
        <v>-</v>
      </c>
      <c r="H202" s="369" t="str">
        <f t="shared" ca="1" si="19"/>
        <v>-</v>
      </c>
      <c r="I202" s="369">
        <f t="shared" ca="1" si="17"/>
        <v>1</v>
      </c>
      <c r="K202" s="304">
        <f>IF(L201=COM_2012!$AI$121,K201+1,K201)</f>
        <v>4</v>
      </c>
      <c r="L202" s="304">
        <f t="shared" si="18"/>
        <v>6</v>
      </c>
    </row>
    <row r="203" spans="1:12">
      <c r="A203" s="304" t="str">
        <f ca="1">IF(LEFT(OFFSET(COM_2012!$A$60,L203,0),2)="\I","*","")</f>
        <v>*</v>
      </c>
      <c r="B203" s="369" t="str">
        <f t="shared" ca="1" si="16"/>
        <v/>
      </c>
      <c r="C203" s="369" t="str">
        <f ca="1">IF($A203="*","",OFFSET(COM_2012!$B$60,L203,0))</f>
        <v/>
      </c>
      <c r="D203" s="369" t="str">
        <f ca="1">IF($A203="*","",IF(LEFT($B203,3)="TOP",OFFSET(COM_2012!$B$60,$L203,SUMIF($B$9:$B$12,$B203,$M$9:$M$12)),"-"))</f>
        <v/>
      </c>
      <c r="E203" s="369" t="str">
        <f ca="1">IF($A203="*","",IF($B203="PRC_ACTUNT",OFFSET(COM_2012!$B$60,$L203,SUMIF($B$9:$B$12,$B203,$M$9:$M$12)),"-"))</f>
        <v/>
      </c>
      <c r="F203" s="369" t="str">
        <f t="shared" ca="1" si="19"/>
        <v/>
      </c>
      <c r="G203" s="369" t="str">
        <f t="shared" ca="1" si="19"/>
        <v/>
      </c>
      <c r="H203" s="369" t="str">
        <f t="shared" ca="1" si="19"/>
        <v/>
      </c>
      <c r="I203" s="369" t="str">
        <f t="shared" ca="1" si="17"/>
        <v/>
      </c>
      <c r="K203" s="304">
        <f>IF(L202=COM_2012!$AI$121,K202+1,K202)</f>
        <v>4</v>
      </c>
      <c r="L203" s="304">
        <f t="shared" si="18"/>
        <v>7</v>
      </c>
    </row>
    <row r="204" spans="1:12">
      <c r="A204" s="304" t="str">
        <f ca="1">IF(LEFT(OFFSET(COM_2012!$A$60,L204,0),2)="\I","*","")</f>
        <v>*</v>
      </c>
      <c r="B204" s="369" t="str">
        <f t="shared" ca="1" si="16"/>
        <v/>
      </c>
      <c r="C204" s="369" t="str">
        <f ca="1">IF($A204="*","",OFFSET(COM_2012!$B$60,L204,0))</f>
        <v/>
      </c>
      <c r="D204" s="369" t="str">
        <f ca="1">IF($A204="*","",IF(LEFT($B204,3)="TOP",OFFSET(COM_2012!$B$60,$L204,SUMIF($B$9:$B$12,$B204,$M$9:$M$12)),"-"))</f>
        <v/>
      </c>
      <c r="E204" s="369" t="str">
        <f ca="1">IF($A204="*","",IF($B204="PRC_ACTUNT",OFFSET(COM_2012!$B$60,$L204,SUMIF($B$9:$B$12,$B204,$M$9:$M$12)),"-"))</f>
        <v/>
      </c>
      <c r="F204" s="369" t="str">
        <f t="shared" ca="1" si="19"/>
        <v/>
      </c>
      <c r="G204" s="369" t="str">
        <f t="shared" ca="1" si="19"/>
        <v/>
      </c>
      <c r="H204" s="369" t="str">
        <f t="shared" ca="1" si="19"/>
        <v/>
      </c>
      <c r="I204" s="369" t="str">
        <f t="shared" ca="1" si="17"/>
        <v/>
      </c>
      <c r="K204" s="304">
        <f>IF(L203=COM_2012!$AI$121,K203+1,K203)</f>
        <v>4</v>
      </c>
      <c r="L204" s="304">
        <f t="shared" si="18"/>
        <v>8</v>
      </c>
    </row>
    <row r="205" spans="1:12">
      <c r="A205" s="304" t="str">
        <f ca="1">IF(LEFT(OFFSET(COM_2012!$A$60,L205,0),2)="\I","*","")</f>
        <v/>
      </c>
      <c r="B205" s="369" t="str">
        <f t="shared" ca="1" si="16"/>
        <v>TOP-IN</v>
      </c>
      <c r="C205" s="369" t="str">
        <f ca="1">IF($A205="*","",OFFSET(COM_2012!$B$60,L205,0))</f>
        <v>CEHCOA-E</v>
      </c>
      <c r="D205" s="369" t="str">
        <f ca="1">IF($A205="*","",IF(LEFT($B205,3)="TOP",OFFSET(COM_2012!$B$60,$L205,SUMIF($B$9:$B$12,$B205,$M$9:$M$12)),"-"))</f>
        <v>COMCOA</v>
      </c>
      <c r="E205" s="369" t="str">
        <f ca="1">IF($A205="*","",IF($B205="PRC_ACTUNT",OFFSET(COM_2012!$B$60,$L205,SUMIF($B$9:$B$12,$B205,$M$9:$M$12)),"-"))</f>
        <v>-</v>
      </c>
      <c r="F205" s="369" t="str">
        <f t="shared" ca="1" si="19"/>
        <v>-</v>
      </c>
      <c r="G205" s="369" t="str">
        <f t="shared" ca="1" si="19"/>
        <v>-</v>
      </c>
      <c r="H205" s="369" t="str">
        <f t="shared" ca="1" si="19"/>
        <v>-</v>
      </c>
      <c r="I205" s="369">
        <f t="shared" ca="1" si="17"/>
        <v>1</v>
      </c>
      <c r="K205" s="304">
        <f>IF(L204=COM_2012!$AI$121,K204+1,K204)</f>
        <v>4</v>
      </c>
      <c r="L205" s="304">
        <f t="shared" si="18"/>
        <v>9</v>
      </c>
    </row>
    <row r="206" spans="1:12">
      <c r="A206" s="304" t="str">
        <f ca="1">IF(LEFT(OFFSET(COM_2012!$A$60,L206,0),2)="\I","*","")</f>
        <v/>
      </c>
      <c r="B206" s="369" t="str">
        <f t="shared" ca="1" si="16"/>
        <v>TOP-IN</v>
      </c>
      <c r="C206" s="369" t="str">
        <f ca="1">IF($A206="*","",OFFSET(COM_2012!$B$60,L206,0))</f>
        <v>CEHELC-E</v>
      </c>
      <c r="D206" s="369" t="str">
        <f ca="1">IF($A206="*","",IF(LEFT($B206,3)="TOP",OFFSET(COM_2012!$B$60,$L206,SUMIF($B$9:$B$12,$B206,$M$9:$M$12)),"-"))</f>
        <v>COMELC</v>
      </c>
      <c r="E206" s="369" t="str">
        <f ca="1">IF($A206="*","",IF($B206="PRC_ACTUNT",OFFSET(COM_2012!$B$60,$L206,SUMIF($B$9:$B$12,$B206,$M$9:$M$12)),"-"))</f>
        <v>-</v>
      </c>
      <c r="F206" s="369" t="str">
        <f t="shared" ca="1" si="19"/>
        <v>-</v>
      </c>
      <c r="G206" s="369" t="str">
        <f t="shared" ca="1" si="19"/>
        <v>-</v>
      </c>
      <c r="H206" s="369" t="str">
        <f t="shared" ca="1" si="19"/>
        <v>-</v>
      </c>
      <c r="I206" s="369">
        <f t="shared" ca="1" si="17"/>
        <v>1</v>
      </c>
      <c r="K206" s="304">
        <f>IF(L205=COM_2012!$AI$121,K205+1,K205)</f>
        <v>4</v>
      </c>
      <c r="L206" s="304">
        <f t="shared" si="18"/>
        <v>10</v>
      </c>
    </row>
    <row r="207" spans="1:12">
      <c r="A207" s="304" t="str">
        <f ca="1">IF(LEFT(OFFSET(COM_2012!$A$60,L207,0),2)="\I","*","")</f>
        <v/>
      </c>
      <c r="B207" s="369" t="str">
        <f t="shared" ca="1" si="16"/>
        <v>TOP-IN</v>
      </c>
      <c r="C207" s="369" t="str">
        <f ca="1">IF($A207="*","",OFFSET(COM_2012!$B$60,L207,0))</f>
        <v>CEHGAS-E</v>
      </c>
      <c r="D207" s="369" t="str">
        <f ca="1">IF($A207="*","",IF(LEFT($B207,3)="TOP",OFFSET(COM_2012!$B$60,$L207,SUMIF($B$9:$B$12,$B207,$M$9:$M$12)),"-"))</f>
        <v>COMGAS</v>
      </c>
      <c r="E207" s="369" t="str">
        <f ca="1">IF($A207="*","",IF($B207="PRC_ACTUNT",OFFSET(COM_2012!$B$60,$L207,SUMIF($B$9:$B$12,$B207,$M$9:$M$12)),"-"))</f>
        <v>-</v>
      </c>
      <c r="F207" s="369" t="str">
        <f t="shared" ca="1" si="19"/>
        <v>-</v>
      </c>
      <c r="G207" s="369" t="str">
        <f t="shared" ca="1" si="19"/>
        <v>-</v>
      </c>
      <c r="H207" s="369" t="str">
        <f t="shared" ca="1" si="19"/>
        <v>-</v>
      </c>
      <c r="I207" s="369">
        <f t="shared" ca="1" si="17"/>
        <v>1</v>
      </c>
      <c r="K207" s="304">
        <f>IF(L206=COM_2012!$AI$121,K206+1,K206)</f>
        <v>4</v>
      </c>
      <c r="L207" s="304">
        <f t="shared" si="18"/>
        <v>11</v>
      </c>
    </row>
    <row r="208" spans="1:12">
      <c r="A208" s="304" t="str">
        <f ca="1">IF(LEFT(OFFSET(COM_2012!$A$60,L208,0),2)="\I","*","")</f>
        <v/>
      </c>
      <c r="B208" s="369" t="str">
        <f t="shared" ca="1" si="16"/>
        <v>TOP-IN</v>
      </c>
      <c r="C208" s="369" t="str">
        <f ca="1">IF($A208="*","",OFFSET(COM_2012!$B$60,L208,0))</f>
        <v>CEHELC-N</v>
      </c>
      <c r="D208" s="369" t="str">
        <f ca="1">IF($A208="*","",IF(LEFT($B208,3)="TOP",OFFSET(COM_2012!$B$60,$L208,SUMIF($B$9:$B$12,$B208,$M$9:$M$12)),"-"))</f>
        <v>COMELC</v>
      </c>
      <c r="E208" s="369" t="str">
        <f ca="1">IF($A208="*","",IF($B208="PRC_ACTUNT",OFFSET(COM_2012!$B$60,$L208,SUMIF($B$9:$B$12,$B208,$M$9:$M$12)),"-"))</f>
        <v>-</v>
      </c>
      <c r="F208" s="369" t="str">
        <f t="shared" ca="1" si="19"/>
        <v>-</v>
      </c>
      <c r="G208" s="369" t="str">
        <f t="shared" ca="1" si="19"/>
        <v>-</v>
      </c>
      <c r="H208" s="369" t="str">
        <f t="shared" ca="1" si="19"/>
        <v>-</v>
      </c>
      <c r="I208" s="369">
        <f t="shared" ca="1" si="17"/>
        <v>1</v>
      </c>
      <c r="K208" s="304">
        <f>IF(L207=COM_2012!$AI$121,K207+1,K207)</f>
        <v>4</v>
      </c>
      <c r="L208" s="304">
        <f t="shared" si="18"/>
        <v>12</v>
      </c>
    </row>
    <row r="209" spans="1:12">
      <c r="A209" s="304" t="str">
        <f ca="1">IF(LEFT(OFFSET(COM_2012!$A$60,L209,0),2)="\I","*","")</f>
        <v/>
      </c>
      <c r="B209" s="369" t="str">
        <f t="shared" ca="1" si="16"/>
        <v>TOP-IN</v>
      </c>
      <c r="C209" s="369" t="str">
        <f ca="1">IF($A209="*","",OFFSET(COM_2012!$B$60,L209,0))</f>
        <v>CEHGAS-N</v>
      </c>
      <c r="D209" s="369" t="str">
        <f ca="1">IF($A209="*","",IF(LEFT($B209,3)="TOP",OFFSET(COM_2012!$B$60,$L209,SUMIF($B$9:$B$12,$B209,$M$9:$M$12)),"-"))</f>
        <v>COMGAS</v>
      </c>
      <c r="E209" s="369" t="str">
        <f ca="1">IF($A209="*","",IF($B209="PRC_ACTUNT",OFFSET(COM_2012!$B$60,$L209,SUMIF($B$9:$B$12,$B209,$M$9:$M$12)),"-"))</f>
        <v>-</v>
      </c>
      <c r="F209" s="369" t="str">
        <f t="shared" ca="1" si="19"/>
        <v>-</v>
      </c>
      <c r="G209" s="369" t="str">
        <f t="shared" ca="1" si="19"/>
        <v>-</v>
      </c>
      <c r="H209" s="369" t="str">
        <f t="shared" ca="1" si="19"/>
        <v>-</v>
      </c>
      <c r="I209" s="369">
        <f t="shared" ca="1" si="17"/>
        <v>1</v>
      </c>
      <c r="K209" s="304">
        <f>IF(L208=COM_2012!$AI$121,K208+1,K208)</f>
        <v>4</v>
      </c>
      <c r="L209" s="304">
        <f t="shared" si="18"/>
        <v>13</v>
      </c>
    </row>
    <row r="210" spans="1:12">
      <c r="A210" s="304" t="str">
        <f ca="1">IF(LEFT(OFFSET(COM_2012!$A$60,L210,0),2)="\I","*","")</f>
        <v>*</v>
      </c>
      <c r="B210" s="369" t="str">
        <f t="shared" ca="1" si="16"/>
        <v/>
      </c>
      <c r="C210" s="369" t="str">
        <f ca="1">IF($A210="*","",OFFSET(COM_2012!$B$60,L210,0))</f>
        <v/>
      </c>
      <c r="D210" s="369" t="str">
        <f ca="1">IF($A210="*","",IF(LEFT($B210,3)="TOP",OFFSET(COM_2012!$B$60,$L210,SUMIF($B$9:$B$12,$B210,$M$9:$M$12)),"-"))</f>
        <v/>
      </c>
      <c r="E210" s="369" t="str">
        <f ca="1">IF($A210="*","",IF($B210="PRC_ACTUNT",OFFSET(COM_2012!$B$60,$L210,SUMIF($B$9:$B$12,$B210,$M$9:$M$12)),"-"))</f>
        <v/>
      </c>
      <c r="F210" s="369" t="str">
        <f t="shared" ca="1" si="19"/>
        <v/>
      </c>
      <c r="G210" s="369" t="str">
        <f t="shared" ca="1" si="19"/>
        <v/>
      </c>
      <c r="H210" s="369" t="str">
        <f t="shared" ca="1" si="19"/>
        <v/>
      </c>
      <c r="I210" s="369" t="str">
        <f t="shared" ca="1" si="17"/>
        <v/>
      </c>
      <c r="K210" s="304">
        <f>IF(L209=COM_2012!$AI$121,K209+1,K209)</f>
        <v>4</v>
      </c>
      <c r="L210" s="304">
        <f t="shared" si="18"/>
        <v>14</v>
      </c>
    </row>
    <row r="211" spans="1:12">
      <c r="A211" s="304" t="str">
        <f ca="1">IF(LEFT(OFFSET(COM_2012!$A$60,L211,0),2)="\I","*","")</f>
        <v>*</v>
      </c>
      <c r="B211" s="369" t="str">
        <f t="shared" ca="1" si="16"/>
        <v/>
      </c>
      <c r="C211" s="369" t="str">
        <f ca="1">IF($A211="*","",OFFSET(COM_2012!$B$60,L211,0))</f>
        <v/>
      </c>
      <c r="D211" s="369" t="str">
        <f ca="1">IF($A211="*","",IF(LEFT($B211,3)="TOP",OFFSET(COM_2012!$B$60,$L211,SUMIF($B$9:$B$12,$B211,$M$9:$M$12)),"-"))</f>
        <v/>
      </c>
      <c r="E211" s="369" t="str">
        <f ca="1">IF($A211="*","",IF($B211="PRC_ACTUNT",OFFSET(COM_2012!$B$60,$L211,SUMIF($B$9:$B$12,$B211,$M$9:$M$12)),"-"))</f>
        <v/>
      </c>
      <c r="F211" s="369" t="str">
        <f t="shared" ca="1" si="19"/>
        <v/>
      </c>
      <c r="G211" s="369" t="str">
        <f t="shared" ca="1" si="19"/>
        <v/>
      </c>
      <c r="H211" s="369" t="str">
        <f t="shared" ca="1" si="19"/>
        <v/>
      </c>
      <c r="I211" s="369" t="str">
        <f t="shared" ca="1" si="17"/>
        <v/>
      </c>
      <c r="K211" s="304">
        <f>IF(L210=COM_2012!$AI$121,K210+1,K210)</f>
        <v>4</v>
      </c>
      <c r="L211" s="304">
        <f t="shared" si="18"/>
        <v>15</v>
      </c>
    </row>
    <row r="212" spans="1:12">
      <c r="A212" s="304" t="str">
        <f ca="1">IF(LEFT(OFFSET(COM_2012!$A$60,L212,0),2)="\I","*","")</f>
        <v/>
      </c>
      <c r="B212" s="369" t="str">
        <f t="shared" ca="1" si="16"/>
        <v>TOP-IN</v>
      </c>
      <c r="C212" s="369" t="str">
        <f ca="1">IF($A212="*","",OFFSET(COM_2012!$B$60,L212,0))</f>
        <v>CEKOLP-E</v>
      </c>
      <c r="D212" s="369" t="str">
        <f ca="1">IF($A212="*","",IF(LEFT($B212,3)="TOP",OFFSET(COM_2012!$B$60,$L212,SUMIF($B$9:$B$12,$B212,$M$9:$M$12)),"-"))</f>
        <v>COMOLP</v>
      </c>
      <c r="E212" s="369" t="str">
        <f ca="1">IF($A212="*","",IF($B212="PRC_ACTUNT",OFFSET(COM_2012!$B$60,$L212,SUMIF($B$9:$B$12,$B212,$M$9:$M$12)),"-"))</f>
        <v>-</v>
      </c>
      <c r="F212" s="369" t="str">
        <f t="shared" ca="1" si="19"/>
        <v>-</v>
      </c>
      <c r="G212" s="369" t="str">
        <f t="shared" ca="1" si="19"/>
        <v>-</v>
      </c>
      <c r="H212" s="369" t="str">
        <f t="shared" ca="1" si="19"/>
        <v>-</v>
      </c>
      <c r="I212" s="369">
        <f t="shared" ca="1" si="17"/>
        <v>1</v>
      </c>
      <c r="K212" s="304">
        <f>IF(L211=COM_2012!$AI$121,K211+1,K211)</f>
        <v>4</v>
      </c>
      <c r="L212" s="304">
        <f t="shared" si="18"/>
        <v>16</v>
      </c>
    </row>
    <row r="213" spans="1:12">
      <c r="A213" s="304" t="str">
        <f ca="1">IF(LEFT(OFFSET(COM_2012!$A$60,L213,0),2)="\I","*","")</f>
        <v/>
      </c>
      <c r="B213" s="369" t="str">
        <f t="shared" ca="1" si="16"/>
        <v>TOP-IN</v>
      </c>
      <c r="C213" s="369" t="str">
        <f ca="1">IF($A213="*","",OFFSET(COM_2012!$B$60,L213,0))</f>
        <v>CEKELC-E</v>
      </c>
      <c r="D213" s="369" t="str">
        <f ca="1">IF($A213="*","",IF(LEFT($B213,3)="TOP",OFFSET(COM_2012!$B$60,$L213,SUMIF($B$9:$B$12,$B213,$M$9:$M$12)),"-"))</f>
        <v>COMELC</v>
      </c>
      <c r="E213" s="369" t="str">
        <f ca="1">IF($A213="*","",IF($B213="PRC_ACTUNT",OFFSET(COM_2012!$B$60,$L213,SUMIF($B$9:$B$12,$B213,$M$9:$M$12)),"-"))</f>
        <v>-</v>
      </c>
      <c r="F213" s="369" t="str">
        <f t="shared" ca="1" si="19"/>
        <v>-</v>
      </c>
      <c r="G213" s="369" t="str">
        <f t="shared" ca="1" si="19"/>
        <v>-</v>
      </c>
      <c r="H213" s="369" t="str">
        <f t="shared" ca="1" si="19"/>
        <v>-</v>
      </c>
      <c r="I213" s="369">
        <f t="shared" ca="1" si="17"/>
        <v>1</v>
      </c>
      <c r="K213" s="304">
        <f>IF(L212=COM_2012!$AI$121,K212+1,K212)</f>
        <v>4</v>
      </c>
      <c r="L213" s="304">
        <f t="shared" si="18"/>
        <v>17</v>
      </c>
    </row>
    <row r="214" spans="1:12">
      <c r="A214" s="304" t="str">
        <f ca="1">IF(LEFT(OFFSET(COM_2012!$A$60,L214,0),2)="\I","*","")</f>
        <v/>
      </c>
      <c r="B214" s="369" t="str">
        <f t="shared" ca="1" si="16"/>
        <v>TOP-IN</v>
      </c>
      <c r="C214" s="369" t="str">
        <f ca="1">IF($A214="*","",OFFSET(COM_2012!$B$60,L214,0))</f>
        <v>CEKCOA-E</v>
      </c>
      <c r="D214" s="369" t="str">
        <f ca="1">IF($A214="*","",IF(LEFT($B214,3)="TOP",OFFSET(COM_2012!$B$60,$L214,SUMIF($B$9:$B$12,$B214,$M$9:$M$12)),"-"))</f>
        <v>COMCOA</v>
      </c>
      <c r="E214" s="369" t="str">
        <f ca="1">IF($A214="*","",IF($B214="PRC_ACTUNT",OFFSET(COM_2012!$B$60,$L214,SUMIF($B$9:$B$12,$B214,$M$9:$M$12)),"-"))</f>
        <v>-</v>
      </c>
      <c r="F214" s="369" t="str">
        <f t="shared" ca="1" si="19"/>
        <v>-</v>
      </c>
      <c r="G214" s="369" t="str">
        <f t="shared" ca="1" si="19"/>
        <v>-</v>
      </c>
      <c r="H214" s="369" t="str">
        <f t="shared" ca="1" si="19"/>
        <v>-</v>
      </c>
      <c r="I214" s="369">
        <f t="shared" ca="1" si="17"/>
        <v>1</v>
      </c>
      <c r="K214" s="304">
        <f>IF(L213=COM_2012!$AI$121,K213+1,K213)</f>
        <v>4</v>
      </c>
      <c r="L214" s="304">
        <f t="shared" si="18"/>
        <v>18</v>
      </c>
    </row>
    <row r="215" spans="1:12">
      <c r="A215" s="304" t="str">
        <f ca="1">IF(LEFT(OFFSET(COM_2012!$A$60,L215,0),2)="\I","*","")</f>
        <v>*</v>
      </c>
      <c r="B215" s="369" t="str">
        <f t="shared" ca="1" si="16"/>
        <v/>
      </c>
      <c r="C215" s="369" t="str">
        <f ca="1">IF($A215="*","",OFFSET(COM_2012!$B$60,L215,0))</f>
        <v/>
      </c>
      <c r="D215" s="369" t="str">
        <f ca="1">IF($A215="*","",IF(LEFT($B215,3)="TOP",OFFSET(COM_2012!$B$60,$L215,SUMIF($B$9:$B$12,$B215,$M$9:$M$12)),"-"))</f>
        <v/>
      </c>
      <c r="E215" s="369" t="str">
        <f ca="1">IF($A215="*","",IF($B215="PRC_ACTUNT",OFFSET(COM_2012!$B$60,$L215,SUMIF($B$9:$B$12,$B215,$M$9:$M$12)),"-"))</f>
        <v/>
      </c>
      <c r="F215" s="369" t="str">
        <f t="shared" ca="1" si="19"/>
        <v/>
      </c>
      <c r="G215" s="369" t="str">
        <f t="shared" ca="1" si="19"/>
        <v/>
      </c>
      <c r="H215" s="369" t="str">
        <f t="shared" ca="1" si="19"/>
        <v/>
      </c>
      <c r="I215" s="369" t="str">
        <f t="shared" ca="1" si="17"/>
        <v/>
      </c>
      <c r="K215" s="304">
        <f>IF(L214=COM_2012!$AI$121,K214+1,K214)</f>
        <v>4</v>
      </c>
      <c r="L215" s="304">
        <f t="shared" si="18"/>
        <v>19</v>
      </c>
    </row>
    <row r="216" spans="1:12">
      <c r="A216" s="304" t="str">
        <f ca="1">IF(LEFT(OFFSET(COM_2012!$A$60,L216,0),2)="\I","*","")</f>
        <v>*</v>
      </c>
      <c r="B216" s="369" t="str">
        <f t="shared" ca="1" si="16"/>
        <v/>
      </c>
      <c r="C216" s="369" t="str">
        <f ca="1">IF($A216="*","",OFFSET(COM_2012!$B$60,L216,0))</f>
        <v/>
      </c>
      <c r="D216" s="369" t="str">
        <f ca="1">IF($A216="*","",IF(LEFT($B216,3)="TOP",OFFSET(COM_2012!$B$60,$L216,SUMIF($B$9:$B$12,$B216,$M$9:$M$12)),"-"))</f>
        <v/>
      </c>
      <c r="E216" s="369" t="str">
        <f ca="1">IF($A216="*","",IF($B216="PRC_ACTUNT",OFFSET(COM_2012!$B$60,$L216,SUMIF($B$9:$B$12,$B216,$M$9:$M$12)),"-"))</f>
        <v/>
      </c>
      <c r="F216" s="369" t="str">
        <f t="shared" ca="1" si="19"/>
        <v/>
      </c>
      <c r="G216" s="369" t="str">
        <f t="shared" ca="1" si="19"/>
        <v/>
      </c>
      <c r="H216" s="369" t="str">
        <f t="shared" ca="1" si="19"/>
        <v/>
      </c>
      <c r="I216" s="369" t="str">
        <f t="shared" ca="1" si="17"/>
        <v/>
      </c>
      <c r="K216" s="304">
        <f>IF(L215=COM_2012!$AI$121,K215+1,K215)</f>
        <v>4</v>
      </c>
      <c r="L216" s="304">
        <f t="shared" si="18"/>
        <v>20</v>
      </c>
    </row>
    <row r="217" spans="1:12">
      <c r="A217" s="304" t="str">
        <f ca="1">IF(LEFT(OFFSET(COM_2012!$A$60,L217,0),2)="\I","*","")</f>
        <v/>
      </c>
      <c r="B217" s="369" t="str">
        <f t="shared" ca="1" si="16"/>
        <v>TOP-IN</v>
      </c>
      <c r="C217" s="369" t="str">
        <f ca="1">IF($A217="*","",OFFSET(COM_2012!$B$60,L217,0))</f>
        <v>CELELCCFL-E</v>
      </c>
      <c r="D217" s="369" t="str">
        <f ca="1">IF($A217="*","",IF(LEFT($B217,3)="TOP",OFFSET(COM_2012!$B$60,$L217,SUMIF($B$9:$B$12,$B217,$M$9:$M$12)),"-"))</f>
        <v>COMELC</v>
      </c>
      <c r="E217" s="369" t="str">
        <f ca="1">IF($A217="*","",IF($B217="PRC_ACTUNT",OFFSET(COM_2012!$B$60,$L217,SUMIF($B$9:$B$12,$B217,$M$9:$M$12)),"-"))</f>
        <v>-</v>
      </c>
      <c r="F217" s="369" t="str">
        <f t="shared" ca="1" si="19"/>
        <v>-</v>
      </c>
      <c r="G217" s="369" t="str">
        <f t="shared" ca="1" si="19"/>
        <v>-</v>
      </c>
      <c r="H217" s="369" t="str">
        <f t="shared" ca="1" si="19"/>
        <v>-</v>
      </c>
      <c r="I217" s="369">
        <f t="shared" ca="1" si="17"/>
        <v>1</v>
      </c>
      <c r="K217" s="304">
        <f>IF(L216=COM_2012!$AI$121,K216+1,K216)</f>
        <v>4</v>
      </c>
      <c r="L217" s="304">
        <f t="shared" si="18"/>
        <v>21</v>
      </c>
    </row>
    <row r="218" spans="1:12">
      <c r="A218" s="304" t="str">
        <f ca="1">IF(LEFT(OFFSET(COM_2012!$A$60,L218,0),2)="\I","*","")</f>
        <v/>
      </c>
      <c r="B218" s="369" t="str">
        <f t="shared" ca="1" si="16"/>
        <v>TOP-IN</v>
      </c>
      <c r="C218" s="369" t="str">
        <f ca="1">IF($A218="*","",OFFSET(COM_2012!$B$60,L218,0))</f>
        <v>CELELCFLU-E</v>
      </c>
      <c r="D218" s="369" t="str">
        <f ca="1">IF($A218="*","",IF(LEFT($B218,3)="TOP",OFFSET(COM_2012!$B$60,$L218,SUMIF($B$9:$B$12,$B218,$M$9:$M$12)),"-"))</f>
        <v>COMELC</v>
      </c>
      <c r="E218" s="369" t="str">
        <f ca="1">IF($A218="*","",IF($B218="PRC_ACTUNT",OFFSET(COM_2012!$B$60,$L218,SUMIF($B$9:$B$12,$B218,$M$9:$M$12)),"-"))</f>
        <v>-</v>
      </c>
      <c r="F218" s="369" t="str">
        <f t="shared" ca="1" si="19"/>
        <v>-</v>
      </c>
      <c r="G218" s="369" t="str">
        <f t="shared" ca="1" si="19"/>
        <v>-</v>
      </c>
      <c r="H218" s="369" t="str">
        <f t="shared" ca="1" si="19"/>
        <v>-</v>
      </c>
      <c r="I218" s="369">
        <f t="shared" ca="1" si="17"/>
        <v>1</v>
      </c>
      <c r="K218" s="304">
        <f>IF(L217=COM_2012!$AI$121,K217+1,K217)</f>
        <v>4</v>
      </c>
      <c r="L218" s="304">
        <f t="shared" si="18"/>
        <v>22</v>
      </c>
    </row>
    <row r="219" spans="1:12">
      <c r="A219" s="304" t="str">
        <f ca="1">IF(LEFT(OFFSET(COM_2012!$A$60,L219,0),2)="\I","*","")</f>
        <v/>
      </c>
      <c r="B219" s="369" t="str">
        <f t="shared" ca="1" si="16"/>
        <v>TOP-IN</v>
      </c>
      <c r="C219" s="369" t="str">
        <f ca="1">IF($A219="*","",OFFSET(COM_2012!$B$60,L219,0))</f>
        <v>CELELCHAL-E</v>
      </c>
      <c r="D219" s="369" t="str">
        <f ca="1">IF($A219="*","",IF(LEFT($B219,3)="TOP",OFFSET(COM_2012!$B$60,$L219,SUMIF($B$9:$B$12,$B219,$M$9:$M$12)),"-"))</f>
        <v>COMELC</v>
      </c>
      <c r="E219" s="369" t="str">
        <f ca="1">IF($A219="*","",IF($B219="PRC_ACTUNT",OFFSET(COM_2012!$B$60,$L219,SUMIF($B$9:$B$12,$B219,$M$9:$M$12)),"-"))</f>
        <v>-</v>
      </c>
      <c r="F219" s="369" t="str">
        <f t="shared" ca="1" si="19"/>
        <v>-</v>
      </c>
      <c r="G219" s="369" t="str">
        <f t="shared" ca="1" si="19"/>
        <v>-</v>
      </c>
      <c r="H219" s="369" t="str">
        <f t="shared" ca="1" si="19"/>
        <v>-</v>
      </c>
      <c r="I219" s="369">
        <f t="shared" ca="1" si="17"/>
        <v>1</v>
      </c>
      <c r="K219" s="304">
        <f>IF(L218=COM_2012!$AI$121,K218+1,K218)</f>
        <v>4</v>
      </c>
      <c r="L219" s="304">
        <f t="shared" si="18"/>
        <v>23</v>
      </c>
    </row>
    <row r="220" spans="1:12">
      <c r="A220" s="304" t="str">
        <f ca="1">IF(LEFT(OFFSET(COM_2012!$A$60,L220,0),2)="\I","*","")</f>
        <v/>
      </c>
      <c r="B220" s="369" t="str">
        <f t="shared" ca="1" si="16"/>
        <v>TOP-IN</v>
      </c>
      <c r="C220" s="369" t="str">
        <f ca="1">IF($A220="*","",OFFSET(COM_2012!$B$60,L220,0))</f>
        <v>CELELCHID-E</v>
      </c>
      <c r="D220" s="369" t="str">
        <f ca="1">IF($A220="*","",IF(LEFT($B220,3)="TOP",OFFSET(COM_2012!$B$60,$L220,SUMIF($B$9:$B$12,$B220,$M$9:$M$12)),"-"))</f>
        <v>COMELC</v>
      </c>
      <c r="E220" s="369" t="str">
        <f ca="1">IF($A220="*","",IF($B220="PRC_ACTUNT",OFFSET(COM_2012!$B$60,$L220,SUMIF($B$9:$B$12,$B220,$M$9:$M$12)),"-"))</f>
        <v>-</v>
      </c>
      <c r="F220" s="369" t="str">
        <f t="shared" ca="1" si="19"/>
        <v>-</v>
      </c>
      <c r="G220" s="369" t="str">
        <f t="shared" ca="1" si="19"/>
        <v>-</v>
      </c>
      <c r="H220" s="369" t="str">
        <f t="shared" ca="1" si="19"/>
        <v>-</v>
      </c>
      <c r="I220" s="369">
        <f t="shared" ca="1" si="17"/>
        <v>1</v>
      </c>
      <c r="K220" s="304">
        <f>IF(L219=COM_2012!$AI$121,K219+1,K219)</f>
        <v>4</v>
      </c>
      <c r="L220" s="304">
        <f t="shared" si="18"/>
        <v>24</v>
      </c>
    </row>
    <row r="221" spans="1:12">
      <c r="A221" s="304" t="str">
        <f ca="1">IF(LEFT(OFFSET(COM_2012!$A$60,L221,0),2)="\I","*","")</f>
        <v/>
      </c>
      <c r="B221" s="369" t="str">
        <f t="shared" ca="1" si="16"/>
        <v>TOP-IN</v>
      </c>
      <c r="C221" s="369" t="str">
        <f ca="1">IF($A221="*","",OFFSET(COM_2012!$B$60,L221,0))</f>
        <v>CELELCINC-E</v>
      </c>
      <c r="D221" s="369" t="str">
        <f ca="1">IF($A221="*","",IF(LEFT($B221,3)="TOP",OFFSET(COM_2012!$B$60,$L221,SUMIF($B$9:$B$12,$B221,$M$9:$M$12)),"-"))</f>
        <v>COMELC</v>
      </c>
      <c r="E221" s="369" t="str">
        <f ca="1">IF($A221="*","",IF($B221="PRC_ACTUNT",OFFSET(COM_2012!$B$60,$L221,SUMIF($B$9:$B$12,$B221,$M$9:$M$12)),"-"))</f>
        <v>-</v>
      </c>
      <c r="F221" s="369" t="str">
        <f t="shared" ca="1" si="19"/>
        <v>-</v>
      </c>
      <c r="G221" s="369" t="str">
        <f t="shared" ca="1" si="19"/>
        <v>-</v>
      </c>
      <c r="H221" s="369" t="str">
        <f t="shared" ca="1" si="19"/>
        <v>-</v>
      </c>
      <c r="I221" s="369">
        <f t="shared" ca="1" si="17"/>
        <v>1</v>
      </c>
      <c r="K221" s="304">
        <f>IF(L220=COM_2012!$AI$121,K220+1,K220)</f>
        <v>4</v>
      </c>
      <c r="L221" s="304">
        <f t="shared" si="18"/>
        <v>25</v>
      </c>
    </row>
    <row r="222" spans="1:12">
      <c r="A222" s="304" t="str">
        <f ca="1">IF(LEFT(OFFSET(COM_2012!$A$60,L222,0),2)="\I","*","")</f>
        <v/>
      </c>
      <c r="B222" s="369" t="str">
        <f t="shared" ref="B222:B228" ca="1" si="20">IF(A222="*","",VLOOKUP("*"&amp;K222,$A$9:$B$14,2,FALSE))</f>
        <v>TOP-IN</v>
      </c>
      <c r="C222" s="369" t="str">
        <f ca="1">IF($A222="*","",OFFSET(COM_2012!$B$60,L222,0))</f>
        <v>CELELCLED-N</v>
      </c>
      <c r="D222" s="369" t="str">
        <f ca="1">IF($A222="*","",IF(LEFT($B222,3)="TOP",OFFSET(COM_2012!$B$60,$L222,SUMIF($B$9:$B$12,$B222,$M$9:$M$12)),"-"))</f>
        <v>COMELC</v>
      </c>
      <c r="E222" s="369" t="str">
        <f ca="1">IF($A222="*","",IF($B222="PRC_ACTUNT",OFFSET(COM_2012!$B$60,$L222,SUMIF($B$9:$B$12,$B222,$M$9:$M$12)),"-"))</f>
        <v>-</v>
      </c>
      <c r="F222" s="369" t="str">
        <f t="shared" ca="1" si="19"/>
        <v>-</v>
      </c>
      <c r="G222" s="369" t="str">
        <f t="shared" ca="1" si="19"/>
        <v>-</v>
      </c>
      <c r="H222" s="369" t="str">
        <f t="shared" ca="1" si="19"/>
        <v>-</v>
      </c>
      <c r="I222" s="369">
        <f t="shared" ref="I222:I228" ca="1" si="21">IF($A222="*","",SUMIF($B$9:$B$12,B222,$I$9:$I$12))</f>
        <v>1</v>
      </c>
      <c r="K222" s="304">
        <f>IF(L221=COM_2012!$AI$121,K221+1,K221)</f>
        <v>4</v>
      </c>
      <c r="L222" s="304">
        <f t="shared" ref="L222:L225" si="22">IF(K222=K221,L221+1,1)</f>
        <v>26</v>
      </c>
    </row>
    <row r="223" spans="1:12">
      <c r="A223" s="304" t="str">
        <f ca="1">IF(LEFT(OFFSET(COM_2012!$A$60,L223,0),2)="\I","*","")</f>
        <v>*</v>
      </c>
      <c r="B223" s="369" t="str">
        <f t="shared" ca="1" si="20"/>
        <v/>
      </c>
      <c r="C223" s="369" t="str">
        <f ca="1">IF($A223="*","",OFFSET(COM_2012!$B$60,L223,0))</f>
        <v/>
      </c>
      <c r="D223" s="369" t="str">
        <f ca="1">IF($A223="*","",IF(LEFT($B223,3)="TOP",OFFSET(COM_2012!$B$60,$L223,SUMIF($B$9:$B$12,$B223,$M$9:$M$12)),"-"))</f>
        <v/>
      </c>
      <c r="E223" s="369" t="str">
        <f ca="1">IF($A223="*","",IF($B223="PRC_ACTUNT",OFFSET(COM_2012!$B$60,$L223,SUMIF($B$9:$B$12,$B223,$M$9:$M$12)),"-"))</f>
        <v/>
      </c>
      <c r="F223" s="369" t="str">
        <f t="shared" ref="F223:H238" ca="1" si="23">IF($A223="*","","-")</f>
        <v/>
      </c>
      <c r="G223" s="369" t="str">
        <f t="shared" ca="1" si="23"/>
        <v/>
      </c>
      <c r="H223" s="369" t="str">
        <f t="shared" ca="1" si="23"/>
        <v/>
      </c>
      <c r="I223" s="369" t="str">
        <f t="shared" ca="1" si="21"/>
        <v/>
      </c>
      <c r="K223" s="304">
        <f>IF(L222=COM_2012!$AI$121,K222+1,K222)</f>
        <v>4</v>
      </c>
      <c r="L223" s="304">
        <f t="shared" si="22"/>
        <v>27</v>
      </c>
    </row>
    <row r="224" spans="1:12">
      <c r="A224" s="304" t="str">
        <f ca="1">IF(LEFT(OFFSET(COM_2012!$A$60,L224,0),2)="\I","*","")</f>
        <v>*</v>
      </c>
      <c r="B224" s="369" t="str">
        <f t="shared" ca="1" si="20"/>
        <v/>
      </c>
      <c r="C224" s="369" t="str">
        <f ca="1">IF($A224="*","",OFFSET(COM_2012!$B$60,L224,0))</f>
        <v/>
      </c>
      <c r="D224" s="369" t="str">
        <f ca="1">IF($A224="*","",IF(LEFT($B224,3)="TOP",OFFSET(COM_2012!$B$60,$L224,SUMIF($B$9:$B$12,$B224,$M$9:$M$12)),"-"))</f>
        <v/>
      </c>
      <c r="E224" s="369" t="str">
        <f ca="1">IF($A224="*","",IF($B224="PRC_ACTUNT",OFFSET(COM_2012!$B$60,$L224,SUMIF($B$9:$B$12,$B224,$M$9:$M$12)),"-"))</f>
        <v/>
      </c>
      <c r="F224" s="369" t="str">
        <f t="shared" ca="1" si="23"/>
        <v/>
      </c>
      <c r="G224" s="369" t="str">
        <f t="shared" ca="1" si="23"/>
        <v/>
      </c>
      <c r="H224" s="369" t="str">
        <f t="shared" ca="1" si="23"/>
        <v/>
      </c>
      <c r="I224" s="369" t="str">
        <f t="shared" ca="1" si="21"/>
        <v/>
      </c>
      <c r="K224" s="304">
        <f>IF(L223=COM_2012!$AI$121,K223+1,K223)</f>
        <v>4</v>
      </c>
      <c r="L224" s="304">
        <f t="shared" si="22"/>
        <v>28</v>
      </c>
    </row>
    <row r="225" spans="1:12">
      <c r="A225" s="304" t="str">
        <f ca="1">IF(LEFT(OFFSET(COM_2012!$A$60,L225,0),2)="\I","*","")</f>
        <v/>
      </c>
      <c r="B225" s="369" t="str">
        <f t="shared" ca="1" si="20"/>
        <v>TOP-IN</v>
      </c>
      <c r="C225" s="369" t="str">
        <f ca="1">IF($A225="*","",OFFSET(COM_2012!$B$60,L225,0))</f>
        <v>CERELC-E</v>
      </c>
      <c r="D225" s="369" t="str">
        <f ca="1">IF($A225="*","",IF(LEFT($B225,3)="TOP",OFFSET(COM_2012!$B$60,$L225,SUMIF($B$9:$B$12,$B225,$M$9:$M$12)),"-"))</f>
        <v>COMELC</v>
      </c>
      <c r="E225" s="369" t="str">
        <f ca="1">IF($A225="*","",IF($B225="PRC_ACTUNT",OFFSET(COM_2012!$B$60,$L225,SUMIF($B$9:$B$12,$B225,$M$9:$M$12)),"-"))</f>
        <v>-</v>
      </c>
      <c r="F225" s="369" t="str">
        <f t="shared" ca="1" si="23"/>
        <v>-</v>
      </c>
      <c r="G225" s="369" t="str">
        <f t="shared" ca="1" si="23"/>
        <v>-</v>
      </c>
      <c r="H225" s="369" t="str">
        <f t="shared" ca="1" si="23"/>
        <v>-</v>
      </c>
      <c r="I225" s="369">
        <f t="shared" ca="1" si="21"/>
        <v>1</v>
      </c>
      <c r="K225" s="304">
        <f>IF(L224=COM_2012!$AI$121,K224+1,K224)</f>
        <v>4</v>
      </c>
      <c r="L225" s="304">
        <f t="shared" si="22"/>
        <v>29</v>
      </c>
    </row>
    <row r="226" spans="1:12">
      <c r="A226" s="304" t="str">
        <f ca="1">IF(LEFT(OFFSET(COM_2012!$A$60,L226,0),2)="\I","*","")</f>
        <v/>
      </c>
      <c r="B226" s="369" t="str">
        <f t="shared" ca="1" si="20"/>
        <v>TOP-IN</v>
      </c>
      <c r="C226" s="369" t="str">
        <f ca="1">IF($A226="*","",OFFSET(COM_2012!$B$60,L226,0))</f>
        <v>CERELC-N</v>
      </c>
      <c r="D226" s="369" t="str">
        <f ca="1">IF($A226="*","",IF(LEFT($B226,3)="TOP",OFFSET(COM_2012!$B$60,$L226,SUMIF($B$9:$B$12,$B226,$M$9:$M$12)),"-"))</f>
        <v>COMELC</v>
      </c>
      <c r="E226" s="369" t="str">
        <f ca="1">IF($A226="*","",IF($B226="PRC_ACTUNT",OFFSET(COM_2012!$B$60,$L226,SUMIF($B$9:$B$12,$B226,$M$9:$M$12)),"-"))</f>
        <v>-</v>
      </c>
      <c r="F226" s="369" t="str">
        <f t="shared" ca="1" si="23"/>
        <v>-</v>
      </c>
      <c r="G226" s="369" t="str">
        <f t="shared" ca="1" si="23"/>
        <v>-</v>
      </c>
      <c r="H226" s="369" t="str">
        <f t="shared" ca="1" si="23"/>
        <v>-</v>
      </c>
      <c r="I226" s="369">
        <f t="shared" ca="1" si="21"/>
        <v>1</v>
      </c>
      <c r="K226" s="304">
        <f>IF(L225=COM_2012!$AI$121,K225+1,K225)</f>
        <v>4</v>
      </c>
      <c r="L226" s="304">
        <f t="shared" ref="L226:L237" si="24">IF(K226=K225,L225+1,1)</f>
        <v>30</v>
      </c>
    </row>
    <row r="227" spans="1:12">
      <c r="A227" s="304" t="str">
        <f ca="1">IF(LEFT(OFFSET(COM_2012!$A$60,L227,0),2)="\I","*","")</f>
        <v>*</v>
      </c>
      <c r="B227" s="369" t="str">
        <f t="shared" ca="1" si="20"/>
        <v/>
      </c>
      <c r="C227" s="369" t="str">
        <f ca="1">IF($A227="*","",OFFSET(COM_2012!$B$60,L227,0))</f>
        <v/>
      </c>
      <c r="D227" s="369" t="str">
        <f ca="1">IF($A227="*","",IF(LEFT($B227,3)="TOP",OFFSET(COM_2012!$B$60,$L227,SUMIF($B$9:$B$12,$B227,$M$9:$M$12)),"-"))</f>
        <v/>
      </c>
      <c r="E227" s="369" t="str">
        <f ca="1">IF($A227="*","",IF($B227="PRC_ACTUNT",OFFSET(COM_2012!$B$60,$L227,SUMIF($B$9:$B$12,$B227,$M$9:$M$12)),"-"))</f>
        <v/>
      </c>
      <c r="F227" s="369" t="str">
        <f t="shared" ca="1" si="23"/>
        <v/>
      </c>
      <c r="G227" s="369" t="str">
        <f t="shared" ca="1" si="23"/>
        <v/>
      </c>
      <c r="H227" s="369" t="str">
        <f t="shared" ca="1" si="23"/>
        <v/>
      </c>
      <c r="I227" s="369" t="str">
        <f t="shared" ca="1" si="21"/>
        <v/>
      </c>
      <c r="K227" s="304">
        <f>IF(L226=COM_2012!$AI$121,K226+1,K226)</f>
        <v>4</v>
      </c>
      <c r="L227" s="304">
        <f t="shared" si="24"/>
        <v>31</v>
      </c>
    </row>
    <row r="228" spans="1:12">
      <c r="A228" s="304" t="str">
        <f ca="1">IF(LEFT(OFFSET(COM_2012!$A$60,L228,0),2)="\I","*","")</f>
        <v>*</v>
      </c>
      <c r="B228" s="369" t="str">
        <f t="shared" ca="1" si="20"/>
        <v/>
      </c>
      <c r="C228" s="369" t="str">
        <f ca="1">IF($A228="*","",OFFSET(COM_2012!$B$60,L228,0))</f>
        <v/>
      </c>
      <c r="D228" s="369" t="str">
        <f ca="1">IF($A228="*","",IF(LEFT($B228,3)="TOP",OFFSET(COM_2012!$B$60,$L228,SUMIF($B$9:$B$12,$B228,$M$9:$M$12)),"-"))</f>
        <v/>
      </c>
      <c r="E228" s="369" t="str">
        <f ca="1">IF($A228="*","",IF($B228="PRC_ACTUNT",OFFSET(COM_2012!$B$60,$L228,SUMIF($B$9:$B$12,$B228,$M$9:$M$12)),"-"))</f>
        <v/>
      </c>
      <c r="F228" s="369" t="str">
        <f t="shared" ca="1" si="23"/>
        <v/>
      </c>
      <c r="G228" s="369" t="str">
        <f t="shared" ca="1" si="23"/>
        <v/>
      </c>
      <c r="H228" s="369" t="str">
        <f t="shared" ca="1" si="23"/>
        <v/>
      </c>
      <c r="I228" s="369" t="str">
        <f t="shared" ca="1" si="21"/>
        <v/>
      </c>
      <c r="K228" s="304">
        <f>IF(L227=COM_2012!$AI$121,K227+1,K227)</f>
        <v>4</v>
      </c>
      <c r="L228" s="304">
        <f t="shared" si="24"/>
        <v>32</v>
      </c>
    </row>
    <row r="229" spans="1:12">
      <c r="A229" s="304" t="str">
        <f ca="1">IF(LEFT(OFFSET(COM_2012!$A$60,L229,0),2)="\I","*","")</f>
        <v/>
      </c>
      <c r="B229" s="369" t="str">
        <f t="shared" ref="B229:B237" ca="1" si="25">IF(A229="*","",VLOOKUP("*"&amp;K229,$A$9:$B$14,2,FALSE))</f>
        <v>TOP-IN</v>
      </c>
      <c r="C229" s="369" t="str">
        <f ca="1">IF($A229="*","",OFFSET(COM_2012!$B$60,L229,0))</f>
        <v>CEWELC-E</v>
      </c>
      <c r="D229" s="369" t="str">
        <f ca="1">IF($A229="*","",IF(LEFT($B229,3)="TOP",OFFSET(COM_2012!$B$60,$L229,SUMIF($B$9:$B$12,$B229,$M$9:$M$12)),"-"))</f>
        <v>COMELC</v>
      </c>
      <c r="E229" s="369" t="str">
        <f ca="1">IF($A229="*","",IF($B229="PRC_ACTUNT",OFFSET(COM_2012!$B$60,$L229,SUMIF($B$9:$B$12,$B229,$M$9:$M$12)),"-"))</f>
        <v>-</v>
      </c>
      <c r="F229" s="369" t="str">
        <f t="shared" ca="1" si="23"/>
        <v>-</v>
      </c>
      <c r="G229" s="369" t="str">
        <f t="shared" ca="1" si="23"/>
        <v>-</v>
      </c>
      <c r="H229" s="369" t="str">
        <f t="shared" ca="1" si="23"/>
        <v>-</v>
      </c>
      <c r="I229" s="369">
        <f t="shared" ref="I229:I237" ca="1" si="26">IF($A229="*","",SUMIF($B$9:$B$12,B229,$I$9:$I$12))</f>
        <v>1</v>
      </c>
      <c r="K229" s="304">
        <f>IF(L228=COM_2012!$AI$121,K228+1,K228)</f>
        <v>4</v>
      </c>
      <c r="L229" s="304">
        <f t="shared" si="24"/>
        <v>33</v>
      </c>
    </row>
    <row r="230" spans="1:12">
      <c r="A230" s="304" t="str">
        <f ca="1">IF(LEFT(OFFSET(COM_2012!$A$60,L230,0),2)="\I","*","")</f>
        <v/>
      </c>
      <c r="B230" s="369" t="str">
        <f t="shared" ca="1" si="25"/>
        <v>TOP-IN</v>
      </c>
      <c r="C230" s="369" t="str">
        <f ca="1">IF($A230="*","",OFFSET(COM_2012!$B$60,L230,0))</f>
        <v>CEWCOA-E</v>
      </c>
      <c r="D230" s="369" t="str">
        <f ca="1">IF($A230="*","",IF(LEFT($B230,3)="TOP",OFFSET(COM_2012!$B$60,$L230,SUMIF($B$9:$B$12,$B230,$M$9:$M$12)),"-"))</f>
        <v>COMCOA</v>
      </c>
      <c r="E230" s="369" t="str">
        <f ca="1">IF($A230="*","",IF($B230="PRC_ACTUNT",OFFSET(COM_2012!$B$60,$L230,SUMIF($B$9:$B$12,$B230,$M$9:$M$12)),"-"))</f>
        <v>-</v>
      </c>
      <c r="F230" s="369" t="str">
        <f t="shared" ca="1" si="23"/>
        <v>-</v>
      </c>
      <c r="G230" s="369" t="str">
        <f t="shared" ca="1" si="23"/>
        <v>-</v>
      </c>
      <c r="H230" s="369" t="str">
        <f t="shared" ca="1" si="23"/>
        <v>-</v>
      </c>
      <c r="I230" s="369">
        <f t="shared" ca="1" si="26"/>
        <v>1</v>
      </c>
      <c r="K230" s="304">
        <f>IF(L229=COM_2012!$AI$121,K229+1,K229)</f>
        <v>4</v>
      </c>
      <c r="L230" s="304">
        <f t="shared" si="24"/>
        <v>34</v>
      </c>
    </row>
    <row r="231" spans="1:12">
      <c r="A231" s="304" t="str">
        <f ca="1">IF(LEFT(OFFSET(COM_2012!$A$60,L231,0),2)="\I","*","")</f>
        <v/>
      </c>
      <c r="B231" s="369" t="str">
        <f t="shared" ca="1" si="25"/>
        <v>TOP-IN</v>
      </c>
      <c r="C231" s="369" t="str">
        <f ca="1">IF($A231="*","",OFFSET(COM_2012!$B$60,L231,0))</f>
        <v>CEWOLP-E</v>
      </c>
      <c r="D231" s="369" t="str">
        <f ca="1">IF($A231="*","",IF(LEFT($B231,3)="TOP",OFFSET(COM_2012!$B$60,$L231,SUMIF($B$9:$B$12,$B231,$M$9:$M$12)),"-"))</f>
        <v>COMOLP</v>
      </c>
      <c r="E231" s="369" t="str">
        <f ca="1">IF($A231="*","",IF($B231="PRC_ACTUNT",OFFSET(COM_2012!$B$60,$L231,SUMIF($B$9:$B$12,$B231,$M$9:$M$12)),"-"))</f>
        <v>-</v>
      </c>
      <c r="F231" s="369" t="str">
        <f t="shared" ca="1" si="23"/>
        <v>-</v>
      </c>
      <c r="G231" s="369" t="str">
        <f t="shared" ca="1" si="23"/>
        <v>-</v>
      </c>
      <c r="H231" s="369" t="str">
        <f t="shared" ca="1" si="23"/>
        <v>-</v>
      </c>
      <c r="I231" s="369">
        <f t="shared" ca="1" si="26"/>
        <v>1</v>
      </c>
      <c r="K231" s="304">
        <f>IF(L230=COM_2012!$AI$121,K230+1,K230)</f>
        <v>4</v>
      </c>
      <c r="L231" s="304">
        <f t="shared" si="24"/>
        <v>35</v>
      </c>
    </row>
    <row r="232" spans="1:12">
      <c r="A232" s="304" t="str">
        <f ca="1">IF(LEFT(OFFSET(COM_2012!$A$60,L232,0),2)="\I","*","")</f>
        <v/>
      </c>
      <c r="B232" s="369" t="str">
        <f t="shared" ca="1" si="25"/>
        <v>TOP-IN</v>
      </c>
      <c r="C232" s="369" t="str">
        <f ca="1">IF($A232="*","",OFFSET(COM_2012!$B$60,L232,0))</f>
        <v>CEWGAS-E</v>
      </c>
      <c r="D232" s="369" t="str">
        <f ca="1">IF($A232="*","",IF(LEFT($B232,3)="TOP",OFFSET(COM_2012!$B$60,$L232,SUMIF($B$9:$B$12,$B232,$M$9:$M$12)),"-"))</f>
        <v>COMGAS</v>
      </c>
      <c r="E232" s="369" t="str">
        <f ca="1">IF($A232="*","",IF($B232="PRC_ACTUNT",OFFSET(COM_2012!$B$60,$L232,SUMIF($B$9:$B$12,$B232,$M$9:$M$12)),"-"))</f>
        <v>-</v>
      </c>
      <c r="F232" s="369" t="str">
        <f t="shared" ca="1" si="23"/>
        <v>-</v>
      </c>
      <c r="G232" s="369" t="str">
        <f t="shared" ca="1" si="23"/>
        <v>-</v>
      </c>
      <c r="H232" s="369" t="str">
        <f t="shared" ca="1" si="23"/>
        <v>-</v>
      </c>
      <c r="I232" s="369">
        <f t="shared" ca="1" si="26"/>
        <v>1</v>
      </c>
      <c r="K232" s="304">
        <f>IF(L231=COM_2012!$AI$121,K231+1,K231)</f>
        <v>4</v>
      </c>
      <c r="L232" s="304">
        <f t="shared" si="24"/>
        <v>36</v>
      </c>
    </row>
    <row r="233" spans="1:12">
      <c r="A233" s="304" t="str">
        <f ca="1">IF(LEFT(OFFSET(COM_2012!$A$60,L233,0),2)="\I","*","")</f>
        <v/>
      </c>
      <c r="B233" s="369" t="str">
        <f t="shared" ca="1" si="25"/>
        <v>TOP-IN</v>
      </c>
      <c r="C233" s="369" t="str">
        <f ca="1">IF($A233="*","",OFFSET(COM_2012!$B$60,L233,0))</f>
        <v>CEWOKE-E</v>
      </c>
      <c r="D233" s="369" t="str">
        <f ca="1">IF($A233="*","",IF(LEFT($B233,3)="TOP",OFFSET(COM_2012!$B$60,$L233,SUMIF($B$9:$B$12,$B233,$M$9:$M$12)),"-"))</f>
        <v>COMOKE</v>
      </c>
      <c r="E233" s="369" t="str">
        <f ca="1">IF($A233="*","",IF($B233="PRC_ACTUNT",OFFSET(COM_2012!$B$60,$L233,SUMIF($B$9:$B$12,$B233,$M$9:$M$12)),"-"))</f>
        <v>-</v>
      </c>
      <c r="F233" s="369" t="str">
        <f t="shared" ca="1" si="23"/>
        <v>-</v>
      </c>
      <c r="G233" s="369" t="str">
        <f t="shared" ca="1" si="23"/>
        <v>-</v>
      </c>
      <c r="H233" s="369" t="str">
        <f t="shared" ca="1" si="23"/>
        <v>-</v>
      </c>
      <c r="I233" s="369">
        <f t="shared" ca="1" si="26"/>
        <v>1</v>
      </c>
      <c r="K233" s="304">
        <f>IF(L232=COM_2012!$AI$121,K232+1,K232)</f>
        <v>4</v>
      </c>
      <c r="L233" s="304">
        <f t="shared" si="24"/>
        <v>37</v>
      </c>
    </row>
    <row r="234" spans="1:12">
      <c r="A234" s="304" t="str">
        <f ca="1">IF(LEFT(OFFSET(COM_2012!$A$60,L234,0),2)="\I","*","")</f>
        <v/>
      </c>
      <c r="B234" s="369" t="str">
        <f t="shared" ca="1" si="25"/>
        <v>TOP-IN</v>
      </c>
      <c r="C234" s="369" t="str">
        <f ca="1">IF($A234="*","",OFFSET(COM_2012!$B$60,L234,0))</f>
        <v>CEWELC-N</v>
      </c>
      <c r="D234" s="369" t="str">
        <f ca="1">IF($A234="*","",IF(LEFT($B234,3)="TOP",OFFSET(COM_2012!$B$60,$L234,SUMIF($B$9:$B$12,$B234,$M$9:$M$12)),"-"))</f>
        <v>COMELC</v>
      </c>
      <c r="E234" s="369" t="str">
        <f ca="1">IF($A234="*","",IF($B234="PRC_ACTUNT",OFFSET(COM_2012!$B$60,$L234,SUMIF($B$9:$B$12,$B234,$M$9:$M$12)),"-"))</f>
        <v>-</v>
      </c>
      <c r="F234" s="369" t="str">
        <f t="shared" ca="1" si="23"/>
        <v>-</v>
      </c>
      <c r="G234" s="369" t="str">
        <f t="shared" ca="1" si="23"/>
        <v>-</v>
      </c>
      <c r="H234" s="369" t="str">
        <f t="shared" ca="1" si="23"/>
        <v>-</v>
      </c>
      <c r="I234" s="369">
        <f t="shared" ca="1" si="26"/>
        <v>1</v>
      </c>
      <c r="K234" s="304">
        <f>IF(L233=COM_2012!$AI$121,K233+1,K233)</f>
        <v>4</v>
      </c>
      <c r="L234" s="304">
        <f t="shared" si="24"/>
        <v>38</v>
      </c>
    </row>
    <row r="235" spans="1:12">
      <c r="A235" s="304" t="str">
        <f ca="1">IF(LEFT(OFFSET(COM_2012!$A$60,L235,0),2)="\I","*","")</f>
        <v/>
      </c>
      <c r="B235" s="369" t="str">
        <f t="shared" ca="1" si="25"/>
        <v>TOP-IN</v>
      </c>
      <c r="C235" s="369" t="str">
        <f ca="1">IF($A235="*","",OFFSET(COM_2012!$B$60,L235,0))</f>
        <v>CEWELCHP-N</v>
      </c>
      <c r="D235" s="369" t="str">
        <f ca="1">IF($A235="*","",IF(LEFT($B235,3)="TOP",OFFSET(COM_2012!$B$60,$L235,SUMIF($B$9:$B$12,$B235,$M$9:$M$12)),"-"))</f>
        <v>COMELC</v>
      </c>
      <c r="E235" s="369" t="str">
        <f ca="1">IF($A235="*","",IF($B235="PRC_ACTUNT",OFFSET(COM_2012!$B$60,$L235,SUMIF($B$9:$B$12,$B235,$M$9:$M$12)),"-"))</f>
        <v>-</v>
      </c>
      <c r="F235" s="369" t="str">
        <f t="shared" ca="1" si="23"/>
        <v>-</v>
      </c>
      <c r="G235" s="369" t="str">
        <f t="shared" ca="1" si="23"/>
        <v>-</v>
      </c>
      <c r="H235" s="369" t="str">
        <f t="shared" ca="1" si="23"/>
        <v>-</v>
      </c>
      <c r="I235" s="369">
        <f t="shared" ca="1" si="26"/>
        <v>1</v>
      </c>
      <c r="K235" s="304">
        <f>IF(L234=COM_2012!$AI$121,K234+1,K234)</f>
        <v>4</v>
      </c>
      <c r="L235" s="304">
        <f t="shared" si="24"/>
        <v>39</v>
      </c>
    </row>
    <row r="236" spans="1:12">
      <c r="A236" s="304" t="str">
        <f ca="1">IF(LEFT(OFFSET(COM_2012!$A$60,L236,0),2)="\I","*","")</f>
        <v>*</v>
      </c>
      <c r="B236" s="369" t="str">
        <f t="shared" ca="1" si="25"/>
        <v/>
      </c>
      <c r="C236" s="369" t="str">
        <f ca="1">IF($A236="*","",OFFSET(COM_2012!$B$60,L236,0))</f>
        <v/>
      </c>
      <c r="D236" s="369" t="str">
        <f ca="1">IF($A236="*","",IF(LEFT($B236,3)="TOP",OFFSET(COM_2012!$B$60,$L236,SUMIF($B$9:$B$12,$B236,$M$9:$M$12)),"-"))</f>
        <v/>
      </c>
      <c r="E236" s="369" t="str">
        <f ca="1">IF($A236="*","",IF($B236="PRC_ACTUNT",OFFSET(COM_2012!$B$60,$L236,SUMIF($B$9:$B$12,$B236,$M$9:$M$12)),"-"))</f>
        <v/>
      </c>
      <c r="F236" s="369" t="str">
        <f t="shared" ca="1" si="23"/>
        <v/>
      </c>
      <c r="G236" s="369" t="str">
        <f t="shared" ca="1" si="23"/>
        <v/>
      </c>
      <c r="H236" s="369" t="str">
        <f t="shared" ca="1" si="23"/>
        <v/>
      </c>
      <c r="I236" s="369" t="str">
        <f t="shared" ca="1" si="26"/>
        <v/>
      </c>
      <c r="K236" s="304">
        <f>IF(L235=COM_2012!$AI$121,K235+1,K235)</f>
        <v>4</v>
      </c>
      <c r="L236" s="304">
        <f t="shared" si="24"/>
        <v>40</v>
      </c>
    </row>
    <row r="237" spans="1:12">
      <c r="A237" s="304" t="str">
        <f ca="1">IF(LEFT(OFFSET(COM_2012!$A$60,L237,0),2)="\I","*","")</f>
        <v>*</v>
      </c>
      <c r="B237" s="369" t="str">
        <f t="shared" ca="1" si="25"/>
        <v/>
      </c>
      <c r="C237" s="369" t="str">
        <f ca="1">IF($A237="*","",OFFSET(COM_2012!$B$60,L237,0))</f>
        <v/>
      </c>
      <c r="D237" s="369" t="str">
        <f ca="1">IF($A237="*","",IF(LEFT($B237,3)="TOP",OFFSET(COM_2012!$B$60,$L237,SUMIF($B$9:$B$12,$B237,$M$9:$M$12)),"-"))</f>
        <v/>
      </c>
      <c r="E237" s="369" t="str">
        <f ca="1">IF($A237="*","",IF($B237="PRC_ACTUNT",OFFSET(COM_2012!$B$60,$L237,SUMIF($B$9:$B$12,$B237,$M$9:$M$12)),"-"))</f>
        <v/>
      </c>
      <c r="F237" s="369" t="str">
        <f t="shared" ca="1" si="23"/>
        <v/>
      </c>
      <c r="G237" s="369" t="str">
        <f t="shared" ca="1" si="23"/>
        <v/>
      </c>
      <c r="H237" s="369" t="str">
        <f t="shared" ca="1" si="23"/>
        <v/>
      </c>
      <c r="I237" s="369" t="str">
        <f t="shared" ca="1" si="26"/>
        <v/>
      </c>
      <c r="K237" s="304">
        <f>IF(L236=COM_2012!$AI$121,K236+1,K236)</f>
        <v>4</v>
      </c>
      <c r="L237" s="304">
        <f t="shared" si="24"/>
        <v>41</v>
      </c>
    </row>
    <row r="238" spans="1:12">
      <c r="B238" s="369" t="str">
        <f t="shared" ref="B238:B257" si="27">IF(A238="*","",VLOOKUP("*"&amp;K238,$A$9:$B$14,2,FALSE))</f>
        <v>TOP-IN</v>
      </c>
      <c r="C238" s="369" t="str">
        <f ca="1">IF($A238="*","",OFFSET(COM_2012!$B$60,L238,0))</f>
        <v>CEGELCINC-E</v>
      </c>
      <c r="D238" s="369" t="str">
        <f ca="1">IF($A238="*","",IF(LEFT($B238,3)="TOP",OFFSET(COM_2012!$B$60,$L238,SUMIF($B$9:$B$12,$B238,$M$9:$M$12)),"-"))</f>
        <v>COMELC</v>
      </c>
      <c r="E238" s="369" t="str">
        <f ca="1">IF($A238="*","",IF($B238="PRC_ACTUNT",OFFSET(COM_2012!$B$60,$L238,SUMIF($B$9:$B$12,$B238,$M$9:$M$12)),"-"))</f>
        <v>-</v>
      </c>
      <c r="F238" s="369" t="str">
        <f t="shared" si="23"/>
        <v>-</v>
      </c>
      <c r="G238" s="369" t="str">
        <f t="shared" si="23"/>
        <v>-</v>
      </c>
      <c r="H238" s="369" t="str">
        <f t="shared" si="23"/>
        <v>-</v>
      </c>
      <c r="I238" s="369">
        <f t="shared" ref="I238:I257" si="28">IF($A238="*","",SUMIF($B$9:$B$12,B238,$I$9:$I$12))</f>
        <v>1</v>
      </c>
      <c r="K238" s="304">
        <f>IF(L237=COM_2012!$AI$121,K237+1,K237)</f>
        <v>4</v>
      </c>
      <c r="L238" s="304">
        <f t="shared" ref="L238:L257" si="29">IF(K238=K237,L237+1,1)</f>
        <v>42</v>
      </c>
    </row>
    <row r="239" spans="1:12">
      <c r="B239" s="369" t="str">
        <f t="shared" si="27"/>
        <v>TOP-IN</v>
      </c>
      <c r="C239" s="369" t="str">
        <f ca="1">IF($A239="*","",OFFSET(COM_2012!$B$60,L239,0))</f>
        <v>CEGELCHAL-E</v>
      </c>
      <c r="D239" s="369" t="str">
        <f ca="1">IF($A239="*","",IF(LEFT($B239,3)="TOP",OFFSET(COM_2012!$B$60,$L239,SUMIF($B$9:$B$12,$B239,$M$9:$M$12)),"-"))</f>
        <v>COMELC</v>
      </c>
      <c r="E239" s="369" t="str">
        <f ca="1">IF($A239="*","",IF($B239="PRC_ACTUNT",OFFSET(COM_2012!$B$60,$L239,SUMIF($B$9:$B$12,$B239,$M$9:$M$12)),"-"))</f>
        <v>-</v>
      </c>
      <c r="F239" s="369" t="str">
        <f t="shared" ref="F239:H257" si="30">IF($A239="*","","-")</f>
        <v>-</v>
      </c>
      <c r="G239" s="369" t="str">
        <f t="shared" si="30"/>
        <v>-</v>
      </c>
      <c r="H239" s="369" t="str">
        <f t="shared" si="30"/>
        <v>-</v>
      </c>
      <c r="I239" s="369">
        <f t="shared" si="28"/>
        <v>1</v>
      </c>
      <c r="K239" s="304">
        <f>IF(L238=COM_2012!$AI$121,K238+1,K238)</f>
        <v>4</v>
      </c>
      <c r="L239" s="304">
        <f t="shared" si="29"/>
        <v>43</v>
      </c>
    </row>
    <row r="240" spans="1:12">
      <c r="B240" s="369" t="str">
        <f t="shared" si="27"/>
        <v>TOP-IN</v>
      </c>
      <c r="C240" s="369" t="str">
        <f ca="1">IF($A240="*","",OFFSET(COM_2012!$B$60,L240,0))</f>
        <v>CEGELCHPM-E</v>
      </c>
      <c r="D240" s="369" t="str">
        <f ca="1">IF($A240="*","",IF(LEFT($B240,3)="TOP",OFFSET(COM_2012!$B$60,$L240,SUMIF($B$9:$B$12,$B240,$M$9:$M$12)),"-"))</f>
        <v>COMELC</v>
      </c>
      <c r="E240" s="369" t="str">
        <f ca="1">IF($A240="*","",IF($B240="PRC_ACTUNT",OFFSET(COM_2012!$B$60,$L240,SUMIF($B$9:$B$12,$B240,$M$9:$M$12)),"-"))</f>
        <v>-</v>
      </c>
      <c r="F240" s="369" t="str">
        <f t="shared" si="30"/>
        <v>-</v>
      </c>
      <c r="G240" s="369" t="str">
        <f t="shared" si="30"/>
        <v>-</v>
      </c>
      <c r="H240" s="369" t="str">
        <f t="shared" si="30"/>
        <v>-</v>
      </c>
      <c r="I240" s="369">
        <f t="shared" si="28"/>
        <v>1</v>
      </c>
      <c r="K240" s="304">
        <f>IF(L239=COM_2012!$AI$121,K239+1,K239)</f>
        <v>4</v>
      </c>
      <c r="L240" s="304">
        <f t="shared" si="29"/>
        <v>44</v>
      </c>
    </row>
    <row r="241" spans="1:12">
      <c r="B241" s="369" t="str">
        <f t="shared" si="27"/>
        <v>TOP-IN</v>
      </c>
      <c r="C241" s="369" t="str">
        <f ca="1">IF($A241="*","",OFFSET(COM_2012!$B$60,L241,0))</f>
        <v>CEGELCHPS-E</v>
      </c>
      <c r="D241" s="369" t="str">
        <f ca="1">IF($A241="*","",IF(LEFT($B241,3)="TOP",OFFSET(COM_2012!$B$60,$L241,SUMIF($B$9:$B$12,$B241,$M$9:$M$12)),"-"))</f>
        <v>COMELC</v>
      </c>
      <c r="E241" s="369" t="str">
        <f ca="1">IF($A241="*","",IF($B241="PRC_ACTUNT",OFFSET(COM_2012!$B$60,$L241,SUMIF($B$9:$B$12,$B241,$M$9:$M$12)),"-"))</f>
        <v>-</v>
      </c>
      <c r="F241" s="369" t="str">
        <f t="shared" si="30"/>
        <v>-</v>
      </c>
      <c r="G241" s="369" t="str">
        <f t="shared" si="30"/>
        <v>-</v>
      </c>
      <c r="H241" s="369" t="str">
        <f t="shared" si="30"/>
        <v>-</v>
      </c>
      <c r="I241" s="369">
        <f t="shared" si="28"/>
        <v>1</v>
      </c>
      <c r="K241" s="304">
        <f>IF(L240=COM_2012!$AI$121,K240+1,K240)</f>
        <v>4</v>
      </c>
      <c r="L241" s="304">
        <f t="shared" si="29"/>
        <v>45</v>
      </c>
    </row>
    <row r="242" spans="1:12">
      <c r="B242" s="369" t="str">
        <f t="shared" si="27"/>
        <v>TOP-IN</v>
      </c>
      <c r="C242" s="369" t="str">
        <f ca="1">IF($A242="*","",OFFSET(COM_2012!$B$60,L242,0))</f>
        <v>CEGELCMHL-E</v>
      </c>
      <c r="D242" s="369" t="str">
        <f ca="1">IF($A242="*","",IF(LEFT($B242,3)="TOP",OFFSET(COM_2012!$B$60,$L242,SUMIF($B$9:$B$12,$B242,$M$9:$M$12)),"-"))</f>
        <v>COMELC</v>
      </c>
      <c r="E242" s="369" t="str">
        <f ca="1">IF($A242="*","",IF($B242="PRC_ACTUNT",OFFSET(COM_2012!$B$60,$L242,SUMIF($B$9:$B$12,$B242,$M$9:$M$12)),"-"))</f>
        <v>-</v>
      </c>
      <c r="F242" s="369" t="str">
        <f t="shared" si="30"/>
        <v>-</v>
      </c>
      <c r="G242" s="369" t="str">
        <f t="shared" si="30"/>
        <v>-</v>
      </c>
      <c r="H242" s="369" t="str">
        <f t="shared" si="30"/>
        <v>-</v>
      </c>
      <c r="I242" s="369">
        <f t="shared" si="28"/>
        <v>1</v>
      </c>
      <c r="K242" s="304">
        <f>IF(L241=COM_2012!$AI$121,K241+1,K241)</f>
        <v>4</v>
      </c>
      <c r="L242" s="304">
        <f t="shared" si="29"/>
        <v>46</v>
      </c>
    </row>
    <row r="243" spans="1:12">
      <c r="B243" s="369" t="str">
        <f t="shared" si="27"/>
        <v>TOP-IN</v>
      </c>
      <c r="C243" s="369" t="str">
        <f ca="1">IF($A243="*","",OFFSET(COM_2012!$B$60,L243,0))</f>
        <v>CEGELCLED-N</v>
      </c>
      <c r="D243" s="369" t="str">
        <f ca="1">IF($A243="*","",IF(LEFT($B243,3)="TOP",OFFSET(COM_2012!$B$60,$L243,SUMIF($B$9:$B$12,$B243,$M$9:$M$12)),"-"))</f>
        <v>COMELC</v>
      </c>
      <c r="E243" s="369" t="str">
        <f ca="1">IF($A243="*","",IF($B243="PRC_ACTUNT",OFFSET(COM_2012!$B$60,$L243,SUMIF($B$9:$B$12,$B243,$M$9:$M$12)),"-"))</f>
        <v>-</v>
      </c>
      <c r="F243" s="369" t="str">
        <f t="shared" si="30"/>
        <v>-</v>
      </c>
      <c r="G243" s="369" t="str">
        <f t="shared" si="30"/>
        <v>-</v>
      </c>
      <c r="H243" s="369" t="str">
        <f t="shared" si="30"/>
        <v>-</v>
      </c>
      <c r="I243" s="369">
        <f t="shared" si="28"/>
        <v>1</v>
      </c>
      <c r="K243" s="304">
        <f>IF(L242=COM_2012!$AI$121,K242+1,K242)</f>
        <v>4</v>
      </c>
      <c r="L243" s="304">
        <f t="shared" si="29"/>
        <v>47</v>
      </c>
    </row>
    <row r="244" spans="1:12">
      <c r="A244" s="304" t="s">
        <v>709</v>
      </c>
      <c r="B244" s="369" t="str">
        <f t="shared" si="27"/>
        <v/>
      </c>
      <c r="C244" s="369" t="str">
        <f ca="1">IF($A244="*","",OFFSET(COM_2012!$B$60,L244,0))</f>
        <v/>
      </c>
      <c r="D244" s="369" t="str">
        <f ca="1">IF($A244="*","",IF(LEFT($B244,3)="TOP",OFFSET(COM_2012!$B$60,$L244,SUMIF($B$9:$B$12,$B244,$M$9:$M$12)),"-"))</f>
        <v/>
      </c>
      <c r="E244" s="369" t="str">
        <f ca="1">IF($A244="*","",IF($B244="PRC_ACTUNT",OFFSET(COM_2012!$B$60,$L244,SUMIF($B$9:$B$12,$B244,$M$9:$M$12)),"-"))</f>
        <v/>
      </c>
      <c r="F244" s="369" t="str">
        <f t="shared" si="30"/>
        <v/>
      </c>
      <c r="G244" s="369" t="str">
        <f t="shared" si="30"/>
        <v/>
      </c>
      <c r="H244" s="369" t="str">
        <f t="shared" si="30"/>
        <v/>
      </c>
      <c r="I244" s="369" t="str">
        <f t="shared" si="28"/>
        <v/>
      </c>
      <c r="K244" s="304">
        <f>IF(L243=COM_2012!$AI$121,K243+1,K243)</f>
        <v>4</v>
      </c>
      <c r="L244" s="304">
        <f t="shared" si="29"/>
        <v>48</v>
      </c>
    </row>
    <row r="245" spans="1:12">
      <c r="A245" s="304" t="s">
        <v>709</v>
      </c>
      <c r="B245" s="369" t="str">
        <f t="shared" si="27"/>
        <v/>
      </c>
      <c r="C245" s="369" t="str">
        <f ca="1">IF($A245="*","",OFFSET(COM_2012!$B$60,L245,0))</f>
        <v/>
      </c>
      <c r="D245" s="369" t="str">
        <f ca="1">IF($A245="*","",IF(LEFT($B245,3)="TOP",OFFSET(COM_2012!$B$60,$L245,SUMIF($B$9:$B$12,$B245,$M$9:$M$12)),"-"))</f>
        <v/>
      </c>
      <c r="E245" s="369" t="str">
        <f ca="1">IF($A245="*","",IF($B245="PRC_ACTUNT",OFFSET(COM_2012!$B$60,$L245,SUMIF($B$9:$B$12,$B245,$M$9:$M$12)),"-"))</f>
        <v/>
      </c>
      <c r="F245" s="369" t="str">
        <f t="shared" si="30"/>
        <v/>
      </c>
      <c r="G245" s="369" t="str">
        <f t="shared" si="30"/>
        <v/>
      </c>
      <c r="H245" s="369" t="str">
        <f t="shared" si="30"/>
        <v/>
      </c>
      <c r="I245" s="369" t="str">
        <f t="shared" si="28"/>
        <v/>
      </c>
      <c r="K245" s="304">
        <f>IF(L244=COM_2012!$AI$121,K244+1,K244)</f>
        <v>4</v>
      </c>
      <c r="L245" s="304">
        <f t="shared" si="29"/>
        <v>49</v>
      </c>
    </row>
    <row r="246" spans="1:12">
      <c r="B246" s="369" t="str">
        <f t="shared" si="27"/>
        <v>TOP-IN</v>
      </c>
      <c r="C246" s="369" t="str">
        <f ca="1">IF($A246="*","",OFFSET(COM_2012!$B$60,L246,0))</f>
        <v>CETELC-E</v>
      </c>
      <c r="D246" s="369" t="str">
        <f ca="1">IF($A246="*","",IF(LEFT($B246,3)="TOP",OFFSET(COM_2012!$B$60,$L246,SUMIF($B$9:$B$12,$B246,$M$9:$M$12)),"-"))</f>
        <v>COMELC</v>
      </c>
      <c r="E246" s="369" t="str">
        <f ca="1">IF($A246="*","",IF($B246="PRC_ACTUNT",OFFSET(COM_2012!$B$60,$L246,SUMIF($B$9:$B$12,$B246,$M$9:$M$12)),"-"))</f>
        <v>-</v>
      </c>
      <c r="F246" s="369" t="str">
        <f t="shared" si="30"/>
        <v>-</v>
      </c>
      <c r="G246" s="369" t="str">
        <f t="shared" si="30"/>
        <v>-</v>
      </c>
      <c r="H246" s="369" t="str">
        <f t="shared" si="30"/>
        <v>-</v>
      </c>
      <c r="I246" s="369">
        <f t="shared" si="28"/>
        <v>1</v>
      </c>
      <c r="K246" s="304">
        <f>IF(L245=COM_2012!$AI$121,K245+1,K245)</f>
        <v>4</v>
      </c>
      <c r="L246" s="304">
        <f t="shared" si="29"/>
        <v>50</v>
      </c>
    </row>
    <row r="247" spans="1:12">
      <c r="A247" s="304" t="s">
        <v>709</v>
      </c>
      <c r="B247" s="369" t="str">
        <f t="shared" si="27"/>
        <v/>
      </c>
      <c r="C247" s="369" t="str">
        <f ca="1">IF($A247="*","",OFFSET(COM_2012!$B$60,L247,0))</f>
        <v/>
      </c>
      <c r="D247" s="369" t="str">
        <f ca="1">IF($A247="*","",IF(LEFT($B247,3)="TOP",OFFSET(COM_2012!$B$60,$L247,SUMIF($B$9:$B$12,$B247,$M$9:$M$12)),"-"))</f>
        <v/>
      </c>
      <c r="E247" s="369" t="str">
        <f ca="1">IF($A247="*","",IF($B247="PRC_ACTUNT",OFFSET(COM_2012!$B$60,$L247,SUMIF($B$9:$B$12,$B247,$M$9:$M$12)),"-"))</f>
        <v/>
      </c>
      <c r="F247" s="369" t="str">
        <f t="shared" si="30"/>
        <v/>
      </c>
      <c r="G247" s="369" t="str">
        <f t="shared" si="30"/>
        <v/>
      </c>
      <c r="H247" s="369" t="str">
        <f t="shared" si="30"/>
        <v/>
      </c>
      <c r="I247" s="369" t="str">
        <f t="shared" si="28"/>
        <v/>
      </c>
      <c r="K247" s="304">
        <f>IF(L246=COM_2012!$AI$121,K246+1,K246)</f>
        <v>4</v>
      </c>
      <c r="L247" s="304">
        <f t="shared" si="29"/>
        <v>51</v>
      </c>
    </row>
    <row r="248" spans="1:12">
      <c r="A248" s="304" t="s">
        <v>709</v>
      </c>
      <c r="B248" s="369" t="str">
        <f t="shared" si="27"/>
        <v/>
      </c>
      <c r="C248" s="369" t="str">
        <f ca="1">IF($A248="*","",OFFSET(COM_2012!$B$60,L248,0))</f>
        <v/>
      </c>
      <c r="D248" s="369" t="str">
        <f ca="1">IF($A248="*","",IF(LEFT($B248,3)="TOP",OFFSET(COM_2012!$B$60,$L248,SUMIF($B$9:$B$12,$B248,$M$9:$M$12)),"-"))</f>
        <v/>
      </c>
      <c r="E248" s="369" t="str">
        <f ca="1">IF($A248="*","",IF($B248="PRC_ACTUNT",OFFSET(COM_2012!$B$60,$L248,SUMIF($B$9:$B$12,$B248,$M$9:$M$12)),"-"))</f>
        <v/>
      </c>
      <c r="F248" s="369" t="str">
        <f t="shared" si="30"/>
        <v/>
      </c>
      <c r="G248" s="369" t="str">
        <f t="shared" si="30"/>
        <v/>
      </c>
      <c r="H248" s="369" t="str">
        <f t="shared" si="30"/>
        <v/>
      </c>
      <c r="I248" s="369" t="str">
        <f t="shared" si="28"/>
        <v/>
      </c>
      <c r="K248" s="304">
        <f>IF(L247=COM_2012!$AI$121,K247+1,K247)</f>
        <v>4</v>
      </c>
      <c r="L248" s="304">
        <f t="shared" si="29"/>
        <v>52</v>
      </c>
    </row>
    <row r="249" spans="1:12">
      <c r="B249" s="369" t="str">
        <f t="shared" si="27"/>
        <v>TOP-IN</v>
      </c>
      <c r="C249" s="369" t="str">
        <f ca="1">IF($A249="*","",OFFSET(COM_2012!$B$60,L249,0))</f>
        <v>CEOCOA-E</v>
      </c>
      <c r="D249" s="369" t="str">
        <f ca="1">IF($A249="*","",IF(LEFT($B249,3)="TOP",OFFSET(COM_2012!$B$60,$L249,SUMIF($B$9:$B$12,$B249,$M$9:$M$12)),"-"))</f>
        <v>COMCOA</v>
      </c>
      <c r="E249" s="369" t="str">
        <f ca="1">IF($A249="*","",IF($B249="PRC_ACTUNT",OFFSET(COM_2012!$B$60,$L249,SUMIF($B$9:$B$12,$B249,$M$9:$M$12)),"-"))</f>
        <v>-</v>
      </c>
      <c r="F249" s="369" t="str">
        <f t="shared" si="30"/>
        <v>-</v>
      </c>
      <c r="G249" s="369" t="str">
        <f t="shared" si="30"/>
        <v>-</v>
      </c>
      <c r="H249" s="369" t="str">
        <f t="shared" si="30"/>
        <v>-</v>
      </c>
      <c r="I249" s="369">
        <f t="shared" si="28"/>
        <v>1</v>
      </c>
      <c r="K249" s="304">
        <f>IF(L248=COM_2012!$AI$121,K248+1,K248)</f>
        <v>4</v>
      </c>
      <c r="L249" s="304">
        <f t="shared" si="29"/>
        <v>53</v>
      </c>
    </row>
    <row r="250" spans="1:12">
      <c r="B250" s="369" t="str">
        <f t="shared" si="27"/>
        <v>TOP-IN</v>
      </c>
      <c r="C250" s="369" t="str">
        <f ca="1">IF($A250="*","",OFFSET(COM_2012!$B$60,L250,0))</f>
        <v>CEOODS-E</v>
      </c>
      <c r="D250" s="369" t="str">
        <f ca="1">IF($A250="*","",IF(LEFT($B250,3)="TOP",OFFSET(COM_2012!$B$60,$L250,SUMIF($B$9:$B$12,$B250,$M$9:$M$12)),"-"))</f>
        <v>COMODS</v>
      </c>
      <c r="E250" s="369" t="str">
        <f ca="1">IF($A250="*","",IF($B250="PRC_ACTUNT",OFFSET(COM_2012!$B$60,$L250,SUMIF($B$9:$B$12,$B250,$M$9:$M$12)),"-"))</f>
        <v>-</v>
      </c>
      <c r="F250" s="369" t="str">
        <f t="shared" si="30"/>
        <v>-</v>
      </c>
      <c r="G250" s="369" t="str">
        <f t="shared" si="30"/>
        <v>-</v>
      </c>
      <c r="H250" s="369" t="str">
        <f t="shared" si="30"/>
        <v>-</v>
      </c>
      <c r="I250" s="369">
        <f t="shared" si="28"/>
        <v>1</v>
      </c>
      <c r="K250" s="304">
        <f>IF(L249=COM_2012!$AI$121,K249+1,K249)</f>
        <v>4</v>
      </c>
      <c r="L250" s="304">
        <f t="shared" si="29"/>
        <v>54</v>
      </c>
    </row>
    <row r="251" spans="1:12">
      <c r="B251" s="369" t="str">
        <f t="shared" si="27"/>
        <v>TOP-IN</v>
      </c>
      <c r="C251" s="369" t="str">
        <f ca="1">IF($A251="*","",OFFSET(COM_2012!$B$60,L251,0))</f>
        <v>CEOELC-E</v>
      </c>
      <c r="D251" s="369" t="str">
        <f ca="1">IF($A251="*","",IF(LEFT($B251,3)="TOP",OFFSET(COM_2012!$B$60,$L251,SUMIF($B$9:$B$12,$B251,$M$9:$M$12)),"-"))</f>
        <v>COMELC</v>
      </c>
      <c r="E251" s="369" t="str">
        <f ca="1">IF($A251="*","",IF($B251="PRC_ACTUNT",OFFSET(COM_2012!$B$60,$L251,SUMIF($B$9:$B$12,$B251,$M$9:$M$12)),"-"))</f>
        <v>-</v>
      </c>
      <c r="F251" s="369" t="str">
        <f t="shared" si="30"/>
        <v>-</v>
      </c>
      <c r="G251" s="369" t="str">
        <f t="shared" si="30"/>
        <v>-</v>
      </c>
      <c r="H251" s="369" t="str">
        <f t="shared" si="30"/>
        <v>-</v>
      </c>
      <c r="I251" s="369">
        <f t="shared" si="28"/>
        <v>1</v>
      </c>
      <c r="K251" s="304">
        <f>IF(L250=COM_2012!$AI$121,K250+1,K250)</f>
        <v>4</v>
      </c>
      <c r="L251" s="304">
        <f t="shared" si="29"/>
        <v>55</v>
      </c>
    </row>
    <row r="252" spans="1:12">
      <c r="B252" s="369" t="str">
        <f t="shared" si="27"/>
        <v>TOP-IN</v>
      </c>
      <c r="C252" s="369" t="str">
        <f ca="1">IF($A252="*","",OFFSET(COM_2012!$B$60,L252,0))</f>
        <v>CEOGAS-E</v>
      </c>
      <c r="D252" s="369" t="str">
        <f ca="1">IF($A252="*","",IF(LEFT($B252,3)="TOP",OFFSET(COM_2012!$B$60,$L252,SUMIF($B$9:$B$12,$B252,$M$9:$M$12)),"-"))</f>
        <v>COMGAS</v>
      </c>
      <c r="E252" s="369" t="str">
        <f ca="1">IF($A252="*","",IF($B252="PRC_ACTUNT",OFFSET(COM_2012!$B$60,$L252,SUMIF($B$9:$B$12,$B252,$M$9:$M$12)),"-"))</f>
        <v>-</v>
      </c>
      <c r="F252" s="369" t="str">
        <f t="shared" si="30"/>
        <v>-</v>
      </c>
      <c r="G252" s="369" t="str">
        <f t="shared" si="30"/>
        <v>-</v>
      </c>
      <c r="H252" s="369" t="str">
        <f t="shared" si="30"/>
        <v>-</v>
      </c>
      <c r="I252" s="369">
        <f t="shared" si="28"/>
        <v>1</v>
      </c>
      <c r="K252" s="304">
        <f>IF(L251=COM_2012!$AI$121,K251+1,K251)</f>
        <v>4</v>
      </c>
      <c r="L252" s="304">
        <f t="shared" si="29"/>
        <v>56</v>
      </c>
    </row>
    <row r="253" spans="1:12">
      <c r="B253" s="369" t="str">
        <f t="shared" si="27"/>
        <v>TOP-IN</v>
      </c>
      <c r="C253" s="369" t="str">
        <f ca="1">IF($A253="*","",OFFSET(COM_2012!$B$60,L253,0))</f>
        <v>CEOOGS-E</v>
      </c>
      <c r="D253" s="369" t="str">
        <f ca="1">IF($A253="*","",IF(LEFT($B253,3)="TOP",OFFSET(COM_2012!$B$60,$L253,SUMIF($B$9:$B$12,$B253,$M$9:$M$12)),"-"))</f>
        <v>COMOGS</v>
      </c>
      <c r="E253" s="369" t="str">
        <f ca="1">IF($A253="*","",IF($B253="PRC_ACTUNT",OFFSET(COM_2012!$B$60,$L253,SUMIF($B$9:$B$12,$B253,$M$9:$M$12)),"-"))</f>
        <v>-</v>
      </c>
      <c r="F253" s="369" t="str">
        <f t="shared" si="30"/>
        <v>-</v>
      </c>
      <c r="G253" s="369" t="str">
        <f t="shared" si="30"/>
        <v>-</v>
      </c>
      <c r="H253" s="369" t="str">
        <f t="shared" si="30"/>
        <v>-</v>
      </c>
      <c r="I253" s="369">
        <f t="shared" si="28"/>
        <v>1</v>
      </c>
      <c r="K253" s="304">
        <f>IF(L252=COM_2012!$AI$121,K252+1,K252)</f>
        <v>4</v>
      </c>
      <c r="L253" s="304">
        <f t="shared" si="29"/>
        <v>57</v>
      </c>
    </row>
    <row r="254" spans="1:12">
      <c r="B254" s="369" t="str">
        <f t="shared" si="27"/>
        <v>TOP-IN</v>
      </c>
      <c r="C254" s="369" t="str">
        <f ca="1">IF($A254="*","",OFFSET(COM_2012!$B$60,L254,0))</f>
        <v>CEOOHF-E</v>
      </c>
      <c r="D254" s="369" t="str">
        <f ca="1">IF($A254="*","",IF(LEFT($B254,3)="TOP",OFFSET(COM_2012!$B$60,$L254,SUMIF($B$9:$B$12,$B254,$M$9:$M$12)),"-"))</f>
        <v>COMOHF</v>
      </c>
      <c r="E254" s="369" t="str">
        <f ca="1">IF($A254="*","",IF($B254="PRC_ACTUNT",OFFSET(COM_2012!$B$60,$L254,SUMIF($B$9:$B$12,$B254,$M$9:$M$12)),"-"))</f>
        <v>-</v>
      </c>
      <c r="F254" s="369" t="str">
        <f t="shared" si="30"/>
        <v>-</v>
      </c>
      <c r="G254" s="369" t="str">
        <f t="shared" si="30"/>
        <v>-</v>
      </c>
      <c r="H254" s="369" t="str">
        <f t="shared" si="30"/>
        <v>-</v>
      </c>
      <c r="I254" s="369">
        <f t="shared" si="28"/>
        <v>1</v>
      </c>
      <c r="K254" s="304">
        <f>IF(L253=COM_2012!$AI$121,K253+1,K253)</f>
        <v>4</v>
      </c>
      <c r="L254" s="304">
        <f t="shared" si="29"/>
        <v>58</v>
      </c>
    </row>
    <row r="255" spans="1:12">
      <c r="B255" s="369" t="str">
        <f t="shared" si="27"/>
        <v>TOP-IN</v>
      </c>
      <c r="C255" s="369" t="str">
        <f ca="1">IF($A255="*","",OFFSET(COM_2012!$B$60,L255,0))</f>
        <v>CEOOKE-E</v>
      </c>
      <c r="D255" s="369" t="str">
        <f ca="1">IF($A255="*","",IF(LEFT($B255,3)="TOP",OFFSET(COM_2012!$B$60,$L255,SUMIF($B$9:$B$12,$B255,$M$9:$M$12)),"-"))</f>
        <v>COMOKE</v>
      </c>
      <c r="E255" s="369" t="str">
        <f ca="1">IF($A255="*","",IF($B255="PRC_ACTUNT",OFFSET(COM_2012!$B$60,$L255,SUMIF($B$9:$B$12,$B255,$M$9:$M$12)),"-"))</f>
        <v>-</v>
      </c>
      <c r="F255" s="369" t="str">
        <f t="shared" si="30"/>
        <v>-</v>
      </c>
      <c r="G255" s="369" t="str">
        <f t="shared" si="30"/>
        <v>-</v>
      </c>
      <c r="H255" s="369" t="str">
        <f t="shared" si="30"/>
        <v>-</v>
      </c>
      <c r="I255" s="369">
        <f t="shared" si="28"/>
        <v>1</v>
      </c>
      <c r="K255" s="304">
        <f>IF(L254=COM_2012!$AI$121,K254+1,K254)</f>
        <v>4</v>
      </c>
      <c r="L255" s="304">
        <f t="shared" si="29"/>
        <v>59</v>
      </c>
    </row>
    <row r="256" spans="1:12">
      <c r="A256" s="304" t="s">
        <v>709</v>
      </c>
      <c r="B256" s="369" t="str">
        <f t="shared" si="27"/>
        <v/>
      </c>
      <c r="C256" s="369" t="str">
        <f ca="1">IF($A256="*","",OFFSET(COM_2012!$B$60,L256,0))</f>
        <v/>
      </c>
      <c r="D256" s="369" t="str">
        <f ca="1">IF($A256="*","",IF(LEFT($B256,3)="TOP",OFFSET(COM_2012!$B$60,$L256,SUMIF($B$9:$B$12,$B256,$M$9:$M$12)),"-"))</f>
        <v/>
      </c>
      <c r="E256" s="369" t="str">
        <f ca="1">IF($A256="*","",IF($B256="PRC_ACTUNT",OFFSET(COM_2012!$B$60,$L256,SUMIF($B$9:$B$12,$B256,$M$9:$M$12)),"-"))</f>
        <v/>
      </c>
      <c r="F256" s="369" t="str">
        <f t="shared" si="30"/>
        <v/>
      </c>
      <c r="G256" s="369" t="str">
        <f t="shared" si="30"/>
        <v/>
      </c>
      <c r="H256" s="369" t="str">
        <f t="shared" si="30"/>
        <v/>
      </c>
      <c r="I256" s="369" t="str">
        <f t="shared" si="28"/>
        <v/>
      </c>
      <c r="K256" s="304">
        <f>IF(L255=COM_2012!$AI$121,K255+1,K255)</f>
        <v>4</v>
      </c>
      <c r="L256" s="304">
        <f t="shared" si="29"/>
        <v>60</v>
      </c>
    </row>
    <row r="257" spans="1:12">
      <c r="A257" s="304" t="s">
        <v>709</v>
      </c>
      <c r="B257" s="369" t="str">
        <f t="shared" si="27"/>
        <v/>
      </c>
      <c r="C257" s="369" t="str">
        <f ca="1">IF($A257="*","",OFFSET(COM_2012!$B$60,L257,0))</f>
        <v/>
      </c>
      <c r="D257" s="369" t="str">
        <f ca="1">IF($A257="*","",IF(LEFT($B257,3)="TOP",OFFSET(COM_2012!$B$60,$L257,SUMIF($B$9:$B$12,$B257,$M$9:$M$12)),"-"))</f>
        <v/>
      </c>
      <c r="E257" s="369" t="str">
        <f ca="1">IF($A257="*","",IF($B257="PRC_ACTUNT",OFFSET(COM_2012!$B$60,$L257,SUMIF($B$9:$B$12,$B257,$M$9:$M$12)),"-"))</f>
        <v/>
      </c>
      <c r="F257" s="369" t="str">
        <f t="shared" si="30"/>
        <v/>
      </c>
      <c r="G257" s="369" t="str">
        <f t="shared" si="30"/>
        <v/>
      </c>
      <c r="H257" s="369" t="str">
        <f t="shared" si="30"/>
        <v/>
      </c>
      <c r="I257" s="369" t="str">
        <f t="shared" si="28"/>
        <v/>
      </c>
      <c r="K257" s="304">
        <f>IF(L256=COM_2012!$AI$121,K256+1,K256)</f>
        <v>4</v>
      </c>
      <c r="L257" s="304">
        <f t="shared" si="29"/>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9224" r:id="rId3" name="cmdSpecifyArg6">
          <controlPr defaultSize="0" autoLine="0" r:id="rId4">
            <anchor moveWithCells="1">
              <from>
                <xdr:col>7</xdr:col>
                <xdr:colOff>0</xdr:colOff>
                <xdr:row>3</xdr:row>
                <xdr:rowOff>9525</xdr:rowOff>
              </from>
              <to>
                <xdr:col>7</xdr:col>
                <xdr:colOff>619125</xdr:colOff>
                <xdr:row>4</xdr:row>
                <xdr:rowOff>95250</xdr:rowOff>
              </to>
            </anchor>
          </controlPr>
        </control>
      </mc:Choice>
      <mc:Fallback>
        <control shapeId="9224" r:id="rId3" name="cmdSpecifyArg6"/>
      </mc:Fallback>
    </mc:AlternateContent>
    <mc:AlternateContent xmlns:mc="http://schemas.openxmlformats.org/markup-compatibility/2006">
      <mc:Choice Requires="x14">
        <control shapeId="9223" r:id="rId5" name="cmdSpecifyArg5">
          <controlPr defaultSize="0" autoLine="0" r:id="rId6">
            <anchor moveWithCells="1">
              <from>
                <xdr:col>6</xdr:col>
                <xdr:colOff>0</xdr:colOff>
                <xdr:row>3</xdr:row>
                <xdr:rowOff>9525</xdr:rowOff>
              </from>
              <to>
                <xdr:col>6</xdr:col>
                <xdr:colOff>619125</xdr:colOff>
                <xdr:row>4</xdr:row>
                <xdr:rowOff>95250</xdr:rowOff>
              </to>
            </anchor>
          </controlPr>
        </control>
      </mc:Choice>
      <mc:Fallback>
        <control shapeId="9223" r:id="rId5" name="cmdSpecifyArg5"/>
      </mc:Fallback>
    </mc:AlternateContent>
    <mc:AlternateContent xmlns:mc="http://schemas.openxmlformats.org/markup-compatibility/2006">
      <mc:Choice Requires="x14">
        <control shapeId="9222" r:id="rId7" name="cmdSpecifyArg4">
          <controlPr defaultSize="0" autoLine="0" r:id="rId8">
            <anchor moveWithCells="1">
              <from>
                <xdr:col>5</xdr:col>
                <xdr:colOff>0</xdr:colOff>
                <xdr:row>3</xdr:row>
                <xdr:rowOff>9525</xdr:rowOff>
              </from>
              <to>
                <xdr:col>5</xdr:col>
                <xdr:colOff>619125</xdr:colOff>
                <xdr:row>4</xdr:row>
                <xdr:rowOff>95250</xdr:rowOff>
              </to>
            </anchor>
          </controlPr>
        </control>
      </mc:Choice>
      <mc:Fallback>
        <control shapeId="9222" r:id="rId7" name="cmdSpecifyArg4"/>
      </mc:Fallback>
    </mc:AlternateContent>
    <mc:AlternateContent xmlns:mc="http://schemas.openxmlformats.org/markup-compatibility/2006">
      <mc:Choice Requires="x14">
        <control shapeId="9221" r:id="rId9" name="cmdSpecifyArg3">
          <controlPr defaultSize="0" autoLine="0" r:id="rId10">
            <anchor moveWithCells="1">
              <from>
                <xdr:col>4</xdr:col>
                <xdr:colOff>0</xdr:colOff>
                <xdr:row>3</xdr:row>
                <xdr:rowOff>9525</xdr:rowOff>
              </from>
              <to>
                <xdr:col>4</xdr:col>
                <xdr:colOff>619125</xdr:colOff>
                <xdr:row>4</xdr:row>
                <xdr:rowOff>95250</xdr:rowOff>
              </to>
            </anchor>
          </controlPr>
        </control>
      </mc:Choice>
      <mc:Fallback>
        <control shapeId="9221" r:id="rId9" name="cmdSpecifyArg3"/>
      </mc:Fallback>
    </mc:AlternateContent>
    <mc:AlternateContent xmlns:mc="http://schemas.openxmlformats.org/markup-compatibility/2006">
      <mc:Choice Requires="x14">
        <control shapeId="9220" r:id="rId11" name="cmdSpecifyArg2">
          <controlPr defaultSize="0" autoLine="0" r:id="rId12">
            <anchor moveWithCells="1">
              <from>
                <xdr:col>3</xdr:col>
                <xdr:colOff>0</xdr:colOff>
                <xdr:row>3</xdr:row>
                <xdr:rowOff>9525</xdr:rowOff>
              </from>
              <to>
                <xdr:col>3</xdr:col>
                <xdr:colOff>619125</xdr:colOff>
                <xdr:row>4</xdr:row>
                <xdr:rowOff>95250</xdr:rowOff>
              </to>
            </anchor>
          </controlPr>
        </control>
      </mc:Choice>
      <mc:Fallback>
        <control shapeId="9220" r:id="rId11" name="cmdSpecifyArg2"/>
      </mc:Fallback>
    </mc:AlternateContent>
    <mc:AlternateContent xmlns:mc="http://schemas.openxmlformats.org/markup-compatibility/2006">
      <mc:Choice Requires="x14">
        <control shapeId="9219" r:id="rId13" name="cmdSpecifyArg1">
          <controlPr defaultSize="0" autoLine="0" r:id="rId14">
            <anchor moveWithCells="1">
              <from>
                <xdr:col>2</xdr:col>
                <xdr:colOff>0</xdr:colOff>
                <xdr:row>3</xdr:row>
                <xdr:rowOff>9525</xdr:rowOff>
              </from>
              <to>
                <xdr:col>2</xdr:col>
                <xdr:colOff>619125</xdr:colOff>
                <xdr:row>4</xdr:row>
                <xdr:rowOff>95250</xdr:rowOff>
              </to>
            </anchor>
          </controlPr>
        </control>
      </mc:Choice>
      <mc:Fallback>
        <control shapeId="9219" r:id="rId13" name="cmdSpecifyArg1"/>
      </mc:Fallback>
    </mc:AlternateContent>
    <mc:AlternateContent xmlns:mc="http://schemas.openxmlformats.org/markup-compatibility/2006">
      <mc:Choice Requires="x14">
        <control shapeId="9218" r:id="rId15" name="cmdSpecifyParameter">
          <controlPr defaultSize="0" autoLine="0" r:id="rId16">
            <anchor moveWithCells="1">
              <from>
                <xdr:col>1</xdr:col>
                <xdr:colOff>0</xdr:colOff>
                <xdr:row>3</xdr:row>
                <xdr:rowOff>9525</xdr:rowOff>
              </from>
              <to>
                <xdr:col>2</xdr:col>
                <xdr:colOff>19050</xdr:colOff>
                <xdr:row>4</xdr:row>
                <xdr:rowOff>95250</xdr:rowOff>
              </to>
            </anchor>
          </controlPr>
        </control>
      </mc:Choice>
      <mc:Fallback>
        <control shapeId="9218" r:id="rId15" name="cmdSpecifyParameter"/>
      </mc:Fallback>
    </mc:AlternateContent>
    <mc:AlternateContent xmlns:mc="http://schemas.openxmlformats.org/markup-compatibility/2006">
      <mc:Choice Requires="x14">
        <control shapeId="9217" r:id="rId17" name="cmdCheckTIDDataSheet">
          <controlPr defaultSize="0" autoLine="0" r:id="rId18">
            <anchor moveWithCells="1">
              <from>
                <xdr:col>0</xdr:col>
                <xdr:colOff>0</xdr:colOff>
                <xdr:row>2</xdr:row>
                <xdr:rowOff>0</xdr:rowOff>
              </from>
              <to>
                <xdr:col>0</xdr:col>
                <xdr:colOff>819150</xdr:colOff>
                <xdr:row>3</xdr:row>
                <xdr:rowOff>38100</xdr:rowOff>
              </to>
            </anchor>
          </controlPr>
        </control>
      </mc:Choice>
      <mc:Fallback>
        <control shapeId="9217" r:id="rId17" name="cmdCheckTIDDataSheet"/>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2">
    <tabColor theme="9" tint="-0.249977111117893"/>
  </sheetPr>
  <dimension ref="A1:M257"/>
  <sheetViews>
    <sheetView workbookViewId="0"/>
  </sheetViews>
  <sheetFormatPr defaultColWidth="11.42578125" defaultRowHeight="11.25"/>
  <cols>
    <col min="1" max="1" width="15.42578125" style="304" customWidth="1"/>
    <col min="2" max="2" width="12" style="304" customWidth="1"/>
    <col min="3" max="3" width="13.7109375" style="304" customWidth="1"/>
    <col min="4" max="16384" width="11.42578125" style="304"/>
  </cols>
  <sheetData>
    <row r="1" spans="1:13">
      <c r="A1" s="303" t="s">
        <v>744</v>
      </c>
      <c r="B1" s="304" t="s">
        <v>707</v>
      </c>
      <c r="K1" s="304" t="s">
        <v>709</v>
      </c>
      <c r="L1" s="304" t="s">
        <v>709</v>
      </c>
      <c r="M1" s="304" t="s">
        <v>709</v>
      </c>
    </row>
    <row r="2" spans="1:13">
      <c r="A2" s="304" t="s">
        <v>709</v>
      </c>
      <c r="K2" s="304" t="s">
        <v>719</v>
      </c>
      <c r="L2" s="304" t="s">
        <v>720</v>
      </c>
      <c r="M2" s="304" t="s">
        <v>721</v>
      </c>
    </row>
    <row r="3" spans="1:13" ht="15.75" customHeight="1">
      <c r="A3" s="304" t="s">
        <v>709</v>
      </c>
    </row>
    <row r="4" spans="1:13" ht="12.75" customHeight="1">
      <c r="A4" s="304" t="s">
        <v>709</v>
      </c>
    </row>
    <row r="5" spans="1:13">
      <c r="A5" s="304" t="s">
        <v>709</v>
      </c>
    </row>
    <row r="6" spans="1:13">
      <c r="A6" s="304" t="s">
        <v>709</v>
      </c>
    </row>
    <row r="7" spans="1:13">
      <c r="A7" s="304" t="s">
        <v>709</v>
      </c>
      <c r="B7" s="303" t="s">
        <v>722</v>
      </c>
      <c r="C7" s="303" t="s">
        <v>723</v>
      </c>
      <c r="D7" s="303" t="s">
        <v>724</v>
      </c>
      <c r="E7" s="303" t="s">
        <v>725</v>
      </c>
      <c r="F7" s="303" t="s">
        <v>726</v>
      </c>
      <c r="G7" s="303" t="s">
        <v>727</v>
      </c>
      <c r="H7" s="303" t="s">
        <v>728</v>
      </c>
      <c r="I7" s="303" t="s">
        <v>745</v>
      </c>
      <c r="J7" s="303"/>
    </row>
    <row r="8" spans="1:13">
      <c r="A8" s="304" t="s">
        <v>709</v>
      </c>
    </row>
    <row r="9" spans="1:13">
      <c r="A9" s="304" t="s">
        <v>730</v>
      </c>
      <c r="B9" s="369" t="s">
        <v>746</v>
      </c>
      <c r="C9" s="369" t="s">
        <v>732</v>
      </c>
      <c r="D9" s="369" t="s">
        <v>463</v>
      </c>
      <c r="E9" s="369" t="s">
        <v>747</v>
      </c>
      <c r="F9" s="369" t="s">
        <v>463</v>
      </c>
      <c r="G9" s="369" t="s">
        <v>463</v>
      </c>
      <c r="H9" s="369" t="s">
        <v>463</v>
      </c>
      <c r="I9" s="369">
        <v>1</v>
      </c>
      <c r="J9" s="369"/>
      <c r="M9" s="304">
        <f>COM_N_2012!$D$59</f>
        <v>2</v>
      </c>
    </row>
    <row r="10" spans="1:13">
      <c r="A10" s="304" t="s">
        <v>735</v>
      </c>
      <c r="B10" s="369" t="s">
        <v>748</v>
      </c>
      <c r="C10" s="369" t="s">
        <v>732</v>
      </c>
      <c r="D10" s="369" t="s">
        <v>463</v>
      </c>
      <c r="E10" s="369" t="s">
        <v>463</v>
      </c>
      <c r="F10" s="369" t="s">
        <v>463</v>
      </c>
      <c r="G10" s="369" t="s">
        <v>463</v>
      </c>
      <c r="H10" s="369" t="s">
        <v>463</v>
      </c>
      <c r="I10" s="369">
        <v>1</v>
      </c>
      <c r="J10" s="369"/>
    </row>
    <row r="11" spans="1:13">
      <c r="A11" s="304" t="s">
        <v>738</v>
      </c>
      <c r="B11" s="369" t="s">
        <v>749</v>
      </c>
      <c r="C11" s="369" t="s">
        <v>732</v>
      </c>
      <c r="D11" s="369" t="s">
        <v>750</v>
      </c>
      <c r="E11" s="369" t="s">
        <v>463</v>
      </c>
      <c r="F11" s="369" t="s">
        <v>463</v>
      </c>
      <c r="G11" s="369" t="s">
        <v>463</v>
      </c>
      <c r="H11" s="369" t="s">
        <v>463</v>
      </c>
      <c r="I11" s="369">
        <v>1</v>
      </c>
      <c r="J11" s="369"/>
      <c r="M11" s="304">
        <f>COM_N_2012!$D$59</f>
        <v>2</v>
      </c>
    </row>
    <row r="12" spans="1:13">
      <c r="A12" s="304" t="s">
        <v>740</v>
      </c>
      <c r="B12" s="369" t="s">
        <v>751</v>
      </c>
      <c r="C12" s="369" t="s">
        <v>732</v>
      </c>
      <c r="D12" s="369" t="s">
        <v>750</v>
      </c>
      <c r="E12" s="369" t="s">
        <v>463</v>
      </c>
      <c r="F12" s="369" t="s">
        <v>463</v>
      </c>
      <c r="G12" s="369" t="s">
        <v>463</v>
      </c>
      <c r="H12" s="369" t="s">
        <v>463</v>
      </c>
      <c r="I12" s="369">
        <v>1</v>
      </c>
      <c r="J12" s="369"/>
      <c r="M12" s="304">
        <f>COM_N_2012!$C$59</f>
        <v>1</v>
      </c>
    </row>
    <row r="13" spans="1:13">
      <c r="A13" s="304" t="s">
        <v>709</v>
      </c>
    </row>
    <row r="14" spans="1:13">
      <c r="A14" s="304" t="str">
        <f ca="1">IF(LEFT(OFFSET(COM_N_2012!$A$60,L14,0),2)="\I","*","")</f>
        <v/>
      </c>
      <c r="B14" s="369" t="str">
        <f t="shared" ref="B14:B45" ca="1" si="0">IF(A14="*","",VLOOKUP("*"&amp;K14,$A$9:$B$14,2,FALSE))</f>
        <v>PRC_ACTUNT</v>
      </c>
      <c r="C14" s="369" t="str">
        <f ca="1">IF($A14="*","",OFFSET(COM_N_2012!$B$60,L14,0))</f>
        <v>CNCELCCHIL-E</v>
      </c>
      <c r="D14" s="369" t="str">
        <f ca="1">IF($A14="*","",IF(LEFT($B14,3)="TOP",OFFSET(COM_N_2012!$B$60,$L14,SUMIF($B$9:$B$12,$B14,$M$9:$M$12)),"-"))</f>
        <v>-</v>
      </c>
      <c r="E14" s="369" t="str">
        <f ca="1">IF($A14="*","",IF($B14="PRC_ACTUNT",OFFSET(COM_N_2012!$B$60,$L14,SUMIF($B$9:$B$12,$B14,$M$9:$M$12)),"-"))</f>
        <v>CNC</v>
      </c>
      <c r="F14" s="369" t="str">
        <f t="shared" ref="F14:H33" ca="1" si="1">IF($A14="*","","-")</f>
        <v>-</v>
      </c>
      <c r="G14" s="369" t="str">
        <f t="shared" ca="1" si="1"/>
        <v>-</v>
      </c>
      <c r="H14" s="369" t="str">
        <f t="shared" ca="1" si="1"/>
        <v>-</v>
      </c>
      <c r="I14" s="369">
        <f t="shared" ref="I14:I45" ca="1" si="2">IF($A14="*","",SUMIF($B$9:$B$12,B14,$I$9:$I$12))</f>
        <v>1</v>
      </c>
      <c r="J14" s="369"/>
      <c r="K14" s="304">
        <v>1</v>
      </c>
      <c r="L14" s="304">
        <v>1</v>
      </c>
    </row>
    <row r="15" spans="1:13">
      <c r="A15" s="304" t="str">
        <f ca="1">IF(LEFT(OFFSET(COM_N_2012!$A$60,L15,0),2)="\I","*","")</f>
        <v/>
      </c>
      <c r="B15" s="369" t="str">
        <f t="shared" ca="1" si="0"/>
        <v>PRC_ACTUNT</v>
      </c>
      <c r="C15" s="369" t="str">
        <f ca="1">IF($A15="*","",OFFSET(COM_N_2012!$B$60,L15,0))</f>
        <v>CNCELCCEN-E</v>
      </c>
      <c r="D15" s="369" t="str">
        <f ca="1">IF($A15="*","",IF(LEFT($B15,3)="TOP",OFFSET(COM_N_2012!$B$60,$L15,SUMIF($B$9:$B$12,$B15,$M$9:$M$12)),"-"))</f>
        <v>-</v>
      </c>
      <c r="E15" s="369" t="str">
        <f ca="1">IF($A15="*","",IF($B15="PRC_ACTUNT",OFFSET(COM_N_2012!$B$60,$L15,SUMIF($B$9:$B$12,$B15,$M$9:$M$12)),"-"))</f>
        <v>CNC</v>
      </c>
      <c r="F15" s="369" t="str">
        <f t="shared" ca="1" si="1"/>
        <v>-</v>
      </c>
      <c r="G15" s="369" t="str">
        <f t="shared" ca="1" si="1"/>
        <v>-</v>
      </c>
      <c r="H15" s="369" t="str">
        <f t="shared" ca="1" si="1"/>
        <v>-</v>
      </c>
      <c r="I15" s="369">
        <f t="shared" ca="1" si="2"/>
        <v>1</v>
      </c>
      <c r="J15" s="369"/>
      <c r="K15" s="304">
        <f>IF(L14=COM_N_2012!$AK$121,K14+1,K14)</f>
        <v>1</v>
      </c>
      <c r="L15" s="304">
        <f t="shared" ref="L15:L40" si="3">IF(K15=K14,L14+1,1)</f>
        <v>2</v>
      </c>
    </row>
    <row r="16" spans="1:13">
      <c r="A16" s="304" t="str">
        <f ca="1">IF(LEFT(OFFSET(COM_N_2012!$A$60,L16,0),2)="\I","*","")</f>
        <v/>
      </c>
      <c r="B16" s="369" t="str">
        <f t="shared" ca="1" si="0"/>
        <v>PRC_ACTUNT</v>
      </c>
      <c r="C16" s="369" t="str">
        <f ca="1">IF($A16="*","",OFFSET(COM_N_2012!$B$60,L16,0))</f>
        <v>CNCELCHP-E</v>
      </c>
      <c r="D16" s="369" t="str">
        <f ca="1">IF($A16="*","",IF(LEFT($B16,3)="TOP",OFFSET(COM_N_2012!$B$60,$L16,SUMIF($B$9:$B$12,$B16,$M$9:$M$12)),"-"))</f>
        <v>-</v>
      </c>
      <c r="E16" s="369" t="str">
        <f ca="1">IF($A16="*","",IF($B16="PRC_ACTUNT",OFFSET(COM_N_2012!$B$60,$L16,SUMIF($B$9:$B$12,$B16,$M$9:$M$12)),"-"))</f>
        <v>CNC</v>
      </c>
      <c r="F16" s="369" t="str">
        <f t="shared" ca="1" si="1"/>
        <v>-</v>
      </c>
      <c r="G16" s="369" t="str">
        <f t="shared" ca="1" si="1"/>
        <v>-</v>
      </c>
      <c r="H16" s="369" t="str">
        <f t="shared" ca="1" si="1"/>
        <v>-</v>
      </c>
      <c r="I16" s="369">
        <f t="shared" ca="1" si="2"/>
        <v>1</v>
      </c>
      <c r="J16" s="369"/>
      <c r="K16" s="304">
        <f>IF(L15=COM_N_2012!$AK$121,K15+1,K15)</f>
        <v>1</v>
      </c>
      <c r="L16" s="304">
        <f t="shared" si="3"/>
        <v>3</v>
      </c>
    </row>
    <row r="17" spans="1:12">
      <c r="A17" s="304" t="str">
        <f ca="1">IF(LEFT(OFFSET(COM_N_2012!$A$60,L17,0),2)="\I","*","")</f>
        <v/>
      </c>
      <c r="B17" s="369" t="str">
        <f t="shared" ca="1" si="0"/>
        <v>PRC_ACTUNT</v>
      </c>
      <c r="C17" s="369" t="str">
        <f ca="1">IF($A17="*","",OFFSET(COM_N_2012!$B$60,L17,0))</f>
        <v>CNCELCROOM-E</v>
      </c>
      <c r="D17" s="369" t="str">
        <f ca="1">IF($A17="*","",IF(LEFT($B17,3)="TOP",OFFSET(COM_N_2012!$B$60,$L17,SUMIF($B$9:$B$12,$B17,$M$9:$M$12)),"-"))</f>
        <v>-</v>
      </c>
      <c r="E17" s="369" t="str">
        <f ca="1">IF($A17="*","",IF($B17="PRC_ACTUNT",OFFSET(COM_N_2012!$B$60,$L17,SUMIF($B$9:$B$12,$B17,$M$9:$M$12)),"-"))</f>
        <v>CNC</v>
      </c>
      <c r="F17" s="369" t="str">
        <f t="shared" ca="1" si="1"/>
        <v>-</v>
      </c>
      <c r="G17" s="369" t="str">
        <f t="shared" ca="1" si="1"/>
        <v>-</v>
      </c>
      <c r="H17" s="369" t="str">
        <f t="shared" ca="1" si="1"/>
        <v>-</v>
      </c>
      <c r="I17" s="369">
        <f t="shared" ca="1" si="2"/>
        <v>1</v>
      </c>
      <c r="J17" s="369"/>
      <c r="K17" s="304">
        <f>IF(L16=COM_N_2012!$AK$121,K16+1,K16)</f>
        <v>1</v>
      </c>
      <c r="L17" s="304">
        <f t="shared" si="3"/>
        <v>4</v>
      </c>
    </row>
    <row r="18" spans="1:12">
      <c r="A18" s="304" t="str">
        <f ca="1">IF(LEFT(OFFSET(COM_N_2012!$A$60,L18,0),2)="\I","*","")</f>
        <v/>
      </c>
      <c r="B18" s="369" t="str">
        <f t="shared" ca="1" si="0"/>
        <v>PRC_ACTUNT</v>
      </c>
      <c r="C18" s="369" t="str">
        <f ca="1">IF($A18="*","",OFFSET(COM_N_2012!$B$60,L18,0))</f>
        <v>CNCELCCEN-N</v>
      </c>
      <c r="D18" s="369" t="str">
        <f ca="1">IF($A18="*","",IF(LEFT($B18,3)="TOP",OFFSET(COM_N_2012!$B$60,$L18,SUMIF($B$9:$B$12,$B18,$M$9:$M$12)),"-"))</f>
        <v>-</v>
      </c>
      <c r="E18" s="369" t="str">
        <f ca="1">IF($A18="*","",IF($B18="PRC_ACTUNT",OFFSET(COM_N_2012!$B$60,$L18,SUMIF($B$9:$B$12,$B18,$M$9:$M$12)),"-"))</f>
        <v>CNC</v>
      </c>
      <c r="F18" s="369" t="str">
        <f t="shared" ca="1" si="1"/>
        <v>-</v>
      </c>
      <c r="G18" s="369" t="str">
        <f t="shared" ca="1" si="1"/>
        <v>-</v>
      </c>
      <c r="H18" s="369" t="str">
        <f t="shared" ca="1" si="1"/>
        <v>-</v>
      </c>
      <c r="I18" s="369">
        <f t="shared" ca="1" si="2"/>
        <v>1</v>
      </c>
      <c r="J18" s="369"/>
      <c r="K18" s="304">
        <f>IF(L17=COM_N_2012!$AK$121,K17+1,K17)</f>
        <v>1</v>
      </c>
      <c r="L18" s="304">
        <f t="shared" si="3"/>
        <v>5</v>
      </c>
    </row>
    <row r="19" spans="1:12">
      <c r="A19" s="304" t="str">
        <f ca="1">IF(LEFT(OFFSET(COM_N_2012!$A$60,L19,0),2)="\I","*","")</f>
        <v/>
      </c>
      <c r="B19" s="369" t="str">
        <f t="shared" ca="1" si="0"/>
        <v>PRC_ACTUNT</v>
      </c>
      <c r="C19" s="369" t="str">
        <f ca="1">IF($A19="*","",OFFSET(COM_N_2012!$B$60,L19,0))</f>
        <v>CNCELCHP-N</v>
      </c>
      <c r="D19" s="369" t="str">
        <f ca="1">IF($A19="*","",IF(LEFT($B19,3)="TOP",OFFSET(COM_N_2012!$B$60,$L19,SUMIF($B$9:$B$12,$B19,$M$9:$M$12)),"-"))</f>
        <v>-</v>
      </c>
      <c r="E19" s="369" t="str">
        <f ca="1">IF($A19="*","",IF($B19="PRC_ACTUNT",OFFSET(COM_N_2012!$B$60,$L19,SUMIF($B$9:$B$12,$B19,$M$9:$M$12)),"-"))</f>
        <v>CNC</v>
      </c>
      <c r="F19" s="369" t="str">
        <f t="shared" ca="1" si="1"/>
        <v>-</v>
      </c>
      <c r="G19" s="369" t="str">
        <f t="shared" ca="1" si="1"/>
        <v>-</v>
      </c>
      <c r="H19" s="369" t="str">
        <f t="shared" ca="1" si="1"/>
        <v>-</v>
      </c>
      <c r="I19" s="369">
        <f t="shared" ca="1" si="2"/>
        <v>1</v>
      </c>
      <c r="J19" s="369"/>
      <c r="K19" s="304">
        <f>IF(L18=COM_N_2012!$AK$121,K18+1,K18)</f>
        <v>1</v>
      </c>
      <c r="L19" s="304">
        <f t="shared" si="3"/>
        <v>6</v>
      </c>
    </row>
    <row r="20" spans="1:12">
      <c r="A20" s="304" t="str">
        <f ca="1">IF(LEFT(OFFSET(COM_N_2012!$A$60,L20,0),2)="\I","*","")</f>
        <v>*</v>
      </c>
      <c r="B20" s="369" t="str">
        <f t="shared" ca="1" si="0"/>
        <v/>
      </c>
      <c r="C20" s="369" t="str">
        <f ca="1">IF($A20="*","",OFFSET(COM_N_2012!$B$60,L20,0))</f>
        <v/>
      </c>
      <c r="D20" s="369" t="str">
        <f ca="1">IF($A20="*","",IF(LEFT($B20,3)="TOP",OFFSET(COM_N_2012!$B$60,$L20,SUMIF($B$9:$B$12,$B20,$M$9:$M$12)),"-"))</f>
        <v/>
      </c>
      <c r="E20" s="369" t="str">
        <f ca="1">IF($A20="*","",IF($B20="PRC_ACTUNT",OFFSET(COM_N_2012!$B$60,$L20,SUMIF($B$9:$B$12,$B20,$M$9:$M$12)),"-"))</f>
        <v/>
      </c>
      <c r="F20" s="369" t="str">
        <f t="shared" ca="1" si="1"/>
        <v/>
      </c>
      <c r="G20" s="369" t="str">
        <f t="shared" ca="1" si="1"/>
        <v/>
      </c>
      <c r="H20" s="369" t="str">
        <f t="shared" ca="1" si="1"/>
        <v/>
      </c>
      <c r="I20" s="369" t="str">
        <f t="shared" ca="1" si="2"/>
        <v/>
      </c>
      <c r="J20" s="369"/>
      <c r="K20" s="304">
        <f>IF(L19=COM_N_2012!$AK$121,K19+1,K19)</f>
        <v>1</v>
      </c>
      <c r="L20" s="304">
        <f t="shared" si="3"/>
        <v>7</v>
      </c>
    </row>
    <row r="21" spans="1:12">
      <c r="A21" s="304" t="str">
        <f ca="1">IF(LEFT(OFFSET(COM_N_2012!$A$60,L21,0),2)="\I","*","")</f>
        <v>*</v>
      </c>
      <c r="B21" s="369" t="str">
        <f t="shared" ca="1" si="0"/>
        <v/>
      </c>
      <c r="C21" s="369" t="str">
        <f ca="1">IF($A21="*","",OFFSET(COM_N_2012!$B$60,L21,0))</f>
        <v/>
      </c>
      <c r="D21" s="369" t="str">
        <f ca="1">IF($A21="*","",IF(LEFT($B21,3)="TOP",OFFSET(COM_N_2012!$B$60,$L21,SUMIF($B$9:$B$12,$B21,$M$9:$M$12)),"-"))</f>
        <v/>
      </c>
      <c r="E21" s="369" t="str">
        <f ca="1">IF($A21="*","",IF($B21="PRC_ACTUNT",OFFSET(COM_N_2012!$B$60,$L21,SUMIF($B$9:$B$12,$B21,$M$9:$M$12)),"-"))</f>
        <v/>
      </c>
      <c r="F21" s="369" t="str">
        <f t="shared" ca="1" si="1"/>
        <v/>
      </c>
      <c r="G21" s="369" t="str">
        <f t="shared" ca="1" si="1"/>
        <v/>
      </c>
      <c r="H21" s="369" t="str">
        <f t="shared" ca="1" si="1"/>
        <v/>
      </c>
      <c r="I21" s="369" t="str">
        <f t="shared" ca="1" si="2"/>
        <v/>
      </c>
      <c r="J21" s="369"/>
      <c r="K21" s="304">
        <f>IF(L20=COM_N_2012!$AK$121,K20+1,K20)</f>
        <v>1</v>
      </c>
      <c r="L21" s="304">
        <f t="shared" si="3"/>
        <v>8</v>
      </c>
    </row>
    <row r="22" spans="1:12">
      <c r="A22" s="304" t="str">
        <f ca="1">IF(LEFT(OFFSET(COM_N_2012!$A$60,L22,0),2)="\I","*","")</f>
        <v/>
      </c>
      <c r="B22" s="369" t="str">
        <f t="shared" ca="1" si="0"/>
        <v>PRC_ACTUNT</v>
      </c>
      <c r="C22" s="369" t="str">
        <f ca="1">IF($A22="*","",OFFSET(COM_N_2012!$B$60,L22,0))</f>
        <v>CNHCOA-E</v>
      </c>
      <c r="D22" s="369" t="str">
        <f ca="1">IF($A22="*","",IF(LEFT($B22,3)="TOP",OFFSET(COM_N_2012!$B$60,$L22,SUMIF($B$9:$B$12,$B22,$M$9:$M$12)),"-"))</f>
        <v>-</v>
      </c>
      <c r="E22" s="369" t="str">
        <f ca="1">IF($A22="*","",IF($B22="PRC_ACTUNT",OFFSET(COM_N_2012!$B$60,$L22,SUMIF($B$9:$B$12,$B22,$M$9:$M$12)),"-"))</f>
        <v>CNH</v>
      </c>
      <c r="F22" s="369" t="str">
        <f t="shared" ca="1" si="1"/>
        <v>-</v>
      </c>
      <c r="G22" s="369" t="str">
        <f t="shared" ca="1" si="1"/>
        <v>-</v>
      </c>
      <c r="H22" s="369" t="str">
        <f t="shared" ca="1" si="1"/>
        <v>-</v>
      </c>
      <c r="I22" s="369">
        <f t="shared" ca="1" si="2"/>
        <v>1</v>
      </c>
      <c r="J22" s="369"/>
      <c r="K22" s="304">
        <f>IF(L21=COM_N_2012!$AK$121,K21+1,K21)</f>
        <v>1</v>
      </c>
      <c r="L22" s="304">
        <f t="shared" si="3"/>
        <v>9</v>
      </c>
    </row>
    <row r="23" spans="1:12">
      <c r="A23" s="304" t="str">
        <f ca="1">IF(LEFT(OFFSET(COM_N_2012!$A$60,L23,0),2)="\I","*","")</f>
        <v/>
      </c>
      <c r="B23" s="369" t="str">
        <f t="shared" ca="1" si="0"/>
        <v>PRC_ACTUNT</v>
      </c>
      <c r="C23" s="369" t="str">
        <f ca="1">IF($A23="*","",OFFSET(COM_N_2012!$B$60,L23,0))</f>
        <v>CNHELC-E</v>
      </c>
      <c r="D23" s="369" t="str">
        <f ca="1">IF($A23="*","",IF(LEFT($B23,3)="TOP",OFFSET(COM_N_2012!$B$60,$L23,SUMIF($B$9:$B$12,$B23,$M$9:$M$12)),"-"))</f>
        <v>-</v>
      </c>
      <c r="E23" s="369" t="str">
        <f ca="1">IF($A23="*","",IF($B23="PRC_ACTUNT",OFFSET(COM_N_2012!$B$60,$L23,SUMIF($B$9:$B$12,$B23,$M$9:$M$12)),"-"))</f>
        <v>CNH</v>
      </c>
      <c r="F23" s="369" t="str">
        <f t="shared" ca="1" si="1"/>
        <v>-</v>
      </c>
      <c r="G23" s="369" t="str">
        <f t="shared" ca="1" si="1"/>
        <v>-</v>
      </c>
      <c r="H23" s="369" t="str">
        <f t="shared" ca="1" si="1"/>
        <v>-</v>
      </c>
      <c r="I23" s="369">
        <f t="shared" ca="1" si="2"/>
        <v>1</v>
      </c>
      <c r="J23" s="369"/>
      <c r="K23" s="304">
        <f>IF(L22=COM_N_2012!$AK$121,K22+1,K22)</f>
        <v>1</v>
      </c>
      <c r="L23" s="304">
        <f t="shared" si="3"/>
        <v>10</v>
      </c>
    </row>
    <row r="24" spans="1:12">
      <c r="A24" s="304" t="str">
        <f ca="1">IF(LEFT(OFFSET(COM_N_2012!$A$60,L24,0),2)="\I","*","")</f>
        <v/>
      </c>
      <c r="B24" s="369" t="str">
        <f t="shared" ca="1" si="0"/>
        <v>PRC_ACTUNT</v>
      </c>
      <c r="C24" s="369" t="str">
        <f ca="1">IF($A24="*","",OFFSET(COM_N_2012!$B$60,L24,0))</f>
        <v>CNHGAS-E</v>
      </c>
      <c r="D24" s="369" t="str">
        <f ca="1">IF($A24="*","",IF(LEFT($B24,3)="TOP",OFFSET(COM_N_2012!$B$60,$L24,SUMIF($B$9:$B$12,$B24,$M$9:$M$12)),"-"))</f>
        <v>-</v>
      </c>
      <c r="E24" s="369" t="str">
        <f ca="1">IF($A24="*","",IF($B24="PRC_ACTUNT",OFFSET(COM_N_2012!$B$60,$L24,SUMIF($B$9:$B$12,$B24,$M$9:$M$12)),"-"))</f>
        <v>CNH</v>
      </c>
      <c r="F24" s="369" t="str">
        <f t="shared" ca="1" si="1"/>
        <v>-</v>
      </c>
      <c r="G24" s="369" t="str">
        <f t="shared" ca="1" si="1"/>
        <v>-</v>
      </c>
      <c r="H24" s="369" t="str">
        <f t="shared" ca="1" si="1"/>
        <v>-</v>
      </c>
      <c r="I24" s="369">
        <f t="shared" ca="1" si="2"/>
        <v>1</v>
      </c>
      <c r="J24" s="369"/>
      <c r="K24" s="304">
        <f>IF(L23=COM_N_2012!$AK$121,K23+1,K23)</f>
        <v>1</v>
      </c>
      <c r="L24" s="304">
        <f t="shared" si="3"/>
        <v>11</v>
      </c>
    </row>
    <row r="25" spans="1:12">
      <c r="A25" s="304" t="str">
        <f ca="1">IF(LEFT(OFFSET(COM_N_2012!$A$60,L25,0),2)="\I","*","")</f>
        <v/>
      </c>
      <c r="B25" s="369" t="str">
        <f t="shared" ca="1" si="0"/>
        <v>PRC_ACTUNT</v>
      </c>
      <c r="C25" s="369" t="str">
        <f ca="1">IF($A25="*","",OFFSET(COM_N_2012!$B$60,L25,0))</f>
        <v>CNHELC-N</v>
      </c>
      <c r="D25" s="369" t="str">
        <f ca="1">IF($A25="*","",IF(LEFT($B25,3)="TOP",OFFSET(COM_N_2012!$B$60,$L25,SUMIF($B$9:$B$12,$B25,$M$9:$M$12)),"-"))</f>
        <v>-</v>
      </c>
      <c r="E25" s="369" t="str">
        <f ca="1">IF($A25="*","",IF($B25="PRC_ACTUNT",OFFSET(COM_N_2012!$B$60,$L25,SUMIF($B$9:$B$12,$B25,$M$9:$M$12)),"-"))</f>
        <v>CNH</v>
      </c>
      <c r="F25" s="369" t="str">
        <f t="shared" ca="1" si="1"/>
        <v>-</v>
      </c>
      <c r="G25" s="369" t="str">
        <f t="shared" ca="1" si="1"/>
        <v>-</v>
      </c>
      <c r="H25" s="369" t="str">
        <f t="shared" ca="1" si="1"/>
        <v>-</v>
      </c>
      <c r="I25" s="369">
        <f t="shared" ca="1" si="2"/>
        <v>1</v>
      </c>
      <c r="J25" s="369"/>
      <c r="K25" s="304">
        <f>IF(L24=COM_N_2012!$AK$121,K24+1,K24)</f>
        <v>1</v>
      </c>
      <c r="L25" s="304">
        <f t="shared" si="3"/>
        <v>12</v>
      </c>
    </row>
    <row r="26" spans="1:12">
      <c r="A26" s="304" t="str">
        <f ca="1">IF(LEFT(OFFSET(COM_N_2012!$A$60,L26,0),2)="\I","*","")</f>
        <v/>
      </c>
      <c r="B26" s="369" t="str">
        <f t="shared" ca="1" si="0"/>
        <v>PRC_ACTUNT</v>
      </c>
      <c r="C26" s="369" t="str">
        <f ca="1">IF($A26="*","",OFFSET(COM_N_2012!$B$60,L26,0))</f>
        <v>CNHGAS-N</v>
      </c>
      <c r="D26" s="369" t="str">
        <f ca="1">IF($A26="*","",IF(LEFT($B26,3)="TOP",OFFSET(COM_N_2012!$B$60,$L26,SUMIF($B$9:$B$12,$B26,$M$9:$M$12)),"-"))</f>
        <v>-</v>
      </c>
      <c r="E26" s="369" t="str">
        <f ca="1">IF($A26="*","",IF($B26="PRC_ACTUNT",OFFSET(COM_N_2012!$B$60,$L26,SUMIF($B$9:$B$12,$B26,$M$9:$M$12)),"-"))</f>
        <v>CNH</v>
      </c>
      <c r="F26" s="369" t="str">
        <f t="shared" ca="1" si="1"/>
        <v>-</v>
      </c>
      <c r="G26" s="369" t="str">
        <f t="shared" ca="1" si="1"/>
        <v>-</v>
      </c>
      <c r="H26" s="369" t="str">
        <f t="shared" ca="1" si="1"/>
        <v>-</v>
      </c>
      <c r="I26" s="369">
        <f t="shared" ca="1" si="2"/>
        <v>1</v>
      </c>
      <c r="J26" s="369"/>
      <c r="K26" s="304">
        <f>IF(L25=COM_N_2012!$AK$121,K25+1,K25)</f>
        <v>1</v>
      </c>
      <c r="L26" s="304">
        <f t="shared" si="3"/>
        <v>13</v>
      </c>
    </row>
    <row r="27" spans="1:12">
      <c r="A27" s="304" t="str">
        <f ca="1">IF(LEFT(OFFSET(COM_N_2012!$A$60,L27,0),2)="\I","*","")</f>
        <v>*</v>
      </c>
      <c r="B27" s="369" t="str">
        <f t="shared" ca="1" si="0"/>
        <v/>
      </c>
      <c r="C27" s="369" t="str">
        <f ca="1">IF($A27="*","",OFFSET(COM_N_2012!$B$60,L27,0))</f>
        <v/>
      </c>
      <c r="D27" s="369" t="str">
        <f ca="1">IF($A27="*","",IF(LEFT($B27,3)="TOP",OFFSET(COM_N_2012!$B$60,$L27,SUMIF($B$9:$B$12,$B27,$M$9:$M$12)),"-"))</f>
        <v/>
      </c>
      <c r="E27" s="369" t="str">
        <f ca="1">IF($A27="*","",IF($B27="PRC_ACTUNT",OFFSET(COM_N_2012!$B$60,$L27,SUMIF($B$9:$B$12,$B27,$M$9:$M$12)),"-"))</f>
        <v/>
      </c>
      <c r="F27" s="369" t="str">
        <f t="shared" ca="1" si="1"/>
        <v/>
      </c>
      <c r="G27" s="369" t="str">
        <f t="shared" ca="1" si="1"/>
        <v/>
      </c>
      <c r="H27" s="369" t="str">
        <f t="shared" ca="1" si="1"/>
        <v/>
      </c>
      <c r="I27" s="369" t="str">
        <f t="shared" ca="1" si="2"/>
        <v/>
      </c>
      <c r="J27" s="369"/>
      <c r="K27" s="304">
        <f>IF(L26=COM_N_2012!$AK$121,K26+1,K26)</f>
        <v>1</v>
      </c>
      <c r="L27" s="304">
        <f t="shared" si="3"/>
        <v>14</v>
      </c>
    </row>
    <row r="28" spans="1:12">
      <c r="A28" s="304" t="str">
        <f ca="1">IF(LEFT(OFFSET(COM_N_2012!$A$60,L28,0),2)="\I","*","")</f>
        <v>*</v>
      </c>
      <c r="B28" s="369" t="str">
        <f t="shared" ca="1" si="0"/>
        <v/>
      </c>
      <c r="C28" s="369" t="str">
        <f ca="1">IF($A28="*","",OFFSET(COM_N_2012!$B$60,L28,0))</f>
        <v/>
      </c>
      <c r="D28" s="369" t="str">
        <f ca="1">IF($A28="*","",IF(LEFT($B28,3)="TOP",OFFSET(COM_N_2012!$B$60,$L28,SUMIF($B$9:$B$12,$B28,$M$9:$M$12)),"-"))</f>
        <v/>
      </c>
      <c r="E28" s="369" t="str">
        <f ca="1">IF($A28="*","",IF($B28="PRC_ACTUNT",OFFSET(COM_N_2012!$B$60,$L28,SUMIF($B$9:$B$12,$B28,$M$9:$M$12)),"-"))</f>
        <v/>
      </c>
      <c r="F28" s="369" t="str">
        <f t="shared" ca="1" si="1"/>
        <v/>
      </c>
      <c r="G28" s="369" t="str">
        <f t="shared" ca="1" si="1"/>
        <v/>
      </c>
      <c r="H28" s="369" t="str">
        <f t="shared" ca="1" si="1"/>
        <v/>
      </c>
      <c r="I28" s="369" t="str">
        <f t="shared" ca="1" si="2"/>
        <v/>
      </c>
      <c r="J28" s="369"/>
      <c r="K28" s="304">
        <f>IF(L27=COM_N_2012!$AK$121,K27+1,K27)</f>
        <v>1</v>
      </c>
      <c r="L28" s="304">
        <f t="shared" si="3"/>
        <v>15</v>
      </c>
    </row>
    <row r="29" spans="1:12">
      <c r="A29" s="304" t="str">
        <f ca="1">IF(LEFT(OFFSET(COM_N_2012!$A$60,L29,0),2)="\I","*","")</f>
        <v/>
      </c>
      <c r="B29" s="369" t="str">
        <f t="shared" ca="1" si="0"/>
        <v>PRC_ACTUNT</v>
      </c>
      <c r="C29" s="369" t="str">
        <f ca="1">IF($A29="*","",OFFSET(COM_N_2012!$B$60,L29,0))</f>
        <v>CNKOLP-E</v>
      </c>
      <c r="D29" s="369" t="str">
        <f ca="1">IF($A29="*","",IF(LEFT($B29,3)="TOP",OFFSET(COM_N_2012!$B$60,$L29,SUMIF($B$9:$B$12,$B29,$M$9:$M$12)),"-"))</f>
        <v>-</v>
      </c>
      <c r="E29" s="369" t="str">
        <f ca="1">IF($A29="*","",IF($B29="PRC_ACTUNT",OFFSET(COM_N_2012!$B$60,$L29,SUMIF($B$9:$B$12,$B29,$M$9:$M$12)),"-"))</f>
        <v>CNK</v>
      </c>
      <c r="F29" s="369" t="str">
        <f t="shared" ca="1" si="1"/>
        <v>-</v>
      </c>
      <c r="G29" s="369" t="str">
        <f t="shared" ca="1" si="1"/>
        <v>-</v>
      </c>
      <c r="H29" s="369" t="str">
        <f t="shared" ca="1" si="1"/>
        <v>-</v>
      </c>
      <c r="I29" s="369">
        <f t="shared" ca="1" si="2"/>
        <v>1</v>
      </c>
      <c r="J29" s="369"/>
      <c r="K29" s="304">
        <f>IF(L28=COM_N_2012!$AK$121,K28+1,K28)</f>
        <v>1</v>
      </c>
      <c r="L29" s="304">
        <f t="shared" si="3"/>
        <v>16</v>
      </c>
    </row>
    <row r="30" spans="1:12">
      <c r="A30" s="304" t="str">
        <f ca="1">IF(LEFT(OFFSET(COM_N_2012!$A$60,L30,0),2)="\I","*","")</f>
        <v/>
      </c>
      <c r="B30" s="369" t="str">
        <f t="shared" ca="1" si="0"/>
        <v>PRC_ACTUNT</v>
      </c>
      <c r="C30" s="369" t="str">
        <f ca="1">IF($A30="*","",OFFSET(COM_N_2012!$B$60,L30,0))</f>
        <v>CNKELC-E</v>
      </c>
      <c r="D30" s="369" t="str">
        <f ca="1">IF($A30="*","",IF(LEFT($B30,3)="TOP",OFFSET(COM_N_2012!$B$60,$L30,SUMIF($B$9:$B$12,$B30,$M$9:$M$12)),"-"))</f>
        <v>-</v>
      </c>
      <c r="E30" s="369" t="str">
        <f ca="1">IF($A30="*","",IF($B30="PRC_ACTUNT",OFFSET(COM_N_2012!$B$60,$L30,SUMIF($B$9:$B$12,$B30,$M$9:$M$12)),"-"))</f>
        <v>CNK</v>
      </c>
      <c r="F30" s="369" t="str">
        <f t="shared" ca="1" si="1"/>
        <v>-</v>
      </c>
      <c r="G30" s="369" t="str">
        <f t="shared" ca="1" si="1"/>
        <v>-</v>
      </c>
      <c r="H30" s="369" t="str">
        <f t="shared" ca="1" si="1"/>
        <v>-</v>
      </c>
      <c r="I30" s="369">
        <f t="shared" ca="1" si="2"/>
        <v>1</v>
      </c>
      <c r="J30" s="369"/>
      <c r="K30" s="304">
        <f>IF(L29=COM_N_2012!$AK$121,K29+1,K29)</f>
        <v>1</v>
      </c>
      <c r="L30" s="304">
        <f t="shared" si="3"/>
        <v>17</v>
      </c>
    </row>
    <row r="31" spans="1:12">
      <c r="A31" s="304" t="str">
        <f ca="1">IF(LEFT(OFFSET(COM_N_2012!$A$60,L31,0),2)="\I","*","")</f>
        <v/>
      </c>
      <c r="B31" s="369" t="str">
        <f t="shared" ca="1" si="0"/>
        <v>PRC_ACTUNT</v>
      </c>
      <c r="C31" s="369" t="str">
        <f ca="1">IF($A31="*","",OFFSET(COM_N_2012!$B$60,L31,0))</f>
        <v>CNKCOA-E</v>
      </c>
      <c r="D31" s="369" t="str">
        <f ca="1">IF($A31="*","",IF(LEFT($B31,3)="TOP",OFFSET(COM_N_2012!$B$60,$L31,SUMIF($B$9:$B$12,$B31,$M$9:$M$12)),"-"))</f>
        <v>-</v>
      </c>
      <c r="E31" s="369" t="str">
        <f ca="1">IF($A31="*","",IF($B31="PRC_ACTUNT",OFFSET(COM_N_2012!$B$60,$L31,SUMIF($B$9:$B$12,$B31,$M$9:$M$12)),"-"))</f>
        <v>CNK</v>
      </c>
      <c r="F31" s="369" t="str">
        <f t="shared" ca="1" si="1"/>
        <v>-</v>
      </c>
      <c r="G31" s="369" t="str">
        <f t="shared" ca="1" si="1"/>
        <v>-</v>
      </c>
      <c r="H31" s="369" t="str">
        <f t="shared" ca="1" si="1"/>
        <v>-</v>
      </c>
      <c r="I31" s="369">
        <f t="shared" ca="1" si="2"/>
        <v>1</v>
      </c>
      <c r="J31" s="369"/>
      <c r="K31" s="304">
        <f>IF(L30=COM_N_2012!$AK$121,K30+1,K30)</f>
        <v>1</v>
      </c>
      <c r="L31" s="304">
        <f t="shared" si="3"/>
        <v>18</v>
      </c>
    </row>
    <row r="32" spans="1:12">
      <c r="A32" s="304" t="str">
        <f ca="1">IF(LEFT(OFFSET(COM_N_2012!$A$60,L32,0),2)="\I","*","")</f>
        <v>*</v>
      </c>
      <c r="B32" s="369" t="str">
        <f t="shared" ca="1" si="0"/>
        <v/>
      </c>
      <c r="C32" s="369" t="str">
        <f ca="1">IF($A32="*","",OFFSET(COM_N_2012!$B$60,L32,0))</f>
        <v/>
      </c>
      <c r="D32" s="369" t="str">
        <f ca="1">IF($A32="*","",IF(LEFT($B32,3)="TOP",OFFSET(COM_N_2012!$B$60,$L32,SUMIF($B$9:$B$12,$B32,$M$9:$M$12)),"-"))</f>
        <v/>
      </c>
      <c r="E32" s="369" t="str">
        <f ca="1">IF($A32="*","",IF($B32="PRC_ACTUNT",OFFSET(COM_N_2012!$B$60,$L32,SUMIF($B$9:$B$12,$B32,$M$9:$M$12)),"-"))</f>
        <v/>
      </c>
      <c r="F32" s="369" t="str">
        <f t="shared" ca="1" si="1"/>
        <v/>
      </c>
      <c r="G32" s="369" t="str">
        <f t="shared" ca="1" si="1"/>
        <v/>
      </c>
      <c r="H32" s="369" t="str">
        <f t="shared" ca="1" si="1"/>
        <v/>
      </c>
      <c r="I32" s="369" t="str">
        <f t="shared" ca="1" si="2"/>
        <v/>
      </c>
      <c r="J32" s="369"/>
      <c r="K32" s="304">
        <f>IF(L31=COM_N_2012!$AK$121,K31+1,K31)</f>
        <v>1</v>
      </c>
      <c r="L32" s="304">
        <f t="shared" si="3"/>
        <v>19</v>
      </c>
    </row>
    <row r="33" spans="1:12">
      <c r="A33" s="304" t="str">
        <f ca="1">IF(LEFT(OFFSET(COM_N_2012!$A$60,L33,0),2)="\I","*","")</f>
        <v>*</v>
      </c>
      <c r="B33" s="369" t="str">
        <f t="shared" ca="1" si="0"/>
        <v/>
      </c>
      <c r="C33" s="369" t="str">
        <f ca="1">IF($A33="*","",OFFSET(COM_N_2012!$B$60,L33,0))</f>
        <v/>
      </c>
      <c r="D33" s="369" t="str">
        <f ca="1">IF($A33="*","",IF(LEFT($B33,3)="TOP",OFFSET(COM_N_2012!$B$60,$L33,SUMIF($B$9:$B$12,$B33,$M$9:$M$12)),"-"))</f>
        <v/>
      </c>
      <c r="E33" s="369" t="str">
        <f ca="1">IF($A33="*","",IF($B33="PRC_ACTUNT",OFFSET(COM_N_2012!$B$60,$L33,SUMIF($B$9:$B$12,$B33,$M$9:$M$12)),"-"))</f>
        <v/>
      </c>
      <c r="F33" s="369" t="str">
        <f t="shared" ca="1" si="1"/>
        <v/>
      </c>
      <c r="G33" s="369" t="str">
        <f t="shared" ca="1" si="1"/>
        <v/>
      </c>
      <c r="H33" s="369" t="str">
        <f t="shared" ca="1" si="1"/>
        <v/>
      </c>
      <c r="I33" s="369" t="str">
        <f t="shared" ca="1" si="2"/>
        <v/>
      </c>
      <c r="J33" s="369"/>
      <c r="K33" s="304">
        <f>IF(L32=COM_N_2012!$AK$121,K32+1,K32)</f>
        <v>1</v>
      </c>
      <c r="L33" s="304">
        <f t="shared" si="3"/>
        <v>20</v>
      </c>
    </row>
    <row r="34" spans="1:12">
      <c r="A34" s="304" t="str">
        <f ca="1">IF(LEFT(OFFSET(COM_N_2012!$A$60,L34,0),2)="\I","*","")</f>
        <v/>
      </c>
      <c r="B34" s="369" t="str">
        <f t="shared" ca="1" si="0"/>
        <v>PRC_ACTUNT</v>
      </c>
      <c r="C34" s="369" t="str">
        <f ca="1">IF($A34="*","",OFFSET(COM_N_2012!$B$60,L34,0))</f>
        <v>CNLELCCFL-E</v>
      </c>
      <c r="D34" s="369" t="str">
        <f ca="1">IF($A34="*","",IF(LEFT($B34,3)="TOP",OFFSET(COM_N_2012!$B$60,$L34,SUMIF($B$9:$B$12,$B34,$M$9:$M$12)),"-"))</f>
        <v>-</v>
      </c>
      <c r="E34" s="369" t="str">
        <f ca="1">IF($A34="*","",IF($B34="PRC_ACTUNT",OFFSET(COM_N_2012!$B$60,$L34,SUMIF($B$9:$B$12,$B34,$M$9:$M$12)),"-"))</f>
        <v>CNL</v>
      </c>
      <c r="F34" s="369" t="str">
        <f t="shared" ref="F34:H53" ca="1" si="4">IF($A34="*","","-")</f>
        <v>-</v>
      </c>
      <c r="G34" s="369" t="str">
        <f t="shared" ca="1" si="4"/>
        <v>-</v>
      </c>
      <c r="H34" s="369" t="str">
        <f t="shared" ca="1" si="4"/>
        <v>-</v>
      </c>
      <c r="I34" s="369">
        <f t="shared" ca="1" si="2"/>
        <v>1</v>
      </c>
      <c r="J34" s="369"/>
      <c r="K34" s="304">
        <f>IF(L33=COM_N_2012!$AK$121,K33+1,K33)</f>
        <v>1</v>
      </c>
      <c r="L34" s="304">
        <f t="shared" si="3"/>
        <v>21</v>
      </c>
    </row>
    <row r="35" spans="1:12">
      <c r="A35" s="304" t="str">
        <f ca="1">IF(LEFT(OFFSET(COM_N_2012!$A$60,L35,0),2)="\I","*","")</f>
        <v/>
      </c>
      <c r="B35" s="369" t="str">
        <f t="shared" ca="1" si="0"/>
        <v>PRC_ACTUNT</v>
      </c>
      <c r="C35" s="369" t="str">
        <f ca="1">IF($A35="*","",OFFSET(COM_N_2012!$B$60,L35,0))</f>
        <v>CNLELCFLU-E</v>
      </c>
      <c r="D35" s="369" t="str">
        <f ca="1">IF($A35="*","",IF(LEFT($B35,3)="TOP",OFFSET(COM_N_2012!$B$60,$L35,SUMIF($B$9:$B$12,$B35,$M$9:$M$12)),"-"))</f>
        <v>-</v>
      </c>
      <c r="E35" s="369" t="str">
        <f ca="1">IF($A35="*","",IF($B35="PRC_ACTUNT",OFFSET(COM_N_2012!$B$60,$L35,SUMIF($B$9:$B$12,$B35,$M$9:$M$12)),"-"))</f>
        <v>CNL</v>
      </c>
      <c r="F35" s="369" t="str">
        <f t="shared" ca="1" si="4"/>
        <v>-</v>
      </c>
      <c r="G35" s="369" t="str">
        <f t="shared" ca="1" si="4"/>
        <v>-</v>
      </c>
      <c r="H35" s="369" t="str">
        <f t="shared" ca="1" si="4"/>
        <v>-</v>
      </c>
      <c r="I35" s="369">
        <f t="shared" ca="1" si="2"/>
        <v>1</v>
      </c>
      <c r="J35" s="369"/>
      <c r="K35" s="304">
        <f>IF(L34=COM_N_2012!$AK$121,K34+1,K34)</f>
        <v>1</v>
      </c>
      <c r="L35" s="304">
        <f t="shared" si="3"/>
        <v>22</v>
      </c>
    </row>
    <row r="36" spans="1:12">
      <c r="A36" s="304" t="str">
        <f ca="1">IF(LEFT(OFFSET(COM_N_2012!$A$60,L36,0),2)="\I","*","")</f>
        <v/>
      </c>
      <c r="B36" s="369" t="str">
        <f t="shared" ca="1" si="0"/>
        <v>PRC_ACTUNT</v>
      </c>
      <c r="C36" s="369" t="str">
        <f ca="1">IF($A36="*","",OFFSET(COM_N_2012!$B$60,L36,0))</f>
        <v>CNLELCHAL-E</v>
      </c>
      <c r="D36" s="369" t="str">
        <f ca="1">IF($A36="*","",IF(LEFT($B36,3)="TOP",OFFSET(COM_N_2012!$B$60,$L36,SUMIF($B$9:$B$12,$B36,$M$9:$M$12)),"-"))</f>
        <v>-</v>
      </c>
      <c r="E36" s="369" t="str">
        <f ca="1">IF($A36="*","",IF($B36="PRC_ACTUNT",OFFSET(COM_N_2012!$B$60,$L36,SUMIF($B$9:$B$12,$B36,$M$9:$M$12)),"-"))</f>
        <v>CNL</v>
      </c>
      <c r="F36" s="369" t="str">
        <f t="shared" ca="1" si="4"/>
        <v>-</v>
      </c>
      <c r="G36" s="369" t="str">
        <f t="shared" ca="1" si="4"/>
        <v>-</v>
      </c>
      <c r="H36" s="369" t="str">
        <f t="shared" ca="1" si="4"/>
        <v>-</v>
      </c>
      <c r="I36" s="369">
        <f t="shared" ca="1" si="2"/>
        <v>1</v>
      </c>
      <c r="J36" s="369"/>
      <c r="K36" s="304">
        <f>IF(L35=COM_N_2012!$AK$121,K35+1,K35)</f>
        <v>1</v>
      </c>
      <c r="L36" s="304">
        <f t="shared" si="3"/>
        <v>23</v>
      </c>
    </row>
    <row r="37" spans="1:12">
      <c r="A37" s="304" t="str">
        <f ca="1">IF(LEFT(OFFSET(COM_N_2012!$A$60,L37,0),2)="\I","*","")</f>
        <v/>
      </c>
      <c r="B37" s="369" t="str">
        <f t="shared" ca="1" si="0"/>
        <v>PRC_ACTUNT</v>
      </c>
      <c r="C37" s="369" t="str">
        <f ca="1">IF($A37="*","",OFFSET(COM_N_2012!$B$60,L37,0))</f>
        <v>CNLELCHID-E</v>
      </c>
      <c r="D37" s="369" t="str">
        <f ca="1">IF($A37="*","",IF(LEFT($B37,3)="TOP",OFFSET(COM_N_2012!$B$60,$L37,SUMIF($B$9:$B$12,$B37,$M$9:$M$12)),"-"))</f>
        <v>-</v>
      </c>
      <c r="E37" s="369" t="str">
        <f ca="1">IF($A37="*","",IF($B37="PRC_ACTUNT",OFFSET(COM_N_2012!$B$60,$L37,SUMIF($B$9:$B$12,$B37,$M$9:$M$12)),"-"))</f>
        <v>CNL</v>
      </c>
      <c r="F37" s="369" t="str">
        <f t="shared" ca="1" si="4"/>
        <v>-</v>
      </c>
      <c r="G37" s="369" t="str">
        <f t="shared" ca="1" si="4"/>
        <v>-</v>
      </c>
      <c r="H37" s="369" t="str">
        <f t="shared" ca="1" si="4"/>
        <v>-</v>
      </c>
      <c r="I37" s="369">
        <f t="shared" ca="1" si="2"/>
        <v>1</v>
      </c>
      <c r="J37" s="369"/>
      <c r="K37" s="304">
        <f>IF(L36=COM_N_2012!$AK$121,K36+1,K36)</f>
        <v>1</v>
      </c>
      <c r="L37" s="304">
        <f t="shared" si="3"/>
        <v>24</v>
      </c>
    </row>
    <row r="38" spans="1:12">
      <c r="A38" s="304" t="str">
        <f ca="1">IF(LEFT(OFFSET(COM_N_2012!$A$60,L38,0),2)="\I","*","")</f>
        <v/>
      </c>
      <c r="B38" s="369" t="str">
        <f t="shared" ca="1" si="0"/>
        <v>PRC_ACTUNT</v>
      </c>
      <c r="C38" s="369" t="str">
        <f ca="1">IF($A38="*","",OFFSET(COM_N_2012!$B$60,L38,0))</f>
        <v>CNLELCINC-E</v>
      </c>
      <c r="D38" s="369" t="str">
        <f ca="1">IF($A38="*","",IF(LEFT($B38,3)="TOP",OFFSET(COM_N_2012!$B$60,$L38,SUMIF($B$9:$B$12,$B38,$M$9:$M$12)),"-"))</f>
        <v>-</v>
      </c>
      <c r="E38" s="369" t="str">
        <f ca="1">IF($A38="*","",IF($B38="PRC_ACTUNT",OFFSET(COM_N_2012!$B$60,$L38,SUMIF($B$9:$B$12,$B38,$M$9:$M$12)),"-"))</f>
        <v>CNL</v>
      </c>
      <c r="F38" s="369" t="str">
        <f t="shared" ca="1" si="4"/>
        <v>-</v>
      </c>
      <c r="G38" s="369" t="str">
        <f t="shared" ca="1" si="4"/>
        <v>-</v>
      </c>
      <c r="H38" s="369" t="str">
        <f t="shared" ca="1" si="4"/>
        <v>-</v>
      </c>
      <c r="I38" s="369">
        <f t="shared" ca="1" si="2"/>
        <v>1</v>
      </c>
      <c r="J38" s="369"/>
      <c r="K38" s="304">
        <f>IF(L37=COM_N_2012!$AK$121,K37+1,K37)</f>
        <v>1</v>
      </c>
      <c r="L38" s="304">
        <f t="shared" si="3"/>
        <v>25</v>
      </c>
    </row>
    <row r="39" spans="1:12">
      <c r="A39" s="304" t="str">
        <f ca="1">IF(LEFT(OFFSET(COM_N_2012!$A$60,L39,0),2)="\I","*","")</f>
        <v/>
      </c>
      <c r="B39" s="369" t="str">
        <f t="shared" ca="1" si="0"/>
        <v>PRC_ACTUNT</v>
      </c>
      <c r="C39" s="369" t="str">
        <f ca="1">IF($A39="*","",OFFSET(COM_N_2012!$B$60,L39,0))</f>
        <v>CNLELCLED-N</v>
      </c>
      <c r="D39" s="369" t="str">
        <f ca="1">IF($A39="*","",IF(LEFT($B39,3)="TOP",OFFSET(COM_N_2012!$B$60,$L39,SUMIF($B$9:$B$12,$B39,$M$9:$M$12)),"-"))</f>
        <v>-</v>
      </c>
      <c r="E39" s="369" t="str">
        <f ca="1">IF($A39="*","",IF($B39="PRC_ACTUNT",OFFSET(COM_N_2012!$B$60,$L39,SUMIF($B$9:$B$12,$B39,$M$9:$M$12)),"-"))</f>
        <v>CNL</v>
      </c>
      <c r="F39" s="369" t="str">
        <f t="shared" ca="1" si="4"/>
        <v>-</v>
      </c>
      <c r="G39" s="369" t="str">
        <f t="shared" ca="1" si="4"/>
        <v>-</v>
      </c>
      <c r="H39" s="369" t="str">
        <f t="shared" ca="1" si="4"/>
        <v>-</v>
      </c>
      <c r="I39" s="369">
        <f t="shared" ca="1" si="2"/>
        <v>1</v>
      </c>
      <c r="J39" s="369"/>
      <c r="K39" s="304">
        <f>IF(L38=COM_N_2012!$AK$121,K38+1,K38)</f>
        <v>1</v>
      </c>
      <c r="L39" s="304">
        <f t="shared" si="3"/>
        <v>26</v>
      </c>
    </row>
    <row r="40" spans="1:12">
      <c r="A40" s="304" t="str">
        <f ca="1">IF(LEFT(OFFSET(COM_N_2012!$A$60,L40,0),2)="\I","*","")</f>
        <v>*</v>
      </c>
      <c r="B40" s="369" t="str">
        <f t="shared" ca="1" si="0"/>
        <v/>
      </c>
      <c r="C40" s="369" t="str">
        <f ca="1">IF($A40="*","",OFFSET(COM_N_2012!$B$60,L40,0))</f>
        <v/>
      </c>
      <c r="D40" s="369" t="str">
        <f ca="1">IF($A40="*","",IF(LEFT($B40,3)="TOP",OFFSET(COM_N_2012!$B$60,$L40,SUMIF($B$9:$B$12,$B40,$M$9:$M$12)),"-"))</f>
        <v/>
      </c>
      <c r="E40" s="369" t="str">
        <f ca="1">IF($A40="*","",IF($B40="PRC_ACTUNT",OFFSET(COM_N_2012!$B$60,$L40,SUMIF($B$9:$B$12,$B40,$M$9:$M$12)),"-"))</f>
        <v/>
      </c>
      <c r="F40" s="369" t="str">
        <f t="shared" ca="1" si="4"/>
        <v/>
      </c>
      <c r="G40" s="369" t="str">
        <f t="shared" ca="1" si="4"/>
        <v/>
      </c>
      <c r="H40" s="369" t="str">
        <f t="shared" ca="1" si="4"/>
        <v/>
      </c>
      <c r="I40" s="369" t="str">
        <f t="shared" ca="1" si="2"/>
        <v/>
      </c>
      <c r="J40" s="369"/>
      <c r="K40" s="304">
        <f>IF(L39=COM_N_2012!$AK$121,K39+1,K39)</f>
        <v>1</v>
      </c>
      <c r="L40" s="304">
        <f t="shared" si="3"/>
        <v>27</v>
      </c>
    </row>
    <row r="41" spans="1:12">
      <c r="A41" s="304" t="str">
        <f ca="1">IF(LEFT(OFFSET(COM_N_2012!$A$60,L41,0),2)="\I","*","")</f>
        <v>*</v>
      </c>
      <c r="B41" s="369" t="str">
        <f t="shared" ca="1" si="0"/>
        <v/>
      </c>
      <c r="C41" s="369" t="str">
        <f ca="1">IF($A41="*","",OFFSET(COM_N_2012!$B$60,L41,0))</f>
        <v/>
      </c>
      <c r="D41" s="369" t="str">
        <f ca="1">IF($A41="*","",IF(LEFT($B41,3)="TOP",OFFSET(COM_N_2012!$B$60,$L41,SUMIF($B$9:$B$12,$B41,$M$9:$M$12)),"-"))</f>
        <v/>
      </c>
      <c r="E41" s="369" t="str">
        <f ca="1">IF($A41="*","",IF($B41="PRC_ACTUNT",OFFSET(COM_N_2012!$B$60,$L41,SUMIF($B$9:$B$12,$B41,$M$9:$M$12)),"-"))</f>
        <v/>
      </c>
      <c r="F41" s="369" t="str">
        <f t="shared" ca="1" si="4"/>
        <v/>
      </c>
      <c r="G41" s="369" t="str">
        <f t="shared" ca="1" si="4"/>
        <v/>
      </c>
      <c r="H41" s="369" t="str">
        <f t="shared" ca="1" si="4"/>
        <v/>
      </c>
      <c r="I41" s="369" t="str">
        <f t="shared" ca="1" si="2"/>
        <v/>
      </c>
      <c r="J41" s="369"/>
      <c r="K41" s="304">
        <f>IF(L40=COM_N_2012!$AK$121,K40+1,K40)</f>
        <v>1</v>
      </c>
      <c r="L41" s="304">
        <f t="shared" ref="L41:L95" si="5">IF(K41=K40,L40+1,1)</f>
        <v>28</v>
      </c>
    </row>
    <row r="42" spans="1:12">
      <c r="A42" s="304" t="str">
        <f ca="1">IF(LEFT(OFFSET(COM_N_2012!$A$60,L42,0),2)="\I","*","")</f>
        <v/>
      </c>
      <c r="B42" s="369" t="str">
        <f t="shared" ca="1" si="0"/>
        <v>PRC_ACTUNT</v>
      </c>
      <c r="C42" s="369" t="str">
        <f ca="1">IF($A42="*","",OFFSET(COM_N_2012!$B$60,L42,0))</f>
        <v>CNRELC-E</v>
      </c>
      <c r="D42" s="369" t="str">
        <f ca="1">IF($A42="*","",IF(LEFT($B42,3)="TOP",OFFSET(COM_N_2012!$B$60,$L42,SUMIF($B$9:$B$12,$B42,$M$9:$M$12)),"-"))</f>
        <v>-</v>
      </c>
      <c r="E42" s="369" t="str">
        <f ca="1">IF($A42="*","",IF($B42="PRC_ACTUNT",OFFSET(COM_N_2012!$B$60,$L42,SUMIF($B$9:$B$12,$B42,$M$9:$M$12)),"-"))</f>
        <v>CNR</v>
      </c>
      <c r="F42" s="369" t="str">
        <f t="shared" ca="1" si="4"/>
        <v>-</v>
      </c>
      <c r="G42" s="369" t="str">
        <f t="shared" ca="1" si="4"/>
        <v>-</v>
      </c>
      <c r="H42" s="369" t="str">
        <f t="shared" ca="1" si="4"/>
        <v>-</v>
      </c>
      <c r="I42" s="369">
        <f t="shared" ca="1" si="2"/>
        <v>1</v>
      </c>
      <c r="J42" s="369"/>
      <c r="K42" s="304">
        <f>IF(L41=COM_N_2012!$AK$121,K41+1,K41)</f>
        <v>1</v>
      </c>
      <c r="L42" s="304">
        <f t="shared" si="5"/>
        <v>29</v>
      </c>
    </row>
    <row r="43" spans="1:12">
      <c r="A43" s="304" t="str">
        <f ca="1">IF(LEFT(OFFSET(COM_N_2012!$A$60,L43,0),2)="\I","*","")</f>
        <v/>
      </c>
      <c r="B43" s="369" t="str">
        <f t="shared" ca="1" si="0"/>
        <v>PRC_ACTUNT</v>
      </c>
      <c r="C43" s="369" t="str">
        <f ca="1">IF($A43="*","",OFFSET(COM_N_2012!$B$60,L43,0))</f>
        <v>CNRELC-N</v>
      </c>
      <c r="D43" s="369" t="str">
        <f ca="1">IF($A43="*","",IF(LEFT($B43,3)="TOP",OFFSET(COM_N_2012!$B$60,$L43,SUMIF($B$9:$B$12,$B43,$M$9:$M$12)),"-"))</f>
        <v>-</v>
      </c>
      <c r="E43" s="369" t="str">
        <f ca="1">IF($A43="*","",IF($B43="PRC_ACTUNT",OFFSET(COM_N_2012!$B$60,$L43,SUMIF($B$9:$B$12,$B43,$M$9:$M$12)),"-"))</f>
        <v>CNR</v>
      </c>
      <c r="F43" s="369" t="str">
        <f t="shared" ca="1" si="4"/>
        <v>-</v>
      </c>
      <c r="G43" s="369" t="str">
        <f t="shared" ca="1" si="4"/>
        <v>-</v>
      </c>
      <c r="H43" s="369" t="str">
        <f t="shared" ca="1" si="4"/>
        <v>-</v>
      </c>
      <c r="I43" s="369">
        <f t="shared" ca="1" si="2"/>
        <v>1</v>
      </c>
      <c r="J43" s="369"/>
      <c r="K43" s="304">
        <f>IF(L42=COM_N_2012!$AK$121,K42+1,K42)</f>
        <v>1</v>
      </c>
      <c r="L43" s="304">
        <f t="shared" si="5"/>
        <v>30</v>
      </c>
    </row>
    <row r="44" spans="1:12">
      <c r="A44" s="304" t="str">
        <f ca="1">IF(LEFT(OFFSET(COM_N_2012!$A$60,L44,0),2)="\I","*","")</f>
        <v>*</v>
      </c>
      <c r="B44" s="369" t="str">
        <f t="shared" ca="1" si="0"/>
        <v/>
      </c>
      <c r="C44" s="369" t="str">
        <f ca="1">IF($A44="*","",OFFSET(COM_N_2012!$B$60,L44,0))</f>
        <v/>
      </c>
      <c r="D44" s="369" t="str">
        <f ca="1">IF($A44="*","",IF(LEFT($B44,3)="TOP",OFFSET(COM_N_2012!$B$60,$L44,SUMIF($B$9:$B$12,$B44,$M$9:$M$12)),"-"))</f>
        <v/>
      </c>
      <c r="E44" s="369" t="str">
        <f ca="1">IF($A44="*","",IF($B44="PRC_ACTUNT",OFFSET(COM_N_2012!$B$60,$L44,SUMIF($B$9:$B$12,$B44,$M$9:$M$12)),"-"))</f>
        <v/>
      </c>
      <c r="F44" s="369" t="str">
        <f t="shared" ca="1" si="4"/>
        <v/>
      </c>
      <c r="G44" s="369" t="str">
        <f t="shared" ca="1" si="4"/>
        <v/>
      </c>
      <c r="H44" s="369" t="str">
        <f t="shared" ca="1" si="4"/>
        <v/>
      </c>
      <c r="I44" s="369" t="str">
        <f t="shared" ca="1" si="2"/>
        <v/>
      </c>
      <c r="J44" s="369"/>
      <c r="K44" s="304">
        <f>IF(L43=COM_N_2012!$AK$121,K43+1,K43)</f>
        <v>1</v>
      </c>
      <c r="L44" s="304">
        <f t="shared" si="5"/>
        <v>31</v>
      </c>
    </row>
    <row r="45" spans="1:12">
      <c r="A45" s="304" t="str">
        <f ca="1">IF(LEFT(OFFSET(COM_N_2012!$A$60,L45,0),2)="\I","*","")</f>
        <v>*</v>
      </c>
      <c r="B45" s="369" t="str">
        <f t="shared" ca="1" si="0"/>
        <v/>
      </c>
      <c r="C45" s="369" t="str">
        <f ca="1">IF($A45="*","",OFFSET(COM_N_2012!$B$60,L45,0))</f>
        <v/>
      </c>
      <c r="D45" s="369" t="str">
        <f ca="1">IF($A45="*","",IF(LEFT($B45,3)="TOP",OFFSET(COM_N_2012!$B$60,$L45,SUMIF($B$9:$B$12,$B45,$M$9:$M$12)),"-"))</f>
        <v/>
      </c>
      <c r="E45" s="369" t="str">
        <f ca="1">IF($A45="*","",IF($B45="PRC_ACTUNT",OFFSET(COM_N_2012!$B$60,$L45,SUMIF($B$9:$B$12,$B45,$M$9:$M$12)),"-"))</f>
        <v/>
      </c>
      <c r="F45" s="369" t="str">
        <f t="shared" ca="1" si="4"/>
        <v/>
      </c>
      <c r="G45" s="369" t="str">
        <f t="shared" ca="1" si="4"/>
        <v/>
      </c>
      <c r="H45" s="369" t="str">
        <f t="shared" ca="1" si="4"/>
        <v/>
      </c>
      <c r="I45" s="369" t="str">
        <f t="shared" ca="1" si="2"/>
        <v/>
      </c>
      <c r="J45" s="369"/>
      <c r="K45" s="304">
        <f>IF(L44=COM_N_2012!$AK$121,K44+1,K44)</f>
        <v>1</v>
      </c>
      <c r="L45" s="304">
        <f t="shared" si="5"/>
        <v>32</v>
      </c>
    </row>
    <row r="46" spans="1:12">
      <c r="A46" s="304" t="str">
        <f ca="1">IF(LEFT(OFFSET(COM_N_2012!$A$60,L46,0),2)="\I","*","")</f>
        <v/>
      </c>
      <c r="B46" s="369" t="str">
        <f t="shared" ref="B46:B77" ca="1" si="6">IF(A46="*","",VLOOKUP("*"&amp;K46,$A$9:$B$14,2,FALSE))</f>
        <v>PRC_ACTUNT</v>
      </c>
      <c r="C46" s="369" t="str">
        <f ca="1">IF($A46="*","",OFFSET(COM_N_2012!$B$60,L46,0))</f>
        <v>CNWELC-E</v>
      </c>
      <c r="D46" s="369" t="str">
        <f ca="1">IF($A46="*","",IF(LEFT($B46,3)="TOP",OFFSET(COM_N_2012!$B$60,$L46,SUMIF($B$9:$B$12,$B46,$M$9:$M$12)),"-"))</f>
        <v>-</v>
      </c>
      <c r="E46" s="369" t="str">
        <f ca="1">IF($A46="*","",IF($B46="PRC_ACTUNT",OFFSET(COM_N_2012!$B$60,$L46,SUMIF($B$9:$B$12,$B46,$M$9:$M$12)),"-"))</f>
        <v>CNW</v>
      </c>
      <c r="F46" s="369" t="str">
        <f t="shared" ca="1" si="4"/>
        <v>-</v>
      </c>
      <c r="G46" s="369" t="str">
        <f t="shared" ca="1" si="4"/>
        <v>-</v>
      </c>
      <c r="H46" s="369" t="str">
        <f t="shared" ca="1" si="4"/>
        <v>-</v>
      </c>
      <c r="I46" s="369">
        <f t="shared" ref="I46:I77" ca="1" si="7">IF($A46="*","",SUMIF($B$9:$B$12,B46,$I$9:$I$12))</f>
        <v>1</v>
      </c>
      <c r="J46" s="369"/>
      <c r="K46" s="304">
        <f>IF(L45=COM_N_2012!$AK$121,K45+1,K45)</f>
        <v>1</v>
      </c>
      <c r="L46" s="304">
        <f t="shared" si="5"/>
        <v>33</v>
      </c>
    </row>
    <row r="47" spans="1:12">
      <c r="A47" s="304" t="str">
        <f ca="1">IF(LEFT(OFFSET(COM_N_2012!$A$60,L47,0),2)="\I","*","")</f>
        <v/>
      </c>
      <c r="B47" s="369" t="str">
        <f t="shared" ca="1" si="6"/>
        <v>PRC_ACTUNT</v>
      </c>
      <c r="C47" s="369" t="str">
        <f ca="1">IF($A47="*","",OFFSET(COM_N_2012!$B$60,L47,0))</f>
        <v>CNWCOA-E</v>
      </c>
      <c r="D47" s="369" t="str">
        <f ca="1">IF($A47="*","",IF(LEFT($B47,3)="TOP",OFFSET(COM_N_2012!$B$60,$L47,SUMIF($B$9:$B$12,$B47,$M$9:$M$12)),"-"))</f>
        <v>-</v>
      </c>
      <c r="E47" s="369" t="str">
        <f ca="1">IF($A47="*","",IF($B47="PRC_ACTUNT",OFFSET(COM_N_2012!$B$60,$L47,SUMIF($B$9:$B$12,$B47,$M$9:$M$12)),"-"))</f>
        <v>CNW</v>
      </c>
      <c r="F47" s="369" t="str">
        <f t="shared" ca="1" si="4"/>
        <v>-</v>
      </c>
      <c r="G47" s="369" t="str">
        <f t="shared" ca="1" si="4"/>
        <v>-</v>
      </c>
      <c r="H47" s="369" t="str">
        <f t="shared" ca="1" si="4"/>
        <v>-</v>
      </c>
      <c r="I47" s="369">
        <f t="shared" ca="1" si="7"/>
        <v>1</v>
      </c>
      <c r="J47" s="369"/>
      <c r="K47" s="304">
        <f>IF(L46=COM_N_2012!$AK$121,K46+1,K46)</f>
        <v>1</v>
      </c>
      <c r="L47" s="304">
        <f t="shared" si="5"/>
        <v>34</v>
      </c>
    </row>
    <row r="48" spans="1:12">
      <c r="A48" s="304" t="str">
        <f ca="1">IF(LEFT(OFFSET(COM_N_2012!$A$60,L48,0),2)="\I","*","")</f>
        <v/>
      </c>
      <c r="B48" s="369" t="str">
        <f t="shared" ca="1" si="6"/>
        <v>PRC_ACTUNT</v>
      </c>
      <c r="C48" s="369" t="str">
        <f ca="1">IF($A48="*","",OFFSET(COM_N_2012!$B$60,L48,0))</f>
        <v>CNWOLP-E</v>
      </c>
      <c r="D48" s="369" t="str">
        <f ca="1">IF($A48="*","",IF(LEFT($B48,3)="TOP",OFFSET(COM_N_2012!$B$60,$L48,SUMIF($B$9:$B$12,$B48,$M$9:$M$12)),"-"))</f>
        <v>-</v>
      </c>
      <c r="E48" s="369" t="str">
        <f ca="1">IF($A48="*","",IF($B48="PRC_ACTUNT",OFFSET(COM_N_2012!$B$60,$L48,SUMIF($B$9:$B$12,$B48,$M$9:$M$12)),"-"))</f>
        <v>CNW</v>
      </c>
      <c r="F48" s="369" t="str">
        <f t="shared" ca="1" si="4"/>
        <v>-</v>
      </c>
      <c r="G48" s="369" t="str">
        <f t="shared" ca="1" si="4"/>
        <v>-</v>
      </c>
      <c r="H48" s="369" t="str">
        <f t="shared" ca="1" si="4"/>
        <v>-</v>
      </c>
      <c r="I48" s="369">
        <f t="shared" ca="1" si="7"/>
        <v>1</v>
      </c>
      <c r="J48" s="369"/>
      <c r="K48" s="304">
        <f>IF(L47=COM_N_2012!$AK$121,K47+1,K47)</f>
        <v>1</v>
      </c>
      <c r="L48" s="304">
        <f t="shared" si="5"/>
        <v>35</v>
      </c>
    </row>
    <row r="49" spans="1:12">
      <c r="A49" s="304" t="str">
        <f ca="1">IF(LEFT(OFFSET(COM_N_2012!$A$60,L49,0),2)="\I","*","")</f>
        <v/>
      </c>
      <c r="B49" s="369" t="str">
        <f t="shared" ca="1" si="6"/>
        <v>PRC_ACTUNT</v>
      </c>
      <c r="C49" s="369" t="str">
        <f ca="1">IF($A49="*","",OFFSET(COM_N_2012!$B$60,L49,0))</f>
        <v>CNWGAS-E</v>
      </c>
      <c r="D49" s="369" t="str">
        <f ca="1">IF($A49="*","",IF(LEFT($B49,3)="TOP",OFFSET(COM_N_2012!$B$60,$L49,SUMIF($B$9:$B$12,$B49,$M$9:$M$12)),"-"))</f>
        <v>-</v>
      </c>
      <c r="E49" s="369" t="str">
        <f ca="1">IF($A49="*","",IF($B49="PRC_ACTUNT",OFFSET(COM_N_2012!$B$60,$L49,SUMIF($B$9:$B$12,$B49,$M$9:$M$12)),"-"))</f>
        <v>CNW</v>
      </c>
      <c r="F49" s="369" t="str">
        <f t="shared" ca="1" si="4"/>
        <v>-</v>
      </c>
      <c r="G49" s="369" t="str">
        <f t="shared" ca="1" si="4"/>
        <v>-</v>
      </c>
      <c r="H49" s="369" t="str">
        <f t="shared" ca="1" si="4"/>
        <v>-</v>
      </c>
      <c r="I49" s="369">
        <f t="shared" ca="1" si="7"/>
        <v>1</v>
      </c>
      <c r="J49" s="369"/>
      <c r="K49" s="304">
        <f>IF(L48=COM_N_2012!$AK$121,K48+1,K48)</f>
        <v>1</v>
      </c>
      <c r="L49" s="304">
        <f t="shared" si="5"/>
        <v>36</v>
      </c>
    </row>
    <row r="50" spans="1:12">
      <c r="A50" s="304" t="str">
        <f ca="1">IF(LEFT(OFFSET(COM_N_2012!$A$60,L50,0),2)="\I","*","")</f>
        <v/>
      </c>
      <c r="B50" s="369" t="str">
        <f t="shared" ca="1" si="6"/>
        <v>PRC_ACTUNT</v>
      </c>
      <c r="C50" s="369" t="str">
        <f ca="1">IF($A50="*","",OFFSET(COM_N_2012!$B$60,L50,0))</f>
        <v>CNWOKE-E</v>
      </c>
      <c r="D50" s="369" t="str">
        <f ca="1">IF($A50="*","",IF(LEFT($B50,3)="TOP",OFFSET(COM_N_2012!$B$60,$L50,SUMIF($B$9:$B$12,$B50,$M$9:$M$12)),"-"))</f>
        <v>-</v>
      </c>
      <c r="E50" s="369" t="str">
        <f ca="1">IF($A50="*","",IF($B50="PRC_ACTUNT",OFFSET(COM_N_2012!$B$60,$L50,SUMIF($B$9:$B$12,$B50,$M$9:$M$12)),"-"))</f>
        <v>CNW</v>
      </c>
      <c r="F50" s="369" t="str">
        <f t="shared" ca="1" si="4"/>
        <v>-</v>
      </c>
      <c r="G50" s="369" t="str">
        <f t="shared" ca="1" si="4"/>
        <v>-</v>
      </c>
      <c r="H50" s="369" t="str">
        <f t="shared" ca="1" si="4"/>
        <v>-</v>
      </c>
      <c r="I50" s="369">
        <f t="shared" ca="1" si="7"/>
        <v>1</v>
      </c>
      <c r="J50" s="369"/>
      <c r="K50" s="304">
        <f>IF(L49=COM_N_2012!$AK$121,K49+1,K49)</f>
        <v>1</v>
      </c>
      <c r="L50" s="304">
        <f t="shared" si="5"/>
        <v>37</v>
      </c>
    </row>
    <row r="51" spans="1:12">
      <c r="A51" s="304" t="str">
        <f ca="1">IF(LEFT(OFFSET(COM_N_2012!$A$60,L51,0),2)="\I","*","")</f>
        <v/>
      </c>
      <c r="B51" s="369" t="str">
        <f t="shared" ca="1" si="6"/>
        <v>PRC_ACTUNT</v>
      </c>
      <c r="C51" s="369" t="str">
        <f ca="1">IF($A51="*","",OFFSET(COM_N_2012!$B$60,L51,0))</f>
        <v>CNWELC-N</v>
      </c>
      <c r="D51" s="369" t="str">
        <f ca="1">IF($A51="*","",IF(LEFT($B51,3)="TOP",OFFSET(COM_N_2012!$B$60,$L51,SUMIF($B$9:$B$12,$B51,$M$9:$M$12)),"-"))</f>
        <v>-</v>
      </c>
      <c r="E51" s="369" t="str">
        <f ca="1">IF($A51="*","",IF($B51="PRC_ACTUNT",OFFSET(COM_N_2012!$B$60,$L51,SUMIF($B$9:$B$12,$B51,$M$9:$M$12)),"-"))</f>
        <v>CNW</v>
      </c>
      <c r="F51" s="369" t="str">
        <f t="shared" ca="1" si="4"/>
        <v>-</v>
      </c>
      <c r="G51" s="369" t="str">
        <f t="shared" ca="1" si="4"/>
        <v>-</v>
      </c>
      <c r="H51" s="369" t="str">
        <f t="shared" ca="1" si="4"/>
        <v>-</v>
      </c>
      <c r="I51" s="369">
        <f t="shared" ca="1" si="7"/>
        <v>1</v>
      </c>
      <c r="J51" s="369"/>
      <c r="K51" s="304">
        <f>IF(L50=COM_N_2012!$AK$121,K50+1,K50)</f>
        <v>1</v>
      </c>
      <c r="L51" s="304">
        <f t="shared" si="5"/>
        <v>38</v>
      </c>
    </row>
    <row r="52" spans="1:12">
      <c r="A52" s="304" t="str">
        <f ca="1">IF(LEFT(OFFSET(COM_N_2012!$A$60,L52,0),2)="\I","*","")</f>
        <v/>
      </c>
      <c r="B52" s="369" t="str">
        <f t="shared" ca="1" si="6"/>
        <v>PRC_ACTUNT</v>
      </c>
      <c r="C52" s="369" t="str">
        <f ca="1">IF($A52="*","",OFFSET(COM_N_2012!$B$60,L52,0))</f>
        <v>CNWELCHP-N</v>
      </c>
      <c r="D52" s="369" t="str">
        <f ca="1">IF($A52="*","",IF(LEFT($B52,3)="TOP",OFFSET(COM_N_2012!$B$60,$L52,SUMIF($B$9:$B$12,$B52,$M$9:$M$12)),"-"))</f>
        <v>-</v>
      </c>
      <c r="E52" s="369" t="str">
        <f ca="1">IF($A52="*","",IF($B52="PRC_ACTUNT",OFFSET(COM_N_2012!$B$60,$L52,SUMIF($B$9:$B$12,$B52,$M$9:$M$12)),"-"))</f>
        <v>CNW</v>
      </c>
      <c r="F52" s="369" t="str">
        <f t="shared" ca="1" si="4"/>
        <v>-</v>
      </c>
      <c r="G52" s="369" t="str">
        <f t="shared" ca="1" si="4"/>
        <v>-</v>
      </c>
      <c r="H52" s="369" t="str">
        <f t="shared" ca="1" si="4"/>
        <v>-</v>
      </c>
      <c r="I52" s="369">
        <f t="shared" ca="1" si="7"/>
        <v>1</v>
      </c>
      <c r="J52" s="369"/>
      <c r="K52" s="304">
        <f>IF(L51=COM_N_2012!$AK$121,K51+1,K51)</f>
        <v>1</v>
      </c>
      <c r="L52" s="304">
        <f t="shared" si="5"/>
        <v>39</v>
      </c>
    </row>
    <row r="53" spans="1:12">
      <c r="A53" s="304" t="str">
        <f ca="1">IF(LEFT(OFFSET(COM_N_2012!$A$60,L53,0),2)="\I","*","")</f>
        <v>*</v>
      </c>
      <c r="B53" s="369" t="str">
        <f t="shared" ca="1" si="6"/>
        <v/>
      </c>
      <c r="C53" s="369" t="str">
        <f ca="1">IF($A53="*","",OFFSET(COM_N_2012!$B$60,L53,0))</f>
        <v/>
      </c>
      <c r="D53" s="369" t="str">
        <f ca="1">IF($A53="*","",IF(LEFT($B53,3)="TOP",OFFSET(COM_N_2012!$B$60,$L53,SUMIF($B$9:$B$12,$B53,$M$9:$M$12)),"-"))</f>
        <v/>
      </c>
      <c r="E53" s="369" t="str">
        <f ca="1">IF($A53="*","",IF($B53="PRC_ACTUNT",OFFSET(COM_N_2012!$B$60,$L53,SUMIF($B$9:$B$12,$B53,$M$9:$M$12)),"-"))</f>
        <v/>
      </c>
      <c r="F53" s="369" t="str">
        <f t="shared" ca="1" si="4"/>
        <v/>
      </c>
      <c r="G53" s="369" t="str">
        <f t="shared" ca="1" si="4"/>
        <v/>
      </c>
      <c r="H53" s="369" t="str">
        <f t="shared" ca="1" si="4"/>
        <v/>
      </c>
      <c r="I53" s="369" t="str">
        <f t="shared" ca="1" si="7"/>
        <v/>
      </c>
      <c r="J53" s="369"/>
      <c r="K53" s="304">
        <f>IF(L52=COM_N_2012!$AK$121,K52+1,K52)</f>
        <v>1</v>
      </c>
      <c r="L53" s="304">
        <f t="shared" si="5"/>
        <v>40</v>
      </c>
    </row>
    <row r="54" spans="1:12">
      <c r="A54" s="304" t="str">
        <f ca="1">IF(LEFT(OFFSET(COM_N_2012!$A$60,L54,0),2)="\I","*","")</f>
        <v>*</v>
      </c>
      <c r="B54" s="369" t="str">
        <f t="shared" ca="1" si="6"/>
        <v/>
      </c>
      <c r="C54" s="369" t="str">
        <f ca="1">IF($A54="*","",OFFSET(COM_N_2012!$B$60,L54,0))</f>
        <v/>
      </c>
      <c r="D54" s="369" t="str">
        <f ca="1">IF($A54="*","",IF(LEFT($B54,3)="TOP",OFFSET(COM_N_2012!$B$60,$L54,SUMIF($B$9:$B$12,$B54,$M$9:$M$12)),"-"))</f>
        <v/>
      </c>
      <c r="E54" s="369" t="str">
        <f ca="1">IF($A54="*","",IF($B54="PRC_ACTUNT",OFFSET(COM_N_2012!$B$60,$L54,SUMIF($B$9:$B$12,$B54,$M$9:$M$12)),"-"))</f>
        <v/>
      </c>
      <c r="F54" s="369" t="str">
        <f t="shared" ref="F54:H73" ca="1" si="8">IF($A54="*","","-")</f>
        <v/>
      </c>
      <c r="G54" s="369" t="str">
        <f t="shared" ca="1" si="8"/>
        <v/>
      </c>
      <c r="H54" s="369" t="str">
        <f t="shared" ca="1" si="8"/>
        <v/>
      </c>
      <c r="I54" s="369" t="str">
        <f t="shared" ca="1" si="7"/>
        <v/>
      </c>
      <c r="J54" s="369"/>
      <c r="K54" s="304">
        <f>IF(L53=COM_N_2012!$AK$121,K53+1,K53)</f>
        <v>1</v>
      </c>
      <c r="L54" s="304">
        <f t="shared" si="5"/>
        <v>41</v>
      </c>
    </row>
    <row r="55" spans="1:12">
      <c r="A55" s="304" t="str">
        <f ca="1">IF(LEFT(OFFSET(COM_N_2012!$A$60,L55,0),2)="\I","*","")</f>
        <v/>
      </c>
      <c r="B55" s="369" t="str">
        <f t="shared" ca="1" si="6"/>
        <v>PRC_ACTUNT</v>
      </c>
      <c r="C55" s="369" t="str">
        <f ca="1">IF($A55="*","",OFFSET(COM_N_2012!$B$60,L55,0))</f>
        <v>CNGELCINC-E</v>
      </c>
      <c r="D55" s="369" t="str">
        <f ca="1">IF($A55="*","",IF(LEFT($B55,3)="TOP",OFFSET(COM_N_2012!$B$60,$L55,SUMIF($B$9:$B$12,$B55,$M$9:$M$12)),"-"))</f>
        <v>-</v>
      </c>
      <c r="E55" s="369" t="str">
        <f ca="1">IF($A55="*","",IF($B55="PRC_ACTUNT",OFFSET(COM_N_2012!$B$60,$L55,SUMIF($B$9:$B$12,$B55,$M$9:$M$12)),"-"))</f>
        <v>CNG</v>
      </c>
      <c r="F55" s="369" t="str">
        <f t="shared" ca="1" si="8"/>
        <v>-</v>
      </c>
      <c r="G55" s="369" t="str">
        <f t="shared" ca="1" si="8"/>
        <v>-</v>
      </c>
      <c r="H55" s="369" t="str">
        <f t="shared" ca="1" si="8"/>
        <v>-</v>
      </c>
      <c r="I55" s="369">
        <f t="shared" ca="1" si="7"/>
        <v>1</v>
      </c>
      <c r="J55" s="369"/>
      <c r="K55" s="304">
        <f>IF(L54=COM_N_2012!$AK$121,K54+1,K54)</f>
        <v>1</v>
      </c>
      <c r="L55" s="304">
        <f t="shared" si="5"/>
        <v>42</v>
      </c>
    </row>
    <row r="56" spans="1:12">
      <c r="A56" s="304" t="str">
        <f ca="1">IF(LEFT(OFFSET(COM_N_2012!$A$60,L56,0),2)="\I","*","")</f>
        <v/>
      </c>
      <c r="B56" s="369" t="str">
        <f t="shared" ca="1" si="6"/>
        <v>PRC_ACTUNT</v>
      </c>
      <c r="C56" s="369" t="str">
        <f ca="1">IF($A56="*","",OFFSET(COM_N_2012!$B$60,L56,0))</f>
        <v>CNGELCHAL-E</v>
      </c>
      <c r="D56" s="369" t="str">
        <f ca="1">IF($A56="*","",IF(LEFT($B56,3)="TOP",OFFSET(COM_N_2012!$B$60,$L56,SUMIF($B$9:$B$12,$B56,$M$9:$M$12)),"-"))</f>
        <v>-</v>
      </c>
      <c r="E56" s="369" t="str">
        <f ca="1">IF($A56="*","",IF($B56="PRC_ACTUNT",OFFSET(COM_N_2012!$B$60,$L56,SUMIF($B$9:$B$12,$B56,$M$9:$M$12)),"-"))</f>
        <v>CNG</v>
      </c>
      <c r="F56" s="369" t="str">
        <f t="shared" ca="1" si="8"/>
        <v>-</v>
      </c>
      <c r="G56" s="369" t="str">
        <f t="shared" ca="1" si="8"/>
        <v>-</v>
      </c>
      <c r="H56" s="369" t="str">
        <f t="shared" ca="1" si="8"/>
        <v>-</v>
      </c>
      <c r="I56" s="369">
        <f t="shared" ca="1" si="7"/>
        <v>1</v>
      </c>
      <c r="J56" s="369"/>
      <c r="K56" s="304">
        <f>IF(L55=COM_N_2012!$AK$121,K55+1,K55)</f>
        <v>1</v>
      </c>
      <c r="L56" s="304">
        <f t="shared" si="5"/>
        <v>43</v>
      </c>
    </row>
    <row r="57" spans="1:12">
      <c r="A57" s="304" t="str">
        <f ca="1">IF(LEFT(OFFSET(COM_N_2012!$A$60,L57,0),2)="\I","*","")</f>
        <v/>
      </c>
      <c r="B57" s="369" t="str">
        <f t="shared" ca="1" si="6"/>
        <v>PRC_ACTUNT</v>
      </c>
      <c r="C57" s="369" t="str">
        <f ca="1">IF($A57="*","",OFFSET(COM_N_2012!$B$60,L57,0))</f>
        <v>CNGELCHPM-E</v>
      </c>
      <c r="D57" s="369" t="str">
        <f ca="1">IF($A57="*","",IF(LEFT($B57,3)="TOP",OFFSET(COM_N_2012!$B$60,$L57,SUMIF($B$9:$B$12,$B57,$M$9:$M$12)),"-"))</f>
        <v>-</v>
      </c>
      <c r="E57" s="369" t="str">
        <f ca="1">IF($A57="*","",IF($B57="PRC_ACTUNT",OFFSET(COM_N_2012!$B$60,$L57,SUMIF($B$9:$B$12,$B57,$M$9:$M$12)),"-"))</f>
        <v>CNG</v>
      </c>
      <c r="F57" s="369" t="str">
        <f t="shared" ca="1" si="8"/>
        <v>-</v>
      </c>
      <c r="G57" s="369" t="str">
        <f t="shared" ca="1" si="8"/>
        <v>-</v>
      </c>
      <c r="H57" s="369" t="str">
        <f t="shared" ca="1" si="8"/>
        <v>-</v>
      </c>
      <c r="I57" s="369">
        <f t="shared" ca="1" si="7"/>
        <v>1</v>
      </c>
      <c r="J57" s="369"/>
      <c r="K57" s="304">
        <f>IF(L56=COM_N_2012!$AK$121,K56+1,K56)</f>
        <v>1</v>
      </c>
      <c r="L57" s="304">
        <f t="shared" si="5"/>
        <v>44</v>
      </c>
    </row>
    <row r="58" spans="1:12">
      <c r="A58" s="304" t="str">
        <f ca="1">IF(LEFT(OFFSET(COM_N_2012!$A$60,L58,0),2)="\I","*","")</f>
        <v/>
      </c>
      <c r="B58" s="369" t="str">
        <f t="shared" ca="1" si="6"/>
        <v>PRC_ACTUNT</v>
      </c>
      <c r="C58" s="369" t="str">
        <f ca="1">IF($A58="*","",OFFSET(COM_N_2012!$B$60,L58,0))</f>
        <v>CNGELCHPS-E</v>
      </c>
      <c r="D58" s="369" t="str">
        <f ca="1">IF($A58="*","",IF(LEFT($B58,3)="TOP",OFFSET(COM_N_2012!$B$60,$L58,SUMIF($B$9:$B$12,$B58,$M$9:$M$12)),"-"))</f>
        <v>-</v>
      </c>
      <c r="E58" s="369" t="str">
        <f ca="1">IF($A58="*","",IF($B58="PRC_ACTUNT",OFFSET(COM_N_2012!$B$60,$L58,SUMIF($B$9:$B$12,$B58,$M$9:$M$12)),"-"))</f>
        <v>CNG</v>
      </c>
      <c r="F58" s="369" t="str">
        <f t="shared" ca="1" si="8"/>
        <v>-</v>
      </c>
      <c r="G58" s="369" t="str">
        <f t="shared" ca="1" si="8"/>
        <v>-</v>
      </c>
      <c r="H58" s="369" t="str">
        <f t="shared" ca="1" si="8"/>
        <v>-</v>
      </c>
      <c r="I58" s="369">
        <f t="shared" ca="1" si="7"/>
        <v>1</v>
      </c>
      <c r="J58" s="369"/>
      <c r="K58" s="304">
        <f>IF(L57=COM_N_2012!$AK$121,K57+1,K57)</f>
        <v>1</v>
      </c>
      <c r="L58" s="304">
        <f t="shared" si="5"/>
        <v>45</v>
      </c>
    </row>
    <row r="59" spans="1:12">
      <c r="A59" s="304" t="str">
        <f ca="1">IF(LEFT(OFFSET(COM_N_2012!$A$60,L59,0),2)="\I","*","")</f>
        <v/>
      </c>
      <c r="B59" s="369" t="str">
        <f t="shared" ca="1" si="6"/>
        <v>PRC_ACTUNT</v>
      </c>
      <c r="C59" s="369" t="str">
        <f ca="1">IF($A59="*","",OFFSET(COM_N_2012!$B$60,L59,0))</f>
        <v>CNGELCMHL-E</v>
      </c>
      <c r="D59" s="369" t="str">
        <f ca="1">IF($A59="*","",IF(LEFT($B59,3)="TOP",OFFSET(COM_N_2012!$B$60,$L59,SUMIF($B$9:$B$12,$B59,$M$9:$M$12)),"-"))</f>
        <v>-</v>
      </c>
      <c r="E59" s="369" t="str">
        <f ca="1">IF($A59="*","",IF($B59="PRC_ACTUNT",OFFSET(COM_N_2012!$B$60,$L59,SUMIF($B$9:$B$12,$B59,$M$9:$M$12)),"-"))</f>
        <v>CNG</v>
      </c>
      <c r="F59" s="369" t="str">
        <f t="shared" ca="1" si="8"/>
        <v>-</v>
      </c>
      <c r="G59" s="369" t="str">
        <f t="shared" ca="1" si="8"/>
        <v>-</v>
      </c>
      <c r="H59" s="369" t="str">
        <f t="shared" ca="1" si="8"/>
        <v>-</v>
      </c>
      <c r="I59" s="369">
        <f t="shared" ca="1" si="7"/>
        <v>1</v>
      </c>
      <c r="J59" s="369"/>
      <c r="K59" s="304">
        <f>IF(L58=COM_N_2012!$AK$121,K58+1,K58)</f>
        <v>1</v>
      </c>
      <c r="L59" s="304">
        <f t="shared" si="5"/>
        <v>46</v>
      </c>
    </row>
    <row r="60" spans="1:12">
      <c r="A60" s="304" t="str">
        <f ca="1">IF(LEFT(OFFSET(COM_N_2012!$A$60,L60,0),2)="\I","*","")</f>
        <v/>
      </c>
      <c r="B60" s="369" t="str">
        <f t="shared" ca="1" si="6"/>
        <v>PRC_ACTUNT</v>
      </c>
      <c r="C60" s="369" t="str">
        <f ca="1">IF($A60="*","",OFFSET(COM_N_2012!$B$60,L60,0))</f>
        <v>CNGELCLED-N</v>
      </c>
      <c r="D60" s="369" t="str">
        <f ca="1">IF($A60="*","",IF(LEFT($B60,3)="TOP",OFFSET(COM_N_2012!$B$60,$L60,SUMIF($B$9:$B$12,$B60,$M$9:$M$12)),"-"))</f>
        <v>-</v>
      </c>
      <c r="E60" s="369" t="str">
        <f ca="1">IF($A60="*","",IF($B60="PRC_ACTUNT",OFFSET(COM_N_2012!$B$60,$L60,SUMIF($B$9:$B$12,$B60,$M$9:$M$12)),"-"))</f>
        <v>CNG</v>
      </c>
      <c r="F60" s="369" t="str">
        <f t="shared" ca="1" si="8"/>
        <v>-</v>
      </c>
      <c r="G60" s="369" t="str">
        <f t="shared" ca="1" si="8"/>
        <v>-</v>
      </c>
      <c r="H60" s="369" t="str">
        <f t="shared" ca="1" si="8"/>
        <v>-</v>
      </c>
      <c r="I60" s="369">
        <f t="shared" ca="1" si="7"/>
        <v>1</v>
      </c>
      <c r="J60" s="369"/>
      <c r="K60" s="304">
        <f>IF(L59=COM_N_2012!$AK$121,K59+1,K59)</f>
        <v>1</v>
      </c>
      <c r="L60" s="304">
        <f t="shared" si="5"/>
        <v>47</v>
      </c>
    </row>
    <row r="61" spans="1:12">
      <c r="A61" s="304" t="str">
        <f ca="1">IF(LEFT(OFFSET(COM_N_2012!$A$60,L61,0),2)="\I","*","")</f>
        <v>*</v>
      </c>
      <c r="B61" s="369" t="str">
        <f t="shared" ca="1" si="6"/>
        <v/>
      </c>
      <c r="C61" s="369" t="str">
        <f ca="1">IF($A61="*","",OFFSET(COM_N_2012!$B$60,L61,0))</f>
        <v/>
      </c>
      <c r="D61" s="369" t="str">
        <f ca="1">IF($A61="*","",IF(LEFT($B61,3)="TOP",OFFSET(COM_N_2012!$B$60,$L61,SUMIF($B$9:$B$12,$B61,$M$9:$M$12)),"-"))</f>
        <v/>
      </c>
      <c r="E61" s="369" t="str">
        <f ca="1">IF($A61="*","",IF($B61="PRC_ACTUNT",OFFSET(COM_N_2012!$B$60,$L61,SUMIF($B$9:$B$12,$B61,$M$9:$M$12)),"-"))</f>
        <v/>
      </c>
      <c r="F61" s="369" t="str">
        <f t="shared" ca="1" si="8"/>
        <v/>
      </c>
      <c r="G61" s="369" t="str">
        <f t="shared" ca="1" si="8"/>
        <v/>
      </c>
      <c r="H61" s="369" t="str">
        <f t="shared" ca="1" si="8"/>
        <v/>
      </c>
      <c r="I61" s="369" t="str">
        <f t="shared" ca="1" si="7"/>
        <v/>
      </c>
      <c r="J61" s="369"/>
      <c r="K61" s="304">
        <f>IF(L60=COM_N_2012!$AK$121,K60+1,K60)</f>
        <v>1</v>
      </c>
      <c r="L61" s="304">
        <f t="shared" si="5"/>
        <v>48</v>
      </c>
    </row>
    <row r="62" spans="1:12">
      <c r="A62" s="304" t="str">
        <f ca="1">IF(LEFT(OFFSET(COM_N_2012!$A$60,L62,0),2)="\I","*","")</f>
        <v>*</v>
      </c>
      <c r="B62" s="369" t="str">
        <f t="shared" ca="1" si="6"/>
        <v/>
      </c>
      <c r="C62" s="369" t="str">
        <f ca="1">IF($A62="*","",OFFSET(COM_N_2012!$B$60,L62,0))</f>
        <v/>
      </c>
      <c r="D62" s="369" t="str">
        <f ca="1">IF($A62="*","",IF(LEFT($B62,3)="TOP",OFFSET(COM_N_2012!$B$60,$L62,SUMIF($B$9:$B$12,$B62,$M$9:$M$12)),"-"))</f>
        <v/>
      </c>
      <c r="E62" s="369" t="str">
        <f ca="1">IF($A62="*","",IF($B62="PRC_ACTUNT",OFFSET(COM_N_2012!$B$60,$L62,SUMIF($B$9:$B$12,$B62,$M$9:$M$12)),"-"))</f>
        <v/>
      </c>
      <c r="F62" s="369" t="str">
        <f t="shared" ca="1" si="8"/>
        <v/>
      </c>
      <c r="G62" s="369" t="str">
        <f t="shared" ca="1" si="8"/>
        <v/>
      </c>
      <c r="H62" s="369" t="str">
        <f t="shared" ca="1" si="8"/>
        <v/>
      </c>
      <c r="I62" s="369" t="str">
        <f t="shared" ca="1" si="7"/>
        <v/>
      </c>
      <c r="J62" s="369"/>
      <c r="K62" s="304">
        <f>IF(L61=COM_N_2012!$AK$121,K61+1,K61)</f>
        <v>1</v>
      </c>
      <c r="L62" s="304">
        <f t="shared" si="5"/>
        <v>49</v>
      </c>
    </row>
    <row r="63" spans="1:12">
      <c r="A63" s="304" t="str">
        <f ca="1">IF(LEFT(OFFSET(COM_N_2012!$A$60,L63,0),2)="\I","*","")</f>
        <v/>
      </c>
      <c r="B63" s="369" t="str">
        <f t="shared" ca="1" si="6"/>
        <v>PRC_ACTUNT</v>
      </c>
      <c r="C63" s="369" t="str">
        <f ca="1">IF($A63="*","",OFFSET(COM_N_2012!$B$60,L63,0))</f>
        <v>CNTELC-E</v>
      </c>
      <c r="D63" s="369" t="str">
        <f ca="1">IF($A63="*","",IF(LEFT($B63,3)="TOP",OFFSET(COM_N_2012!$B$60,$L63,SUMIF($B$9:$B$12,$B63,$M$9:$M$12)),"-"))</f>
        <v>-</v>
      </c>
      <c r="E63" s="369" t="str">
        <f ca="1">IF($A63="*","",IF($B63="PRC_ACTUNT",OFFSET(COM_N_2012!$B$60,$L63,SUMIF($B$9:$B$12,$B63,$M$9:$M$12)),"-"))</f>
        <v>CNT</v>
      </c>
      <c r="F63" s="369" t="str">
        <f t="shared" ca="1" si="8"/>
        <v>-</v>
      </c>
      <c r="G63" s="369" t="str">
        <f t="shared" ca="1" si="8"/>
        <v>-</v>
      </c>
      <c r="H63" s="369" t="str">
        <f t="shared" ca="1" si="8"/>
        <v>-</v>
      </c>
      <c r="I63" s="369">
        <f t="shared" ca="1" si="7"/>
        <v>1</v>
      </c>
      <c r="J63" s="369"/>
      <c r="K63" s="304">
        <f>IF(L62=COM_N_2012!$AK$121,K62+1,K62)</f>
        <v>1</v>
      </c>
      <c r="L63" s="304">
        <f t="shared" si="5"/>
        <v>50</v>
      </c>
    </row>
    <row r="64" spans="1:12">
      <c r="A64" s="304" t="str">
        <f ca="1">IF(LEFT(OFFSET(COM_N_2012!$A$60,L64,0),2)="\I","*","")</f>
        <v>*</v>
      </c>
      <c r="B64" s="369" t="str">
        <f t="shared" ca="1" si="6"/>
        <v/>
      </c>
      <c r="C64" s="369" t="str">
        <f ca="1">IF($A64="*","",OFFSET(COM_N_2012!$B$60,L64,0))</f>
        <v/>
      </c>
      <c r="D64" s="369" t="str">
        <f ca="1">IF($A64="*","",IF(LEFT($B64,3)="TOP",OFFSET(COM_N_2012!$B$60,$L64,SUMIF($B$9:$B$12,$B64,$M$9:$M$12)),"-"))</f>
        <v/>
      </c>
      <c r="E64" s="369" t="str">
        <f ca="1">IF($A64="*","",IF($B64="PRC_ACTUNT",OFFSET(COM_N_2012!$B$60,$L64,SUMIF($B$9:$B$12,$B64,$M$9:$M$12)),"-"))</f>
        <v/>
      </c>
      <c r="F64" s="369" t="str">
        <f t="shared" ca="1" si="8"/>
        <v/>
      </c>
      <c r="G64" s="369" t="str">
        <f t="shared" ca="1" si="8"/>
        <v/>
      </c>
      <c r="H64" s="369" t="str">
        <f t="shared" ca="1" si="8"/>
        <v/>
      </c>
      <c r="I64" s="369" t="str">
        <f t="shared" ca="1" si="7"/>
        <v/>
      </c>
      <c r="J64" s="369"/>
      <c r="K64" s="304">
        <f>IF(L63=COM_N_2012!$AK$121,K63+1,K63)</f>
        <v>1</v>
      </c>
      <c r="L64" s="304">
        <f t="shared" si="5"/>
        <v>51</v>
      </c>
    </row>
    <row r="65" spans="1:12">
      <c r="A65" s="304" t="str">
        <f ca="1">IF(LEFT(OFFSET(COM_N_2012!$A$60,L65,0),2)="\I","*","")</f>
        <v>*</v>
      </c>
      <c r="B65" s="369" t="str">
        <f t="shared" ca="1" si="6"/>
        <v/>
      </c>
      <c r="C65" s="369" t="str">
        <f ca="1">IF($A65="*","",OFFSET(COM_N_2012!$B$60,L65,0))</f>
        <v/>
      </c>
      <c r="D65" s="369" t="str">
        <f ca="1">IF($A65="*","",IF(LEFT($B65,3)="TOP",OFFSET(COM_N_2012!$B$60,$L65,SUMIF($B$9:$B$12,$B65,$M$9:$M$12)),"-"))</f>
        <v/>
      </c>
      <c r="E65" s="369" t="str">
        <f ca="1">IF($A65="*","",IF($B65="PRC_ACTUNT",OFFSET(COM_N_2012!$B$60,$L65,SUMIF($B$9:$B$12,$B65,$M$9:$M$12)),"-"))</f>
        <v/>
      </c>
      <c r="F65" s="369" t="str">
        <f t="shared" ca="1" si="8"/>
        <v/>
      </c>
      <c r="G65" s="369" t="str">
        <f t="shared" ca="1" si="8"/>
        <v/>
      </c>
      <c r="H65" s="369" t="str">
        <f t="shared" ca="1" si="8"/>
        <v/>
      </c>
      <c r="I65" s="369" t="str">
        <f t="shared" ca="1" si="7"/>
        <v/>
      </c>
      <c r="J65" s="369"/>
      <c r="K65" s="304">
        <f>IF(L64=COM_N_2012!$AK$121,K64+1,K64)</f>
        <v>1</v>
      </c>
      <c r="L65" s="304">
        <f t="shared" si="5"/>
        <v>52</v>
      </c>
    </row>
    <row r="66" spans="1:12">
      <c r="A66" s="304" t="str">
        <f ca="1">IF(LEFT(OFFSET(COM_N_2012!$A$60,L66,0),2)="\I","*","")</f>
        <v/>
      </c>
      <c r="B66" s="369" t="str">
        <f t="shared" ca="1" si="6"/>
        <v>PRC_ACTUNT</v>
      </c>
      <c r="C66" s="369" t="str">
        <f ca="1">IF($A66="*","",OFFSET(COM_N_2012!$B$60,L66,0))</f>
        <v>CNOCOA-E</v>
      </c>
      <c r="D66" s="369" t="str">
        <f ca="1">IF($A66="*","",IF(LEFT($B66,3)="TOP",OFFSET(COM_N_2012!$B$60,$L66,SUMIF($B$9:$B$12,$B66,$M$9:$M$12)),"-"))</f>
        <v>-</v>
      </c>
      <c r="E66" s="369" t="str">
        <f ca="1">IF($A66="*","",IF($B66="PRC_ACTUNT",OFFSET(COM_N_2012!$B$60,$L66,SUMIF($B$9:$B$12,$B66,$M$9:$M$12)),"-"))</f>
        <v>CNO</v>
      </c>
      <c r="F66" s="369" t="str">
        <f t="shared" ca="1" si="8"/>
        <v>-</v>
      </c>
      <c r="G66" s="369" t="str">
        <f t="shared" ca="1" si="8"/>
        <v>-</v>
      </c>
      <c r="H66" s="369" t="str">
        <f t="shared" ca="1" si="8"/>
        <v>-</v>
      </c>
      <c r="I66" s="369">
        <f t="shared" ca="1" si="7"/>
        <v>1</v>
      </c>
      <c r="J66" s="369"/>
      <c r="K66" s="304">
        <f>IF(L65=COM_N_2012!$AK$121,K65+1,K65)</f>
        <v>1</v>
      </c>
      <c r="L66" s="304">
        <f t="shared" si="5"/>
        <v>53</v>
      </c>
    </row>
    <row r="67" spans="1:12">
      <c r="A67" s="304" t="str">
        <f ca="1">IF(LEFT(OFFSET(COM_N_2012!$A$60,L67,0),2)="\I","*","")</f>
        <v/>
      </c>
      <c r="B67" s="369" t="str">
        <f t="shared" ca="1" si="6"/>
        <v>PRC_ACTUNT</v>
      </c>
      <c r="C67" s="369" t="str">
        <f ca="1">IF($A67="*","",OFFSET(COM_N_2012!$B$60,L67,0))</f>
        <v>CNOODS-E</v>
      </c>
      <c r="D67" s="369" t="str">
        <f ca="1">IF($A67="*","",IF(LEFT($B67,3)="TOP",OFFSET(COM_N_2012!$B$60,$L67,SUMIF($B$9:$B$12,$B67,$M$9:$M$12)),"-"))</f>
        <v>-</v>
      </c>
      <c r="E67" s="369" t="str">
        <f ca="1">IF($A67="*","",IF($B67="PRC_ACTUNT",OFFSET(COM_N_2012!$B$60,$L67,SUMIF($B$9:$B$12,$B67,$M$9:$M$12)),"-"))</f>
        <v>CNO</v>
      </c>
      <c r="F67" s="369" t="str">
        <f t="shared" ca="1" si="8"/>
        <v>-</v>
      </c>
      <c r="G67" s="369" t="str">
        <f t="shared" ca="1" si="8"/>
        <v>-</v>
      </c>
      <c r="H67" s="369" t="str">
        <f t="shared" ca="1" si="8"/>
        <v>-</v>
      </c>
      <c r="I67" s="369">
        <f t="shared" ca="1" si="7"/>
        <v>1</v>
      </c>
      <c r="J67" s="369"/>
      <c r="K67" s="304">
        <f>IF(L66=COM_N_2012!$AK$121,K66+1,K66)</f>
        <v>1</v>
      </c>
      <c r="L67" s="304">
        <f t="shared" si="5"/>
        <v>54</v>
      </c>
    </row>
    <row r="68" spans="1:12">
      <c r="A68" s="304" t="str">
        <f ca="1">IF(LEFT(OFFSET(COM_N_2012!$A$60,L68,0),2)="\I","*","")</f>
        <v/>
      </c>
      <c r="B68" s="369" t="str">
        <f t="shared" ca="1" si="6"/>
        <v>PRC_ACTUNT</v>
      </c>
      <c r="C68" s="369" t="str">
        <f ca="1">IF($A68="*","",OFFSET(COM_N_2012!$B$60,L68,0))</f>
        <v>CNOELC-E</v>
      </c>
      <c r="D68" s="369" t="str">
        <f ca="1">IF($A68="*","",IF(LEFT($B68,3)="TOP",OFFSET(COM_N_2012!$B$60,$L68,SUMIF($B$9:$B$12,$B68,$M$9:$M$12)),"-"))</f>
        <v>-</v>
      </c>
      <c r="E68" s="369" t="str">
        <f ca="1">IF($A68="*","",IF($B68="PRC_ACTUNT",OFFSET(COM_N_2012!$B$60,$L68,SUMIF($B$9:$B$12,$B68,$M$9:$M$12)),"-"))</f>
        <v>CNO</v>
      </c>
      <c r="F68" s="369" t="str">
        <f t="shared" ca="1" si="8"/>
        <v>-</v>
      </c>
      <c r="G68" s="369" t="str">
        <f t="shared" ca="1" si="8"/>
        <v>-</v>
      </c>
      <c r="H68" s="369" t="str">
        <f t="shared" ca="1" si="8"/>
        <v>-</v>
      </c>
      <c r="I68" s="369">
        <f t="shared" ca="1" si="7"/>
        <v>1</v>
      </c>
      <c r="J68" s="369"/>
      <c r="K68" s="304">
        <f>IF(L67=COM_N_2012!$AK$121,K67+1,K67)</f>
        <v>1</v>
      </c>
      <c r="L68" s="304">
        <f t="shared" si="5"/>
        <v>55</v>
      </c>
    </row>
    <row r="69" spans="1:12">
      <c r="A69" s="304" t="str">
        <f ca="1">IF(LEFT(OFFSET(COM_N_2012!$A$60,L69,0),2)="\I","*","")</f>
        <v/>
      </c>
      <c r="B69" s="369" t="str">
        <f t="shared" ca="1" si="6"/>
        <v>PRC_ACTUNT</v>
      </c>
      <c r="C69" s="369" t="str">
        <f ca="1">IF($A69="*","",OFFSET(COM_N_2012!$B$60,L69,0))</f>
        <v>CNOGAS-E</v>
      </c>
      <c r="D69" s="369" t="str">
        <f ca="1">IF($A69="*","",IF(LEFT($B69,3)="TOP",OFFSET(COM_N_2012!$B$60,$L69,SUMIF($B$9:$B$12,$B69,$M$9:$M$12)),"-"))</f>
        <v>-</v>
      </c>
      <c r="E69" s="369" t="str">
        <f ca="1">IF($A69="*","",IF($B69="PRC_ACTUNT",OFFSET(COM_N_2012!$B$60,$L69,SUMIF($B$9:$B$12,$B69,$M$9:$M$12)),"-"))</f>
        <v>CNO</v>
      </c>
      <c r="F69" s="369" t="str">
        <f t="shared" ca="1" si="8"/>
        <v>-</v>
      </c>
      <c r="G69" s="369" t="str">
        <f t="shared" ca="1" si="8"/>
        <v>-</v>
      </c>
      <c r="H69" s="369" t="str">
        <f t="shared" ca="1" si="8"/>
        <v>-</v>
      </c>
      <c r="I69" s="369">
        <f t="shared" ca="1" si="7"/>
        <v>1</v>
      </c>
      <c r="J69" s="369"/>
      <c r="K69" s="304">
        <f>IF(L68=COM_N_2012!$AK$121,K68+1,K68)</f>
        <v>1</v>
      </c>
      <c r="L69" s="304">
        <f t="shared" si="5"/>
        <v>56</v>
      </c>
    </row>
    <row r="70" spans="1:12">
      <c r="A70" s="304" t="str">
        <f ca="1">IF(LEFT(OFFSET(COM_N_2012!$A$60,L70,0),2)="\I","*","")</f>
        <v/>
      </c>
      <c r="B70" s="369" t="str">
        <f t="shared" ca="1" si="6"/>
        <v>PRC_ACTUNT</v>
      </c>
      <c r="C70" s="369" t="str">
        <f ca="1">IF($A70="*","",OFFSET(COM_N_2012!$B$60,L70,0))</f>
        <v>CNOOGS-E</v>
      </c>
      <c r="D70" s="369" t="str">
        <f ca="1">IF($A70="*","",IF(LEFT($B70,3)="TOP",OFFSET(COM_N_2012!$B$60,$L70,SUMIF($B$9:$B$12,$B70,$M$9:$M$12)),"-"))</f>
        <v>-</v>
      </c>
      <c r="E70" s="369" t="str">
        <f ca="1">IF($A70="*","",IF($B70="PRC_ACTUNT",OFFSET(COM_N_2012!$B$60,$L70,SUMIF($B$9:$B$12,$B70,$M$9:$M$12)),"-"))</f>
        <v>CNO</v>
      </c>
      <c r="F70" s="369" t="str">
        <f t="shared" ca="1" si="8"/>
        <v>-</v>
      </c>
      <c r="G70" s="369" t="str">
        <f t="shared" ca="1" si="8"/>
        <v>-</v>
      </c>
      <c r="H70" s="369" t="str">
        <f t="shared" ca="1" si="8"/>
        <v>-</v>
      </c>
      <c r="I70" s="369">
        <f t="shared" ca="1" si="7"/>
        <v>1</v>
      </c>
      <c r="J70" s="369"/>
      <c r="K70" s="304">
        <f>IF(L69=COM_N_2012!$AK$121,K69+1,K69)</f>
        <v>1</v>
      </c>
      <c r="L70" s="304">
        <f t="shared" si="5"/>
        <v>57</v>
      </c>
    </row>
    <row r="71" spans="1:12">
      <c r="A71" s="304" t="str">
        <f ca="1">IF(LEFT(OFFSET(COM_N_2012!$A$60,L71,0),2)="\I","*","")</f>
        <v/>
      </c>
      <c r="B71" s="369" t="str">
        <f t="shared" ca="1" si="6"/>
        <v>PRC_ACTUNT</v>
      </c>
      <c r="C71" s="369" t="str">
        <f ca="1">IF($A71="*","",OFFSET(COM_N_2012!$B$60,L71,0))</f>
        <v>CNOOHF-E</v>
      </c>
      <c r="D71" s="369" t="str">
        <f ca="1">IF($A71="*","",IF(LEFT($B71,3)="TOP",OFFSET(COM_N_2012!$B$60,$L71,SUMIF($B$9:$B$12,$B71,$M$9:$M$12)),"-"))</f>
        <v>-</v>
      </c>
      <c r="E71" s="369" t="str">
        <f ca="1">IF($A71="*","",IF($B71="PRC_ACTUNT",OFFSET(COM_N_2012!$B$60,$L71,SUMIF($B$9:$B$12,$B71,$M$9:$M$12)),"-"))</f>
        <v>CNO</v>
      </c>
      <c r="F71" s="369" t="str">
        <f t="shared" ca="1" si="8"/>
        <v>-</v>
      </c>
      <c r="G71" s="369" t="str">
        <f t="shared" ca="1" si="8"/>
        <v>-</v>
      </c>
      <c r="H71" s="369" t="str">
        <f t="shared" ca="1" si="8"/>
        <v>-</v>
      </c>
      <c r="I71" s="369">
        <f t="shared" ca="1" si="7"/>
        <v>1</v>
      </c>
      <c r="J71" s="369"/>
      <c r="K71" s="304">
        <f>IF(L70=COM_N_2012!$AK$121,K70+1,K70)</f>
        <v>1</v>
      </c>
      <c r="L71" s="304">
        <f t="shared" si="5"/>
        <v>58</v>
      </c>
    </row>
    <row r="72" spans="1:12">
      <c r="A72" s="304" t="str">
        <f ca="1">IF(LEFT(OFFSET(COM_N_2012!$A$60,L72,0),2)="\I","*","")</f>
        <v/>
      </c>
      <c r="B72" s="369" t="str">
        <f t="shared" ca="1" si="6"/>
        <v>PRC_ACTUNT</v>
      </c>
      <c r="C72" s="369" t="str">
        <f ca="1">IF($A72="*","",OFFSET(COM_N_2012!$B$60,L72,0))</f>
        <v>CNOOKE-E</v>
      </c>
      <c r="D72" s="369" t="str">
        <f ca="1">IF($A72="*","",IF(LEFT($B72,3)="TOP",OFFSET(COM_N_2012!$B$60,$L72,SUMIF($B$9:$B$12,$B72,$M$9:$M$12)),"-"))</f>
        <v>-</v>
      </c>
      <c r="E72" s="369" t="str">
        <f ca="1">IF($A72="*","",IF($B72="PRC_ACTUNT",OFFSET(COM_N_2012!$B$60,$L72,SUMIF($B$9:$B$12,$B72,$M$9:$M$12)),"-"))</f>
        <v>CNO</v>
      </c>
      <c r="F72" s="369" t="str">
        <f t="shared" ca="1" si="8"/>
        <v>-</v>
      </c>
      <c r="G72" s="369" t="str">
        <f t="shared" ca="1" si="8"/>
        <v>-</v>
      </c>
      <c r="H72" s="369" t="str">
        <f t="shared" ca="1" si="8"/>
        <v>-</v>
      </c>
      <c r="I72" s="369">
        <f t="shared" ca="1" si="7"/>
        <v>1</v>
      </c>
      <c r="J72" s="369"/>
      <c r="K72" s="304">
        <f>IF(L71=COM_N_2012!$AK$121,K71+1,K71)</f>
        <v>1</v>
      </c>
      <c r="L72" s="304">
        <f t="shared" si="5"/>
        <v>59</v>
      </c>
    </row>
    <row r="73" spans="1:12">
      <c r="A73" s="304" t="str">
        <f ca="1">IF(LEFT(OFFSET(COM_N_2012!$A$60,L73,0),2)="\I","*","")</f>
        <v>*</v>
      </c>
      <c r="B73" s="369" t="str">
        <f t="shared" ca="1" si="6"/>
        <v/>
      </c>
      <c r="C73" s="369" t="str">
        <f ca="1">IF($A73="*","",OFFSET(COM_N_2012!$B$60,L73,0))</f>
        <v/>
      </c>
      <c r="D73" s="369" t="str">
        <f ca="1">IF($A73="*","",IF(LEFT($B73,3)="TOP",OFFSET(COM_N_2012!$B$60,$L73,SUMIF($B$9:$B$12,$B73,$M$9:$M$12)),"-"))</f>
        <v/>
      </c>
      <c r="E73" s="369" t="str">
        <f ca="1">IF($A73="*","",IF($B73="PRC_ACTUNT",OFFSET(COM_N_2012!$B$60,$L73,SUMIF($B$9:$B$12,$B73,$M$9:$M$12)),"-"))</f>
        <v/>
      </c>
      <c r="F73" s="369" t="str">
        <f t="shared" ca="1" si="8"/>
        <v/>
      </c>
      <c r="G73" s="369" t="str">
        <f t="shared" ca="1" si="8"/>
        <v/>
      </c>
      <c r="H73" s="369" t="str">
        <f t="shared" ca="1" si="8"/>
        <v/>
      </c>
      <c r="I73" s="369" t="str">
        <f t="shared" ca="1" si="7"/>
        <v/>
      </c>
      <c r="J73" s="369"/>
      <c r="K73" s="304">
        <f>IF(L72=COM_N_2012!$AK$121,K72+1,K72)</f>
        <v>1</v>
      </c>
      <c r="L73" s="304">
        <f t="shared" si="5"/>
        <v>60</v>
      </c>
    </row>
    <row r="74" spans="1:12">
      <c r="A74" s="304" t="str">
        <f ca="1">IF(LEFT(OFFSET(COM_N_2012!$A$60,L74,0),2)="\I","*","")</f>
        <v>*</v>
      </c>
      <c r="B74" s="369" t="str">
        <f t="shared" ca="1" si="6"/>
        <v/>
      </c>
      <c r="C74" s="369" t="str">
        <f ca="1">IF($A74="*","",OFFSET(COM_N_2012!$B$60,L74,0))</f>
        <v/>
      </c>
      <c r="D74" s="369" t="str">
        <f ca="1">IF($A74="*","",IF(LEFT($B74,3)="TOP",OFFSET(COM_N_2012!$B$60,$L74,SUMIF($B$9:$B$12,$B74,$M$9:$M$12)),"-"))</f>
        <v/>
      </c>
      <c r="E74" s="369" t="str">
        <f ca="1">IF($A74="*","",IF($B74="PRC_ACTUNT",OFFSET(COM_N_2012!$B$60,$L74,SUMIF($B$9:$B$12,$B74,$M$9:$M$12)),"-"))</f>
        <v/>
      </c>
      <c r="F74" s="369" t="str">
        <f t="shared" ref="F74:H93" ca="1" si="9">IF($A74="*","","-")</f>
        <v/>
      </c>
      <c r="G74" s="369" t="str">
        <f t="shared" ca="1" si="9"/>
        <v/>
      </c>
      <c r="H74" s="369" t="str">
        <f t="shared" ca="1" si="9"/>
        <v/>
      </c>
      <c r="I74" s="369" t="str">
        <f t="shared" ca="1" si="7"/>
        <v/>
      </c>
      <c r="J74" s="369"/>
      <c r="K74" s="304">
        <f>IF(L73=COM_N_2012!$AK$121,K73+1,K73)</f>
        <v>1</v>
      </c>
      <c r="L74" s="304">
        <f t="shared" si="5"/>
        <v>61</v>
      </c>
    </row>
    <row r="75" spans="1:12">
      <c r="A75" s="304" t="str">
        <f ca="1">IF(LEFT(OFFSET(COM_N_2012!$A$60,L75,0),2)="\I","*","")</f>
        <v/>
      </c>
      <c r="B75" s="369" t="str">
        <f t="shared" ca="1" si="6"/>
        <v>PRC_CAPACT</v>
      </c>
      <c r="C75" s="369" t="str">
        <f ca="1">IF($A75="*","",OFFSET(COM_N_2012!$B$60,L75,0))</f>
        <v>CNCELCCHIL-E</v>
      </c>
      <c r="D75" s="369" t="str">
        <f ca="1">IF($A75="*","",IF(LEFT($B75,3)="TOP",OFFSET(COM_N_2012!$B$60,$L75,SUMIF($B$9:$B$12,$B75,$M$9:$M$12)),"-"))</f>
        <v>-</v>
      </c>
      <c r="E75" s="369" t="str">
        <f ca="1">IF($A75="*","",IF($B75="PRC_ACTUNT",OFFSET(COM_N_2012!$B$60,$L75,SUMIF($B$9:$B$12,$B75,$M$9:$M$12)),"-"))</f>
        <v>-</v>
      </c>
      <c r="F75" s="369" t="str">
        <f t="shared" ca="1" si="9"/>
        <v>-</v>
      </c>
      <c r="G75" s="369" t="str">
        <f t="shared" ca="1" si="9"/>
        <v>-</v>
      </c>
      <c r="H75" s="369" t="str">
        <f t="shared" ca="1" si="9"/>
        <v>-</v>
      </c>
      <c r="I75" s="369">
        <f t="shared" ca="1" si="7"/>
        <v>1</v>
      </c>
      <c r="J75" s="369"/>
      <c r="K75" s="304">
        <f>IF(L74=COM_N_2012!$AK$121,K74+1,K74)</f>
        <v>2</v>
      </c>
      <c r="L75" s="304">
        <f t="shared" si="5"/>
        <v>1</v>
      </c>
    </row>
    <row r="76" spans="1:12">
      <c r="A76" s="304" t="str">
        <f ca="1">IF(LEFT(OFFSET(COM_N_2012!$A$60,L76,0),2)="\I","*","")</f>
        <v/>
      </c>
      <c r="B76" s="369" t="str">
        <f t="shared" ca="1" si="6"/>
        <v>PRC_CAPACT</v>
      </c>
      <c r="C76" s="369" t="str">
        <f ca="1">IF($A76="*","",OFFSET(COM_N_2012!$B$60,L76,0))</f>
        <v>CNCELCCEN-E</v>
      </c>
      <c r="D76" s="369" t="str">
        <f ca="1">IF($A76="*","",IF(LEFT($B76,3)="TOP",OFFSET(COM_N_2012!$B$60,$L76,SUMIF($B$9:$B$12,$B76,$M$9:$M$12)),"-"))</f>
        <v>-</v>
      </c>
      <c r="E76" s="369" t="str">
        <f ca="1">IF($A76="*","",IF($B76="PRC_ACTUNT",OFFSET(COM_N_2012!$B$60,$L76,SUMIF($B$9:$B$12,$B76,$M$9:$M$12)),"-"))</f>
        <v>-</v>
      </c>
      <c r="F76" s="369" t="str">
        <f t="shared" ca="1" si="9"/>
        <v>-</v>
      </c>
      <c r="G76" s="369" t="str">
        <f t="shared" ca="1" si="9"/>
        <v>-</v>
      </c>
      <c r="H76" s="369" t="str">
        <f t="shared" ca="1" si="9"/>
        <v>-</v>
      </c>
      <c r="I76" s="369">
        <f t="shared" ca="1" si="7"/>
        <v>1</v>
      </c>
      <c r="J76" s="369"/>
      <c r="K76" s="304">
        <f>IF(L75=COM_N_2012!$AK$121,K75+1,K75)</f>
        <v>2</v>
      </c>
      <c r="L76" s="304">
        <f t="shared" si="5"/>
        <v>2</v>
      </c>
    </row>
    <row r="77" spans="1:12">
      <c r="A77" s="304" t="str">
        <f ca="1">IF(LEFT(OFFSET(COM_N_2012!$A$60,L77,0),2)="\I","*","")</f>
        <v/>
      </c>
      <c r="B77" s="369" t="str">
        <f t="shared" ca="1" si="6"/>
        <v>PRC_CAPACT</v>
      </c>
      <c r="C77" s="369" t="str">
        <f ca="1">IF($A77="*","",OFFSET(COM_N_2012!$B$60,L77,0))</f>
        <v>CNCELCHP-E</v>
      </c>
      <c r="D77" s="369" t="str">
        <f ca="1">IF($A77="*","",IF(LEFT($B77,3)="TOP",OFFSET(COM_N_2012!$B$60,$L77,SUMIF($B$9:$B$12,$B77,$M$9:$M$12)),"-"))</f>
        <v>-</v>
      </c>
      <c r="E77" s="369" t="str">
        <f ca="1">IF($A77="*","",IF($B77="PRC_ACTUNT",OFFSET(COM_N_2012!$B$60,$L77,SUMIF($B$9:$B$12,$B77,$M$9:$M$12)),"-"))</f>
        <v>-</v>
      </c>
      <c r="F77" s="369" t="str">
        <f t="shared" ca="1" si="9"/>
        <v>-</v>
      </c>
      <c r="G77" s="369" t="str">
        <f t="shared" ca="1" si="9"/>
        <v>-</v>
      </c>
      <c r="H77" s="369" t="str">
        <f t="shared" ca="1" si="9"/>
        <v>-</v>
      </c>
      <c r="I77" s="369">
        <f t="shared" ca="1" si="7"/>
        <v>1</v>
      </c>
      <c r="J77" s="369"/>
      <c r="K77" s="304">
        <f>IF(L76=COM_N_2012!$AK$121,K76+1,K76)</f>
        <v>2</v>
      </c>
      <c r="L77" s="304">
        <f t="shared" si="5"/>
        <v>3</v>
      </c>
    </row>
    <row r="78" spans="1:12">
      <c r="A78" s="304" t="str">
        <f ca="1">IF(LEFT(OFFSET(COM_N_2012!$A$60,L78,0),2)="\I","*","")</f>
        <v/>
      </c>
      <c r="B78" s="369" t="str">
        <f t="shared" ref="B78:B109" ca="1" si="10">IF(A78="*","",VLOOKUP("*"&amp;K78,$A$9:$B$14,2,FALSE))</f>
        <v>PRC_CAPACT</v>
      </c>
      <c r="C78" s="369" t="str">
        <f ca="1">IF($A78="*","",OFFSET(COM_N_2012!$B$60,L78,0))</f>
        <v>CNCELCROOM-E</v>
      </c>
      <c r="D78" s="369" t="str">
        <f ca="1">IF($A78="*","",IF(LEFT($B78,3)="TOP",OFFSET(COM_N_2012!$B$60,$L78,SUMIF($B$9:$B$12,$B78,$M$9:$M$12)),"-"))</f>
        <v>-</v>
      </c>
      <c r="E78" s="369" t="str">
        <f ca="1">IF($A78="*","",IF($B78="PRC_ACTUNT",OFFSET(COM_N_2012!$B$60,$L78,SUMIF($B$9:$B$12,$B78,$M$9:$M$12)),"-"))</f>
        <v>-</v>
      </c>
      <c r="F78" s="369" t="str">
        <f t="shared" ca="1" si="9"/>
        <v>-</v>
      </c>
      <c r="G78" s="369" t="str">
        <f t="shared" ca="1" si="9"/>
        <v>-</v>
      </c>
      <c r="H78" s="369" t="str">
        <f t="shared" ca="1" si="9"/>
        <v>-</v>
      </c>
      <c r="I78" s="369">
        <f t="shared" ref="I78:I109" ca="1" si="11">IF($A78="*","",SUMIF($B$9:$B$12,B78,$I$9:$I$12))</f>
        <v>1</v>
      </c>
      <c r="J78" s="369"/>
      <c r="K78" s="304">
        <f>IF(L77=COM_N_2012!$AK$121,K77+1,K77)</f>
        <v>2</v>
      </c>
      <c r="L78" s="304">
        <f t="shared" si="5"/>
        <v>4</v>
      </c>
    </row>
    <row r="79" spans="1:12">
      <c r="A79" s="304" t="str">
        <f ca="1">IF(LEFT(OFFSET(COM_N_2012!$A$60,L79,0),2)="\I","*","")</f>
        <v/>
      </c>
      <c r="B79" s="369" t="str">
        <f t="shared" ca="1" si="10"/>
        <v>PRC_CAPACT</v>
      </c>
      <c r="C79" s="369" t="str">
        <f ca="1">IF($A79="*","",OFFSET(COM_N_2012!$B$60,L79,0))</f>
        <v>CNCELCCEN-N</v>
      </c>
      <c r="D79" s="369" t="str">
        <f ca="1">IF($A79="*","",IF(LEFT($B79,3)="TOP",OFFSET(COM_N_2012!$B$60,$L79,SUMIF($B$9:$B$12,$B79,$M$9:$M$12)),"-"))</f>
        <v>-</v>
      </c>
      <c r="E79" s="369" t="str">
        <f ca="1">IF($A79="*","",IF($B79="PRC_ACTUNT",OFFSET(COM_N_2012!$B$60,$L79,SUMIF($B$9:$B$12,$B79,$M$9:$M$12)),"-"))</f>
        <v>-</v>
      </c>
      <c r="F79" s="369" t="str">
        <f t="shared" ca="1" si="9"/>
        <v>-</v>
      </c>
      <c r="G79" s="369" t="str">
        <f t="shared" ca="1" si="9"/>
        <v>-</v>
      </c>
      <c r="H79" s="369" t="str">
        <f t="shared" ca="1" si="9"/>
        <v>-</v>
      </c>
      <c r="I79" s="369">
        <f t="shared" ca="1" si="11"/>
        <v>1</v>
      </c>
      <c r="J79" s="369"/>
      <c r="K79" s="304">
        <f>IF(L78=COM_N_2012!$AK$121,K78+1,K78)</f>
        <v>2</v>
      </c>
      <c r="L79" s="304">
        <f t="shared" si="5"/>
        <v>5</v>
      </c>
    </row>
    <row r="80" spans="1:12">
      <c r="A80" s="304" t="str">
        <f ca="1">IF(LEFT(OFFSET(COM_N_2012!$A$60,L80,0),2)="\I","*","")</f>
        <v/>
      </c>
      <c r="B80" s="369" t="str">
        <f t="shared" ca="1" si="10"/>
        <v>PRC_CAPACT</v>
      </c>
      <c r="C80" s="369" t="str">
        <f ca="1">IF($A80="*","",OFFSET(COM_N_2012!$B$60,L80,0))</f>
        <v>CNCELCHP-N</v>
      </c>
      <c r="D80" s="369" t="str">
        <f ca="1">IF($A80="*","",IF(LEFT($B80,3)="TOP",OFFSET(COM_N_2012!$B$60,$L80,SUMIF($B$9:$B$12,$B80,$M$9:$M$12)),"-"))</f>
        <v>-</v>
      </c>
      <c r="E80" s="369" t="str">
        <f ca="1">IF($A80="*","",IF($B80="PRC_ACTUNT",OFFSET(COM_N_2012!$B$60,$L80,SUMIF($B$9:$B$12,$B80,$M$9:$M$12)),"-"))</f>
        <v>-</v>
      </c>
      <c r="F80" s="369" t="str">
        <f t="shared" ca="1" si="9"/>
        <v>-</v>
      </c>
      <c r="G80" s="369" t="str">
        <f t="shared" ca="1" si="9"/>
        <v>-</v>
      </c>
      <c r="H80" s="369" t="str">
        <f t="shared" ca="1" si="9"/>
        <v>-</v>
      </c>
      <c r="I80" s="369">
        <f t="shared" ca="1" si="11"/>
        <v>1</v>
      </c>
      <c r="J80" s="369"/>
      <c r="K80" s="304">
        <f>IF(L79=COM_N_2012!$AK$121,K79+1,K79)</f>
        <v>2</v>
      </c>
      <c r="L80" s="304">
        <f t="shared" si="5"/>
        <v>6</v>
      </c>
    </row>
    <row r="81" spans="1:12">
      <c r="A81" s="304" t="str">
        <f ca="1">IF(LEFT(OFFSET(COM_N_2012!$A$60,L81,0),2)="\I","*","")</f>
        <v>*</v>
      </c>
      <c r="B81" s="369" t="str">
        <f t="shared" ca="1" si="10"/>
        <v/>
      </c>
      <c r="C81" s="369" t="str">
        <f ca="1">IF($A81="*","",OFFSET(COM_N_2012!$B$60,L81,0))</f>
        <v/>
      </c>
      <c r="D81" s="369" t="str">
        <f ca="1">IF($A81="*","",IF(LEFT($B81,3)="TOP",OFFSET(COM_N_2012!$B$60,$L81,SUMIF($B$9:$B$12,$B81,$M$9:$M$12)),"-"))</f>
        <v/>
      </c>
      <c r="E81" s="369" t="str">
        <f ca="1">IF($A81="*","",IF($B81="PRC_ACTUNT",OFFSET(COM_N_2012!$B$60,$L81,SUMIF($B$9:$B$12,$B81,$M$9:$M$12)),"-"))</f>
        <v/>
      </c>
      <c r="F81" s="369" t="str">
        <f t="shared" ca="1" si="9"/>
        <v/>
      </c>
      <c r="G81" s="369" t="str">
        <f t="shared" ca="1" si="9"/>
        <v/>
      </c>
      <c r="H81" s="369" t="str">
        <f t="shared" ca="1" si="9"/>
        <v/>
      </c>
      <c r="I81" s="369" t="str">
        <f t="shared" ca="1" si="11"/>
        <v/>
      </c>
      <c r="J81" s="369"/>
      <c r="K81" s="304">
        <f>IF(L80=COM_N_2012!$AK$121,K80+1,K80)</f>
        <v>2</v>
      </c>
      <c r="L81" s="304">
        <f t="shared" si="5"/>
        <v>7</v>
      </c>
    </row>
    <row r="82" spans="1:12">
      <c r="A82" s="304" t="str">
        <f ca="1">IF(LEFT(OFFSET(COM_N_2012!$A$60,L82,0),2)="\I","*","")</f>
        <v>*</v>
      </c>
      <c r="B82" s="369" t="str">
        <f t="shared" ca="1" si="10"/>
        <v/>
      </c>
      <c r="C82" s="369" t="str">
        <f ca="1">IF($A82="*","",OFFSET(COM_N_2012!$B$60,L82,0))</f>
        <v/>
      </c>
      <c r="D82" s="369" t="str">
        <f ca="1">IF($A82="*","",IF(LEFT($B82,3)="TOP",OFFSET(COM_N_2012!$B$60,$L82,SUMIF($B$9:$B$12,$B82,$M$9:$M$12)),"-"))</f>
        <v/>
      </c>
      <c r="E82" s="369" t="str">
        <f ca="1">IF($A82="*","",IF($B82="PRC_ACTUNT",OFFSET(COM_N_2012!$B$60,$L82,SUMIF($B$9:$B$12,$B82,$M$9:$M$12)),"-"))</f>
        <v/>
      </c>
      <c r="F82" s="369" t="str">
        <f t="shared" ca="1" si="9"/>
        <v/>
      </c>
      <c r="G82" s="369" t="str">
        <f t="shared" ca="1" si="9"/>
        <v/>
      </c>
      <c r="H82" s="369" t="str">
        <f t="shared" ca="1" si="9"/>
        <v/>
      </c>
      <c r="I82" s="369" t="str">
        <f t="shared" ca="1" si="11"/>
        <v/>
      </c>
      <c r="J82" s="369"/>
      <c r="K82" s="304">
        <f>IF(L81=COM_N_2012!$AK$121,K81+1,K81)</f>
        <v>2</v>
      </c>
      <c r="L82" s="304">
        <f t="shared" si="5"/>
        <v>8</v>
      </c>
    </row>
    <row r="83" spans="1:12">
      <c r="A83" s="304" t="str">
        <f ca="1">IF(LEFT(OFFSET(COM_N_2012!$A$60,L83,0),2)="\I","*","")</f>
        <v/>
      </c>
      <c r="B83" s="369" t="str">
        <f t="shared" ca="1" si="10"/>
        <v>PRC_CAPACT</v>
      </c>
      <c r="C83" s="369" t="str">
        <f ca="1">IF($A83="*","",OFFSET(COM_N_2012!$B$60,L83,0))</f>
        <v>CNHCOA-E</v>
      </c>
      <c r="D83" s="369" t="str">
        <f ca="1">IF($A83="*","",IF(LEFT($B83,3)="TOP",OFFSET(COM_N_2012!$B$60,$L83,SUMIF($B$9:$B$12,$B83,$M$9:$M$12)),"-"))</f>
        <v>-</v>
      </c>
      <c r="E83" s="369" t="str">
        <f ca="1">IF($A83="*","",IF($B83="PRC_ACTUNT",OFFSET(COM_N_2012!$B$60,$L83,SUMIF($B$9:$B$12,$B83,$M$9:$M$12)),"-"))</f>
        <v>-</v>
      </c>
      <c r="F83" s="369" t="str">
        <f t="shared" ca="1" si="9"/>
        <v>-</v>
      </c>
      <c r="G83" s="369" t="str">
        <f t="shared" ca="1" si="9"/>
        <v>-</v>
      </c>
      <c r="H83" s="369" t="str">
        <f t="shared" ca="1" si="9"/>
        <v>-</v>
      </c>
      <c r="I83" s="369">
        <f t="shared" ca="1" si="11"/>
        <v>1</v>
      </c>
      <c r="J83" s="369"/>
      <c r="K83" s="304">
        <f>IF(L82=COM_N_2012!$AK$121,K82+1,K82)</f>
        <v>2</v>
      </c>
      <c r="L83" s="304">
        <f t="shared" si="5"/>
        <v>9</v>
      </c>
    </row>
    <row r="84" spans="1:12">
      <c r="A84" s="304" t="str">
        <f ca="1">IF(LEFT(OFFSET(COM_N_2012!$A$60,L84,0),2)="\I","*","")</f>
        <v/>
      </c>
      <c r="B84" s="369" t="str">
        <f t="shared" ca="1" si="10"/>
        <v>PRC_CAPACT</v>
      </c>
      <c r="C84" s="369" t="str">
        <f ca="1">IF($A84="*","",OFFSET(COM_N_2012!$B$60,L84,0))</f>
        <v>CNHELC-E</v>
      </c>
      <c r="D84" s="369" t="str">
        <f ca="1">IF($A84="*","",IF(LEFT($B84,3)="TOP",OFFSET(COM_N_2012!$B$60,$L84,SUMIF($B$9:$B$12,$B84,$M$9:$M$12)),"-"))</f>
        <v>-</v>
      </c>
      <c r="E84" s="369" t="str">
        <f ca="1">IF($A84="*","",IF($B84="PRC_ACTUNT",OFFSET(COM_N_2012!$B$60,$L84,SUMIF($B$9:$B$12,$B84,$M$9:$M$12)),"-"))</f>
        <v>-</v>
      </c>
      <c r="F84" s="369" t="str">
        <f t="shared" ca="1" si="9"/>
        <v>-</v>
      </c>
      <c r="G84" s="369" t="str">
        <f t="shared" ca="1" si="9"/>
        <v>-</v>
      </c>
      <c r="H84" s="369" t="str">
        <f t="shared" ca="1" si="9"/>
        <v>-</v>
      </c>
      <c r="I84" s="369">
        <f t="shared" ca="1" si="11"/>
        <v>1</v>
      </c>
      <c r="J84" s="369"/>
      <c r="K84" s="304">
        <f>IF(L83=COM_N_2012!$AK$121,K83+1,K83)</f>
        <v>2</v>
      </c>
      <c r="L84" s="304">
        <f t="shared" si="5"/>
        <v>10</v>
      </c>
    </row>
    <row r="85" spans="1:12">
      <c r="A85" s="304" t="str">
        <f ca="1">IF(LEFT(OFFSET(COM_N_2012!$A$60,L85,0),2)="\I","*","")</f>
        <v/>
      </c>
      <c r="B85" s="369" t="str">
        <f t="shared" ca="1" si="10"/>
        <v>PRC_CAPACT</v>
      </c>
      <c r="C85" s="369" t="str">
        <f ca="1">IF($A85="*","",OFFSET(COM_N_2012!$B$60,L85,0))</f>
        <v>CNHGAS-E</v>
      </c>
      <c r="D85" s="369" t="str">
        <f ca="1">IF($A85="*","",IF(LEFT($B85,3)="TOP",OFFSET(COM_N_2012!$B$60,$L85,SUMIF($B$9:$B$12,$B85,$M$9:$M$12)),"-"))</f>
        <v>-</v>
      </c>
      <c r="E85" s="369" t="str">
        <f ca="1">IF($A85="*","",IF($B85="PRC_ACTUNT",OFFSET(COM_N_2012!$B$60,$L85,SUMIF($B$9:$B$12,$B85,$M$9:$M$12)),"-"))</f>
        <v>-</v>
      </c>
      <c r="F85" s="369" t="str">
        <f t="shared" ca="1" si="9"/>
        <v>-</v>
      </c>
      <c r="G85" s="369" t="str">
        <f t="shared" ca="1" si="9"/>
        <v>-</v>
      </c>
      <c r="H85" s="369" t="str">
        <f t="shared" ca="1" si="9"/>
        <v>-</v>
      </c>
      <c r="I85" s="369">
        <f t="shared" ca="1" si="11"/>
        <v>1</v>
      </c>
      <c r="J85" s="369"/>
      <c r="K85" s="304">
        <f>IF(L84=COM_N_2012!$AK$121,K84+1,K84)</f>
        <v>2</v>
      </c>
      <c r="L85" s="304">
        <f t="shared" si="5"/>
        <v>11</v>
      </c>
    </row>
    <row r="86" spans="1:12">
      <c r="A86" s="304" t="str">
        <f ca="1">IF(LEFT(OFFSET(COM_N_2012!$A$60,L86,0),2)="\I","*","")</f>
        <v/>
      </c>
      <c r="B86" s="369" t="str">
        <f t="shared" ca="1" si="10"/>
        <v>PRC_CAPACT</v>
      </c>
      <c r="C86" s="369" t="str">
        <f ca="1">IF($A86="*","",OFFSET(COM_N_2012!$B$60,L86,0))</f>
        <v>CNHELC-N</v>
      </c>
      <c r="D86" s="369" t="str">
        <f ca="1">IF($A86="*","",IF(LEFT($B86,3)="TOP",OFFSET(COM_N_2012!$B$60,$L86,SUMIF($B$9:$B$12,$B86,$M$9:$M$12)),"-"))</f>
        <v>-</v>
      </c>
      <c r="E86" s="369" t="str">
        <f ca="1">IF($A86="*","",IF($B86="PRC_ACTUNT",OFFSET(COM_N_2012!$B$60,$L86,SUMIF($B$9:$B$12,$B86,$M$9:$M$12)),"-"))</f>
        <v>-</v>
      </c>
      <c r="F86" s="369" t="str">
        <f t="shared" ca="1" si="9"/>
        <v>-</v>
      </c>
      <c r="G86" s="369" t="str">
        <f t="shared" ca="1" si="9"/>
        <v>-</v>
      </c>
      <c r="H86" s="369" t="str">
        <f t="shared" ca="1" si="9"/>
        <v>-</v>
      </c>
      <c r="I86" s="369">
        <f t="shared" ca="1" si="11"/>
        <v>1</v>
      </c>
      <c r="J86" s="369"/>
      <c r="K86" s="304">
        <f>IF(L85=COM_N_2012!$AK$121,K85+1,K85)</f>
        <v>2</v>
      </c>
      <c r="L86" s="304">
        <f t="shared" si="5"/>
        <v>12</v>
      </c>
    </row>
    <row r="87" spans="1:12">
      <c r="A87" s="304" t="str">
        <f ca="1">IF(LEFT(OFFSET(COM_N_2012!$A$60,L87,0),2)="\I","*","")</f>
        <v/>
      </c>
      <c r="B87" s="369" t="str">
        <f t="shared" ca="1" si="10"/>
        <v>PRC_CAPACT</v>
      </c>
      <c r="C87" s="369" t="str">
        <f ca="1">IF($A87="*","",OFFSET(COM_N_2012!$B$60,L87,0))</f>
        <v>CNHGAS-N</v>
      </c>
      <c r="D87" s="369" t="str">
        <f ca="1">IF($A87="*","",IF(LEFT($B87,3)="TOP",OFFSET(COM_N_2012!$B$60,$L87,SUMIF($B$9:$B$12,$B87,$M$9:$M$12)),"-"))</f>
        <v>-</v>
      </c>
      <c r="E87" s="369" t="str">
        <f ca="1">IF($A87="*","",IF($B87="PRC_ACTUNT",OFFSET(COM_N_2012!$B$60,$L87,SUMIF($B$9:$B$12,$B87,$M$9:$M$12)),"-"))</f>
        <v>-</v>
      </c>
      <c r="F87" s="369" t="str">
        <f t="shared" ca="1" si="9"/>
        <v>-</v>
      </c>
      <c r="G87" s="369" t="str">
        <f t="shared" ca="1" si="9"/>
        <v>-</v>
      </c>
      <c r="H87" s="369" t="str">
        <f t="shared" ca="1" si="9"/>
        <v>-</v>
      </c>
      <c r="I87" s="369">
        <f t="shared" ca="1" si="11"/>
        <v>1</v>
      </c>
      <c r="J87" s="369"/>
      <c r="K87" s="304">
        <f>IF(L86=COM_N_2012!$AK$121,K86+1,K86)</f>
        <v>2</v>
      </c>
      <c r="L87" s="304">
        <f t="shared" si="5"/>
        <v>13</v>
      </c>
    </row>
    <row r="88" spans="1:12">
      <c r="A88" s="304" t="str">
        <f ca="1">IF(LEFT(OFFSET(COM_N_2012!$A$60,L88,0),2)="\I","*","")</f>
        <v>*</v>
      </c>
      <c r="B88" s="369" t="str">
        <f t="shared" ca="1" si="10"/>
        <v/>
      </c>
      <c r="C88" s="369" t="str">
        <f ca="1">IF($A88="*","",OFFSET(COM_N_2012!$B$60,L88,0))</f>
        <v/>
      </c>
      <c r="D88" s="369" t="str">
        <f ca="1">IF($A88="*","",IF(LEFT($B88,3)="TOP",OFFSET(COM_N_2012!$B$60,$L88,SUMIF($B$9:$B$12,$B88,$M$9:$M$12)),"-"))</f>
        <v/>
      </c>
      <c r="E88" s="369" t="str">
        <f ca="1">IF($A88="*","",IF($B88="PRC_ACTUNT",OFFSET(COM_N_2012!$B$60,$L88,SUMIF($B$9:$B$12,$B88,$M$9:$M$12)),"-"))</f>
        <v/>
      </c>
      <c r="F88" s="369" t="str">
        <f t="shared" ca="1" si="9"/>
        <v/>
      </c>
      <c r="G88" s="369" t="str">
        <f t="shared" ca="1" si="9"/>
        <v/>
      </c>
      <c r="H88" s="369" t="str">
        <f t="shared" ca="1" si="9"/>
        <v/>
      </c>
      <c r="I88" s="369" t="str">
        <f t="shared" ca="1" si="11"/>
        <v/>
      </c>
      <c r="J88" s="369"/>
      <c r="K88" s="304">
        <f>IF(L87=COM_N_2012!$AK$121,K87+1,K87)</f>
        <v>2</v>
      </c>
      <c r="L88" s="304">
        <f t="shared" si="5"/>
        <v>14</v>
      </c>
    </row>
    <row r="89" spans="1:12">
      <c r="A89" s="304" t="str">
        <f ca="1">IF(LEFT(OFFSET(COM_N_2012!$A$60,L89,0),2)="\I","*","")</f>
        <v>*</v>
      </c>
      <c r="B89" s="369" t="str">
        <f t="shared" ca="1" si="10"/>
        <v/>
      </c>
      <c r="C89" s="369" t="str">
        <f ca="1">IF($A89="*","",OFFSET(COM_N_2012!$B$60,L89,0))</f>
        <v/>
      </c>
      <c r="D89" s="369" t="str">
        <f ca="1">IF($A89="*","",IF(LEFT($B89,3)="TOP",OFFSET(COM_N_2012!$B$60,$L89,SUMIF($B$9:$B$12,$B89,$M$9:$M$12)),"-"))</f>
        <v/>
      </c>
      <c r="E89" s="369" t="str">
        <f ca="1">IF($A89="*","",IF($B89="PRC_ACTUNT",OFFSET(COM_N_2012!$B$60,$L89,SUMIF($B$9:$B$12,$B89,$M$9:$M$12)),"-"))</f>
        <v/>
      </c>
      <c r="F89" s="369" t="str">
        <f t="shared" ca="1" si="9"/>
        <v/>
      </c>
      <c r="G89" s="369" t="str">
        <f t="shared" ca="1" si="9"/>
        <v/>
      </c>
      <c r="H89" s="369" t="str">
        <f t="shared" ca="1" si="9"/>
        <v/>
      </c>
      <c r="I89" s="369" t="str">
        <f t="shared" ca="1" si="11"/>
        <v/>
      </c>
      <c r="J89" s="369"/>
      <c r="K89" s="304">
        <f>IF(L88=COM_N_2012!$AK$121,K88+1,K88)</f>
        <v>2</v>
      </c>
      <c r="L89" s="304">
        <f t="shared" si="5"/>
        <v>15</v>
      </c>
    </row>
    <row r="90" spans="1:12">
      <c r="A90" s="304" t="str">
        <f ca="1">IF(LEFT(OFFSET(COM_N_2012!$A$60,L90,0),2)="\I","*","")</f>
        <v/>
      </c>
      <c r="B90" s="369" t="str">
        <f t="shared" ca="1" si="10"/>
        <v>PRC_CAPACT</v>
      </c>
      <c r="C90" s="369" t="str">
        <f ca="1">IF($A90="*","",OFFSET(COM_N_2012!$B$60,L90,0))</f>
        <v>CNKOLP-E</v>
      </c>
      <c r="D90" s="369" t="str">
        <f ca="1">IF($A90="*","",IF(LEFT($B90,3)="TOP",OFFSET(COM_N_2012!$B$60,$L90,SUMIF($B$9:$B$12,$B90,$M$9:$M$12)),"-"))</f>
        <v>-</v>
      </c>
      <c r="E90" s="369" t="str">
        <f ca="1">IF($A90="*","",IF($B90="PRC_ACTUNT",OFFSET(COM_N_2012!$B$60,$L90,SUMIF($B$9:$B$12,$B90,$M$9:$M$12)),"-"))</f>
        <v>-</v>
      </c>
      <c r="F90" s="369" t="str">
        <f t="shared" ca="1" si="9"/>
        <v>-</v>
      </c>
      <c r="G90" s="369" t="str">
        <f t="shared" ca="1" si="9"/>
        <v>-</v>
      </c>
      <c r="H90" s="369" t="str">
        <f t="shared" ca="1" si="9"/>
        <v>-</v>
      </c>
      <c r="I90" s="369">
        <f t="shared" ca="1" si="11"/>
        <v>1</v>
      </c>
      <c r="J90" s="369"/>
      <c r="K90" s="304">
        <f>IF(L89=COM_N_2012!$AK$121,K89+1,K89)</f>
        <v>2</v>
      </c>
      <c r="L90" s="304">
        <f t="shared" si="5"/>
        <v>16</v>
      </c>
    </row>
    <row r="91" spans="1:12">
      <c r="A91" s="304" t="str">
        <f ca="1">IF(LEFT(OFFSET(COM_N_2012!$A$60,L91,0),2)="\I","*","")</f>
        <v/>
      </c>
      <c r="B91" s="369" t="str">
        <f t="shared" ca="1" si="10"/>
        <v>PRC_CAPACT</v>
      </c>
      <c r="C91" s="369" t="str">
        <f ca="1">IF($A91="*","",OFFSET(COM_N_2012!$B$60,L91,0))</f>
        <v>CNKELC-E</v>
      </c>
      <c r="D91" s="369" t="str">
        <f ca="1">IF($A91="*","",IF(LEFT($B91,3)="TOP",OFFSET(COM_N_2012!$B$60,$L91,SUMIF($B$9:$B$12,$B91,$M$9:$M$12)),"-"))</f>
        <v>-</v>
      </c>
      <c r="E91" s="369" t="str">
        <f ca="1">IF($A91="*","",IF($B91="PRC_ACTUNT",OFFSET(COM_N_2012!$B$60,$L91,SUMIF($B$9:$B$12,$B91,$M$9:$M$12)),"-"))</f>
        <v>-</v>
      </c>
      <c r="F91" s="369" t="str">
        <f t="shared" ca="1" si="9"/>
        <v>-</v>
      </c>
      <c r="G91" s="369" t="str">
        <f t="shared" ca="1" si="9"/>
        <v>-</v>
      </c>
      <c r="H91" s="369" t="str">
        <f t="shared" ca="1" si="9"/>
        <v>-</v>
      </c>
      <c r="I91" s="369">
        <f t="shared" ca="1" si="11"/>
        <v>1</v>
      </c>
      <c r="J91" s="369"/>
      <c r="K91" s="304">
        <f>IF(L90=COM_N_2012!$AK$121,K90+1,K90)</f>
        <v>2</v>
      </c>
      <c r="L91" s="304">
        <f t="shared" si="5"/>
        <v>17</v>
      </c>
    </row>
    <row r="92" spans="1:12">
      <c r="A92" s="304" t="str">
        <f ca="1">IF(LEFT(OFFSET(COM_N_2012!$A$60,L92,0),2)="\I","*","")</f>
        <v/>
      </c>
      <c r="B92" s="369" t="str">
        <f t="shared" ca="1" si="10"/>
        <v>PRC_CAPACT</v>
      </c>
      <c r="C92" s="369" t="str">
        <f ca="1">IF($A92="*","",OFFSET(COM_N_2012!$B$60,L92,0))</f>
        <v>CNKCOA-E</v>
      </c>
      <c r="D92" s="369" t="str">
        <f ca="1">IF($A92="*","",IF(LEFT($B92,3)="TOP",OFFSET(COM_N_2012!$B$60,$L92,SUMIF($B$9:$B$12,$B92,$M$9:$M$12)),"-"))</f>
        <v>-</v>
      </c>
      <c r="E92" s="369" t="str">
        <f ca="1">IF($A92="*","",IF($B92="PRC_ACTUNT",OFFSET(COM_N_2012!$B$60,$L92,SUMIF($B$9:$B$12,$B92,$M$9:$M$12)),"-"))</f>
        <v>-</v>
      </c>
      <c r="F92" s="369" t="str">
        <f t="shared" ca="1" si="9"/>
        <v>-</v>
      </c>
      <c r="G92" s="369" t="str">
        <f t="shared" ca="1" si="9"/>
        <v>-</v>
      </c>
      <c r="H92" s="369" t="str">
        <f t="shared" ca="1" si="9"/>
        <v>-</v>
      </c>
      <c r="I92" s="369">
        <f t="shared" ca="1" si="11"/>
        <v>1</v>
      </c>
      <c r="J92" s="369"/>
      <c r="K92" s="304">
        <f>IF(L91=COM_N_2012!$AK$121,K91+1,K91)</f>
        <v>2</v>
      </c>
      <c r="L92" s="304">
        <f t="shared" si="5"/>
        <v>18</v>
      </c>
    </row>
    <row r="93" spans="1:12">
      <c r="A93" s="304" t="str">
        <f ca="1">IF(LEFT(OFFSET(COM_N_2012!$A$60,L93,0),2)="\I","*","")</f>
        <v>*</v>
      </c>
      <c r="B93" s="369" t="str">
        <f t="shared" ca="1" si="10"/>
        <v/>
      </c>
      <c r="C93" s="369" t="str">
        <f ca="1">IF($A93="*","",OFFSET(COM_N_2012!$B$60,L93,0))</f>
        <v/>
      </c>
      <c r="D93" s="369" t="str">
        <f ca="1">IF($A93="*","",IF(LEFT($B93,3)="TOP",OFFSET(COM_N_2012!$B$60,$L93,SUMIF($B$9:$B$12,$B93,$M$9:$M$12)),"-"))</f>
        <v/>
      </c>
      <c r="E93" s="369" t="str">
        <f ca="1">IF($A93="*","",IF($B93="PRC_ACTUNT",OFFSET(COM_N_2012!$B$60,$L93,SUMIF($B$9:$B$12,$B93,$M$9:$M$12)),"-"))</f>
        <v/>
      </c>
      <c r="F93" s="369" t="str">
        <f t="shared" ca="1" si="9"/>
        <v/>
      </c>
      <c r="G93" s="369" t="str">
        <f t="shared" ca="1" si="9"/>
        <v/>
      </c>
      <c r="H93" s="369" t="str">
        <f t="shared" ca="1" si="9"/>
        <v/>
      </c>
      <c r="I93" s="369" t="str">
        <f t="shared" ca="1" si="11"/>
        <v/>
      </c>
      <c r="J93" s="369"/>
      <c r="K93" s="304">
        <f>IF(L92=COM_N_2012!$AK$121,K92+1,K92)</f>
        <v>2</v>
      </c>
      <c r="L93" s="304">
        <f t="shared" si="5"/>
        <v>19</v>
      </c>
    </row>
    <row r="94" spans="1:12">
      <c r="A94" s="304" t="str">
        <f ca="1">IF(LEFT(OFFSET(COM_N_2012!$A$60,L94,0),2)="\I","*","")</f>
        <v>*</v>
      </c>
      <c r="B94" s="369" t="str">
        <f t="shared" ca="1" si="10"/>
        <v/>
      </c>
      <c r="C94" s="369" t="str">
        <f ca="1">IF($A94="*","",OFFSET(COM_N_2012!$B$60,L94,0))</f>
        <v/>
      </c>
      <c r="D94" s="369" t="str">
        <f ca="1">IF($A94="*","",IF(LEFT($B94,3)="TOP",OFFSET(COM_N_2012!$B$60,$L94,SUMIF($B$9:$B$12,$B94,$M$9:$M$12)),"-"))</f>
        <v/>
      </c>
      <c r="E94" s="369" t="str">
        <f ca="1">IF($A94="*","",IF($B94="PRC_ACTUNT",OFFSET(COM_N_2012!$B$60,$L94,SUMIF($B$9:$B$12,$B94,$M$9:$M$12)),"-"))</f>
        <v/>
      </c>
      <c r="F94" s="369" t="str">
        <f t="shared" ref="F94:H113" ca="1" si="12">IF($A94="*","","-")</f>
        <v/>
      </c>
      <c r="G94" s="369" t="str">
        <f t="shared" ca="1" si="12"/>
        <v/>
      </c>
      <c r="H94" s="369" t="str">
        <f t="shared" ca="1" si="12"/>
        <v/>
      </c>
      <c r="I94" s="369" t="str">
        <f t="shared" ca="1" si="11"/>
        <v/>
      </c>
      <c r="J94" s="369"/>
      <c r="K94" s="304">
        <f>IF(L93=COM_N_2012!$AK$121,K93+1,K93)</f>
        <v>2</v>
      </c>
      <c r="L94" s="304">
        <f t="shared" si="5"/>
        <v>20</v>
      </c>
    </row>
    <row r="95" spans="1:12">
      <c r="A95" s="304" t="str">
        <f ca="1">IF(LEFT(OFFSET(COM_N_2012!$A$60,L95,0),2)="\I","*","")</f>
        <v/>
      </c>
      <c r="B95" s="369" t="str">
        <f t="shared" ca="1" si="10"/>
        <v>PRC_CAPACT</v>
      </c>
      <c r="C95" s="369" t="str">
        <f ca="1">IF($A95="*","",OFFSET(COM_N_2012!$B$60,L95,0))</f>
        <v>CNLELCCFL-E</v>
      </c>
      <c r="D95" s="369" t="str">
        <f ca="1">IF($A95="*","",IF(LEFT($B95,3)="TOP",OFFSET(COM_N_2012!$B$60,$L95,SUMIF($B$9:$B$12,$B95,$M$9:$M$12)),"-"))</f>
        <v>-</v>
      </c>
      <c r="E95" s="369" t="str">
        <f ca="1">IF($A95="*","",IF($B95="PRC_ACTUNT",OFFSET(COM_N_2012!$B$60,$L95,SUMIF($B$9:$B$12,$B95,$M$9:$M$12)),"-"))</f>
        <v>-</v>
      </c>
      <c r="F95" s="369" t="str">
        <f t="shared" ca="1" si="12"/>
        <v>-</v>
      </c>
      <c r="G95" s="369" t="str">
        <f t="shared" ca="1" si="12"/>
        <v>-</v>
      </c>
      <c r="H95" s="369" t="str">
        <f t="shared" ca="1" si="12"/>
        <v>-</v>
      </c>
      <c r="I95" s="369">
        <f t="shared" ca="1" si="11"/>
        <v>1</v>
      </c>
      <c r="J95" s="369"/>
      <c r="K95" s="304">
        <f>IF(L94=COM_N_2012!$AK$121,K94+1,K94)</f>
        <v>2</v>
      </c>
      <c r="L95" s="304">
        <f t="shared" si="5"/>
        <v>21</v>
      </c>
    </row>
    <row r="96" spans="1:12">
      <c r="A96" s="304" t="str">
        <f ca="1">IF(LEFT(OFFSET(COM_N_2012!$A$60,L96,0),2)="\I","*","")</f>
        <v/>
      </c>
      <c r="B96" s="369" t="str">
        <f t="shared" ca="1" si="10"/>
        <v>PRC_CAPACT</v>
      </c>
      <c r="C96" s="369" t="str">
        <f ca="1">IF($A96="*","",OFFSET(COM_N_2012!$B$60,L96,0))</f>
        <v>CNLELCFLU-E</v>
      </c>
      <c r="D96" s="369" t="str">
        <f ca="1">IF($A96="*","",IF(LEFT($B96,3)="TOP",OFFSET(COM_N_2012!$B$60,$L96,SUMIF($B$9:$B$12,$B96,$M$9:$M$12)),"-"))</f>
        <v>-</v>
      </c>
      <c r="E96" s="369" t="str">
        <f ca="1">IF($A96="*","",IF($B96="PRC_ACTUNT",OFFSET(COM_N_2012!$B$60,$L96,SUMIF($B$9:$B$12,$B96,$M$9:$M$12)),"-"))</f>
        <v>-</v>
      </c>
      <c r="F96" s="369" t="str">
        <f t="shared" ca="1" si="12"/>
        <v>-</v>
      </c>
      <c r="G96" s="369" t="str">
        <f t="shared" ca="1" si="12"/>
        <v>-</v>
      </c>
      <c r="H96" s="369" t="str">
        <f t="shared" ca="1" si="12"/>
        <v>-</v>
      </c>
      <c r="I96" s="369">
        <f t="shared" ca="1" si="11"/>
        <v>1</v>
      </c>
      <c r="J96" s="369"/>
      <c r="K96" s="304">
        <f>IF(L95=COM_N_2012!$AK$121,K95+1,K95)</f>
        <v>2</v>
      </c>
      <c r="L96" s="304">
        <f t="shared" ref="L96:L159" si="13">IF(K96=K95,L95+1,1)</f>
        <v>22</v>
      </c>
    </row>
    <row r="97" spans="1:12">
      <c r="A97" s="304" t="str">
        <f ca="1">IF(LEFT(OFFSET(COM_N_2012!$A$60,L97,0),2)="\I","*","")</f>
        <v/>
      </c>
      <c r="B97" s="369" t="str">
        <f t="shared" ca="1" si="10"/>
        <v>PRC_CAPACT</v>
      </c>
      <c r="C97" s="369" t="str">
        <f ca="1">IF($A97="*","",OFFSET(COM_N_2012!$B$60,L97,0))</f>
        <v>CNLELCHAL-E</v>
      </c>
      <c r="D97" s="369" t="str">
        <f ca="1">IF($A97="*","",IF(LEFT($B97,3)="TOP",OFFSET(COM_N_2012!$B$60,$L97,SUMIF($B$9:$B$12,$B97,$M$9:$M$12)),"-"))</f>
        <v>-</v>
      </c>
      <c r="E97" s="369" t="str">
        <f ca="1">IF($A97="*","",IF($B97="PRC_ACTUNT",OFFSET(COM_N_2012!$B$60,$L97,SUMIF($B$9:$B$12,$B97,$M$9:$M$12)),"-"))</f>
        <v>-</v>
      </c>
      <c r="F97" s="369" t="str">
        <f t="shared" ca="1" si="12"/>
        <v>-</v>
      </c>
      <c r="G97" s="369" t="str">
        <f t="shared" ca="1" si="12"/>
        <v>-</v>
      </c>
      <c r="H97" s="369" t="str">
        <f t="shared" ca="1" si="12"/>
        <v>-</v>
      </c>
      <c r="I97" s="369">
        <f t="shared" ca="1" si="11"/>
        <v>1</v>
      </c>
      <c r="J97" s="369"/>
      <c r="K97" s="304">
        <f>IF(L96=COM_N_2012!$AK$121,K96+1,K96)</f>
        <v>2</v>
      </c>
      <c r="L97" s="304">
        <f t="shared" si="13"/>
        <v>23</v>
      </c>
    </row>
    <row r="98" spans="1:12">
      <c r="A98" s="304" t="str">
        <f ca="1">IF(LEFT(OFFSET(COM_N_2012!$A$60,L98,0),2)="\I","*","")</f>
        <v/>
      </c>
      <c r="B98" s="369" t="str">
        <f t="shared" ca="1" si="10"/>
        <v>PRC_CAPACT</v>
      </c>
      <c r="C98" s="369" t="str">
        <f ca="1">IF($A98="*","",OFFSET(COM_N_2012!$B$60,L98,0))</f>
        <v>CNLELCHID-E</v>
      </c>
      <c r="D98" s="369" t="str">
        <f ca="1">IF($A98="*","",IF(LEFT($B98,3)="TOP",OFFSET(COM_N_2012!$B$60,$L98,SUMIF($B$9:$B$12,$B98,$M$9:$M$12)),"-"))</f>
        <v>-</v>
      </c>
      <c r="E98" s="369" t="str">
        <f ca="1">IF($A98="*","",IF($B98="PRC_ACTUNT",OFFSET(COM_N_2012!$B$60,$L98,SUMIF($B$9:$B$12,$B98,$M$9:$M$12)),"-"))</f>
        <v>-</v>
      </c>
      <c r="F98" s="369" t="str">
        <f t="shared" ca="1" si="12"/>
        <v>-</v>
      </c>
      <c r="G98" s="369" t="str">
        <f t="shared" ca="1" si="12"/>
        <v>-</v>
      </c>
      <c r="H98" s="369" t="str">
        <f t="shared" ca="1" si="12"/>
        <v>-</v>
      </c>
      <c r="I98" s="369">
        <f t="shared" ca="1" si="11"/>
        <v>1</v>
      </c>
      <c r="J98" s="369"/>
      <c r="K98" s="304">
        <f>IF(L97=COM_N_2012!$AK$121,K97+1,K97)</f>
        <v>2</v>
      </c>
      <c r="L98" s="304">
        <f t="shared" si="13"/>
        <v>24</v>
      </c>
    </row>
    <row r="99" spans="1:12">
      <c r="A99" s="304" t="str">
        <f ca="1">IF(LEFT(OFFSET(COM_N_2012!$A$60,L99,0),2)="\I","*","")</f>
        <v/>
      </c>
      <c r="B99" s="369" t="str">
        <f t="shared" ca="1" si="10"/>
        <v>PRC_CAPACT</v>
      </c>
      <c r="C99" s="369" t="str">
        <f ca="1">IF($A99="*","",OFFSET(COM_N_2012!$B$60,L99,0))</f>
        <v>CNLELCINC-E</v>
      </c>
      <c r="D99" s="369" t="str">
        <f ca="1">IF($A99="*","",IF(LEFT($B99,3)="TOP",OFFSET(COM_N_2012!$B$60,$L99,SUMIF($B$9:$B$12,$B99,$M$9:$M$12)),"-"))</f>
        <v>-</v>
      </c>
      <c r="E99" s="369" t="str">
        <f ca="1">IF($A99="*","",IF($B99="PRC_ACTUNT",OFFSET(COM_N_2012!$B$60,$L99,SUMIF($B$9:$B$12,$B99,$M$9:$M$12)),"-"))</f>
        <v>-</v>
      </c>
      <c r="F99" s="369" t="str">
        <f t="shared" ca="1" si="12"/>
        <v>-</v>
      </c>
      <c r="G99" s="369" t="str">
        <f t="shared" ca="1" si="12"/>
        <v>-</v>
      </c>
      <c r="H99" s="369" t="str">
        <f t="shared" ca="1" si="12"/>
        <v>-</v>
      </c>
      <c r="I99" s="369">
        <f t="shared" ca="1" si="11"/>
        <v>1</v>
      </c>
      <c r="J99" s="369"/>
      <c r="K99" s="304">
        <f>IF(L98=COM_N_2012!$AK$121,K98+1,K98)</f>
        <v>2</v>
      </c>
      <c r="L99" s="304">
        <f t="shared" si="13"/>
        <v>25</v>
      </c>
    </row>
    <row r="100" spans="1:12">
      <c r="A100" s="304" t="str">
        <f ca="1">IF(LEFT(OFFSET(COM_N_2012!$A$60,L100,0),2)="\I","*","")</f>
        <v/>
      </c>
      <c r="B100" s="369" t="str">
        <f t="shared" ca="1" si="10"/>
        <v>PRC_CAPACT</v>
      </c>
      <c r="C100" s="369" t="str">
        <f ca="1">IF($A100="*","",OFFSET(COM_N_2012!$B$60,L100,0))</f>
        <v>CNLELCLED-N</v>
      </c>
      <c r="D100" s="369" t="str">
        <f ca="1">IF($A100="*","",IF(LEFT($B100,3)="TOP",OFFSET(COM_N_2012!$B$60,$L100,SUMIF($B$9:$B$12,$B100,$M$9:$M$12)),"-"))</f>
        <v>-</v>
      </c>
      <c r="E100" s="369" t="str">
        <f ca="1">IF($A100="*","",IF($B100="PRC_ACTUNT",OFFSET(COM_N_2012!$B$60,$L100,SUMIF($B$9:$B$12,$B100,$M$9:$M$12)),"-"))</f>
        <v>-</v>
      </c>
      <c r="F100" s="369" t="str">
        <f t="shared" ca="1" si="12"/>
        <v>-</v>
      </c>
      <c r="G100" s="369" t="str">
        <f t="shared" ca="1" si="12"/>
        <v>-</v>
      </c>
      <c r="H100" s="369" t="str">
        <f t="shared" ca="1" si="12"/>
        <v>-</v>
      </c>
      <c r="I100" s="369">
        <f t="shared" ca="1" si="11"/>
        <v>1</v>
      </c>
      <c r="J100" s="369"/>
      <c r="K100" s="304">
        <f>IF(L99=COM_N_2012!$AK$121,K99+1,K99)</f>
        <v>2</v>
      </c>
      <c r="L100" s="304">
        <f t="shared" si="13"/>
        <v>26</v>
      </c>
    </row>
    <row r="101" spans="1:12">
      <c r="A101" s="304" t="str">
        <f ca="1">IF(LEFT(OFFSET(COM_N_2012!$A$60,L101,0),2)="\I","*","")</f>
        <v>*</v>
      </c>
      <c r="B101" s="369" t="str">
        <f t="shared" ca="1" si="10"/>
        <v/>
      </c>
      <c r="C101" s="369" t="str">
        <f ca="1">IF($A101="*","",OFFSET(COM_N_2012!$B$60,L101,0))</f>
        <v/>
      </c>
      <c r="D101" s="369" t="str">
        <f ca="1">IF($A101="*","",IF(LEFT($B101,3)="TOP",OFFSET(COM_N_2012!$B$60,$L101,SUMIF($B$9:$B$12,$B101,$M$9:$M$12)),"-"))</f>
        <v/>
      </c>
      <c r="E101" s="369" t="str">
        <f ca="1">IF($A101="*","",IF($B101="PRC_ACTUNT",OFFSET(COM_N_2012!$B$60,$L101,SUMIF($B$9:$B$12,$B101,$M$9:$M$12)),"-"))</f>
        <v/>
      </c>
      <c r="F101" s="369" t="str">
        <f t="shared" ca="1" si="12"/>
        <v/>
      </c>
      <c r="G101" s="369" t="str">
        <f t="shared" ca="1" si="12"/>
        <v/>
      </c>
      <c r="H101" s="369" t="str">
        <f t="shared" ca="1" si="12"/>
        <v/>
      </c>
      <c r="I101" s="369" t="str">
        <f t="shared" ca="1" si="11"/>
        <v/>
      </c>
      <c r="J101" s="369"/>
      <c r="K101" s="304">
        <f>IF(L100=COM_N_2012!$AK$121,K100+1,K100)</f>
        <v>2</v>
      </c>
      <c r="L101" s="304">
        <f t="shared" si="13"/>
        <v>27</v>
      </c>
    </row>
    <row r="102" spans="1:12">
      <c r="A102" s="304" t="str">
        <f ca="1">IF(LEFT(OFFSET(COM_N_2012!$A$60,L102,0),2)="\I","*","")</f>
        <v>*</v>
      </c>
      <c r="B102" s="369" t="str">
        <f t="shared" ca="1" si="10"/>
        <v/>
      </c>
      <c r="C102" s="369" t="str">
        <f ca="1">IF($A102="*","",OFFSET(COM_N_2012!$B$60,L102,0))</f>
        <v/>
      </c>
      <c r="D102" s="369" t="str">
        <f ca="1">IF($A102="*","",IF(LEFT($B102,3)="TOP",OFFSET(COM_N_2012!$B$60,$L102,SUMIF($B$9:$B$12,$B102,$M$9:$M$12)),"-"))</f>
        <v/>
      </c>
      <c r="E102" s="369" t="str">
        <f ca="1">IF($A102="*","",IF($B102="PRC_ACTUNT",OFFSET(COM_N_2012!$B$60,$L102,SUMIF($B$9:$B$12,$B102,$M$9:$M$12)),"-"))</f>
        <v/>
      </c>
      <c r="F102" s="369" t="str">
        <f t="shared" ca="1" si="12"/>
        <v/>
      </c>
      <c r="G102" s="369" t="str">
        <f t="shared" ca="1" si="12"/>
        <v/>
      </c>
      <c r="H102" s="369" t="str">
        <f t="shared" ca="1" si="12"/>
        <v/>
      </c>
      <c r="I102" s="369" t="str">
        <f t="shared" ca="1" si="11"/>
        <v/>
      </c>
      <c r="J102" s="369"/>
      <c r="K102" s="304">
        <f>IF(L101=COM_N_2012!$AK$121,K101+1,K101)</f>
        <v>2</v>
      </c>
      <c r="L102" s="304">
        <f t="shared" si="13"/>
        <v>28</v>
      </c>
    </row>
    <row r="103" spans="1:12">
      <c r="A103" s="304" t="str">
        <f ca="1">IF(LEFT(OFFSET(COM_N_2012!$A$60,L103,0),2)="\I","*","")</f>
        <v/>
      </c>
      <c r="B103" s="369" t="str">
        <f t="shared" ca="1" si="10"/>
        <v>PRC_CAPACT</v>
      </c>
      <c r="C103" s="369" t="str">
        <f ca="1">IF($A103="*","",OFFSET(COM_N_2012!$B$60,L103,0))</f>
        <v>CNRELC-E</v>
      </c>
      <c r="D103" s="369" t="str">
        <f ca="1">IF($A103="*","",IF(LEFT($B103,3)="TOP",OFFSET(COM_N_2012!$B$60,$L103,SUMIF($B$9:$B$12,$B103,$M$9:$M$12)),"-"))</f>
        <v>-</v>
      </c>
      <c r="E103" s="369" t="str">
        <f ca="1">IF($A103="*","",IF($B103="PRC_ACTUNT",OFFSET(COM_N_2012!$B$60,$L103,SUMIF($B$9:$B$12,$B103,$M$9:$M$12)),"-"))</f>
        <v>-</v>
      </c>
      <c r="F103" s="369" t="str">
        <f t="shared" ca="1" si="12"/>
        <v>-</v>
      </c>
      <c r="G103" s="369" t="str">
        <f t="shared" ca="1" si="12"/>
        <v>-</v>
      </c>
      <c r="H103" s="369" t="str">
        <f t="shared" ca="1" si="12"/>
        <v>-</v>
      </c>
      <c r="I103" s="369">
        <f t="shared" ca="1" si="11"/>
        <v>1</v>
      </c>
      <c r="J103" s="369"/>
      <c r="K103" s="304">
        <f>IF(L102=COM_N_2012!$AK$121,K102+1,K102)</f>
        <v>2</v>
      </c>
      <c r="L103" s="304">
        <f t="shared" si="13"/>
        <v>29</v>
      </c>
    </row>
    <row r="104" spans="1:12">
      <c r="A104" s="304" t="str">
        <f ca="1">IF(LEFT(OFFSET(COM_N_2012!$A$60,L104,0),2)="\I","*","")</f>
        <v/>
      </c>
      <c r="B104" s="369" t="str">
        <f t="shared" ca="1" si="10"/>
        <v>PRC_CAPACT</v>
      </c>
      <c r="C104" s="369" t="str">
        <f ca="1">IF($A104="*","",OFFSET(COM_N_2012!$B$60,L104,0))</f>
        <v>CNRELC-N</v>
      </c>
      <c r="D104" s="369" t="str">
        <f ca="1">IF($A104="*","",IF(LEFT($B104,3)="TOP",OFFSET(COM_N_2012!$B$60,$L104,SUMIF($B$9:$B$12,$B104,$M$9:$M$12)),"-"))</f>
        <v>-</v>
      </c>
      <c r="E104" s="369" t="str">
        <f ca="1">IF($A104="*","",IF($B104="PRC_ACTUNT",OFFSET(COM_N_2012!$B$60,$L104,SUMIF($B$9:$B$12,$B104,$M$9:$M$12)),"-"))</f>
        <v>-</v>
      </c>
      <c r="F104" s="369" t="str">
        <f t="shared" ca="1" si="12"/>
        <v>-</v>
      </c>
      <c r="G104" s="369" t="str">
        <f t="shared" ca="1" si="12"/>
        <v>-</v>
      </c>
      <c r="H104" s="369" t="str">
        <f t="shared" ca="1" si="12"/>
        <v>-</v>
      </c>
      <c r="I104" s="369">
        <f t="shared" ca="1" si="11"/>
        <v>1</v>
      </c>
      <c r="J104" s="369"/>
      <c r="K104" s="304">
        <f>IF(L103=COM_N_2012!$AK$121,K103+1,K103)</f>
        <v>2</v>
      </c>
      <c r="L104" s="304">
        <f t="shared" si="13"/>
        <v>30</v>
      </c>
    </row>
    <row r="105" spans="1:12">
      <c r="A105" s="304" t="str">
        <f ca="1">IF(LEFT(OFFSET(COM_N_2012!$A$60,L105,0),2)="\I","*","")</f>
        <v>*</v>
      </c>
      <c r="B105" s="369" t="str">
        <f t="shared" ca="1" si="10"/>
        <v/>
      </c>
      <c r="C105" s="369" t="str">
        <f ca="1">IF($A105="*","",OFFSET(COM_N_2012!$B$60,L105,0))</f>
        <v/>
      </c>
      <c r="D105" s="369" t="str">
        <f ca="1">IF($A105="*","",IF(LEFT($B105,3)="TOP",OFFSET(COM_N_2012!$B$60,$L105,SUMIF($B$9:$B$12,$B105,$M$9:$M$12)),"-"))</f>
        <v/>
      </c>
      <c r="E105" s="369" t="str">
        <f ca="1">IF($A105="*","",IF($B105="PRC_ACTUNT",OFFSET(COM_N_2012!$B$60,$L105,SUMIF($B$9:$B$12,$B105,$M$9:$M$12)),"-"))</f>
        <v/>
      </c>
      <c r="F105" s="369" t="str">
        <f t="shared" ca="1" si="12"/>
        <v/>
      </c>
      <c r="G105" s="369" t="str">
        <f t="shared" ca="1" si="12"/>
        <v/>
      </c>
      <c r="H105" s="369" t="str">
        <f t="shared" ca="1" si="12"/>
        <v/>
      </c>
      <c r="I105" s="369" t="str">
        <f t="shared" ca="1" si="11"/>
        <v/>
      </c>
      <c r="J105" s="369"/>
      <c r="K105" s="304">
        <f>IF(L104=COM_N_2012!$AK$121,K104+1,K104)</f>
        <v>2</v>
      </c>
      <c r="L105" s="304">
        <f t="shared" si="13"/>
        <v>31</v>
      </c>
    </row>
    <row r="106" spans="1:12">
      <c r="A106" s="304" t="str">
        <f ca="1">IF(LEFT(OFFSET(COM_N_2012!$A$60,L106,0),2)="\I","*","")</f>
        <v>*</v>
      </c>
      <c r="B106" s="369" t="str">
        <f t="shared" ca="1" si="10"/>
        <v/>
      </c>
      <c r="C106" s="369" t="str">
        <f ca="1">IF($A106="*","",OFFSET(COM_N_2012!$B$60,L106,0))</f>
        <v/>
      </c>
      <c r="D106" s="369" t="str">
        <f ca="1">IF($A106="*","",IF(LEFT($B106,3)="TOP",OFFSET(COM_N_2012!$B$60,$L106,SUMIF($B$9:$B$12,$B106,$M$9:$M$12)),"-"))</f>
        <v/>
      </c>
      <c r="E106" s="369" t="str">
        <f ca="1">IF($A106="*","",IF($B106="PRC_ACTUNT",OFFSET(COM_N_2012!$B$60,$L106,SUMIF($B$9:$B$12,$B106,$M$9:$M$12)),"-"))</f>
        <v/>
      </c>
      <c r="F106" s="369" t="str">
        <f t="shared" ca="1" si="12"/>
        <v/>
      </c>
      <c r="G106" s="369" t="str">
        <f t="shared" ca="1" si="12"/>
        <v/>
      </c>
      <c r="H106" s="369" t="str">
        <f t="shared" ca="1" si="12"/>
        <v/>
      </c>
      <c r="I106" s="369" t="str">
        <f t="shared" ca="1" si="11"/>
        <v/>
      </c>
      <c r="J106" s="369"/>
      <c r="K106" s="304">
        <f>IF(L105=COM_N_2012!$AK$121,K105+1,K105)</f>
        <v>2</v>
      </c>
      <c r="L106" s="304">
        <f t="shared" si="13"/>
        <v>32</v>
      </c>
    </row>
    <row r="107" spans="1:12">
      <c r="A107" s="304" t="str">
        <f ca="1">IF(LEFT(OFFSET(COM_N_2012!$A$60,L107,0),2)="\I","*","")</f>
        <v/>
      </c>
      <c r="B107" s="369" t="str">
        <f t="shared" ca="1" si="10"/>
        <v>PRC_CAPACT</v>
      </c>
      <c r="C107" s="369" t="str">
        <f ca="1">IF($A107="*","",OFFSET(COM_N_2012!$B$60,L107,0))</f>
        <v>CNWELC-E</v>
      </c>
      <c r="D107" s="369" t="str">
        <f ca="1">IF($A107="*","",IF(LEFT($B107,3)="TOP",OFFSET(COM_N_2012!$B$60,$L107,SUMIF($B$9:$B$12,$B107,$M$9:$M$12)),"-"))</f>
        <v>-</v>
      </c>
      <c r="E107" s="369" t="str">
        <f ca="1">IF($A107="*","",IF($B107="PRC_ACTUNT",OFFSET(COM_N_2012!$B$60,$L107,SUMIF($B$9:$B$12,$B107,$M$9:$M$12)),"-"))</f>
        <v>-</v>
      </c>
      <c r="F107" s="369" t="str">
        <f t="shared" ca="1" si="12"/>
        <v>-</v>
      </c>
      <c r="G107" s="369" t="str">
        <f t="shared" ca="1" si="12"/>
        <v>-</v>
      </c>
      <c r="H107" s="369" t="str">
        <f t="shared" ca="1" si="12"/>
        <v>-</v>
      </c>
      <c r="I107" s="369">
        <f t="shared" ca="1" si="11"/>
        <v>1</v>
      </c>
      <c r="J107" s="369"/>
      <c r="K107" s="304">
        <f>IF(L106=COM_N_2012!$AK$121,K106+1,K106)</f>
        <v>2</v>
      </c>
      <c r="L107" s="304">
        <f t="shared" si="13"/>
        <v>33</v>
      </c>
    </row>
    <row r="108" spans="1:12">
      <c r="A108" s="304" t="str">
        <f ca="1">IF(LEFT(OFFSET(COM_N_2012!$A$60,L108,0),2)="\I","*","")</f>
        <v/>
      </c>
      <c r="B108" s="369" t="str">
        <f t="shared" ca="1" si="10"/>
        <v>PRC_CAPACT</v>
      </c>
      <c r="C108" s="369" t="str">
        <f ca="1">IF($A108="*","",OFFSET(COM_N_2012!$B$60,L108,0))</f>
        <v>CNWCOA-E</v>
      </c>
      <c r="D108" s="369" t="str">
        <f ca="1">IF($A108="*","",IF(LEFT($B108,3)="TOP",OFFSET(COM_N_2012!$B$60,$L108,SUMIF($B$9:$B$12,$B108,$M$9:$M$12)),"-"))</f>
        <v>-</v>
      </c>
      <c r="E108" s="369" t="str">
        <f ca="1">IF($A108="*","",IF($B108="PRC_ACTUNT",OFFSET(COM_N_2012!$B$60,$L108,SUMIF($B$9:$B$12,$B108,$M$9:$M$12)),"-"))</f>
        <v>-</v>
      </c>
      <c r="F108" s="369" t="str">
        <f t="shared" ca="1" si="12"/>
        <v>-</v>
      </c>
      <c r="G108" s="369" t="str">
        <f t="shared" ca="1" si="12"/>
        <v>-</v>
      </c>
      <c r="H108" s="369" t="str">
        <f t="shared" ca="1" si="12"/>
        <v>-</v>
      </c>
      <c r="I108" s="369">
        <f t="shared" ca="1" si="11"/>
        <v>1</v>
      </c>
      <c r="J108" s="369"/>
      <c r="K108" s="304">
        <f>IF(L107=COM_N_2012!$AK$121,K107+1,K107)</f>
        <v>2</v>
      </c>
      <c r="L108" s="304">
        <f t="shared" si="13"/>
        <v>34</v>
      </c>
    </row>
    <row r="109" spans="1:12">
      <c r="A109" s="304" t="str">
        <f ca="1">IF(LEFT(OFFSET(COM_N_2012!$A$60,L109,0),2)="\I","*","")</f>
        <v/>
      </c>
      <c r="B109" s="369" t="str">
        <f t="shared" ca="1" si="10"/>
        <v>PRC_CAPACT</v>
      </c>
      <c r="C109" s="369" t="str">
        <f ca="1">IF($A109="*","",OFFSET(COM_N_2012!$B$60,L109,0))</f>
        <v>CNWOLP-E</v>
      </c>
      <c r="D109" s="369" t="str">
        <f ca="1">IF($A109="*","",IF(LEFT($B109,3)="TOP",OFFSET(COM_N_2012!$B$60,$L109,SUMIF($B$9:$B$12,$B109,$M$9:$M$12)),"-"))</f>
        <v>-</v>
      </c>
      <c r="E109" s="369" t="str">
        <f ca="1">IF($A109="*","",IF($B109="PRC_ACTUNT",OFFSET(COM_N_2012!$B$60,$L109,SUMIF($B$9:$B$12,$B109,$M$9:$M$12)),"-"))</f>
        <v>-</v>
      </c>
      <c r="F109" s="369" t="str">
        <f t="shared" ca="1" si="12"/>
        <v>-</v>
      </c>
      <c r="G109" s="369" t="str">
        <f t="shared" ca="1" si="12"/>
        <v>-</v>
      </c>
      <c r="H109" s="369" t="str">
        <f t="shared" ca="1" si="12"/>
        <v>-</v>
      </c>
      <c r="I109" s="369">
        <f t="shared" ca="1" si="11"/>
        <v>1</v>
      </c>
      <c r="J109" s="369"/>
      <c r="K109" s="304">
        <f>IF(L108=COM_N_2012!$AK$121,K108+1,K108)</f>
        <v>2</v>
      </c>
      <c r="L109" s="304">
        <f t="shared" si="13"/>
        <v>35</v>
      </c>
    </row>
    <row r="110" spans="1:12">
      <c r="A110" s="304" t="str">
        <f ca="1">IF(LEFT(OFFSET(COM_N_2012!$A$60,L110,0),2)="\I","*","")</f>
        <v/>
      </c>
      <c r="B110" s="369" t="str">
        <f t="shared" ref="B110:B141" ca="1" si="14">IF(A110="*","",VLOOKUP("*"&amp;K110,$A$9:$B$14,2,FALSE))</f>
        <v>PRC_CAPACT</v>
      </c>
      <c r="C110" s="369" t="str">
        <f ca="1">IF($A110="*","",OFFSET(COM_N_2012!$B$60,L110,0))</f>
        <v>CNWGAS-E</v>
      </c>
      <c r="D110" s="369" t="str">
        <f ca="1">IF($A110="*","",IF(LEFT($B110,3)="TOP",OFFSET(COM_N_2012!$B$60,$L110,SUMIF($B$9:$B$12,$B110,$M$9:$M$12)),"-"))</f>
        <v>-</v>
      </c>
      <c r="E110" s="369" t="str">
        <f ca="1">IF($A110="*","",IF($B110="PRC_ACTUNT",OFFSET(COM_N_2012!$B$60,$L110,SUMIF($B$9:$B$12,$B110,$M$9:$M$12)),"-"))</f>
        <v>-</v>
      </c>
      <c r="F110" s="369" t="str">
        <f t="shared" ca="1" si="12"/>
        <v>-</v>
      </c>
      <c r="G110" s="369" t="str">
        <f t="shared" ca="1" si="12"/>
        <v>-</v>
      </c>
      <c r="H110" s="369" t="str">
        <f t="shared" ca="1" si="12"/>
        <v>-</v>
      </c>
      <c r="I110" s="369">
        <f t="shared" ref="I110:I141" ca="1" si="15">IF($A110="*","",SUMIF($B$9:$B$12,B110,$I$9:$I$12))</f>
        <v>1</v>
      </c>
      <c r="J110" s="369"/>
      <c r="K110" s="304">
        <f>IF(L109=COM_N_2012!$AK$121,K109+1,K109)</f>
        <v>2</v>
      </c>
      <c r="L110" s="304">
        <f t="shared" si="13"/>
        <v>36</v>
      </c>
    </row>
    <row r="111" spans="1:12">
      <c r="A111" s="304" t="str">
        <f ca="1">IF(LEFT(OFFSET(COM_N_2012!$A$60,L111,0),2)="\I","*","")</f>
        <v/>
      </c>
      <c r="B111" s="369" t="str">
        <f t="shared" ca="1" si="14"/>
        <v>PRC_CAPACT</v>
      </c>
      <c r="C111" s="369" t="str">
        <f ca="1">IF($A111="*","",OFFSET(COM_N_2012!$B$60,L111,0))</f>
        <v>CNWOKE-E</v>
      </c>
      <c r="D111" s="369" t="str">
        <f ca="1">IF($A111="*","",IF(LEFT($B111,3)="TOP",OFFSET(COM_N_2012!$B$60,$L111,SUMIF($B$9:$B$12,$B111,$M$9:$M$12)),"-"))</f>
        <v>-</v>
      </c>
      <c r="E111" s="369" t="str">
        <f ca="1">IF($A111="*","",IF($B111="PRC_ACTUNT",OFFSET(COM_N_2012!$B$60,$L111,SUMIF($B$9:$B$12,$B111,$M$9:$M$12)),"-"))</f>
        <v>-</v>
      </c>
      <c r="F111" s="369" t="str">
        <f t="shared" ca="1" si="12"/>
        <v>-</v>
      </c>
      <c r="G111" s="369" t="str">
        <f t="shared" ca="1" si="12"/>
        <v>-</v>
      </c>
      <c r="H111" s="369" t="str">
        <f t="shared" ca="1" si="12"/>
        <v>-</v>
      </c>
      <c r="I111" s="369">
        <f t="shared" ca="1" si="15"/>
        <v>1</v>
      </c>
      <c r="J111" s="369"/>
      <c r="K111" s="304">
        <f>IF(L110=COM_N_2012!$AK$121,K110+1,K110)</f>
        <v>2</v>
      </c>
      <c r="L111" s="304">
        <f t="shared" si="13"/>
        <v>37</v>
      </c>
    </row>
    <row r="112" spans="1:12">
      <c r="A112" s="304" t="str">
        <f ca="1">IF(LEFT(OFFSET(COM_N_2012!$A$60,L112,0),2)="\I","*","")</f>
        <v/>
      </c>
      <c r="B112" s="369" t="str">
        <f t="shared" ca="1" si="14"/>
        <v>PRC_CAPACT</v>
      </c>
      <c r="C112" s="369" t="str">
        <f ca="1">IF($A112="*","",OFFSET(COM_N_2012!$B$60,L112,0))</f>
        <v>CNWELC-N</v>
      </c>
      <c r="D112" s="369" t="str">
        <f ca="1">IF($A112="*","",IF(LEFT($B112,3)="TOP",OFFSET(COM_N_2012!$B$60,$L112,SUMIF($B$9:$B$12,$B112,$M$9:$M$12)),"-"))</f>
        <v>-</v>
      </c>
      <c r="E112" s="369" t="str">
        <f ca="1">IF($A112="*","",IF($B112="PRC_ACTUNT",OFFSET(COM_N_2012!$B$60,$L112,SUMIF($B$9:$B$12,$B112,$M$9:$M$12)),"-"))</f>
        <v>-</v>
      </c>
      <c r="F112" s="369" t="str">
        <f t="shared" ca="1" si="12"/>
        <v>-</v>
      </c>
      <c r="G112" s="369" t="str">
        <f t="shared" ca="1" si="12"/>
        <v>-</v>
      </c>
      <c r="H112" s="369" t="str">
        <f t="shared" ca="1" si="12"/>
        <v>-</v>
      </c>
      <c r="I112" s="369">
        <f t="shared" ca="1" si="15"/>
        <v>1</v>
      </c>
      <c r="J112" s="369"/>
      <c r="K112" s="304">
        <f>IF(L111=COM_N_2012!$AK$121,K111+1,K111)</f>
        <v>2</v>
      </c>
      <c r="L112" s="304">
        <f t="shared" si="13"/>
        <v>38</v>
      </c>
    </row>
    <row r="113" spans="1:12">
      <c r="A113" s="304" t="str">
        <f ca="1">IF(LEFT(OFFSET(COM_N_2012!$A$60,L113,0),2)="\I","*","")</f>
        <v/>
      </c>
      <c r="B113" s="369" t="str">
        <f t="shared" ca="1" si="14"/>
        <v>PRC_CAPACT</v>
      </c>
      <c r="C113" s="369" t="str">
        <f ca="1">IF($A113="*","",OFFSET(COM_N_2012!$B$60,L113,0))</f>
        <v>CNWELCHP-N</v>
      </c>
      <c r="D113" s="369" t="str">
        <f ca="1">IF($A113="*","",IF(LEFT($B113,3)="TOP",OFFSET(COM_N_2012!$B$60,$L113,SUMIF($B$9:$B$12,$B113,$M$9:$M$12)),"-"))</f>
        <v>-</v>
      </c>
      <c r="E113" s="369" t="str">
        <f ca="1">IF($A113="*","",IF($B113="PRC_ACTUNT",OFFSET(COM_N_2012!$B$60,$L113,SUMIF($B$9:$B$12,$B113,$M$9:$M$12)),"-"))</f>
        <v>-</v>
      </c>
      <c r="F113" s="369" t="str">
        <f t="shared" ca="1" si="12"/>
        <v>-</v>
      </c>
      <c r="G113" s="369" t="str">
        <f t="shared" ca="1" si="12"/>
        <v>-</v>
      </c>
      <c r="H113" s="369" t="str">
        <f t="shared" ca="1" si="12"/>
        <v>-</v>
      </c>
      <c r="I113" s="369">
        <f t="shared" ca="1" si="15"/>
        <v>1</v>
      </c>
      <c r="J113" s="369"/>
      <c r="K113" s="304">
        <f>IF(L112=COM_N_2012!$AK$121,K112+1,K112)</f>
        <v>2</v>
      </c>
      <c r="L113" s="304">
        <f t="shared" si="13"/>
        <v>39</v>
      </c>
    </row>
    <row r="114" spans="1:12">
      <c r="A114" s="304" t="str">
        <f ca="1">IF(LEFT(OFFSET(COM_N_2012!$A$60,L114,0),2)="\I","*","")</f>
        <v>*</v>
      </c>
      <c r="B114" s="369" t="str">
        <f t="shared" ca="1" si="14"/>
        <v/>
      </c>
      <c r="C114" s="369" t="str">
        <f ca="1">IF($A114="*","",OFFSET(COM_N_2012!$B$60,L114,0))</f>
        <v/>
      </c>
      <c r="D114" s="369" t="str">
        <f ca="1">IF($A114="*","",IF(LEFT($B114,3)="TOP",OFFSET(COM_N_2012!$B$60,$L114,SUMIF($B$9:$B$12,$B114,$M$9:$M$12)),"-"))</f>
        <v/>
      </c>
      <c r="E114" s="369" t="str">
        <f ca="1">IF($A114="*","",IF($B114="PRC_ACTUNT",OFFSET(COM_N_2012!$B$60,$L114,SUMIF($B$9:$B$12,$B114,$M$9:$M$12)),"-"))</f>
        <v/>
      </c>
      <c r="F114" s="369" t="str">
        <f t="shared" ref="F114:H133" ca="1" si="16">IF($A114="*","","-")</f>
        <v/>
      </c>
      <c r="G114" s="369" t="str">
        <f t="shared" ca="1" si="16"/>
        <v/>
      </c>
      <c r="H114" s="369" t="str">
        <f t="shared" ca="1" si="16"/>
        <v/>
      </c>
      <c r="I114" s="369" t="str">
        <f t="shared" ca="1" si="15"/>
        <v/>
      </c>
      <c r="J114" s="369"/>
      <c r="K114" s="304">
        <f>IF(L113=COM_N_2012!$AK$121,K113+1,K113)</f>
        <v>2</v>
      </c>
      <c r="L114" s="304">
        <f t="shared" si="13"/>
        <v>40</v>
      </c>
    </row>
    <row r="115" spans="1:12">
      <c r="A115" s="304" t="str">
        <f ca="1">IF(LEFT(OFFSET(COM_N_2012!$A$60,L115,0),2)="\I","*","")</f>
        <v>*</v>
      </c>
      <c r="B115" s="369" t="str">
        <f t="shared" ca="1" si="14"/>
        <v/>
      </c>
      <c r="C115" s="369" t="str">
        <f ca="1">IF($A115="*","",OFFSET(COM_N_2012!$B$60,L115,0))</f>
        <v/>
      </c>
      <c r="D115" s="369" t="str">
        <f ca="1">IF($A115="*","",IF(LEFT($B115,3)="TOP",OFFSET(COM_N_2012!$B$60,$L115,SUMIF($B$9:$B$12,$B115,$M$9:$M$12)),"-"))</f>
        <v/>
      </c>
      <c r="E115" s="369" t="str">
        <f ca="1">IF($A115="*","",IF($B115="PRC_ACTUNT",OFFSET(COM_N_2012!$B$60,$L115,SUMIF($B$9:$B$12,$B115,$M$9:$M$12)),"-"))</f>
        <v/>
      </c>
      <c r="F115" s="369" t="str">
        <f t="shared" ca="1" si="16"/>
        <v/>
      </c>
      <c r="G115" s="369" t="str">
        <f t="shared" ca="1" si="16"/>
        <v/>
      </c>
      <c r="H115" s="369" t="str">
        <f t="shared" ca="1" si="16"/>
        <v/>
      </c>
      <c r="I115" s="369" t="str">
        <f t="shared" ca="1" si="15"/>
        <v/>
      </c>
      <c r="J115" s="369"/>
      <c r="K115" s="304">
        <f>IF(L114=COM_N_2012!$AK$121,K114+1,K114)</f>
        <v>2</v>
      </c>
      <c r="L115" s="304">
        <f t="shared" si="13"/>
        <v>41</v>
      </c>
    </row>
    <row r="116" spans="1:12">
      <c r="A116" s="304" t="str">
        <f ca="1">IF(LEFT(OFFSET(COM_N_2012!$A$60,L116,0),2)="\I","*","")</f>
        <v/>
      </c>
      <c r="B116" s="369" t="str">
        <f t="shared" ca="1" si="14"/>
        <v>PRC_CAPACT</v>
      </c>
      <c r="C116" s="369" t="str">
        <f ca="1">IF($A116="*","",OFFSET(COM_N_2012!$B$60,L116,0))</f>
        <v>CNGELCINC-E</v>
      </c>
      <c r="D116" s="369" t="str">
        <f ca="1">IF($A116="*","",IF(LEFT($B116,3)="TOP",OFFSET(COM_N_2012!$B$60,$L116,SUMIF($B$9:$B$12,$B116,$M$9:$M$12)),"-"))</f>
        <v>-</v>
      </c>
      <c r="E116" s="369" t="str">
        <f ca="1">IF($A116="*","",IF($B116="PRC_ACTUNT",OFFSET(COM_N_2012!$B$60,$L116,SUMIF($B$9:$B$12,$B116,$M$9:$M$12)),"-"))</f>
        <v>-</v>
      </c>
      <c r="F116" s="369" t="str">
        <f t="shared" ca="1" si="16"/>
        <v>-</v>
      </c>
      <c r="G116" s="369" t="str">
        <f t="shared" ca="1" si="16"/>
        <v>-</v>
      </c>
      <c r="H116" s="369" t="str">
        <f t="shared" ca="1" si="16"/>
        <v>-</v>
      </c>
      <c r="I116" s="369">
        <f t="shared" ca="1" si="15"/>
        <v>1</v>
      </c>
      <c r="J116" s="369"/>
      <c r="K116" s="304">
        <f>IF(L115=COM_N_2012!$AK$121,K115+1,K115)</f>
        <v>2</v>
      </c>
      <c r="L116" s="304">
        <f t="shared" si="13"/>
        <v>42</v>
      </c>
    </row>
    <row r="117" spans="1:12">
      <c r="A117" s="304" t="str">
        <f ca="1">IF(LEFT(OFFSET(COM_N_2012!$A$60,L117,0),2)="\I","*","")</f>
        <v/>
      </c>
      <c r="B117" s="369" t="str">
        <f t="shared" ca="1" si="14"/>
        <v>PRC_CAPACT</v>
      </c>
      <c r="C117" s="369" t="str">
        <f ca="1">IF($A117="*","",OFFSET(COM_N_2012!$B$60,L117,0))</f>
        <v>CNGELCHAL-E</v>
      </c>
      <c r="D117" s="369" t="str">
        <f ca="1">IF($A117="*","",IF(LEFT($B117,3)="TOP",OFFSET(COM_N_2012!$B$60,$L117,SUMIF($B$9:$B$12,$B117,$M$9:$M$12)),"-"))</f>
        <v>-</v>
      </c>
      <c r="E117" s="369" t="str">
        <f ca="1">IF($A117="*","",IF($B117="PRC_ACTUNT",OFFSET(COM_N_2012!$B$60,$L117,SUMIF($B$9:$B$12,$B117,$M$9:$M$12)),"-"))</f>
        <v>-</v>
      </c>
      <c r="F117" s="369" t="str">
        <f t="shared" ca="1" si="16"/>
        <v>-</v>
      </c>
      <c r="G117" s="369" t="str">
        <f t="shared" ca="1" si="16"/>
        <v>-</v>
      </c>
      <c r="H117" s="369" t="str">
        <f t="shared" ca="1" si="16"/>
        <v>-</v>
      </c>
      <c r="I117" s="369">
        <f t="shared" ca="1" si="15"/>
        <v>1</v>
      </c>
      <c r="J117" s="369"/>
      <c r="K117" s="304">
        <f>IF(L116=COM_N_2012!$AK$121,K116+1,K116)</f>
        <v>2</v>
      </c>
      <c r="L117" s="304">
        <f t="shared" si="13"/>
        <v>43</v>
      </c>
    </row>
    <row r="118" spans="1:12">
      <c r="A118" s="304" t="str">
        <f ca="1">IF(LEFT(OFFSET(COM_N_2012!$A$60,L118,0),2)="\I","*","")</f>
        <v/>
      </c>
      <c r="B118" s="369" t="str">
        <f t="shared" ca="1" si="14"/>
        <v>PRC_CAPACT</v>
      </c>
      <c r="C118" s="369" t="str">
        <f ca="1">IF($A118="*","",OFFSET(COM_N_2012!$B$60,L118,0))</f>
        <v>CNGELCHPM-E</v>
      </c>
      <c r="D118" s="369" t="str">
        <f ca="1">IF($A118="*","",IF(LEFT($B118,3)="TOP",OFFSET(COM_N_2012!$B$60,$L118,SUMIF($B$9:$B$12,$B118,$M$9:$M$12)),"-"))</f>
        <v>-</v>
      </c>
      <c r="E118" s="369" t="str">
        <f ca="1">IF($A118="*","",IF($B118="PRC_ACTUNT",OFFSET(COM_N_2012!$B$60,$L118,SUMIF($B$9:$B$12,$B118,$M$9:$M$12)),"-"))</f>
        <v>-</v>
      </c>
      <c r="F118" s="369" t="str">
        <f t="shared" ca="1" si="16"/>
        <v>-</v>
      </c>
      <c r="G118" s="369" t="str">
        <f t="shared" ca="1" si="16"/>
        <v>-</v>
      </c>
      <c r="H118" s="369" t="str">
        <f t="shared" ca="1" si="16"/>
        <v>-</v>
      </c>
      <c r="I118" s="369">
        <f t="shared" ca="1" si="15"/>
        <v>1</v>
      </c>
      <c r="J118" s="369"/>
      <c r="K118" s="304">
        <f>IF(L117=COM_N_2012!$AK$121,K117+1,K117)</f>
        <v>2</v>
      </c>
      <c r="L118" s="304">
        <f t="shared" si="13"/>
        <v>44</v>
      </c>
    </row>
    <row r="119" spans="1:12">
      <c r="A119" s="304" t="str">
        <f ca="1">IF(LEFT(OFFSET(COM_N_2012!$A$60,L119,0),2)="\I","*","")</f>
        <v/>
      </c>
      <c r="B119" s="369" t="str">
        <f t="shared" ca="1" si="14"/>
        <v>PRC_CAPACT</v>
      </c>
      <c r="C119" s="369" t="str">
        <f ca="1">IF($A119="*","",OFFSET(COM_N_2012!$B$60,L119,0))</f>
        <v>CNGELCHPS-E</v>
      </c>
      <c r="D119" s="369" t="str">
        <f ca="1">IF($A119="*","",IF(LEFT($B119,3)="TOP",OFFSET(COM_N_2012!$B$60,$L119,SUMIF($B$9:$B$12,$B119,$M$9:$M$12)),"-"))</f>
        <v>-</v>
      </c>
      <c r="E119" s="369" t="str">
        <f ca="1">IF($A119="*","",IF($B119="PRC_ACTUNT",OFFSET(COM_N_2012!$B$60,$L119,SUMIF($B$9:$B$12,$B119,$M$9:$M$12)),"-"))</f>
        <v>-</v>
      </c>
      <c r="F119" s="369" t="str">
        <f t="shared" ca="1" si="16"/>
        <v>-</v>
      </c>
      <c r="G119" s="369" t="str">
        <f t="shared" ca="1" si="16"/>
        <v>-</v>
      </c>
      <c r="H119" s="369" t="str">
        <f t="shared" ca="1" si="16"/>
        <v>-</v>
      </c>
      <c r="I119" s="369">
        <f t="shared" ca="1" si="15"/>
        <v>1</v>
      </c>
      <c r="J119" s="369"/>
      <c r="K119" s="304">
        <f>IF(L118=COM_N_2012!$AK$121,K118+1,K118)</f>
        <v>2</v>
      </c>
      <c r="L119" s="304">
        <f t="shared" si="13"/>
        <v>45</v>
      </c>
    </row>
    <row r="120" spans="1:12">
      <c r="A120" s="304" t="str">
        <f ca="1">IF(LEFT(OFFSET(COM_N_2012!$A$60,L120,0),2)="\I","*","")</f>
        <v/>
      </c>
      <c r="B120" s="369" t="str">
        <f t="shared" ca="1" si="14"/>
        <v>PRC_CAPACT</v>
      </c>
      <c r="C120" s="369" t="str">
        <f ca="1">IF($A120="*","",OFFSET(COM_N_2012!$B$60,L120,0))</f>
        <v>CNGELCMHL-E</v>
      </c>
      <c r="D120" s="369" t="str">
        <f ca="1">IF($A120="*","",IF(LEFT($B120,3)="TOP",OFFSET(COM_N_2012!$B$60,$L120,SUMIF($B$9:$B$12,$B120,$M$9:$M$12)),"-"))</f>
        <v>-</v>
      </c>
      <c r="E120" s="369" t="str">
        <f ca="1">IF($A120="*","",IF($B120="PRC_ACTUNT",OFFSET(COM_N_2012!$B$60,$L120,SUMIF($B$9:$B$12,$B120,$M$9:$M$12)),"-"))</f>
        <v>-</v>
      </c>
      <c r="F120" s="369" t="str">
        <f t="shared" ca="1" si="16"/>
        <v>-</v>
      </c>
      <c r="G120" s="369" t="str">
        <f t="shared" ca="1" si="16"/>
        <v>-</v>
      </c>
      <c r="H120" s="369" t="str">
        <f t="shared" ca="1" si="16"/>
        <v>-</v>
      </c>
      <c r="I120" s="369">
        <f t="shared" ca="1" si="15"/>
        <v>1</v>
      </c>
      <c r="J120" s="369"/>
      <c r="K120" s="304">
        <f>IF(L119=COM_N_2012!$AK$121,K119+1,K119)</f>
        <v>2</v>
      </c>
      <c r="L120" s="304">
        <f t="shared" si="13"/>
        <v>46</v>
      </c>
    </row>
    <row r="121" spans="1:12">
      <c r="A121" s="304" t="str">
        <f ca="1">IF(LEFT(OFFSET(COM_N_2012!$A$60,L121,0),2)="\I","*","")</f>
        <v/>
      </c>
      <c r="B121" s="369" t="str">
        <f t="shared" ca="1" si="14"/>
        <v>PRC_CAPACT</v>
      </c>
      <c r="C121" s="369" t="str">
        <f ca="1">IF($A121="*","",OFFSET(COM_N_2012!$B$60,L121,0))</f>
        <v>CNGELCLED-N</v>
      </c>
      <c r="D121" s="369" t="str">
        <f ca="1">IF($A121="*","",IF(LEFT($B121,3)="TOP",OFFSET(COM_N_2012!$B$60,$L121,SUMIF($B$9:$B$12,$B121,$M$9:$M$12)),"-"))</f>
        <v>-</v>
      </c>
      <c r="E121" s="369" t="str">
        <f ca="1">IF($A121="*","",IF($B121="PRC_ACTUNT",OFFSET(COM_N_2012!$B$60,$L121,SUMIF($B$9:$B$12,$B121,$M$9:$M$12)),"-"))</f>
        <v>-</v>
      </c>
      <c r="F121" s="369" t="str">
        <f t="shared" ca="1" si="16"/>
        <v>-</v>
      </c>
      <c r="G121" s="369" t="str">
        <f t="shared" ca="1" si="16"/>
        <v>-</v>
      </c>
      <c r="H121" s="369" t="str">
        <f t="shared" ca="1" si="16"/>
        <v>-</v>
      </c>
      <c r="I121" s="369">
        <f t="shared" ca="1" si="15"/>
        <v>1</v>
      </c>
      <c r="J121" s="369"/>
      <c r="K121" s="304">
        <f>IF(L120=COM_N_2012!$AK$121,K120+1,K120)</f>
        <v>2</v>
      </c>
      <c r="L121" s="304">
        <f t="shared" si="13"/>
        <v>47</v>
      </c>
    </row>
    <row r="122" spans="1:12">
      <c r="A122" s="304" t="str">
        <f ca="1">IF(LEFT(OFFSET(COM_N_2012!$A$60,L122,0),2)="\I","*","")</f>
        <v>*</v>
      </c>
      <c r="B122" s="369" t="str">
        <f t="shared" ca="1" si="14"/>
        <v/>
      </c>
      <c r="C122" s="369" t="str">
        <f ca="1">IF($A122="*","",OFFSET(COM_N_2012!$B$60,L122,0))</f>
        <v/>
      </c>
      <c r="D122" s="369" t="str">
        <f ca="1">IF($A122="*","",IF(LEFT($B122,3)="TOP",OFFSET(COM_N_2012!$B$60,$L122,SUMIF($B$9:$B$12,$B122,$M$9:$M$12)),"-"))</f>
        <v/>
      </c>
      <c r="E122" s="369" t="str">
        <f ca="1">IF($A122="*","",IF($B122="PRC_ACTUNT",OFFSET(COM_N_2012!$B$60,$L122,SUMIF($B$9:$B$12,$B122,$M$9:$M$12)),"-"))</f>
        <v/>
      </c>
      <c r="F122" s="369" t="str">
        <f t="shared" ca="1" si="16"/>
        <v/>
      </c>
      <c r="G122" s="369" t="str">
        <f t="shared" ca="1" si="16"/>
        <v/>
      </c>
      <c r="H122" s="369" t="str">
        <f t="shared" ca="1" si="16"/>
        <v/>
      </c>
      <c r="I122" s="369" t="str">
        <f t="shared" ca="1" si="15"/>
        <v/>
      </c>
      <c r="J122" s="369"/>
      <c r="K122" s="304">
        <f>IF(L121=COM_N_2012!$AK$121,K121+1,K121)</f>
        <v>2</v>
      </c>
      <c r="L122" s="304">
        <f t="shared" si="13"/>
        <v>48</v>
      </c>
    </row>
    <row r="123" spans="1:12">
      <c r="A123" s="304" t="str">
        <f ca="1">IF(LEFT(OFFSET(COM_N_2012!$A$60,L123,0),2)="\I","*","")</f>
        <v>*</v>
      </c>
      <c r="B123" s="369" t="str">
        <f t="shared" ca="1" si="14"/>
        <v/>
      </c>
      <c r="C123" s="369" t="str">
        <f ca="1">IF($A123="*","",OFFSET(COM_N_2012!$B$60,L123,0))</f>
        <v/>
      </c>
      <c r="D123" s="369" t="str">
        <f ca="1">IF($A123="*","",IF(LEFT($B123,3)="TOP",OFFSET(COM_N_2012!$B$60,$L123,SUMIF($B$9:$B$12,$B123,$M$9:$M$12)),"-"))</f>
        <v/>
      </c>
      <c r="E123" s="369" t="str">
        <f ca="1">IF($A123="*","",IF($B123="PRC_ACTUNT",OFFSET(COM_N_2012!$B$60,$L123,SUMIF($B$9:$B$12,$B123,$M$9:$M$12)),"-"))</f>
        <v/>
      </c>
      <c r="F123" s="369" t="str">
        <f t="shared" ca="1" si="16"/>
        <v/>
      </c>
      <c r="G123" s="369" t="str">
        <f t="shared" ca="1" si="16"/>
        <v/>
      </c>
      <c r="H123" s="369" t="str">
        <f t="shared" ca="1" si="16"/>
        <v/>
      </c>
      <c r="I123" s="369" t="str">
        <f t="shared" ca="1" si="15"/>
        <v/>
      </c>
      <c r="J123" s="369"/>
      <c r="K123" s="304">
        <f>IF(L122=COM_N_2012!$AK$121,K122+1,K122)</f>
        <v>2</v>
      </c>
      <c r="L123" s="304">
        <f t="shared" si="13"/>
        <v>49</v>
      </c>
    </row>
    <row r="124" spans="1:12">
      <c r="A124" s="304" t="str">
        <f ca="1">IF(LEFT(OFFSET(COM_N_2012!$A$60,L124,0),2)="\I","*","")</f>
        <v/>
      </c>
      <c r="B124" s="369" t="str">
        <f t="shared" ca="1" si="14"/>
        <v>PRC_CAPACT</v>
      </c>
      <c r="C124" s="369" t="str">
        <f ca="1">IF($A124="*","",OFFSET(COM_N_2012!$B$60,L124,0))</f>
        <v>CNTELC-E</v>
      </c>
      <c r="D124" s="369" t="str">
        <f ca="1">IF($A124="*","",IF(LEFT($B124,3)="TOP",OFFSET(COM_N_2012!$B$60,$L124,SUMIF($B$9:$B$12,$B124,$M$9:$M$12)),"-"))</f>
        <v>-</v>
      </c>
      <c r="E124" s="369" t="str">
        <f ca="1">IF($A124="*","",IF($B124="PRC_ACTUNT",OFFSET(COM_N_2012!$B$60,$L124,SUMIF($B$9:$B$12,$B124,$M$9:$M$12)),"-"))</f>
        <v>-</v>
      </c>
      <c r="F124" s="369" t="str">
        <f t="shared" ca="1" si="16"/>
        <v>-</v>
      </c>
      <c r="G124" s="369" t="str">
        <f t="shared" ca="1" si="16"/>
        <v>-</v>
      </c>
      <c r="H124" s="369" t="str">
        <f t="shared" ca="1" si="16"/>
        <v>-</v>
      </c>
      <c r="I124" s="369">
        <f t="shared" ca="1" si="15"/>
        <v>1</v>
      </c>
      <c r="J124" s="369"/>
      <c r="K124" s="304">
        <f>IF(L123=COM_N_2012!$AK$121,K123+1,K123)</f>
        <v>2</v>
      </c>
      <c r="L124" s="304">
        <f t="shared" si="13"/>
        <v>50</v>
      </c>
    </row>
    <row r="125" spans="1:12">
      <c r="A125" s="304" t="str">
        <f ca="1">IF(LEFT(OFFSET(COM_N_2012!$A$60,L125,0),2)="\I","*","")</f>
        <v>*</v>
      </c>
      <c r="B125" s="369" t="str">
        <f t="shared" ca="1" si="14"/>
        <v/>
      </c>
      <c r="C125" s="369" t="str">
        <f ca="1">IF($A125="*","",OFFSET(COM_N_2012!$B$60,L125,0))</f>
        <v/>
      </c>
      <c r="D125" s="369" t="str">
        <f ca="1">IF($A125="*","",IF(LEFT($B125,3)="TOP",OFFSET(COM_N_2012!$B$60,$L125,SUMIF($B$9:$B$12,$B125,$M$9:$M$12)),"-"))</f>
        <v/>
      </c>
      <c r="E125" s="369" t="str">
        <f ca="1">IF($A125="*","",IF($B125="PRC_ACTUNT",OFFSET(COM_N_2012!$B$60,$L125,SUMIF($B$9:$B$12,$B125,$M$9:$M$12)),"-"))</f>
        <v/>
      </c>
      <c r="F125" s="369" t="str">
        <f t="shared" ca="1" si="16"/>
        <v/>
      </c>
      <c r="G125" s="369" t="str">
        <f t="shared" ca="1" si="16"/>
        <v/>
      </c>
      <c r="H125" s="369" t="str">
        <f t="shared" ca="1" si="16"/>
        <v/>
      </c>
      <c r="I125" s="369" t="str">
        <f t="shared" ca="1" si="15"/>
        <v/>
      </c>
      <c r="J125" s="369"/>
      <c r="K125" s="304">
        <f>IF(L124=COM_N_2012!$AK$121,K124+1,K124)</f>
        <v>2</v>
      </c>
      <c r="L125" s="304">
        <f t="shared" si="13"/>
        <v>51</v>
      </c>
    </row>
    <row r="126" spans="1:12">
      <c r="A126" s="304" t="str">
        <f ca="1">IF(LEFT(OFFSET(COM_N_2012!$A$60,L126,0),2)="\I","*","")</f>
        <v>*</v>
      </c>
      <c r="B126" s="369" t="str">
        <f t="shared" ca="1" si="14"/>
        <v/>
      </c>
      <c r="C126" s="369" t="str">
        <f ca="1">IF($A126="*","",OFFSET(COM_N_2012!$B$60,L126,0))</f>
        <v/>
      </c>
      <c r="D126" s="369" t="str">
        <f ca="1">IF($A126="*","",IF(LEFT($B126,3)="TOP",OFFSET(COM_N_2012!$B$60,$L126,SUMIF($B$9:$B$12,$B126,$M$9:$M$12)),"-"))</f>
        <v/>
      </c>
      <c r="E126" s="369" t="str">
        <f ca="1">IF($A126="*","",IF($B126="PRC_ACTUNT",OFFSET(COM_N_2012!$B$60,$L126,SUMIF($B$9:$B$12,$B126,$M$9:$M$12)),"-"))</f>
        <v/>
      </c>
      <c r="F126" s="369" t="str">
        <f t="shared" ca="1" si="16"/>
        <v/>
      </c>
      <c r="G126" s="369" t="str">
        <f t="shared" ca="1" si="16"/>
        <v/>
      </c>
      <c r="H126" s="369" t="str">
        <f t="shared" ca="1" si="16"/>
        <v/>
      </c>
      <c r="I126" s="369" t="str">
        <f t="shared" ca="1" si="15"/>
        <v/>
      </c>
      <c r="J126" s="369"/>
      <c r="K126" s="304">
        <f>IF(L125=COM_N_2012!$AK$121,K125+1,K125)</f>
        <v>2</v>
      </c>
      <c r="L126" s="304">
        <f t="shared" si="13"/>
        <v>52</v>
      </c>
    </row>
    <row r="127" spans="1:12">
      <c r="A127" s="304" t="str">
        <f ca="1">IF(LEFT(OFFSET(COM_N_2012!$A$60,L127,0),2)="\I","*","")</f>
        <v/>
      </c>
      <c r="B127" s="369" t="str">
        <f t="shared" ca="1" si="14"/>
        <v>PRC_CAPACT</v>
      </c>
      <c r="C127" s="369" t="str">
        <f ca="1">IF($A127="*","",OFFSET(COM_N_2012!$B$60,L127,0))</f>
        <v>CNOCOA-E</v>
      </c>
      <c r="D127" s="369" t="str">
        <f ca="1">IF($A127="*","",IF(LEFT($B127,3)="TOP",OFFSET(COM_N_2012!$B$60,$L127,SUMIF($B$9:$B$12,$B127,$M$9:$M$12)),"-"))</f>
        <v>-</v>
      </c>
      <c r="E127" s="369" t="str">
        <f ca="1">IF($A127="*","",IF($B127="PRC_ACTUNT",OFFSET(COM_N_2012!$B$60,$L127,SUMIF($B$9:$B$12,$B127,$M$9:$M$12)),"-"))</f>
        <v>-</v>
      </c>
      <c r="F127" s="369" t="str">
        <f t="shared" ca="1" si="16"/>
        <v>-</v>
      </c>
      <c r="G127" s="369" t="str">
        <f t="shared" ca="1" si="16"/>
        <v>-</v>
      </c>
      <c r="H127" s="369" t="str">
        <f t="shared" ca="1" si="16"/>
        <v>-</v>
      </c>
      <c r="I127" s="369">
        <f t="shared" ca="1" si="15"/>
        <v>1</v>
      </c>
      <c r="J127" s="369"/>
      <c r="K127" s="304">
        <f>IF(L126=COM_N_2012!$AK$121,K126+1,K126)</f>
        <v>2</v>
      </c>
      <c r="L127" s="304">
        <f t="shared" si="13"/>
        <v>53</v>
      </c>
    </row>
    <row r="128" spans="1:12">
      <c r="A128" s="304" t="str">
        <f ca="1">IF(LEFT(OFFSET(COM_N_2012!$A$60,L128,0),2)="\I","*","")</f>
        <v/>
      </c>
      <c r="B128" s="369" t="str">
        <f t="shared" ca="1" si="14"/>
        <v>PRC_CAPACT</v>
      </c>
      <c r="C128" s="369" t="str">
        <f ca="1">IF($A128="*","",OFFSET(COM_N_2012!$B$60,L128,0))</f>
        <v>CNOODS-E</v>
      </c>
      <c r="D128" s="369" t="str">
        <f ca="1">IF($A128="*","",IF(LEFT($B128,3)="TOP",OFFSET(COM_N_2012!$B$60,$L128,SUMIF($B$9:$B$12,$B128,$M$9:$M$12)),"-"))</f>
        <v>-</v>
      </c>
      <c r="E128" s="369" t="str">
        <f ca="1">IF($A128="*","",IF($B128="PRC_ACTUNT",OFFSET(COM_N_2012!$B$60,$L128,SUMIF($B$9:$B$12,$B128,$M$9:$M$12)),"-"))</f>
        <v>-</v>
      </c>
      <c r="F128" s="369" t="str">
        <f t="shared" ca="1" si="16"/>
        <v>-</v>
      </c>
      <c r="G128" s="369" t="str">
        <f t="shared" ca="1" si="16"/>
        <v>-</v>
      </c>
      <c r="H128" s="369" t="str">
        <f t="shared" ca="1" si="16"/>
        <v>-</v>
      </c>
      <c r="I128" s="369">
        <f t="shared" ca="1" si="15"/>
        <v>1</v>
      </c>
      <c r="J128" s="369"/>
      <c r="K128" s="304">
        <f>IF(L127=COM_N_2012!$AK$121,K127+1,K127)</f>
        <v>2</v>
      </c>
      <c r="L128" s="304">
        <f t="shared" si="13"/>
        <v>54</v>
      </c>
    </row>
    <row r="129" spans="1:12">
      <c r="A129" s="304" t="str">
        <f ca="1">IF(LEFT(OFFSET(COM_N_2012!$A$60,L129,0),2)="\I","*","")</f>
        <v/>
      </c>
      <c r="B129" s="369" t="str">
        <f t="shared" ca="1" si="14"/>
        <v>PRC_CAPACT</v>
      </c>
      <c r="C129" s="369" t="str">
        <f ca="1">IF($A129="*","",OFFSET(COM_N_2012!$B$60,L129,0))</f>
        <v>CNOELC-E</v>
      </c>
      <c r="D129" s="369" t="str">
        <f ca="1">IF($A129="*","",IF(LEFT($B129,3)="TOP",OFFSET(COM_N_2012!$B$60,$L129,SUMIF($B$9:$B$12,$B129,$M$9:$M$12)),"-"))</f>
        <v>-</v>
      </c>
      <c r="E129" s="369" t="str">
        <f ca="1">IF($A129="*","",IF($B129="PRC_ACTUNT",OFFSET(COM_N_2012!$B$60,$L129,SUMIF($B$9:$B$12,$B129,$M$9:$M$12)),"-"))</f>
        <v>-</v>
      </c>
      <c r="F129" s="369" t="str">
        <f t="shared" ca="1" si="16"/>
        <v>-</v>
      </c>
      <c r="G129" s="369" t="str">
        <f t="shared" ca="1" si="16"/>
        <v>-</v>
      </c>
      <c r="H129" s="369" t="str">
        <f t="shared" ca="1" si="16"/>
        <v>-</v>
      </c>
      <c r="I129" s="369">
        <f t="shared" ca="1" si="15"/>
        <v>1</v>
      </c>
      <c r="J129" s="369"/>
      <c r="K129" s="304">
        <f>IF(L128=COM_N_2012!$AK$121,K128+1,K128)</f>
        <v>2</v>
      </c>
      <c r="L129" s="304">
        <f t="shared" si="13"/>
        <v>55</v>
      </c>
    </row>
    <row r="130" spans="1:12">
      <c r="A130" s="304" t="str">
        <f ca="1">IF(LEFT(OFFSET(COM_N_2012!$A$60,L130,0),2)="\I","*","")</f>
        <v/>
      </c>
      <c r="B130" s="369" t="str">
        <f t="shared" ca="1" si="14"/>
        <v>PRC_CAPACT</v>
      </c>
      <c r="C130" s="369" t="str">
        <f ca="1">IF($A130="*","",OFFSET(COM_N_2012!$B$60,L130,0))</f>
        <v>CNOGAS-E</v>
      </c>
      <c r="D130" s="369" t="str">
        <f ca="1">IF($A130="*","",IF(LEFT($B130,3)="TOP",OFFSET(COM_N_2012!$B$60,$L130,SUMIF($B$9:$B$12,$B130,$M$9:$M$12)),"-"))</f>
        <v>-</v>
      </c>
      <c r="E130" s="369" t="str">
        <f ca="1">IF($A130="*","",IF($B130="PRC_ACTUNT",OFFSET(COM_N_2012!$B$60,$L130,SUMIF($B$9:$B$12,$B130,$M$9:$M$12)),"-"))</f>
        <v>-</v>
      </c>
      <c r="F130" s="369" t="str">
        <f t="shared" ca="1" si="16"/>
        <v>-</v>
      </c>
      <c r="G130" s="369" t="str">
        <f t="shared" ca="1" si="16"/>
        <v>-</v>
      </c>
      <c r="H130" s="369" t="str">
        <f t="shared" ca="1" si="16"/>
        <v>-</v>
      </c>
      <c r="I130" s="369">
        <f t="shared" ca="1" si="15"/>
        <v>1</v>
      </c>
      <c r="J130" s="369"/>
      <c r="K130" s="304">
        <f>IF(L129=COM_N_2012!$AK$121,K129+1,K129)</f>
        <v>2</v>
      </c>
      <c r="L130" s="304">
        <f t="shared" si="13"/>
        <v>56</v>
      </c>
    </row>
    <row r="131" spans="1:12">
      <c r="A131" s="304" t="str">
        <f ca="1">IF(LEFT(OFFSET(COM_N_2012!$A$60,L131,0),2)="\I","*","")</f>
        <v/>
      </c>
      <c r="B131" s="369" t="str">
        <f t="shared" ca="1" si="14"/>
        <v>PRC_CAPACT</v>
      </c>
      <c r="C131" s="369" t="str">
        <f ca="1">IF($A131="*","",OFFSET(COM_N_2012!$B$60,L131,0))</f>
        <v>CNOOGS-E</v>
      </c>
      <c r="D131" s="369" t="str">
        <f ca="1">IF($A131="*","",IF(LEFT($B131,3)="TOP",OFFSET(COM_N_2012!$B$60,$L131,SUMIF($B$9:$B$12,$B131,$M$9:$M$12)),"-"))</f>
        <v>-</v>
      </c>
      <c r="E131" s="369" t="str">
        <f ca="1">IF($A131="*","",IF($B131="PRC_ACTUNT",OFFSET(COM_N_2012!$B$60,$L131,SUMIF($B$9:$B$12,$B131,$M$9:$M$12)),"-"))</f>
        <v>-</v>
      </c>
      <c r="F131" s="369" t="str">
        <f t="shared" ca="1" si="16"/>
        <v>-</v>
      </c>
      <c r="G131" s="369" t="str">
        <f t="shared" ca="1" si="16"/>
        <v>-</v>
      </c>
      <c r="H131" s="369" t="str">
        <f t="shared" ca="1" si="16"/>
        <v>-</v>
      </c>
      <c r="I131" s="369">
        <f t="shared" ca="1" si="15"/>
        <v>1</v>
      </c>
      <c r="J131" s="369"/>
      <c r="K131" s="304">
        <f>IF(L130=COM_N_2012!$AK$121,K130+1,K130)</f>
        <v>2</v>
      </c>
      <c r="L131" s="304">
        <f t="shared" si="13"/>
        <v>57</v>
      </c>
    </row>
    <row r="132" spans="1:12">
      <c r="A132" s="304" t="str">
        <f ca="1">IF(LEFT(OFFSET(COM_N_2012!$A$60,L132,0),2)="\I","*","")</f>
        <v/>
      </c>
      <c r="B132" s="369" t="str">
        <f t="shared" ca="1" si="14"/>
        <v>PRC_CAPACT</v>
      </c>
      <c r="C132" s="369" t="str">
        <f ca="1">IF($A132="*","",OFFSET(COM_N_2012!$B$60,L132,0))</f>
        <v>CNOOHF-E</v>
      </c>
      <c r="D132" s="369" t="str">
        <f ca="1">IF($A132="*","",IF(LEFT($B132,3)="TOP",OFFSET(COM_N_2012!$B$60,$L132,SUMIF($B$9:$B$12,$B132,$M$9:$M$12)),"-"))</f>
        <v>-</v>
      </c>
      <c r="E132" s="369" t="str">
        <f ca="1">IF($A132="*","",IF($B132="PRC_ACTUNT",OFFSET(COM_N_2012!$B$60,$L132,SUMIF($B$9:$B$12,$B132,$M$9:$M$12)),"-"))</f>
        <v>-</v>
      </c>
      <c r="F132" s="369" t="str">
        <f t="shared" ca="1" si="16"/>
        <v>-</v>
      </c>
      <c r="G132" s="369" t="str">
        <f t="shared" ca="1" si="16"/>
        <v>-</v>
      </c>
      <c r="H132" s="369" t="str">
        <f t="shared" ca="1" si="16"/>
        <v>-</v>
      </c>
      <c r="I132" s="369">
        <f t="shared" ca="1" si="15"/>
        <v>1</v>
      </c>
      <c r="J132" s="369"/>
      <c r="K132" s="304">
        <f>IF(L131=COM_N_2012!$AK$121,K131+1,K131)</f>
        <v>2</v>
      </c>
      <c r="L132" s="304">
        <f t="shared" si="13"/>
        <v>58</v>
      </c>
    </row>
    <row r="133" spans="1:12">
      <c r="A133" s="304" t="str">
        <f ca="1">IF(LEFT(OFFSET(COM_N_2012!$A$60,L133,0),2)="\I","*","")</f>
        <v/>
      </c>
      <c r="B133" s="369" t="str">
        <f t="shared" ca="1" si="14"/>
        <v>PRC_CAPACT</v>
      </c>
      <c r="C133" s="369" t="str">
        <f ca="1">IF($A133="*","",OFFSET(COM_N_2012!$B$60,L133,0))</f>
        <v>CNOOKE-E</v>
      </c>
      <c r="D133" s="369" t="str">
        <f ca="1">IF($A133="*","",IF(LEFT($B133,3)="TOP",OFFSET(COM_N_2012!$B$60,$L133,SUMIF($B$9:$B$12,$B133,$M$9:$M$12)),"-"))</f>
        <v>-</v>
      </c>
      <c r="E133" s="369" t="str">
        <f ca="1">IF($A133="*","",IF($B133="PRC_ACTUNT",OFFSET(COM_N_2012!$B$60,$L133,SUMIF($B$9:$B$12,$B133,$M$9:$M$12)),"-"))</f>
        <v>-</v>
      </c>
      <c r="F133" s="369" t="str">
        <f t="shared" ca="1" si="16"/>
        <v>-</v>
      </c>
      <c r="G133" s="369" t="str">
        <f t="shared" ca="1" si="16"/>
        <v>-</v>
      </c>
      <c r="H133" s="369" t="str">
        <f t="shared" ca="1" si="16"/>
        <v>-</v>
      </c>
      <c r="I133" s="369">
        <f t="shared" ca="1" si="15"/>
        <v>1</v>
      </c>
      <c r="J133" s="369"/>
      <c r="K133" s="304">
        <f>IF(L132=COM_N_2012!$AK$121,K132+1,K132)</f>
        <v>2</v>
      </c>
      <c r="L133" s="304">
        <f t="shared" si="13"/>
        <v>59</v>
      </c>
    </row>
    <row r="134" spans="1:12">
      <c r="A134" s="304" t="str">
        <f ca="1">IF(LEFT(OFFSET(COM_N_2012!$A$60,L134,0),2)="\I","*","")</f>
        <v>*</v>
      </c>
      <c r="B134" s="369" t="str">
        <f t="shared" ca="1" si="14"/>
        <v/>
      </c>
      <c r="C134" s="369" t="str">
        <f ca="1">IF($A134="*","",OFFSET(COM_N_2012!$B$60,L134,0))</f>
        <v/>
      </c>
      <c r="D134" s="369" t="str">
        <f ca="1">IF($A134="*","",IF(LEFT($B134,3)="TOP",OFFSET(COM_N_2012!$B$60,$L134,SUMIF($B$9:$B$12,$B134,$M$9:$M$12)),"-"))</f>
        <v/>
      </c>
      <c r="E134" s="369" t="str">
        <f ca="1">IF($A134="*","",IF($B134="PRC_ACTUNT",OFFSET(COM_N_2012!$B$60,$L134,SUMIF($B$9:$B$12,$B134,$M$9:$M$12)),"-"))</f>
        <v/>
      </c>
      <c r="F134" s="369" t="str">
        <f t="shared" ref="F134:H153" ca="1" si="17">IF($A134="*","","-")</f>
        <v/>
      </c>
      <c r="G134" s="369" t="str">
        <f t="shared" ca="1" si="17"/>
        <v/>
      </c>
      <c r="H134" s="369" t="str">
        <f t="shared" ca="1" si="17"/>
        <v/>
      </c>
      <c r="I134" s="369" t="str">
        <f t="shared" ca="1" si="15"/>
        <v/>
      </c>
      <c r="J134" s="369"/>
      <c r="K134" s="304">
        <f>IF(L133=COM_N_2012!$AK$121,K133+1,K133)</f>
        <v>2</v>
      </c>
      <c r="L134" s="304">
        <f t="shared" si="13"/>
        <v>60</v>
      </c>
    </row>
    <row r="135" spans="1:12">
      <c r="A135" s="304" t="str">
        <f ca="1">IF(LEFT(OFFSET(COM_N_2012!$A$60,L135,0),2)="\I","*","")</f>
        <v>*</v>
      </c>
      <c r="B135" s="369" t="str">
        <f t="shared" ca="1" si="14"/>
        <v/>
      </c>
      <c r="C135" s="369" t="str">
        <f ca="1">IF($A135="*","",OFFSET(COM_N_2012!$B$60,L135,0))</f>
        <v/>
      </c>
      <c r="D135" s="369" t="str">
        <f ca="1">IF($A135="*","",IF(LEFT($B135,3)="TOP",OFFSET(COM_N_2012!$B$60,$L135,SUMIF($B$9:$B$12,$B135,$M$9:$M$12)),"-"))</f>
        <v/>
      </c>
      <c r="E135" s="369" t="str">
        <f ca="1">IF($A135="*","",IF($B135="PRC_ACTUNT",OFFSET(COM_N_2012!$B$60,$L135,SUMIF($B$9:$B$12,$B135,$M$9:$M$12)),"-"))</f>
        <v/>
      </c>
      <c r="F135" s="369" t="str">
        <f t="shared" ca="1" si="17"/>
        <v/>
      </c>
      <c r="G135" s="369" t="str">
        <f t="shared" ca="1" si="17"/>
        <v/>
      </c>
      <c r="H135" s="369" t="str">
        <f t="shared" ca="1" si="17"/>
        <v/>
      </c>
      <c r="I135" s="369" t="str">
        <f t="shared" ca="1" si="15"/>
        <v/>
      </c>
      <c r="J135" s="369"/>
      <c r="K135" s="304">
        <f>IF(L134=COM_N_2012!$AK$121,K134+1,K134)</f>
        <v>2</v>
      </c>
      <c r="L135" s="304">
        <f t="shared" si="13"/>
        <v>61</v>
      </c>
    </row>
    <row r="136" spans="1:12">
      <c r="A136" s="304" t="str">
        <f ca="1">IF(LEFT(OFFSET(COM_N_2012!$A$60,L136,0),2)="\I","*","")</f>
        <v/>
      </c>
      <c r="B136" s="369" t="str">
        <f t="shared" ca="1" si="14"/>
        <v>TOP-OUT</v>
      </c>
      <c r="C136" s="369" t="str">
        <f ca="1">IF($A136="*","",OFFSET(COM_N_2012!$B$60,L136,0))</f>
        <v>CNCELCCHIL-E</v>
      </c>
      <c r="D136" s="369" t="str">
        <f ca="1">IF($A136="*","",IF(LEFT($B136,3)="TOP",OFFSET(COM_N_2012!$B$60,$L136,SUMIF($B$9:$B$12,$B136,$M$9:$M$12)),"-"))</f>
        <v>CNC</v>
      </c>
      <c r="E136" s="369" t="str">
        <f ca="1">IF($A136="*","",IF($B136="PRC_ACTUNT",OFFSET(COM_N_2012!$B$60,$L136,SUMIF($B$9:$B$12,$B136,$M$9:$M$12)),"-"))</f>
        <v>-</v>
      </c>
      <c r="F136" s="369" t="str">
        <f t="shared" ca="1" si="17"/>
        <v>-</v>
      </c>
      <c r="G136" s="369" t="str">
        <f t="shared" ca="1" si="17"/>
        <v>-</v>
      </c>
      <c r="H136" s="369" t="str">
        <f t="shared" ca="1" si="17"/>
        <v>-</v>
      </c>
      <c r="I136" s="369">
        <f t="shared" ca="1" si="15"/>
        <v>1</v>
      </c>
      <c r="J136" s="369"/>
      <c r="K136" s="304">
        <f>IF(L135=COM_N_2012!$AK$121,K135+1,K135)</f>
        <v>3</v>
      </c>
      <c r="L136" s="304">
        <f t="shared" si="13"/>
        <v>1</v>
      </c>
    </row>
    <row r="137" spans="1:12">
      <c r="A137" s="304" t="str">
        <f ca="1">IF(LEFT(OFFSET(COM_N_2012!$A$60,L137,0),2)="\I","*","")</f>
        <v/>
      </c>
      <c r="B137" s="369" t="str">
        <f t="shared" ca="1" si="14"/>
        <v>TOP-OUT</v>
      </c>
      <c r="C137" s="369" t="str">
        <f ca="1">IF($A137="*","",OFFSET(COM_N_2012!$B$60,L137,0))</f>
        <v>CNCELCCEN-E</v>
      </c>
      <c r="D137" s="369" t="str">
        <f ca="1">IF($A137="*","",IF(LEFT($B137,3)="TOP",OFFSET(COM_N_2012!$B$60,$L137,SUMIF($B$9:$B$12,$B137,$M$9:$M$12)),"-"))</f>
        <v>CNC</v>
      </c>
      <c r="E137" s="369" t="str">
        <f ca="1">IF($A137="*","",IF($B137="PRC_ACTUNT",OFFSET(COM_N_2012!$B$60,$L137,SUMIF($B$9:$B$12,$B137,$M$9:$M$12)),"-"))</f>
        <v>-</v>
      </c>
      <c r="F137" s="369" t="str">
        <f t="shared" ca="1" si="17"/>
        <v>-</v>
      </c>
      <c r="G137" s="369" t="str">
        <f t="shared" ca="1" si="17"/>
        <v>-</v>
      </c>
      <c r="H137" s="369" t="str">
        <f t="shared" ca="1" si="17"/>
        <v>-</v>
      </c>
      <c r="I137" s="369">
        <f t="shared" ca="1" si="15"/>
        <v>1</v>
      </c>
      <c r="J137" s="369"/>
      <c r="K137" s="304">
        <f>IF(L136=COM_N_2012!$AK$121,K136+1,K136)</f>
        <v>3</v>
      </c>
      <c r="L137" s="304">
        <f t="shared" si="13"/>
        <v>2</v>
      </c>
    </row>
    <row r="138" spans="1:12">
      <c r="A138" s="304" t="str">
        <f ca="1">IF(LEFT(OFFSET(COM_N_2012!$A$60,L138,0),2)="\I","*","")</f>
        <v/>
      </c>
      <c r="B138" s="369" t="str">
        <f t="shared" ca="1" si="14"/>
        <v>TOP-OUT</v>
      </c>
      <c r="C138" s="369" t="str">
        <f ca="1">IF($A138="*","",OFFSET(COM_N_2012!$B$60,L138,0))</f>
        <v>CNCELCHP-E</v>
      </c>
      <c r="D138" s="369" t="str">
        <f ca="1">IF($A138="*","",IF(LEFT($B138,3)="TOP",OFFSET(COM_N_2012!$B$60,$L138,SUMIF($B$9:$B$12,$B138,$M$9:$M$12)),"-"))</f>
        <v>CNC</v>
      </c>
      <c r="E138" s="369" t="str">
        <f ca="1">IF($A138="*","",IF($B138="PRC_ACTUNT",OFFSET(COM_N_2012!$B$60,$L138,SUMIF($B$9:$B$12,$B138,$M$9:$M$12)),"-"))</f>
        <v>-</v>
      </c>
      <c r="F138" s="369" t="str">
        <f t="shared" ca="1" si="17"/>
        <v>-</v>
      </c>
      <c r="G138" s="369" t="str">
        <f t="shared" ca="1" si="17"/>
        <v>-</v>
      </c>
      <c r="H138" s="369" t="str">
        <f t="shared" ca="1" si="17"/>
        <v>-</v>
      </c>
      <c r="I138" s="369">
        <f t="shared" ca="1" si="15"/>
        <v>1</v>
      </c>
      <c r="J138" s="369"/>
      <c r="K138" s="304">
        <f>IF(L137=COM_N_2012!$AK$121,K137+1,K137)</f>
        <v>3</v>
      </c>
      <c r="L138" s="304">
        <f t="shared" si="13"/>
        <v>3</v>
      </c>
    </row>
    <row r="139" spans="1:12">
      <c r="A139" s="304" t="str">
        <f ca="1">IF(LEFT(OFFSET(COM_N_2012!$A$60,L139,0),2)="\I","*","")</f>
        <v/>
      </c>
      <c r="B139" s="369" t="str">
        <f t="shared" ca="1" si="14"/>
        <v>TOP-OUT</v>
      </c>
      <c r="C139" s="369" t="str">
        <f ca="1">IF($A139="*","",OFFSET(COM_N_2012!$B$60,L139,0))</f>
        <v>CNCELCROOM-E</v>
      </c>
      <c r="D139" s="369" t="str">
        <f ca="1">IF($A139="*","",IF(LEFT($B139,3)="TOP",OFFSET(COM_N_2012!$B$60,$L139,SUMIF($B$9:$B$12,$B139,$M$9:$M$12)),"-"))</f>
        <v>CNC</v>
      </c>
      <c r="E139" s="369" t="str">
        <f ca="1">IF($A139="*","",IF($B139="PRC_ACTUNT",OFFSET(COM_N_2012!$B$60,$L139,SUMIF($B$9:$B$12,$B139,$M$9:$M$12)),"-"))</f>
        <v>-</v>
      </c>
      <c r="F139" s="369" t="str">
        <f t="shared" ca="1" si="17"/>
        <v>-</v>
      </c>
      <c r="G139" s="369" t="str">
        <f t="shared" ca="1" si="17"/>
        <v>-</v>
      </c>
      <c r="H139" s="369" t="str">
        <f t="shared" ca="1" si="17"/>
        <v>-</v>
      </c>
      <c r="I139" s="369">
        <f t="shared" ca="1" si="15"/>
        <v>1</v>
      </c>
      <c r="J139" s="369"/>
      <c r="K139" s="304">
        <f>IF(L138=COM_N_2012!$AK$121,K138+1,K138)</f>
        <v>3</v>
      </c>
      <c r="L139" s="304">
        <f t="shared" si="13"/>
        <v>4</v>
      </c>
    </row>
    <row r="140" spans="1:12">
      <c r="A140" s="304" t="str">
        <f ca="1">IF(LEFT(OFFSET(COM_N_2012!$A$60,L140,0),2)="\I","*","")</f>
        <v/>
      </c>
      <c r="B140" s="369" t="str">
        <f t="shared" ca="1" si="14"/>
        <v>TOP-OUT</v>
      </c>
      <c r="C140" s="369" t="str">
        <f ca="1">IF($A140="*","",OFFSET(COM_N_2012!$B$60,L140,0))</f>
        <v>CNCELCCEN-N</v>
      </c>
      <c r="D140" s="369" t="str">
        <f ca="1">IF($A140="*","",IF(LEFT($B140,3)="TOP",OFFSET(COM_N_2012!$B$60,$L140,SUMIF($B$9:$B$12,$B140,$M$9:$M$12)),"-"))</f>
        <v>CNC</v>
      </c>
      <c r="E140" s="369" t="str">
        <f ca="1">IF($A140="*","",IF($B140="PRC_ACTUNT",OFFSET(COM_N_2012!$B$60,$L140,SUMIF($B$9:$B$12,$B140,$M$9:$M$12)),"-"))</f>
        <v>-</v>
      </c>
      <c r="F140" s="369" t="str">
        <f t="shared" ca="1" si="17"/>
        <v>-</v>
      </c>
      <c r="G140" s="369" t="str">
        <f t="shared" ca="1" si="17"/>
        <v>-</v>
      </c>
      <c r="H140" s="369" t="str">
        <f t="shared" ca="1" si="17"/>
        <v>-</v>
      </c>
      <c r="I140" s="369">
        <f t="shared" ca="1" si="15"/>
        <v>1</v>
      </c>
      <c r="J140" s="369"/>
      <c r="K140" s="304">
        <f>IF(L139=COM_N_2012!$AK$121,K139+1,K139)</f>
        <v>3</v>
      </c>
      <c r="L140" s="304">
        <f t="shared" si="13"/>
        <v>5</v>
      </c>
    </row>
    <row r="141" spans="1:12">
      <c r="A141" s="304" t="str">
        <f ca="1">IF(LEFT(OFFSET(COM_N_2012!$A$60,L141,0),2)="\I","*","")</f>
        <v/>
      </c>
      <c r="B141" s="369" t="str">
        <f t="shared" ca="1" si="14"/>
        <v>TOP-OUT</v>
      </c>
      <c r="C141" s="369" t="str">
        <f ca="1">IF($A141="*","",OFFSET(COM_N_2012!$B$60,L141,0))</f>
        <v>CNCELCHP-N</v>
      </c>
      <c r="D141" s="369" t="str">
        <f ca="1">IF($A141="*","",IF(LEFT($B141,3)="TOP",OFFSET(COM_N_2012!$B$60,$L141,SUMIF($B$9:$B$12,$B141,$M$9:$M$12)),"-"))</f>
        <v>CNC</v>
      </c>
      <c r="E141" s="369" t="str">
        <f ca="1">IF($A141="*","",IF($B141="PRC_ACTUNT",OFFSET(COM_N_2012!$B$60,$L141,SUMIF($B$9:$B$12,$B141,$M$9:$M$12)),"-"))</f>
        <v>-</v>
      </c>
      <c r="F141" s="369" t="str">
        <f t="shared" ca="1" si="17"/>
        <v>-</v>
      </c>
      <c r="G141" s="369" t="str">
        <f t="shared" ca="1" si="17"/>
        <v>-</v>
      </c>
      <c r="H141" s="369" t="str">
        <f t="shared" ca="1" si="17"/>
        <v>-</v>
      </c>
      <c r="I141" s="369">
        <f t="shared" ca="1" si="15"/>
        <v>1</v>
      </c>
      <c r="J141" s="369"/>
      <c r="K141" s="304">
        <f>IF(L140=COM_N_2012!$AK$121,K140+1,K140)</f>
        <v>3</v>
      </c>
      <c r="L141" s="304">
        <f t="shared" si="13"/>
        <v>6</v>
      </c>
    </row>
    <row r="142" spans="1:12">
      <c r="A142" s="304" t="str">
        <f ca="1">IF(LEFT(OFFSET(COM_N_2012!$A$60,L142,0),2)="\I","*","")</f>
        <v>*</v>
      </c>
      <c r="B142" s="369" t="str">
        <f t="shared" ref="B142:B173" ca="1" si="18">IF(A142="*","",VLOOKUP("*"&amp;K142,$A$9:$B$14,2,FALSE))</f>
        <v/>
      </c>
      <c r="C142" s="369" t="str">
        <f ca="1">IF($A142="*","",OFFSET(COM_N_2012!$B$60,L142,0))</f>
        <v/>
      </c>
      <c r="D142" s="369" t="str">
        <f ca="1">IF($A142="*","",IF(LEFT($B142,3)="TOP",OFFSET(COM_N_2012!$B$60,$L142,SUMIF($B$9:$B$12,$B142,$M$9:$M$12)),"-"))</f>
        <v/>
      </c>
      <c r="E142" s="369" t="str">
        <f ca="1">IF($A142="*","",IF($B142="PRC_ACTUNT",OFFSET(COM_N_2012!$B$60,$L142,SUMIF($B$9:$B$12,$B142,$M$9:$M$12)),"-"))</f>
        <v/>
      </c>
      <c r="F142" s="369" t="str">
        <f t="shared" ca="1" si="17"/>
        <v/>
      </c>
      <c r="G142" s="369" t="str">
        <f t="shared" ca="1" si="17"/>
        <v/>
      </c>
      <c r="H142" s="369" t="str">
        <f t="shared" ca="1" si="17"/>
        <v/>
      </c>
      <c r="I142" s="369" t="str">
        <f t="shared" ref="I142:I173" ca="1" si="19">IF($A142="*","",SUMIF($B$9:$B$12,B142,$I$9:$I$12))</f>
        <v/>
      </c>
      <c r="J142" s="369"/>
      <c r="K142" s="304">
        <f>IF(L141=COM_N_2012!$AK$121,K141+1,K141)</f>
        <v>3</v>
      </c>
      <c r="L142" s="304">
        <f t="shared" si="13"/>
        <v>7</v>
      </c>
    </row>
    <row r="143" spans="1:12">
      <c r="A143" s="304" t="str">
        <f ca="1">IF(LEFT(OFFSET(COM_N_2012!$A$60,L143,0),2)="\I","*","")</f>
        <v>*</v>
      </c>
      <c r="B143" s="369" t="str">
        <f t="shared" ca="1" si="18"/>
        <v/>
      </c>
      <c r="C143" s="369" t="str">
        <f ca="1">IF($A143="*","",OFFSET(COM_N_2012!$B$60,L143,0))</f>
        <v/>
      </c>
      <c r="D143" s="369" t="str">
        <f ca="1">IF($A143="*","",IF(LEFT($B143,3)="TOP",OFFSET(COM_N_2012!$B$60,$L143,SUMIF($B$9:$B$12,$B143,$M$9:$M$12)),"-"))</f>
        <v/>
      </c>
      <c r="E143" s="369" t="str">
        <f ca="1">IF($A143="*","",IF($B143="PRC_ACTUNT",OFFSET(COM_N_2012!$B$60,$L143,SUMIF($B$9:$B$12,$B143,$M$9:$M$12)),"-"))</f>
        <v/>
      </c>
      <c r="F143" s="369" t="str">
        <f t="shared" ca="1" si="17"/>
        <v/>
      </c>
      <c r="G143" s="369" t="str">
        <f t="shared" ca="1" si="17"/>
        <v/>
      </c>
      <c r="H143" s="369" t="str">
        <f t="shared" ca="1" si="17"/>
        <v/>
      </c>
      <c r="I143" s="369" t="str">
        <f t="shared" ca="1" si="19"/>
        <v/>
      </c>
      <c r="J143" s="369"/>
      <c r="K143" s="304">
        <f>IF(L142=COM_N_2012!$AK$121,K142+1,K142)</f>
        <v>3</v>
      </c>
      <c r="L143" s="304">
        <f t="shared" si="13"/>
        <v>8</v>
      </c>
    </row>
    <row r="144" spans="1:12">
      <c r="A144" s="304" t="str">
        <f ca="1">IF(LEFT(OFFSET(COM_N_2012!$A$60,L144,0),2)="\I","*","")</f>
        <v/>
      </c>
      <c r="B144" s="369" t="str">
        <f t="shared" ca="1" si="18"/>
        <v>TOP-OUT</v>
      </c>
      <c r="C144" s="369" t="str">
        <f ca="1">IF($A144="*","",OFFSET(COM_N_2012!$B$60,L144,0))</f>
        <v>CNHCOA-E</v>
      </c>
      <c r="D144" s="369" t="str">
        <f ca="1">IF($A144="*","",IF(LEFT($B144,3)="TOP",OFFSET(COM_N_2012!$B$60,$L144,SUMIF($B$9:$B$12,$B144,$M$9:$M$12)),"-"))</f>
        <v>CNH</v>
      </c>
      <c r="E144" s="369" t="str">
        <f ca="1">IF($A144="*","",IF($B144="PRC_ACTUNT",OFFSET(COM_N_2012!$B$60,$L144,SUMIF($B$9:$B$12,$B144,$M$9:$M$12)),"-"))</f>
        <v>-</v>
      </c>
      <c r="F144" s="369" t="str">
        <f t="shared" ca="1" si="17"/>
        <v>-</v>
      </c>
      <c r="G144" s="369" t="str">
        <f t="shared" ca="1" si="17"/>
        <v>-</v>
      </c>
      <c r="H144" s="369" t="str">
        <f t="shared" ca="1" si="17"/>
        <v>-</v>
      </c>
      <c r="I144" s="369">
        <f t="shared" ca="1" si="19"/>
        <v>1</v>
      </c>
      <c r="J144" s="369"/>
      <c r="K144" s="304">
        <f>IF(L143=COM_N_2012!$AK$121,K143+1,K143)</f>
        <v>3</v>
      </c>
      <c r="L144" s="304">
        <f t="shared" si="13"/>
        <v>9</v>
      </c>
    </row>
    <row r="145" spans="1:12">
      <c r="A145" s="304" t="str">
        <f ca="1">IF(LEFT(OFFSET(COM_N_2012!$A$60,L145,0),2)="\I","*","")</f>
        <v/>
      </c>
      <c r="B145" s="369" t="str">
        <f t="shared" ca="1" si="18"/>
        <v>TOP-OUT</v>
      </c>
      <c r="C145" s="369" t="str">
        <f ca="1">IF($A145="*","",OFFSET(COM_N_2012!$B$60,L145,0))</f>
        <v>CNHELC-E</v>
      </c>
      <c r="D145" s="369" t="str">
        <f ca="1">IF($A145="*","",IF(LEFT($B145,3)="TOP",OFFSET(COM_N_2012!$B$60,$L145,SUMIF($B$9:$B$12,$B145,$M$9:$M$12)),"-"))</f>
        <v>CNH</v>
      </c>
      <c r="E145" s="369" t="str">
        <f ca="1">IF($A145="*","",IF($B145="PRC_ACTUNT",OFFSET(COM_N_2012!$B$60,$L145,SUMIF($B$9:$B$12,$B145,$M$9:$M$12)),"-"))</f>
        <v>-</v>
      </c>
      <c r="F145" s="369" t="str">
        <f t="shared" ca="1" si="17"/>
        <v>-</v>
      </c>
      <c r="G145" s="369" t="str">
        <f t="shared" ca="1" si="17"/>
        <v>-</v>
      </c>
      <c r="H145" s="369" t="str">
        <f t="shared" ca="1" si="17"/>
        <v>-</v>
      </c>
      <c r="I145" s="369">
        <f t="shared" ca="1" si="19"/>
        <v>1</v>
      </c>
      <c r="J145" s="369"/>
      <c r="K145" s="304">
        <f>IF(L144=COM_N_2012!$AK$121,K144+1,K144)</f>
        <v>3</v>
      </c>
      <c r="L145" s="304">
        <f t="shared" si="13"/>
        <v>10</v>
      </c>
    </row>
    <row r="146" spans="1:12">
      <c r="A146" s="304" t="str">
        <f ca="1">IF(LEFT(OFFSET(COM_N_2012!$A$60,L146,0),2)="\I","*","")</f>
        <v/>
      </c>
      <c r="B146" s="369" t="str">
        <f t="shared" ca="1" si="18"/>
        <v>TOP-OUT</v>
      </c>
      <c r="C146" s="369" t="str">
        <f ca="1">IF($A146="*","",OFFSET(COM_N_2012!$B$60,L146,0))</f>
        <v>CNHGAS-E</v>
      </c>
      <c r="D146" s="369" t="str">
        <f ca="1">IF($A146="*","",IF(LEFT($B146,3)="TOP",OFFSET(COM_N_2012!$B$60,$L146,SUMIF($B$9:$B$12,$B146,$M$9:$M$12)),"-"))</f>
        <v>CNH</v>
      </c>
      <c r="E146" s="369" t="str">
        <f ca="1">IF($A146="*","",IF($B146="PRC_ACTUNT",OFFSET(COM_N_2012!$B$60,$L146,SUMIF($B$9:$B$12,$B146,$M$9:$M$12)),"-"))</f>
        <v>-</v>
      </c>
      <c r="F146" s="369" t="str">
        <f t="shared" ca="1" si="17"/>
        <v>-</v>
      </c>
      <c r="G146" s="369" t="str">
        <f t="shared" ca="1" si="17"/>
        <v>-</v>
      </c>
      <c r="H146" s="369" t="str">
        <f t="shared" ca="1" si="17"/>
        <v>-</v>
      </c>
      <c r="I146" s="369">
        <f t="shared" ca="1" si="19"/>
        <v>1</v>
      </c>
      <c r="J146" s="369"/>
      <c r="K146" s="304">
        <f>IF(L145=COM_N_2012!$AK$121,K145+1,K145)</f>
        <v>3</v>
      </c>
      <c r="L146" s="304">
        <f t="shared" si="13"/>
        <v>11</v>
      </c>
    </row>
    <row r="147" spans="1:12">
      <c r="A147" s="304" t="str">
        <f ca="1">IF(LEFT(OFFSET(COM_N_2012!$A$60,L147,0),2)="\I","*","")</f>
        <v/>
      </c>
      <c r="B147" s="369" t="str">
        <f t="shared" ca="1" si="18"/>
        <v>TOP-OUT</v>
      </c>
      <c r="C147" s="369" t="str">
        <f ca="1">IF($A147="*","",OFFSET(COM_N_2012!$B$60,L147,0))</f>
        <v>CNHELC-N</v>
      </c>
      <c r="D147" s="369" t="str">
        <f ca="1">IF($A147="*","",IF(LEFT($B147,3)="TOP",OFFSET(COM_N_2012!$B$60,$L147,SUMIF($B$9:$B$12,$B147,$M$9:$M$12)),"-"))</f>
        <v>CNH</v>
      </c>
      <c r="E147" s="369" t="str">
        <f ca="1">IF($A147="*","",IF($B147="PRC_ACTUNT",OFFSET(COM_N_2012!$B$60,$L147,SUMIF($B$9:$B$12,$B147,$M$9:$M$12)),"-"))</f>
        <v>-</v>
      </c>
      <c r="F147" s="369" t="str">
        <f t="shared" ca="1" si="17"/>
        <v>-</v>
      </c>
      <c r="G147" s="369" t="str">
        <f t="shared" ca="1" si="17"/>
        <v>-</v>
      </c>
      <c r="H147" s="369" t="str">
        <f t="shared" ca="1" si="17"/>
        <v>-</v>
      </c>
      <c r="I147" s="369">
        <f t="shared" ca="1" si="19"/>
        <v>1</v>
      </c>
      <c r="J147" s="369"/>
      <c r="K147" s="304">
        <f>IF(L146=COM_N_2012!$AK$121,K146+1,K146)</f>
        <v>3</v>
      </c>
      <c r="L147" s="304">
        <f t="shared" si="13"/>
        <v>12</v>
      </c>
    </row>
    <row r="148" spans="1:12">
      <c r="A148" s="304" t="str">
        <f ca="1">IF(LEFT(OFFSET(COM_N_2012!$A$60,L148,0),2)="\I","*","")</f>
        <v/>
      </c>
      <c r="B148" s="369" t="str">
        <f t="shared" ca="1" si="18"/>
        <v>TOP-OUT</v>
      </c>
      <c r="C148" s="369" t="str">
        <f ca="1">IF($A148="*","",OFFSET(COM_N_2012!$B$60,L148,0))</f>
        <v>CNHGAS-N</v>
      </c>
      <c r="D148" s="369" t="str">
        <f ca="1">IF($A148="*","",IF(LEFT($B148,3)="TOP",OFFSET(COM_N_2012!$B$60,$L148,SUMIF($B$9:$B$12,$B148,$M$9:$M$12)),"-"))</f>
        <v>CNH</v>
      </c>
      <c r="E148" s="369" t="str">
        <f ca="1">IF($A148="*","",IF($B148="PRC_ACTUNT",OFFSET(COM_N_2012!$B$60,$L148,SUMIF($B$9:$B$12,$B148,$M$9:$M$12)),"-"))</f>
        <v>-</v>
      </c>
      <c r="F148" s="369" t="str">
        <f t="shared" ca="1" si="17"/>
        <v>-</v>
      </c>
      <c r="G148" s="369" t="str">
        <f t="shared" ca="1" si="17"/>
        <v>-</v>
      </c>
      <c r="H148" s="369" t="str">
        <f t="shared" ca="1" si="17"/>
        <v>-</v>
      </c>
      <c r="I148" s="369">
        <f t="shared" ca="1" si="19"/>
        <v>1</v>
      </c>
      <c r="J148" s="369"/>
      <c r="K148" s="304">
        <f>IF(L147=COM_N_2012!$AK$121,K147+1,K147)</f>
        <v>3</v>
      </c>
      <c r="L148" s="304">
        <f t="shared" si="13"/>
        <v>13</v>
      </c>
    </row>
    <row r="149" spans="1:12">
      <c r="A149" s="304" t="str">
        <f ca="1">IF(LEFT(OFFSET(COM_N_2012!$A$60,L149,0),2)="\I","*","")</f>
        <v>*</v>
      </c>
      <c r="B149" s="369" t="str">
        <f t="shared" ca="1" si="18"/>
        <v/>
      </c>
      <c r="C149" s="369" t="str">
        <f ca="1">IF($A149="*","",OFFSET(COM_N_2012!$B$60,L149,0))</f>
        <v/>
      </c>
      <c r="D149" s="369" t="str">
        <f ca="1">IF($A149="*","",IF(LEFT($B149,3)="TOP",OFFSET(COM_N_2012!$B$60,$L149,SUMIF($B$9:$B$12,$B149,$M$9:$M$12)),"-"))</f>
        <v/>
      </c>
      <c r="E149" s="369" t="str">
        <f ca="1">IF($A149="*","",IF($B149="PRC_ACTUNT",OFFSET(COM_N_2012!$B$60,$L149,SUMIF($B$9:$B$12,$B149,$M$9:$M$12)),"-"))</f>
        <v/>
      </c>
      <c r="F149" s="369" t="str">
        <f t="shared" ca="1" si="17"/>
        <v/>
      </c>
      <c r="G149" s="369" t="str">
        <f t="shared" ca="1" si="17"/>
        <v/>
      </c>
      <c r="H149" s="369" t="str">
        <f t="shared" ca="1" si="17"/>
        <v/>
      </c>
      <c r="I149" s="369" t="str">
        <f t="shared" ca="1" si="19"/>
        <v/>
      </c>
      <c r="J149" s="369"/>
      <c r="K149" s="304">
        <f>IF(L148=COM_N_2012!$AK$121,K148+1,K148)</f>
        <v>3</v>
      </c>
      <c r="L149" s="304">
        <f t="shared" si="13"/>
        <v>14</v>
      </c>
    </row>
    <row r="150" spans="1:12">
      <c r="A150" s="304" t="str">
        <f ca="1">IF(LEFT(OFFSET(COM_N_2012!$A$60,L150,0),2)="\I","*","")</f>
        <v>*</v>
      </c>
      <c r="B150" s="369" t="str">
        <f t="shared" ca="1" si="18"/>
        <v/>
      </c>
      <c r="C150" s="369" t="str">
        <f ca="1">IF($A150="*","",OFFSET(COM_N_2012!$B$60,L150,0))</f>
        <v/>
      </c>
      <c r="D150" s="369" t="str">
        <f ca="1">IF($A150="*","",IF(LEFT($B150,3)="TOP",OFFSET(COM_N_2012!$B$60,$L150,SUMIF($B$9:$B$12,$B150,$M$9:$M$12)),"-"))</f>
        <v/>
      </c>
      <c r="E150" s="369" t="str">
        <f ca="1">IF($A150="*","",IF($B150="PRC_ACTUNT",OFFSET(COM_N_2012!$B$60,$L150,SUMIF($B$9:$B$12,$B150,$M$9:$M$12)),"-"))</f>
        <v/>
      </c>
      <c r="F150" s="369" t="str">
        <f t="shared" ca="1" si="17"/>
        <v/>
      </c>
      <c r="G150" s="369" t="str">
        <f t="shared" ca="1" si="17"/>
        <v/>
      </c>
      <c r="H150" s="369" t="str">
        <f t="shared" ca="1" si="17"/>
        <v/>
      </c>
      <c r="I150" s="369" t="str">
        <f t="shared" ca="1" si="19"/>
        <v/>
      </c>
      <c r="J150" s="369"/>
      <c r="K150" s="304">
        <f>IF(L149=COM_N_2012!$AK$121,K149+1,K149)</f>
        <v>3</v>
      </c>
      <c r="L150" s="304">
        <f t="shared" si="13"/>
        <v>15</v>
      </c>
    </row>
    <row r="151" spans="1:12">
      <c r="A151" s="304" t="str">
        <f ca="1">IF(LEFT(OFFSET(COM_N_2012!$A$60,L151,0),2)="\I","*","")</f>
        <v/>
      </c>
      <c r="B151" s="369" t="str">
        <f t="shared" ca="1" si="18"/>
        <v>TOP-OUT</v>
      </c>
      <c r="C151" s="369" t="str">
        <f ca="1">IF($A151="*","",OFFSET(COM_N_2012!$B$60,L151,0))</f>
        <v>CNKOLP-E</v>
      </c>
      <c r="D151" s="369" t="str">
        <f ca="1">IF($A151="*","",IF(LEFT($B151,3)="TOP",OFFSET(COM_N_2012!$B$60,$L151,SUMIF($B$9:$B$12,$B151,$M$9:$M$12)),"-"))</f>
        <v>CNK</v>
      </c>
      <c r="E151" s="369" t="str">
        <f ca="1">IF($A151="*","",IF($B151="PRC_ACTUNT",OFFSET(COM_N_2012!$B$60,$L151,SUMIF($B$9:$B$12,$B151,$M$9:$M$12)),"-"))</f>
        <v>-</v>
      </c>
      <c r="F151" s="369" t="str">
        <f t="shared" ca="1" si="17"/>
        <v>-</v>
      </c>
      <c r="G151" s="369" t="str">
        <f t="shared" ca="1" si="17"/>
        <v>-</v>
      </c>
      <c r="H151" s="369" t="str">
        <f t="shared" ca="1" si="17"/>
        <v>-</v>
      </c>
      <c r="I151" s="369">
        <f t="shared" ca="1" si="19"/>
        <v>1</v>
      </c>
      <c r="J151" s="369"/>
      <c r="K151" s="304">
        <f>IF(L150=COM_N_2012!$AK$121,K150+1,K150)</f>
        <v>3</v>
      </c>
      <c r="L151" s="304">
        <f t="shared" si="13"/>
        <v>16</v>
      </c>
    </row>
    <row r="152" spans="1:12">
      <c r="A152" s="304" t="str">
        <f ca="1">IF(LEFT(OFFSET(COM_N_2012!$A$60,L152,0),2)="\I","*","")</f>
        <v/>
      </c>
      <c r="B152" s="369" t="str">
        <f t="shared" ca="1" si="18"/>
        <v>TOP-OUT</v>
      </c>
      <c r="C152" s="369" t="str">
        <f ca="1">IF($A152="*","",OFFSET(COM_N_2012!$B$60,L152,0))</f>
        <v>CNKELC-E</v>
      </c>
      <c r="D152" s="369" t="str">
        <f ca="1">IF($A152="*","",IF(LEFT($B152,3)="TOP",OFFSET(COM_N_2012!$B$60,$L152,SUMIF($B$9:$B$12,$B152,$M$9:$M$12)),"-"))</f>
        <v>CNK</v>
      </c>
      <c r="E152" s="369" t="str">
        <f ca="1">IF($A152="*","",IF($B152="PRC_ACTUNT",OFFSET(COM_N_2012!$B$60,$L152,SUMIF($B$9:$B$12,$B152,$M$9:$M$12)),"-"))</f>
        <v>-</v>
      </c>
      <c r="F152" s="369" t="str">
        <f t="shared" ca="1" si="17"/>
        <v>-</v>
      </c>
      <c r="G152" s="369" t="str">
        <f t="shared" ca="1" si="17"/>
        <v>-</v>
      </c>
      <c r="H152" s="369" t="str">
        <f t="shared" ca="1" si="17"/>
        <v>-</v>
      </c>
      <c r="I152" s="369">
        <f t="shared" ca="1" si="19"/>
        <v>1</v>
      </c>
      <c r="J152" s="369"/>
      <c r="K152" s="304">
        <f>IF(L151=COM_N_2012!$AK$121,K151+1,K151)</f>
        <v>3</v>
      </c>
      <c r="L152" s="304">
        <f t="shared" si="13"/>
        <v>17</v>
      </c>
    </row>
    <row r="153" spans="1:12">
      <c r="A153" s="304" t="str">
        <f ca="1">IF(LEFT(OFFSET(COM_N_2012!$A$60,L153,0),2)="\I","*","")</f>
        <v/>
      </c>
      <c r="B153" s="369" t="str">
        <f t="shared" ca="1" si="18"/>
        <v>TOP-OUT</v>
      </c>
      <c r="C153" s="369" t="str">
        <f ca="1">IF($A153="*","",OFFSET(COM_N_2012!$B$60,L153,0))</f>
        <v>CNKCOA-E</v>
      </c>
      <c r="D153" s="369" t="str">
        <f ca="1">IF($A153="*","",IF(LEFT($B153,3)="TOP",OFFSET(COM_N_2012!$B$60,$L153,SUMIF($B$9:$B$12,$B153,$M$9:$M$12)),"-"))</f>
        <v>CNK</v>
      </c>
      <c r="E153" s="369" t="str">
        <f ca="1">IF($A153="*","",IF($B153="PRC_ACTUNT",OFFSET(COM_N_2012!$B$60,$L153,SUMIF($B$9:$B$12,$B153,$M$9:$M$12)),"-"))</f>
        <v>-</v>
      </c>
      <c r="F153" s="369" t="str">
        <f t="shared" ca="1" si="17"/>
        <v>-</v>
      </c>
      <c r="G153" s="369" t="str">
        <f t="shared" ca="1" si="17"/>
        <v>-</v>
      </c>
      <c r="H153" s="369" t="str">
        <f t="shared" ca="1" si="17"/>
        <v>-</v>
      </c>
      <c r="I153" s="369">
        <f t="shared" ca="1" si="19"/>
        <v>1</v>
      </c>
      <c r="J153" s="369"/>
      <c r="K153" s="304">
        <f>IF(L152=COM_N_2012!$AK$121,K152+1,K152)</f>
        <v>3</v>
      </c>
      <c r="L153" s="304">
        <f t="shared" si="13"/>
        <v>18</v>
      </c>
    </row>
    <row r="154" spans="1:12">
      <c r="A154" s="304" t="str">
        <f ca="1">IF(LEFT(OFFSET(COM_N_2012!$A$60,L154,0),2)="\I","*","")</f>
        <v>*</v>
      </c>
      <c r="B154" s="369" t="str">
        <f t="shared" ca="1" si="18"/>
        <v/>
      </c>
      <c r="C154" s="369" t="str">
        <f ca="1">IF($A154="*","",OFFSET(COM_N_2012!$B$60,L154,0))</f>
        <v/>
      </c>
      <c r="D154" s="369" t="str">
        <f ca="1">IF($A154="*","",IF(LEFT($B154,3)="TOP",OFFSET(COM_N_2012!$B$60,$L154,SUMIF($B$9:$B$12,$B154,$M$9:$M$12)),"-"))</f>
        <v/>
      </c>
      <c r="E154" s="369" t="str">
        <f ca="1">IF($A154="*","",IF($B154="PRC_ACTUNT",OFFSET(COM_N_2012!$B$60,$L154,SUMIF($B$9:$B$12,$B154,$M$9:$M$12)),"-"))</f>
        <v/>
      </c>
      <c r="F154" s="369" t="str">
        <f t="shared" ref="F154:H173" ca="1" si="20">IF($A154="*","","-")</f>
        <v/>
      </c>
      <c r="G154" s="369" t="str">
        <f t="shared" ca="1" si="20"/>
        <v/>
      </c>
      <c r="H154" s="369" t="str">
        <f t="shared" ca="1" si="20"/>
        <v/>
      </c>
      <c r="I154" s="369" t="str">
        <f t="shared" ca="1" si="19"/>
        <v/>
      </c>
      <c r="J154" s="369"/>
      <c r="K154" s="304">
        <f>IF(L153=COM_N_2012!$AK$121,K153+1,K153)</f>
        <v>3</v>
      </c>
      <c r="L154" s="304">
        <f t="shared" si="13"/>
        <v>19</v>
      </c>
    </row>
    <row r="155" spans="1:12">
      <c r="A155" s="304" t="str">
        <f ca="1">IF(LEFT(OFFSET(COM_N_2012!$A$60,L155,0),2)="\I","*","")</f>
        <v>*</v>
      </c>
      <c r="B155" s="369" t="str">
        <f t="shared" ca="1" si="18"/>
        <v/>
      </c>
      <c r="C155" s="369" t="str">
        <f ca="1">IF($A155="*","",OFFSET(COM_N_2012!$B$60,L155,0))</f>
        <v/>
      </c>
      <c r="D155" s="369" t="str">
        <f ca="1">IF($A155="*","",IF(LEFT($B155,3)="TOP",OFFSET(COM_N_2012!$B$60,$L155,SUMIF($B$9:$B$12,$B155,$M$9:$M$12)),"-"))</f>
        <v/>
      </c>
      <c r="E155" s="369" t="str">
        <f ca="1">IF($A155="*","",IF($B155="PRC_ACTUNT",OFFSET(COM_N_2012!$B$60,$L155,SUMIF($B$9:$B$12,$B155,$M$9:$M$12)),"-"))</f>
        <v/>
      </c>
      <c r="F155" s="369" t="str">
        <f t="shared" ca="1" si="20"/>
        <v/>
      </c>
      <c r="G155" s="369" t="str">
        <f t="shared" ca="1" si="20"/>
        <v/>
      </c>
      <c r="H155" s="369" t="str">
        <f t="shared" ca="1" si="20"/>
        <v/>
      </c>
      <c r="I155" s="369" t="str">
        <f t="shared" ca="1" si="19"/>
        <v/>
      </c>
      <c r="J155" s="369"/>
      <c r="K155" s="304">
        <f>IF(L154=COM_N_2012!$AK$121,K154+1,K154)</f>
        <v>3</v>
      </c>
      <c r="L155" s="304">
        <f t="shared" si="13"/>
        <v>20</v>
      </c>
    </row>
    <row r="156" spans="1:12">
      <c r="A156" s="304" t="str">
        <f ca="1">IF(LEFT(OFFSET(COM_N_2012!$A$60,L156,0),2)="\I","*","")</f>
        <v/>
      </c>
      <c r="B156" s="369" t="str">
        <f t="shared" ca="1" si="18"/>
        <v>TOP-OUT</v>
      </c>
      <c r="C156" s="369" t="str">
        <f ca="1">IF($A156="*","",OFFSET(COM_N_2012!$B$60,L156,0))</f>
        <v>CNLELCCFL-E</v>
      </c>
      <c r="D156" s="369" t="str">
        <f ca="1">IF($A156="*","",IF(LEFT($B156,3)="TOP",OFFSET(COM_N_2012!$B$60,$L156,SUMIF($B$9:$B$12,$B156,$M$9:$M$12)),"-"))</f>
        <v>CNL</v>
      </c>
      <c r="E156" s="369" t="str">
        <f ca="1">IF($A156="*","",IF($B156="PRC_ACTUNT",OFFSET(COM_N_2012!$B$60,$L156,SUMIF($B$9:$B$12,$B156,$M$9:$M$12)),"-"))</f>
        <v>-</v>
      </c>
      <c r="F156" s="369" t="str">
        <f t="shared" ca="1" si="20"/>
        <v>-</v>
      </c>
      <c r="G156" s="369" t="str">
        <f t="shared" ca="1" si="20"/>
        <v>-</v>
      </c>
      <c r="H156" s="369" t="str">
        <f t="shared" ca="1" si="20"/>
        <v>-</v>
      </c>
      <c r="I156" s="369">
        <f t="shared" ca="1" si="19"/>
        <v>1</v>
      </c>
      <c r="J156" s="369"/>
      <c r="K156" s="304">
        <f>IF(L155=COM_N_2012!$AK$121,K155+1,K155)</f>
        <v>3</v>
      </c>
      <c r="L156" s="304">
        <f t="shared" si="13"/>
        <v>21</v>
      </c>
    </row>
    <row r="157" spans="1:12">
      <c r="A157" s="304" t="str">
        <f ca="1">IF(LEFT(OFFSET(COM_N_2012!$A$60,L157,0),2)="\I","*","")</f>
        <v/>
      </c>
      <c r="B157" s="369" t="str">
        <f t="shared" ca="1" si="18"/>
        <v>TOP-OUT</v>
      </c>
      <c r="C157" s="369" t="str">
        <f ca="1">IF($A157="*","",OFFSET(COM_N_2012!$B$60,L157,0))</f>
        <v>CNLELCFLU-E</v>
      </c>
      <c r="D157" s="369" t="str">
        <f ca="1">IF($A157="*","",IF(LEFT($B157,3)="TOP",OFFSET(COM_N_2012!$B$60,$L157,SUMIF($B$9:$B$12,$B157,$M$9:$M$12)),"-"))</f>
        <v>CNL</v>
      </c>
      <c r="E157" s="369" t="str">
        <f ca="1">IF($A157="*","",IF($B157="PRC_ACTUNT",OFFSET(COM_N_2012!$B$60,$L157,SUMIF($B$9:$B$12,$B157,$M$9:$M$12)),"-"))</f>
        <v>-</v>
      </c>
      <c r="F157" s="369" t="str">
        <f t="shared" ca="1" si="20"/>
        <v>-</v>
      </c>
      <c r="G157" s="369" t="str">
        <f t="shared" ca="1" si="20"/>
        <v>-</v>
      </c>
      <c r="H157" s="369" t="str">
        <f t="shared" ca="1" si="20"/>
        <v>-</v>
      </c>
      <c r="I157" s="369">
        <f t="shared" ca="1" si="19"/>
        <v>1</v>
      </c>
      <c r="J157" s="369"/>
      <c r="K157" s="304">
        <f>IF(L156=COM_N_2012!$AK$121,K156+1,K156)</f>
        <v>3</v>
      </c>
      <c r="L157" s="304">
        <f t="shared" si="13"/>
        <v>22</v>
      </c>
    </row>
    <row r="158" spans="1:12">
      <c r="A158" s="304" t="str">
        <f ca="1">IF(LEFT(OFFSET(COM_N_2012!$A$60,L158,0),2)="\I","*","")</f>
        <v/>
      </c>
      <c r="B158" s="369" t="str">
        <f t="shared" ca="1" si="18"/>
        <v>TOP-OUT</v>
      </c>
      <c r="C158" s="369" t="str">
        <f ca="1">IF($A158="*","",OFFSET(COM_N_2012!$B$60,L158,0))</f>
        <v>CNLELCHAL-E</v>
      </c>
      <c r="D158" s="369" t="str">
        <f ca="1">IF($A158="*","",IF(LEFT($B158,3)="TOP",OFFSET(COM_N_2012!$B$60,$L158,SUMIF($B$9:$B$12,$B158,$M$9:$M$12)),"-"))</f>
        <v>CNL</v>
      </c>
      <c r="E158" s="369" t="str">
        <f ca="1">IF($A158="*","",IF($B158="PRC_ACTUNT",OFFSET(COM_N_2012!$B$60,$L158,SUMIF($B$9:$B$12,$B158,$M$9:$M$12)),"-"))</f>
        <v>-</v>
      </c>
      <c r="F158" s="369" t="str">
        <f t="shared" ca="1" si="20"/>
        <v>-</v>
      </c>
      <c r="G158" s="369" t="str">
        <f t="shared" ca="1" si="20"/>
        <v>-</v>
      </c>
      <c r="H158" s="369" t="str">
        <f t="shared" ca="1" si="20"/>
        <v>-</v>
      </c>
      <c r="I158" s="369">
        <f t="shared" ca="1" si="19"/>
        <v>1</v>
      </c>
      <c r="J158" s="369"/>
      <c r="K158" s="304">
        <f>IF(L157=COM_N_2012!$AK$121,K157+1,K157)</f>
        <v>3</v>
      </c>
      <c r="L158" s="304">
        <f t="shared" si="13"/>
        <v>23</v>
      </c>
    </row>
    <row r="159" spans="1:12">
      <c r="A159" s="304" t="str">
        <f ca="1">IF(LEFT(OFFSET(COM_N_2012!$A$60,L159,0),2)="\I","*","")</f>
        <v/>
      </c>
      <c r="B159" s="369" t="str">
        <f t="shared" ca="1" si="18"/>
        <v>TOP-OUT</v>
      </c>
      <c r="C159" s="369" t="str">
        <f ca="1">IF($A159="*","",OFFSET(COM_N_2012!$B$60,L159,0))</f>
        <v>CNLELCHID-E</v>
      </c>
      <c r="D159" s="369" t="str">
        <f ca="1">IF($A159="*","",IF(LEFT($B159,3)="TOP",OFFSET(COM_N_2012!$B$60,$L159,SUMIF($B$9:$B$12,$B159,$M$9:$M$12)),"-"))</f>
        <v>CNL</v>
      </c>
      <c r="E159" s="369" t="str">
        <f ca="1">IF($A159="*","",IF($B159="PRC_ACTUNT",OFFSET(COM_N_2012!$B$60,$L159,SUMIF($B$9:$B$12,$B159,$M$9:$M$12)),"-"))</f>
        <v>-</v>
      </c>
      <c r="F159" s="369" t="str">
        <f t="shared" ca="1" si="20"/>
        <v>-</v>
      </c>
      <c r="G159" s="369" t="str">
        <f t="shared" ca="1" si="20"/>
        <v>-</v>
      </c>
      <c r="H159" s="369" t="str">
        <f t="shared" ca="1" si="20"/>
        <v>-</v>
      </c>
      <c r="I159" s="369">
        <f t="shared" ca="1" si="19"/>
        <v>1</v>
      </c>
      <c r="J159" s="369"/>
      <c r="K159" s="304">
        <f>IF(L158=COM_N_2012!$AK$121,K158+1,K158)</f>
        <v>3</v>
      </c>
      <c r="L159" s="304">
        <f t="shared" si="13"/>
        <v>24</v>
      </c>
    </row>
    <row r="160" spans="1:12">
      <c r="A160" s="304" t="str">
        <f ca="1">IF(LEFT(OFFSET(COM_N_2012!$A$60,L160,0),2)="\I","*","")</f>
        <v/>
      </c>
      <c r="B160" s="369" t="str">
        <f t="shared" ca="1" si="18"/>
        <v>TOP-OUT</v>
      </c>
      <c r="C160" s="369" t="str">
        <f ca="1">IF($A160="*","",OFFSET(COM_N_2012!$B$60,L160,0))</f>
        <v>CNLELCINC-E</v>
      </c>
      <c r="D160" s="369" t="str">
        <f ca="1">IF($A160="*","",IF(LEFT($B160,3)="TOP",OFFSET(COM_N_2012!$B$60,$L160,SUMIF($B$9:$B$12,$B160,$M$9:$M$12)),"-"))</f>
        <v>CNL</v>
      </c>
      <c r="E160" s="369" t="str">
        <f ca="1">IF($A160="*","",IF($B160="PRC_ACTUNT",OFFSET(COM_N_2012!$B$60,$L160,SUMIF($B$9:$B$12,$B160,$M$9:$M$12)),"-"))</f>
        <v>-</v>
      </c>
      <c r="F160" s="369" t="str">
        <f t="shared" ca="1" si="20"/>
        <v>-</v>
      </c>
      <c r="G160" s="369" t="str">
        <f t="shared" ca="1" si="20"/>
        <v>-</v>
      </c>
      <c r="H160" s="369" t="str">
        <f t="shared" ca="1" si="20"/>
        <v>-</v>
      </c>
      <c r="I160" s="369">
        <f t="shared" ca="1" si="19"/>
        <v>1</v>
      </c>
      <c r="J160" s="369"/>
      <c r="K160" s="304">
        <f>IF(L159=COM_N_2012!$AK$121,K159+1,K159)</f>
        <v>3</v>
      </c>
      <c r="L160" s="304">
        <f t="shared" ref="L160:L223" si="21">IF(K160=K159,L159+1,1)</f>
        <v>25</v>
      </c>
    </row>
    <row r="161" spans="1:12">
      <c r="A161" s="304" t="str">
        <f ca="1">IF(LEFT(OFFSET(COM_N_2012!$A$60,L161,0),2)="\I","*","")</f>
        <v/>
      </c>
      <c r="B161" s="369" t="str">
        <f t="shared" ca="1" si="18"/>
        <v>TOP-OUT</v>
      </c>
      <c r="C161" s="369" t="str">
        <f ca="1">IF($A161="*","",OFFSET(COM_N_2012!$B$60,L161,0))</f>
        <v>CNLELCLED-N</v>
      </c>
      <c r="D161" s="369" t="str">
        <f ca="1">IF($A161="*","",IF(LEFT($B161,3)="TOP",OFFSET(COM_N_2012!$B$60,$L161,SUMIF($B$9:$B$12,$B161,$M$9:$M$12)),"-"))</f>
        <v>CNL</v>
      </c>
      <c r="E161" s="369" t="str">
        <f ca="1">IF($A161="*","",IF($B161="PRC_ACTUNT",OFFSET(COM_N_2012!$B$60,$L161,SUMIF($B$9:$B$12,$B161,$M$9:$M$12)),"-"))</f>
        <v>-</v>
      </c>
      <c r="F161" s="369" t="str">
        <f t="shared" ca="1" si="20"/>
        <v>-</v>
      </c>
      <c r="G161" s="369" t="str">
        <f t="shared" ca="1" si="20"/>
        <v>-</v>
      </c>
      <c r="H161" s="369" t="str">
        <f t="shared" ca="1" si="20"/>
        <v>-</v>
      </c>
      <c r="I161" s="369">
        <f t="shared" ca="1" si="19"/>
        <v>1</v>
      </c>
      <c r="J161" s="369"/>
      <c r="K161" s="304">
        <f>IF(L160=COM_N_2012!$AK$121,K160+1,K160)</f>
        <v>3</v>
      </c>
      <c r="L161" s="304">
        <f t="shared" si="21"/>
        <v>26</v>
      </c>
    </row>
    <row r="162" spans="1:12">
      <c r="A162" s="304" t="str">
        <f ca="1">IF(LEFT(OFFSET(COM_N_2012!$A$60,L162,0),2)="\I","*","")</f>
        <v>*</v>
      </c>
      <c r="B162" s="369" t="str">
        <f t="shared" ca="1" si="18"/>
        <v/>
      </c>
      <c r="C162" s="369" t="str">
        <f ca="1">IF($A162="*","",OFFSET(COM_N_2012!$B$60,L162,0))</f>
        <v/>
      </c>
      <c r="D162" s="369" t="str">
        <f ca="1">IF($A162="*","",IF(LEFT($B162,3)="TOP",OFFSET(COM_N_2012!$B$60,$L162,SUMIF($B$9:$B$12,$B162,$M$9:$M$12)),"-"))</f>
        <v/>
      </c>
      <c r="E162" s="369" t="str">
        <f ca="1">IF($A162="*","",IF($B162="PRC_ACTUNT",OFFSET(COM_N_2012!$B$60,$L162,SUMIF($B$9:$B$12,$B162,$M$9:$M$12)),"-"))</f>
        <v/>
      </c>
      <c r="F162" s="369" t="str">
        <f t="shared" ca="1" si="20"/>
        <v/>
      </c>
      <c r="G162" s="369" t="str">
        <f t="shared" ca="1" si="20"/>
        <v/>
      </c>
      <c r="H162" s="369" t="str">
        <f t="shared" ca="1" si="20"/>
        <v/>
      </c>
      <c r="I162" s="369" t="str">
        <f t="shared" ca="1" si="19"/>
        <v/>
      </c>
      <c r="J162" s="369"/>
      <c r="K162" s="304">
        <f>IF(L161=COM_N_2012!$AK$121,K161+1,K161)</f>
        <v>3</v>
      </c>
      <c r="L162" s="304">
        <f t="shared" si="21"/>
        <v>27</v>
      </c>
    </row>
    <row r="163" spans="1:12">
      <c r="A163" s="304" t="str">
        <f ca="1">IF(LEFT(OFFSET(COM_N_2012!$A$60,L163,0),2)="\I","*","")</f>
        <v>*</v>
      </c>
      <c r="B163" s="369" t="str">
        <f t="shared" ca="1" si="18"/>
        <v/>
      </c>
      <c r="C163" s="369" t="str">
        <f ca="1">IF($A163="*","",OFFSET(COM_N_2012!$B$60,L163,0))</f>
        <v/>
      </c>
      <c r="D163" s="369" t="str">
        <f ca="1">IF($A163="*","",IF(LEFT($B163,3)="TOP",OFFSET(COM_N_2012!$B$60,$L163,SUMIF($B$9:$B$12,$B163,$M$9:$M$12)),"-"))</f>
        <v/>
      </c>
      <c r="E163" s="369" t="str">
        <f ca="1">IF($A163="*","",IF($B163="PRC_ACTUNT",OFFSET(COM_N_2012!$B$60,$L163,SUMIF($B$9:$B$12,$B163,$M$9:$M$12)),"-"))</f>
        <v/>
      </c>
      <c r="F163" s="369" t="str">
        <f t="shared" ca="1" si="20"/>
        <v/>
      </c>
      <c r="G163" s="369" t="str">
        <f t="shared" ca="1" si="20"/>
        <v/>
      </c>
      <c r="H163" s="369" t="str">
        <f t="shared" ca="1" si="20"/>
        <v/>
      </c>
      <c r="I163" s="369" t="str">
        <f t="shared" ca="1" si="19"/>
        <v/>
      </c>
      <c r="J163" s="369"/>
      <c r="K163" s="304">
        <f>IF(L162=COM_N_2012!$AK$121,K162+1,K162)</f>
        <v>3</v>
      </c>
      <c r="L163" s="304">
        <f t="shared" si="21"/>
        <v>28</v>
      </c>
    </row>
    <row r="164" spans="1:12">
      <c r="A164" s="304" t="str">
        <f ca="1">IF(LEFT(OFFSET(COM_N_2012!$A$60,L164,0),2)="\I","*","")</f>
        <v/>
      </c>
      <c r="B164" s="369" t="str">
        <f t="shared" ca="1" si="18"/>
        <v>TOP-OUT</v>
      </c>
      <c r="C164" s="369" t="str">
        <f ca="1">IF($A164="*","",OFFSET(COM_N_2012!$B$60,L164,0))</f>
        <v>CNRELC-E</v>
      </c>
      <c r="D164" s="369" t="str">
        <f ca="1">IF($A164="*","",IF(LEFT($B164,3)="TOP",OFFSET(COM_N_2012!$B$60,$L164,SUMIF($B$9:$B$12,$B164,$M$9:$M$12)),"-"))</f>
        <v>CNR</v>
      </c>
      <c r="E164" s="369" t="str">
        <f ca="1">IF($A164="*","",IF($B164="PRC_ACTUNT",OFFSET(COM_N_2012!$B$60,$L164,SUMIF($B$9:$B$12,$B164,$M$9:$M$12)),"-"))</f>
        <v>-</v>
      </c>
      <c r="F164" s="369" t="str">
        <f t="shared" ca="1" si="20"/>
        <v>-</v>
      </c>
      <c r="G164" s="369" t="str">
        <f t="shared" ca="1" si="20"/>
        <v>-</v>
      </c>
      <c r="H164" s="369" t="str">
        <f t="shared" ca="1" si="20"/>
        <v>-</v>
      </c>
      <c r="I164" s="369">
        <f t="shared" ca="1" si="19"/>
        <v>1</v>
      </c>
      <c r="J164" s="369"/>
      <c r="K164" s="304">
        <f>IF(L163=COM_N_2012!$AK$121,K163+1,K163)</f>
        <v>3</v>
      </c>
      <c r="L164" s="304">
        <f t="shared" si="21"/>
        <v>29</v>
      </c>
    </row>
    <row r="165" spans="1:12">
      <c r="A165" s="304" t="str">
        <f ca="1">IF(LEFT(OFFSET(COM_N_2012!$A$60,L165,0),2)="\I","*","")</f>
        <v/>
      </c>
      <c r="B165" s="369" t="str">
        <f t="shared" ca="1" si="18"/>
        <v>TOP-OUT</v>
      </c>
      <c r="C165" s="369" t="str">
        <f ca="1">IF($A165="*","",OFFSET(COM_N_2012!$B$60,L165,0))</f>
        <v>CNRELC-N</v>
      </c>
      <c r="D165" s="369" t="str">
        <f ca="1">IF($A165="*","",IF(LEFT($B165,3)="TOP",OFFSET(COM_N_2012!$B$60,$L165,SUMIF($B$9:$B$12,$B165,$M$9:$M$12)),"-"))</f>
        <v>CNR</v>
      </c>
      <c r="E165" s="369" t="str">
        <f ca="1">IF($A165="*","",IF($B165="PRC_ACTUNT",OFFSET(COM_N_2012!$B$60,$L165,SUMIF($B$9:$B$12,$B165,$M$9:$M$12)),"-"))</f>
        <v>-</v>
      </c>
      <c r="F165" s="369" t="str">
        <f t="shared" ca="1" si="20"/>
        <v>-</v>
      </c>
      <c r="G165" s="369" t="str">
        <f t="shared" ca="1" si="20"/>
        <v>-</v>
      </c>
      <c r="H165" s="369" t="str">
        <f t="shared" ca="1" si="20"/>
        <v>-</v>
      </c>
      <c r="I165" s="369">
        <f t="shared" ca="1" si="19"/>
        <v>1</v>
      </c>
      <c r="J165" s="369"/>
      <c r="K165" s="304">
        <f>IF(L164=COM_N_2012!$AK$121,K164+1,K164)</f>
        <v>3</v>
      </c>
      <c r="L165" s="304">
        <f t="shared" si="21"/>
        <v>30</v>
      </c>
    </row>
    <row r="166" spans="1:12">
      <c r="A166" s="304" t="str">
        <f ca="1">IF(LEFT(OFFSET(COM_N_2012!$A$60,L166,0),2)="\I","*","")</f>
        <v>*</v>
      </c>
      <c r="B166" s="369" t="str">
        <f t="shared" ca="1" si="18"/>
        <v/>
      </c>
      <c r="C166" s="369" t="str">
        <f ca="1">IF($A166="*","",OFFSET(COM_N_2012!$B$60,L166,0))</f>
        <v/>
      </c>
      <c r="D166" s="369" t="str">
        <f ca="1">IF($A166="*","",IF(LEFT($B166,3)="TOP",OFFSET(COM_N_2012!$B$60,$L166,SUMIF($B$9:$B$12,$B166,$M$9:$M$12)),"-"))</f>
        <v/>
      </c>
      <c r="E166" s="369" t="str">
        <f ca="1">IF($A166="*","",IF($B166="PRC_ACTUNT",OFFSET(COM_N_2012!$B$60,$L166,SUMIF($B$9:$B$12,$B166,$M$9:$M$12)),"-"))</f>
        <v/>
      </c>
      <c r="F166" s="369" t="str">
        <f t="shared" ca="1" si="20"/>
        <v/>
      </c>
      <c r="G166" s="369" t="str">
        <f t="shared" ca="1" si="20"/>
        <v/>
      </c>
      <c r="H166" s="369" t="str">
        <f t="shared" ca="1" si="20"/>
        <v/>
      </c>
      <c r="I166" s="369" t="str">
        <f t="shared" ca="1" si="19"/>
        <v/>
      </c>
      <c r="J166" s="369"/>
      <c r="K166" s="304">
        <f>IF(L165=COM_N_2012!$AK$121,K165+1,K165)</f>
        <v>3</v>
      </c>
      <c r="L166" s="304">
        <f t="shared" si="21"/>
        <v>31</v>
      </c>
    </row>
    <row r="167" spans="1:12">
      <c r="A167" s="304" t="str">
        <f ca="1">IF(LEFT(OFFSET(COM_N_2012!$A$60,L167,0),2)="\I","*","")</f>
        <v>*</v>
      </c>
      <c r="B167" s="369" t="str">
        <f t="shared" ca="1" si="18"/>
        <v/>
      </c>
      <c r="C167" s="369" t="str">
        <f ca="1">IF($A167="*","",OFFSET(COM_N_2012!$B$60,L167,0))</f>
        <v/>
      </c>
      <c r="D167" s="369" t="str">
        <f ca="1">IF($A167="*","",IF(LEFT($B167,3)="TOP",OFFSET(COM_N_2012!$B$60,$L167,SUMIF($B$9:$B$12,$B167,$M$9:$M$12)),"-"))</f>
        <v/>
      </c>
      <c r="E167" s="369" t="str">
        <f ca="1">IF($A167="*","",IF($B167="PRC_ACTUNT",OFFSET(COM_N_2012!$B$60,$L167,SUMIF($B$9:$B$12,$B167,$M$9:$M$12)),"-"))</f>
        <v/>
      </c>
      <c r="F167" s="369" t="str">
        <f t="shared" ca="1" si="20"/>
        <v/>
      </c>
      <c r="G167" s="369" t="str">
        <f t="shared" ca="1" si="20"/>
        <v/>
      </c>
      <c r="H167" s="369" t="str">
        <f t="shared" ca="1" si="20"/>
        <v/>
      </c>
      <c r="I167" s="369" t="str">
        <f t="shared" ca="1" si="19"/>
        <v/>
      </c>
      <c r="J167" s="369"/>
      <c r="K167" s="304">
        <f>IF(L166=COM_N_2012!$AK$121,K166+1,K166)</f>
        <v>3</v>
      </c>
      <c r="L167" s="304">
        <f t="shared" si="21"/>
        <v>32</v>
      </c>
    </row>
    <row r="168" spans="1:12">
      <c r="A168" s="304" t="str">
        <f ca="1">IF(LEFT(OFFSET(COM_N_2012!$A$60,L168,0),2)="\I","*","")</f>
        <v/>
      </c>
      <c r="B168" s="369" t="str">
        <f t="shared" ca="1" si="18"/>
        <v>TOP-OUT</v>
      </c>
      <c r="C168" s="369" t="str">
        <f ca="1">IF($A168="*","",OFFSET(COM_N_2012!$B$60,L168,0))</f>
        <v>CNWELC-E</v>
      </c>
      <c r="D168" s="369" t="str">
        <f ca="1">IF($A168="*","",IF(LEFT($B168,3)="TOP",OFFSET(COM_N_2012!$B$60,$L168,SUMIF($B$9:$B$12,$B168,$M$9:$M$12)),"-"))</f>
        <v>CNW</v>
      </c>
      <c r="E168" s="369" t="str">
        <f ca="1">IF($A168="*","",IF($B168="PRC_ACTUNT",OFFSET(COM_N_2012!$B$60,$L168,SUMIF($B$9:$B$12,$B168,$M$9:$M$12)),"-"))</f>
        <v>-</v>
      </c>
      <c r="F168" s="369" t="str">
        <f t="shared" ca="1" si="20"/>
        <v>-</v>
      </c>
      <c r="G168" s="369" t="str">
        <f t="shared" ca="1" si="20"/>
        <v>-</v>
      </c>
      <c r="H168" s="369" t="str">
        <f t="shared" ca="1" si="20"/>
        <v>-</v>
      </c>
      <c r="I168" s="369">
        <f t="shared" ca="1" si="19"/>
        <v>1</v>
      </c>
      <c r="J168" s="369"/>
      <c r="K168" s="304">
        <f>IF(L167=COM_N_2012!$AK$121,K167+1,K167)</f>
        <v>3</v>
      </c>
      <c r="L168" s="304">
        <f t="shared" si="21"/>
        <v>33</v>
      </c>
    </row>
    <row r="169" spans="1:12">
      <c r="A169" s="304" t="str">
        <f ca="1">IF(LEFT(OFFSET(COM_N_2012!$A$60,L169,0),2)="\I","*","")</f>
        <v/>
      </c>
      <c r="B169" s="369" t="str">
        <f t="shared" ca="1" si="18"/>
        <v>TOP-OUT</v>
      </c>
      <c r="C169" s="369" t="str">
        <f ca="1">IF($A169="*","",OFFSET(COM_N_2012!$B$60,L169,0))</f>
        <v>CNWCOA-E</v>
      </c>
      <c r="D169" s="369" t="str">
        <f ca="1">IF($A169="*","",IF(LEFT($B169,3)="TOP",OFFSET(COM_N_2012!$B$60,$L169,SUMIF($B$9:$B$12,$B169,$M$9:$M$12)),"-"))</f>
        <v>CNW</v>
      </c>
      <c r="E169" s="369" t="str">
        <f ca="1">IF($A169="*","",IF($B169="PRC_ACTUNT",OFFSET(COM_N_2012!$B$60,$L169,SUMIF($B$9:$B$12,$B169,$M$9:$M$12)),"-"))</f>
        <v>-</v>
      </c>
      <c r="F169" s="369" t="str">
        <f t="shared" ca="1" si="20"/>
        <v>-</v>
      </c>
      <c r="G169" s="369" t="str">
        <f t="shared" ca="1" si="20"/>
        <v>-</v>
      </c>
      <c r="H169" s="369" t="str">
        <f t="shared" ca="1" si="20"/>
        <v>-</v>
      </c>
      <c r="I169" s="369">
        <f t="shared" ca="1" si="19"/>
        <v>1</v>
      </c>
      <c r="J169" s="369"/>
      <c r="K169" s="304">
        <f>IF(L168=COM_N_2012!$AK$121,K168+1,K168)</f>
        <v>3</v>
      </c>
      <c r="L169" s="304">
        <f t="shared" si="21"/>
        <v>34</v>
      </c>
    </row>
    <row r="170" spans="1:12">
      <c r="A170" s="304" t="str">
        <f ca="1">IF(LEFT(OFFSET(COM_N_2012!$A$60,L170,0),2)="\I","*","")</f>
        <v/>
      </c>
      <c r="B170" s="369" t="str">
        <f t="shared" ca="1" si="18"/>
        <v>TOP-OUT</v>
      </c>
      <c r="C170" s="369" t="str">
        <f ca="1">IF($A170="*","",OFFSET(COM_N_2012!$B$60,L170,0))</f>
        <v>CNWOLP-E</v>
      </c>
      <c r="D170" s="369" t="str">
        <f ca="1">IF($A170="*","",IF(LEFT($B170,3)="TOP",OFFSET(COM_N_2012!$B$60,$L170,SUMIF($B$9:$B$12,$B170,$M$9:$M$12)),"-"))</f>
        <v>CNW</v>
      </c>
      <c r="E170" s="369" t="str">
        <f ca="1">IF($A170="*","",IF($B170="PRC_ACTUNT",OFFSET(COM_N_2012!$B$60,$L170,SUMIF($B$9:$B$12,$B170,$M$9:$M$12)),"-"))</f>
        <v>-</v>
      </c>
      <c r="F170" s="369" t="str">
        <f t="shared" ca="1" si="20"/>
        <v>-</v>
      </c>
      <c r="G170" s="369" t="str">
        <f t="shared" ca="1" si="20"/>
        <v>-</v>
      </c>
      <c r="H170" s="369" t="str">
        <f t="shared" ca="1" si="20"/>
        <v>-</v>
      </c>
      <c r="I170" s="369">
        <f t="shared" ca="1" si="19"/>
        <v>1</v>
      </c>
      <c r="J170" s="369"/>
      <c r="K170" s="304">
        <f>IF(L169=COM_N_2012!$AK$121,K169+1,K169)</f>
        <v>3</v>
      </c>
      <c r="L170" s="304">
        <f t="shared" si="21"/>
        <v>35</v>
      </c>
    </row>
    <row r="171" spans="1:12">
      <c r="A171" s="304" t="str">
        <f ca="1">IF(LEFT(OFFSET(COM_N_2012!$A$60,L171,0),2)="\I","*","")</f>
        <v/>
      </c>
      <c r="B171" s="369" t="str">
        <f t="shared" ca="1" si="18"/>
        <v>TOP-OUT</v>
      </c>
      <c r="C171" s="369" t="str">
        <f ca="1">IF($A171="*","",OFFSET(COM_N_2012!$B$60,L171,0))</f>
        <v>CNWGAS-E</v>
      </c>
      <c r="D171" s="369" t="str">
        <f ca="1">IF($A171="*","",IF(LEFT($B171,3)="TOP",OFFSET(COM_N_2012!$B$60,$L171,SUMIF($B$9:$B$12,$B171,$M$9:$M$12)),"-"))</f>
        <v>CNW</v>
      </c>
      <c r="E171" s="369" t="str">
        <f ca="1">IF($A171="*","",IF($B171="PRC_ACTUNT",OFFSET(COM_N_2012!$B$60,$L171,SUMIF($B$9:$B$12,$B171,$M$9:$M$12)),"-"))</f>
        <v>-</v>
      </c>
      <c r="F171" s="369" t="str">
        <f t="shared" ca="1" si="20"/>
        <v>-</v>
      </c>
      <c r="G171" s="369" t="str">
        <f t="shared" ca="1" si="20"/>
        <v>-</v>
      </c>
      <c r="H171" s="369" t="str">
        <f t="shared" ca="1" si="20"/>
        <v>-</v>
      </c>
      <c r="I171" s="369">
        <f t="shared" ca="1" si="19"/>
        <v>1</v>
      </c>
      <c r="J171" s="369"/>
      <c r="K171" s="304">
        <f>IF(L170=COM_N_2012!$AK$121,K170+1,K170)</f>
        <v>3</v>
      </c>
      <c r="L171" s="304">
        <f t="shared" si="21"/>
        <v>36</v>
      </c>
    </row>
    <row r="172" spans="1:12">
      <c r="A172" s="304" t="str">
        <f ca="1">IF(LEFT(OFFSET(COM_N_2012!$A$60,L172,0),2)="\I","*","")</f>
        <v/>
      </c>
      <c r="B172" s="369" t="str">
        <f t="shared" ca="1" si="18"/>
        <v>TOP-OUT</v>
      </c>
      <c r="C172" s="369" t="str">
        <f ca="1">IF($A172="*","",OFFSET(COM_N_2012!$B$60,L172,0))</f>
        <v>CNWOKE-E</v>
      </c>
      <c r="D172" s="369" t="str">
        <f ca="1">IF($A172="*","",IF(LEFT($B172,3)="TOP",OFFSET(COM_N_2012!$B$60,$L172,SUMIF($B$9:$B$12,$B172,$M$9:$M$12)),"-"))</f>
        <v>CNW</v>
      </c>
      <c r="E172" s="369" t="str">
        <f ca="1">IF($A172="*","",IF($B172="PRC_ACTUNT",OFFSET(COM_N_2012!$B$60,$L172,SUMIF($B$9:$B$12,$B172,$M$9:$M$12)),"-"))</f>
        <v>-</v>
      </c>
      <c r="F172" s="369" t="str">
        <f t="shared" ca="1" si="20"/>
        <v>-</v>
      </c>
      <c r="G172" s="369" t="str">
        <f t="shared" ca="1" si="20"/>
        <v>-</v>
      </c>
      <c r="H172" s="369" t="str">
        <f t="shared" ca="1" si="20"/>
        <v>-</v>
      </c>
      <c r="I172" s="369">
        <f t="shared" ca="1" si="19"/>
        <v>1</v>
      </c>
      <c r="J172" s="369"/>
      <c r="K172" s="304">
        <f>IF(L171=COM_N_2012!$AK$121,K171+1,K171)</f>
        <v>3</v>
      </c>
      <c r="L172" s="304">
        <f t="shared" si="21"/>
        <v>37</v>
      </c>
    </row>
    <row r="173" spans="1:12">
      <c r="A173" s="304" t="str">
        <f ca="1">IF(LEFT(OFFSET(COM_N_2012!$A$60,L173,0),2)="\I","*","")</f>
        <v/>
      </c>
      <c r="B173" s="369" t="str">
        <f t="shared" ca="1" si="18"/>
        <v>TOP-OUT</v>
      </c>
      <c r="C173" s="369" t="str">
        <f ca="1">IF($A173="*","",OFFSET(COM_N_2012!$B$60,L173,0))</f>
        <v>CNWELC-N</v>
      </c>
      <c r="D173" s="369" t="str">
        <f ca="1">IF($A173="*","",IF(LEFT($B173,3)="TOP",OFFSET(COM_N_2012!$B$60,$L173,SUMIF($B$9:$B$12,$B173,$M$9:$M$12)),"-"))</f>
        <v>CNW</v>
      </c>
      <c r="E173" s="369" t="str">
        <f ca="1">IF($A173="*","",IF($B173="PRC_ACTUNT",OFFSET(COM_N_2012!$B$60,$L173,SUMIF($B$9:$B$12,$B173,$M$9:$M$12)),"-"))</f>
        <v>-</v>
      </c>
      <c r="F173" s="369" t="str">
        <f t="shared" ca="1" si="20"/>
        <v>-</v>
      </c>
      <c r="G173" s="369" t="str">
        <f t="shared" ca="1" si="20"/>
        <v>-</v>
      </c>
      <c r="H173" s="369" t="str">
        <f t="shared" ca="1" si="20"/>
        <v>-</v>
      </c>
      <c r="I173" s="369">
        <f t="shared" ca="1" si="19"/>
        <v>1</v>
      </c>
      <c r="J173" s="369"/>
      <c r="K173" s="304">
        <f>IF(L172=COM_N_2012!$AK$121,K172+1,K172)</f>
        <v>3</v>
      </c>
      <c r="L173" s="304">
        <f t="shared" si="21"/>
        <v>38</v>
      </c>
    </row>
    <row r="174" spans="1:12">
      <c r="A174" s="304" t="str">
        <f ca="1">IF(LEFT(OFFSET(COM_N_2012!$A$60,L174,0),2)="\I","*","")</f>
        <v/>
      </c>
      <c r="B174" s="369" t="str">
        <f t="shared" ref="B174:B175" ca="1" si="22">IF(A174="*","",VLOOKUP("*"&amp;K174,$A$9:$B$14,2,FALSE))</f>
        <v>TOP-OUT</v>
      </c>
      <c r="C174" s="369" t="str">
        <f ca="1">IF($A174="*","",OFFSET(COM_N_2012!$B$60,L174,0))</f>
        <v>CNWELCHP-N</v>
      </c>
      <c r="D174" s="369" t="str">
        <f ca="1">IF($A174="*","",IF(LEFT($B174,3)="TOP",OFFSET(COM_N_2012!$B$60,$L174,SUMIF($B$9:$B$12,$B174,$M$9:$M$12)),"-"))</f>
        <v>CNW</v>
      </c>
      <c r="E174" s="369" t="str">
        <f ca="1">IF($A174="*","",IF($B174="PRC_ACTUNT",OFFSET(COM_N_2012!$B$60,$L174,SUMIF($B$9:$B$12,$B174,$M$9:$M$12)),"-"))</f>
        <v>-</v>
      </c>
      <c r="F174" s="369" t="str">
        <f t="shared" ref="F174:H189" ca="1" si="23">IF($A174="*","","-")</f>
        <v>-</v>
      </c>
      <c r="G174" s="369" t="str">
        <f t="shared" ca="1" si="23"/>
        <v>-</v>
      </c>
      <c r="H174" s="369" t="str">
        <f t="shared" ca="1" si="23"/>
        <v>-</v>
      </c>
      <c r="I174" s="369">
        <f t="shared" ref="I174:I175" ca="1" si="24">IF($A174="*","",SUMIF($B$9:$B$12,B174,$I$9:$I$12))</f>
        <v>1</v>
      </c>
      <c r="J174" s="369"/>
      <c r="K174" s="304">
        <f>IF(L173=COM_N_2012!$AK$121,K173+1,K173)</f>
        <v>3</v>
      </c>
      <c r="L174" s="304">
        <f t="shared" si="21"/>
        <v>39</v>
      </c>
    </row>
    <row r="175" spans="1:12">
      <c r="A175" s="304" t="str">
        <f ca="1">IF(LEFT(OFFSET(COM_N_2012!$A$60,L175,0),2)="\I","*","")</f>
        <v>*</v>
      </c>
      <c r="B175" s="369" t="str">
        <f t="shared" ca="1" si="22"/>
        <v/>
      </c>
      <c r="C175" s="369" t="str">
        <f ca="1">IF($A175="*","",OFFSET(COM_N_2012!$B$60,L175,0))</f>
        <v/>
      </c>
      <c r="D175" s="369" t="str">
        <f ca="1">IF($A175="*","",IF(LEFT($B175,3)="TOP",OFFSET(COM_N_2012!$B$60,$L175,SUMIF($B$9:$B$12,$B175,$M$9:$M$12)),"-"))</f>
        <v/>
      </c>
      <c r="E175" s="369" t="str">
        <f ca="1">IF($A175="*","",IF($B175="PRC_ACTUNT",OFFSET(COM_N_2012!$B$60,$L175,SUMIF($B$9:$B$12,$B175,$M$9:$M$12)),"-"))</f>
        <v/>
      </c>
      <c r="F175" s="369" t="str">
        <f t="shared" ca="1" si="23"/>
        <v/>
      </c>
      <c r="G175" s="369" t="str">
        <f t="shared" ca="1" si="23"/>
        <v/>
      </c>
      <c r="H175" s="369" t="str">
        <f t="shared" ca="1" si="23"/>
        <v/>
      </c>
      <c r="I175" s="369" t="str">
        <f t="shared" ca="1" si="24"/>
        <v/>
      </c>
      <c r="J175" s="369"/>
      <c r="K175" s="304">
        <f>IF(L174=COM_N_2012!$AK$121,K174+1,K174)</f>
        <v>3</v>
      </c>
      <c r="L175" s="304">
        <f t="shared" si="21"/>
        <v>40</v>
      </c>
    </row>
    <row r="176" spans="1:12">
      <c r="A176" s="304" t="str">
        <f ca="1">IF(LEFT(OFFSET(COM_N_2012!$A$60,L176,0),2)="\I","*","")</f>
        <v>*</v>
      </c>
      <c r="B176" s="369" t="str">
        <f t="shared" ref="B176:B177" ca="1" si="25">IF(A176="*","",VLOOKUP("*"&amp;K176,$A$9:$B$14,2,FALSE))</f>
        <v/>
      </c>
      <c r="C176" s="369" t="str">
        <f ca="1">IF($A176="*","",OFFSET(COM_N_2012!$B$60,L176,0))</f>
        <v/>
      </c>
      <c r="D176" s="369" t="str">
        <f ca="1">IF($A176="*","",IF(LEFT($B176,3)="TOP",OFFSET(COM_N_2012!$B$60,$L176,SUMIF($B$9:$B$12,$B176,$M$9:$M$12)),"-"))</f>
        <v/>
      </c>
      <c r="E176" s="369" t="str">
        <f ca="1">IF($A176="*","",IF($B176="PRC_ACTUNT",OFFSET(COM_N_2012!$B$60,$L176,SUMIF($B$9:$B$12,$B176,$M$9:$M$12)),"-"))</f>
        <v/>
      </c>
      <c r="F176" s="369" t="str">
        <f t="shared" ca="1" si="23"/>
        <v/>
      </c>
      <c r="G176" s="369" t="str">
        <f t="shared" ca="1" si="23"/>
        <v/>
      </c>
      <c r="H176" s="369" t="str">
        <f t="shared" ca="1" si="23"/>
        <v/>
      </c>
      <c r="I176" s="369" t="str">
        <f t="shared" ref="I176:I177" ca="1" si="26">IF($A176="*","",SUMIF($B$9:$B$12,B176,$I$9:$I$12))</f>
        <v/>
      </c>
      <c r="J176" s="369"/>
      <c r="K176" s="304">
        <f>IF(L175=COM_N_2012!$AK$121,K175+1,K175)</f>
        <v>3</v>
      </c>
      <c r="L176" s="304">
        <f t="shared" si="21"/>
        <v>41</v>
      </c>
    </row>
    <row r="177" spans="1:12">
      <c r="A177" s="304" t="str">
        <f ca="1">IF(LEFT(OFFSET(COM_N_2012!$A$60,L177,0),2)="\I","*","")</f>
        <v/>
      </c>
      <c r="B177" s="369" t="str">
        <f t="shared" ca="1" si="25"/>
        <v>TOP-OUT</v>
      </c>
      <c r="C177" s="369" t="str">
        <f ca="1">IF($A177="*","",OFFSET(COM_N_2012!$B$60,L177,0))</f>
        <v>CNGELCINC-E</v>
      </c>
      <c r="D177" s="369" t="str">
        <f ca="1">IF($A177="*","",IF(LEFT($B177,3)="TOP",OFFSET(COM_N_2012!$B$60,$L177,SUMIF($B$9:$B$12,$B177,$M$9:$M$12)),"-"))</f>
        <v>CNG</v>
      </c>
      <c r="E177" s="369" t="str">
        <f ca="1">IF($A177="*","",IF($B177="PRC_ACTUNT",OFFSET(COM_N_2012!$B$60,$L177,SUMIF($B$9:$B$12,$B177,$M$9:$M$12)),"-"))</f>
        <v>-</v>
      </c>
      <c r="F177" s="369" t="str">
        <f t="shared" ca="1" si="23"/>
        <v>-</v>
      </c>
      <c r="G177" s="369" t="str">
        <f t="shared" ca="1" si="23"/>
        <v>-</v>
      </c>
      <c r="H177" s="369" t="str">
        <f t="shared" ca="1" si="23"/>
        <v>-</v>
      </c>
      <c r="I177" s="369">
        <f t="shared" ca="1" si="26"/>
        <v>1</v>
      </c>
      <c r="J177" s="369"/>
      <c r="K177" s="304">
        <f>IF(L176=COM_N_2012!$AK$121,K176+1,K176)</f>
        <v>3</v>
      </c>
      <c r="L177" s="304">
        <f t="shared" si="21"/>
        <v>42</v>
      </c>
    </row>
    <row r="178" spans="1:12">
      <c r="A178" s="304" t="str">
        <f ca="1">IF(LEFT(OFFSET(COM_N_2012!$A$60,L178,0),2)="\I","*","")</f>
        <v/>
      </c>
      <c r="B178" s="369" t="str">
        <f t="shared" ref="B178:B224" ca="1" si="27">IF(A178="*","",VLOOKUP("*"&amp;K178,$A$9:$B$14,2,FALSE))</f>
        <v>TOP-OUT</v>
      </c>
      <c r="C178" s="369" t="str">
        <f ca="1">IF($A178="*","",OFFSET(COM_N_2012!$B$60,L178,0))</f>
        <v>CNGELCHAL-E</v>
      </c>
      <c r="D178" s="369" t="str">
        <f ca="1">IF($A178="*","",IF(LEFT($B178,3)="TOP",OFFSET(COM_N_2012!$B$60,$L178,SUMIF($B$9:$B$12,$B178,$M$9:$M$12)),"-"))</f>
        <v>CNG</v>
      </c>
      <c r="E178" s="369" t="str">
        <f ca="1">IF($A178="*","",IF($B178="PRC_ACTUNT",OFFSET(COM_N_2012!$B$60,$L178,SUMIF($B$9:$B$12,$B178,$M$9:$M$12)),"-"))</f>
        <v>-</v>
      </c>
      <c r="F178" s="369" t="str">
        <f t="shared" ca="1" si="23"/>
        <v>-</v>
      </c>
      <c r="G178" s="369" t="str">
        <f t="shared" ca="1" si="23"/>
        <v>-</v>
      </c>
      <c r="H178" s="369" t="str">
        <f t="shared" ca="1" si="23"/>
        <v>-</v>
      </c>
      <c r="I178" s="369">
        <f t="shared" ref="I178:I224" ca="1" si="28">IF($A178="*","",SUMIF($B$9:$B$12,B178,$I$9:$I$12))</f>
        <v>1</v>
      </c>
      <c r="J178" s="369"/>
      <c r="K178" s="304">
        <f>IF(L177=COM_N_2012!$AK$121,K177+1,K177)</f>
        <v>3</v>
      </c>
      <c r="L178" s="304">
        <f t="shared" si="21"/>
        <v>43</v>
      </c>
    </row>
    <row r="179" spans="1:12">
      <c r="A179" s="304" t="str">
        <f ca="1">IF(LEFT(OFFSET(COM_N_2012!$A$60,L179,0),2)="\I","*","")</f>
        <v/>
      </c>
      <c r="B179" s="369" t="str">
        <f t="shared" ca="1" si="27"/>
        <v>TOP-OUT</v>
      </c>
      <c r="C179" s="369" t="str">
        <f ca="1">IF($A179="*","",OFFSET(COM_N_2012!$B$60,L179,0))</f>
        <v>CNGELCHPM-E</v>
      </c>
      <c r="D179" s="369" t="str">
        <f ca="1">IF($A179="*","",IF(LEFT($B179,3)="TOP",OFFSET(COM_N_2012!$B$60,$L179,SUMIF($B$9:$B$12,$B179,$M$9:$M$12)),"-"))</f>
        <v>CNG</v>
      </c>
      <c r="E179" s="369" t="str">
        <f ca="1">IF($A179="*","",IF($B179="PRC_ACTUNT",OFFSET(COM_N_2012!$B$60,$L179,SUMIF($B$9:$B$12,$B179,$M$9:$M$12)),"-"))</f>
        <v>-</v>
      </c>
      <c r="F179" s="369" t="str">
        <f t="shared" ca="1" si="23"/>
        <v>-</v>
      </c>
      <c r="G179" s="369" t="str">
        <f t="shared" ca="1" si="23"/>
        <v>-</v>
      </c>
      <c r="H179" s="369" t="str">
        <f t="shared" ca="1" si="23"/>
        <v>-</v>
      </c>
      <c r="I179" s="369">
        <f t="shared" ca="1" si="28"/>
        <v>1</v>
      </c>
      <c r="J179" s="369"/>
      <c r="K179" s="304">
        <f>IF(L178=COM_N_2012!$AK$121,K178+1,K178)</f>
        <v>3</v>
      </c>
      <c r="L179" s="304">
        <f t="shared" si="21"/>
        <v>44</v>
      </c>
    </row>
    <row r="180" spans="1:12">
      <c r="A180" s="304" t="str">
        <f ca="1">IF(LEFT(OFFSET(COM_N_2012!$A$60,L180,0),2)="\I","*","")</f>
        <v/>
      </c>
      <c r="B180" s="369" t="str">
        <f t="shared" ca="1" si="27"/>
        <v>TOP-OUT</v>
      </c>
      <c r="C180" s="369" t="str">
        <f ca="1">IF($A180="*","",OFFSET(COM_N_2012!$B$60,L180,0))</f>
        <v>CNGELCHPS-E</v>
      </c>
      <c r="D180" s="369" t="str">
        <f ca="1">IF($A180="*","",IF(LEFT($B180,3)="TOP",OFFSET(COM_N_2012!$B$60,$L180,SUMIF($B$9:$B$12,$B180,$M$9:$M$12)),"-"))</f>
        <v>CNG</v>
      </c>
      <c r="E180" s="369" t="str">
        <f ca="1">IF($A180="*","",IF($B180="PRC_ACTUNT",OFFSET(COM_N_2012!$B$60,$L180,SUMIF($B$9:$B$12,$B180,$M$9:$M$12)),"-"))</f>
        <v>-</v>
      </c>
      <c r="F180" s="369" t="str">
        <f t="shared" ca="1" si="23"/>
        <v>-</v>
      </c>
      <c r="G180" s="369" t="str">
        <f t="shared" ca="1" si="23"/>
        <v>-</v>
      </c>
      <c r="H180" s="369" t="str">
        <f t="shared" ca="1" si="23"/>
        <v>-</v>
      </c>
      <c r="I180" s="369">
        <f t="shared" ca="1" si="28"/>
        <v>1</v>
      </c>
      <c r="J180" s="369"/>
      <c r="K180" s="304">
        <f>IF(L179=COM_N_2012!$AK$121,K179+1,K179)</f>
        <v>3</v>
      </c>
      <c r="L180" s="304">
        <f t="shared" si="21"/>
        <v>45</v>
      </c>
    </row>
    <row r="181" spans="1:12">
      <c r="A181" s="304" t="str">
        <f ca="1">IF(LEFT(OFFSET(COM_N_2012!$A$60,L181,0),2)="\I","*","")</f>
        <v/>
      </c>
      <c r="B181" s="369" t="str">
        <f t="shared" ca="1" si="27"/>
        <v>TOP-OUT</v>
      </c>
      <c r="C181" s="369" t="str">
        <f ca="1">IF($A181="*","",OFFSET(COM_N_2012!$B$60,L181,0))</f>
        <v>CNGELCMHL-E</v>
      </c>
      <c r="D181" s="369" t="str">
        <f ca="1">IF($A181="*","",IF(LEFT($B181,3)="TOP",OFFSET(COM_N_2012!$B$60,$L181,SUMIF($B$9:$B$12,$B181,$M$9:$M$12)),"-"))</f>
        <v>CNG</v>
      </c>
      <c r="E181" s="369" t="str">
        <f ca="1">IF($A181="*","",IF($B181="PRC_ACTUNT",OFFSET(COM_N_2012!$B$60,$L181,SUMIF($B$9:$B$12,$B181,$M$9:$M$12)),"-"))</f>
        <v>-</v>
      </c>
      <c r="F181" s="369" t="str">
        <f t="shared" ca="1" si="23"/>
        <v>-</v>
      </c>
      <c r="G181" s="369" t="str">
        <f t="shared" ca="1" si="23"/>
        <v>-</v>
      </c>
      <c r="H181" s="369" t="str">
        <f t="shared" ca="1" si="23"/>
        <v>-</v>
      </c>
      <c r="I181" s="369">
        <f t="shared" ca="1" si="28"/>
        <v>1</v>
      </c>
      <c r="J181" s="369"/>
      <c r="K181" s="304">
        <f>IF(L180=COM_N_2012!$AK$121,K180+1,K180)</f>
        <v>3</v>
      </c>
      <c r="L181" s="304">
        <f t="shared" si="21"/>
        <v>46</v>
      </c>
    </row>
    <row r="182" spans="1:12">
      <c r="A182" s="304" t="str">
        <f ca="1">IF(LEFT(OFFSET(COM_N_2012!$A$60,L182,0),2)="\I","*","")</f>
        <v/>
      </c>
      <c r="B182" s="369" t="str">
        <f t="shared" ca="1" si="27"/>
        <v>TOP-OUT</v>
      </c>
      <c r="C182" s="369" t="str">
        <f ca="1">IF($A182="*","",OFFSET(COM_N_2012!$B$60,L182,0))</f>
        <v>CNGELCLED-N</v>
      </c>
      <c r="D182" s="369" t="str">
        <f ca="1">IF($A182="*","",IF(LEFT($B182,3)="TOP",OFFSET(COM_N_2012!$B$60,$L182,SUMIF($B$9:$B$12,$B182,$M$9:$M$12)),"-"))</f>
        <v>CNG</v>
      </c>
      <c r="E182" s="369" t="str">
        <f ca="1">IF($A182="*","",IF($B182="PRC_ACTUNT",OFFSET(COM_N_2012!$B$60,$L182,SUMIF($B$9:$B$12,$B182,$M$9:$M$12)),"-"))</f>
        <v>-</v>
      </c>
      <c r="F182" s="369" t="str">
        <f t="shared" ca="1" si="23"/>
        <v>-</v>
      </c>
      <c r="G182" s="369" t="str">
        <f t="shared" ca="1" si="23"/>
        <v>-</v>
      </c>
      <c r="H182" s="369" t="str">
        <f t="shared" ca="1" si="23"/>
        <v>-</v>
      </c>
      <c r="I182" s="369">
        <f t="shared" ca="1" si="28"/>
        <v>1</v>
      </c>
      <c r="J182" s="369"/>
      <c r="K182" s="304">
        <f>IF(L181=COM_N_2012!$AK$121,K181+1,K181)</f>
        <v>3</v>
      </c>
      <c r="L182" s="304">
        <f t="shared" si="21"/>
        <v>47</v>
      </c>
    </row>
    <row r="183" spans="1:12">
      <c r="A183" s="304" t="str">
        <f ca="1">IF(LEFT(OFFSET(COM_N_2012!$A$60,L183,0),2)="\I","*","")</f>
        <v>*</v>
      </c>
      <c r="B183" s="369" t="str">
        <f t="shared" ca="1" si="27"/>
        <v/>
      </c>
      <c r="C183" s="369" t="str">
        <f ca="1">IF($A183="*","",OFFSET(COM_N_2012!$B$60,L183,0))</f>
        <v/>
      </c>
      <c r="D183" s="369" t="str">
        <f ca="1">IF($A183="*","",IF(LEFT($B183,3)="TOP",OFFSET(COM_N_2012!$B$60,$L183,SUMIF($B$9:$B$12,$B183,$M$9:$M$12)),"-"))</f>
        <v/>
      </c>
      <c r="E183" s="369" t="str">
        <f ca="1">IF($A183="*","",IF($B183="PRC_ACTUNT",OFFSET(COM_N_2012!$B$60,$L183,SUMIF($B$9:$B$12,$B183,$M$9:$M$12)),"-"))</f>
        <v/>
      </c>
      <c r="F183" s="369" t="str">
        <f t="shared" ca="1" si="23"/>
        <v/>
      </c>
      <c r="G183" s="369" t="str">
        <f t="shared" ca="1" si="23"/>
        <v/>
      </c>
      <c r="H183" s="369" t="str">
        <f t="shared" ca="1" si="23"/>
        <v/>
      </c>
      <c r="I183" s="369" t="str">
        <f t="shared" ca="1" si="28"/>
        <v/>
      </c>
      <c r="J183" s="369"/>
      <c r="K183" s="304">
        <f>IF(L182=COM_N_2012!$AK$121,K182+1,K182)</f>
        <v>3</v>
      </c>
      <c r="L183" s="304">
        <f t="shared" si="21"/>
        <v>48</v>
      </c>
    </row>
    <row r="184" spans="1:12">
      <c r="A184" s="304" t="str">
        <f ca="1">IF(LEFT(OFFSET(COM_N_2012!$A$60,L184,0),2)="\I","*","")</f>
        <v>*</v>
      </c>
      <c r="B184" s="369" t="str">
        <f t="shared" ca="1" si="27"/>
        <v/>
      </c>
      <c r="C184" s="369" t="str">
        <f ca="1">IF($A184="*","",OFFSET(COM_N_2012!$B$60,L184,0))</f>
        <v/>
      </c>
      <c r="D184" s="369" t="str">
        <f ca="1">IF($A184="*","",IF(LEFT($B184,3)="TOP",OFFSET(COM_N_2012!$B$60,$L184,SUMIF($B$9:$B$12,$B184,$M$9:$M$12)),"-"))</f>
        <v/>
      </c>
      <c r="E184" s="369" t="str">
        <f ca="1">IF($A184="*","",IF($B184="PRC_ACTUNT",OFFSET(COM_N_2012!$B$60,$L184,SUMIF($B$9:$B$12,$B184,$M$9:$M$12)),"-"))</f>
        <v/>
      </c>
      <c r="F184" s="369" t="str">
        <f t="shared" ca="1" si="23"/>
        <v/>
      </c>
      <c r="G184" s="369" t="str">
        <f t="shared" ca="1" si="23"/>
        <v/>
      </c>
      <c r="H184" s="369" t="str">
        <f t="shared" ca="1" si="23"/>
        <v/>
      </c>
      <c r="I184" s="369" t="str">
        <f t="shared" ca="1" si="28"/>
        <v/>
      </c>
      <c r="J184" s="369"/>
      <c r="K184" s="304">
        <f>IF(L183=COM_N_2012!$AK$121,K183+1,K183)</f>
        <v>3</v>
      </c>
      <c r="L184" s="304">
        <f t="shared" si="21"/>
        <v>49</v>
      </c>
    </row>
    <row r="185" spans="1:12">
      <c r="A185" s="304" t="str">
        <f ca="1">IF(LEFT(OFFSET(COM_N_2012!$A$60,L185,0),2)="\I","*","")</f>
        <v/>
      </c>
      <c r="B185" s="369" t="str">
        <f t="shared" ca="1" si="27"/>
        <v>TOP-OUT</v>
      </c>
      <c r="C185" s="369" t="str">
        <f ca="1">IF($A185="*","",OFFSET(COM_N_2012!$B$60,L185,0))</f>
        <v>CNTELC-E</v>
      </c>
      <c r="D185" s="369" t="str">
        <f ca="1">IF($A185="*","",IF(LEFT($B185,3)="TOP",OFFSET(COM_N_2012!$B$60,$L185,SUMIF($B$9:$B$12,$B185,$M$9:$M$12)),"-"))</f>
        <v>CNT</v>
      </c>
      <c r="E185" s="369" t="str">
        <f ca="1">IF($A185="*","",IF($B185="PRC_ACTUNT",OFFSET(COM_N_2012!$B$60,$L185,SUMIF($B$9:$B$12,$B185,$M$9:$M$12)),"-"))</f>
        <v>-</v>
      </c>
      <c r="F185" s="369" t="str">
        <f t="shared" ca="1" si="23"/>
        <v>-</v>
      </c>
      <c r="G185" s="369" t="str">
        <f t="shared" ca="1" si="23"/>
        <v>-</v>
      </c>
      <c r="H185" s="369" t="str">
        <f t="shared" ca="1" si="23"/>
        <v>-</v>
      </c>
      <c r="I185" s="369">
        <f t="shared" ca="1" si="28"/>
        <v>1</v>
      </c>
      <c r="J185" s="369"/>
      <c r="K185" s="304">
        <f>IF(L184=COM_N_2012!$AK$121,K184+1,K184)</f>
        <v>3</v>
      </c>
      <c r="L185" s="304">
        <f t="shared" si="21"/>
        <v>50</v>
      </c>
    </row>
    <row r="186" spans="1:12">
      <c r="A186" s="304" t="str">
        <f ca="1">IF(LEFT(OFFSET(COM_N_2012!$A$60,L186,0),2)="\I","*","")</f>
        <v>*</v>
      </c>
      <c r="B186" s="369" t="str">
        <f t="shared" ca="1" si="27"/>
        <v/>
      </c>
      <c r="C186" s="369" t="str">
        <f ca="1">IF($A186="*","",OFFSET(COM_N_2012!$B$60,L186,0))</f>
        <v/>
      </c>
      <c r="D186" s="369" t="str">
        <f ca="1">IF($A186="*","",IF(LEFT($B186,3)="TOP",OFFSET(COM_N_2012!$B$60,$L186,SUMIF($B$9:$B$12,$B186,$M$9:$M$12)),"-"))</f>
        <v/>
      </c>
      <c r="E186" s="369" t="str">
        <f ca="1">IF($A186="*","",IF($B186="PRC_ACTUNT",OFFSET(COM_N_2012!$B$60,$L186,SUMIF($B$9:$B$12,$B186,$M$9:$M$12)),"-"))</f>
        <v/>
      </c>
      <c r="F186" s="369" t="str">
        <f t="shared" ca="1" si="23"/>
        <v/>
      </c>
      <c r="G186" s="369" t="str">
        <f t="shared" ca="1" si="23"/>
        <v/>
      </c>
      <c r="H186" s="369" t="str">
        <f t="shared" ca="1" si="23"/>
        <v/>
      </c>
      <c r="I186" s="369" t="str">
        <f t="shared" ca="1" si="28"/>
        <v/>
      </c>
      <c r="J186" s="369"/>
      <c r="K186" s="304">
        <f>IF(L185=COM_N_2012!$AK$121,K185+1,K185)</f>
        <v>3</v>
      </c>
      <c r="L186" s="304">
        <f t="shared" si="21"/>
        <v>51</v>
      </c>
    </row>
    <row r="187" spans="1:12">
      <c r="A187" s="304" t="str">
        <f ca="1">IF(LEFT(OFFSET(COM_N_2012!$A$60,L187,0),2)="\I","*","")</f>
        <v>*</v>
      </c>
      <c r="B187" s="369" t="str">
        <f t="shared" ca="1" si="27"/>
        <v/>
      </c>
      <c r="C187" s="369" t="str">
        <f ca="1">IF($A187="*","",OFFSET(COM_N_2012!$B$60,L187,0))</f>
        <v/>
      </c>
      <c r="D187" s="369" t="str">
        <f ca="1">IF($A187="*","",IF(LEFT($B187,3)="TOP",OFFSET(COM_N_2012!$B$60,$L187,SUMIF($B$9:$B$12,$B187,$M$9:$M$12)),"-"))</f>
        <v/>
      </c>
      <c r="E187" s="369" t="str">
        <f ca="1">IF($A187="*","",IF($B187="PRC_ACTUNT",OFFSET(COM_N_2012!$B$60,$L187,SUMIF($B$9:$B$12,$B187,$M$9:$M$12)),"-"))</f>
        <v/>
      </c>
      <c r="F187" s="369" t="str">
        <f t="shared" ca="1" si="23"/>
        <v/>
      </c>
      <c r="G187" s="369" t="str">
        <f t="shared" ca="1" si="23"/>
        <v/>
      </c>
      <c r="H187" s="369" t="str">
        <f t="shared" ca="1" si="23"/>
        <v/>
      </c>
      <c r="I187" s="369" t="str">
        <f t="shared" ca="1" si="28"/>
        <v/>
      </c>
      <c r="J187" s="369"/>
      <c r="K187" s="304">
        <f>IF(L186=COM_N_2012!$AK$121,K186+1,K186)</f>
        <v>3</v>
      </c>
      <c r="L187" s="304">
        <f t="shared" si="21"/>
        <v>52</v>
      </c>
    </row>
    <row r="188" spans="1:12">
      <c r="A188" s="304" t="str">
        <f ca="1">IF(LEFT(OFFSET(COM_N_2012!$A$60,L188,0),2)="\I","*","")</f>
        <v/>
      </c>
      <c r="B188" s="369" t="str">
        <f t="shared" ca="1" si="27"/>
        <v>TOP-OUT</v>
      </c>
      <c r="C188" s="369" t="str">
        <f ca="1">IF($A188="*","",OFFSET(COM_N_2012!$B$60,L188,0))</f>
        <v>CNOCOA-E</v>
      </c>
      <c r="D188" s="369" t="str">
        <f ca="1">IF($A188="*","",IF(LEFT($B188,3)="TOP",OFFSET(COM_N_2012!$B$60,$L188,SUMIF($B$9:$B$12,$B188,$M$9:$M$12)),"-"))</f>
        <v>CNO</v>
      </c>
      <c r="E188" s="369" t="str">
        <f ca="1">IF($A188="*","",IF($B188="PRC_ACTUNT",OFFSET(COM_N_2012!$B$60,$L188,SUMIF($B$9:$B$12,$B188,$M$9:$M$12)),"-"))</f>
        <v>-</v>
      </c>
      <c r="F188" s="369" t="str">
        <f t="shared" ca="1" si="23"/>
        <v>-</v>
      </c>
      <c r="G188" s="369" t="str">
        <f t="shared" ca="1" si="23"/>
        <v>-</v>
      </c>
      <c r="H188" s="369" t="str">
        <f t="shared" ca="1" si="23"/>
        <v>-</v>
      </c>
      <c r="I188" s="369">
        <f t="shared" ca="1" si="28"/>
        <v>1</v>
      </c>
      <c r="J188" s="369"/>
      <c r="K188" s="304">
        <f>IF(L187=COM_N_2012!$AK$121,K187+1,K187)</f>
        <v>3</v>
      </c>
      <c r="L188" s="304">
        <f t="shared" si="21"/>
        <v>53</v>
      </c>
    </row>
    <row r="189" spans="1:12">
      <c r="A189" s="304" t="str">
        <f ca="1">IF(LEFT(OFFSET(COM_N_2012!$A$60,L189,0),2)="\I","*","")</f>
        <v/>
      </c>
      <c r="B189" s="369" t="str">
        <f t="shared" ca="1" si="27"/>
        <v>TOP-OUT</v>
      </c>
      <c r="C189" s="369" t="str">
        <f ca="1">IF($A189="*","",OFFSET(COM_N_2012!$B$60,L189,0))</f>
        <v>CNOODS-E</v>
      </c>
      <c r="D189" s="369" t="str">
        <f ca="1">IF($A189="*","",IF(LEFT($B189,3)="TOP",OFFSET(COM_N_2012!$B$60,$L189,SUMIF($B$9:$B$12,$B189,$M$9:$M$12)),"-"))</f>
        <v>CNO</v>
      </c>
      <c r="E189" s="369" t="str">
        <f ca="1">IF($A189="*","",IF($B189="PRC_ACTUNT",OFFSET(COM_N_2012!$B$60,$L189,SUMIF($B$9:$B$12,$B189,$M$9:$M$12)),"-"))</f>
        <v>-</v>
      </c>
      <c r="F189" s="369" t="str">
        <f t="shared" ca="1" si="23"/>
        <v>-</v>
      </c>
      <c r="G189" s="369" t="str">
        <f t="shared" ca="1" si="23"/>
        <v>-</v>
      </c>
      <c r="H189" s="369" t="str">
        <f t="shared" ca="1" si="23"/>
        <v>-</v>
      </c>
      <c r="I189" s="369">
        <f t="shared" ca="1" si="28"/>
        <v>1</v>
      </c>
      <c r="J189" s="369"/>
      <c r="K189" s="304">
        <f>IF(L188=COM_N_2012!$AK$121,K188+1,K188)</f>
        <v>3</v>
      </c>
      <c r="L189" s="304">
        <f t="shared" si="21"/>
        <v>54</v>
      </c>
    </row>
    <row r="190" spans="1:12">
      <c r="A190" s="304" t="str">
        <f ca="1">IF(LEFT(OFFSET(COM_N_2012!$A$60,L190,0),2)="\I","*","")</f>
        <v/>
      </c>
      <c r="B190" s="369" t="str">
        <f t="shared" ca="1" si="27"/>
        <v>TOP-OUT</v>
      </c>
      <c r="C190" s="369" t="str">
        <f ca="1">IF($A190="*","",OFFSET(COM_N_2012!$B$60,L190,0))</f>
        <v>CNOELC-E</v>
      </c>
      <c r="D190" s="369" t="str">
        <f ca="1">IF($A190="*","",IF(LEFT($B190,3)="TOP",OFFSET(COM_N_2012!$B$60,$L190,SUMIF($B$9:$B$12,$B190,$M$9:$M$12)),"-"))</f>
        <v>CNO</v>
      </c>
      <c r="E190" s="369" t="str">
        <f ca="1">IF($A190="*","",IF($B190="PRC_ACTUNT",OFFSET(COM_N_2012!$B$60,$L190,SUMIF($B$9:$B$12,$B190,$M$9:$M$12)),"-"))</f>
        <v>-</v>
      </c>
      <c r="F190" s="369" t="str">
        <f t="shared" ref="F190:H227" ca="1" si="29">IF($A190="*","","-")</f>
        <v>-</v>
      </c>
      <c r="G190" s="369" t="str">
        <f t="shared" ca="1" si="29"/>
        <v>-</v>
      </c>
      <c r="H190" s="369" t="str">
        <f t="shared" ca="1" si="29"/>
        <v>-</v>
      </c>
      <c r="I190" s="369">
        <f t="shared" ca="1" si="28"/>
        <v>1</v>
      </c>
      <c r="J190" s="369"/>
      <c r="K190" s="304">
        <f>IF(L189=COM_N_2012!$AK$121,K189+1,K189)</f>
        <v>3</v>
      </c>
      <c r="L190" s="304">
        <f t="shared" si="21"/>
        <v>55</v>
      </c>
    </row>
    <row r="191" spans="1:12">
      <c r="A191" s="304" t="str">
        <f ca="1">IF(LEFT(OFFSET(COM_N_2012!$A$60,L191,0),2)="\I","*","")</f>
        <v/>
      </c>
      <c r="B191" s="369" t="str">
        <f t="shared" ca="1" si="27"/>
        <v>TOP-OUT</v>
      </c>
      <c r="C191" s="369" t="str">
        <f ca="1">IF($A191="*","",OFFSET(COM_N_2012!$B$60,L191,0))</f>
        <v>CNOGAS-E</v>
      </c>
      <c r="D191" s="369" t="str">
        <f ca="1">IF($A191="*","",IF(LEFT($B191,3)="TOP",OFFSET(COM_N_2012!$B$60,$L191,SUMIF($B$9:$B$12,$B191,$M$9:$M$12)),"-"))</f>
        <v>CNO</v>
      </c>
      <c r="E191" s="369" t="str">
        <f ca="1">IF($A191="*","",IF($B191="PRC_ACTUNT",OFFSET(COM_N_2012!$B$60,$L191,SUMIF($B$9:$B$12,$B191,$M$9:$M$12)),"-"))</f>
        <v>-</v>
      </c>
      <c r="F191" s="369" t="str">
        <f t="shared" ca="1" si="29"/>
        <v>-</v>
      </c>
      <c r="G191" s="369" t="str">
        <f t="shared" ca="1" si="29"/>
        <v>-</v>
      </c>
      <c r="H191" s="369" t="str">
        <f t="shared" ca="1" si="29"/>
        <v>-</v>
      </c>
      <c r="I191" s="369">
        <f t="shared" ca="1" si="28"/>
        <v>1</v>
      </c>
      <c r="J191" s="369"/>
      <c r="K191" s="304">
        <f>IF(L190=COM_N_2012!$AK$121,K190+1,K190)</f>
        <v>3</v>
      </c>
      <c r="L191" s="304">
        <f t="shared" si="21"/>
        <v>56</v>
      </c>
    </row>
    <row r="192" spans="1:12">
      <c r="A192" s="304" t="str">
        <f ca="1">IF(LEFT(OFFSET(COM_N_2012!$A$60,L192,0),2)="\I","*","")</f>
        <v/>
      </c>
      <c r="B192" s="369" t="str">
        <f t="shared" ca="1" si="27"/>
        <v>TOP-OUT</v>
      </c>
      <c r="C192" s="369" t="str">
        <f ca="1">IF($A192="*","",OFFSET(COM_N_2012!$B$60,L192,0))</f>
        <v>CNOOGS-E</v>
      </c>
      <c r="D192" s="369" t="str">
        <f ca="1">IF($A192="*","",IF(LEFT($B192,3)="TOP",OFFSET(COM_N_2012!$B$60,$L192,SUMIF($B$9:$B$12,$B192,$M$9:$M$12)),"-"))</f>
        <v>CNO</v>
      </c>
      <c r="E192" s="369" t="str">
        <f ca="1">IF($A192="*","",IF($B192="PRC_ACTUNT",OFFSET(COM_N_2012!$B$60,$L192,SUMIF($B$9:$B$12,$B192,$M$9:$M$12)),"-"))</f>
        <v>-</v>
      </c>
      <c r="F192" s="369" t="str">
        <f t="shared" ca="1" si="29"/>
        <v>-</v>
      </c>
      <c r="G192" s="369" t="str">
        <f t="shared" ca="1" si="29"/>
        <v>-</v>
      </c>
      <c r="H192" s="369" t="str">
        <f t="shared" ca="1" si="29"/>
        <v>-</v>
      </c>
      <c r="I192" s="369">
        <f t="shared" ca="1" si="28"/>
        <v>1</v>
      </c>
      <c r="J192" s="369"/>
      <c r="K192" s="304">
        <f>IF(L191=COM_N_2012!$AK$121,K191+1,K191)</f>
        <v>3</v>
      </c>
      <c r="L192" s="304">
        <f t="shared" si="21"/>
        <v>57</v>
      </c>
    </row>
    <row r="193" spans="1:12">
      <c r="A193" s="304" t="str">
        <f ca="1">IF(LEFT(OFFSET(COM_N_2012!$A$60,L193,0),2)="\I","*","")</f>
        <v/>
      </c>
      <c r="B193" s="369" t="str">
        <f t="shared" ca="1" si="27"/>
        <v>TOP-OUT</v>
      </c>
      <c r="C193" s="369" t="str">
        <f ca="1">IF($A193="*","",OFFSET(COM_N_2012!$B$60,L193,0))</f>
        <v>CNOOHF-E</v>
      </c>
      <c r="D193" s="369" t="str">
        <f ca="1">IF($A193="*","",IF(LEFT($B193,3)="TOP",OFFSET(COM_N_2012!$B$60,$L193,SUMIF($B$9:$B$12,$B193,$M$9:$M$12)),"-"))</f>
        <v>CNO</v>
      </c>
      <c r="E193" s="369" t="str">
        <f ca="1">IF($A193="*","",IF($B193="PRC_ACTUNT",OFFSET(COM_N_2012!$B$60,$L193,SUMIF($B$9:$B$12,$B193,$M$9:$M$12)),"-"))</f>
        <v>-</v>
      </c>
      <c r="F193" s="369" t="str">
        <f t="shared" ca="1" si="29"/>
        <v>-</v>
      </c>
      <c r="G193" s="369" t="str">
        <f t="shared" ca="1" si="29"/>
        <v>-</v>
      </c>
      <c r="H193" s="369" t="str">
        <f t="shared" ca="1" si="29"/>
        <v>-</v>
      </c>
      <c r="I193" s="369">
        <f t="shared" ca="1" si="28"/>
        <v>1</v>
      </c>
      <c r="J193" s="369"/>
      <c r="K193" s="304">
        <f>IF(L192=COM_N_2012!$AK$121,K192+1,K192)</f>
        <v>3</v>
      </c>
      <c r="L193" s="304">
        <f t="shared" si="21"/>
        <v>58</v>
      </c>
    </row>
    <row r="194" spans="1:12">
      <c r="A194" s="304" t="str">
        <f ca="1">IF(LEFT(OFFSET(COM_N_2012!$A$60,L194,0),2)="\I","*","")</f>
        <v/>
      </c>
      <c r="B194" s="369" t="str">
        <f t="shared" ca="1" si="27"/>
        <v>TOP-OUT</v>
      </c>
      <c r="C194" s="369" t="str">
        <f ca="1">IF($A194="*","",OFFSET(COM_N_2012!$B$60,L194,0))</f>
        <v>CNOOKE-E</v>
      </c>
      <c r="D194" s="369" t="str">
        <f ca="1">IF($A194="*","",IF(LEFT($B194,3)="TOP",OFFSET(COM_N_2012!$B$60,$L194,SUMIF($B$9:$B$12,$B194,$M$9:$M$12)),"-"))</f>
        <v>CNO</v>
      </c>
      <c r="E194" s="369" t="str">
        <f ca="1">IF($A194="*","",IF($B194="PRC_ACTUNT",OFFSET(COM_N_2012!$B$60,$L194,SUMIF($B$9:$B$12,$B194,$M$9:$M$12)),"-"))</f>
        <v>-</v>
      </c>
      <c r="F194" s="369" t="str">
        <f t="shared" ca="1" si="29"/>
        <v>-</v>
      </c>
      <c r="G194" s="369" t="str">
        <f t="shared" ca="1" si="29"/>
        <v>-</v>
      </c>
      <c r="H194" s="369" t="str">
        <f t="shared" ca="1" si="29"/>
        <v>-</v>
      </c>
      <c r="I194" s="369">
        <f t="shared" ca="1" si="28"/>
        <v>1</v>
      </c>
      <c r="J194" s="369"/>
      <c r="K194" s="304">
        <f>IF(L193=COM_N_2012!$AK$121,K193+1,K193)</f>
        <v>3</v>
      </c>
      <c r="L194" s="304">
        <f t="shared" si="21"/>
        <v>59</v>
      </c>
    </row>
    <row r="195" spans="1:12">
      <c r="A195" s="304" t="str">
        <f ca="1">IF(LEFT(OFFSET(COM_N_2012!$A$60,L195,0),2)="\I","*","")</f>
        <v>*</v>
      </c>
      <c r="B195" s="369" t="str">
        <f t="shared" ca="1" si="27"/>
        <v/>
      </c>
      <c r="C195" s="369" t="str">
        <f ca="1">IF($A195="*","",OFFSET(COM_N_2012!$B$60,L195,0))</f>
        <v/>
      </c>
      <c r="D195" s="369" t="str">
        <f ca="1">IF($A195="*","",IF(LEFT($B195,3)="TOP",OFFSET(COM_N_2012!$B$60,$L195,SUMIF($B$9:$B$12,$B195,$M$9:$M$12)),"-"))</f>
        <v/>
      </c>
      <c r="E195" s="369" t="str">
        <f ca="1">IF($A195="*","",IF($B195="PRC_ACTUNT",OFFSET(COM_N_2012!$B$60,$L195,SUMIF($B$9:$B$12,$B195,$M$9:$M$12)),"-"))</f>
        <v/>
      </c>
      <c r="F195" s="369" t="str">
        <f t="shared" ca="1" si="29"/>
        <v/>
      </c>
      <c r="G195" s="369" t="str">
        <f t="shared" ca="1" si="29"/>
        <v/>
      </c>
      <c r="H195" s="369" t="str">
        <f t="shared" ca="1" si="29"/>
        <v/>
      </c>
      <c r="I195" s="369" t="str">
        <f t="shared" ca="1" si="28"/>
        <v/>
      </c>
      <c r="J195" s="369"/>
      <c r="K195" s="304">
        <f>IF(L194=COM_N_2012!$AK$121,K194+1,K194)</f>
        <v>3</v>
      </c>
      <c r="L195" s="304">
        <f t="shared" si="21"/>
        <v>60</v>
      </c>
    </row>
    <row r="196" spans="1:12">
      <c r="A196" s="304" t="str">
        <f ca="1">IF(LEFT(OFFSET(COM_N_2012!$A$60,L196,0),2)="\I","*","")</f>
        <v>*</v>
      </c>
      <c r="B196" s="369" t="str">
        <f t="shared" ca="1" si="27"/>
        <v/>
      </c>
      <c r="C196" s="369" t="str">
        <f ca="1">IF($A196="*","",OFFSET(COM_N_2012!$B$60,L196,0))</f>
        <v/>
      </c>
      <c r="D196" s="369" t="str">
        <f ca="1">IF($A196="*","",IF(LEFT($B196,3)="TOP",OFFSET(COM_N_2012!$B$60,$L196,SUMIF($B$9:$B$12,$B196,$M$9:$M$12)),"-"))</f>
        <v/>
      </c>
      <c r="E196" s="369" t="str">
        <f ca="1">IF($A196="*","",IF($B196="PRC_ACTUNT",OFFSET(COM_N_2012!$B$60,$L196,SUMIF($B$9:$B$12,$B196,$M$9:$M$12)),"-"))</f>
        <v/>
      </c>
      <c r="F196" s="369" t="str">
        <f t="shared" ca="1" si="29"/>
        <v/>
      </c>
      <c r="G196" s="369" t="str">
        <f t="shared" ca="1" si="29"/>
        <v/>
      </c>
      <c r="H196" s="369" t="str">
        <f t="shared" ca="1" si="29"/>
        <v/>
      </c>
      <c r="I196" s="369" t="str">
        <f t="shared" ca="1" si="28"/>
        <v/>
      </c>
      <c r="J196" s="369"/>
      <c r="K196" s="304">
        <f>IF(L195=COM_N_2012!$AK$121,K195+1,K195)</f>
        <v>3</v>
      </c>
      <c r="L196" s="304">
        <f t="shared" si="21"/>
        <v>61</v>
      </c>
    </row>
    <row r="197" spans="1:12">
      <c r="A197" s="304" t="str">
        <f ca="1">IF(LEFT(OFFSET(COM_N_2012!$A$60,L197,0),2)="\I","*","")</f>
        <v/>
      </c>
      <c r="B197" s="369" t="str">
        <f t="shared" ca="1" si="27"/>
        <v>TOP-IN</v>
      </c>
      <c r="C197" s="369" t="str">
        <f ca="1">IF($A197="*","",OFFSET(COM_N_2012!$B$60,L197,0))</f>
        <v>CNCELCCHIL-E</v>
      </c>
      <c r="D197" s="369" t="str">
        <f ca="1">IF($A197="*","",IF(LEFT($B197,3)="TOP",OFFSET(COM_N_2012!$B$60,$L197,SUMIF($B$9:$B$12,$B197,$M$9:$M$12)),"-"))</f>
        <v>COMELC</v>
      </c>
      <c r="E197" s="369" t="str">
        <f ca="1">IF($A197="*","",IF($B197="PRC_ACTUNT",OFFSET(COM_N_2012!$B$60,$L197,SUMIF($B$9:$B$12,$B197,$M$9:$M$12)),"-"))</f>
        <v>-</v>
      </c>
      <c r="F197" s="369" t="str">
        <f t="shared" ca="1" si="29"/>
        <v>-</v>
      </c>
      <c r="G197" s="369" t="str">
        <f t="shared" ca="1" si="29"/>
        <v>-</v>
      </c>
      <c r="H197" s="369" t="str">
        <f t="shared" ca="1" si="29"/>
        <v>-</v>
      </c>
      <c r="I197" s="369">
        <f t="shared" ca="1" si="28"/>
        <v>1</v>
      </c>
      <c r="J197" s="369"/>
      <c r="K197" s="304">
        <f>IF(L196=COM_N_2012!$AK$121,K196+1,K196)</f>
        <v>4</v>
      </c>
      <c r="L197" s="304">
        <f t="shared" si="21"/>
        <v>1</v>
      </c>
    </row>
    <row r="198" spans="1:12">
      <c r="A198" s="304" t="str">
        <f ca="1">IF(LEFT(OFFSET(COM_N_2012!$A$60,L198,0),2)="\I","*","")</f>
        <v/>
      </c>
      <c r="B198" s="369" t="str">
        <f t="shared" ca="1" si="27"/>
        <v>TOP-IN</v>
      </c>
      <c r="C198" s="369" t="str">
        <f ca="1">IF($A198="*","",OFFSET(COM_N_2012!$B$60,L198,0))</f>
        <v>CNCELCCEN-E</v>
      </c>
      <c r="D198" s="369" t="str">
        <f ca="1">IF($A198="*","",IF(LEFT($B198,3)="TOP",OFFSET(COM_N_2012!$B$60,$L198,SUMIF($B$9:$B$12,$B198,$M$9:$M$12)),"-"))</f>
        <v>COMELC</v>
      </c>
      <c r="E198" s="369" t="str">
        <f ca="1">IF($A198="*","",IF($B198="PRC_ACTUNT",OFFSET(COM_N_2012!$B$60,$L198,SUMIF($B$9:$B$12,$B198,$M$9:$M$12)),"-"))</f>
        <v>-</v>
      </c>
      <c r="F198" s="369" t="str">
        <f t="shared" ca="1" si="29"/>
        <v>-</v>
      </c>
      <c r="G198" s="369" t="str">
        <f t="shared" ca="1" si="29"/>
        <v>-</v>
      </c>
      <c r="H198" s="369" t="str">
        <f t="shared" ca="1" si="29"/>
        <v>-</v>
      </c>
      <c r="I198" s="369">
        <f t="shared" ca="1" si="28"/>
        <v>1</v>
      </c>
      <c r="J198" s="369"/>
      <c r="K198" s="304">
        <f>IF(L197=COM_N_2012!$AK$121,K197+1,K197)</f>
        <v>4</v>
      </c>
      <c r="L198" s="304">
        <f t="shared" si="21"/>
        <v>2</v>
      </c>
    </row>
    <row r="199" spans="1:12">
      <c r="A199" s="304" t="str">
        <f ca="1">IF(LEFT(OFFSET(COM_N_2012!$A$60,L199,0),2)="\I","*","")</f>
        <v/>
      </c>
      <c r="B199" s="369" t="str">
        <f t="shared" ca="1" si="27"/>
        <v>TOP-IN</v>
      </c>
      <c r="C199" s="369" t="str">
        <f ca="1">IF($A199="*","",OFFSET(COM_N_2012!$B$60,L199,0))</f>
        <v>CNCELCHP-E</v>
      </c>
      <c r="D199" s="369" t="str">
        <f ca="1">IF($A199="*","",IF(LEFT($B199,3)="TOP",OFFSET(COM_N_2012!$B$60,$L199,SUMIF($B$9:$B$12,$B199,$M$9:$M$12)),"-"))</f>
        <v>COMELC</v>
      </c>
      <c r="E199" s="369" t="str">
        <f ca="1">IF($A199="*","",IF($B199="PRC_ACTUNT",OFFSET(COM_N_2012!$B$60,$L199,SUMIF($B$9:$B$12,$B199,$M$9:$M$12)),"-"))</f>
        <v>-</v>
      </c>
      <c r="F199" s="369" t="str">
        <f t="shared" ca="1" si="29"/>
        <v>-</v>
      </c>
      <c r="G199" s="369" t="str">
        <f t="shared" ca="1" si="29"/>
        <v>-</v>
      </c>
      <c r="H199" s="369" t="str">
        <f t="shared" ca="1" si="29"/>
        <v>-</v>
      </c>
      <c r="I199" s="369">
        <f t="shared" ca="1" si="28"/>
        <v>1</v>
      </c>
      <c r="J199" s="369"/>
      <c r="K199" s="304">
        <f>IF(L198=COM_N_2012!$AK$121,K198+1,K198)</f>
        <v>4</v>
      </c>
      <c r="L199" s="304">
        <f t="shared" si="21"/>
        <v>3</v>
      </c>
    </row>
    <row r="200" spans="1:12">
      <c r="A200" s="304" t="str">
        <f ca="1">IF(LEFT(OFFSET(COM_N_2012!$A$60,L200,0),2)="\I","*","")</f>
        <v/>
      </c>
      <c r="B200" s="369" t="str">
        <f t="shared" ca="1" si="27"/>
        <v>TOP-IN</v>
      </c>
      <c r="C200" s="369" t="str">
        <f ca="1">IF($A200="*","",OFFSET(COM_N_2012!$B$60,L200,0))</f>
        <v>CNCELCROOM-E</v>
      </c>
      <c r="D200" s="369" t="str">
        <f ca="1">IF($A200="*","",IF(LEFT($B200,3)="TOP",OFFSET(COM_N_2012!$B$60,$L200,SUMIF($B$9:$B$12,$B200,$M$9:$M$12)),"-"))</f>
        <v>COMELC</v>
      </c>
      <c r="E200" s="369" t="str">
        <f ca="1">IF($A200="*","",IF($B200="PRC_ACTUNT",OFFSET(COM_N_2012!$B$60,$L200,SUMIF($B$9:$B$12,$B200,$M$9:$M$12)),"-"))</f>
        <v>-</v>
      </c>
      <c r="F200" s="369" t="str">
        <f t="shared" ca="1" si="29"/>
        <v>-</v>
      </c>
      <c r="G200" s="369" t="str">
        <f t="shared" ca="1" si="29"/>
        <v>-</v>
      </c>
      <c r="H200" s="369" t="str">
        <f t="shared" ca="1" si="29"/>
        <v>-</v>
      </c>
      <c r="I200" s="369">
        <f t="shared" ca="1" si="28"/>
        <v>1</v>
      </c>
      <c r="J200" s="369"/>
      <c r="K200" s="304">
        <f>IF(L199=COM_N_2012!$AK$121,K199+1,K199)</f>
        <v>4</v>
      </c>
      <c r="L200" s="304">
        <f t="shared" si="21"/>
        <v>4</v>
      </c>
    </row>
    <row r="201" spans="1:12">
      <c r="A201" s="304" t="str">
        <f ca="1">IF(LEFT(OFFSET(COM_N_2012!$A$60,L201,0),2)="\I","*","")</f>
        <v/>
      </c>
      <c r="B201" s="369" t="str">
        <f t="shared" ca="1" si="27"/>
        <v>TOP-IN</v>
      </c>
      <c r="C201" s="369" t="str">
        <f ca="1">IF($A201="*","",OFFSET(COM_N_2012!$B$60,L201,0))</f>
        <v>CNCELCCEN-N</v>
      </c>
      <c r="D201" s="369" t="str">
        <f ca="1">IF($A201="*","",IF(LEFT($B201,3)="TOP",OFFSET(COM_N_2012!$B$60,$L201,SUMIF($B$9:$B$12,$B201,$M$9:$M$12)),"-"))</f>
        <v>COMELC</v>
      </c>
      <c r="E201" s="369" t="str">
        <f ca="1">IF($A201="*","",IF($B201="PRC_ACTUNT",OFFSET(COM_N_2012!$B$60,$L201,SUMIF($B$9:$B$12,$B201,$M$9:$M$12)),"-"))</f>
        <v>-</v>
      </c>
      <c r="F201" s="369" t="str">
        <f t="shared" ca="1" si="29"/>
        <v>-</v>
      </c>
      <c r="G201" s="369" t="str">
        <f t="shared" ca="1" si="29"/>
        <v>-</v>
      </c>
      <c r="H201" s="369" t="str">
        <f t="shared" ca="1" si="29"/>
        <v>-</v>
      </c>
      <c r="I201" s="369">
        <f t="shared" ca="1" si="28"/>
        <v>1</v>
      </c>
      <c r="J201" s="369"/>
      <c r="K201" s="304">
        <f>IF(L200=COM_N_2012!$AK$121,K200+1,K200)</f>
        <v>4</v>
      </c>
      <c r="L201" s="304">
        <f t="shared" si="21"/>
        <v>5</v>
      </c>
    </row>
    <row r="202" spans="1:12">
      <c r="A202" s="304" t="str">
        <f ca="1">IF(LEFT(OFFSET(COM_N_2012!$A$60,L202,0),2)="\I","*","")</f>
        <v/>
      </c>
      <c r="B202" s="369" t="str">
        <f t="shared" ca="1" si="27"/>
        <v>TOP-IN</v>
      </c>
      <c r="C202" s="369" t="str">
        <f ca="1">IF($A202="*","",OFFSET(COM_N_2012!$B$60,L202,0))</f>
        <v>CNCELCHP-N</v>
      </c>
      <c r="D202" s="369" t="str">
        <f ca="1">IF($A202="*","",IF(LEFT($B202,3)="TOP",OFFSET(COM_N_2012!$B$60,$L202,SUMIF($B$9:$B$12,$B202,$M$9:$M$12)),"-"))</f>
        <v>COMELC</v>
      </c>
      <c r="E202" s="369" t="str">
        <f ca="1">IF($A202="*","",IF($B202="PRC_ACTUNT",OFFSET(COM_N_2012!$B$60,$L202,SUMIF($B$9:$B$12,$B202,$M$9:$M$12)),"-"))</f>
        <v>-</v>
      </c>
      <c r="F202" s="369" t="str">
        <f t="shared" ca="1" si="29"/>
        <v>-</v>
      </c>
      <c r="G202" s="369" t="str">
        <f t="shared" ca="1" si="29"/>
        <v>-</v>
      </c>
      <c r="H202" s="369" t="str">
        <f t="shared" ca="1" si="29"/>
        <v>-</v>
      </c>
      <c r="I202" s="369">
        <f t="shared" ca="1" si="28"/>
        <v>1</v>
      </c>
      <c r="J202" s="369"/>
      <c r="K202" s="304">
        <f>IF(L201=COM_N_2012!$AK$121,K201+1,K201)</f>
        <v>4</v>
      </c>
      <c r="L202" s="304">
        <f t="shared" si="21"/>
        <v>6</v>
      </c>
    </row>
    <row r="203" spans="1:12">
      <c r="A203" s="304" t="str">
        <f ca="1">IF(LEFT(OFFSET(COM_N_2012!$A$60,L203,0),2)="\I","*","")</f>
        <v>*</v>
      </c>
      <c r="B203" s="369" t="str">
        <f t="shared" ca="1" si="27"/>
        <v/>
      </c>
      <c r="C203" s="369" t="str">
        <f ca="1">IF($A203="*","",OFFSET(COM_N_2012!$B$60,L203,0))</f>
        <v/>
      </c>
      <c r="D203" s="369" t="str">
        <f ca="1">IF($A203="*","",IF(LEFT($B203,3)="TOP",OFFSET(COM_N_2012!$B$60,$L203,SUMIF($B$9:$B$12,$B203,$M$9:$M$12)),"-"))</f>
        <v/>
      </c>
      <c r="E203" s="369" t="str">
        <f ca="1">IF($A203="*","",IF($B203="PRC_ACTUNT",OFFSET(COM_N_2012!$B$60,$L203,SUMIF($B$9:$B$12,$B203,$M$9:$M$12)),"-"))</f>
        <v/>
      </c>
      <c r="F203" s="369" t="str">
        <f t="shared" ca="1" si="29"/>
        <v/>
      </c>
      <c r="G203" s="369" t="str">
        <f t="shared" ca="1" si="29"/>
        <v/>
      </c>
      <c r="H203" s="369" t="str">
        <f t="shared" ca="1" si="29"/>
        <v/>
      </c>
      <c r="I203" s="369" t="str">
        <f t="shared" ca="1" si="28"/>
        <v/>
      </c>
      <c r="J203" s="369"/>
      <c r="K203" s="304">
        <f>IF(L202=COM_N_2012!$AK$121,K202+1,K202)</f>
        <v>4</v>
      </c>
      <c r="L203" s="304">
        <f t="shared" si="21"/>
        <v>7</v>
      </c>
    </row>
    <row r="204" spans="1:12">
      <c r="A204" s="304" t="str">
        <f ca="1">IF(LEFT(OFFSET(COM_N_2012!$A$60,L204,0),2)="\I","*","")</f>
        <v>*</v>
      </c>
      <c r="B204" s="369" t="str">
        <f t="shared" ca="1" si="27"/>
        <v/>
      </c>
      <c r="C204" s="369" t="str">
        <f ca="1">IF($A204="*","",OFFSET(COM_N_2012!$B$60,L204,0))</f>
        <v/>
      </c>
      <c r="D204" s="369" t="str">
        <f ca="1">IF($A204="*","",IF(LEFT($B204,3)="TOP",OFFSET(COM_N_2012!$B$60,$L204,SUMIF($B$9:$B$12,$B204,$M$9:$M$12)),"-"))</f>
        <v/>
      </c>
      <c r="E204" s="369" t="str">
        <f ca="1">IF($A204="*","",IF($B204="PRC_ACTUNT",OFFSET(COM_N_2012!$B$60,$L204,SUMIF($B$9:$B$12,$B204,$M$9:$M$12)),"-"))</f>
        <v/>
      </c>
      <c r="F204" s="369" t="str">
        <f t="shared" ca="1" si="29"/>
        <v/>
      </c>
      <c r="G204" s="369" t="str">
        <f t="shared" ca="1" si="29"/>
        <v/>
      </c>
      <c r="H204" s="369" t="str">
        <f t="shared" ca="1" si="29"/>
        <v/>
      </c>
      <c r="I204" s="369" t="str">
        <f t="shared" ca="1" si="28"/>
        <v/>
      </c>
      <c r="J204" s="369"/>
      <c r="K204" s="304">
        <f>IF(L203=COM_N_2012!$AK$121,K203+1,K203)</f>
        <v>4</v>
      </c>
      <c r="L204" s="304">
        <f t="shared" si="21"/>
        <v>8</v>
      </c>
    </row>
    <row r="205" spans="1:12">
      <c r="A205" s="304" t="str">
        <f ca="1">IF(LEFT(OFFSET(COM_N_2012!$A$60,L205,0),2)="\I","*","")</f>
        <v/>
      </c>
      <c r="B205" s="369" t="str">
        <f t="shared" ca="1" si="27"/>
        <v>TOP-IN</v>
      </c>
      <c r="C205" s="369" t="str">
        <f ca="1">IF($A205="*","",OFFSET(COM_N_2012!$B$60,L205,0))</f>
        <v>CNHCOA-E</v>
      </c>
      <c r="D205" s="369" t="str">
        <f ca="1">IF($A205="*","",IF(LEFT($B205,3)="TOP",OFFSET(COM_N_2012!$B$60,$L205,SUMIF($B$9:$B$12,$B205,$M$9:$M$12)),"-"))</f>
        <v>COMCOA</v>
      </c>
      <c r="E205" s="369" t="str">
        <f ca="1">IF($A205="*","",IF($B205="PRC_ACTUNT",OFFSET(COM_N_2012!$B$60,$L205,SUMIF($B$9:$B$12,$B205,$M$9:$M$12)),"-"))</f>
        <v>-</v>
      </c>
      <c r="F205" s="369" t="str">
        <f t="shared" ca="1" si="29"/>
        <v>-</v>
      </c>
      <c r="G205" s="369" t="str">
        <f t="shared" ca="1" si="29"/>
        <v>-</v>
      </c>
      <c r="H205" s="369" t="str">
        <f t="shared" ca="1" si="29"/>
        <v>-</v>
      </c>
      <c r="I205" s="369">
        <f t="shared" ca="1" si="28"/>
        <v>1</v>
      </c>
      <c r="J205" s="369"/>
      <c r="K205" s="304">
        <f>IF(L204=COM_N_2012!$AK$121,K204+1,K204)</f>
        <v>4</v>
      </c>
      <c r="L205" s="304">
        <f t="shared" si="21"/>
        <v>9</v>
      </c>
    </row>
    <row r="206" spans="1:12">
      <c r="A206" s="304" t="str">
        <f ca="1">IF(LEFT(OFFSET(COM_N_2012!$A$60,L206,0),2)="\I","*","")</f>
        <v/>
      </c>
      <c r="B206" s="369" t="str">
        <f t="shared" ca="1" si="27"/>
        <v>TOP-IN</v>
      </c>
      <c r="C206" s="369" t="str">
        <f ca="1">IF($A206="*","",OFFSET(COM_N_2012!$B$60,L206,0))</f>
        <v>CNHELC-E</v>
      </c>
      <c r="D206" s="369" t="str">
        <f ca="1">IF($A206="*","",IF(LEFT($B206,3)="TOP",OFFSET(COM_N_2012!$B$60,$L206,SUMIF($B$9:$B$12,$B206,$M$9:$M$12)),"-"))</f>
        <v>COMELC</v>
      </c>
      <c r="E206" s="369" t="str">
        <f ca="1">IF($A206="*","",IF($B206="PRC_ACTUNT",OFFSET(COM_N_2012!$B$60,$L206,SUMIF($B$9:$B$12,$B206,$M$9:$M$12)),"-"))</f>
        <v>-</v>
      </c>
      <c r="F206" s="369" t="str">
        <f t="shared" ca="1" si="29"/>
        <v>-</v>
      </c>
      <c r="G206" s="369" t="str">
        <f t="shared" ca="1" si="29"/>
        <v>-</v>
      </c>
      <c r="H206" s="369" t="str">
        <f t="shared" ca="1" si="29"/>
        <v>-</v>
      </c>
      <c r="I206" s="369">
        <f t="shared" ca="1" si="28"/>
        <v>1</v>
      </c>
      <c r="J206" s="369"/>
      <c r="K206" s="304">
        <f>IF(L205=COM_N_2012!$AK$121,K205+1,K205)</f>
        <v>4</v>
      </c>
      <c r="L206" s="304">
        <f t="shared" si="21"/>
        <v>10</v>
      </c>
    </row>
    <row r="207" spans="1:12">
      <c r="A207" s="304" t="str">
        <f ca="1">IF(LEFT(OFFSET(COM_N_2012!$A$60,L207,0),2)="\I","*","")</f>
        <v/>
      </c>
      <c r="B207" s="369" t="str">
        <f t="shared" ca="1" si="27"/>
        <v>TOP-IN</v>
      </c>
      <c r="C207" s="369" t="str">
        <f ca="1">IF($A207="*","",OFFSET(COM_N_2012!$B$60,L207,0))</f>
        <v>CNHGAS-E</v>
      </c>
      <c r="D207" s="369" t="str">
        <f ca="1">IF($A207="*","",IF(LEFT($B207,3)="TOP",OFFSET(COM_N_2012!$B$60,$L207,SUMIF($B$9:$B$12,$B207,$M$9:$M$12)),"-"))</f>
        <v>COMGAS</v>
      </c>
      <c r="E207" s="369" t="str">
        <f ca="1">IF($A207="*","",IF($B207="PRC_ACTUNT",OFFSET(COM_N_2012!$B$60,$L207,SUMIF($B$9:$B$12,$B207,$M$9:$M$12)),"-"))</f>
        <v>-</v>
      </c>
      <c r="F207" s="369" t="str">
        <f t="shared" ca="1" si="29"/>
        <v>-</v>
      </c>
      <c r="G207" s="369" t="str">
        <f t="shared" ca="1" si="29"/>
        <v>-</v>
      </c>
      <c r="H207" s="369" t="str">
        <f t="shared" ca="1" si="29"/>
        <v>-</v>
      </c>
      <c r="I207" s="369">
        <f t="shared" ca="1" si="28"/>
        <v>1</v>
      </c>
      <c r="J207" s="369"/>
      <c r="K207" s="304">
        <f>IF(L206=COM_N_2012!$AK$121,K206+1,K206)</f>
        <v>4</v>
      </c>
      <c r="L207" s="304">
        <f t="shared" si="21"/>
        <v>11</v>
      </c>
    </row>
    <row r="208" spans="1:12">
      <c r="A208" s="304" t="str">
        <f ca="1">IF(LEFT(OFFSET(COM_N_2012!$A$60,L208,0),2)="\I","*","")</f>
        <v/>
      </c>
      <c r="B208" s="369" t="str">
        <f t="shared" ca="1" si="27"/>
        <v>TOP-IN</v>
      </c>
      <c r="C208" s="369" t="str">
        <f ca="1">IF($A208="*","",OFFSET(COM_N_2012!$B$60,L208,0))</f>
        <v>CNHELC-N</v>
      </c>
      <c r="D208" s="369" t="str">
        <f ca="1">IF($A208="*","",IF(LEFT($B208,3)="TOP",OFFSET(COM_N_2012!$B$60,$L208,SUMIF($B$9:$B$12,$B208,$M$9:$M$12)),"-"))</f>
        <v>COMELC</v>
      </c>
      <c r="E208" s="369" t="str">
        <f ca="1">IF($A208="*","",IF($B208="PRC_ACTUNT",OFFSET(COM_N_2012!$B$60,$L208,SUMIF($B$9:$B$12,$B208,$M$9:$M$12)),"-"))</f>
        <v>-</v>
      </c>
      <c r="F208" s="369" t="str">
        <f t="shared" ca="1" si="29"/>
        <v>-</v>
      </c>
      <c r="G208" s="369" t="str">
        <f t="shared" ca="1" si="29"/>
        <v>-</v>
      </c>
      <c r="H208" s="369" t="str">
        <f t="shared" ca="1" si="29"/>
        <v>-</v>
      </c>
      <c r="I208" s="369">
        <f t="shared" ca="1" si="28"/>
        <v>1</v>
      </c>
      <c r="J208" s="369"/>
      <c r="K208" s="304">
        <f>IF(L207=COM_N_2012!$AK$121,K207+1,K207)</f>
        <v>4</v>
      </c>
      <c r="L208" s="304">
        <f t="shared" si="21"/>
        <v>12</v>
      </c>
    </row>
    <row r="209" spans="1:12">
      <c r="A209" s="304" t="str">
        <f ca="1">IF(LEFT(OFFSET(COM_N_2012!$A$60,L209,0),2)="\I","*","")</f>
        <v/>
      </c>
      <c r="B209" s="369" t="str">
        <f t="shared" ca="1" si="27"/>
        <v>TOP-IN</v>
      </c>
      <c r="C209" s="369" t="str">
        <f ca="1">IF($A209="*","",OFFSET(COM_N_2012!$B$60,L209,0))</f>
        <v>CNHGAS-N</v>
      </c>
      <c r="D209" s="369" t="str">
        <f ca="1">IF($A209="*","",IF(LEFT($B209,3)="TOP",OFFSET(COM_N_2012!$B$60,$L209,SUMIF($B$9:$B$12,$B209,$M$9:$M$12)),"-"))</f>
        <v>COMGAS</v>
      </c>
      <c r="E209" s="369" t="str">
        <f ca="1">IF($A209="*","",IF($B209="PRC_ACTUNT",OFFSET(COM_N_2012!$B$60,$L209,SUMIF($B$9:$B$12,$B209,$M$9:$M$12)),"-"))</f>
        <v>-</v>
      </c>
      <c r="F209" s="369" t="str">
        <f t="shared" ca="1" si="29"/>
        <v>-</v>
      </c>
      <c r="G209" s="369" t="str">
        <f t="shared" ca="1" si="29"/>
        <v>-</v>
      </c>
      <c r="H209" s="369" t="str">
        <f t="shared" ca="1" si="29"/>
        <v>-</v>
      </c>
      <c r="I209" s="369">
        <f t="shared" ca="1" si="28"/>
        <v>1</v>
      </c>
      <c r="J209" s="369"/>
      <c r="K209" s="304">
        <f>IF(L208=COM_N_2012!$AK$121,K208+1,K208)</f>
        <v>4</v>
      </c>
      <c r="L209" s="304">
        <f t="shared" si="21"/>
        <v>13</v>
      </c>
    </row>
    <row r="210" spans="1:12">
      <c r="A210" s="304" t="str">
        <f ca="1">IF(LEFT(OFFSET(COM_N_2012!$A$60,L210,0),2)="\I","*","")</f>
        <v>*</v>
      </c>
      <c r="B210" s="369" t="str">
        <f t="shared" ca="1" si="27"/>
        <v/>
      </c>
      <c r="C210" s="369" t="str">
        <f ca="1">IF($A210="*","",OFFSET(COM_N_2012!$B$60,L210,0))</f>
        <v/>
      </c>
      <c r="D210" s="369" t="str">
        <f ca="1">IF($A210="*","",IF(LEFT($B210,3)="TOP",OFFSET(COM_N_2012!$B$60,$L210,SUMIF($B$9:$B$12,$B210,$M$9:$M$12)),"-"))</f>
        <v/>
      </c>
      <c r="E210" s="369" t="str">
        <f ca="1">IF($A210="*","",IF($B210="PRC_ACTUNT",OFFSET(COM_N_2012!$B$60,$L210,SUMIF($B$9:$B$12,$B210,$M$9:$M$12)),"-"))</f>
        <v/>
      </c>
      <c r="F210" s="369" t="str">
        <f t="shared" ca="1" si="29"/>
        <v/>
      </c>
      <c r="G210" s="369" t="str">
        <f t="shared" ca="1" si="29"/>
        <v/>
      </c>
      <c r="H210" s="369" t="str">
        <f t="shared" ca="1" si="29"/>
        <v/>
      </c>
      <c r="I210" s="369" t="str">
        <f t="shared" ca="1" si="28"/>
        <v/>
      </c>
      <c r="J210" s="369"/>
      <c r="K210" s="304">
        <f>IF(L209=COM_N_2012!$AK$121,K209+1,K209)</f>
        <v>4</v>
      </c>
      <c r="L210" s="304">
        <f t="shared" si="21"/>
        <v>14</v>
      </c>
    </row>
    <row r="211" spans="1:12">
      <c r="A211" s="304" t="str">
        <f ca="1">IF(LEFT(OFFSET(COM_N_2012!$A$60,L211,0),2)="\I","*","")</f>
        <v>*</v>
      </c>
      <c r="B211" s="369" t="str">
        <f t="shared" ca="1" si="27"/>
        <v/>
      </c>
      <c r="C211" s="369" t="str">
        <f ca="1">IF($A211="*","",OFFSET(COM_N_2012!$B$60,L211,0))</f>
        <v/>
      </c>
      <c r="D211" s="369" t="str">
        <f ca="1">IF($A211="*","",IF(LEFT($B211,3)="TOP",OFFSET(COM_N_2012!$B$60,$L211,SUMIF($B$9:$B$12,$B211,$M$9:$M$12)),"-"))</f>
        <v/>
      </c>
      <c r="E211" s="369" t="str">
        <f ca="1">IF($A211="*","",IF($B211="PRC_ACTUNT",OFFSET(COM_N_2012!$B$60,$L211,SUMIF($B$9:$B$12,$B211,$M$9:$M$12)),"-"))</f>
        <v/>
      </c>
      <c r="F211" s="369" t="str">
        <f t="shared" ca="1" si="29"/>
        <v/>
      </c>
      <c r="G211" s="369" t="str">
        <f t="shared" ca="1" si="29"/>
        <v/>
      </c>
      <c r="H211" s="369" t="str">
        <f t="shared" ca="1" si="29"/>
        <v/>
      </c>
      <c r="I211" s="369" t="str">
        <f t="shared" ca="1" si="28"/>
        <v/>
      </c>
      <c r="J211" s="369"/>
      <c r="K211" s="304">
        <f>IF(L210=COM_N_2012!$AK$121,K210+1,K210)</f>
        <v>4</v>
      </c>
      <c r="L211" s="304">
        <f t="shared" si="21"/>
        <v>15</v>
      </c>
    </row>
    <row r="212" spans="1:12">
      <c r="A212" s="304" t="str">
        <f ca="1">IF(LEFT(OFFSET(COM_N_2012!$A$60,L212,0),2)="\I","*","")</f>
        <v/>
      </c>
      <c r="B212" s="369" t="str">
        <f t="shared" ca="1" si="27"/>
        <v>TOP-IN</v>
      </c>
      <c r="C212" s="369" t="str">
        <f ca="1">IF($A212="*","",OFFSET(COM_N_2012!$B$60,L212,0))</f>
        <v>CNKOLP-E</v>
      </c>
      <c r="D212" s="369" t="str">
        <f ca="1">IF($A212="*","",IF(LEFT($B212,3)="TOP",OFFSET(COM_N_2012!$B$60,$L212,SUMIF($B$9:$B$12,$B212,$M$9:$M$12)),"-"))</f>
        <v>COMOLP</v>
      </c>
      <c r="E212" s="369" t="str">
        <f ca="1">IF($A212="*","",IF($B212="PRC_ACTUNT",OFFSET(COM_N_2012!$B$60,$L212,SUMIF($B$9:$B$12,$B212,$M$9:$M$12)),"-"))</f>
        <v>-</v>
      </c>
      <c r="F212" s="369" t="str">
        <f t="shared" ca="1" si="29"/>
        <v>-</v>
      </c>
      <c r="G212" s="369" t="str">
        <f t="shared" ca="1" si="29"/>
        <v>-</v>
      </c>
      <c r="H212" s="369" t="str">
        <f t="shared" ca="1" si="29"/>
        <v>-</v>
      </c>
      <c r="I212" s="369">
        <f t="shared" ca="1" si="28"/>
        <v>1</v>
      </c>
      <c r="J212" s="369"/>
      <c r="K212" s="304">
        <f>IF(L211=COM_N_2012!$AK$121,K211+1,K211)</f>
        <v>4</v>
      </c>
      <c r="L212" s="304">
        <f t="shared" si="21"/>
        <v>16</v>
      </c>
    </row>
    <row r="213" spans="1:12">
      <c r="A213" s="304" t="str">
        <f ca="1">IF(LEFT(OFFSET(COM_N_2012!$A$60,L213,0),2)="\I","*","")</f>
        <v/>
      </c>
      <c r="B213" s="369" t="str">
        <f t="shared" ca="1" si="27"/>
        <v>TOP-IN</v>
      </c>
      <c r="C213" s="369" t="str">
        <f ca="1">IF($A213="*","",OFFSET(COM_N_2012!$B$60,L213,0))</f>
        <v>CNKELC-E</v>
      </c>
      <c r="D213" s="369" t="str">
        <f ca="1">IF($A213="*","",IF(LEFT($B213,3)="TOP",OFFSET(COM_N_2012!$B$60,$L213,SUMIF($B$9:$B$12,$B213,$M$9:$M$12)),"-"))</f>
        <v>COMELC</v>
      </c>
      <c r="E213" s="369" t="str">
        <f ca="1">IF($A213="*","",IF($B213="PRC_ACTUNT",OFFSET(COM_N_2012!$B$60,$L213,SUMIF($B$9:$B$12,$B213,$M$9:$M$12)),"-"))</f>
        <v>-</v>
      </c>
      <c r="F213" s="369" t="str">
        <f t="shared" ca="1" si="29"/>
        <v>-</v>
      </c>
      <c r="G213" s="369" t="str">
        <f t="shared" ca="1" si="29"/>
        <v>-</v>
      </c>
      <c r="H213" s="369" t="str">
        <f t="shared" ca="1" si="29"/>
        <v>-</v>
      </c>
      <c r="I213" s="369">
        <f t="shared" ca="1" si="28"/>
        <v>1</v>
      </c>
      <c r="J213" s="369"/>
      <c r="K213" s="304">
        <f>IF(L212=COM_N_2012!$AK$121,K212+1,K212)</f>
        <v>4</v>
      </c>
      <c r="L213" s="304">
        <f t="shared" si="21"/>
        <v>17</v>
      </c>
    </row>
    <row r="214" spans="1:12">
      <c r="A214" s="304" t="str">
        <f ca="1">IF(LEFT(OFFSET(COM_N_2012!$A$60,L214,0),2)="\I","*","")</f>
        <v/>
      </c>
      <c r="B214" s="369" t="str">
        <f t="shared" ca="1" si="27"/>
        <v>TOP-IN</v>
      </c>
      <c r="C214" s="369" t="str">
        <f ca="1">IF($A214="*","",OFFSET(COM_N_2012!$B$60,L214,0))</f>
        <v>CNKCOA-E</v>
      </c>
      <c r="D214" s="369" t="str">
        <f ca="1">IF($A214="*","",IF(LEFT($B214,3)="TOP",OFFSET(COM_N_2012!$B$60,$L214,SUMIF($B$9:$B$12,$B214,$M$9:$M$12)),"-"))</f>
        <v>COMCOA</v>
      </c>
      <c r="E214" s="369" t="str">
        <f ca="1">IF($A214="*","",IF($B214="PRC_ACTUNT",OFFSET(COM_N_2012!$B$60,$L214,SUMIF($B$9:$B$12,$B214,$M$9:$M$12)),"-"))</f>
        <v>-</v>
      </c>
      <c r="F214" s="369" t="str">
        <f t="shared" ca="1" si="29"/>
        <v>-</v>
      </c>
      <c r="G214" s="369" t="str">
        <f t="shared" ca="1" si="29"/>
        <v>-</v>
      </c>
      <c r="H214" s="369" t="str">
        <f t="shared" ca="1" si="29"/>
        <v>-</v>
      </c>
      <c r="I214" s="369">
        <f t="shared" ca="1" si="28"/>
        <v>1</v>
      </c>
      <c r="J214" s="369"/>
      <c r="K214" s="304">
        <f>IF(L213=COM_N_2012!$AK$121,K213+1,K213)</f>
        <v>4</v>
      </c>
      <c r="L214" s="304">
        <f t="shared" si="21"/>
        <v>18</v>
      </c>
    </row>
    <row r="215" spans="1:12">
      <c r="A215" s="304" t="str">
        <f ca="1">IF(LEFT(OFFSET(COM_N_2012!$A$60,L215,0),2)="\I","*","")</f>
        <v>*</v>
      </c>
      <c r="B215" s="369" t="str">
        <f t="shared" ca="1" si="27"/>
        <v/>
      </c>
      <c r="C215" s="369" t="str">
        <f ca="1">IF($A215="*","",OFFSET(COM_N_2012!$B$60,L215,0))</f>
        <v/>
      </c>
      <c r="D215" s="369" t="str">
        <f ca="1">IF($A215="*","",IF(LEFT($B215,3)="TOP",OFFSET(COM_N_2012!$B$60,$L215,SUMIF($B$9:$B$12,$B215,$M$9:$M$12)),"-"))</f>
        <v/>
      </c>
      <c r="E215" s="369" t="str">
        <f ca="1">IF($A215="*","",IF($B215="PRC_ACTUNT",OFFSET(COM_N_2012!$B$60,$L215,SUMIF($B$9:$B$12,$B215,$M$9:$M$12)),"-"))</f>
        <v/>
      </c>
      <c r="F215" s="369" t="str">
        <f t="shared" ca="1" si="29"/>
        <v/>
      </c>
      <c r="G215" s="369" t="str">
        <f t="shared" ca="1" si="29"/>
        <v/>
      </c>
      <c r="H215" s="369" t="str">
        <f t="shared" ca="1" si="29"/>
        <v/>
      </c>
      <c r="I215" s="369" t="str">
        <f t="shared" ca="1" si="28"/>
        <v/>
      </c>
      <c r="J215" s="369"/>
      <c r="K215" s="304">
        <f>IF(L214=COM_N_2012!$AK$121,K214+1,K214)</f>
        <v>4</v>
      </c>
      <c r="L215" s="304">
        <f t="shared" si="21"/>
        <v>19</v>
      </c>
    </row>
    <row r="216" spans="1:12">
      <c r="A216" s="304" t="str">
        <f ca="1">IF(LEFT(OFFSET(COM_N_2012!$A$60,L216,0),2)="\I","*","")</f>
        <v>*</v>
      </c>
      <c r="B216" s="369" t="str">
        <f t="shared" ca="1" si="27"/>
        <v/>
      </c>
      <c r="C216" s="369" t="str">
        <f ca="1">IF($A216="*","",OFFSET(COM_N_2012!$B$60,L216,0))</f>
        <v/>
      </c>
      <c r="D216" s="369" t="str">
        <f ca="1">IF($A216="*","",IF(LEFT($B216,3)="TOP",OFFSET(COM_N_2012!$B$60,$L216,SUMIF($B$9:$B$12,$B216,$M$9:$M$12)),"-"))</f>
        <v/>
      </c>
      <c r="E216" s="369" t="str">
        <f ca="1">IF($A216="*","",IF($B216="PRC_ACTUNT",OFFSET(COM_N_2012!$B$60,$L216,SUMIF($B$9:$B$12,$B216,$M$9:$M$12)),"-"))</f>
        <v/>
      </c>
      <c r="F216" s="369" t="str">
        <f t="shared" ca="1" si="29"/>
        <v/>
      </c>
      <c r="G216" s="369" t="str">
        <f t="shared" ca="1" si="29"/>
        <v/>
      </c>
      <c r="H216" s="369" t="str">
        <f t="shared" ca="1" si="29"/>
        <v/>
      </c>
      <c r="I216" s="369" t="str">
        <f t="shared" ca="1" si="28"/>
        <v/>
      </c>
      <c r="J216" s="369"/>
      <c r="K216" s="304">
        <f>IF(L215=COM_N_2012!$AK$121,K215+1,K215)</f>
        <v>4</v>
      </c>
      <c r="L216" s="304">
        <f t="shared" si="21"/>
        <v>20</v>
      </c>
    </row>
    <row r="217" spans="1:12">
      <c r="A217" s="304" t="str">
        <f ca="1">IF(LEFT(OFFSET(COM_N_2012!$A$60,L217,0),2)="\I","*","")</f>
        <v/>
      </c>
      <c r="B217" s="369" t="str">
        <f t="shared" ca="1" si="27"/>
        <v>TOP-IN</v>
      </c>
      <c r="C217" s="369" t="str">
        <f ca="1">IF($A217="*","",OFFSET(COM_N_2012!$B$60,L217,0))</f>
        <v>CNLELCCFL-E</v>
      </c>
      <c r="D217" s="369" t="str">
        <f ca="1">IF($A217="*","",IF(LEFT($B217,3)="TOP",OFFSET(COM_N_2012!$B$60,$L217,SUMIF($B$9:$B$12,$B217,$M$9:$M$12)),"-"))</f>
        <v>COMELC</v>
      </c>
      <c r="E217" s="369" t="str">
        <f ca="1">IF($A217="*","",IF($B217="PRC_ACTUNT",OFFSET(COM_N_2012!$B$60,$L217,SUMIF($B$9:$B$12,$B217,$M$9:$M$12)),"-"))</f>
        <v>-</v>
      </c>
      <c r="F217" s="369" t="str">
        <f t="shared" ca="1" si="29"/>
        <v>-</v>
      </c>
      <c r="G217" s="369" t="str">
        <f t="shared" ca="1" si="29"/>
        <v>-</v>
      </c>
      <c r="H217" s="369" t="str">
        <f t="shared" ca="1" si="29"/>
        <v>-</v>
      </c>
      <c r="I217" s="369">
        <f t="shared" ca="1" si="28"/>
        <v>1</v>
      </c>
      <c r="J217" s="369"/>
      <c r="K217" s="304">
        <f>IF(L216=COM_N_2012!$AK$121,K216+1,K216)</f>
        <v>4</v>
      </c>
      <c r="L217" s="304">
        <f t="shared" si="21"/>
        <v>21</v>
      </c>
    </row>
    <row r="218" spans="1:12">
      <c r="A218" s="304" t="str">
        <f ca="1">IF(LEFT(OFFSET(COM_N_2012!$A$60,L218,0),2)="\I","*","")</f>
        <v/>
      </c>
      <c r="B218" s="369" t="str">
        <f t="shared" ca="1" si="27"/>
        <v>TOP-IN</v>
      </c>
      <c r="C218" s="369" t="str">
        <f ca="1">IF($A218="*","",OFFSET(COM_N_2012!$B$60,L218,0))</f>
        <v>CNLELCFLU-E</v>
      </c>
      <c r="D218" s="369" t="str">
        <f ca="1">IF($A218="*","",IF(LEFT($B218,3)="TOP",OFFSET(COM_N_2012!$B$60,$L218,SUMIF($B$9:$B$12,$B218,$M$9:$M$12)),"-"))</f>
        <v>COMELC</v>
      </c>
      <c r="E218" s="369" t="str">
        <f ca="1">IF($A218="*","",IF($B218="PRC_ACTUNT",OFFSET(COM_N_2012!$B$60,$L218,SUMIF($B$9:$B$12,$B218,$M$9:$M$12)),"-"))</f>
        <v>-</v>
      </c>
      <c r="F218" s="369" t="str">
        <f t="shared" ca="1" si="29"/>
        <v>-</v>
      </c>
      <c r="G218" s="369" t="str">
        <f t="shared" ca="1" si="29"/>
        <v>-</v>
      </c>
      <c r="H218" s="369" t="str">
        <f t="shared" ca="1" si="29"/>
        <v>-</v>
      </c>
      <c r="I218" s="369">
        <f t="shared" ca="1" si="28"/>
        <v>1</v>
      </c>
      <c r="J218" s="369"/>
      <c r="K218" s="304">
        <f>IF(L217=COM_N_2012!$AK$121,K217+1,K217)</f>
        <v>4</v>
      </c>
      <c r="L218" s="304">
        <f t="shared" si="21"/>
        <v>22</v>
      </c>
    </row>
    <row r="219" spans="1:12">
      <c r="A219" s="304" t="str">
        <f ca="1">IF(LEFT(OFFSET(COM_N_2012!$A$60,L219,0),2)="\I","*","")</f>
        <v/>
      </c>
      <c r="B219" s="369" t="str">
        <f t="shared" ca="1" si="27"/>
        <v>TOP-IN</v>
      </c>
      <c r="C219" s="369" t="str">
        <f ca="1">IF($A219="*","",OFFSET(COM_N_2012!$B$60,L219,0))</f>
        <v>CNLELCHAL-E</v>
      </c>
      <c r="D219" s="369" t="str">
        <f ca="1">IF($A219="*","",IF(LEFT($B219,3)="TOP",OFFSET(COM_N_2012!$B$60,$L219,SUMIF($B$9:$B$12,$B219,$M$9:$M$12)),"-"))</f>
        <v>COMELC</v>
      </c>
      <c r="E219" s="369" t="str">
        <f ca="1">IF($A219="*","",IF($B219="PRC_ACTUNT",OFFSET(COM_N_2012!$B$60,$L219,SUMIF($B$9:$B$12,$B219,$M$9:$M$12)),"-"))</f>
        <v>-</v>
      </c>
      <c r="F219" s="369" t="str">
        <f t="shared" ca="1" si="29"/>
        <v>-</v>
      </c>
      <c r="G219" s="369" t="str">
        <f t="shared" ca="1" si="29"/>
        <v>-</v>
      </c>
      <c r="H219" s="369" t="str">
        <f t="shared" ca="1" si="29"/>
        <v>-</v>
      </c>
      <c r="I219" s="369">
        <f t="shared" ca="1" si="28"/>
        <v>1</v>
      </c>
      <c r="J219" s="369"/>
      <c r="K219" s="304">
        <f>IF(L218=COM_N_2012!$AK$121,K218+1,K218)</f>
        <v>4</v>
      </c>
      <c r="L219" s="304">
        <f t="shared" si="21"/>
        <v>23</v>
      </c>
    </row>
    <row r="220" spans="1:12">
      <c r="A220" s="304" t="str">
        <f ca="1">IF(LEFT(OFFSET(COM_N_2012!$A$60,L220,0),2)="\I","*","")</f>
        <v/>
      </c>
      <c r="B220" s="369" t="str">
        <f t="shared" ca="1" si="27"/>
        <v>TOP-IN</v>
      </c>
      <c r="C220" s="369" t="str">
        <f ca="1">IF($A220="*","",OFFSET(COM_N_2012!$B$60,L220,0))</f>
        <v>CNLELCHID-E</v>
      </c>
      <c r="D220" s="369" t="str">
        <f ca="1">IF($A220="*","",IF(LEFT($B220,3)="TOP",OFFSET(COM_N_2012!$B$60,$L220,SUMIF($B$9:$B$12,$B220,$M$9:$M$12)),"-"))</f>
        <v>COMELC</v>
      </c>
      <c r="E220" s="369" t="str">
        <f ca="1">IF($A220="*","",IF($B220="PRC_ACTUNT",OFFSET(COM_N_2012!$B$60,$L220,SUMIF($B$9:$B$12,$B220,$M$9:$M$12)),"-"))</f>
        <v>-</v>
      </c>
      <c r="F220" s="369" t="str">
        <f t="shared" ca="1" si="29"/>
        <v>-</v>
      </c>
      <c r="G220" s="369" t="str">
        <f t="shared" ca="1" si="29"/>
        <v>-</v>
      </c>
      <c r="H220" s="369" t="str">
        <f t="shared" ca="1" si="29"/>
        <v>-</v>
      </c>
      <c r="I220" s="369">
        <f t="shared" ca="1" si="28"/>
        <v>1</v>
      </c>
      <c r="J220" s="369"/>
      <c r="K220" s="304">
        <f>IF(L219=COM_N_2012!$AK$121,K219+1,K219)</f>
        <v>4</v>
      </c>
      <c r="L220" s="304">
        <f t="shared" si="21"/>
        <v>24</v>
      </c>
    </row>
    <row r="221" spans="1:12">
      <c r="A221" s="304" t="str">
        <f ca="1">IF(LEFT(OFFSET(COM_N_2012!$A$60,L221,0),2)="\I","*","")</f>
        <v/>
      </c>
      <c r="B221" s="369" t="str">
        <f t="shared" ca="1" si="27"/>
        <v>TOP-IN</v>
      </c>
      <c r="C221" s="369" t="str">
        <f ca="1">IF($A221="*","",OFFSET(COM_N_2012!$B$60,L221,0))</f>
        <v>CNLELCINC-E</v>
      </c>
      <c r="D221" s="369" t="str">
        <f ca="1">IF($A221="*","",IF(LEFT($B221,3)="TOP",OFFSET(COM_N_2012!$B$60,$L221,SUMIF($B$9:$B$12,$B221,$M$9:$M$12)),"-"))</f>
        <v>COMELC</v>
      </c>
      <c r="E221" s="369" t="str">
        <f ca="1">IF($A221="*","",IF($B221="PRC_ACTUNT",OFFSET(COM_N_2012!$B$60,$L221,SUMIF($B$9:$B$12,$B221,$M$9:$M$12)),"-"))</f>
        <v>-</v>
      </c>
      <c r="F221" s="369" t="str">
        <f t="shared" ca="1" si="29"/>
        <v>-</v>
      </c>
      <c r="G221" s="369" t="str">
        <f t="shared" ca="1" si="29"/>
        <v>-</v>
      </c>
      <c r="H221" s="369" t="str">
        <f t="shared" ca="1" si="29"/>
        <v>-</v>
      </c>
      <c r="I221" s="369">
        <f t="shared" ca="1" si="28"/>
        <v>1</v>
      </c>
      <c r="J221" s="369"/>
      <c r="K221" s="304">
        <f>IF(L220=COM_N_2012!$AK$121,K220+1,K220)</f>
        <v>4</v>
      </c>
      <c r="L221" s="304">
        <f t="shared" si="21"/>
        <v>25</v>
      </c>
    </row>
    <row r="222" spans="1:12">
      <c r="A222" s="304" t="str">
        <f ca="1">IF(LEFT(OFFSET(COM_N_2012!$A$60,L222,0),2)="\I","*","")</f>
        <v/>
      </c>
      <c r="B222" s="369" t="str">
        <f t="shared" ca="1" si="27"/>
        <v>TOP-IN</v>
      </c>
      <c r="C222" s="369" t="str">
        <f ca="1">IF($A222="*","",OFFSET(COM_N_2012!$B$60,L222,0))</f>
        <v>CNLELCLED-N</v>
      </c>
      <c r="D222" s="369" t="str">
        <f ca="1">IF($A222="*","",IF(LEFT($B222,3)="TOP",OFFSET(COM_N_2012!$B$60,$L222,SUMIF($B$9:$B$12,$B222,$M$9:$M$12)),"-"))</f>
        <v>COMELC</v>
      </c>
      <c r="E222" s="369" t="str">
        <f ca="1">IF($A222="*","",IF($B222="PRC_ACTUNT",OFFSET(COM_N_2012!$B$60,$L222,SUMIF($B$9:$B$12,$B222,$M$9:$M$12)),"-"))</f>
        <v>-</v>
      </c>
      <c r="F222" s="369" t="str">
        <f t="shared" ca="1" si="29"/>
        <v>-</v>
      </c>
      <c r="G222" s="369" t="str">
        <f t="shared" ca="1" si="29"/>
        <v>-</v>
      </c>
      <c r="H222" s="369" t="str">
        <f t="shared" ca="1" si="29"/>
        <v>-</v>
      </c>
      <c r="I222" s="369">
        <f t="shared" ca="1" si="28"/>
        <v>1</v>
      </c>
      <c r="J222" s="369"/>
      <c r="K222" s="304">
        <f>IF(L221=COM_N_2012!$AK$121,K221+1,K221)</f>
        <v>4</v>
      </c>
      <c r="L222" s="304">
        <f t="shared" si="21"/>
        <v>26</v>
      </c>
    </row>
    <row r="223" spans="1:12">
      <c r="A223" s="304" t="str">
        <f ca="1">IF(LEFT(OFFSET(COM_N_2012!$A$60,L223,0),2)="\I","*","")</f>
        <v>*</v>
      </c>
      <c r="B223" s="369" t="str">
        <f t="shared" ca="1" si="27"/>
        <v/>
      </c>
      <c r="C223" s="369" t="str">
        <f ca="1">IF($A223="*","",OFFSET(COM_N_2012!$B$60,L223,0))</f>
        <v/>
      </c>
      <c r="D223" s="369" t="str">
        <f ca="1">IF($A223="*","",IF(LEFT($B223,3)="TOP",OFFSET(COM_N_2012!$B$60,$L223,SUMIF($B$9:$B$12,$B223,$M$9:$M$12)),"-"))</f>
        <v/>
      </c>
      <c r="E223" s="369" t="str">
        <f ca="1">IF($A223="*","",IF($B223="PRC_ACTUNT",OFFSET(COM_N_2012!$B$60,$L223,SUMIF($B$9:$B$12,$B223,$M$9:$M$12)),"-"))</f>
        <v/>
      </c>
      <c r="F223" s="369" t="str">
        <f t="shared" ca="1" si="29"/>
        <v/>
      </c>
      <c r="G223" s="369" t="str">
        <f t="shared" ca="1" si="29"/>
        <v/>
      </c>
      <c r="H223" s="369" t="str">
        <f t="shared" ca="1" si="29"/>
        <v/>
      </c>
      <c r="I223" s="369" t="str">
        <f t="shared" ca="1" si="28"/>
        <v/>
      </c>
      <c r="J223" s="369"/>
      <c r="K223" s="304">
        <f>IF(L222=COM_N_2012!$AK$121,K222+1,K222)</f>
        <v>4</v>
      </c>
      <c r="L223" s="304">
        <f t="shared" si="21"/>
        <v>27</v>
      </c>
    </row>
    <row r="224" spans="1:12">
      <c r="A224" s="304" t="str">
        <f ca="1">IF(LEFT(OFFSET(COM_N_2012!$A$60,L224,0),2)="\I","*","")</f>
        <v>*</v>
      </c>
      <c r="B224" s="369" t="str">
        <f t="shared" ca="1" si="27"/>
        <v/>
      </c>
      <c r="C224" s="369" t="str">
        <f ca="1">IF($A224="*","",OFFSET(COM_N_2012!$B$60,L224,0))</f>
        <v/>
      </c>
      <c r="D224" s="369" t="str">
        <f ca="1">IF($A224="*","",IF(LEFT($B224,3)="TOP",OFFSET(COM_N_2012!$B$60,$L224,SUMIF($B$9:$B$12,$B224,$M$9:$M$12)),"-"))</f>
        <v/>
      </c>
      <c r="E224" s="369" t="str">
        <f ca="1">IF($A224="*","",IF($B224="PRC_ACTUNT",OFFSET(COM_N_2012!$B$60,$L224,SUMIF($B$9:$B$12,$B224,$M$9:$M$12)),"-"))</f>
        <v/>
      </c>
      <c r="F224" s="369" t="str">
        <f t="shared" ca="1" si="29"/>
        <v/>
      </c>
      <c r="G224" s="369" t="str">
        <f t="shared" ca="1" si="29"/>
        <v/>
      </c>
      <c r="H224" s="369" t="str">
        <f t="shared" ca="1" si="29"/>
        <v/>
      </c>
      <c r="I224" s="369" t="str">
        <f t="shared" ca="1" si="28"/>
        <v/>
      </c>
      <c r="J224" s="369"/>
      <c r="K224" s="304">
        <f>IF(L223=COM_N_2012!$AK$121,K223+1,K223)</f>
        <v>4</v>
      </c>
      <c r="L224" s="304">
        <f t="shared" ref="L224:L231" si="30">IF(K224=K223,L223+1,1)</f>
        <v>28</v>
      </c>
    </row>
    <row r="225" spans="1:12">
      <c r="A225" s="304" t="str">
        <f ca="1">IF(LEFT(OFFSET(COM_N_2012!$A$60,L225,0),2)="\I","*","")</f>
        <v/>
      </c>
      <c r="B225" s="369" t="str">
        <f t="shared" ref="B225:B235" ca="1" si="31">IF(A225="*","",VLOOKUP("*"&amp;K225,$A$9:$B$14,2,FALSE))</f>
        <v>TOP-IN</v>
      </c>
      <c r="C225" s="369" t="str">
        <f ca="1">IF($A225="*","",OFFSET(COM_N_2012!$B$60,L225,0))</f>
        <v>CNRELC-E</v>
      </c>
      <c r="D225" s="369" t="str">
        <f ca="1">IF($A225="*","",IF(LEFT($B225,3)="TOP",OFFSET(COM_N_2012!$B$60,$L225,SUMIF($B$9:$B$12,$B225,$M$9:$M$12)),"-"))</f>
        <v>COMELC</v>
      </c>
      <c r="E225" s="369" t="str">
        <f ca="1">IF($A225="*","",IF($B225="PRC_ACTUNT",OFFSET(COM_N_2012!$B$60,$L225,SUMIF($B$9:$B$12,$B225,$M$9:$M$12)),"-"))</f>
        <v>-</v>
      </c>
      <c r="F225" s="369" t="str">
        <f t="shared" ca="1" si="29"/>
        <v>-</v>
      </c>
      <c r="G225" s="369" t="str">
        <f t="shared" ca="1" si="29"/>
        <v>-</v>
      </c>
      <c r="H225" s="369" t="str">
        <f t="shared" ca="1" si="29"/>
        <v>-</v>
      </c>
      <c r="I225" s="369">
        <f t="shared" ref="I225:I235" ca="1" si="32">IF($A225="*","",SUMIF($B$9:$B$12,B225,$I$9:$I$12))</f>
        <v>1</v>
      </c>
      <c r="J225" s="369"/>
      <c r="K225" s="304">
        <f>IF(L224=COM_N_2012!$AK$121,K224+1,K224)</f>
        <v>4</v>
      </c>
      <c r="L225" s="304">
        <f t="shared" si="30"/>
        <v>29</v>
      </c>
    </row>
    <row r="226" spans="1:12">
      <c r="A226" s="304" t="str">
        <f ca="1">IF(LEFT(OFFSET(COM_N_2012!$A$60,L226,0),2)="\I","*","")</f>
        <v/>
      </c>
      <c r="B226" s="369" t="str">
        <f t="shared" ca="1" si="31"/>
        <v>TOP-IN</v>
      </c>
      <c r="C226" s="369" t="str">
        <f ca="1">IF($A226="*","",OFFSET(COM_N_2012!$B$60,L226,0))</f>
        <v>CNRELC-N</v>
      </c>
      <c r="D226" s="369" t="str">
        <f ca="1">IF($A226="*","",IF(LEFT($B226,3)="TOP",OFFSET(COM_N_2012!$B$60,$L226,SUMIF($B$9:$B$12,$B226,$M$9:$M$12)),"-"))</f>
        <v>COMELC</v>
      </c>
      <c r="E226" s="369" t="str">
        <f ca="1">IF($A226="*","",IF($B226="PRC_ACTUNT",OFFSET(COM_N_2012!$B$60,$L226,SUMIF($B$9:$B$12,$B226,$M$9:$M$12)),"-"))</f>
        <v>-</v>
      </c>
      <c r="F226" s="369" t="str">
        <f t="shared" ca="1" si="29"/>
        <v>-</v>
      </c>
      <c r="G226" s="369" t="str">
        <f t="shared" ca="1" si="29"/>
        <v>-</v>
      </c>
      <c r="H226" s="369" t="str">
        <f t="shared" ca="1" si="29"/>
        <v>-</v>
      </c>
      <c r="I226" s="369">
        <f t="shared" ca="1" si="32"/>
        <v>1</v>
      </c>
      <c r="J226" s="369"/>
      <c r="K226" s="304">
        <f>IF(L225=COM_N_2012!$AK$121,K225+1,K225)</f>
        <v>4</v>
      </c>
      <c r="L226" s="304">
        <f t="shared" si="30"/>
        <v>30</v>
      </c>
    </row>
    <row r="227" spans="1:12">
      <c r="A227" s="304" t="str">
        <f ca="1">IF(LEFT(OFFSET(COM_N_2012!$A$60,L227,0),2)="\I","*","")</f>
        <v>*</v>
      </c>
      <c r="B227" s="369" t="str">
        <f t="shared" ca="1" si="31"/>
        <v/>
      </c>
      <c r="C227" s="369" t="str">
        <f ca="1">IF($A227="*","",OFFSET(COM_N_2012!$B$60,L227,0))</f>
        <v/>
      </c>
      <c r="D227" s="369" t="str">
        <f ca="1">IF($A227="*","",IF(LEFT($B227,3)="TOP",OFFSET(COM_N_2012!$B$60,$L227,SUMIF($B$9:$B$12,$B227,$M$9:$M$12)),"-"))</f>
        <v/>
      </c>
      <c r="E227" s="369" t="str">
        <f ca="1">IF($A227="*","",IF($B227="PRC_ACTUNT",OFFSET(COM_N_2012!$B$60,$L227,SUMIF($B$9:$B$12,$B227,$M$9:$M$12)),"-"))</f>
        <v/>
      </c>
      <c r="F227" s="369" t="str">
        <f t="shared" ca="1" si="29"/>
        <v/>
      </c>
      <c r="G227" s="369" t="str">
        <f t="shared" ca="1" si="29"/>
        <v/>
      </c>
      <c r="H227" s="369" t="str">
        <f t="shared" ca="1" si="29"/>
        <v/>
      </c>
      <c r="I227" s="369" t="str">
        <f t="shared" ca="1" si="32"/>
        <v/>
      </c>
      <c r="J227" s="369"/>
      <c r="K227" s="304">
        <f>IF(L226=COM_N_2012!$AK$121,K226+1,K226)</f>
        <v>4</v>
      </c>
      <c r="L227" s="304">
        <f t="shared" si="30"/>
        <v>31</v>
      </c>
    </row>
    <row r="228" spans="1:12">
      <c r="A228" s="304" t="str">
        <f ca="1">IF(LEFT(OFFSET(COM_N_2012!$A$60,L228,0),2)="\I","*","")</f>
        <v>*</v>
      </c>
      <c r="B228" s="369" t="str">
        <f t="shared" ca="1" si="31"/>
        <v/>
      </c>
      <c r="C228" s="369" t="str">
        <f ca="1">IF($A228="*","",OFFSET(COM_N_2012!$B$60,L228,0))</f>
        <v/>
      </c>
      <c r="D228" s="369" t="str">
        <f ca="1">IF($A228="*","",IF(LEFT($B228,3)="TOP",OFFSET(COM_N_2012!$B$60,$L228,SUMIF($B$9:$B$12,$B228,$M$9:$M$12)),"-"))</f>
        <v/>
      </c>
      <c r="E228" s="369" t="str">
        <f ca="1">IF($A228="*","",IF($B228="PRC_ACTUNT",OFFSET(COM_N_2012!$B$60,$L228,SUMIF($B$9:$B$12,$B228,$M$9:$M$12)),"-"))</f>
        <v/>
      </c>
      <c r="F228" s="369" t="str">
        <f t="shared" ref="F228:H243" ca="1" si="33">IF($A228="*","","-")</f>
        <v/>
      </c>
      <c r="G228" s="369" t="str">
        <f t="shared" ca="1" si="33"/>
        <v/>
      </c>
      <c r="H228" s="369" t="str">
        <f t="shared" ca="1" si="33"/>
        <v/>
      </c>
      <c r="I228" s="369" t="str">
        <f t="shared" ca="1" si="32"/>
        <v/>
      </c>
      <c r="J228" s="369"/>
      <c r="K228" s="304">
        <f>IF(L227=COM_N_2012!$AK$121,K227+1,K227)</f>
        <v>4</v>
      </c>
      <c r="L228" s="304">
        <f t="shared" si="30"/>
        <v>32</v>
      </c>
    </row>
    <row r="229" spans="1:12">
      <c r="A229" s="304" t="str">
        <f ca="1">IF(LEFT(OFFSET(COM_N_2012!$A$60,L229,0),2)="\I","*","")</f>
        <v/>
      </c>
      <c r="B229" s="369" t="str">
        <f t="shared" ca="1" si="31"/>
        <v>TOP-IN</v>
      </c>
      <c r="C229" s="369" t="str">
        <f ca="1">IF($A229="*","",OFFSET(COM_N_2012!$B$60,L229,0))</f>
        <v>CNWELC-E</v>
      </c>
      <c r="D229" s="369" t="str">
        <f ca="1">IF($A229="*","",IF(LEFT($B229,3)="TOP",OFFSET(COM_N_2012!$B$60,$L229,SUMIF($B$9:$B$12,$B229,$M$9:$M$12)),"-"))</f>
        <v>COMELC</v>
      </c>
      <c r="E229" s="369" t="str">
        <f ca="1">IF($A229="*","",IF($B229="PRC_ACTUNT",OFFSET(COM_N_2012!$B$60,$L229,SUMIF($B$9:$B$12,$B229,$M$9:$M$12)),"-"))</f>
        <v>-</v>
      </c>
      <c r="F229" s="369" t="str">
        <f t="shared" ca="1" si="33"/>
        <v>-</v>
      </c>
      <c r="G229" s="369" t="str">
        <f t="shared" ca="1" si="33"/>
        <v>-</v>
      </c>
      <c r="H229" s="369" t="str">
        <f t="shared" ca="1" si="33"/>
        <v>-</v>
      </c>
      <c r="I229" s="369">
        <f t="shared" ca="1" si="32"/>
        <v>1</v>
      </c>
      <c r="J229" s="369"/>
      <c r="K229" s="304">
        <f>IF(L228=COM_N_2012!$AK$121,K228+1,K228)</f>
        <v>4</v>
      </c>
      <c r="L229" s="304">
        <f t="shared" si="30"/>
        <v>33</v>
      </c>
    </row>
    <row r="230" spans="1:12">
      <c r="A230" s="304" t="str">
        <f ca="1">IF(LEFT(OFFSET(COM_N_2012!$A$60,L230,0),2)="\I","*","")</f>
        <v/>
      </c>
      <c r="B230" s="369" t="str">
        <f t="shared" ca="1" si="31"/>
        <v>TOP-IN</v>
      </c>
      <c r="C230" s="369" t="str">
        <f ca="1">IF($A230="*","",OFFSET(COM_N_2012!$B$60,L230,0))</f>
        <v>CNWCOA-E</v>
      </c>
      <c r="D230" s="369" t="str">
        <f ca="1">IF($A230="*","",IF(LEFT($B230,3)="TOP",OFFSET(COM_N_2012!$B$60,$L230,SUMIF($B$9:$B$12,$B230,$M$9:$M$12)),"-"))</f>
        <v>COMCOA</v>
      </c>
      <c r="E230" s="369" t="str">
        <f ca="1">IF($A230="*","",IF($B230="PRC_ACTUNT",OFFSET(COM_N_2012!$B$60,$L230,SUMIF($B$9:$B$12,$B230,$M$9:$M$12)),"-"))</f>
        <v>-</v>
      </c>
      <c r="F230" s="369" t="str">
        <f t="shared" ca="1" si="33"/>
        <v>-</v>
      </c>
      <c r="G230" s="369" t="str">
        <f t="shared" ca="1" si="33"/>
        <v>-</v>
      </c>
      <c r="H230" s="369" t="str">
        <f t="shared" ca="1" si="33"/>
        <v>-</v>
      </c>
      <c r="I230" s="369">
        <f t="shared" ca="1" si="32"/>
        <v>1</v>
      </c>
      <c r="J230" s="369"/>
      <c r="K230" s="304">
        <f>IF(L229=COM_N_2012!$AK$121,K229+1,K229)</f>
        <v>4</v>
      </c>
      <c r="L230" s="304">
        <f t="shared" si="30"/>
        <v>34</v>
      </c>
    </row>
    <row r="231" spans="1:12">
      <c r="A231" s="304" t="str">
        <f ca="1">IF(LEFT(OFFSET(COM_N_2012!$A$60,L231,0),2)="\I","*","")</f>
        <v/>
      </c>
      <c r="B231" s="369" t="str">
        <f t="shared" ca="1" si="31"/>
        <v>TOP-IN</v>
      </c>
      <c r="C231" s="369" t="str">
        <f ca="1">IF($A231="*","",OFFSET(COM_N_2012!$B$60,L231,0))</f>
        <v>CNWOLP-E</v>
      </c>
      <c r="D231" s="369" t="str">
        <f ca="1">IF($A231="*","",IF(LEFT($B231,3)="TOP",OFFSET(COM_N_2012!$B$60,$L231,SUMIF($B$9:$B$12,$B231,$M$9:$M$12)),"-"))</f>
        <v>COMOLP</v>
      </c>
      <c r="E231" s="369" t="str">
        <f ca="1">IF($A231="*","",IF($B231="PRC_ACTUNT",OFFSET(COM_N_2012!$B$60,$L231,SUMIF($B$9:$B$12,$B231,$M$9:$M$12)),"-"))</f>
        <v>-</v>
      </c>
      <c r="F231" s="369" t="str">
        <f t="shared" ca="1" si="33"/>
        <v>-</v>
      </c>
      <c r="G231" s="369" t="str">
        <f t="shared" ca="1" si="33"/>
        <v>-</v>
      </c>
      <c r="H231" s="369" t="str">
        <f t="shared" ca="1" si="33"/>
        <v>-</v>
      </c>
      <c r="I231" s="369">
        <f t="shared" ca="1" si="32"/>
        <v>1</v>
      </c>
      <c r="J231" s="369"/>
      <c r="K231" s="304">
        <f>IF(L230=COM_N_2012!$AK$121,K230+1,K230)</f>
        <v>4</v>
      </c>
      <c r="L231" s="304">
        <f t="shared" si="30"/>
        <v>35</v>
      </c>
    </row>
    <row r="232" spans="1:12">
      <c r="A232" s="304" t="str">
        <f ca="1">IF(LEFT(OFFSET(COM_N_2012!$A$60,L232,0),2)="\I","*","")</f>
        <v/>
      </c>
      <c r="B232" s="369" t="str">
        <f t="shared" ca="1" si="31"/>
        <v>TOP-IN</v>
      </c>
      <c r="C232" s="369" t="str">
        <f ca="1">IF($A232="*","",OFFSET(COM_N_2012!$B$60,L232,0))</f>
        <v>CNWGAS-E</v>
      </c>
      <c r="D232" s="369" t="str">
        <f ca="1">IF($A232="*","",IF(LEFT($B232,3)="TOP",OFFSET(COM_N_2012!$B$60,$L232,SUMIF($B$9:$B$12,$B232,$M$9:$M$12)),"-"))</f>
        <v>COMGAS</v>
      </c>
      <c r="E232" s="369" t="str">
        <f ca="1">IF($A232="*","",IF($B232="PRC_ACTUNT",OFFSET(COM_N_2012!$B$60,$L232,SUMIF($B$9:$B$12,$B232,$M$9:$M$12)),"-"))</f>
        <v>-</v>
      </c>
      <c r="F232" s="369" t="str">
        <f t="shared" ca="1" si="33"/>
        <v>-</v>
      </c>
      <c r="G232" s="369" t="str">
        <f t="shared" ca="1" si="33"/>
        <v>-</v>
      </c>
      <c r="H232" s="369" t="str">
        <f t="shared" ca="1" si="33"/>
        <v>-</v>
      </c>
      <c r="I232" s="369">
        <f t="shared" ca="1" si="32"/>
        <v>1</v>
      </c>
      <c r="J232" s="369"/>
      <c r="K232" s="304">
        <f>IF(L231=COM_N_2012!$AK$121,K231+1,K231)</f>
        <v>4</v>
      </c>
      <c r="L232" s="304">
        <f t="shared" ref="L232:L237" si="34">IF(K232=K231,L231+1,1)</f>
        <v>36</v>
      </c>
    </row>
    <row r="233" spans="1:12">
      <c r="A233" s="304" t="str">
        <f ca="1">IF(LEFT(OFFSET(COM_N_2012!$A$60,L233,0),2)="\I","*","")</f>
        <v/>
      </c>
      <c r="B233" s="369" t="str">
        <f t="shared" ca="1" si="31"/>
        <v>TOP-IN</v>
      </c>
      <c r="C233" s="369" t="str">
        <f ca="1">IF($A233="*","",OFFSET(COM_N_2012!$B$60,L233,0))</f>
        <v>CNWOKE-E</v>
      </c>
      <c r="D233" s="369" t="str">
        <f ca="1">IF($A233="*","",IF(LEFT($B233,3)="TOP",OFFSET(COM_N_2012!$B$60,$L233,SUMIF($B$9:$B$12,$B233,$M$9:$M$12)),"-"))</f>
        <v>COMOKE</v>
      </c>
      <c r="E233" s="369" t="str">
        <f ca="1">IF($A233="*","",IF($B233="PRC_ACTUNT",OFFSET(COM_N_2012!$B$60,$L233,SUMIF($B$9:$B$12,$B233,$M$9:$M$12)),"-"))</f>
        <v>-</v>
      </c>
      <c r="F233" s="369" t="str">
        <f t="shared" ca="1" si="33"/>
        <v>-</v>
      </c>
      <c r="G233" s="369" t="str">
        <f t="shared" ca="1" si="33"/>
        <v>-</v>
      </c>
      <c r="H233" s="369" t="str">
        <f t="shared" ca="1" si="33"/>
        <v>-</v>
      </c>
      <c r="I233" s="369">
        <f t="shared" ca="1" si="32"/>
        <v>1</v>
      </c>
      <c r="J233" s="369"/>
      <c r="K233" s="304">
        <f>IF(L232=COM_N_2012!$AK$121,K232+1,K232)</f>
        <v>4</v>
      </c>
      <c r="L233" s="304">
        <f t="shared" si="34"/>
        <v>37</v>
      </c>
    </row>
    <row r="234" spans="1:12">
      <c r="A234" s="304" t="str">
        <f ca="1">IF(LEFT(OFFSET(COM_N_2012!$A$60,L234,0),2)="\I","*","")</f>
        <v/>
      </c>
      <c r="B234" s="369" t="str">
        <f t="shared" ca="1" si="31"/>
        <v>TOP-IN</v>
      </c>
      <c r="C234" s="369" t="str">
        <f ca="1">IF($A234="*","",OFFSET(COM_N_2012!$B$60,L234,0))</f>
        <v>CNWELC-N</v>
      </c>
      <c r="D234" s="369" t="str">
        <f ca="1">IF($A234="*","",IF(LEFT($B234,3)="TOP",OFFSET(COM_N_2012!$B$60,$L234,SUMIF($B$9:$B$12,$B234,$M$9:$M$12)),"-"))</f>
        <v>COMELC</v>
      </c>
      <c r="E234" s="369" t="str">
        <f ca="1">IF($A234="*","",IF($B234="PRC_ACTUNT",OFFSET(COM_N_2012!$B$60,$L234,SUMIF($B$9:$B$12,$B234,$M$9:$M$12)),"-"))</f>
        <v>-</v>
      </c>
      <c r="F234" s="369" t="str">
        <f t="shared" ca="1" si="33"/>
        <v>-</v>
      </c>
      <c r="G234" s="369" t="str">
        <f t="shared" ca="1" si="33"/>
        <v>-</v>
      </c>
      <c r="H234" s="369" t="str">
        <f t="shared" ca="1" si="33"/>
        <v>-</v>
      </c>
      <c r="I234" s="369">
        <f t="shared" ca="1" si="32"/>
        <v>1</v>
      </c>
      <c r="J234" s="369"/>
      <c r="K234" s="304">
        <f>IF(L233=COM_N_2012!$AK$121,K233+1,K233)</f>
        <v>4</v>
      </c>
      <c r="L234" s="304">
        <f t="shared" si="34"/>
        <v>38</v>
      </c>
    </row>
    <row r="235" spans="1:12">
      <c r="A235" s="304" t="str">
        <f ca="1">IF(LEFT(OFFSET(COM_N_2012!$A$60,L235,0),2)="\I","*","")</f>
        <v/>
      </c>
      <c r="B235" s="369" t="str">
        <f t="shared" ca="1" si="31"/>
        <v>TOP-IN</v>
      </c>
      <c r="C235" s="369" t="str">
        <f ca="1">IF($A235="*","",OFFSET(COM_N_2012!$B$60,L235,0))</f>
        <v>CNWELCHP-N</v>
      </c>
      <c r="D235" s="369" t="str">
        <f ca="1">IF($A235="*","",IF(LEFT($B235,3)="TOP",OFFSET(COM_N_2012!$B$60,$L235,SUMIF($B$9:$B$12,$B235,$M$9:$M$12)),"-"))</f>
        <v>COMELC</v>
      </c>
      <c r="E235" s="369" t="str">
        <f ca="1">IF($A235="*","",IF($B235="PRC_ACTUNT",OFFSET(COM_N_2012!$B$60,$L235,SUMIF($B$9:$B$12,$B235,$M$9:$M$12)),"-"))</f>
        <v>-</v>
      </c>
      <c r="F235" s="369" t="str">
        <f t="shared" ca="1" si="33"/>
        <v>-</v>
      </c>
      <c r="G235" s="369" t="str">
        <f t="shared" ca="1" si="33"/>
        <v>-</v>
      </c>
      <c r="H235" s="369" t="str">
        <f t="shared" ca="1" si="33"/>
        <v>-</v>
      </c>
      <c r="I235" s="369">
        <f t="shared" ca="1" si="32"/>
        <v>1</v>
      </c>
      <c r="J235" s="369"/>
      <c r="K235" s="304">
        <f>IF(L234=COM_N_2012!$AK$121,K234+1,K234)</f>
        <v>4</v>
      </c>
      <c r="L235" s="304">
        <f t="shared" si="34"/>
        <v>39</v>
      </c>
    </row>
    <row r="236" spans="1:12">
      <c r="A236" s="304" t="str">
        <f ca="1">IF(LEFT(OFFSET(COM_N_2012!$A$60,L236,0),2)="\I","*","")</f>
        <v>*</v>
      </c>
      <c r="B236" s="369" t="str">
        <f t="shared" ref="B236:B257" ca="1" si="35">IF(A236="*","",VLOOKUP("*"&amp;K236,$A$9:$B$14,2,FALSE))</f>
        <v/>
      </c>
      <c r="C236" s="369" t="str">
        <f ca="1">IF($A236="*","",OFFSET(COM_N_2012!$B$60,L236,0))</f>
        <v/>
      </c>
      <c r="D236" s="369" t="str">
        <f ca="1">IF($A236="*","",IF(LEFT($B236,3)="TOP",OFFSET(COM_N_2012!$B$60,$L236,SUMIF($B$9:$B$12,$B236,$M$9:$M$12)),"-"))</f>
        <v/>
      </c>
      <c r="E236" s="369" t="str">
        <f ca="1">IF($A236="*","",IF($B236="PRC_ACTUNT",OFFSET(COM_N_2012!$B$60,$L236,SUMIF($B$9:$B$12,$B236,$M$9:$M$12)),"-"))</f>
        <v/>
      </c>
      <c r="F236" s="369" t="str">
        <f t="shared" ca="1" si="33"/>
        <v/>
      </c>
      <c r="G236" s="369" t="str">
        <f t="shared" ca="1" si="33"/>
        <v/>
      </c>
      <c r="H236" s="369" t="str">
        <f t="shared" ca="1" si="33"/>
        <v/>
      </c>
      <c r="I236" s="369" t="str">
        <f t="shared" ref="I236:I257" ca="1" si="36">IF($A236="*","",SUMIF($B$9:$B$12,B236,$I$9:$I$12))</f>
        <v/>
      </c>
      <c r="J236" s="369"/>
      <c r="K236" s="304">
        <f>IF(L235=COM_N_2012!$AK$121,K235+1,K235)</f>
        <v>4</v>
      </c>
      <c r="L236" s="304">
        <f t="shared" si="34"/>
        <v>40</v>
      </c>
    </row>
    <row r="237" spans="1:12">
      <c r="A237" s="304" t="str">
        <f ca="1">IF(LEFT(OFFSET(COM_N_2012!$A$60,L237,0),2)="\I","*","")</f>
        <v>*</v>
      </c>
      <c r="B237" s="369" t="str">
        <f t="shared" ca="1" si="35"/>
        <v/>
      </c>
      <c r="C237" s="369" t="str">
        <f ca="1">IF($A237="*","",OFFSET(COM_N_2012!$B$60,L237,0))</f>
        <v/>
      </c>
      <c r="D237" s="369" t="str">
        <f ca="1">IF($A237="*","",IF(LEFT($B237,3)="TOP",OFFSET(COM_N_2012!$B$60,$L237,SUMIF($B$9:$B$12,$B237,$M$9:$M$12)),"-"))</f>
        <v/>
      </c>
      <c r="E237" s="369" t="str">
        <f ca="1">IF($A237="*","",IF($B237="PRC_ACTUNT",OFFSET(COM_N_2012!$B$60,$L237,SUMIF($B$9:$B$12,$B237,$M$9:$M$12)),"-"))</f>
        <v/>
      </c>
      <c r="F237" s="369" t="str">
        <f t="shared" ca="1" si="33"/>
        <v/>
      </c>
      <c r="G237" s="369" t="str">
        <f t="shared" ca="1" si="33"/>
        <v/>
      </c>
      <c r="H237" s="369" t="str">
        <f t="shared" ca="1" si="33"/>
        <v/>
      </c>
      <c r="I237" s="369" t="str">
        <f t="shared" ca="1" si="36"/>
        <v/>
      </c>
      <c r="J237" s="369"/>
      <c r="K237" s="304">
        <f>IF(L236=COM_N_2012!$AK$121,K236+1,K236)</f>
        <v>4</v>
      </c>
      <c r="L237" s="304">
        <f t="shared" si="34"/>
        <v>41</v>
      </c>
    </row>
    <row r="238" spans="1:12">
      <c r="B238" s="369" t="str">
        <f t="shared" si="35"/>
        <v>TOP-IN</v>
      </c>
      <c r="C238" s="369" t="str">
        <f ca="1">IF($A238="*","",OFFSET(COM_N_2012!$B$60,L238,0))</f>
        <v>CNGELCINC-E</v>
      </c>
      <c r="D238" s="369" t="str">
        <f ca="1">IF($A238="*","",IF(LEFT($B238,3)="TOP",OFFSET(COM_N_2012!$B$60,$L238,SUMIF($B$9:$B$12,$B238,$M$9:$M$12)),"-"))</f>
        <v>COMELC</v>
      </c>
      <c r="E238" s="369" t="str">
        <f ca="1">IF($A238="*","",IF($B238="PRC_ACTUNT",OFFSET(COM_N_2012!$B$60,$L238,SUMIF($B$9:$B$12,$B238,$M$9:$M$12)),"-"))</f>
        <v>-</v>
      </c>
      <c r="F238" s="369" t="str">
        <f t="shared" si="33"/>
        <v>-</v>
      </c>
      <c r="G238" s="369" t="str">
        <f t="shared" si="33"/>
        <v>-</v>
      </c>
      <c r="H238" s="369" t="str">
        <f t="shared" si="33"/>
        <v>-</v>
      </c>
      <c r="I238" s="369">
        <f t="shared" si="36"/>
        <v>1</v>
      </c>
      <c r="K238" s="304">
        <f>IF(L237=COM_N_2012!$AK$121,K237+1,K237)</f>
        <v>4</v>
      </c>
      <c r="L238" s="304">
        <f t="shared" ref="L238:L257" si="37">IF(K238=K237,L237+1,1)</f>
        <v>42</v>
      </c>
    </row>
    <row r="239" spans="1:12">
      <c r="B239" s="369" t="str">
        <f t="shared" si="35"/>
        <v>TOP-IN</v>
      </c>
      <c r="C239" s="369" t="str">
        <f ca="1">IF($A239="*","",OFFSET(COM_N_2012!$B$60,L239,0))</f>
        <v>CNGELCHAL-E</v>
      </c>
      <c r="D239" s="369" t="str">
        <f ca="1">IF($A239="*","",IF(LEFT($B239,3)="TOP",OFFSET(COM_N_2012!$B$60,$L239,SUMIF($B$9:$B$12,$B239,$M$9:$M$12)),"-"))</f>
        <v>COMELC</v>
      </c>
      <c r="E239" s="369" t="str">
        <f ca="1">IF($A239="*","",IF($B239="PRC_ACTUNT",OFFSET(COM_N_2012!$B$60,$L239,SUMIF($B$9:$B$12,$B239,$M$9:$M$12)),"-"))</f>
        <v>-</v>
      </c>
      <c r="F239" s="369" t="str">
        <f t="shared" si="33"/>
        <v>-</v>
      </c>
      <c r="G239" s="369" t="str">
        <f t="shared" si="33"/>
        <v>-</v>
      </c>
      <c r="H239" s="369" t="str">
        <f t="shared" si="33"/>
        <v>-</v>
      </c>
      <c r="I239" s="369">
        <f t="shared" si="36"/>
        <v>1</v>
      </c>
      <c r="K239" s="304">
        <f>IF(L238=COM_N_2012!$AK$121,K238+1,K238)</f>
        <v>4</v>
      </c>
      <c r="L239" s="304">
        <f t="shared" si="37"/>
        <v>43</v>
      </c>
    </row>
    <row r="240" spans="1:12">
      <c r="B240" s="369" t="str">
        <f t="shared" si="35"/>
        <v>TOP-IN</v>
      </c>
      <c r="C240" s="369" t="str">
        <f ca="1">IF($A240="*","",OFFSET(COM_N_2012!$B$60,L240,0))</f>
        <v>CNGELCHPM-E</v>
      </c>
      <c r="D240" s="369" t="str">
        <f ca="1">IF($A240="*","",IF(LEFT($B240,3)="TOP",OFFSET(COM_N_2012!$B$60,$L240,SUMIF($B$9:$B$12,$B240,$M$9:$M$12)),"-"))</f>
        <v>COMELC</v>
      </c>
      <c r="E240" s="369" t="str">
        <f ca="1">IF($A240="*","",IF($B240="PRC_ACTUNT",OFFSET(COM_N_2012!$B$60,$L240,SUMIF($B$9:$B$12,$B240,$M$9:$M$12)),"-"))</f>
        <v>-</v>
      </c>
      <c r="F240" s="369" t="str">
        <f t="shared" si="33"/>
        <v>-</v>
      </c>
      <c r="G240" s="369" t="str">
        <f t="shared" si="33"/>
        <v>-</v>
      </c>
      <c r="H240" s="369" t="str">
        <f t="shared" si="33"/>
        <v>-</v>
      </c>
      <c r="I240" s="369">
        <f t="shared" si="36"/>
        <v>1</v>
      </c>
      <c r="K240" s="304">
        <f>IF(L239=COM_N_2012!$AK$121,K239+1,K239)</f>
        <v>4</v>
      </c>
      <c r="L240" s="304">
        <f t="shared" si="37"/>
        <v>44</v>
      </c>
    </row>
    <row r="241" spans="1:12">
      <c r="B241" s="369" t="str">
        <f t="shared" si="35"/>
        <v>TOP-IN</v>
      </c>
      <c r="C241" s="369" t="str">
        <f ca="1">IF($A241="*","",OFFSET(COM_N_2012!$B$60,L241,0))</f>
        <v>CNGELCHPS-E</v>
      </c>
      <c r="D241" s="369" t="str">
        <f ca="1">IF($A241="*","",IF(LEFT($B241,3)="TOP",OFFSET(COM_N_2012!$B$60,$L241,SUMIF($B$9:$B$12,$B241,$M$9:$M$12)),"-"))</f>
        <v>COMELC</v>
      </c>
      <c r="E241" s="369" t="str">
        <f ca="1">IF($A241="*","",IF($B241="PRC_ACTUNT",OFFSET(COM_N_2012!$B$60,$L241,SUMIF($B$9:$B$12,$B241,$M$9:$M$12)),"-"))</f>
        <v>-</v>
      </c>
      <c r="F241" s="369" t="str">
        <f t="shared" si="33"/>
        <v>-</v>
      </c>
      <c r="G241" s="369" t="str">
        <f t="shared" si="33"/>
        <v>-</v>
      </c>
      <c r="H241" s="369" t="str">
        <f t="shared" si="33"/>
        <v>-</v>
      </c>
      <c r="I241" s="369">
        <f t="shared" si="36"/>
        <v>1</v>
      </c>
      <c r="K241" s="304">
        <f>IF(L240=COM_N_2012!$AK$121,K240+1,K240)</f>
        <v>4</v>
      </c>
      <c r="L241" s="304">
        <f t="shared" si="37"/>
        <v>45</v>
      </c>
    </row>
    <row r="242" spans="1:12">
      <c r="B242" s="369" t="str">
        <f t="shared" si="35"/>
        <v>TOP-IN</v>
      </c>
      <c r="C242" s="369" t="str">
        <f ca="1">IF($A242="*","",OFFSET(COM_N_2012!$B$60,L242,0))</f>
        <v>CNGELCMHL-E</v>
      </c>
      <c r="D242" s="369" t="str">
        <f ca="1">IF($A242="*","",IF(LEFT($B242,3)="TOP",OFFSET(COM_N_2012!$B$60,$L242,SUMIF($B$9:$B$12,$B242,$M$9:$M$12)),"-"))</f>
        <v>COMELC</v>
      </c>
      <c r="E242" s="369" t="str">
        <f ca="1">IF($A242="*","",IF($B242="PRC_ACTUNT",OFFSET(COM_N_2012!$B$60,$L242,SUMIF($B$9:$B$12,$B242,$M$9:$M$12)),"-"))</f>
        <v>-</v>
      </c>
      <c r="F242" s="369" t="str">
        <f t="shared" si="33"/>
        <v>-</v>
      </c>
      <c r="G242" s="369" t="str">
        <f t="shared" si="33"/>
        <v>-</v>
      </c>
      <c r="H242" s="369" t="str">
        <f t="shared" si="33"/>
        <v>-</v>
      </c>
      <c r="I242" s="369">
        <f t="shared" si="36"/>
        <v>1</v>
      </c>
      <c r="K242" s="304">
        <f>IF(L241=COM_N_2012!$AK$121,K241+1,K241)</f>
        <v>4</v>
      </c>
      <c r="L242" s="304">
        <f t="shared" si="37"/>
        <v>46</v>
      </c>
    </row>
    <row r="243" spans="1:12">
      <c r="B243" s="369" t="str">
        <f t="shared" si="35"/>
        <v>TOP-IN</v>
      </c>
      <c r="C243" s="369" t="str">
        <f ca="1">IF($A243="*","",OFFSET(COM_N_2012!$B$60,L243,0))</f>
        <v>CNGELCLED-N</v>
      </c>
      <c r="D243" s="369" t="str">
        <f ca="1">IF($A243="*","",IF(LEFT($B243,3)="TOP",OFFSET(COM_N_2012!$B$60,$L243,SUMIF($B$9:$B$12,$B243,$M$9:$M$12)),"-"))</f>
        <v>COMELC</v>
      </c>
      <c r="E243" s="369" t="str">
        <f ca="1">IF($A243="*","",IF($B243="PRC_ACTUNT",OFFSET(COM_N_2012!$B$60,$L243,SUMIF($B$9:$B$12,$B243,$M$9:$M$12)),"-"))</f>
        <v>-</v>
      </c>
      <c r="F243" s="369" t="str">
        <f t="shared" si="33"/>
        <v>-</v>
      </c>
      <c r="G243" s="369" t="str">
        <f t="shared" si="33"/>
        <v>-</v>
      </c>
      <c r="H243" s="369" t="str">
        <f t="shared" si="33"/>
        <v>-</v>
      </c>
      <c r="I243" s="369">
        <f t="shared" si="36"/>
        <v>1</v>
      </c>
      <c r="K243" s="304">
        <f>IF(L242=COM_N_2012!$AK$121,K242+1,K242)</f>
        <v>4</v>
      </c>
      <c r="L243" s="304">
        <f t="shared" si="37"/>
        <v>47</v>
      </c>
    </row>
    <row r="244" spans="1:12">
      <c r="A244" s="304" t="str">
        <f ca="1">IF(LEFT(OFFSET(COM_N_2012!$A$60,L244,0),2)="\I","*","")</f>
        <v>*</v>
      </c>
      <c r="B244" s="369" t="str">
        <f t="shared" ca="1" si="35"/>
        <v/>
      </c>
      <c r="C244" s="369" t="str">
        <f ca="1">IF($A244="*","",OFFSET(COM_N_2012!$B$60,L244,0))</f>
        <v/>
      </c>
      <c r="D244" s="369" t="str">
        <f ca="1">IF($A244="*","",IF(LEFT($B244,3)="TOP",OFFSET(COM_N_2012!$B$60,$L244,SUMIF($B$9:$B$12,$B244,$M$9:$M$12)),"-"))</f>
        <v/>
      </c>
      <c r="E244" s="369" t="str">
        <f ca="1">IF($A244="*","",IF($B244="PRC_ACTUNT",OFFSET(COM_N_2012!$B$60,$L244,SUMIF($B$9:$B$12,$B244,$M$9:$M$12)),"-"))</f>
        <v/>
      </c>
      <c r="F244" s="369" t="str">
        <f t="shared" ref="F244:H257" ca="1" si="38">IF($A244="*","","-")</f>
        <v/>
      </c>
      <c r="G244" s="369" t="str">
        <f t="shared" ca="1" si="38"/>
        <v/>
      </c>
      <c r="H244" s="369" t="str">
        <f t="shared" ca="1" si="38"/>
        <v/>
      </c>
      <c r="I244" s="369" t="str">
        <f t="shared" ca="1" si="36"/>
        <v/>
      </c>
      <c r="K244" s="304">
        <f>IF(L243=COM_N_2012!$AK$121,K243+1,K243)</f>
        <v>4</v>
      </c>
      <c r="L244" s="304">
        <f t="shared" si="37"/>
        <v>48</v>
      </c>
    </row>
    <row r="245" spans="1:12">
      <c r="A245" s="304" t="str">
        <f ca="1">IF(LEFT(OFFSET(COM_N_2012!$A$60,L245,0),2)="\I","*","")</f>
        <v>*</v>
      </c>
      <c r="B245" s="369" t="str">
        <f t="shared" ca="1" si="35"/>
        <v/>
      </c>
      <c r="C245" s="369" t="str">
        <f ca="1">IF($A245="*","",OFFSET(COM_N_2012!$B$60,L245,0))</f>
        <v/>
      </c>
      <c r="D245" s="369" t="str">
        <f ca="1">IF($A245="*","",IF(LEFT($B245,3)="TOP",OFFSET(COM_N_2012!$B$60,$L245,SUMIF($B$9:$B$12,$B245,$M$9:$M$12)),"-"))</f>
        <v/>
      </c>
      <c r="E245" s="369" t="str">
        <f ca="1">IF($A245="*","",IF($B245="PRC_ACTUNT",OFFSET(COM_N_2012!$B$60,$L245,SUMIF($B$9:$B$12,$B245,$M$9:$M$12)),"-"))</f>
        <v/>
      </c>
      <c r="F245" s="369" t="str">
        <f t="shared" ca="1" si="38"/>
        <v/>
      </c>
      <c r="G245" s="369" t="str">
        <f t="shared" ca="1" si="38"/>
        <v/>
      </c>
      <c r="H245" s="369" t="str">
        <f t="shared" ca="1" si="38"/>
        <v/>
      </c>
      <c r="I245" s="369" t="str">
        <f t="shared" ca="1" si="36"/>
        <v/>
      </c>
      <c r="K245" s="304">
        <f>IF(L244=COM_N_2012!$AK$121,K244+1,K244)</f>
        <v>4</v>
      </c>
      <c r="L245" s="304">
        <f t="shared" si="37"/>
        <v>49</v>
      </c>
    </row>
    <row r="246" spans="1:12">
      <c r="B246" s="369" t="str">
        <f t="shared" si="35"/>
        <v>TOP-IN</v>
      </c>
      <c r="C246" s="369" t="str">
        <f ca="1">IF($A246="*","",OFFSET(COM_N_2012!$B$60,L246,0))</f>
        <v>CNTELC-E</v>
      </c>
      <c r="D246" s="369" t="str">
        <f ca="1">IF($A246="*","",IF(LEFT($B246,3)="TOP",OFFSET(COM_N_2012!$B$60,$L246,SUMIF($B$9:$B$12,$B246,$M$9:$M$12)),"-"))</f>
        <v>COMELC</v>
      </c>
      <c r="E246" s="369" t="str">
        <f ca="1">IF($A246="*","",IF($B246="PRC_ACTUNT",OFFSET(COM_N_2012!$B$60,$L246,SUMIF($B$9:$B$12,$B246,$M$9:$M$12)),"-"))</f>
        <v>-</v>
      </c>
      <c r="F246" s="369" t="str">
        <f t="shared" si="38"/>
        <v>-</v>
      </c>
      <c r="G246" s="369" t="str">
        <f t="shared" si="38"/>
        <v>-</v>
      </c>
      <c r="H246" s="369" t="str">
        <f t="shared" si="38"/>
        <v>-</v>
      </c>
      <c r="I246" s="369">
        <f t="shared" si="36"/>
        <v>1</v>
      </c>
      <c r="K246" s="304">
        <f>IF(L245=COM_N_2012!$AK$121,K245+1,K245)</f>
        <v>4</v>
      </c>
      <c r="L246" s="304">
        <f t="shared" si="37"/>
        <v>50</v>
      </c>
    </row>
    <row r="247" spans="1:12">
      <c r="A247" s="304" t="str">
        <f ca="1">IF(LEFT(OFFSET(COM_N_2012!$A$60,L247,0),2)="\I","*","")</f>
        <v>*</v>
      </c>
      <c r="B247" s="369" t="str">
        <f t="shared" ca="1" si="35"/>
        <v/>
      </c>
      <c r="C247" s="369" t="str">
        <f ca="1">IF($A247="*","",OFFSET(COM_N_2012!$B$60,L247,0))</f>
        <v/>
      </c>
      <c r="D247" s="369" t="str">
        <f ca="1">IF($A247="*","",IF(LEFT($B247,3)="TOP",OFFSET(COM_N_2012!$B$60,$L247,SUMIF($B$9:$B$12,$B247,$M$9:$M$12)),"-"))</f>
        <v/>
      </c>
      <c r="E247" s="369" t="str">
        <f ca="1">IF($A247="*","",IF($B247="PRC_ACTUNT",OFFSET(COM_N_2012!$B$60,$L247,SUMIF($B$9:$B$12,$B247,$M$9:$M$12)),"-"))</f>
        <v/>
      </c>
      <c r="F247" s="369" t="str">
        <f t="shared" ca="1" si="38"/>
        <v/>
      </c>
      <c r="G247" s="369" t="str">
        <f t="shared" ca="1" si="38"/>
        <v/>
      </c>
      <c r="H247" s="369" t="str">
        <f t="shared" ca="1" si="38"/>
        <v/>
      </c>
      <c r="I247" s="369" t="str">
        <f t="shared" ca="1" si="36"/>
        <v/>
      </c>
      <c r="K247" s="304">
        <f>IF(L246=COM_N_2012!$AK$121,K246+1,K246)</f>
        <v>4</v>
      </c>
      <c r="L247" s="304">
        <f t="shared" si="37"/>
        <v>51</v>
      </c>
    </row>
    <row r="248" spans="1:12">
      <c r="A248" s="304" t="str">
        <f ca="1">IF(LEFT(OFFSET(COM_N_2012!$A$60,L248,0),2)="\I","*","")</f>
        <v>*</v>
      </c>
      <c r="B248" s="369" t="str">
        <f t="shared" ca="1" si="35"/>
        <v/>
      </c>
      <c r="C248" s="369" t="str">
        <f ca="1">IF($A248="*","",OFFSET(COM_N_2012!$B$60,L248,0))</f>
        <v/>
      </c>
      <c r="D248" s="369" t="str">
        <f ca="1">IF($A248="*","",IF(LEFT($B248,3)="TOP",OFFSET(COM_N_2012!$B$60,$L248,SUMIF($B$9:$B$12,$B248,$M$9:$M$12)),"-"))</f>
        <v/>
      </c>
      <c r="E248" s="369" t="str">
        <f ca="1">IF($A248="*","",IF($B248="PRC_ACTUNT",OFFSET(COM_N_2012!$B$60,$L248,SUMIF($B$9:$B$12,$B248,$M$9:$M$12)),"-"))</f>
        <v/>
      </c>
      <c r="F248" s="369" t="str">
        <f t="shared" ca="1" si="38"/>
        <v/>
      </c>
      <c r="G248" s="369" t="str">
        <f t="shared" ca="1" si="38"/>
        <v/>
      </c>
      <c r="H248" s="369" t="str">
        <f t="shared" ca="1" si="38"/>
        <v/>
      </c>
      <c r="I248" s="369" t="str">
        <f t="shared" ca="1" si="36"/>
        <v/>
      </c>
      <c r="K248" s="304">
        <f>IF(L247=COM_N_2012!$AK$121,K247+1,K247)</f>
        <v>4</v>
      </c>
      <c r="L248" s="304">
        <f t="shared" si="37"/>
        <v>52</v>
      </c>
    </row>
    <row r="249" spans="1:12">
      <c r="B249" s="369" t="str">
        <f t="shared" si="35"/>
        <v>TOP-IN</v>
      </c>
      <c r="C249" s="369" t="str">
        <f ca="1">IF($A249="*","",OFFSET(COM_N_2012!$B$60,L249,0))</f>
        <v>CNOCOA-E</v>
      </c>
      <c r="D249" s="369" t="str">
        <f ca="1">IF($A249="*","",IF(LEFT($B249,3)="TOP",OFFSET(COM_N_2012!$B$60,$L249,SUMIF($B$9:$B$12,$B249,$M$9:$M$12)),"-"))</f>
        <v>COMCOA</v>
      </c>
      <c r="E249" s="369" t="str">
        <f ca="1">IF($A249="*","",IF($B249="PRC_ACTUNT",OFFSET(COM_N_2012!$B$60,$L249,SUMIF($B$9:$B$12,$B249,$M$9:$M$12)),"-"))</f>
        <v>-</v>
      </c>
      <c r="F249" s="369" t="str">
        <f t="shared" si="38"/>
        <v>-</v>
      </c>
      <c r="G249" s="369" t="str">
        <f t="shared" si="38"/>
        <v>-</v>
      </c>
      <c r="H249" s="369" t="str">
        <f t="shared" si="38"/>
        <v>-</v>
      </c>
      <c r="I249" s="369">
        <f t="shared" si="36"/>
        <v>1</v>
      </c>
      <c r="K249" s="304">
        <f>IF(L248=COM_N_2012!$AK$121,K248+1,K248)</f>
        <v>4</v>
      </c>
      <c r="L249" s="304">
        <f t="shared" si="37"/>
        <v>53</v>
      </c>
    </row>
    <row r="250" spans="1:12">
      <c r="B250" s="369" t="str">
        <f t="shared" si="35"/>
        <v>TOP-IN</v>
      </c>
      <c r="C250" s="369" t="str">
        <f ca="1">IF($A250="*","",OFFSET(COM_N_2012!$B$60,L250,0))</f>
        <v>CNOODS-E</v>
      </c>
      <c r="D250" s="369" t="str">
        <f ca="1">IF($A250="*","",IF(LEFT($B250,3)="TOP",OFFSET(COM_N_2012!$B$60,$L250,SUMIF($B$9:$B$12,$B250,$M$9:$M$12)),"-"))</f>
        <v>COMODS</v>
      </c>
      <c r="E250" s="369" t="str">
        <f ca="1">IF($A250="*","",IF($B250="PRC_ACTUNT",OFFSET(COM_N_2012!$B$60,$L250,SUMIF($B$9:$B$12,$B250,$M$9:$M$12)),"-"))</f>
        <v>-</v>
      </c>
      <c r="F250" s="369" t="str">
        <f t="shared" si="38"/>
        <v>-</v>
      </c>
      <c r="G250" s="369" t="str">
        <f t="shared" si="38"/>
        <v>-</v>
      </c>
      <c r="H250" s="369" t="str">
        <f t="shared" si="38"/>
        <v>-</v>
      </c>
      <c r="I250" s="369">
        <f t="shared" si="36"/>
        <v>1</v>
      </c>
      <c r="K250" s="304">
        <f>IF(L249=COM_N_2012!$AK$121,K249+1,K249)</f>
        <v>4</v>
      </c>
      <c r="L250" s="304">
        <f t="shared" si="37"/>
        <v>54</v>
      </c>
    </row>
    <row r="251" spans="1:12">
      <c r="B251" s="369" t="str">
        <f t="shared" si="35"/>
        <v>TOP-IN</v>
      </c>
      <c r="C251" s="369" t="str">
        <f ca="1">IF($A251="*","",OFFSET(COM_N_2012!$B$60,L251,0))</f>
        <v>CNOELC-E</v>
      </c>
      <c r="D251" s="369" t="str">
        <f ca="1">IF($A251="*","",IF(LEFT($B251,3)="TOP",OFFSET(COM_N_2012!$B$60,$L251,SUMIF($B$9:$B$12,$B251,$M$9:$M$12)),"-"))</f>
        <v>COMELC</v>
      </c>
      <c r="E251" s="369" t="str">
        <f ca="1">IF($A251="*","",IF($B251="PRC_ACTUNT",OFFSET(COM_N_2012!$B$60,$L251,SUMIF($B$9:$B$12,$B251,$M$9:$M$12)),"-"))</f>
        <v>-</v>
      </c>
      <c r="F251" s="369" t="str">
        <f t="shared" si="38"/>
        <v>-</v>
      </c>
      <c r="G251" s="369" t="str">
        <f t="shared" si="38"/>
        <v>-</v>
      </c>
      <c r="H251" s="369" t="str">
        <f t="shared" si="38"/>
        <v>-</v>
      </c>
      <c r="I251" s="369">
        <f t="shared" si="36"/>
        <v>1</v>
      </c>
      <c r="K251" s="304">
        <f>IF(L250=COM_N_2012!$AK$121,K250+1,K250)</f>
        <v>4</v>
      </c>
      <c r="L251" s="304">
        <f t="shared" si="37"/>
        <v>55</v>
      </c>
    </row>
    <row r="252" spans="1:12">
      <c r="B252" s="369" t="str">
        <f t="shared" si="35"/>
        <v>TOP-IN</v>
      </c>
      <c r="C252" s="369" t="str">
        <f ca="1">IF($A252="*","",OFFSET(COM_N_2012!$B$60,L252,0))</f>
        <v>CNOGAS-E</v>
      </c>
      <c r="D252" s="369" t="str">
        <f ca="1">IF($A252="*","",IF(LEFT($B252,3)="TOP",OFFSET(COM_N_2012!$B$60,$L252,SUMIF($B$9:$B$12,$B252,$M$9:$M$12)),"-"))</f>
        <v>COMGAS</v>
      </c>
      <c r="E252" s="369" t="str">
        <f ca="1">IF($A252="*","",IF($B252="PRC_ACTUNT",OFFSET(COM_N_2012!$B$60,$L252,SUMIF($B$9:$B$12,$B252,$M$9:$M$12)),"-"))</f>
        <v>-</v>
      </c>
      <c r="F252" s="369" t="str">
        <f t="shared" si="38"/>
        <v>-</v>
      </c>
      <c r="G252" s="369" t="str">
        <f t="shared" si="38"/>
        <v>-</v>
      </c>
      <c r="H252" s="369" t="str">
        <f t="shared" si="38"/>
        <v>-</v>
      </c>
      <c r="I252" s="369">
        <f t="shared" si="36"/>
        <v>1</v>
      </c>
      <c r="K252" s="304">
        <f>IF(L251=COM_N_2012!$AK$121,K251+1,K251)</f>
        <v>4</v>
      </c>
      <c r="L252" s="304">
        <f t="shared" si="37"/>
        <v>56</v>
      </c>
    </row>
    <row r="253" spans="1:12">
      <c r="B253" s="369" t="str">
        <f t="shared" si="35"/>
        <v>TOP-IN</v>
      </c>
      <c r="C253" s="369" t="str">
        <f ca="1">IF($A253="*","",OFFSET(COM_N_2012!$B$60,L253,0))</f>
        <v>CNOOGS-E</v>
      </c>
      <c r="D253" s="369" t="str">
        <f ca="1">IF($A253="*","",IF(LEFT($B253,3)="TOP",OFFSET(COM_N_2012!$B$60,$L253,SUMIF($B$9:$B$12,$B253,$M$9:$M$12)),"-"))</f>
        <v>COMOGS</v>
      </c>
      <c r="E253" s="369" t="str">
        <f ca="1">IF($A253="*","",IF($B253="PRC_ACTUNT",OFFSET(COM_N_2012!$B$60,$L253,SUMIF($B$9:$B$12,$B253,$M$9:$M$12)),"-"))</f>
        <v>-</v>
      </c>
      <c r="F253" s="369" t="str">
        <f t="shared" si="38"/>
        <v>-</v>
      </c>
      <c r="G253" s="369" t="str">
        <f t="shared" si="38"/>
        <v>-</v>
      </c>
      <c r="H253" s="369" t="str">
        <f t="shared" si="38"/>
        <v>-</v>
      </c>
      <c r="I253" s="369">
        <f t="shared" si="36"/>
        <v>1</v>
      </c>
      <c r="K253" s="304">
        <f>IF(L252=COM_N_2012!$AK$121,K252+1,K252)</f>
        <v>4</v>
      </c>
      <c r="L253" s="304">
        <f t="shared" si="37"/>
        <v>57</v>
      </c>
    </row>
    <row r="254" spans="1:12">
      <c r="B254" s="369" t="str">
        <f t="shared" si="35"/>
        <v>TOP-IN</v>
      </c>
      <c r="C254" s="369" t="str">
        <f ca="1">IF($A254="*","",OFFSET(COM_N_2012!$B$60,L254,0))</f>
        <v>CNOOHF-E</v>
      </c>
      <c r="D254" s="369" t="str">
        <f ca="1">IF($A254="*","",IF(LEFT($B254,3)="TOP",OFFSET(COM_N_2012!$B$60,$L254,SUMIF($B$9:$B$12,$B254,$M$9:$M$12)),"-"))</f>
        <v>COMOHF</v>
      </c>
      <c r="E254" s="369" t="str">
        <f ca="1">IF($A254="*","",IF($B254="PRC_ACTUNT",OFFSET(COM_N_2012!$B$60,$L254,SUMIF($B$9:$B$12,$B254,$M$9:$M$12)),"-"))</f>
        <v>-</v>
      </c>
      <c r="F254" s="369" t="str">
        <f t="shared" si="38"/>
        <v>-</v>
      </c>
      <c r="G254" s="369" t="str">
        <f t="shared" si="38"/>
        <v>-</v>
      </c>
      <c r="H254" s="369" t="str">
        <f t="shared" si="38"/>
        <v>-</v>
      </c>
      <c r="I254" s="369">
        <f t="shared" si="36"/>
        <v>1</v>
      </c>
      <c r="K254" s="304">
        <f>IF(L253=COM_N_2012!$AK$121,K253+1,K253)</f>
        <v>4</v>
      </c>
      <c r="L254" s="304">
        <f t="shared" si="37"/>
        <v>58</v>
      </c>
    </row>
    <row r="255" spans="1:12">
      <c r="B255" s="369" t="str">
        <f t="shared" si="35"/>
        <v>TOP-IN</v>
      </c>
      <c r="C255" s="369" t="str">
        <f ca="1">IF($A255="*","",OFFSET(COM_N_2012!$B$60,L255,0))</f>
        <v>CNOOKE-E</v>
      </c>
      <c r="D255" s="369" t="str">
        <f ca="1">IF($A255="*","",IF(LEFT($B255,3)="TOP",OFFSET(COM_N_2012!$B$60,$L255,SUMIF($B$9:$B$12,$B255,$M$9:$M$12)),"-"))</f>
        <v>COMOKE</v>
      </c>
      <c r="E255" s="369" t="str">
        <f ca="1">IF($A255="*","",IF($B255="PRC_ACTUNT",OFFSET(COM_N_2012!$B$60,$L255,SUMIF($B$9:$B$12,$B255,$M$9:$M$12)),"-"))</f>
        <v>-</v>
      </c>
      <c r="F255" s="369" t="str">
        <f t="shared" si="38"/>
        <v>-</v>
      </c>
      <c r="G255" s="369" t="str">
        <f t="shared" si="38"/>
        <v>-</v>
      </c>
      <c r="H255" s="369" t="str">
        <f t="shared" si="38"/>
        <v>-</v>
      </c>
      <c r="I255" s="369">
        <f t="shared" si="36"/>
        <v>1</v>
      </c>
      <c r="K255" s="304">
        <f>IF(L254=COM_N_2012!$AK$121,K254+1,K254)</f>
        <v>4</v>
      </c>
      <c r="L255" s="304">
        <f t="shared" si="37"/>
        <v>59</v>
      </c>
    </row>
    <row r="256" spans="1:12">
      <c r="A256" s="304" t="str">
        <f ca="1">IF(LEFT(OFFSET(COM_N_2012!$A$60,L256,0),2)="\I","*","")</f>
        <v>*</v>
      </c>
      <c r="B256" s="369" t="str">
        <f t="shared" ca="1" si="35"/>
        <v/>
      </c>
      <c r="C256" s="369" t="str">
        <f ca="1">IF($A256="*","",OFFSET(COM_N_2012!$B$60,L256,0))</f>
        <v/>
      </c>
      <c r="D256" s="369" t="str">
        <f ca="1">IF($A256="*","",IF(LEFT($B256,3)="TOP",OFFSET(COM_N_2012!$B$60,$L256,SUMIF($B$9:$B$12,$B256,$M$9:$M$12)),"-"))</f>
        <v/>
      </c>
      <c r="E256" s="369" t="str">
        <f ca="1">IF($A256="*","",IF($B256="PRC_ACTUNT",OFFSET(COM_N_2012!$B$60,$L256,SUMIF($B$9:$B$12,$B256,$M$9:$M$12)),"-"))</f>
        <v/>
      </c>
      <c r="F256" s="369" t="str">
        <f t="shared" ca="1" si="38"/>
        <v/>
      </c>
      <c r="G256" s="369" t="str">
        <f t="shared" ca="1" si="38"/>
        <v/>
      </c>
      <c r="H256" s="369" t="str">
        <f t="shared" ca="1" si="38"/>
        <v/>
      </c>
      <c r="I256" s="369" t="str">
        <f t="shared" ca="1" si="36"/>
        <v/>
      </c>
      <c r="K256" s="304">
        <f>IF(L255=COM_N_2012!$AK$121,K255+1,K255)</f>
        <v>4</v>
      </c>
      <c r="L256" s="304">
        <f t="shared" si="37"/>
        <v>60</v>
      </c>
    </row>
    <row r="257" spans="1:12">
      <c r="A257" s="304" t="str">
        <f ca="1">IF(LEFT(OFFSET(COM_N_2012!$A$60,L257,0),2)="\I","*","")</f>
        <v>*</v>
      </c>
      <c r="B257" s="369" t="str">
        <f t="shared" ca="1" si="35"/>
        <v/>
      </c>
      <c r="C257" s="369" t="str">
        <f ca="1">IF($A257="*","",OFFSET(COM_N_2012!$B$60,L257,0))</f>
        <v/>
      </c>
      <c r="D257" s="369" t="str">
        <f ca="1">IF($A257="*","",IF(LEFT($B257,3)="TOP",OFFSET(COM_N_2012!$B$60,$L257,SUMIF($B$9:$B$12,$B257,$M$9:$M$12)),"-"))</f>
        <v/>
      </c>
      <c r="E257" s="369" t="str">
        <f ca="1">IF($A257="*","",IF($B257="PRC_ACTUNT",OFFSET(COM_N_2012!$B$60,$L257,SUMIF($B$9:$B$12,$B257,$M$9:$M$12)),"-"))</f>
        <v/>
      </c>
      <c r="F257" s="369" t="str">
        <f t="shared" ca="1" si="38"/>
        <v/>
      </c>
      <c r="G257" s="369" t="str">
        <f t="shared" ca="1" si="38"/>
        <v/>
      </c>
      <c r="H257" s="369" t="str">
        <f t="shared" ca="1" si="38"/>
        <v/>
      </c>
      <c r="I257" s="369" t="str">
        <f t="shared" ca="1" si="36"/>
        <v/>
      </c>
      <c r="K257" s="304">
        <f>IF(L256=COM_N_2012!$AK$121,K256+1,K256)</f>
        <v>4</v>
      </c>
      <c r="L257" s="304">
        <f t="shared" si="37"/>
        <v>61</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224712" r:id="rId3" name="cmdSpecifyArg6">
          <controlPr defaultSize="0" autoLine="0" r:id="rId4">
            <anchor moveWithCells="1">
              <from>
                <xdr:col>7</xdr:col>
                <xdr:colOff>0</xdr:colOff>
                <xdr:row>3</xdr:row>
                <xdr:rowOff>9525</xdr:rowOff>
              </from>
              <to>
                <xdr:col>7</xdr:col>
                <xdr:colOff>619125</xdr:colOff>
                <xdr:row>4</xdr:row>
                <xdr:rowOff>95250</xdr:rowOff>
              </to>
            </anchor>
          </controlPr>
        </control>
      </mc:Choice>
      <mc:Fallback>
        <control shapeId="1224712" r:id="rId3" name="cmdSpecifyArg6"/>
      </mc:Fallback>
    </mc:AlternateContent>
    <mc:AlternateContent xmlns:mc="http://schemas.openxmlformats.org/markup-compatibility/2006">
      <mc:Choice Requires="x14">
        <control shapeId="1224711" r:id="rId5" name="cmdSpecifyArg5">
          <controlPr defaultSize="0" autoLine="0" r:id="rId6">
            <anchor moveWithCells="1">
              <from>
                <xdr:col>6</xdr:col>
                <xdr:colOff>0</xdr:colOff>
                <xdr:row>3</xdr:row>
                <xdr:rowOff>9525</xdr:rowOff>
              </from>
              <to>
                <xdr:col>6</xdr:col>
                <xdr:colOff>619125</xdr:colOff>
                <xdr:row>4</xdr:row>
                <xdr:rowOff>95250</xdr:rowOff>
              </to>
            </anchor>
          </controlPr>
        </control>
      </mc:Choice>
      <mc:Fallback>
        <control shapeId="1224711" r:id="rId5" name="cmdSpecifyArg5"/>
      </mc:Fallback>
    </mc:AlternateContent>
    <mc:AlternateContent xmlns:mc="http://schemas.openxmlformats.org/markup-compatibility/2006">
      <mc:Choice Requires="x14">
        <control shapeId="1224710" r:id="rId7" name="cmdSpecifyArg4">
          <controlPr defaultSize="0" autoLine="0" r:id="rId8">
            <anchor moveWithCells="1">
              <from>
                <xdr:col>5</xdr:col>
                <xdr:colOff>0</xdr:colOff>
                <xdr:row>3</xdr:row>
                <xdr:rowOff>9525</xdr:rowOff>
              </from>
              <to>
                <xdr:col>5</xdr:col>
                <xdr:colOff>619125</xdr:colOff>
                <xdr:row>4</xdr:row>
                <xdr:rowOff>95250</xdr:rowOff>
              </to>
            </anchor>
          </controlPr>
        </control>
      </mc:Choice>
      <mc:Fallback>
        <control shapeId="1224710" r:id="rId7" name="cmdSpecifyArg4"/>
      </mc:Fallback>
    </mc:AlternateContent>
    <mc:AlternateContent xmlns:mc="http://schemas.openxmlformats.org/markup-compatibility/2006">
      <mc:Choice Requires="x14">
        <control shapeId="1224709" r:id="rId9" name="cmdSpecifyArg3">
          <controlPr defaultSize="0" autoLine="0" r:id="rId10">
            <anchor moveWithCells="1">
              <from>
                <xdr:col>4</xdr:col>
                <xdr:colOff>0</xdr:colOff>
                <xdr:row>3</xdr:row>
                <xdr:rowOff>9525</xdr:rowOff>
              </from>
              <to>
                <xdr:col>4</xdr:col>
                <xdr:colOff>619125</xdr:colOff>
                <xdr:row>4</xdr:row>
                <xdr:rowOff>95250</xdr:rowOff>
              </to>
            </anchor>
          </controlPr>
        </control>
      </mc:Choice>
      <mc:Fallback>
        <control shapeId="1224709" r:id="rId9" name="cmdSpecifyArg3"/>
      </mc:Fallback>
    </mc:AlternateContent>
    <mc:AlternateContent xmlns:mc="http://schemas.openxmlformats.org/markup-compatibility/2006">
      <mc:Choice Requires="x14">
        <control shapeId="1224708" r:id="rId11" name="cmdSpecifyArg2">
          <controlPr defaultSize="0" autoLine="0" r:id="rId12">
            <anchor moveWithCells="1">
              <from>
                <xdr:col>3</xdr:col>
                <xdr:colOff>0</xdr:colOff>
                <xdr:row>3</xdr:row>
                <xdr:rowOff>9525</xdr:rowOff>
              </from>
              <to>
                <xdr:col>3</xdr:col>
                <xdr:colOff>619125</xdr:colOff>
                <xdr:row>4</xdr:row>
                <xdr:rowOff>95250</xdr:rowOff>
              </to>
            </anchor>
          </controlPr>
        </control>
      </mc:Choice>
      <mc:Fallback>
        <control shapeId="1224708" r:id="rId11" name="cmdSpecifyArg2"/>
      </mc:Fallback>
    </mc:AlternateContent>
    <mc:AlternateContent xmlns:mc="http://schemas.openxmlformats.org/markup-compatibility/2006">
      <mc:Choice Requires="x14">
        <control shapeId="1224707" r:id="rId13" name="cmdSpecifyArg1">
          <controlPr defaultSize="0" autoLine="0" r:id="rId14">
            <anchor moveWithCells="1">
              <from>
                <xdr:col>2</xdr:col>
                <xdr:colOff>0</xdr:colOff>
                <xdr:row>3</xdr:row>
                <xdr:rowOff>9525</xdr:rowOff>
              </from>
              <to>
                <xdr:col>2</xdr:col>
                <xdr:colOff>619125</xdr:colOff>
                <xdr:row>4</xdr:row>
                <xdr:rowOff>95250</xdr:rowOff>
              </to>
            </anchor>
          </controlPr>
        </control>
      </mc:Choice>
      <mc:Fallback>
        <control shapeId="1224707" r:id="rId13" name="cmdSpecifyArg1"/>
      </mc:Fallback>
    </mc:AlternateContent>
    <mc:AlternateContent xmlns:mc="http://schemas.openxmlformats.org/markup-compatibility/2006">
      <mc:Choice Requires="x14">
        <control shapeId="1224706" r:id="rId15" name="cmdSpecifyParameter">
          <controlPr defaultSize="0" autoLine="0" r:id="rId16">
            <anchor moveWithCells="1">
              <from>
                <xdr:col>1</xdr:col>
                <xdr:colOff>0</xdr:colOff>
                <xdr:row>3</xdr:row>
                <xdr:rowOff>9525</xdr:rowOff>
              </from>
              <to>
                <xdr:col>2</xdr:col>
                <xdr:colOff>19050</xdr:colOff>
                <xdr:row>4</xdr:row>
                <xdr:rowOff>95250</xdr:rowOff>
              </to>
            </anchor>
          </controlPr>
        </control>
      </mc:Choice>
      <mc:Fallback>
        <control shapeId="1224706" r:id="rId15" name="cmdSpecifyParameter"/>
      </mc:Fallback>
    </mc:AlternateContent>
    <mc:AlternateContent xmlns:mc="http://schemas.openxmlformats.org/markup-compatibility/2006">
      <mc:Choice Requires="x14">
        <control shapeId="1224705" r:id="rId17" name="cmdCheckTIDDataSheet">
          <controlPr defaultSize="0" autoLine="0" r:id="rId18">
            <anchor moveWithCells="1">
              <from>
                <xdr:col>0</xdr:col>
                <xdr:colOff>0</xdr:colOff>
                <xdr:row>2</xdr:row>
                <xdr:rowOff>0</xdr:rowOff>
              </from>
              <to>
                <xdr:col>0</xdr:col>
                <xdr:colOff>819150</xdr:colOff>
                <xdr:row>3</xdr:row>
                <xdr:rowOff>38100</xdr:rowOff>
              </to>
            </anchor>
          </controlPr>
        </control>
      </mc:Choice>
      <mc:Fallback>
        <control shapeId="1224705" r:id="rId17" name="cmdCheckTIDDataSheet"/>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6">
    <tabColor theme="9" tint="-0.249977111117893"/>
  </sheetPr>
  <dimension ref="A1:H43"/>
  <sheetViews>
    <sheetView topLeftCell="A3" workbookViewId="0"/>
  </sheetViews>
  <sheetFormatPr defaultColWidth="11.42578125" defaultRowHeight="11.25"/>
  <cols>
    <col min="1" max="1" width="12.42578125" style="304" customWidth="1"/>
    <col min="2" max="2" width="11.42578125" style="304" customWidth="1"/>
    <col min="3" max="3" width="11" style="304" customWidth="1"/>
    <col min="4" max="4" width="27.42578125" style="304" customWidth="1"/>
    <col min="5" max="5" width="10.140625" style="304" customWidth="1"/>
    <col min="6" max="6" width="28.7109375" style="304" customWidth="1"/>
    <col min="7" max="16384" width="11.42578125" style="304"/>
  </cols>
  <sheetData>
    <row r="1" spans="1:8">
      <c r="A1" s="303" t="s">
        <v>706</v>
      </c>
      <c r="B1" s="304" t="s">
        <v>707</v>
      </c>
      <c r="H1" s="304" t="s">
        <v>752</v>
      </c>
    </row>
    <row r="2" spans="1:8">
      <c r="A2" s="304" t="s">
        <v>709</v>
      </c>
    </row>
    <row r="3" spans="1:8" ht="18.75" customHeight="1">
      <c r="A3" s="304" t="s">
        <v>709</v>
      </c>
    </row>
    <row r="4" spans="1:8">
      <c r="A4" s="304" t="s">
        <v>709</v>
      </c>
    </row>
    <row r="5" spans="1:8">
      <c r="A5" s="304" t="s">
        <v>709</v>
      </c>
    </row>
    <row r="6" spans="1:8">
      <c r="A6" s="304" t="s">
        <v>709</v>
      </c>
    </row>
    <row r="7" spans="1:8">
      <c r="A7" s="304" t="s">
        <v>709</v>
      </c>
      <c r="B7" s="303" t="s">
        <v>710</v>
      </c>
      <c r="C7" s="362" t="s">
        <v>711</v>
      </c>
      <c r="D7" s="303" t="s">
        <v>712</v>
      </c>
      <c r="E7" s="303" t="s">
        <v>713</v>
      </c>
      <c r="F7" s="303" t="s">
        <v>714</v>
      </c>
      <c r="G7" s="303" t="s">
        <v>715</v>
      </c>
    </row>
    <row r="8" spans="1:8">
      <c r="A8" s="304" t="s">
        <v>709</v>
      </c>
      <c r="B8" s="303" t="s">
        <v>753</v>
      </c>
      <c r="C8" s="362"/>
      <c r="D8" s="303"/>
      <c r="E8" s="303"/>
      <c r="F8" s="303"/>
      <c r="G8" s="303"/>
    </row>
    <row r="9" spans="1:8">
      <c r="B9" s="363" t="s">
        <v>754</v>
      </c>
      <c r="C9" s="304" t="str">
        <f>COM_2012!B43</f>
        <v>CEC</v>
      </c>
      <c r="D9" s="304" t="str">
        <f>COM_2012!A43</f>
        <v>Commercial - Cooling</v>
      </c>
      <c r="E9" s="363" t="s">
        <v>647</v>
      </c>
      <c r="F9" s="363" t="s">
        <v>755</v>
      </c>
    </row>
    <row r="10" spans="1:8">
      <c r="B10" s="363" t="s">
        <v>754</v>
      </c>
      <c r="C10" s="304" t="str">
        <f>COM_2012!B44</f>
        <v>CEH</v>
      </c>
      <c r="D10" s="304" t="str">
        <f>COM_2012!A44</f>
        <v>Commercial - Space Heating</v>
      </c>
      <c r="E10" s="363" t="s">
        <v>647</v>
      </c>
      <c r="F10" s="363" t="s">
        <v>755</v>
      </c>
    </row>
    <row r="11" spans="1:8">
      <c r="B11" s="363" t="s">
        <v>754</v>
      </c>
      <c r="C11" s="304" t="str">
        <f>COM_2012!B45</f>
        <v>CEK</v>
      </c>
      <c r="D11" s="304" t="str">
        <f>COM_2012!A45</f>
        <v>Commercial - Cooking</v>
      </c>
      <c r="E11" s="363" t="s">
        <v>647</v>
      </c>
      <c r="F11" s="363" t="s">
        <v>755</v>
      </c>
    </row>
    <row r="12" spans="1:8">
      <c r="B12" s="363" t="s">
        <v>754</v>
      </c>
      <c r="C12" s="304" t="str">
        <f>COM_2012!B46</f>
        <v>CEL</v>
      </c>
      <c r="D12" s="304" t="str">
        <f>COM_2012!A46</f>
        <v>Commercial - Lighting</v>
      </c>
      <c r="E12" s="363" t="s">
        <v>647</v>
      </c>
      <c r="F12" s="363" t="s">
        <v>755</v>
      </c>
    </row>
    <row r="13" spans="1:8">
      <c r="B13" s="363" t="s">
        <v>754</v>
      </c>
      <c r="C13" s="304" t="str">
        <f>COM_2012!B47</f>
        <v>CER</v>
      </c>
      <c r="D13" s="304" t="str">
        <f>COM_2012!A47</f>
        <v>Commercial - Refrigeration</v>
      </c>
      <c r="E13" s="363" t="s">
        <v>647</v>
      </c>
      <c r="F13" s="363" t="s">
        <v>755</v>
      </c>
    </row>
    <row r="14" spans="1:8">
      <c r="B14" s="363" t="s">
        <v>754</v>
      </c>
      <c r="C14" s="304" t="str">
        <f>COM_2012!B48</f>
        <v>CEW</v>
      </c>
      <c r="D14" s="304" t="str">
        <f>COM_2012!A48</f>
        <v>Commercial - Water Heating</v>
      </c>
      <c r="E14" s="363" t="s">
        <v>647</v>
      </c>
      <c r="F14" s="363" t="s">
        <v>755</v>
      </c>
    </row>
    <row r="15" spans="1:8">
      <c r="B15" s="363" t="s">
        <v>754</v>
      </c>
      <c r="C15" s="304" t="str">
        <f>COM_2012!B49</f>
        <v>CEG</v>
      </c>
      <c r="D15" s="304" t="str">
        <f>COM_2012!A49</f>
        <v>Commercial - Public Lights</v>
      </c>
      <c r="E15" s="363" t="s">
        <v>647</v>
      </c>
      <c r="F15" s="363" t="s">
        <v>755</v>
      </c>
    </row>
    <row r="16" spans="1:8">
      <c r="B16" s="363" t="s">
        <v>754</v>
      </c>
      <c r="C16" s="304" t="str">
        <f>COM_2012!B50</f>
        <v>CET</v>
      </c>
      <c r="D16" s="304" t="str">
        <f>COM_2012!A50</f>
        <v>Commercial - Public Water</v>
      </c>
      <c r="E16" s="363" t="s">
        <v>647</v>
      </c>
      <c r="F16" s="363" t="s">
        <v>755</v>
      </c>
    </row>
    <row r="17" spans="1:8">
      <c r="B17" s="363" t="s">
        <v>754</v>
      </c>
      <c r="C17" s="304" t="str">
        <f>COM_2012!B51</f>
        <v>CEO</v>
      </c>
      <c r="D17" s="304" t="str">
        <f>COM_2012!A51</f>
        <v>Commercial - Other</v>
      </c>
      <c r="E17" s="363" t="s">
        <v>647</v>
      </c>
      <c r="F17" s="363" t="s">
        <v>755</v>
      </c>
    </row>
    <row r="18" spans="1:8">
      <c r="A18" s="304" t="s">
        <v>709</v>
      </c>
      <c r="B18" s="303" t="s">
        <v>753</v>
      </c>
      <c r="C18" s="362"/>
      <c r="D18" s="303"/>
      <c r="E18" s="303"/>
      <c r="F18" s="303"/>
      <c r="G18" s="303"/>
    </row>
    <row r="19" spans="1:8">
      <c r="B19" s="363" t="s">
        <v>754</v>
      </c>
      <c r="C19" s="304" t="str">
        <f>COM_N_2012!B43</f>
        <v>CNC</v>
      </c>
      <c r="D19" s="304" t="str">
        <f>COM_N_2012!A43</f>
        <v>Commercial - Cooling</v>
      </c>
      <c r="E19" s="363" t="s">
        <v>647</v>
      </c>
      <c r="F19" s="363" t="s">
        <v>755</v>
      </c>
    </row>
    <row r="20" spans="1:8">
      <c r="B20" s="363" t="s">
        <v>754</v>
      </c>
      <c r="C20" s="304" t="str">
        <f>COM_N_2012!B44</f>
        <v>CNH</v>
      </c>
      <c r="D20" s="304" t="str">
        <f>COM_N_2012!A44</f>
        <v>Commercial - Space Heating</v>
      </c>
      <c r="E20" s="363" t="s">
        <v>647</v>
      </c>
      <c r="F20" s="363" t="s">
        <v>755</v>
      </c>
    </row>
    <row r="21" spans="1:8">
      <c r="B21" s="363" t="s">
        <v>754</v>
      </c>
      <c r="C21" s="304" t="str">
        <f>COM_N_2012!B45</f>
        <v>CNK</v>
      </c>
      <c r="D21" s="304" t="str">
        <f>COM_N_2012!A45</f>
        <v>Commercial - Cooking</v>
      </c>
      <c r="E21" s="363" t="s">
        <v>647</v>
      </c>
      <c r="F21" s="363" t="s">
        <v>755</v>
      </c>
    </row>
    <row r="22" spans="1:8">
      <c r="B22" s="363" t="s">
        <v>754</v>
      </c>
      <c r="C22" s="304" t="str">
        <f>COM_N_2012!B46</f>
        <v>CNL</v>
      </c>
      <c r="D22" s="304" t="str">
        <f>COM_N_2012!A46</f>
        <v>Commercial - Lighting</v>
      </c>
      <c r="E22" s="363" t="s">
        <v>647</v>
      </c>
      <c r="F22" s="363" t="s">
        <v>755</v>
      </c>
    </row>
    <row r="23" spans="1:8">
      <c r="B23" s="363" t="s">
        <v>754</v>
      </c>
      <c r="C23" s="304" t="str">
        <f>COM_N_2012!B47</f>
        <v>CNR</v>
      </c>
      <c r="D23" s="304" t="str">
        <f>COM_N_2012!A47</f>
        <v>Commercial - Refrigeration</v>
      </c>
      <c r="E23" s="363" t="s">
        <v>647</v>
      </c>
      <c r="F23" s="363" t="s">
        <v>755</v>
      </c>
    </row>
    <row r="24" spans="1:8">
      <c r="B24" s="363" t="s">
        <v>754</v>
      </c>
      <c r="C24" s="304" t="str">
        <f>COM_N_2012!B48</f>
        <v>CNW</v>
      </c>
      <c r="D24" s="304" t="str">
        <f>COM_N_2012!A48</f>
        <v>Commercial - Water Heating</v>
      </c>
      <c r="E24" s="363" t="s">
        <v>647</v>
      </c>
      <c r="F24" s="363" t="s">
        <v>755</v>
      </c>
    </row>
    <row r="25" spans="1:8">
      <c r="B25" s="363" t="s">
        <v>754</v>
      </c>
      <c r="C25" s="304" t="str">
        <f>COM_N_2012!B49</f>
        <v>CNG</v>
      </c>
      <c r="D25" s="304" t="str">
        <f>COM_N_2012!A49</f>
        <v>Commercial - Public Lights</v>
      </c>
      <c r="E25" s="363" t="s">
        <v>647</v>
      </c>
      <c r="F25" s="363" t="s">
        <v>755</v>
      </c>
    </row>
    <row r="26" spans="1:8">
      <c r="B26" s="363" t="s">
        <v>754</v>
      </c>
      <c r="C26" s="304" t="str">
        <f>COM_N_2012!B50</f>
        <v>CNT</v>
      </c>
      <c r="D26" s="304" t="str">
        <f>COM_N_2012!A50</f>
        <v>Commercial - Public Water</v>
      </c>
      <c r="E26" s="363" t="s">
        <v>647</v>
      </c>
      <c r="F26" s="363" t="s">
        <v>755</v>
      </c>
    </row>
    <row r="27" spans="1:8">
      <c r="B27" s="363" t="s">
        <v>754</v>
      </c>
      <c r="C27" s="304" t="str">
        <f>COM_N_2012!B51</f>
        <v>CNO</v>
      </c>
      <c r="D27" s="304" t="str">
        <f>COM_N_2012!A51</f>
        <v>Commercial - Other</v>
      </c>
      <c r="E27" s="363" t="s">
        <v>647</v>
      </c>
      <c r="F27" s="363" t="s">
        <v>755</v>
      </c>
    </row>
    <row r="28" spans="1:8">
      <c r="A28" s="304" t="s">
        <v>709</v>
      </c>
      <c r="B28" s="363" t="s">
        <v>754</v>
      </c>
      <c r="C28" s="304">
        <f>COM_N_2012!B52</f>
        <v>0</v>
      </c>
      <c r="D28" s="304" t="str">
        <f>COM_N_2012!A52</f>
        <v>Total</v>
      </c>
      <c r="E28" s="363" t="s">
        <v>647</v>
      </c>
      <c r="F28" s="363" t="s">
        <v>755</v>
      </c>
    </row>
    <row r="29" spans="1:8">
      <c r="A29" s="304" t="s">
        <v>709</v>
      </c>
      <c r="B29" s="363" t="s">
        <v>756</v>
      </c>
      <c r="E29" s="363"/>
      <c r="F29" s="363"/>
    </row>
    <row r="30" spans="1:8">
      <c r="B30" s="363" t="s">
        <v>754</v>
      </c>
      <c r="C30" s="304" t="str">
        <f ca="1">OFFSET(COM_2012!$B$6,0,$H30)</f>
        <v>COMCOA</v>
      </c>
      <c r="D30" s="304" t="str">
        <f ca="1">COM_2012!$A$5&amp;" - "&amp;OFFSET(COM_2012!$B$5,0,$H30)</f>
        <v>Commercial - Coal</v>
      </c>
      <c r="E30" s="363" t="s">
        <v>647</v>
      </c>
      <c r="F30" s="363" t="s">
        <v>1358</v>
      </c>
      <c r="H30" s="304">
        <v>1</v>
      </c>
    </row>
    <row r="31" spans="1:8">
      <c r="B31" s="363" t="s">
        <v>754</v>
      </c>
      <c r="C31" s="304" t="str">
        <f ca="1">OFFSET(COM_2012!$B$6,0,$H31)</f>
        <v>COMODS</v>
      </c>
      <c r="D31" s="304" t="str">
        <f ca="1">COM_2012!$A$5&amp;" - "&amp;OFFSET(COM_2012!$B$5,0,$H31)</f>
        <v>Commercial - Oil Diesel</v>
      </c>
      <c r="E31" s="363" t="s">
        <v>647</v>
      </c>
      <c r="F31" s="363" t="s">
        <v>1358</v>
      </c>
      <c r="H31" s="304">
        <f>H30+1</f>
        <v>2</v>
      </c>
    </row>
    <row r="32" spans="1:8">
      <c r="B32" s="363" t="s">
        <v>754</v>
      </c>
      <c r="C32" s="304" t="str">
        <f ca="1">OFFSET(COM_2012!$B$6,0,$H32)</f>
        <v>COMELC</v>
      </c>
      <c r="D32" s="304" t="str">
        <f ca="1">COM_2012!$A$5&amp;" - "&amp;OFFSET(COM_2012!$B$5,0,$H32)</f>
        <v>Commercial - Electricity</v>
      </c>
      <c r="E32" s="363" t="s">
        <v>647</v>
      </c>
      <c r="F32" s="363" t="s">
        <v>757</v>
      </c>
      <c r="H32" s="304">
        <f t="shared" ref="H32:H37" si="0">H31+1</f>
        <v>3</v>
      </c>
    </row>
    <row r="33" spans="1:8">
      <c r="B33" s="363" t="s">
        <v>754</v>
      </c>
      <c r="C33" s="304" t="str">
        <f ca="1">OFFSET(COM_2012!$B$6,0,$H33)</f>
        <v>COMGAS</v>
      </c>
      <c r="D33" s="304" t="str">
        <f ca="1">COM_2012!$A$5&amp;" - "&amp;OFFSET(COM_2012!$B$5,0,$H33)</f>
        <v>Commercial - Gas</v>
      </c>
      <c r="E33" s="363" t="s">
        <v>647</v>
      </c>
      <c r="F33" s="363" t="s">
        <v>1358</v>
      </c>
      <c r="H33" s="304">
        <f t="shared" si="0"/>
        <v>4</v>
      </c>
    </row>
    <row r="34" spans="1:8">
      <c r="B34" s="363" t="s">
        <v>754</v>
      </c>
      <c r="C34" s="304" t="str">
        <f ca="1">OFFSET(COM_2012!$B$6,0,$H34)</f>
        <v>COMOGS</v>
      </c>
      <c r="D34" s="304" t="str">
        <f ca="1">COM_2012!$A$5&amp;" - "&amp;OFFSET(COM_2012!$B$5,0,$H34)</f>
        <v>Commercial - Oil Gasoline</v>
      </c>
      <c r="E34" s="363" t="s">
        <v>647</v>
      </c>
      <c r="F34" s="363" t="s">
        <v>1358</v>
      </c>
      <c r="H34" s="304">
        <f t="shared" si="0"/>
        <v>5</v>
      </c>
    </row>
    <row r="35" spans="1:8">
      <c r="B35" s="363" t="s">
        <v>754</v>
      </c>
      <c r="C35" s="304" t="str">
        <f ca="1">OFFSET(COM_2012!$B$6,0,$H35)</f>
        <v>COMOHF</v>
      </c>
      <c r="D35" s="304" t="str">
        <f ca="1">COM_2012!$A$5&amp;" - "&amp;OFFSET(COM_2012!$B$5,0,$H35)</f>
        <v>Commercial - Oil HFO</v>
      </c>
      <c r="E35" s="363" t="s">
        <v>647</v>
      </c>
      <c r="F35" s="363" t="s">
        <v>1358</v>
      </c>
      <c r="H35" s="304">
        <f t="shared" si="0"/>
        <v>6</v>
      </c>
    </row>
    <row r="36" spans="1:8">
      <c r="B36" s="363" t="s">
        <v>754</v>
      </c>
      <c r="C36" s="304" t="str">
        <f ca="1">OFFSET(COM_2012!$B$6,0,$H36)</f>
        <v>COMOKE</v>
      </c>
      <c r="D36" s="304" t="str">
        <f ca="1">COM_2012!$A$5&amp;" - "&amp;OFFSET(COM_2012!$B$5,0,$H36)</f>
        <v>Commercial - Oil Paraffin</v>
      </c>
      <c r="E36" s="363" t="s">
        <v>647</v>
      </c>
      <c r="F36" s="363" t="s">
        <v>1358</v>
      </c>
      <c r="H36" s="304">
        <f t="shared" si="0"/>
        <v>7</v>
      </c>
    </row>
    <row r="37" spans="1:8">
      <c r="B37" s="363" t="s">
        <v>754</v>
      </c>
      <c r="C37" s="304" t="str">
        <f ca="1">OFFSET(COM_2012!$B$6,0,$H37)</f>
        <v>COMOLP</v>
      </c>
      <c r="D37" s="304" t="str">
        <f ca="1">COM_2012!$A$5&amp;" - "&amp;OFFSET(COM_2012!$B$5,0,$H37)</f>
        <v>Commercial - Oil LPG</v>
      </c>
      <c r="E37" s="363" t="s">
        <v>647</v>
      </c>
      <c r="F37" s="363" t="s">
        <v>1358</v>
      </c>
      <c r="H37" s="304">
        <f t="shared" si="0"/>
        <v>8</v>
      </c>
    </row>
    <row r="38" spans="1:8">
      <c r="A38" s="304" t="s">
        <v>709</v>
      </c>
      <c r="B38" s="363" t="s">
        <v>758</v>
      </c>
      <c r="E38" s="363"/>
      <c r="F38" s="363"/>
    </row>
    <row r="39" spans="1:8">
      <c r="B39" s="363" t="s">
        <v>754</v>
      </c>
      <c r="C39" s="304" t="str">
        <f ca="1">COM_2012!$B$6&amp;OFFSET(COM_2012!$B$8,$H39,0)</f>
        <v>COMCO2</v>
      </c>
      <c r="D39" s="304" t="str">
        <f ca="1">COM_2012!$A$5&amp;" - "&amp;OFFSET(COM_2012!$A$8,$H39,0)</f>
        <v>Commercial - Carbon Dioxide</v>
      </c>
      <c r="E39" s="363" t="s">
        <v>759</v>
      </c>
      <c r="F39" s="363" t="s">
        <v>760</v>
      </c>
      <c r="H39" s="304">
        <v>1</v>
      </c>
    </row>
    <row r="40" spans="1:8">
      <c r="B40" s="363" t="s">
        <v>754</v>
      </c>
      <c r="C40" s="304" t="str">
        <f ca="1">COM_2012!$B$6&amp;OFFSET(COM_2012!$B$8,$H40,0)</f>
        <v>COMCH4</v>
      </c>
      <c r="D40" s="304" t="str">
        <f ca="1">COM_2012!$A$5&amp;" - "&amp;OFFSET(COM_2012!$A$8,$H40,0)</f>
        <v>Commercial - Methane</v>
      </c>
      <c r="E40" s="363" t="s">
        <v>759</v>
      </c>
      <c r="F40" s="363" t="s">
        <v>760</v>
      </c>
      <c r="H40" s="304">
        <f>H39+1</f>
        <v>2</v>
      </c>
    </row>
    <row r="41" spans="1:8">
      <c r="B41" s="363" t="s">
        <v>754</v>
      </c>
      <c r="C41" s="304" t="str">
        <f ca="1">COM_2012!$B$6&amp;OFFSET(COM_2012!$B$8,$H41,0)</f>
        <v>COMN2O</v>
      </c>
      <c r="D41" s="304" t="str">
        <f ca="1">COM_2012!$A$5&amp;" - "&amp;OFFSET(COM_2012!$A$8,$H41,0)</f>
        <v>Commercial - Nitrous Oxide</v>
      </c>
      <c r="E41" s="363" t="s">
        <v>759</v>
      </c>
      <c r="F41" s="363" t="s">
        <v>760</v>
      </c>
      <c r="H41" s="304">
        <f>H40+1</f>
        <v>3</v>
      </c>
    </row>
    <row r="42" spans="1:8">
      <c r="B42" s="363" t="s">
        <v>754</v>
      </c>
      <c r="C42" s="304" t="str">
        <f ca="1">COM_2012!$B$6&amp;OFFSET(COM_2012!$B$8,$H42,0)</f>
        <v>COMSOX</v>
      </c>
      <c r="D42" s="304" t="str">
        <f ca="1">COM_2012!$A$5&amp;" - "&amp;OFFSET(COM_2012!$A$8,$H42,0)</f>
        <v>Commercial - Sulphur Gases</v>
      </c>
      <c r="E42" s="363" t="s">
        <v>759</v>
      </c>
      <c r="F42" s="363" t="s">
        <v>760</v>
      </c>
      <c r="H42" s="304">
        <f>H41+1</f>
        <v>4</v>
      </c>
    </row>
    <row r="43" spans="1:8">
      <c r="B43" s="363" t="s">
        <v>754</v>
      </c>
      <c r="C43" s="304" t="str">
        <f ca="1">COM_2012!$B$6&amp;OFFSET(COM_2012!$B$8,$H43,0)</f>
        <v>COMNOX</v>
      </c>
      <c r="D43" s="304" t="str">
        <f ca="1">COM_2012!$A$5&amp;" - "&amp;OFFSET(COM_2012!$A$8,$H43,0)</f>
        <v>Commercial - Nitrogen Gases</v>
      </c>
      <c r="E43" s="363" t="s">
        <v>759</v>
      </c>
      <c r="F43" s="363" t="s">
        <v>760</v>
      </c>
      <c r="H43" s="304">
        <f>H42+1</f>
        <v>5</v>
      </c>
    </row>
  </sheetData>
  <pageMargins left="0.75" right="0.75" top="1" bottom="1" header="0.5" footer="0.5"/>
  <pageSetup paperSize="9" orientation="portrait" verticalDpi="0"/>
  <headerFooter alignWithMargins="0"/>
  <drawing r:id="rId1"/>
  <legacyDrawing r:id="rId2"/>
  <controls>
    <mc:AlternateContent xmlns:mc="http://schemas.openxmlformats.org/markup-compatibility/2006">
      <mc:Choice Requires="x14">
        <control shapeId="10244" r:id="rId3" name="cmdSpecifySets">
          <controlPr defaultSize="0" autoLine="0" r:id="rId4">
            <anchor moveWithCells="1">
              <from>
                <xdr:col>5</xdr:col>
                <xdr:colOff>9525</xdr:colOff>
                <xdr:row>3</xdr:row>
                <xdr:rowOff>0</xdr:rowOff>
              </from>
              <to>
                <xdr:col>6</xdr:col>
                <xdr:colOff>0</xdr:colOff>
                <xdr:row>4</xdr:row>
                <xdr:rowOff>95250</xdr:rowOff>
              </to>
            </anchor>
          </controlPr>
        </control>
      </mc:Choice>
      <mc:Fallback>
        <control shapeId="10244" r:id="rId3" name="cmdSpecifySets"/>
      </mc:Fallback>
    </mc:AlternateContent>
    <mc:AlternateContent xmlns:mc="http://schemas.openxmlformats.org/markup-compatibility/2006">
      <mc:Choice Requires="x14">
        <control shapeId="10243" r:id="rId5" name="cmdSpecifyUnits">
          <controlPr defaultSize="0" autoLine="0" r:id="rId6">
            <anchor moveWithCells="1">
              <from>
                <xdr:col>4</xdr:col>
                <xdr:colOff>9525</xdr:colOff>
                <xdr:row>3</xdr:row>
                <xdr:rowOff>0</xdr:rowOff>
              </from>
              <to>
                <xdr:col>5</xdr:col>
                <xdr:colOff>0</xdr:colOff>
                <xdr:row>4</xdr:row>
                <xdr:rowOff>95250</xdr:rowOff>
              </to>
            </anchor>
          </controlPr>
        </control>
      </mc:Choice>
      <mc:Fallback>
        <control shapeId="10243" r:id="rId5" name="cmdSpecifyUnits"/>
      </mc:Fallback>
    </mc:AlternateContent>
    <mc:AlternateContent xmlns:mc="http://schemas.openxmlformats.org/markup-compatibility/2006">
      <mc:Choice Requires="x14">
        <control shapeId="10242" r:id="rId7" name="cmdSpecifyComponent">
          <controlPr defaultSize="0" autoLine="0" r:id="rId8">
            <anchor moveWithCells="1">
              <from>
                <xdr:col>1</xdr:col>
                <xdr:colOff>9525</xdr:colOff>
                <xdr:row>3</xdr:row>
                <xdr:rowOff>0</xdr:rowOff>
              </from>
              <to>
                <xdr:col>2</xdr:col>
                <xdr:colOff>0</xdr:colOff>
                <xdr:row>4</xdr:row>
                <xdr:rowOff>95250</xdr:rowOff>
              </to>
            </anchor>
          </controlPr>
        </control>
      </mc:Choice>
      <mc:Fallback>
        <control shapeId="10242" r:id="rId7" name="cmdSpecifyComponent"/>
      </mc:Fallback>
    </mc:AlternateContent>
    <mc:AlternateContent xmlns:mc="http://schemas.openxmlformats.org/markup-compatibility/2006">
      <mc:Choice Requires="x14">
        <control shapeId="10241" r:id="rId9" name="cmdCheckItemsSheet">
          <controlPr defaultSize="0" autoLine="0" r:id="rId10">
            <anchor moveWithCells="1">
              <from>
                <xdr:col>0</xdr:col>
                <xdr:colOff>9525</xdr:colOff>
                <xdr:row>2</xdr:row>
                <xdr:rowOff>0</xdr:rowOff>
              </from>
              <to>
                <xdr:col>1</xdr:col>
                <xdr:colOff>0</xdr:colOff>
                <xdr:row>3</xdr:row>
                <xdr:rowOff>0</xdr:rowOff>
              </to>
            </anchor>
          </controlPr>
        </control>
      </mc:Choice>
      <mc:Fallback>
        <control shapeId="10241" r:id="rId9" name="cmdCheckItemsSheet"/>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1">
    <tabColor theme="9" tint="-0.249977111117893"/>
  </sheetPr>
  <dimension ref="A1:I46"/>
  <sheetViews>
    <sheetView workbookViewId="0"/>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9">
      <c r="A1" s="303" t="s">
        <v>744</v>
      </c>
      <c r="B1" s="304" t="s">
        <v>707</v>
      </c>
    </row>
    <row r="2" spans="1:9">
      <c r="A2" s="304" t="s">
        <v>709</v>
      </c>
    </row>
    <row r="3" spans="1:9" ht="15" customHeight="1">
      <c r="A3" s="304" t="s">
        <v>709</v>
      </c>
    </row>
    <row r="4" spans="1:9">
      <c r="A4" s="304" t="s">
        <v>709</v>
      </c>
    </row>
    <row r="5" spans="1:9">
      <c r="A5" s="304" t="s">
        <v>709</v>
      </c>
    </row>
    <row r="6" spans="1:9">
      <c r="A6" s="304" t="s">
        <v>709</v>
      </c>
    </row>
    <row r="7" spans="1:9" ht="22.5" customHeight="1">
      <c r="A7" s="304" t="s">
        <v>709</v>
      </c>
      <c r="B7" s="303" t="s">
        <v>722</v>
      </c>
      <c r="C7" s="303" t="s">
        <v>723</v>
      </c>
      <c r="D7" s="303" t="s">
        <v>724</v>
      </c>
      <c r="E7" s="303" t="s">
        <v>725</v>
      </c>
      <c r="F7" s="303" t="s">
        <v>726</v>
      </c>
      <c r="G7" s="303" t="s">
        <v>727</v>
      </c>
      <c r="H7" s="303" t="s">
        <v>728</v>
      </c>
      <c r="I7" s="303" t="s">
        <v>745</v>
      </c>
    </row>
    <row r="8" spans="1:9">
      <c r="B8" s="369" t="s">
        <v>746</v>
      </c>
      <c r="C8" s="369" t="str">
        <f>ITEMS_Tech!C9</f>
        <v>ZZCOMCEC</v>
      </c>
      <c r="D8" s="369" t="s">
        <v>463</v>
      </c>
      <c r="E8" s="369" t="str">
        <f t="shared" ref="E8:E16" si="0">D38</f>
        <v>CEC</v>
      </c>
      <c r="F8" s="369" t="s">
        <v>463</v>
      </c>
      <c r="G8" s="369" t="s">
        <v>463</v>
      </c>
      <c r="H8" s="369" t="s">
        <v>463</v>
      </c>
      <c r="I8" s="370">
        <v>1</v>
      </c>
    </row>
    <row r="9" spans="1:9">
      <c r="B9" s="369" t="s">
        <v>746</v>
      </c>
      <c r="C9" s="369" t="str">
        <f>ITEMS_Tech!C10</f>
        <v>ZZCOMCEH</v>
      </c>
      <c r="D9" s="369" t="s">
        <v>463</v>
      </c>
      <c r="E9" s="369" t="str">
        <f t="shared" si="0"/>
        <v>CEH</v>
      </c>
      <c r="F9" s="369" t="s">
        <v>463</v>
      </c>
      <c r="G9" s="369" t="s">
        <v>463</v>
      </c>
      <c r="H9" s="369" t="s">
        <v>463</v>
      </c>
      <c r="I9" s="370">
        <v>1</v>
      </c>
    </row>
    <row r="10" spans="1:9">
      <c r="B10" s="369" t="s">
        <v>746</v>
      </c>
      <c r="C10" s="369" t="str">
        <f>ITEMS_Tech!C11</f>
        <v>ZZCOMCEK</v>
      </c>
      <c r="D10" s="369" t="s">
        <v>463</v>
      </c>
      <c r="E10" s="369" t="str">
        <f t="shared" si="0"/>
        <v>CEK</v>
      </c>
      <c r="F10" s="369" t="s">
        <v>463</v>
      </c>
      <c r="G10" s="369" t="s">
        <v>463</v>
      </c>
      <c r="H10" s="369" t="s">
        <v>463</v>
      </c>
      <c r="I10" s="370">
        <v>1</v>
      </c>
    </row>
    <row r="11" spans="1:9">
      <c r="B11" s="369" t="s">
        <v>746</v>
      </c>
      <c r="C11" s="369" t="str">
        <f>ITEMS_Tech!C12</f>
        <v>ZZCOMCEL</v>
      </c>
      <c r="D11" s="369" t="s">
        <v>463</v>
      </c>
      <c r="E11" s="369" t="str">
        <f t="shared" si="0"/>
        <v>CEL</v>
      </c>
      <c r="F11" s="369" t="s">
        <v>463</v>
      </c>
      <c r="G11" s="369" t="s">
        <v>463</v>
      </c>
      <c r="H11" s="369" t="s">
        <v>463</v>
      </c>
      <c r="I11" s="370">
        <v>1</v>
      </c>
    </row>
    <row r="12" spans="1:9">
      <c r="B12" s="369" t="s">
        <v>746</v>
      </c>
      <c r="C12" s="369" t="str">
        <f>ITEMS_Tech!C13</f>
        <v>ZZCOMCER</v>
      </c>
      <c r="D12" s="369" t="s">
        <v>463</v>
      </c>
      <c r="E12" s="369" t="str">
        <f t="shared" si="0"/>
        <v>CER</v>
      </c>
      <c r="F12" s="369" t="s">
        <v>463</v>
      </c>
      <c r="G12" s="369" t="s">
        <v>463</v>
      </c>
      <c r="H12" s="369" t="s">
        <v>463</v>
      </c>
      <c r="I12" s="370">
        <v>1</v>
      </c>
    </row>
    <row r="13" spans="1:9">
      <c r="B13" s="369" t="s">
        <v>746</v>
      </c>
      <c r="C13" s="369" t="str">
        <f>ITEMS_Tech!C14</f>
        <v>ZZCOMCEW</v>
      </c>
      <c r="D13" s="369" t="s">
        <v>463</v>
      </c>
      <c r="E13" s="369" t="str">
        <f t="shared" si="0"/>
        <v>CEW</v>
      </c>
      <c r="F13" s="369" t="s">
        <v>463</v>
      </c>
      <c r="G13" s="369" t="s">
        <v>463</v>
      </c>
      <c r="H13" s="369" t="s">
        <v>463</v>
      </c>
      <c r="I13" s="370">
        <v>1</v>
      </c>
    </row>
    <row r="14" spans="1:9">
      <c r="B14" s="369" t="s">
        <v>746</v>
      </c>
      <c r="C14" s="369" t="str">
        <f>ITEMS_Tech!C15</f>
        <v>ZZCOMCEG</v>
      </c>
      <c r="D14" s="369" t="s">
        <v>463</v>
      </c>
      <c r="E14" s="369" t="str">
        <f t="shared" si="0"/>
        <v>CEG</v>
      </c>
      <c r="F14" s="369" t="s">
        <v>463</v>
      </c>
      <c r="G14" s="369" t="s">
        <v>463</v>
      </c>
      <c r="H14" s="369" t="s">
        <v>463</v>
      </c>
      <c r="I14" s="370">
        <v>1</v>
      </c>
    </row>
    <row r="15" spans="1:9">
      <c r="B15" s="369" t="s">
        <v>746</v>
      </c>
      <c r="C15" s="369" t="str">
        <f>ITEMS_Tech!C16</f>
        <v>ZZCOMCET</v>
      </c>
      <c r="D15" s="369" t="s">
        <v>463</v>
      </c>
      <c r="E15" s="369" t="str">
        <f t="shared" si="0"/>
        <v>CET</v>
      </c>
      <c r="F15" s="369" t="s">
        <v>463</v>
      </c>
      <c r="G15" s="369" t="s">
        <v>463</v>
      </c>
      <c r="H15" s="369" t="s">
        <v>463</v>
      </c>
      <c r="I15" s="370">
        <v>1</v>
      </c>
    </row>
    <row r="16" spans="1:9">
      <c r="B16" s="369" t="s">
        <v>746</v>
      </c>
      <c r="C16" s="369" t="str">
        <f>ITEMS_Tech!C17</f>
        <v>ZZCOMCEO</v>
      </c>
      <c r="D16" s="369" t="s">
        <v>463</v>
      </c>
      <c r="E16" s="369" t="str">
        <f t="shared" si="0"/>
        <v>CEO</v>
      </c>
      <c r="F16" s="369" t="s">
        <v>463</v>
      </c>
      <c r="G16" s="369" t="s">
        <v>463</v>
      </c>
      <c r="H16" s="369" t="s">
        <v>463</v>
      </c>
      <c r="I16" s="370">
        <v>1</v>
      </c>
    </row>
    <row r="17" spans="2:9">
      <c r="B17" s="369" t="s">
        <v>748</v>
      </c>
      <c r="C17" s="369" t="str">
        <f>C8</f>
        <v>ZZCOMCEC</v>
      </c>
      <c r="D17" s="369" t="s">
        <v>463</v>
      </c>
      <c r="E17" s="369" t="s">
        <v>463</v>
      </c>
      <c r="F17" s="369" t="s">
        <v>463</v>
      </c>
      <c r="G17" s="369" t="s">
        <v>463</v>
      </c>
      <c r="H17" s="369" t="s">
        <v>463</v>
      </c>
      <c r="I17" s="370">
        <v>1</v>
      </c>
    </row>
    <row r="18" spans="2:9">
      <c r="B18" s="369" t="s">
        <v>748</v>
      </c>
      <c r="C18" s="369" t="str">
        <f t="shared" ref="C18:C27" si="1">C9</f>
        <v>ZZCOMCEH</v>
      </c>
      <c r="D18" s="369" t="s">
        <v>463</v>
      </c>
      <c r="E18" s="369" t="s">
        <v>463</v>
      </c>
      <c r="F18" s="369" t="s">
        <v>463</v>
      </c>
      <c r="G18" s="369" t="s">
        <v>463</v>
      </c>
      <c r="H18" s="369" t="s">
        <v>463</v>
      </c>
      <c r="I18" s="370">
        <v>1</v>
      </c>
    </row>
    <row r="19" spans="2:9">
      <c r="B19" s="369" t="s">
        <v>748</v>
      </c>
      <c r="C19" s="369" t="str">
        <f t="shared" si="1"/>
        <v>ZZCOMCEK</v>
      </c>
      <c r="D19" s="369" t="s">
        <v>463</v>
      </c>
      <c r="E19" s="369" t="s">
        <v>463</v>
      </c>
      <c r="F19" s="369" t="s">
        <v>463</v>
      </c>
      <c r="G19" s="369" t="s">
        <v>463</v>
      </c>
      <c r="H19" s="369" t="s">
        <v>463</v>
      </c>
      <c r="I19" s="370">
        <v>1</v>
      </c>
    </row>
    <row r="20" spans="2:9">
      <c r="B20" s="369" t="s">
        <v>748</v>
      </c>
      <c r="C20" s="369" t="str">
        <f t="shared" si="1"/>
        <v>ZZCOMCEL</v>
      </c>
      <c r="D20" s="369" t="s">
        <v>463</v>
      </c>
      <c r="E20" s="369" t="s">
        <v>463</v>
      </c>
      <c r="F20" s="369" t="s">
        <v>463</v>
      </c>
      <c r="G20" s="369" t="s">
        <v>463</v>
      </c>
      <c r="H20" s="369" t="s">
        <v>463</v>
      </c>
      <c r="I20" s="370">
        <v>1</v>
      </c>
    </row>
    <row r="21" spans="2:9">
      <c r="B21" s="369" t="s">
        <v>748</v>
      </c>
      <c r="C21" s="369" t="str">
        <f t="shared" si="1"/>
        <v>ZZCOMCER</v>
      </c>
      <c r="D21" s="369" t="s">
        <v>463</v>
      </c>
      <c r="E21" s="369" t="s">
        <v>463</v>
      </c>
      <c r="F21" s="369" t="s">
        <v>463</v>
      </c>
      <c r="G21" s="369" t="s">
        <v>463</v>
      </c>
      <c r="H21" s="369" t="s">
        <v>463</v>
      </c>
      <c r="I21" s="370">
        <v>1</v>
      </c>
    </row>
    <row r="22" spans="2:9">
      <c r="B22" s="369" t="s">
        <v>748</v>
      </c>
      <c r="C22" s="369" t="str">
        <f t="shared" si="1"/>
        <v>ZZCOMCEW</v>
      </c>
      <c r="D22" s="369" t="s">
        <v>463</v>
      </c>
      <c r="E22" s="369" t="s">
        <v>463</v>
      </c>
      <c r="F22" s="369" t="s">
        <v>463</v>
      </c>
      <c r="G22" s="369" t="s">
        <v>463</v>
      </c>
      <c r="H22" s="369" t="s">
        <v>463</v>
      </c>
      <c r="I22" s="370">
        <v>1</v>
      </c>
    </row>
    <row r="23" spans="2:9">
      <c r="B23" s="369" t="s">
        <v>748</v>
      </c>
      <c r="C23" s="369" t="str">
        <f t="shared" si="1"/>
        <v>ZZCOMCEG</v>
      </c>
      <c r="D23" s="369" t="s">
        <v>463</v>
      </c>
      <c r="E23" s="369" t="s">
        <v>463</v>
      </c>
      <c r="F23" s="369" t="s">
        <v>463</v>
      </c>
      <c r="G23" s="369" t="s">
        <v>463</v>
      </c>
      <c r="H23" s="369" t="s">
        <v>463</v>
      </c>
      <c r="I23" s="370">
        <v>1</v>
      </c>
    </row>
    <row r="24" spans="2:9">
      <c r="B24" s="369" t="s">
        <v>748</v>
      </c>
      <c r="C24" s="369" t="str">
        <f t="shared" si="1"/>
        <v>ZZCOMCET</v>
      </c>
      <c r="D24" s="369" t="s">
        <v>463</v>
      </c>
      <c r="E24" s="369" t="s">
        <v>463</v>
      </c>
      <c r="F24" s="369" t="s">
        <v>463</v>
      </c>
      <c r="G24" s="369" t="s">
        <v>463</v>
      </c>
      <c r="H24" s="369" t="s">
        <v>463</v>
      </c>
      <c r="I24" s="370">
        <v>1</v>
      </c>
    </row>
    <row r="25" spans="2:9">
      <c r="B25" s="369" t="s">
        <v>748</v>
      </c>
      <c r="C25" s="369" t="str">
        <f t="shared" si="1"/>
        <v>ZZCOMCEO</v>
      </c>
      <c r="D25" s="369" t="s">
        <v>463</v>
      </c>
      <c r="E25" s="369" t="s">
        <v>463</v>
      </c>
      <c r="F25" s="369" t="s">
        <v>463</v>
      </c>
      <c r="G25" s="369" t="s">
        <v>463</v>
      </c>
      <c r="H25" s="369" t="s">
        <v>463</v>
      </c>
      <c r="I25" s="370">
        <v>1</v>
      </c>
    </row>
    <row r="26" spans="2:9">
      <c r="B26" s="369" t="s">
        <v>748</v>
      </c>
      <c r="C26" s="369" t="str">
        <f t="shared" si="1"/>
        <v>ZZCOMCEC</v>
      </c>
      <c r="D26" s="369" t="s">
        <v>463</v>
      </c>
      <c r="E26" s="369" t="s">
        <v>463</v>
      </c>
      <c r="F26" s="369" t="s">
        <v>463</v>
      </c>
      <c r="G26" s="369" t="s">
        <v>463</v>
      </c>
      <c r="H26" s="369" t="s">
        <v>463</v>
      </c>
      <c r="I26" s="370">
        <v>1</v>
      </c>
    </row>
    <row r="27" spans="2:9">
      <c r="B27" s="369" t="s">
        <v>748</v>
      </c>
      <c r="C27" s="369" t="str">
        <f t="shared" si="1"/>
        <v>ZZCOMCEH</v>
      </c>
      <c r="D27" s="369" t="s">
        <v>463</v>
      </c>
      <c r="E27" s="369" t="s">
        <v>463</v>
      </c>
      <c r="F27" s="369" t="s">
        <v>463</v>
      </c>
      <c r="G27" s="369" t="s">
        <v>463</v>
      </c>
      <c r="H27" s="369" t="s">
        <v>463</v>
      </c>
      <c r="I27" s="370">
        <v>1</v>
      </c>
    </row>
    <row r="28" spans="2:9">
      <c r="B28" s="369" t="s">
        <v>751</v>
      </c>
      <c r="C28" s="369" t="str">
        <f>C8</f>
        <v>ZZCOMCEC</v>
      </c>
      <c r="D28" s="369" t="s">
        <v>1431</v>
      </c>
      <c r="E28" s="369" t="s">
        <v>463</v>
      </c>
      <c r="F28" s="369" t="s">
        <v>463</v>
      </c>
      <c r="G28" s="369" t="s">
        <v>463</v>
      </c>
      <c r="H28" s="369" t="s">
        <v>463</v>
      </c>
      <c r="I28" s="370">
        <v>1</v>
      </c>
    </row>
    <row r="29" spans="2:9">
      <c r="B29" s="369" t="s">
        <v>751</v>
      </c>
      <c r="C29" s="369" t="str">
        <f t="shared" ref="C29:C37" si="2">C9</f>
        <v>ZZCOMCEH</v>
      </c>
      <c r="D29" s="369" t="s">
        <v>1431</v>
      </c>
      <c r="E29" s="369" t="s">
        <v>463</v>
      </c>
      <c r="F29" s="369" t="s">
        <v>463</v>
      </c>
      <c r="G29" s="369" t="s">
        <v>463</v>
      </c>
      <c r="H29" s="369" t="s">
        <v>463</v>
      </c>
      <c r="I29" s="370">
        <v>1</v>
      </c>
    </row>
    <row r="30" spans="2:9">
      <c r="B30" s="369" t="s">
        <v>751</v>
      </c>
      <c r="C30" s="369" t="str">
        <f t="shared" si="2"/>
        <v>ZZCOMCEK</v>
      </c>
      <c r="D30" s="369" t="s">
        <v>1431</v>
      </c>
      <c r="E30" s="369" t="s">
        <v>463</v>
      </c>
      <c r="F30" s="369" t="s">
        <v>463</v>
      </c>
      <c r="G30" s="369" t="s">
        <v>463</v>
      </c>
      <c r="H30" s="369" t="s">
        <v>463</v>
      </c>
      <c r="I30" s="370">
        <v>1</v>
      </c>
    </row>
    <row r="31" spans="2:9">
      <c r="B31" s="369" t="s">
        <v>751</v>
      </c>
      <c r="C31" s="369" t="str">
        <f t="shared" si="2"/>
        <v>ZZCOMCEL</v>
      </c>
      <c r="D31" s="369" t="s">
        <v>1431</v>
      </c>
      <c r="E31" s="369" t="s">
        <v>463</v>
      </c>
      <c r="F31" s="369" t="s">
        <v>463</v>
      </c>
      <c r="G31" s="369" t="s">
        <v>463</v>
      </c>
      <c r="H31" s="369" t="s">
        <v>463</v>
      </c>
      <c r="I31" s="370">
        <v>1</v>
      </c>
    </row>
    <row r="32" spans="2:9">
      <c r="B32" s="369" t="s">
        <v>751</v>
      </c>
      <c r="C32" s="369" t="str">
        <f t="shared" si="2"/>
        <v>ZZCOMCER</v>
      </c>
      <c r="D32" s="369" t="s">
        <v>1431</v>
      </c>
      <c r="E32" s="369" t="s">
        <v>463</v>
      </c>
      <c r="F32" s="369" t="s">
        <v>463</v>
      </c>
      <c r="G32" s="369" t="s">
        <v>463</v>
      </c>
      <c r="H32" s="369" t="s">
        <v>463</v>
      </c>
      <c r="I32" s="370">
        <v>1</v>
      </c>
    </row>
    <row r="33" spans="2:9">
      <c r="B33" s="369" t="s">
        <v>751</v>
      </c>
      <c r="C33" s="369" t="str">
        <f t="shared" si="2"/>
        <v>ZZCOMCEW</v>
      </c>
      <c r="D33" s="369" t="s">
        <v>1431</v>
      </c>
      <c r="E33" s="369" t="s">
        <v>463</v>
      </c>
      <c r="F33" s="369" t="s">
        <v>463</v>
      </c>
      <c r="G33" s="369" t="s">
        <v>463</v>
      </c>
      <c r="H33" s="369" t="s">
        <v>463</v>
      </c>
      <c r="I33" s="370">
        <v>1</v>
      </c>
    </row>
    <row r="34" spans="2:9">
      <c r="B34" s="369" t="s">
        <v>751</v>
      </c>
      <c r="C34" s="369" t="str">
        <f t="shared" si="2"/>
        <v>ZZCOMCEG</v>
      </c>
      <c r="D34" s="369" t="s">
        <v>1431</v>
      </c>
      <c r="E34" s="369" t="s">
        <v>463</v>
      </c>
      <c r="F34" s="369" t="s">
        <v>463</v>
      </c>
      <c r="G34" s="369" t="s">
        <v>463</v>
      </c>
      <c r="H34" s="369" t="s">
        <v>463</v>
      </c>
      <c r="I34" s="370">
        <v>1</v>
      </c>
    </row>
    <row r="35" spans="2:9">
      <c r="B35" s="369" t="s">
        <v>751</v>
      </c>
      <c r="C35" s="369" t="str">
        <f t="shared" si="2"/>
        <v>ZZCOMCET</v>
      </c>
      <c r="D35" s="369" t="s">
        <v>1431</v>
      </c>
      <c r="E35" s="369" t="s">
        <v>463</v>
      </c>
      <c r="F35" s="369" t="s">
        <v>463</v>
      </c>
      <c r="G35" s="369" t="s">
        <v>463</v>
      </c>
      <c r="H35" s="369" t="s">
        <v>463</v>
      </c>
      <c r="I35" s="370">
        <v>1</v>
      </c>
    </row>
    <row r="36" spans="2:9">
      <c r="B36" s="369" t="s">
        <v>751</v>
      </c>
      <c r="C36" s="369" t="str">
        <f t="shared" si="2"/>
        <v>ZZCOMCEO</v>
      </c>
      <c r="D36" s="369" t="s">
        <v>1431</v>
      </c>
      <c r="E36" s="369" t="s">
        <v>463</v>
      </c>
      <c r="F36" s="369" t="s">
        <v>463</v>
      </c>
      <c r="G36" s="369" t="s">
        <v>463</v>
      </c>
      <c r="H36" s="369" t="s">
        <v>463</v>
      </c>
      <c r="I36" s="370">
        <v>1</v>
      </c>
    </row>
    <row r="37" spans="2:9">
      <c r="B37" s="369" t="s">
        <v>751</v>
      </c>
      <c r="C37" s="369" t="str">
        <f t="shared" si="2"/>
        <v>ZZCOMCEC</v>
      </c>
      <c r="D37" s="369" t="s">
        <v>1431</v>
      </c>
      <c r="E37" s="369" t="s">
        <v>463</v>
      </c>
      <c r="F37" s="369" t="s">
        <v>463</v>
      </c>
      <c r="G37" s="369" t="s">
        <v>463</v>
      </c>
      <c r="H37" s="369" t="s">
        <v>463</v>
      </c>
      <c r="I37" s="370">
        <v>1</v>
      </c>
    </row>
    <row r="38" spans="2:9">
      <c r="B38" s="369" t="s">
        <v>749</v>
      </c>
      <c r="C38" s="369" t="str">
        <f>C8</f>
        <v>ZZCOMCEC</v>
      </c>
      <c r="D38" s="369" t="s">
        <v>910</v>
      </c>
      <c r="E38" s="369" t="s">
        <v>463</v>
      </c>
      <c r="F38" s="369" t="s">
        <v>463</v>
      </c>
      <c r="G38" s="369" t="s">
        <v>463</v>
      </c>
      <c r="H38" s="369" t="s">
        <v>463</v>
      </c>
      <c r="I38" s="370">
        <v>1</v>
      </c>
    </row>
    <row r="39" spans="2:9">
      <c r="B39" s="369" t="str">
        <f t="shared" ref="B39:B46" si="3">B38</f>
        <v>TOP-OUT</v>
      </c>
      <c r="C39" s="369" t="str">
        <f t="shared" ref="C39:C46" si="4">C9</f>
        <v>ZZCOMCEH</v>
      </c>
      <c r="D39" s="369" t="s">
        <v>902</v>
      </c>
      <c r="E39" s="369" t="s">
        <v>463</v>
      </c>
      <c r="F39" s="369" t="s">
        <v>463</v>
      </c>
      <c r="G39" s="369" t="s">
        <v>463</v>
      </c>
      <c r="H39" s="369" t="s">
        <v>463</v>
      </c>
      <c r="I39" s="370">
        <f t="shared" ref="I39:I46" si="5">I38</f>
        <v>1</v>
      </c>
    </row>
    <row r="40" spans="2:9">
      <c r="B40" s="369" t="str">
        <f t="shared" si="3"/>
        <v>TOP-OUT</v>
      </c>
      <c r="C40" s="369" t="str">
        <f t="shared" si="4"/>
        <v>ZZCOMCEK</v>
      </c>
      <c r="D40" s="369" t="s">
        <v>903</v>
      </c>
      <c r="E40" s="369" t="s">
        <v>463</v>
      </c>
      <c r="F40" s="369" t="s">
        <v>463</v>
      </c>
      <c r="G40" s="369" t="s">
        <v>463</v>
      </c>
      <c r="H40" s="369" t="s">
        <v>463</v>
      </c>
      <c r="I40" s="370">
        <f t="shared" si="5"/>
        <v>1</v>
      </c>
    </row>
    <row r="41" spans="2:9">
      <c r="B41" s="369" t="str">
        <f t="shared" si="3"/>
        <v>TOP-OUT</v>
      </c>
      <c r="C41" s="369" t="str">
        <f t="shared" si="4"/>
        <v>ZZCOMCEL</v>
      </c>
      <c r="D41" s="369" t="s">
        <v>904</v>
      </c>
      <c r="E41" s="369" t="s">
        <v>463</v>
      </c>
      <c r="F41" s="369" t="s">
        <v>463</v>
      </c>
      <c r="G41" s="369" t="s">
        <v>463</v>
      </c>
      <c r="H41" s="369" t="s">
        <v>463</v>
      </c>
      <c r="I41" s="370">
        <f t="shared" si="5"/>
        <v>1</v>
      </c>
    </row>
    <row r="42" spans="2:9">
      <c r="B42" s="369" t="str">
        <f t="shared" si="3"/>
        <v>TOP-OUT</v>
      </c>
      <c r="C42" s="369" t="str">
        <f t="shared" si="4"/>
        <v>ZZCOMCER</v>
      </c>
      <c r="D42" s="369" t="s">
        <v>905</v>
      </c>
      <c r="E42" s="369" t="s">
        <v>463</v>
      </c>
      <c r="F42" s="369" t="s">
        <v>463</v>
      </c>
      <c r="G42" s="369" t="s">
        <v>463</v>
      </c>
      <c r="H42" s="369" t="s">
        <v>463</v>
      </c>
      <c r="I42" s="370">
        <f t="shared" si="5"/>
        <v>1</v>
      </c>
    </row>
    <row r="43" spans="2:9">
      <c r="B43" s="369" t="str">
        <f t="shared" si="3"/>
        <v>TOP-OUT</v>
      </c>
      <c r="C43" s="369" t="str">
        <f t="shared" si="4"/>
        <v>ZZCOMCEW</v>
      </c>
      <c r="D43" s="369" t="s">
        <v>906</v>
      </c>
      <c r="E43" s="369" t="s">
        <v>463</v>
      </c>
      <c r="F43" s="369" t="s">
        <v>463</v>
      </c>
      <c r="G43" s="369" t="s">
        <v>463</v>
      </c>
      <c r="H43" s="369" t="s">
        <v>463</v>
      </c>
      <c r="I43" s="370">
        <f t="shared" si="5"/>
        <v>1</v>
      </c>
    </row>
    <row r="44" spans="2:9">
      <c r="B44" s="369" t="str">
        <f t="shared" si="3"/>
        <v>TOP-OUT</v>
      </c>
      <c r="C44" s="369" t="str">
        <f t="shared" si="4"/>
        <v>ZZCOMCEG</v>
      </c>
      <c r="D44" s="369" t="s">
        <v>907</v>
      </c>
      <c r="E44" s="369" t="s">
        <v>463</v>
      </c>
      <c r="F44" s="369" t="s">
        <v>463</v>
      </c>
      <c r="G44" s="369" t="s">
        <v>463</v>
      </c>
      <c r="H44" s="369" t="s">
        <v>463</v>
      </c>
      <c r="I44" s="370">
        <f t="shared" si="5"/>
        <v>1</v>
      </c>
    </row>
    <row r="45" spans="2:9">
      <c r="B45" s="369" t="str">
        <f t="shared" si="3"/>
        <v>TOP-OUT</v>
      </c>
      <c r="C45" s="369" t="str">
        <f t="shared" si="4"/>
        <v>ZZCOMCET</v>
      </c>
      <c r="D45" s="304" t="s">
        <v>908</v>
      </c>
      <c r="E45" s="369" t="s">
        <v>463</v>
      </c>
      <c r="F45" s="369" t="s">
        <v>463</v>
      </c>
      <c r="G45" s="369" t="s">
        <v>463</v>
      </c>
      <c r="H45" s="369" t="s">
        <v>463</v>
      </c>
      <c r="I45" s="370">
        <f t="shared" si="5"/>
        <v>1</v>
      </c>
    </row>
    <row r="46" spans="2:9">
      <c r="B46" s="369" t="str">
        <f t="shared" si="3"/>
        <v>TOP-OUT</v>
      </c>
      <c r="C46" s="369" t="str">
        <f t="shared" si="4"/>
        <v>ZZCOMCEO</v>
      </c>
      <c r="D46" s="304" t="s">
        <v>909</v>
      </c>
      <c r="E46" s="369" t="s">
        <v>463</v>
      </c>
      <c r="F46" s="369" t="s">
        <v>463</v>
      </c>
      <c r="G46" s="369" t="s">
        <v>463</v>
      </c>
      <c r="H46" s="369" t="s">
        <v>463</v>
      </c>
      <c r="I46" s="370">
        <f t="shared" si="5"/>
        <v>1</v>
      </c>
    </row>
  </sheetData>
  <pageMargins left="0.75" right="0.75" top="1" bottom="1" header="0.5" footer="0.5"/>
  <headerFooter alignWithMargins="0"/>
  <drawing r:id="rId1"/>
  <legacyDrawing r:id="rId2"/>
  <controls>
    <mc:AlternateContent xmlns:mc="http://schemas.openxmlformats.org/markup-compatibility/2006">
      <mc:Choice Requires="x14">
        <control shapeId="1404937"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1404937" r:id="rId3" name="cmdSpecifyIEOptcode"/>
      </mc:Fallback>
    </mc:AlternateContent>
    <mc:AlternateContent xmlns:mc="http://schemas.openxmlformats.org/markup-compatibility/2006">
      <mc:Choice Requires="x14">
        <control shapeId="1404936"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1404936" r:id="rId5" name="cmdSpecifyArg6"/>
      </mc:Fallback>
    </mc:AlternateContent>
    <mc:AlternateContent xmlns:mc="http://schemas.openxmlformats.org/markup-compatibility/2006">
      <mc:Choice Requires="x14">
        <control shapeId="1404935"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1404935" r:id="rId7" name="cmdSpecifyArg5"/>
      </mc:Fallback>
    </mc:AlternateContent>
    <mc:AlternateContent xmlns:mc="http://schemas.openxmlformats.org/markup-compatibility/2006">
      <mc:Choice Requires="x14">
        <control shapeId="1404934"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1404934" r:id="rId9" name="cmdSpecifyArg4"/>
      </mc:Fallback>
    </mc:AlternateContent>
    <mc:AlternateContent xmlns:mc="http://schemas.openxmlformats.org/markup-compatibility/2006">
      <mc:Choice Requires="x14">
        <control shapeId="1404933"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404933" r:id="rId11" name="cmdSpecifyArg3"/>
      </mc:Fallback>
    </mc:AlternateContent>
    <mc:AlternateContent xmlns:mc="http://schemas.openxmlformats.org/markup-compatibility/2006">
      <mc:Choice Requires="x14">
        <control shapeId="1404932"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1404932" r:id="rId13" name="cmdSpecifyArg2"/>
      </mc:Fallback>
    </mc:AlternateContent>
    <mc:AlternateContent xmlns:mc="http://schemas.openxmlformats.org/markup-compatibility/2006">
      <mc:Choice Requires="x14">
        <control shapeId="1404931"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404931" r:id="rId15" name="cmdSpecifyArg1"/>
      </mc:Fallback>
    </mc:AlternateContent>
    <mc:AlternateContent xmlns:mc="http://schemas.openxmlformats.org/markup-compatibility/2006">
      <mc:Choice Requires="x14">
        <control shapeId="1404930"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404930" r:id="rId17" name="cmdSpecifyParameter"/>
      </mc:Fallback>
    </mc:AlternateContent>
    <mc:AlternateContent xmlns:mc="http://schemas.openxmlformats.org/markup-compatibility/2006">
      <mc:Choice Requires="x14">
        <control shapeId="1404929"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1404929" r:id="rId19" name="cmdCheckTSandTIDDataSheet"/>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2">
    <tabColor theme="9" tint="-0.249977111117893"/>
  </sheetPr>
  <dimension ref="A1:O19"/>
  <sheetViews>
    <sheetView topLeftCell="A3" zoomScale="85" zoomScaleNormal="85" workbookViewId="0">
      <selection activeCell="J10" sqref="J10"/>
    </sheetView>
  </sheetViews>
  <sheetFormatPr defaultColWidth="11.42578125" defaultRowHeight="11.25"/>
  <cols>
    <col min="1" max="1" width="12.140625" style="304" customWidth="1"/>
    <col min="2" max="2" width="12" style="304" customWidth="1"/>
    <col min="3" max="3" width="11.140625" style="304" customWidth="1"/>
    <col min="4" max="8" width="11.42578125" style="304" customWidth="1"/>
    <col min="9" max="9" width="7.42578125" style="304" customWidth="1"/>
    <col min="10" max="10" width="5.42578125" style="304" customWidth="1"/>
    <col min="11" max="16384" width="11.42578125" style="304"/>
  </cols>
  <sheetData>
    <row r="1" spans="1:15">
      <c r="A1" s="303" t="s">
        <v>718</v>
      </c>
      <c r="B1" s="304" t="s">
        <v>707</v>
      </c>
    </row>
    <row r="2" spans="1:15">
      <c r="A2" s="304" t="s">
        <v>709</v>
      </c>
    </row>
    <row r="3" spans="1:15" ht="15" customHeight="1">
      <c r="A3" s="304" t="s">
        <v>709</v>
      </c>
    </row>
    <row r="4" spans="1:15">
      <c r="A4" s="304" t="s">
        <v>709</v>
      </c>
    </row>
    <row r="5" spans="1:15">
      <c r="A5" s="304" t="s">
        <v>709</v>
      </c>
    </row>
    <row r="6" spans="1:15">
      <c r="A6" s="304" t="s">
        <v>709</v>
      </c>
    </row>
    <row r="7" spans="1:15" ht="22.5" customHeight="1">
      <c r="A7" s="304" t="s">
        <v>709</v>
      </c>
      <c r="B7" s="303" t="s">
        <v>722</v>
      </c>
      <c r="C7" s="303" t="s">
        <v>723</v>
      </c>
      <c r="D7" s="303" t="s">
        <v>724</v>
      </c>
      <c r="E7" s="303" t="s">
        <v>725</v>
      </c>
      <c r="F7" s="303" t="s">
        <v>726</v>
      </c>
      <c r="G7" s="303" t="s">
        <v>727</v>
      </c>
      <c r="H7" s="303" t="s">
        <v>728</v>
      </c>
      <c r="I7" s="365" t="s">
        <v>729</v>
      </c>
      <c r="J7" s="304">
        <v>2012</v>
      </c>
      <c r="K7" s="304">
        <f>J7+1</f>
        <v>2013</v>
      </c>
      <c r="L7" s="304">
        <f t="shared" ref="L7:N7" si="0">K7+1</f>
        <v>2014</v>
      </c>
      <c r="M7" s="304">
        <f t="shared" si="0"/>
        <v>2015</v>
      </c>
      <c r="N7" s="304">
        <f t="shared" si="0"/>
        <v>2016</v>
      </c>
      <c r="O7" s="304">
        <v>2017</v>
      </c>
    </row>
    <row r="8" spans="1:15">
      <c r="A8" s="304" t="s">
        <v>709</v>
      </c>
      <c r="B8" s="303"/>
      <c r="C8" s="303"/>
      <c r="D8" s="303"/>
      <c r="E8" s="303"/>
      <c r="F8" s="303"/>
      <c r="G8" s="303"/>
      <c r="H8" s="303"/>
      <c r="I8" s="365"/>
    </row>
    <row r="9" spans="1:15">
      <c r="A9" s="304" t="s">
        <v>709</v>
      </c>
      <c r="B9" s="363" t="s">
        <v>761</v>
      </c>
      <c r="C9" s="363" t="s">
        <v>463</v>
      </c>
      <c r="D9" s="363" t="s">
        <v>750</v>
      </c>
      <c r="E9" s="363" t="s">
        <v>463</v>
      </c>
      <c r="F9" s="363" t="s">
        <v>463</v>
      </c>
      <c r="G9" s="363" t="s">
        <v>463</v>
      </c>
      <c r="H9" s="363" t="s">
        <v>463</v>
      </c>
      <c r="I9" s="368">
        <v>0</v>
      </c>
    </row>
    <row r="10" spans="1:15">
      <c r="B10" s="369" t="str">
        <f>B9</f>
        <v>COM_PROJ</v>
      </c>
      <c r="C10" s="369" t="s">
        <v>463</v>
      </c>
      <c r="D10" s="369" t="str">
        <f>COM_2012!B43</f>
        <v>CEC</v>
      </c>
      <c r="E10" s="369" t="s">
        <v>463</v>
      </c>
      <c r="F10" s="369" t="s">
        <v>463</v>
      </c>
      <c r="G10" s="369" t="s">
        <v>463</v>
      </c>
      <c r="H10" s="369" t="s">
        <v>463</v>
      </c>
      <c r="I10" s="370">
        <f>I9</f>
        <v>0</v>
      </c>
      <c r="J10" s="304">
        <f>SUMIF(COM_2012!$D$60:$D$121,D10,COM_2012!$N$60:$N$121)</f>
        <v>139.66439435388435</v>
      </c>
      <c r="O10" s="304">
        <f>SUMIF(' COM_2017_old'!$D$60:$D$121,D10,' COM_2017_old'!$N$60:$N$121)</f>
        <v>120.28334032399778</v>
      </c>
    </row>
    <row r="11" spans="1:15">
      <c r="B11" s="369" t="str">
        <f t="shared" ref="B11:B18" si="1">B10</f>
        <v>COM_PROJ</v>
      </c>
      <c r="C11" s="369" t="s">
        <v>463</v>
      </c>
      <c r="D11" s="369" t="str">
        <f>COM_2012!B44</f>
        <v>CEH</v>
      </c>
      <c r="E11" s="369" t="s">
        <v>463</v>
      </c>
      <c r="F11" s="369" t="s">
        <v>463</v>
      </c>
      <c r="G11" s="369" t="s">
        <v>463</v>
      </c>
      <c r="H11" s="369" t="s">
        <v>463</v>
      </c>
      <c r="I11" s="370">
        <f t="shared" ref="I11:I18" si="2">I10</f>
        <v>0</v>
      </c>
      <c r="J11" s="304">
        <f>SUMIF(COM_2012!$D$60:$D$121,D11,COM_2012!$N$60:$N$121)</f>
        <v>7.8517549075018991</v>
      </c>
      <c r="O11" s="304">
        <f>SUMIF(' COM_2017_old'!$D$60:$D$121,D11,' COM_2017_old'!$N$60:$N$121)</f>
        <v>11.470981711368381</v>
      </c>
    </row>
    <row r="12" spans="1:15">
      <c r="B12" s="369" t="str">
        <f t="shared" si="1"/>
        <v>COM_PROJ</v>
      </c>
      <c r="C12" s="369" t="s">
        <v>463</v>
      </c>
      <c r="D12" s="369" t="str">
        <f>COM_2012!B45</f>
        <v>CEK</v>
      </c>
      <c r="E12" s="369" t="s">
        <v>463</v>
      </c>
      <c r="F12" s="369" t="s">
        <v>463</v>
      </c>
      <c r="G12" s="369" t="s">
        <v>463</v>
      </c>
      <c r="H12" s="369" t="s">
        <v>463</v>
      </c>
      <c r="I12" s="370">
        <f t="shared" si="2"/>
        <v>0</v>
      </c>
      <c r="J12" s="304">
        <f>SUMIF(COM_2012!$D$60:$D$121,D12,COM_2012!$N$60:$N$121)</f>
        <v>9.894499756529763</v>
      </c>
      <c r="O12" s="304">
        <f>SUMIF(' COM_2017_old'!$D$60:$D$121,D12,' COM_2017_old'!$N$60:$N$121)</f>
        <v>8.2528207241540805</v>
      </c>
    </row>
    <row r="13" spans="1:15">
      <c r="B13" s="369" t="str">
        <f t="shared" si="1"/>
        <v>COM_PROJ</v>
      </c>
      <c r="C13" s="369" t="s">
        <v>463</v>
      </c>
      <c r="D13" s="369" t="str">
        <f>COM_2012!B46</f>
        <v>CEL</v>
      </c>
      <c r="E13" s="369" t="s">
        <v>463</v>
      </c>
      <c r="F13" s="369" t="s">
        <v>463</v>
      </c>
      <c r="G13" s="369" t="s">
        <v>463</v>
      </c>
      <c r="H13" s="369" t="s">
        <v>463</v>
      </c>
      <c r="I13" s="370">
        <f t="shared" si="2"/>
        <v>0</v>
      </c>
      <c r="J13" s="304">
        <f>SUMIF(COM_2012!$D$60:$D$121,D13,COM_2012!$N$60:$N$121)</f>
        <v>121.5402719056889</v>
      </c>
      <c r="O13" s="304">
        <f>SUMIF(' COM_2017_old'!$D$60:$D$121,D13,' COM_2017_old'!$N$60:$N$121)</f>
        <v>104.67427977141128</v>
      </c>
    </row>
    <row r="14" spans="1:15">
      <c r="B14" s="369" t="str">
        <f t="shared" si="1"/>
        <v>COM_PROJ</v>
      </c>
      <c r="C14" s="369" t="s">
        <v>463</v>
      </c>
      <c r="D14" s="369" t="str">
        <f>COM_2012!B47</f>
        <v>CER</v>
      </c>
      <c r="E14" s="369" t="s">
        <v>463</v>
      </c>
      <c r="F14" s="369" t="s">
        <v>463</v>
      </c>
      <c r="G14" s="369" t="s">
        <v>463</v>
      </c>
      <c r="H14" s="369" t="s">
        <v>463</v>
      </c>
      <c r="I14" s="370">
        <f t="shared" si="2"/>
        <v>0</v>
      </c>
      <c r="J14" s="304">
        <f>SUMIF(COM_2012!$D$60:$D$121,D14,COM_2012!$N$60:$N$121)</f>
        <v>29.566390373747051</v>
      </c>
      <c r="O14" s="304">
        <f>SUMIF(' COM_2017_old'!$D$60:$D$121,D14,' COM_2017_old'!$N$60:$N$121)</f>
        <v>25.463499211305457</v>
      </c>
    </row>
    <row r="15" spans="1:15">
      <c r="B15" s="369" t="str">
        <f t="shared" si="1"/>
        <v>COM_PROJ</v>
      </c>
      <c r="C15" s="369" t="s">
        <v>463</v>
      </c>
      <c r="D15" s="369" t="str">
        <f>COM_2012!B48</f>
        <v>CEW</v>
      </c>
      <c r="E15" s="369" t="s">
        <v>463</v>
      </c>
      <c r="F15" s="369" t="s">
        <v>463</v>
      </c>
      <c r="G15" s="369" t="s">
        <v>463</v>
      </c>
      <c r="H15" s="369" t="s">
        <v>463</v>
      </c>
      <c r="I15" s="370">
        <f t="shared" si="2"/>
        <v>0</v>
      </c>
      <c r="J15" s="304">
        <f>SUMIF(COM_2012!$D$60:$D$121,D15,COM_2012!$N$60:$N$121)</f>
        <v>9.6831090230750316</v>
      </c>
      <c r="O15" s="304">
        <f>SUMIF(' COM_2017_old'!$D$60:$D$121,D15,' COM_2017_old'!$N$60:$N$121)</f>
        <v>9.6495991200814473</v>
      </c>
    </row>
    <row r="16" spans="1:15">
      <c r="B16" s="369" t="str">
        <f t="shared" si="1"/>
        <v>COM_PROJ</v>
      </c>
      <c r="C16" s="369" t="s">
        <v>463</v>
      </c>
      <c r="D16" s="369" t="str">
        <f>COM_2012!B49</f>
        <v>CEG</v>
      </c>
      <c r="E16" s="369" t="s">
        <v>463</v>
      </c>
      <c r="F16" s="369" t="s">
        <v>463</v>
      </c>
      <c r="G16" s="369" t="s">
        <v>463</v>
      </c>
      <c r="H16" s="369" t="s">
        <v>463</v>
      </c>
      <c r="I16" s="370">
        <f t="shared" si="2"/>
        <v>0</v>
      </c>
      <c r="J16" s="304">
        <f>SUMIF(COM_2012!$D$60:$D$121,D16,COM_2012!$N$60:$N$121)</f>
        <v>10.30055287377321</v>
      </c>
      <c r="O16" s="304">
        <f>SUMIF(' COM_2017_old'!$D$60:$D$121,D16,' COM_2017_old'!$N$60:$N$121)</f>
        <v>8.8711579824850144</v>
      </c>
    </row>
    <row r="17" spans="2:15">
      <c r="B17" s="369" t="str">
        <f t="shared" si="1"/>
        <v>COM_PROJ</v>
      </c>
      <c r="C17" s="369" t="s">
        <v>463</v>
      </c>
      <c r="D17" s="369" t="str">
        <f>COM_2012!B50</f>
        <v>CET</v>
      </c>
      <c r="E17" s="369" t="s">
        <v>463</v>
      </c>
      <c r="F17" s="369" t="s">
        <v>463</v>
      </c>
      <c r="G17" s="369" t="s">
        <v>463</v>
      </c>
      <c r="H17" s="369" t="s">
        <v>463</v>
      </c>
      <c r="I17" s="370">
        <f t="shared" si="2"/>
        <v>0</v>
      </c>
      <c r="J17" s="304">
        <f>SUMIF(COM_2012!$D$60:$D$121,D17,COM_2012!$N$60:$N$121)</f>
        <v>3.5593512487513528</v>
      </c>
      <c r="O17" s="304">
        <f>SUMIF(' COM_2017_old'!$D$60:$D$121,D17,' COM_2017_old'!$N$60:$N$121)</f>
        <v>3.0654245097100388</v>
      </c>
    </row>
    <row r="18" spans="2:15">
      <c r="B18" s="369" t="str">
        <f t="shared" si="1"/>
        <v>COM_PROJ</v>
      </c>
      <c r="C18" s="369" t="s">
        <v>463</v>
      </c>
      <c r="D18" s="369" t="str">
        <f>COM_2012!B51</f>
        <v>CEO</v>
      </c>
      <c r="E18" s="369" t="s">
        <v>463</v>
      </c>
      <c r="F18" s="369" t="s">
        <v>463</v>
      </c>
      <c r="G18" s="369" t="s">
        <v>463</v>
      </c>
      <c r="H18" s="369" t="s">
        <v>463</v>
      </c>
      <c r="I18" s="370">
        <f t="shared" si="2"/>
        <v>0</v>
      </c>
      <c r="J18" s="304">
        <f>SUMIF(COM_2012!$D$60:$D$121,D18,COM_2012!$N$60:$N$121)</f>
        <v>18.760184357078931</v>
      </c>
      <c r="O18" s="304">
        <f>SUMIF(' COM_2017_old'!$D$60:$D$121,D18,' COM_2017_old'!$N$60:$N$121)</f>
        <v>16.999241745794041</v>
      </c>
    </row>
    <row r="19" spans="2:15">
      <c r="B19" s="369"/>
      <c r="C19" s="369"/>
      <c r="D19" s="369"/>
      <c r="E19" s="369"/>
      <c r="F19" s="369"/>
      <c r="G19" s="369"/>
      <c r="H19" s="369"/>
      <c r="I19" s="369"/>
    </row>
  </sheetData>
  <pageMargins left="0.75" right="0.75" top="1" bottom="1" header="0.5" footer="0.5"/>
  <headerFooter alignWithMargins="0"/>
  <drawing r:id="rId1"/>
  <legacyDrawing r:id="rId2"/>
  <controls>
    <mc:AlternateContent xmlns:mc="http://schemas.openxmlformats.org/markup-compatibility/2006">
      <mc:Choice Requires="x14">
        <control shapeId="11273"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11273" r:id="rId3" name="cmdSpecifyIEOptcode"/>
      </mc:Fallback>
    </mc:AlternateContent>
    <mc:AlternateContent xmlns:mc="http://schemas.openxmlformats.org/markup-compatibility/2006">
      <mc:Choice Requires="x14">
        <control shapeId="11272"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11272" r:id="rId5" name="cmdSpecifyArg6"/>
      </mc:Fallback>
    </mc:AlternateContent>
    <mc:AlternateContent xmlns:mc="http://schemas.openxmlformats.org/markup-compatibility/2006">
      <mc:Choice Requires="x14">
        <control shapeId="11271"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11271" r:id="rId7" name="cmdSpecifyArg5"/>
      </mc:Fallback>
    </mc:AlternateContent>
    <mc:AlternateContent xmlns:mc="http://schemas.openxmlformats.org/markup-compatibility/2006">
      <mc:Choice Requires="x14">
        <control shapeId="11270"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11270" r:id="rId9" name="cmdSpecifyArg4"/>
      </mc:Fallback>
    </mc:AlternateContent>
    <mc:AlternateContent xmlns:mc="http://schemas.openxmlformats.org/markup-compatibility/2006">
      <mc:Choice Requires="x14">
        <control shapeId="11269"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1269" r:id="rId11" name="cmdSpecifyArg3"/>
      </mc:Fallback>
    </mc:AlternateContent>
    <mc:AlternateContent xmlns:mc="http://schemas.openxmlformats.org/markup-compatibility/2006">
      <mc:Choice Requires="x14">
        <control shapeId="11268"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11268" r:id="rId13" name="cmdSpecifyArg2"/>
      </mc:Fallback>
    </mc:AlternateContent>
    <mc:AlternateContent xmlns:mc="http://schemas.openxmlformats.org/markup-compatibility/2006">
      <mc:Choice Requires="x14">
        <control shapeId="11267"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11267" r:id="rId15" name="cmdSpecifyArg1"/>
      </mc:Fallback>
    </mc:AlternateContent>
    <mc:AlternateContent xmlns:mc="http://schemas.openxmlformats.org/markup-compatibility/2006">
      <mc:Choice Requires="x14">
        <control shapeId="11266"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11266" r:id="rId17" name="cmdSpecifyParameter"/>
      </mc:Fallback>
    </mc:AlternateContent>
    <mc:AlternateContent xmlns:mc="http://schemas.openxmlformats.org/markup-compatibility/2006">
      <mc:Choice Requires="x14">
        <control shapeId="11265"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11265" r:id="rId19" name="cmdCheckTSandTIDDataSheet"/>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7">
    <tabColor theme="9" tint="-0.249977111117893"/>
  </sheetPr>
  <dimension ref="A1:L500"/>
  <sheetViews>
    <sheetView workbookViewId="0"/>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2">
      <c r="A1" s="375" t="str">
        <f>IF('TS COMFR_10'!A1="","TS DATA","")</f>
        <v/>
      </c>
      <c r="B1" s="376" t="s">
        <v>707</v>
      </c>
    </row>
    <row r="2" spans="1:12">
      <c r="A2" s="376" t="s">
        <v>709</v>
      </c>
      <c r="L2" s="376" t="s">
        <v>922</v>
      </c>
    </row>
    <row r="3" spans="1:12" ht="15" customHeight="1">
      <c r="A3" s="376" t="s">
        <v>709</v>
      </c>
    </row>
    <row r="4" spans="1:12">
      <c r="A4" s="376" t="s">
        <v>709</v>
      </c>
    </row>
    <row r="5" spans="1:12">
      <c r="A5" s="376" t="s">
        <v>709</v>
      </c>
    </row>
    <row r="6" spans="1:12">
      <c r="A6" s="376" t="s">
        <v>709</v>
      </c>
    </row>
    <row r="7" spans="1:12" ht="22.5" customHeight="1">
      <c r="A7" s="376" t="s">
        <v>709</v>
      </c>
      <c r="B7" s="375" t="s">
        <v>722</v>
      </c>
      <c r="C7" s="375" t="s">
        <v>723</v>
      </c>
      <c r="D7" s="375" t="s">
        <v>724</v>
      </c>
      <c r="E7" s="375" t="s">
        <v>725</v>
      </c>
      <c r="F7" s="375" t="s">
        <v>726</v>
      </c>
      <c r="G7" s="375" t="s">
        <v>727</v>
      </c>
      <c r="H7" s="375" t="s">
        <v>728</v>
      </c>
      <c r="I7" s="377" t="s">
        <v>729</v>
      </c>
      <c r="J7" s="376">
        <v>2012</v>
      </c>
    </row>
    <row r="8" spans="1:12">
      <c r="A8" s="376" t="s">
        <v>709</v>
      </c>
      <c r="B8" s="375"/>
      <c r="C8" s="375"/>
      <c r="D8" s="375"/>
      <c r="E8" s="375"/>
      <c r="F8" s="375"/>
      <c r="G8" s="375"/>
      <c r="H8" s="375"/>
      <c r="I8" s="377"/>
    </row>
    <row r="9" spans="1:12">
      <c r="A9" s="376" t="s">
        <v>709</v>
      </c>
      <c r="B9" s="378" t="s">
        <v>767</v>
      </c>
      <c r="C9" s="378" t="s">
        <v>463</v>
      </c>
      <c r="D9" s="378" t="s">
        <v>750</v>
      </c>
      <c r="E9" s="378" t="s">
        <v>463</v>
      </c>
      <c r="F9" s="378" t="s">
        <v>463</v>
      </c>
      <c r="G9" s="378" t="s">
        <v>768</v>
      </c>
      <c r="H9" s="378" t="s">
        <v>463</v>
      </c>
      <c r="I9" s="379">
        <v>0</v>
      </c>
    </row>
    <row r="10" spans="1:12">
      <c r="B10" s="378" t="s">
        <v>767</v>
      </c>
      <c r="C10" s="380" t="s">
        <v>463</v>
      </c>
      <c r="D10" s="380" t="str">
        <f>'[5]COM COMFR'!D10</f>
        <v>CEC</v>
      </c>
      <c r="E10" s="380" t="s">
        <v>463</v>
      </c>
      <c r="F10" s="380" t="s">
        <v>463</v>
      </c>
      <c r="G10" s="380" t="str">
        <f>'[5]COM COMFR'!G10</f>
        <v>s1d1b1</v>
      </c>
      <c r="H10" s="380" t="s">
        <v>463</v>
      </c>
      <c r="I10" s="379">
        <v>0</v>
      </c>
      <c r="J10" s="380">
        <f>'[5]COM COMFR'!J10</f>
        <v>7.2179999999999994E-2</v>
      </c>
      <c r="K10" s="383"/>
    </row>
    <row r="11" spans="1:12">
      <c r="B11" s="378" t="s">
        <v>767</v>
      </c>
      <c r="C11" s="380" t="s">
        <v>463</v>
      </c>
      <c r="D11" s="380" t="str">
        <f>'[5]COM COMFR'!D11</f>
        <v>CEC</v>
      </c>
      <c r="E11" s="380" t="s">
        <v>463</v>
      </c>
      <c r="F11" s="380" t="s">
        <v>463</v>
      </c>
      <c r="G11" s="380" t="str">
        <f>'[5]COM COMFR'!G11</f>
        <v>s1d1b2</v>
      </c>
      <c r="H11" s="380" t="s">
        <v>463</v>
      </c>
      <c r="I11" s="379">
        <v>0</v>
      </c>
      <c r="J11" s="380">
        <f>'[5]COM COMFR'!J11</f>
        <v>0.13908999999999985</v>
      </c>
      <c r="K11" s="383"/>
    </row>
    <row r="12" spans="1:12">
      <c r="B12" s="378" t="s">
        <v>767</v>
      </c>
      <c r="C12" s="380" t="s">
        <v>463</v>
      </c>
      <c r="D12" s="380" t="str">
        <f>'[5]COM COMFR'!D12</f>
        <v>CEC</v>
      </c>
      <c r="E12" s="380" t="s">
        <v>463</v>
      </c>
      <c r="F12" s="380" t="s">
        <v>463</v>
      </c>
      <c r="G12" s="380" t="str">
        <f>'[5]COM COMFR'!G12</f>
        <v>s1d1b3</v>
      </c>
      <c r="H12" s="380" t="s">
        <v>463</v>
      </c>
      <c r="I12" s="379">
        <v>0</v>
      </c>
      <c r="J12" s="380">
        <f>'[5]COM COMFR'!J12</f>
        <v>5.2249999999999998E-2</v>
      </c>
      <c r="K12" s="383"/>
    </row>
    <row r="13" spans="1:12">
      <c r="B13" s="378" t="s">
        <v>767</v>
      </c>
      <c r="C13" s="380" t="s">
        <v>463</v>
      </c>
      <c r="D13" s="380" t="str">
        <f>'[5]COM COMFR'!D13</f>
        <v>CEC</v>
      </c>
      <c r="E13" s="380" t="s">
        <v>463</v>
      </c>
      <c r="F13" s="380" t="s">
        <v>463</v>
      </c>
      <c r="G13" s="380" t="str">
        <f>'[5]COM COMFR'!G13</f>
        <v>s1d2b1</v>
      </c>
      <c r="H13" s="380" t="s">
        <v>463</v>
      </c>
      <c r="I13" s="379">
        <v>0</v>
      </c>
      <c r="J13" s="380">
        <f>'[5]COM COMFR'!J13</f>
        <v>3.3500000000000002E-2</v>
      </c>
      <c r="K13" s="383"/>
    </row>
    <row r="14" spans="1:12">
      <c r="B14" s="378" t="s">
        <v>767</v>
      </c>
      <c r="C14" s="380" t="s">
        <v>463</v>
      </c>
      <c r="D14" s="380" t="str">
        <f>'[5]COM COMFR'!D14</f>
        <v>CEC</v>
      </c>
      <c r="E14" s="380" t="s">
        <v>463</v>
      </c>
      <c r="F14" s="380" t="s">
        <v>463</v>
      </c>
      <c r="G14" s="380" t="str">
        <f>'[5]COM COMFR'!G14</f>
        <v>s1d2b2</v>
      </c>
      <c r="H14" s="380" t="s">
        <v>463</v>
      </c>
      <c r="I14" s="379">
        <v>0</v>
      </c>
      <c r="J14" s="380">
        <f>'[5]COM COMFR'!J14</f>
        <v>5.7119999999999997E-2</v>
      </c>
      <c r="K14" s="383"/>
    </row>
    <row r="15" spans="1:12">
      <c r="B15" s="378" t="s">
        <v>767</v>
      </c>
      <c r="C15" s="380" t="s">
        <v>463</v>
      </c>
      <c r="D15" s="380" t="str">
        <f>'[5]COM COMFR'!D15</f>
        <v>CEC</v>
      </c>
      <c r="E15" s="380" t="s">
        <v>463</v>
      </c>
      <c r="F15" s="380" t="s">
        <v>463</v>
      </c>
      <c r="G15" s="380" t="str">
        <f>'[5]COM COMFR'!G15</f>
        <v>s1d2b3</v>
      </c>
      <c r="H15" s="380" t="s">
        <v>463</v>
      </c>
      <c r="I15" s="379">
        <v>0</v>
      </c>
      <c r="J15" s="380">
        <f>'[5]COM COMFR'!J15</f>
        <v>2.2409999999999999E-2</v>
      </c>
      <c r="K15" s="383"/>
    </row>
    <row r="16" spans="1:12">
      <c r="A16" s="376" t="str">
        <f>IF(D16=0,"*","")</f>
        <v/>
      </c>
      <c r="B16" s="378" t="s">
        <v>767</v>
      </c>
      <c r="C16" s="380" t="s">
        <v>463</v>
      </c>
      <c r="D16" s="380" t="str">
        <f>'[5]COM COMFR'!D16</f>
        <v>CEC</v>
      </c>
      <c r="E16" s="380" t="s">
        <v>463</v>
      </c>
      <c r="F16" s="380" t="s">
        <v>463</v>
      </c>
      <c r="G16" s="380" t="str">
        <f>'[5]COM COMFR'!G16</f>
        <v>s2d1b1</v>
      </c>
      <c r="H16" s="380" t="s">
        <v>463</v>
      </c>
      <c r="I16" s="379">
        <v>0</v>
      </c>
      <c r="J16" s="380">
        <f>'[5]COM COMFR'!J16</f>
        <v>4.5870000000000001E-2</v>
      </c>
      <c r="K16" s="383"/>
    </row>
    <row r="17" spans="1:11">
      <c r="A17" s="376" t="str">
        <f>IF(D17=0,"*","")</f>
        <v/>
      </c>
      <c r="B17" s="378" t="s">
        <v>767</v>
      </c>
      <c r="C17" s="380" t="s">
        <v>463</v>
      </c>
      <c r="D17" s="380" t="str">
        <f>'[5]COM COMFR'!D17</f>
        <v>CEC</v>
      </c>
      <c r="E17" s="380" t="s">
        <v>463</v>
      </c>
      <c r="F17" s="380" t="s">
        <v>463</v>
      </c>
      <c r="G17" s="380" t="str">
        <f>'[5]COM COMFR'!G17</f>
        <v>s2d1b2</v>
      </c>
      <c r="H17" s="380" t="s">
        <v>463</v>
      </c>
      <c r="I17" s="379">
        <v>0</v>
      </c>
      <c r="J17" s="380">
        <f>'[5]COM COMFR'!J17</f>
        <v>2.0400000000000001E-2</v>
      </c>
      <c r="K17" s="383"/>
    </row>
    <row r="18" spans="1:11">
      <c r="A18" s="376" t="str">
        <f t="shared" ref="A18:A49" si="0">IF(D18=0,"*","")</f>
        <v/>
      </c>
      <c r="B18" s="378" t="s">
        <v>767</v>
      </c>
      <c r="C18" s="380" t="s">
        <v>463</v>
      </c>
      <c r="D18" s="380" t="str">
        <f>'[5]COM COMFR'!D18</f>
        <v>CEC</v>
      </c>
      <c r="E18" s="380" t="s">
        <v>463</v>
      </c>
      <c r="F18" s="380" t="s">
        <v>463</v>
      </c>
      <c r="G18" s="380" t="str">
        <f>'[5]COM COMFR'!G18</f>
        <v>s2d1b3</v>
      </c>
      <c r="H18" s="380" t="s">
        <v>463</v>
      </c>
      <c r="I18" s="379">
        <v>0</v>
      </c>
      <c r="J18" s="380">
        <f>'[5]COM COMFR'!J18</f>
        <v>7.1370000000000003E-2</v>
      </c>
      <c r="K18" s="383"/>
    </row>
    <row r="19" spans="1:11">
      <c r="A19" s="376" t="str">
        <f t="shared" si="0"/>
        <v/>
      </c>
      <c r="B19" s="378" t="s">
        <v>767</v>
      </c>
      <c r="C19" s="380" t="s">
        <v>463</v>
      </c>
      <c r="D19" s="380" t="str">
        <f>'[5]COM COMFR'!D19</f>
        <v>CEC</v>
      </c>
      <c r="E19" s="380" t="s">
        <v>463</v>
      </c>
      <c r="F19" s="380" t="s">
        <v>463</v>
      </c>
      <c r="G19" s="380" t="str">
        <f>'[5]COM COMFR'!G19</f>
        <v>s2d1b4</v>
      </c>
      <c r="H19" s="380" t="s">
        <v>463</v>
      </c>
      <c r="I19" s="379">
        <v>0</v>
      </c>
      <c r="J19" s="380">
        <f>'[5]COM COMFR'!J19</f>
        <v>2.7650000000000001E-2</v>
      </c>
      <c r="K19" s="383"/>
    </row>
    <row r="20" spans="1:11">
      <c r="A20" s="376" t="str">
        <f t="shared" si="0"/>
        <v/>
      </c>
      <c r="B20" s="378" t="s">
        <v>767</v>
      </c>
      <c r="C20" s="380" t="s">
        <v>463</v>
      </c>
      <c r="D20" s="380" t="str">
        <f>'[5]COM COMFR'!D20</f>
        <v>CEC</v>
      </c>
      <c r="E20" s="380" t="s">
        <v>463</v>
      </c>
      <c r="F20" s="380" t="s">
        <v>463</v>
      </c>
      <c r="G20" s="380" t="str">
        <f>'[5]COM COMFR'!G20</f>
        <v>s2d1b5</v>
      </c>
      <c r="H20" s="380" t="s">
        <v>463</v>
      </c>
      <c r="I20" s="379">
        <v>0</v>
      </c>
      <c r="J20" s="380">
        <f>'[5]COM COMFR'!J20</f>
        <v>1.367E-2</v>
      </c>
      <c r="K20" s="383"/>
    </row>
    <row r="21" spans="1:11">
      <c r="A21" s="376" t="str">
        <f t="shared" si="0"/>
        <v/>
      </c>
      <c r="B21" s="378" t="s">
        <v>767</v>
      </c>
      <c r="C21" s="380" t="s">
        <v>463</v>
      </c>
      <c r="D21" s="380" t="str">
        <f>'[5]COM COMFR'!D21</f>
        <v>CEC</v>
      </c>
      <c r="E21" s="380" t="s">
        <v>463</v>
      </c>
      <c r="F21" s="380" t="s">
        <v>463</v>
      </c>
      <c r="G21" s="380" t="str">
        <f>'[5]COM COMFR'!G21</f>
        <v>s2d2b1</v>
      </c>
      <c r="H21" s="380" t="s">
        <v>463</v>
      </c>
      <c r="I21" s="379">
        <v>0</v>
      </c>
      <c r="J21" s="380">
        <f>'[5]COM COMFR'!J21</f>
        <v>2.282E-2</v>
      </c>
      <c r="K21" s="383"/>
    </row>
    <row r="22" spans="1:11">
      <c r="A22" s="376" t="str">
        <f t="shared" si="0"/>
        <v/>
      </c>
      <c r="B22" s="378" t="s">
        <v>767</v>
      </c>
      <c r="C22" s="380" t="s">
        <v>463</v>
      </c>
      <c r="D22" s="380" t="str">
        <f>'[5]COM COMFR'!D22</f>
        <v>CEC</v>
      </c>
      <c r="E22" s="380" t="s">
        <v>463</v>
      </c>
      <c r="F22" s="380" t="s">
        <v>463</v>
      </c>
      <c r="G22" s="380" t="str">
        <f>'[5]COM COMFR'!G22</f>
        <v>s2d2b2</v>
      </c>
      <c r="H22" s="380" t="s">
        <v>463</v>
      </c>
      <c r="I22" s="379">
        <v>0</v>
      </c>
      <c r="J22" s="380">
        <f>'[5]COM COMFR'!J22</f>
        <v>3.8899999999999997E-2</v>
      </c>
      <c r="K22" s="383"/>
    </row>
    <row r="23" spans="1:11">
      <c r="A23" s="376" t="str">
        <f t="shared" si="0"/>
        <v/>
      </c>
      <c r="B23" s="378" t="s">
        <v>767</v>
      </c>
      <c r="C23" s="380" t="s">
        <v>463</v>
      </c>
      <c r="D23" s="380" t="str">
        <f>'[5]COM COMFR'!D23</f>
        <v>CEC</v>
      </c>
      <c r="E23" s="380" t="s">
        <v>463</v>
      </c>
      <c r="F23" s="380" t="s">
        <v>463</v>
      </c>
      <c r="G23" s="380" t="str">
        <f>'[5]COM COMFR'!G23</f>
        <v>s2d2b3</v>
      </c>
      <c r="H23" s="380" t="s">
        <v>463</v>
      </c>
      <c r="I23" s="379">
        <v>0</v>
      </c>
      <c r="J23" s="380">
        <f>'[5]COM COMFR'!J23</f>
        <v>1.5259999999999999E-2</v>
      </c>
      <c r="K23" s="383"/>
    </row>
    <row r="24" spans="1:11">
      <c r="A24" s="376" t="str">
        <f t="shared" si="0"/>
        <v/>
      </c>
      <c r="B24" s="378" t="s">
        <v>767</v>
      </c>
      <c r="C24" s="380" t="s">
        <v>463</v>
      </c>
      <c r="D24" s="380" t="str">
        <f>'[5]COM COMFR'!D24</f>
        <v>CEC</v>
      </c>
      <c r="E24" s="380" t="s">
        <v>463</v>
      </c>
      <c r="F24" s="380" t="s">
        <v>463</v>
      </c>
      <c r="G24" s="380" t="str">
        <f>'[5]COM COMFR'!G24</f>
        <v>s3d1b1</v>
      </c>
      <c r="H24" s="380" t="s">
        <v>463</v>
      </c>
      <c r="I24" s="379">
        <v>0</v>
      </c>
      <c r="J24" s="380">
        <f>'[5]COM COMFR'!J24</f>
        <v>7.825E-2</v>
      </c>
      <c r="K24" s="383"/>
    </row>
    <row r="25" spans="1:11">
      <c r="A25" s="376" t="str">
        <f t="shared" si="0"/>
        <v/>
      </c>
      <c r="B25" s="378" t="s">
        <v>767</v>
      </c>
      <c r="C25" s="380" t="s">
        <v>463</v>
      </c>
      <c r="D25" s="380" t="str">
        <f>'[5]COM COMFR'!D25</f>
        <v>CEC</v>
      </c>
      <c r="E25" s="380" t="s">
        <v>463</v>
      </c>
      <c r="F25" s="380" t="s">
        <v>463</v>
      </c>
      <c r="G25" s="380" t="str">
        <f>'[5]COM COMFR'!G25</f>
        <v>s3d1b2</v>
      </c>
      <c r="H25" s="380" t="s">
        <v>463</v>
      </c>
      <c r="I25" s="379">
        <v>0</v>
      </c>
      <c r="J25" s="380">
        <f>'[5]COM COMFR'!J25</f>
        <v>0.13341</v>
      </c>
      <c r="K25" s="383"/>
    </row>
    <row r="26" spans="1:11">
      <c r="A26" s="376" t="str">
        <f t="shared" si="0"/>
        <v/>
      </c>
      <c r="B26" s="378" t="s">
        <v>767</v>
      </c>
      <c r="C26" s="380" t="s">
        <v>463</v>
      </c>
      <c r="D26" s="380" t="str">
        <f>'[5]COM COMFR'!D26</f>
        <v>CEC</v>
      </c>
      <c r="E26" s="380" t="s">
        <v>463</v>
      </c>
      <c r="F26" s="380" t="s">
        <v>463</v>
      </c>
      <c r="G26" s="380" t="str">
        <f>'[5]COM COMFR'!G26</f>
        <v>s3d1b3</v>
      </c>
      <c r="H26" s="380" t="s">
        <v>463</v>
      </c>
      <c r="I26" s="379">
        <v>0</v>
      </c>
      <c r="J26" s="380">
        <f>'[5]COM COMFR'!J26</f>
        <v>5.2350000000000001E-2</v>
      </c>
      <c r="K26" s="383"/>
    </row>
    <row r="27" spans="1:11">
      <c r="A27" s="376" t="str">
        <f t="shared" si="0"/>
        <v/>
      </c>
      <c r="B27" s="378" t="s">
        <v>767</v>
      </c>
      <c r="C27" s="380" t="s">
        <v>463</v>
      </c>
      <c r="D27" s="380" t="str">
        <f>'[5]COM COMFR'!D27</f>
        <v>CEC</v>
      </c>
      <c r="E27" s="380" t="s">
        <v>463</v>
      </c>
      <c r="F27" s="380" t="s">
        <v>463</v>
      </c>
      <c r="G27" s="380" t="str">
        <f>'[5]COM COMFR'!G27</f>
        <v>s3d2b1</v>
      </c>
      <c r="H27" s="380" t="s">
        <v>463</v>
      </c>
      <c r="I27" s="379">
        <v>0</v>
      </c>
      <c r="J27" s="380">
        <f>'[5]COM COMFR'!J27</f>
        <v>3.0679999999999999E-2</v>
      </c>
      <c r="K27" s="383"/>
    </row>
    <row r="28" spans="1:11">
      <c r="A28" s="376" t="str">
        <f t="shared" si="0"/>
        <v/>
      </c>
      <c r="B28" s="378" t="s">
        <v>767</v>
      </c>
      <c r="C28" s="380" t="s">
        <v>463</v>
      </c>
      <c r="D28" s="380" t="str">
        <f>'[5]COM COMFR'!D28</f>
        <v>CEC</v>
      </c>
      <c r="E28" s="380" t="s">
        <v>463</v>
      </c>
      <c r="F28" s="380" t="s">
        <v>463</v>
      </c>
      <c r="G28" s="380" t="str">
        <f>'[5]COM COMFR'!G28</f>
        <v>s3d2b2</v>
      </c>
      <c r="H28" s="380" t="s">
        <v>463</v>
      </c>
      <c r="I28" s="379">
        <v>0</v>
      </c>
      <c r="J28" s="380">
        <f>'[5]COM COMFR'!J28</f>
        <v>5.2299999999999999E-2</v>
      </c>
      <c r="K28" s="383"/>
    </row>
    <row r="29" spans="1:11">
      <c r="A29" s="376" t="str">
        <f t="shared" si="0"/>
        <v/>
      </c>
      <c r="B29" s="378" t="s">
        <v>767</v>
      </c>
      <c r="C29" s="380" t="s">
        <v>463</v>
      </c>
      <c r="D29" s="380" t="str">
        <f>'[5]COM COMFR'!D29</f>
        <v>CEC</v>
      </c>
      <c r="E29" s="380" t="s">
        <v>463</v>
      </c>
      <c r="F29" s="380" t="s">
        <v>463</v>
      </c>
      <c r="G29" s="380" t="str">
        <f>'[5]COM COMFR'!G29</f>
        <v>s3d2b3</v>
      </c>
      <c r="H29" s="380" t="s">
        <v>463</v>
      </c>
      <c r="I29" s="379">
        <v>0</v>
      </c>
      <c r="J29" s="380">
        <f>'[5]COM COMFR'!J29</f>
        <v>2.052E-2</v>
      </c>
      <c r="K29" s="383"/>
    </row>
    <row r="30" spans="1:11">
      <c r="A30" s="376" t="str">
        <f t="shared" si="0"/>
        <v/>
      </c>
      <c r="B30" s="378" t="s">
        <v>767</v>
      </c>
      <c r="C30" s="380" t="s">
        <v>463</v>
      </c>
      <c r="D30" s="380" t="str">
        <f>'[5]COM COMFR'!D30</f>
        <v>CEH</v>
      </c>
      <c r="E30" s="380" t="s">
        <v>463</v>
      </c>
      <c r="F30" s="380" t="s">
        <v>463</v>
      </c>
      <c r="G30" s="380" t="str">
        <f>'[5]COM COMFR'!G30</f>
        <v>s1d1b1</v>
      </c>
      <c r="H30" s="380" t="s">
        <v>463</v>
      </c>
      <c r="I30" s="379">
        <v>0</v>
      </c>
      <c r="J30" s="380">
        <f>'[5]COM COMFR'!J30</f>
        <v>4.9180000000000001E-2</v>
      </c>
      <c r="K30" s="383"/>
    </row>
    <row r="31" spans="1:11">
      <c r="A31" s="376" t="str">
        <f t="shared" si="0"/>
        <v/>
      </c>
      <c r="B31" s="378" t="s">
        <v>767</v>
      </c>
      <c r="C31" s="380" t="s">
        <v>463</v>
      </c>
      <c r="D31" s="380" t="str">
        <f>'[5]COM COMFR'!D31</f>
        <v>CEH</v>
      </c>
      <c r="E31" s="380" t="s">
        <v>463</v>
      </c>
      <c r="F31" s="380" t="s">
        <v>463</v>
      </c>
      <c r="G31" s="380" t="str">
        <f>'[5]COM COMFR'!G31</f>
        <v>s1d1b2</v>
      </c>
      <c r="H31" s="380" t="s">
        <v>463</v>
      </c>
      <c r="I31" s="379">
        <v>0</v>
      </c>
      <c r="J31" s="380">
        <f>'[5]COM COMFR'!J31</f>
        <v>9.4759999999999997E-2</v>
      </c>
      <c r="K31" s="383"/>
    </row>
    <row r="32" spans="1:11">
      <c r="A32" s="376" t="str">
        <f t="shared" si="0"/>
        <v/>
      </c>
      <c r="B32" s="378" t="s">
        <v>767</v>
      </c>
      <c r="C32" s="380" t="s">
        <v>463</v>
      </c>
      <c r="D32" s="380" t="str">
        <f>'[5]COM COMFR'!D32</f>
        <v>CEH</v>
      </c>
      <c r="E32" s="380" t="s">
        <v>463</v>
      </c>
      <c r="F32" s="380" t="s">
        <v>463</v>
      </c>
      <c r="G32" s="380" t="str">
        <f>'[5]COM COMFR'!G32</f>
        <v>s1d1b3</v>
      </c>
      <c r="H32" s="380" t="s">
        <v>463</v>
      </c>
      <c r="I32" s="379">
        <v>0</v>
      </c>
      <c r="J32" s="380">
        <f>'[5]COM COMFR'!J32</f>
        <v>3.56E-2</v>
      </c>
      <c r="K32" s="383"/>
    </row>
    <row r="33" spans="1:11">
      <c r="A33" s="376" t="str">
        <f t="shared" si="0"/>
        <v/>
      </c>
      <c r="B33" s="378" t="s">
        <v>767</v>
      </c>
      <c r="C33" s="380" t="s">
        <v>463</v>
      </c>
      <c r="D33" s="380" t="str">
        <f>'[5]COM COMFR'!D33</f>
        <v>CEH</v>
      </c>
      <c r="E33" s="380" t="s">
        <v>463</v>
      </c>
      <c r="F33" s="380" t="s">
        <v>463</v>
      </c>
      <c r="G33" s="380" t="str">
        <f>'[5]COM COMFR'!G33</f>
        <v>s1d2b1</v>
      </c>
      <c r="H33" s="380" t="s">
        <v>463</v>
      </c>
      <c r="I33" s="379">
        <v>0</v>
      </c>
      <c r="J33" s="380">
        <f>'[5]COM COMFR'!J33</f>
        <v>2.283E-2</v>
      </c>
      <c r="K33" s="383"/>
    </row>
    <row r="34" spans="1:11">
      <c r="A34" s="376" t="str">
        <f t="shared" si="0"/>
        <v/>
      </c>
      <c r="B34" s="378" t="s">
        <v>767</v>
      </c>
      <c r="C34" s="380" t="s">
        <v>463</v>
      </c>
      <c r="D34" s="380" t="str">
        <f>'[5]COM COMFR'!D34</f>
        <v>CEH</v>
      </c>
      <c r="E34" s="380" t="s">
        <v>463</v>
      </c>
      <c r="F34" s="380" t="s">
        <v>463</v>
      </c>
      <c r="G34" s="380" t="str">
        <f>'[5]COM COMFR'!G34</f>
        <v>s1d2b2</v>
      </c>
      <c r="H34" s="380" t="s">
        <v>463</v>
      </c>
      <c r="I34" s="379">
        <v>0</v>
      </c>
      <c r="J34" s="380">
        <f>'[5]COM COMFR'!J34</f>
        <v>3.8920000000000003E-2</v>
      </c>
      <c r="K34" s="383"/>
    </row>
    <row r="35" spans="1:11">
      <c r="A35" s="376" t="str">
        <f t="shared" si="0"/>
        <v/>
      </c>
      <c r="B35" s="378" t="s">
        <v>767</v>
      </c>
      <c r="C35" s="380" t="s">
        <v>463</v>
      </c>
      <c r="D35" s="380" t="str">
        <f>'[5]COM COMFR'!D35</f>
        <v>CEH</v>
      </c>
      <c r="E35" s="380" t="s">
        <v>463</v>
      </c>
      <c r="F35" s="380" t="s">
        <v>463</v>
      </c>
      <c r="G35" s="380" t="str">
        <f>'[5]COM COMFR'!G35</f>
        <v>s1d2b3</v>
      </c>
      <c r="H35" s="380" t="s">
        <v>463</v>
      </c>
      <c r="I35" s="379">
        <v>0</v>
      </c>
      <c r="J35" s="380">
        <f>'[5]COM COMFR'!J35</f>
        <v>1.5270000000000001E-2</v>
      </c>
      <c r="K35" s="383"/>
    </row>
    <row r="36" spans="1:11">
      <c r="A36" s="376" t="str">
        <f t="shared" si="0"/>
        <v/>
      </c>
      <c r="B36" s="378" t="s">
        <v>767</v>
      </c>
      <c r="C36" s="380" t="s">
        <v>463</v>
      </c>
      <c r="D36" s="380" t="str">
        <f>'[5]COM COMFR'!D36</f>
        <v>CEH</v>
      </c>
      <c r="E36" s="380" t="s">
        <v>463</v>
      </c>
      <c r="F36" s="380" t="s">
        <v>463</v>
      </c>
      <c r="G36" s="380" t="str">
        <f>'[5]COM COMFR'!G36</f>
        <v>s2d1b1</v>
      </c>
      <c r="H36" s="380" t="s">
        <v>463</v>
      </c>
      <c r="I36" s="379">
        <v>0</v>
      </c>
      <c r="J36" s="380">
        <f>'[5]COM COMFR'!J36</f>
        <v>8.1710000000000005E-2</v>
      </c>
      <c r="K36" s="383"/>
    </row>
    <row r="37" spans="1:11">
      <c r="A37" s="376" t="str">
        <f t="shared" si="0"/>
        <v/>
      </c>
      <c r="B37" s="378" t="s">
        <v>767</v>
      </c>
      <c r="C37" s="380" t="s">
        <v>463</v>
      </c>
      <c r="D37" s="380" t="str">
        <f>'[5]COM COMFR'!D37</f>
        <v>CEH</v>
      </c>
      <c r="E37" s="380" t="s">
        <v>463</v>
      </c>
      <c r="F37" s="380" t="s">
        <v>463</v>
      </c>
      <c r="G37" s="380" t="str">
        <f>'[5]COM COMFR'!G37</f>
        <v>s2d1b2</v>
      </c>
      <c r="H37" s="380" t="s">
        <v>463</v>
      </c>
      <c r="I37" s="379">
        <v>0</v>
      </c>
      <c r="J37" s="380">
        <f>'[5]COM COMFR'!J37</f>
        <v>3.6339999999999997E-2</v>
      </c>
    </row>
    <row r="38" spans="1:11">
      <c r="A38" s="376" t="str">
        <f t="shared" si="0"/>
        <v/>
      </c>
      <c r="B38" s="378" t="s">
        <v>767</v>
      </c>
      <c r="C38" s="380" t="s">
        <v>463</v>
      </c>
      <c r="D38" s="380" t="str">
        <f>'[5]COM COMFR'!D38</f>
        <v>CEH</v>
      </c>
      <c r="E38" s="380" t="s">
        <v>463</v>
      </c>
      <c r="F38" s="380" t="s">
        <v>463</v>
      </c>
      <c r="G38" s="380" t="str">
        <f>'[5]COM COMFR'!G38</f>
        <v>s2d1b3</v>
      </c>
      <c r="H38" s="380" t="s">
        <v>463</v>
      </c>
      <c r="I38" s="379">
        <v>0</v>
      </c>
      <c r="J38" s="380">
        <f>'[5]COM COMFR'!J38</f>
        <v>0.12713999999999995</v>
      </c>
    </row>
    <row r="39" spans="1:11">
      <c r="A39" s="376" t="str">
        <f t="shared" si="0"/>
        <v/>
      </c>
      <c r="B39" s="378" t="s">
        <v>767</v>
      </c>
      <c r="C39" s="380" t="s">
        <v>463</v>
      </c>
      <c r="D39" s="380" t="str">
        <f>'[5]COM COMFR'!D39</f>
        <v>CEH</v>
      </c>
      <c r="E39" s="380" t="s">
        <v>463</v>
      </c>
      <c r="F39" s="380" t="s">
        <v>463</v>
      </c>
      <c r="G39" s="380" t="str">
        <f>'[5]COM COMFR'!G39</f>
        <v>s2d1b4</v>
      </c>
      <c r="H39" s="380" t="s">
        <v>463</v>
      </c>
      <c r="I39" s="379">
        <v>0</v>
      </c>
      <c r="J39" s="380">
        <f>'[5]COM COMFR'!J39</f>
        <v>4.9250000000000002E-2</v>
      </c>
    </row>
    <row r="40" spans="1:11">
      <c r="A40" s="376" t="str">
        <f t="shared" si="0"/>
        <v/>
      </c>
      <c r="B40" s="378" t="s">
        <v>767</v>
      </c>
      <c r="C40" s="380" t="s">
        <v>463</v>
      </c>
      <c r="D40" s="380" t="str">
        <f>'[5]COM COMFR'!D40</f>
        <v>CEH</v>
      </c>
      <c r="E40" s="380" t="s">
        <v>463</v>
      </c>
      <c r="F40" s="380" t="s">
        <v>463</v>
      </c>
      <c r="G40" s="380" t="str">
        <f>'[5]COM COMFR'!G40</f>
        <v>s2d1b5</v>
      </c>
      <c r="H40" s="380" t="s">
        <v>463</v>
      </c>
      <c r="I40" s="379">
        <v>0</v>
      </c>
      <c r="J40" s="380">
        <f>'[5]COM COMFR'!J40</f>
        <v>2.435E-2</v>
      </c>
    </row>
    <row r="41" spans="1:11">
      <c r="A41" s="376" t="str">
        <f t="shared" si="0"/>
        <v/>
      </c>
      <c r="B41" s="378" t="s">
        <v>767</v>
      </c>
      <c r="C41" s="380" t="s">
        <v>463</v>
      </c>
      <c r="D41" s="380" t="str">
        <f>'[5]COM COMFR'!D41</f>
        <v>CEH</v>
      </c>
      <c r="E41" s="380" t="s">
        <v>463</v>
      </c>
      <c r="F41" s="380" t="s">
        <v>463</v>
      </c>
      <c r="G41" s="380" t="str">
        <f>'[5]COM COMFR'!G41</f>
        <v>s2d2b1</v>
      </c>
      <c r="H41" s="380" t="s">
        <v>463</v>
      </c>
      <c r="I41" s="379">
        <v>0</v>
      </c>
      <c r="J41" s="380">
        <f>'[5]COM COMFR'!J41</f>
        <v>4.0649999999999999E-2</v>
      </c>
    </row>
    <row r="42" spans="1:11">
      <c r="A42" s="376" t="str">
        <f t="shared" si="0"/>
        <v/>
      </c>
      <c r="B42" s="378" t="s">
        <v>767</v>
      </c>
      <c r="C42" s="380" t="s">
        <v>463</v>
      </c>
      <c r="D42" s="380" t="str">
        <f>'[5]COM COMFR'!D42</f>
        <v>CEH</v>
      </c>
      <c r="E42" s="380" t="s">
        <v>463</v>
      </c>
      <c r="F42" s="380" t="s">
        <v>463</v>
      </c>
      <c r="G42" s="380" t="str">
        <f>'[5]COM COMFR'!G42</f>
        <v>s2d2b2</v>
      </c>
      <c r="H42" s="380" t="s">
        <v>463</v>
      </c>
      <c r="I42" s="379">
        <v>0</v>
      </c>
      <c r="J42" s="380">
        <f>'[5]COM COMFR'!J42</f>
        <v>6.93E-2</v>
      </c>
    </row>
    <row r="43" spans="1:11">
      <c r="A43" s="376" t="str">
        <f t="shared" si="0"/>
        <v/>
      </c>
      <c r="B43" s="378" t="s">
        <v>767</v>
      </c>
      <c r="C43" s="380" t="s">
        <v>463</v>
      </c>
      <c r="D43" s="380" t="str">
        <f>'[5]COM COMFR'!D43</f>
        <v>CEH</v>
      </c>
      <c r="E43" s="380" t="s">
        <v>463</v>
      </c>
      <c r="F43" s="380" t="s">
        <v>463</v>
      </c>
      <c r="G43" s="380" t="str">
        <f>'[5]COM COMFR'!G43</f>
        <v>s2d2b3</v>
      </c>
      <c r="H43" s="380" t="s">
        <v>463</v>
      </c>
      <c r="I43" s="379">
        <v>0</v>
      </c>
      <c r="J43" s="380">
        <f>'[5]COM COMFR'!J43</f>
        <v>2.7189999999999999E-2</v>
      </c>
    </row>
    <row r="44" spans="1:11">
      <c r="A44" s="376" t="str">
        <f t="shared" si="0"/>
        <v/>
      </c>
      <c r="B44" s="378" t="s">
        <v>767</v>
      </c>
      <c r="C44" s="380" t="s">
        <v>463</v>
      </c>
      <c r="D44" s="380" t="str">
        <f>'[5]COM COMFR'!D44</f>
        <v>CEH</v>
      </c>
      <c r="E44" s="380" t="s">
        <v>463</v>
      </c>
      <c r="F44" s="380" t="s">
        <v>463</v>
      </c>
      <c r="G44" s="380" t="str">
        <f>'[5]COM COMFR'!G44</f>
        <v>s3d1b1</v>
      </c>
      <c r="H44" s="380" t="s">
        <v>463</v>
      </c>
      <c r="I44" s="379">
        <v>0</v>
      </c>
      <c r="J44" s="380">
        <f>'[5]COM COMFR'!J44</f>
        <v>6.1210000000000001E-2</v>
      </c>
    </row>
    <row r="45" spans="1:11">
      <c r="A45" s="376" t="str">
        <f t="shared" si="0"/>
        <v/>
      </c>
      <c r="B45" s="378" t="s">
        <v>767</v>
      </c>
      <c r="C45" s="380" t="s">
        <v>463</v>
      </c>
      <c r="D45" s="380" t="str">
        <f>'[5]COM COMFR'!D45</f>
        <v>CEH</v>
      </c>
      <c r="E45" s="380" t="s">
        <v>463</v>
      </c>
      <c r="F45" s="380" t="s">
        <v>463</v>
      </c>
      <c r="G45" s="380" t="str">
        <f>'[5]COM COMFR'!G45</f>
        <v>s3d1b2</v>
      </c>
      <c r="H45" s="380" t="s">
        <v>463</v>
      </c>
      <c r="I45" s="379">
        <v>0</v>
      </c>
      <c r="J45" s="380">
        <f>'[5]COM COMFR'!J45</f>
        <v>0.10437</v>
      </c>
    </row>
    <row r="46" spans="1:11">
      <c r="A46" s="376" t="str">
        <f t="shared" si="0"/>
        <v/>
      </c>
      <c r="B46" s="378" t="s">
        <v>767</v>
      </c>
      <c r="C46" s="380" t="s">
        <v>463</v>
      </c>
      <c r="D46" s="380" t="str">
        <f>'[5]COM COMFR'!D46</f>
        <v>CEH</v>
      </c>
      <c r="E46" s="380" t="s">
        <v>463</v>
      </c>
      <c r="F46" s="380" t="s">
        <v>463</v>
      </c>
      <c r="G46" s="380" t="str">
        <f>'[5]COM COMFR'!G46</f>
        <v>s3d1b3</v>
      </c>
      <c r="H46" s="380" t="s">
        <v>463</v>
      </c>
      <c r="I46" s="379">
        <v>0</v>
      </c>
      <c r="J46" s="380">
        <f>'[5]COM COMFR'!J46</f>
        <v>4.095E-2</v>
      </c>
    </row>
    <row r="47" spans="1:11">
      <c r="A47" s="376" t="str">
        <f t="shared" si="0"/>
        <v/>
      </c>
      <c r="B47" s="378" t="s">
        <v>767</v>
      </c>
      <c r="C47" s="380" t="s">
        <v>463</v>
      </c>
      <c r="D47" s="380" t="str">
        <f>'[5]COM COMFR'!D47</f>
        <v>CEH</v>
      </c>
      <c r="E47" s="380" t="s">
        <v>463</v>
      </c>
      <c r="F47" s="380" t="s">
        <v>463</v>
      </c>
      <c r="G47" s="380" t="str">
        <f>'[5]COM COMFR'!G47</f>
        <v>s3d2b1</v>
      </c>
      <c r="H47" s="380" t="s">
        <v>463</v>
      </c>
      <c r="I47" s="379">
        <v>0</v>
      </c>
      <c r="J47" s="380">
        <f>'[5]COM COMFR'!J47</f>
        <v>2.4E-2</v>
      </c>
    </row>
    <row r="48" spans="1:11">
      <c r="A48" s="376" t="str">
        <f t="shared" si="0"/>
        <v/>
      </c>
      <c r="B48" s="378" t="s">
        <v>767</v>
      </c>
      <c r="C48" s="380" t="s">
        <v>463</v>
      </c>
      <c r="D48" s="380" t="str">
        <f>'[5]COM COMFR'!D48</f>
        <v>CEH</v>
      </c>
      <c r="E48" s="380" t="s">
        <v>463</v>
      </c>
      <c r="F48" s="380" t="s">
        <v>463</v>
      </c>
      <c r="G48" s="380" t="str">
        <f>'[5]COM COMFR'!G48</f>
        <v>s3d2b2</v>
      </c>
      <c r="H48" s="380" t="s">
        <v>463</v>
      </c>
      <c r="I48" s="379">
        <v>0</v>
      </c>
      <c r="J48" s="380">
        <f>'[5]COM COMFR'!J48</f>
        <v>4.0919999999999998E-2</v>
      </c>
    </row>
    <row r="49" spans="1:10">
      <c r="A49" s="376" t="str">
        <f t="shared" si="0"/>
        <v/>
      </c>
      <c r="B49" s="378" t="s">
        <v>767</v>
      </c>
      <c r="C49" s="380" t="s">
        <v>463</v>
      </c>
      <c r="D49" s="380" t="str">
        <f>'[5]COM COMFR'!D49</f>
        <v>CEH</v>
      </c>
      <c r="E49" s="380" t="s">
        <v>463</v>
      </c>
      <c r="F49" s="380" t="s">
        <v>463</v>
      </c>
      <c r="G49" s="380" t="str">
        <f>'[5]COM COMFR'!G49</f>
        <v>s3d2b3</v>
      </c>
      <c r="H49" s="380" t="s">
        <v>463</v>
      </c>
      <c r="I49" s="379">
        <v>0</v>
      </c>
      <c r="J49" s="380">
        <f>'[5]COM COMFR'!J49</f>
        <v>1.6060000000000001E-2</v>
      </c>
    </row>
    <row r="50" spans="1:10">
      <c r="B50" s="378" t="s">
        <v>767</v>
      </c>
      <c r="C50" s="380" t="s">
        <v>463</v>
      </c>
      <c r="D50" s="380" t="str">
        <f>'[5]COM COMFR'!D50</f>
        <v>CEK</v>
      </c>
      <c r="E50" s="380" t="s">
        <v>463</v>
      </c>
      <c r="F50" s="380" t="s">
        <v>463</v>
      </c>
      <c r="G50" s="380" t="str">
        <f>'[5]COM COMFR'!G50</f>
        <v>s1d1b1</v>
      </c>
      <c r="H50" s="380" t="s">
        <v>463</v>
      </c>
      <c r="I50" s="379">
        <v>0</v>
      </c>
      <c r="J50" s="380">
        <f>'[5]COM COMFR'!J50</f>
        <v>6.2289999999999998E-2</v>
      </c>
    </row>
    <row r="51" spans="1:10">
      <c r="B51" s="378" t="s">
        <v>767</v>
      </c>
      <c r="C51" s="380" t="s">
        <v>463</v>
      </c>
      <c r="D51" s="380" t="str">
        <f>'[5]COM COMFR'!D51</f>
        <v>CEK</v>
      </c>
      <c r="E51" s="380" t="s">
        <v>463</v>
      </c>
      <c r="F51" s="380" t="s">
        <v>463</v>
      </c>
      <c r="G51" s="380" t="str">
        <f>'[5]COM COMFR'!G51</f>
        <v>s1d1b2</v>
      </c>
      <c r="H51" s="380" t="s">
        <v>463</v>
      </c>
      <c r="I51" s="379">
        <v>0</v>
      </c>
      <c r="J51" s="380">
        <f>'[5]COM COMFR'!J51</f>
        <v>0.14138999999999996</v>
      </c>
    </row>
    <row r="52" spans="1:10">
      <c r="B52" s="378" t="s">
        <v>767</v>
      </c>
      <c r="C52" s="380" t="s">
        <v>463</v>
      </c>
      <c r="D52" s="380" t="str">
        <f>'[5]COM COMFR'!D52</f>
        <v>CEK</v>
      </c>
      <c r="E52" s="380" t="s">
        <v>463</v>
      </c>
      <c r="F52" s="380" t="s">
        <v>463</v>
      </c>
      <c r="G52" s="380" t="str">
        <f>'[5]COM COMFR'!G52</f>
        <v>s1d1b3</v>
      </c>
      <c r="H52" s="380" t="s">
        <v>463</v>
      </c>
      <c r="I52" s="379">
        <v>0</v>
      </c>
      <c r="J52" s="380">
        <f>'[5]COM COMFR'!J52</f>
        <v>4.5839999999999999E-2</v>
      </c>
    </row>
    <row r="53" spans="1:10">
      <c r="B53" s="378" t="s">
        <v>767</v>
      </c>
      <c r="C53" s="380" t="s">
        <v>463</v>
      </c>
      <c r="D53" s="380" t="str">
        <f>'[5]COM COMFR'!D53</f>
        <v>CEK</v>
      </c>
      <c r="E53" s="380" t="s">
        <v>463</v>
      </c>
      <c r="F53" s="380" t="s">
        <v>463</v>
      </c>
      <c r="G53" s="380" t="str">
        <f>'[5]COM COMFR'!G53</f>
        <v>s1d2b1</v>
      </c>
      <c r="H53" s="380" t="s">
        <v>463</v>
      </c>
      <c r="I53" s="379">
        <v>0</v>
      </c>
      <c r="J53" s="380">
        <f>'[5]COM COMFR'!J53</f>
        <v>3.3450000000000001E-2</v>
      </c>
    </row>
    <row r="54" spans="1:10">
      <c r="B54" s="378" t="s">
        <v>767</v>
      </c>
      <c r="C54" s="380" t="s">
        <v>463</v>
      </c>
      <c r="D54" s="380" t="str">
        <f>'[5]COM COMFR'!D54</f>
        <v>CEK</v>
      </c>
      <c r="E54" s="380" t="s">
        <v>463</v>
      </c>
      <c r="F54" s="380" t="s">
        <v>463</v>
      </c>
      <c r="G54" s="380" t="str">
        <f>'[5]COM COMFR'!G54</f>
        <v>s1d2b2</v>
      </c>
      <c r="H54" s="380" t="s">
        <v>463</v>
      </c>
      <c r="I54" s="379">
        <v>0</v>
      </c>
      <c r="J54" s="380">
        <f>'[5]COM COMFR'!J54</f>
        <v>5.4149999999999997E-2</v>
      </c>
    </row>
    <row r="55" spans="1:10">
      <c r="B55" s="378" t="s">
        <v>767</v>
      </c>
      <c r="C55" s="380" t="s">
        <v>463</v>
      </c>
      <c r="D55" s="380" t="str">
        <f>'[5]COM COMFR'!D55</f>
        <v>CEK</v>
      </c>
      <c r="E55" s="380" t="s">
        <v>463</v>
      </c>
      <c r="F55" s="380" t="s">
        <v>463</v>
      </c>
      <c r="G55" s="380" t="str">
        <f>'[5]COM COMFR'!G55</f>
        <v>s1d2b3</v>
      </c>
      <c r="H55" s="380" t="s">
        <v>463</v>
      </c>
      <c r="I55" s="379">
        <v>0</v>
      </c>
      <c r="J55" s="380">
        <f>'[5]COM COMFR'!J55</f>
        <v>1.9429999999999999E-2</v>
      </c>
    </row>
    <row r="56" spans="1:10">
      <c r="B56" s="378" t="s">
        <v>767</v>
      </c>
      <c r="C56" s="380" t="s">
        <v>463</v>
      </c>
      <c r="D56" s="380" t="str">
        <f>'[5]COM COMFR'!D56</f>
        <v>CEK</v>
      </c>
      <c r="E56" s="380" t="s">
        <v>463</v>
      </c>
      <c r="F56" s="380" t="s">
        <v>463</v>
      </c>
      <c r="G56" s="380" t="str">
        <f>'[5]COM COMFR'!G56</f>
        <v>s2d1b1</v>
      </c>
      <c r="H56" s="380" t="s">
        <v>463</v>
      </c>
      <c r="I56" s="379">
        <v>0</v>
      </c>
      <c r="J56" s="380">
        <f>'[5]COM COMFR'!J56</f>
        <v>5.1119999999999999E-2</v>
      </c>
    </row>
    <row r="57" spans="1:10">
      <c r="B57" s="378" t="s">
        <v>767</v>
      </c>
      <c r="C57" s="380" t="s">
        <v>463</v>
      </c>
      <c r="D57" s="380" t="str">
        <f>'[5]COM COMFR'!D57</f>
        <v>CEK</v>
      </c>
      <c r="E57" s="380" t="s">
        <v>463</v>
      </c>
      <c r="F57" s="380" t="s">
        <v>463</v>
      </c>
      <c r="G57" s="380" t="str">
        <f>'[5]COM COMFR'!G57</f>
        <v>s2d1b2</v>
      </c>
      <c r="H57" s="380" t="s">
        <v>463</v>
      </c>
      <c r="I57" s="379">
        <v>0</v>
      </c>
      <c r="J57" s="380">
        <f>'[5]COM COMFR'!J57</f>
        <v>2.913E-2</v>
      </c>
    </row>
    <row r="58" spans="1:10">
      <c r="B58" s="378" t="s">
        <v>767</v>
      </c>
      <c r="C58" s="380" t="s">
        <v>463</v>
      </c>
      <c r="D58" s="380" t="str">
        <f>'[5]COM COMFR'!D58</f>
        <v>CEK</v>
      </c>
      <c r="E58" s="380" t="s">
        <v>463</v>
      </c>
      <c r="F58" s="380" t="s">
        <v>463</v>
      </c>
      <c r="G58" s="380" t="str">
        <f>'[5]COM COMFR'!G58</f>
        <v>s2d1b3</v>
      </c>
      <c r="H58" s="380" t="s">
        <v>463</v>
      </c>
      <c r="I58" s="379">
        <v>0</v>
      </c>
      <c r="J58" s="380">
        <f>'[5]COM COMFR'!J58</f>
        <v>8.9179999999999995E-2</v>
      </c>
    </row>
    <row r="59" spans="1:10">
      <c r="B59" s="378" t="s">
        <v>767</v>
      </c>
      <c r="C59" s="380" t="s">
        <v>463</v>
      </c>
      <c r="D59" s="380" t="str">
        <f>'[5]COM COMFR'!D59</f>
        <v>CEK</v>
      </c>
      <c r="E59" s="380" t="s">
        <v>463</v>
      </c>
      <c r="F59" s="380" t="s">
        <v>463</v>
      </c>
      <c r="G59" s="380" t="str">
        <f>'[5]COM COMFR'!G59</f>
        <v>s2d1b4</v>
      </c>
      <c r="H59" s="380" t="s">
        <v>463</v>
      </c>
      <c r="I59" s="379">
        <v>0</v>
      </c>
      <c r="J59" s="380">
        <f>'[5]COM COMFR'!J59</f>
        <v>3.134E-2</v>
      </c>
    </row>
    <row r="60" spans="1:10">
      <c r="B60" s="378" t="s">
        <v>767</v>
      </c>
      <c r="C60" s="380" t="s">
        <v>463</v>
      </c>
      <c r="D60" s="380" t="str">
        <f>'[5]COM COMFR'!D60</f>
        <v>CEK</v>
      </c>
      <c r="E60" s="380" t="s">
        <v>463</v>
      </c>
      <c r="F60" s="380" t="s">
        <v>463</v>
      </c>
      <c r="G60" s="380" t="str">
        <f>'[5]COM COMFR'!G60</f>
        <v>s2d1b5</v>
      </c>
      <c r="H60" s="380" t="s">
        <v>463</v>
      </c>
      <c r="I60" s="379">
        <v>0</v>
      </c>
      <c r="J60" s="380">
        <f>'[5]COM COMFR'!J60</f>
        <v>1.316E-2</v>
      </c>
    </row>
    <row r="61" spans="1:10">
      <c r="B61" s="378" t="s">
        <v>767</v>
      </c>
      <c r="C61" s="380" t="s">
        <v>463</v>
      </c>
      <c r="D61" s="380" t="str">
        <f>'[5]COM COMFR'!D61</f>
        <v>CEK</v>
      </c>
      <c r="E61" s="380" t="s">
        <v>463</v>
      </c>
      <c r="F61" s="380" t="s">
        <v>463</v>
      </c>
      <c r="G61" s="380" t="str">
        <f>'[5]COM COMFR'!G61</f>
        <v>s2d2b1</v>
      </c>
      <c r="H61" s="380" t="s">
        <v>463</v>
      </c>
      <c r="I61" s="379">
        <v>0</v>
      </c>
      <c r="J61" s="380">
        <f>'[5]COM COMFR'!J61</f>
        <v>2.8809999999999999E-2</v>
      </c>
    </row>
    <row r="62" spans="1:10">
      <c r="B62" s="378" t="s">
        <v>767</v>
      </c>
      <c r="C62" s="380" t="s">
        <v>463</v>
      </c>
      <c r="D62" s="380" t="str">
        <f>'[5]COM COMFR'!D62</f>
        <v>CEK</v>
      </c>
      <c r="E62" s="380" t="s">
        <v>463</v>
      </c>
      <c r="F62" s="380" t="s">
        <v>463</v>
      </c>
      <c r="G62" s="380" t="str">
        <f>'[5]COM COMFR'!G62</f>
        <v>s2d2b2</v>
      </c>
      <c r="H62" s="380" t="s">
        <v>463</v>
      </c>
      <c r="I62" s="379">
        <v>0</v>
      </c>
      <c r="J62" s="380">
        <f>'[5]COM COMFR'!J62</f>
        <v>4.6559999999999997E-2</v>
      </c>
    </row>
    <row r="63" spans="1:10">
      <c r="B63" s="378" t="s">
        <v>767</v>
      </c>
      <c r="C63" s="380" t="s">
        <v>463</v>
      </c>
      <c r="D63" s="380" t="str">
        <f>'[5]COM COMFR'!D63</f>
        <v>CEK</v>
      </c>
      <c r="E63" s="380" t="s">
        <v>463</v>
      </c>
      <c r="F63" s="380" t="s">
        <v>463</v>
      </c>
      <c r="G63" s="380" t="str">
        <f>'[5]COM COMFR'!G63</f>
        <v>s2d2b3</v>
      </c>
      <c r="H63" s="380" t="s">
        <v>463</v>
      </c>
      <c r="I63" s="379">
        <v>0</v>
      </c>
      <c r="J63" s="380">
        <f>'[5]COM COMFR'!J63</f>
        <v>1.6650000000000002E-2</v>
      </c>
    </row>
    <row r="64" spans="1:10">
      <c r="B64" s="378" t="s">
        <v>767</v>
      </c>
      <c r="C64" s="380" t="s">
        <v>463</v>
      </c>
      <c r="D64" s="380" t="str">
        <f>'[5]COM COMFR'!D64</f>
        <v>CEK</v>
      </c>
      <c r="E64" s="380" t="s">
        <v>463</v>
      </c>
      <c r="F64" s="380" t="s">
        <v>463</v>
      </c>
      <c r="G64" s="380" t="str">
        <f>'[5]COM COMFR'!G64</f>
        <v>s3d1b1</v>
      </c>
      <c r="H64" s="380" t="s">
        <v>463</v>
      </c>
      <c r="I64" s="379">
        <v>0</v>
      </c>
      <c r="J64" s="380">
        <f>'[5]COM COMFR'!J64</f>
        <v>6.6210000000000005E-2</v>
      </c>
    </row>
    <row r="65" spans="2:10">
      <c r="B65" s="378" t="s">
        <v>767</v>
      </c>
      <c r="C65" s="380" t="s">
        <v>463</v>
      </c>
      <c r="D65" s="380" t="str">
        <f>'[5]COM COMFR'!D65</f>
        <v>CEK</v>
      </c>
      <c r="E65" s="380" t="s">
        <v>463</v>
      </c>
      <c r="F65" s="380" t="s">
        <v>463</v>
      </c>
      <c r="G65" s="380" t="str">
        <f>'[5]COM COMFR'!G65</f>
        <v>s3d1b2</v>
      </c>
      <c r="H65" s="380" t="s">
        <v>463</v>
      </c>
      <c r="I65" s="379">
        <v>0</v>
      </c>
      <c r="J65" s="380">
        <f>'[5]COM COMFR'!J65</f>
        <v>0.13169</v>
      </c>
    </row>
    <row r="66" spans="2:10">
      <c r="B66" s="378" t="s">
        <v>767</v>
      </c>
      <c r="C66" s="380" t="s">
        <v>463</v>
      </c>
      <c r="D66" s="380" t="str">
        <f>'[5]COM COMFR'!D66</f>
        <v>CEK</v>
      </c>
      <c r="E66" s="380" t="s">
        <v>463</v>
      </c>
      <c r="F66" s="380" t="s">
        <v>463</v>
      </c>
      <c r="G66" s="380" t="str">
        <f>'[5]COM COMFR'!G66</f>
        <v>s3d1b3</v>
      </c>
      <c r="H66" s="380" t="s">
        <v>463</v>
      </c>
      <c r="I66" s="379">
        <v>0</v>
      </c>
      <c r="J66" s="380">
        <f>'[5]COM COMFR'!J66</f>
        <v>4.4540000000000003E-2</v>
      </c>
    </row>
    <row r="67" spans="2:10">
      <c r="B67" s="378" t="s">
        <v>767</v>
      </c>
      <c r="C67" s="380" t="s">
        <v>463</v>
      </c>
      <c r="D67" s="380" t="str">
        <f>'[5]COM COMFR'!D67</f>
        <v>CEK</v>
      </c>
      <c r="E67" s="380" t="s">
        <v>463</v>
      </c>
      <c r="F67" s="380" t="s">
        <v>463</v>
      </c>
      <c r="G67" s="380" t="str">
        <f>'[5]COM COMFR'!G67</f>
        <v>s3d2b1</v>
      </c>
      <c r="H67" s="380" t="s">
        <v>463</v>
      </c>
      <c r="I67" s="379">
        <v>0</v>
      </c>
      <c r="J67" s="380">
        <f>'[5]COM COMFR'!J67</f>
        <v>2.971E-2</v>
      </c>
    </row>
    <row r="68" spans="2:10">
      <c r="B68" s="378" t="s">
        <v>767</v>
      </c>
      <c r="C68" s="380" t="s">
        <v>463</v>
      </c>
      <c r="D68" s="380" t="str">
        <f>'[5]COM COMFR'!D68</f>
        <v>CEK</v>
      </c>
      <c r="E68" s="380" t="s">
        <v>463</v>
      </c>
      <c r="F68" s="380" t="s">
        <v>463</v>
      </c>
      <c r="G68" s="380" t="str">
        <f>'[5]COM COMFR'!G68</f>
        <v>s3d2b2</v>
      </c>
      <c r="H68" s="380" t="s">
        <v>463</v>
      </c>
      <c r="I68" s="379">
        <v>0</v>
      </c>
      <c r="J68" s="380">
        <f>'[5]COM COMFR'!J68</f>
        <v>4.8090000000000001E-2</v>
      </c>
    </row>
    <row r="69" spans="2:10">
      <c r="B69" s="378" t="s">
        <v>767</v>
      </c>
      <c r="C69" s="380" t="s">
        <v>463</v>
      </c>
      <c r="D69" s="380" t="str">
        <f>'[5]COM COMFR'!D69</f>
        <v>CEK</v>
      </c>
      <c r="E69" s="380" t="s">
        <v>463</v>
      </c>
      <c r="F69" s="380" t="s">
        <v>463</v>
      </c>
      <c r="G69" s="380" t="str">
        <f>'[5]COM COMFR'!G69</f>
        <v>s3d2b3</v>
      </c>
      <c r="H69" s="380" t="s">
        <v>463</v>
      </c>
      <c r="I69" s="379">
        <v>0</v>
      </c>
      <c r="J69" s="380">
        <f>'[5]COM COMFR'!J69</f>
        <v>1.7260000000000001E-2</v>
      </c>
    </row>
    <row r="70" spans="2:10">
      <c r="B70" s="378" t="s">
        <v>767</v>
      </c>
      <c r="C70" s="380" t="s">
        <v>463</v>
      </c>
      <c r="D70" s="380" t="str">
        <f>'[5]COM COMFR'!D70</f>
        <v>CEL</v>
      </c>
      <c r="E70" s="380" t="s">
        <v>463</v>
      </c>
      <c r="F70" s="380" t="s">
        <v>463</v>
      </c>
      <c r="G70" s="380" t="str">
        <f>'[5]COM COMFR'!G70</f>
        <v>s1d1b1</v>
      </c>
      <c r="H70" s="380" t="s">
        <v>463</v>
      </c>
      <c r="I70" s="379">
        <v>0</v>
      </c>
      <c r="J70" s="380">
        <f>'[5]COM COMFR'!J70</f>
        <v>6.6949999999999996E-2</v>
      </c>
    </row>
    <row r="71" spans="2:10">
      <c r="B71" s="378" t="s">
        <v>767</v>
      </c>
      <c r="C71" s="380" t="s">
        <v>463</v>
      </c>
      <c r="D71" s="380" t="str">
        <f>'[5]COM COMFR'!D71</f>
        <v>CEL</v>
      </c>
      <c r="E71" s="380" t="s">
        <v>463</v>
      </c>
      <c r="F71" s="380" t="s">
        <v>463</v>
      </c>
      <c r="G71" s="380" t="str">
        <f>'[5]COM COMFR'!G71</f>
        <v>s1d1b2</v>
      </c>
      <c r="H71" s="380" t="s">
        <v>463</v>
      </c>
      <c r="I71" s="379">
        <v>0</v>
      </c>
      <c r="J71" s="380">
        <f>'[5]COM COMFR'!J71</f>
        <v>0.12967000000000001</v>
      </c>
    </row>
    <row r="72" spans="2:10">
      <c r="B72" s="378" t="s">
        <v>767</v>
      </c>
      <c r="C72" s="380" t="s">
        <v>463</v>
      </c>
      <c r="D72" s="380" t="str">
        <f>'[5]COM COMFR'!D72</f>
        <v>CEL</v>
      </c>
      <c r="E72" s="380" t="s">
        <v>463</v>
      </c>
      <c r="F72" s="380" t="s">
        <v>463</v>
      </c>
      <c r="G72" s="380" t="str">
        <f>'[5]COM COMFR'!G72</f>
        <v>s1d1b3</v>
      </c>
      <c r="H72" s="380" t="s">
        <v>463</v>
      </c>
      <c r="I72" s="379">
        <v>0</v>
      </c>
      <c r="J72" s="380">
        <f>'[5]COM COMFR'!J72</f>
        <v>5.2900000000000003E-2</v>
      </c>
    </row>
    <row r="73" spans="2:10">
      <c r="B73" s="378" t="s">
        <v>767</v>
      </c>
      <c r="C73" s="380" t="s">
        <v>463</v>
      </c>
      <c r="D73" s="380" t="str">
        <f>'[5]COM COMFR'!D73</f>
        <v>CEL</v>
      </c>
      <c r="E73" s="380" t="s">
        <v>463</v>
      </c>
      <c r="F73" s="380" t="s">
        <v>463</v>
      </c>
      <c r="G73" s="380" t="str">
        <f>'[5]COM COMFR'!G73</f>
        <v>s1d2b1</v>
      </c>
      <c r="H73" s="380" t="s">
        <v>463</v>
      </c>
      <c r="I73" s="379">
        <v>0</v>
      </c>
      <c r="J73" s="380">
        <f>'[5]COM COMFR'!J73</f>
        <v>3.449E-2</v>
      </c>
    </row>
    <row r="74" spans="2:10">
      <c r="B74" s="378" t="s">
        <v>767</v>
      </c>
      <c r="C74" s="380" t="s">
        <v>463</v>
      </c>
      <c r="D74" s="380" t="str">
        <f>'[5]COM COMFR'!D74</f>
        <v>CEL</v>
      </c>
      <c r="E74" s="380" t="s">
        <v>463</v>
      </c>
      <c r="F74" s="380" t="s">
        <v>463</v>
      </c>
      <c r="G74" s="380" t="str">
        <f>'[5]COM COMFR'!G74</f>
        <v>s1d2b2</v>
      </c>
      <c r="H74" s="380" t="s">
        <v>463</v>
      </c>
      <c r="I74" s="379">
        <v>0</v>
      </c>
      <c r="J74" s="380">
        <f>'[5]COM COMFR'!J74</f>
        <v>4.9779999999999998E-2</v>
      </c>
    </row>
    <row r="75" spans="2:10">
      <c r="B75" s="378" t="s">
        <v>767</v>
      </c>
      <c r="C75" s="380" t="s">
        <v>463</v>
      </c>
      <c r="D75" s="380" t="str">
        <f>'[5]COM COMFR'!D75</f>
        <v>CEL</v>
      </c>
      <c r="E75" s="380" t="s">
        <v>463</v>
      </c>
      <c r="F75" s="380" t="s">
        <v>463</v>
      </c>
      <c r="G75" s="380" t="str">
        <f>'[5]COM COMFR'!G75</f>
        <v>s1d2b3</v>
      </c>
      <c r="H75" s="380" t="s">
        <v>463</v>
      </c>
      <c r="I75" s="379">
        <v>0</v>
      </c>
      <c r="J75" s="380">
        <f>'[5]COM COMFR'!J75</f>
        <v>2.2759999999999999E-2</v>
      </c>
    </row>
    <row r="76" spans="2:10">
      <c r="B76" s="378" t="s">
        <v>767</v>
      </c>
      <c r="C76" s="380" t="s">
        <v>463</v>
      </c>
      <c r="D76" s="380" t="str">
        <f>'[5]COM COMFR'!D76</f>
        <v>CEL</v>
      </c>
      <c r="E76" s="380" t="s">
        <v>463</v>
      </c>
      <c r="F76" s="380" t="s">
        <v>463</v>
      </c>
      <c r="G76" s="380" t="str">
        <f>'[5]COM COMFR'!G76</f>
        <v>s2d1b1</v>
      </c>
      <c r="H76" s="380" t="s">
        <v>463</v>
      </c>
      <c r="I76" s="379">
        <v>0</v>
      </c>
      <c r="J76" s="380">
        <f>'[5]COM COMFR'!J76</f>
        <v>5.3129999999999997E-2</v>
      </c>
    </row>
    <row r="77" spans="2:10">
      <c r="B77" s="378" t="s">
        <v>767</v>
      </c>
      <c r="C77" s="380" t="s">
        <v>463</v>
      </c>
      <c r="D77" s="380" t="str">
        <f>'[5]COM COMFR'!D77</f>
        <v>CEL</v>
      </c>
      <c r="E77" s="380" t="s">
        <v>463</v>
      </c>
      <c r="F77" s="380" t="s">
        <v>463</v>
      </c>
      <c r="G77" s="380" t="str">
        <f>'[5]COM COMFR'!G77</f>
        <v>s2d1b2</v>
      </c>
      <c r="H77" s="380" t="s">
        <v>463</v>
      </c>
      <c r="I77" s="379">
        <v>0</v>
      </c>
      <c r="J77" s="380">
        <f>'[5]COM COMFR'!J77</f>
        <v>5.8680000000000003E-2</v>
      </c>
    </row>
    <row r="78" spans="2:10">
      <c r="B78" s="378" t="s">
        <v>767</v>
      </c>
      <c r="C78" s="380" t="s">
        <v>463</v>
      </c>
      <c r="D78" s="380" t="str">
        <f>'[5]COM COMFR'!D78</f>
        <v>CEL</v>
      </c>
      <c r="E78" s="380" t="s">
        <v>463</v>
      </c>
      <c r="F78" s="380" t="s">
        <v>463</v>
      </c>
      <c r="G78" s="380" t="str">
        <f>'[5]COM COMFR'!G78</f>
        <v>s2d1b3</v>
      </c>
      <c r="H78" s="380" t="s">
        <v>463</v>
      </c>
      <c r="I78" s="379">
        <v>0</v>
      </c>
      <c r="J78" s="380">
        <f>'[5]COM COMFR'!J78</f>
        <v>4.8300000000000003E-2</v>
      </c>
    </row>
    <row r="79" spans="2:10">
      <c r="B79" s="378" t="s">
        <v>767</v>
      </c>
      <c r="C79" s="380" t="s">
        <v>463</v>
      </c>
      <c r="D79" s="380" t="str">
        <f>'[5]COM COMFR'!D79</f>
        <v>CEL</v>
      </c>
      <c r="E79" s="380" t="s">
        <v>463</v>
      </c>
      <c r="F79" s="380" t="s">
        <v>463</v>
      </c>
      <c r="G79" s="380" t="str">
        <f>'[5]COM COMFR'!G79</f>
        <v>s2d1b4</v>
      </c>
      <c r="H79" s="380" t="s">
        <v>463</v>
      </c>
      <c r="I79" s="379">
        <v>0</v>
      </c>
      <c r="J79" s="380">
        <f>'[5]COM COMFR'!J79</f>
        <v>2.8250000000000001E-2</v>
      </c>
    </row>
    <row r="80" spans="2:10">
      <c r="B80" s="378" t="s">
        <v>767</v>
      </c>
      <c r="C80" s="380" t="s">
        <v>463</v>
      </c>
      <c r="D80" s="380" t="str">
        <f>'[5]COM COMFR'!D80</f>
        <v>CEL</v>
      </c>
      <c r="E80" s="380" t="s">
        <v>463</v>
      </c>
      <c r="F80" s="380" t="s">
        <v>463</v>
      </c>
      <c r="G80" s="380" t="str">
        <f>'[5]COM COMFR'!G80</f>
        <v>s2d1b5</v>
      </c>
      <c r="H80" s="380" t="s">
        <v>463</v>
      </c>
      <c r="I80" s="379">
        <v>0</v>
      </c>
      <c r="J80" s="380">
        <f>'[5]COM COMFR'!J80</f>
        <v>2.5559999999999999E-2</v>
      </c>
    </row>
    <row r="81" spans="2:10">
      <c r="B81" s="378" t="s">
        <v>767</v>
      </c>
      <c r="C81" s="380" t="s">
        <v>463</v>
      </c>
      <c r="D81" s="380" t="str">
        <f>'[5]COM COMFR'!D81</f>
        <v>CEL</v>
      </c>
      <c r="E81" s="380" t="s">
        <v>463</v>
      </c>
      <c r="F81" s="380" t="s">
        <v>463</v>
      </c>
      <c r="G81" s="380" t="str">
        <f>'[5]COM COMFR'!G81</f>
        <v>s2d2b1</v>
      </c>
      <c r="H81" s="380" t="s">
        <v>463</v>
      </c>
      <c r="I81" s="379">
        <v>0</v>
      </c>
      <c r="J81" s="380">
        <f>'[5]COM COMFR'!J81</f>
        <v>3.1919999999999997E-2</v>
      </c>
    </row>
    <row r="82" spans="2:10">
      <c r="B82" s="378" t="s">
        <v>767</v>
      </c>
      <c r="C82" s="380" t="s">
        <v>463</v>
      </c>
      <c r="D82" s="380" t="str">
        <f>'[5]COM COMFR'!D82</f>
        <v>CEL</v>
      </c>
      <c r="E82" s="380" t="s">
        <v>463</v>
      </c>
      <c r="F82" s="380" t="s">
        <v>463</v>
      </c>
      <c r="G82" s="380" t="str">
        <f>'[5]COM COMFR'!G82</f>
        <v>s2d2b2</v>
      </c>
      <c r="H82" s="380" t="s">
        <v>463</v>
      </c>
      <c r="I82" s="379">
        <v>0</v>
      </c>
      <c r="J82" s="380">
        <f>'[5]COM COMFR'!J82</f>
        <v>4.2299999999999997E-2</v>
      </c>
    </row>
    <row r="83" spans="2:10">
      <c r="B83" s="378" t="s">
        <v>767</v>
      </c>
      <c r="C83" s="380" t="s">
        <v>463</v>
      </c>
      <c r="D83" s="380" t="str">
        <f>'[5]COM COMFR'!D83</f>
        <v>CEL</v>
      </c>
      <c r="E83" s="380" t="s">
        <v>463</v>
      </c>
      <c r="F83" s="380" t="s">
        <v>463</v>
      </c>
      <c r="G83" s="380" t="str">
        <f>'[5]COM COMFR'!G83</f>
        <v>s2d2b3</v>
      </c>
      <c r="H83" s="380" t="s">
        <v>463</v>
      </c>
      <c r="I83" s="379">
        <v>0</v>
      </c>
      <c r="J83" s="380">
        <f>'[5]COM COMFR'!J83</f>
        <v>1.78E-2</v>
      </c>
    </row>
    <row r="84" spans="2:10">
      <c r="B84" s="378" t="s">
        <v>767</v>
      </c>
      <c r="C84" s="380" t="s">
        <v>463</v>
      </c>
      <c r="D84" s="380" t="str">
        <f>'[5]COM COMFR'!D84</f>
        <v>CEL</v>
      </c>
      <c r="E84" s="380" t="s">
        <v>463</v>
      </c>
      <c r="F84" s="380" t="s">
        <v>463</v>
      </c>
      <c r="G84" s="380" t="str">
        <f>'[5]COM COMFR'!G84</f>
        <v>s3d1b1</v>
      </c>
      <c r="H84" s="380" t="s">
        <v>463</v>
      </c>
      <c r="I84" s="379">
        <v>0</v>
      </c>
      <c r="J84" s="380">
        <f>'[5]COM COMFR'!J84</f>
        <v>8.0560000000000007E-2</v>
      </c>
    </row>
    <row r="85" spans="2:10">
      <c r="B85" s="378" t="s">
        <v>767</v>
      </c>
      <c r="C85" s="380" t="s">
        <v>463</v>
      </c>
      <c r="D85" s="380" t="str">
        <f>'[5]COM COMFR'!D85</f>
        <v>CEL</v>
      </c>
      <c r="E85" s="380" t="s">
        <v>463</v>
      </c>
      <c r="F85" s="380" t="s">
        <v>463</v>
      </c>
      <c r="G85" s="380" t="str">
        <f>'[5]COM COMFR'!G85</f>
        <v>s3d1b2</v>
      </c>
      <c r="H85" s="380" t="s">
        <v>463</v>
      </c>
      <c r="I85" s="379">
        <v>0</v>
      </c>
      <c r="J85" s="380">
        <f>'[5]COM COMFR'!J85</f>
        <v>0.11049</v>
      </c>
    </row>
    <row r="86" spans="2:10">
      <c r="B86" s="378" t="s">
        <v>767</v>
      </c>
      <c r="C86" s="380" t="s">
        <v>463</v>
      </c>
      <c r="D86" s="380" t="str">
        <f>'[5]COM COMFR'!D86</f>
        <v>CEL</v>
      </c>
      <c r="E86" s="380" t="s">
        <v>463</v>
      </c>
      <c r="F86" s="380" t="s">
        <v>463</v>
      </c>
      <c r="G86" s="380" t="str">
        <f>'[5]COM COMFR'!G86</f>
        <v>s3d1b3</v>
      </c>
      <c r="H86" s="380" t="s">
        <v>463</v>
      </c>
      <c r="I86" s="379">
        <v>0</v>
      </c>
      <c r="J86" s="380">
        <f>'[5]COM COMFR'!J86</f>
        <v>5.1400000000000001E-2</v>
      </c>
    </row>
    <row r="87" spans="2:10">
      <c r="B87" s="378" t="s">
        <v>767</v>
      </c>
      <c r="C87" s="380" t="s">
        <v>463</v>
      </c>
      <c r="D87" s="380" t="str">
        <f>'[5]COM COMFR'!D87</f>
        <v>CEL</v>
      </c>
      <c r="E87" s="380" t="s">
        <v>463</v>
      </c>
      <c r="F87" s="380" t="s">
        <v>463</v>
      </c>
      <c r="G87" s="380" t="str">
        <f>'[5]COM COMFR'!G87</f>
        <v>s3d2b1</v>
      </c>
      <c r="H87" s="380" t="s">
        <v>463</v>
      </c>
      <c r="I87" s="379">
        <v>0</v>
      </c>
      <c r="J87" s="380">
        <f>'[5]COM COMFR'!J87</f>
        <v>2.725E-2</v>
      </c>
    </row>
    <row r="88" spans="2:10">
      <c r="B88" s="378" t="s">
        <v>767</v>
      </c>
      <c r="C88" s="380" t="s">
        <v>463</v>
      </c>
      <c r="D88" s="380" t="str">
        <f>'[5]COM COMFR'!D88</f>
        <v>CEL</v>
      </c>
      <c r="E88" s="380" t="s">
        <v>463</v>
      </c>
      <c r="F88" s="380" t="s">
        <v>463</v>
      </c>
      <c r="G88" s="380" t="str">
        <f>'[5]COM COMFR'!G88</f>
        <v>s3d2b2</v>
      </c>
      <c r="H88" s="380" t="s">
        <v>463</v>
      </c>
      <c r="I88" s="379">
        <v>0</v>
      </c>
      <c r="J88" s="380">
        <f>'[5]COM COMFR'!J88</f>
        <v>4.65E-2</v>
      </c>
    </row>
    <row r="89" spans="2:10">
      <c r="B89" s="378" t="s">
        <v>767</v>
      </c>
      <c r="C89" s="380" t="s">
        <v>463</v>
      </c>
      <c r="D89" s="380" t="str">
        <f>'[5]COM COMFR'!D89</f>
        <v>CEL</v>
      </c>
      <c r="E89" s="380" t="s">
        <v>463</v>
      </c>
      <c r="F89" s="380" t="s">
        <v>463</v>
      </c>
      <c r="G89" s="380" t="str">
        <f>'[5]COM COMFR'!G89</f>
        <v>s3d2b3</v>
      </c>
      <c r="H89" s="380" t="s">
        <v>463</v>
      </c>
      <c r="I89" s="379">
        <v>0</v>
      </c>
      <c r="J89" s="380">
        <f>'[5]COM COMFR'!J89</f>
        <v>2.1309999999999999E-2</v>
      </c>
    </row>
    <row r="90" spans="2:10">
      <c r="B90" s="378" t="s">
        <v>767</v>
      </c>
      <c r="C90" s="380" t="s">
        <v>463</v>
      </c>
      <c r="D90" s="380" t="str">
        <f>'[5]COM COMFR'!D90</f>
        <v>CER</v>
      </c>
      <c r="E90" s="380" t="s">
        <v>463</v>
      </c>
      <c r="F90" s="380" t="s">
        <v>463</v>
      </c>
      <c r="G90" s="380" t="str">
        <f>'[5]COM COMFR'!G90</f>
        <v>s1d1b1</v>
      </c>
      <c r="H90" s="380" t="s">
        <v>463</v>
      </c>
      <c r="I90" s="379">
        <v>0</v>
      </c>
      <c r="J90" s="380">
        <f>'[5]COM COMFR'!J90</f>
        <v>9.0829999999999994E-2</v>
      </c>
    </row>
    <row r="91" spans="2:10">
      <c r="B91" s="378" t="s">
        <v>767</v>
      </c>
      <c r="C91" s="380" t="s">
        <v>463</v>
      </c>
      <c r="D91" s="380" t="str">
        <f>'[5]COM COMFR'!D91</f>
        <v>CER</v>
      </c>
      <c r="E91" s="380" t="s">
        <v>463</v>
      </c>
      <c r="F91" s="380" t="s">
        <v>463</v>
      </c>
      <c r="G91" s="380" t="str">
        <f>'[5]COM COMFR'!G91</f>
        <v>s1d1b2</v>
      </c>
      <c r="H91" s="380" t="s">
        <v>463</v>
      </c>
      <c r="I91" s="379">
        <v>0</v>
      </c>
      <c r="J91" s="380">
        <f>'[5]COM COMFR'!J91</f>
        <v>0.10806</v>
      </c>
    </row>
    <row r="92" spans="2:10">
      <c r="B92" s="378" t="s">
        <v>767</v>
      </c>
      <c r="C92" s="380" t="s">
        <v>463</v>
      </c>
      <c r="D92" s="380" t="str">
        <f>'[5]COM COMFR'!D92</f>
        <v>CER</v>
      </c>
      <c r="E92" s="380" t="s">
        <v>463</v>
      </c>
      <c r="F92" s="380" t="s">
        <v>463</v>
      </c>
      <c r="G92" s="380" t="str">
        <f>'[5]COM COMFR'!G92</f>
        <v>s1d1b3</v>
      </c>
      <c r="H92" s="380" t="s">
        <v>463</v>
      </c>
      <c r="I92" s="379">
        <v>0</v>
      </c>
      <c r="J92" s="380">
        <f>'[5]COM COMFR'!J92</f>
        <v>5.0630000000000001E-2</v>
      </c>
    </row>
    <row r="93" spans="2:10">
      <c r="B93" s="378" t="s">
        <v>767</v>
      </c>
      <c r="C93" s="380" t="s">
        <v>463</v>
      </c>
      <c r="D93" s="380" t="str">
        <f>'[5]COM COMFR'!D93</f>
        <v>CER</v>
      </c>
      <c r="E93" s="380" t="s">
        <v>463</v>
      </c>
      <c r="F93" s="380" t="s">
        <v>463</v>
      </c>
      <c r="G93" s="380" t="str">
        <f>'[5]COM COMFR'!G93</f>
        <v>s1d2b1</v>
      </c>
      <c r="H93" s="380" t="s">
        <v>463</v>
      </c>
      <c r="I93" s="379">
        <v>0</v>
      </c>
      <c r="J93" s="380">
        <f>'[5]COM COMFR'!J93</f>
        <v>4.2819999999999997E-2</v>
      </c>
    </row>
    <row r="94" spans="2:10">
      <c r="B94" s="378" t="s">
        <v>767</v>
      </c>
      <c r="C94" s="380" t="s">
        <v>463</v>
      </c>
      <c r="D94" s="380" t="str">
        <f>'[5]COM COMFR'!D94</f>
        <v>CER</v>
      </c>
      <c r="E94" s="380" t="s">
        <v>463</v>
      </c>
      <c r="F94" s="380" t="s">
        <v>463</v>
      </c>
      <c r="G94" s="380" t="str">
        <f>'[5]COM COMFR'!G94</f>
        <v>s1d2b2</v>
      </c>
      <c r="H94" s="380" t="s">
        <v>463</v>
      </c>
      <c r="I94" s="379">
        <v>0</v>
      </c>
      <c r="J94" s="380">
        <f>'[5]COM COMFR'!J94</f>
        <v>4.2000000000000003E-2</v>
      </c>
    </row>
    <row r="95" spans="2:10">
      <c r="B95" s="378" t="s">
        <v>767</v>
      </c>
      <c r="C95" s="380" t="s">
        <v>463</v>
      </c>
      <c r="D95" s="380" t="str">
        <f>'[5]COM COMFR'!D95</f>
        <v>CER</v>
      </c>
      <c r="E95" s="380" t="s">
        <v>463</v>
      </c>
      <c r="F95" s="380" t="s">
        <v>463</v>
      </c>
      <c r="G95" s="380" t="str">
        <f>'[5]COM COMFR'!G95</f>
        <v>s1d2b3</v>
      </c>
      <c r="H95" s="380" t="s">
        <v>463</v>
      </c>
      <c r="I95" s="379">
        <v>0</v>
      </c>
      <c r="J95" s="380">
        <f>'[5]COM COMFR'!J95</f>
        <v>2.2210000000000001E-2</v>
      </c>
    </row>
    <row r="96" spans="2:10">
      <c r="B96" s="378" t="s">
        <v>767</v>
      </c>
      <c r="C96" s="380" t="s">
        <v>463</v>
      </c>
      <c r="D96" s="380" t="str">
        <f>'[5]COM COMFR'!D96</f>
        <v>CER</v>
      </c>
      <c r="E96" s="380" t="s">
        <v>463</v>
      </c>
      <c r="F96" s="380" t="s">
        <v>463</v>
      </c>
      <c r="G96" s="380" t="str">
        <f>'[5]COM COMFR'!G96</f>
        <v>s2d1b1</v>
      </c>
      <c r="H96" s="380" t="s">
        <v>463</v>
      </c>
      <c r="I96" s="379">
        <v>0</v>
      </c>
      <c r="J96" s="380">
        <f>'[5]COM COMFR'!J96</f>
        <v>7.2499999999999995E-2</v>
      </c>
    </row>
    <row r="97" spans="2:10">
      <c r="B97" s="378" t="s">
        <v>767</v>
      </c>
      <c r="C97" s="380" t="s">
        <v>463</v>
      </c>
      <c r="D97" s="380" t="str">
        <f>'[5]COM COMFR'!D97</f>
        <v>CER</v>
      </c>
      <c r="E97" s="380" t="s">
        <v>463</v>
      </c>
      <c r="F97" s="380" t="s">
        <v>463</v>
      </c>
      <c r="G97" s="380" t="str">
        <f>'[5]COM COMFR'!G97</f>
        <v>s2d1b2</v>
      </c>
      <c r="H97" s="380" t="s">
        <v>463</v>
      </c>
      <c r="I97" s="379">
        <v>0</v>
      </c>
      <c r="J97" s="380">
        <f>'[5]COM COMFR'!J97</f>
        <v>2.24E-2</v>
      </c>
    </row>
    <row r="98" spans="2:10">
      <c r="B98" s="378" t="s">
        <v>767</v>
      </c>
      <c r="C98" s="380" t="s">
        <v>463</v>
      </c>
      <c r="D98" s="380" t="str">
        <f>'[5]COM COMFR'!D98</f>
        <v>CER</v>
      </c>
      <c r="E98" s="380" t="s">
        <v>463</v>
      </c>
      <c r="F98" s="380" t="s">
        <v>463</v>
      </c>
      <c r="G98" s="380" t="str">
        <f>'[5]COM COMFR'!G98</f>
        <v>s2d1b3</v>
      </c>
      <c r="H98" s="380" t="s">
        <v>463</v>
      </c>
      <c r="I98" s="379">
        <v>0</v>
      </c>
      <c r="J98" s="380">
        <f>'[5]COM COMFR'!J98</f>
        <v>6.7030000000000006E-2</v>
      </c>
    </row>
    <row r="99" spans="2:10">
      <c r="B99" s="378" t="s">
        <v>767</v>
      </c>
      <c r="C99" s="380" t="s">
        <v>463</v>
      </c>
      <c r="D99" s="380" t="str">
        <f>'[5]COM COMFR'!D99</f>
        <v>CER</v>
      </c>
      <c r="E99" s="380" t="s">
        <v>463</v>
      </c>
      <c r="F99" s="380" t="s">
        <v>463</v>
      </c>
      <c r="G99" s="380" t="str">
        <f>'[5]COM COMFR'!G99</f>
        <v>s2d1b4</v>
      </c>
      <c r="H99" s="380" t="s">
        <v>463</v>
      </c>
      <c r="I99" s="379">
        <v>0</v>
      </c>
      <c r="J99" s="380">
        <f>'[5]COM COMFR'!J99</f>
        <v>3.5090000000000003E-2</v>
      </c>
    </row>
    <row r="100" spans="2:10">
      <c r="B100" s="378" t="s">
        <v>767</v>
      </c>
      <c r="C100" s="380" t="s">
        <v>463</v>
      </c>
      <c r="D100" s="380" t="str">
        <f>'[5]COM COMFR'!D100</f>
        <v>CER</v>
      </c>
      <c r="E100" s="380" t="s">
        <v>463</v>
      </c>
      <c r="F100" s="380" t="s">
        <v>463</v>
      </c>
      <c r="G100" s="380" t="str">
        <f>'[5]COM COMFR'!G100</f>
        <v>s2d1b5</v>
      </c>
      <c r="H100" s="380" t="s">
        <v>463</v>
      </c>
      <c r="I100" s="379">
        <v>0</v>
      </c>
      <c r="J100" s="380">
        <f>'[5]COM COMFR'!J100</f>
        <v>1.6899999999999998E-2</v>
      </c>
    </row>
    <row r="101" spans="2:10">
      <c r="B101" s="378" t="s">
        <v>767</v>
      </c>
      <c r="C101" s="380" t="s">
        <v>463</v>
      </c>
      <c r="D101" s="380" t="str">
        <f>'[5]COM COMFR'!D101</f>
        <v>CER</v>
      </c>
      <c r="E101" s="380" t="s">
        <v>463</v>
      </c>
      <c r="F101" s="380" t="s">
        <v>463</v>
      </c>
      <c r="G101" s="380" t="str">
        <f>'[5]COM COMFR'!G101</f>
        <v>s2d2b1</v>
      </c>
      <c r="H101" s="380" t="s">
        <v>463</v>
      </c>
      <c r="I101" s="379">
        <v>0</v>
      </c>
      <c r="J101" s="380">
        <f>'[5]COM COMFR'!J101</f>
        <v>3.8150000000000003E-2</v>
      </c>
    </row>
    <row r="102" spans="2:10">
      <c r="B102" s="378" t="s">
        <v>767</v>
      </c>
      <c r="C102" s="380" t="s">
        <v>463</v>
      </c>
      <c r="D102" s="380" t="str">
        <f>'[5]COM COMFR'!D102</f>
        <v>CER</v>
      </c>
      <c r="E102" s="380" t="s">
        <v>463</v>
      </c>
      <c r="F102" s="380" t="s">
        <v>463</v>
      </c>
      <c r="G102" s="380" t="str">
        <f>'[5]COM COMFR'!G102</f>
        <v>s2d2b2</v>
      </c>
      <c r="H102" s="380" t="s">
        <v>463</v>
      </c>
      <c r="I102" s="379">
        <v>0</v>
      </c>
      <c r="J102" s="380">
        <f>'[5]COM COMFR'!J102</f>
        <v>3.5249999999999997E-2</v>
      </c>
    </row>
    <row r="103" spans="2:10">
      <c r="B103" s="378" t="s">
        <v>767</v>
      </c>
      <c r="C103" s="380" t="s">
        <v>463</v>
      </c>
      <c r="D103" s="380" t="str">
        <f>'[5]COM COMFR'!D103</f>
        <v>CER</v>
      </c>
      <c r="E103" s="380" t="s">
        <v>463</v>
      </c>
      <c r="F103" s="380" t="s">
        <v>463</v>
      </c>
      <c r="G103" s="380" t="str">
        <f>'[5]COM COMFR'!G103</f>
        <v>s2d2b3</v>
      </c>
      <c r="H103" s="380" t="s">
        <v>463</v>
      </c>
      <c r="I103" s="379">
        <v>0</v>
      </c>
      <c r="J103" s="380">
        <f>'[5]COM COMFR'!J103</f>
        <v>1.8620000000000001E-2</v>
      </c>
    </row>
    <row r="104" spans="2:10">
      <c r="B104" s="378" t="s">
        <v>767</v>
      </c>
      <c r="C104" s="380" t="s">
        <v>463</v>
      </c>
      <c r="D104" s="380" t="str">
        <f>'[5]COM COMFR'!D104</f>
        <v>CER</v>
      </c>
      <c r="E104" s="380" t="s">
        <v>463</v>
      </c>
      <c r="F104" s="380" t="s">
        <v>463</v>
      </c>
      <c r="G104" s="380" t="str">
        <f>'[5]COM COMFR'!G104</f>
        <v>s3d1b1</v>
      </c>
      <c r="H104" s="380" t="s">
        <v>463</v>
      </c>
      <c r="I104" s="379">
        <v>0</v>
      </c>
      <c r="J104" s="380">
        <f>'[5]COM COMFR'!J104</f>
        <v>9.665E-2</v>
      </c>
    </row>
    <row r="105" spans="2:10">
      <c r="B105" s="378" t="s">
        <v>767</v>
      </c>
      <c r="C105" s="380" t="s">
        <v>463</v>
      </c>
      <c r="D105" s="380" t="str">
        <f>'[5]COM COMFR'!D105</f>
        <v>CER</v>
      </c>
      <c r="E105" s="380" t="s">
        <v>463</v>
      </c>
      <c r="F105" s="380" t="s">
        <v>463</v>
      </c>
      <c r="G105" s="380" t="str">
        <f>'[5]COM COMFR'!G105</f>
        <v>s3d1b2</v>
      </c>
      <c r="H105" s="380" t="s">
        <v>463</v>
      </c>
      <c r="I105" s="379">
        <v>0</v>
      </c>
      <c r="J105" s="380">
        <f>'[5]COM COMFR'!J105</f>
        <v>9.6610000000000001E-2</v>
      </c>
    </row>
    <row r="106" spans="2:10">
      <c r="B106" s="378" t="s">
        <v>767</v>
      </c>
      <c r="C106" s="380" t="s">
        <v>463</v>
      </c>
      <c r="D106" s="380" t="str">
        <f>'[5]COM COMFR'!D106</f>
        <v>CER</v>
      </c>
      <c r="E106" s="380" t="s">
        <v>463</v>
      </c>
      <c r="F106" s="380" t="s">
        <v>463</v>
      </c>
      <c r="G106" s="380" t="str">
        <f>'[5]COM COMFR'!G106</f>
        <v>s3d1b3</v>
      </c>
      <c r="H106" s="380" t="s">
        <v>463</v>
      </c>
      <c r="I106" s="379">
        <v>0</v>
      </c>
      <c r="J106" s="380">
        <f>'[5]COM COMFR'!J106</f>
        <v>4.9189999999999998E-2</v>
      </c>
    </row>
    <row r="107" spans="2:10">
      <c r="B107" s="378" t="s">
        <v>767</v>
      </c>
      <c r="C107" s="380" t="s">
        <v>463</v>
      </c>
      <c r="D107" s="380" t="str">
        <f>'[5]COM COMFR'!D107</f>
        <v>CER</v>
      </c>
      <c r="E107" s="380" t="s">
        <v>463</v>
      </c>
      <c r="F107" s="380" t="s">
        <v>463</v>
      </c>
      <c r="G107" s="380" t="str">
        <f>'[5]COM COMFR'!G107</f>
        <v>s3d2b1</v>
      </c>
      <c r="H107" s="380" t="s">
        <v>463</v>
      </c>
      <c r="I107" s="379">
        <v>0</v>
      </c>
      <c r="J107" s="380">
        <f>'[5]COM COMFR'!J107</f>
        <v>3.9410000000000001E-2</v>
      </c>
    </row>
    <row r="108" spans="2:10">
      <c r="B108" s="378" t="s">
        <v>767</v>
      </c>
      <c r="C108" s="380" t="s">
        <v>463</v>
      </c>
      <c r="D108" s="380" t="str">
        <f>'[5]COM COMFR'!D108</f>
        <v>CER</v>
      </c>
      <c r="E108" s="380" t="s">
        <v>463</v>
      </c>
      <c r="F108" s="380" t="s">
        <v>463</v>
      </c>
      <c r="G108" s="380" t="str">
        <f>'[5]COM COMFR'!G108</f>
        <v>s3d2b2</v>
      </c>
      <c r="H108" s="380" t="s">
        <v>463</v>
      </c>
      <c r="I108" s="379">
        <v>0</v>
      </c>
      <c r="J108" s="380">
        <f>'[5]COM COMFR'!J108</f>
        <v>3.6420000000000001E-2</v>
      </c>
    </row>
    <row r="109" spans="2:10">
      <c r="B109" s="378" t="s">
        <v>767</v>
      </c>
      <c r="C109" s="380" t="s">
        <v>463</v>
      </c>
      <c r="D109" s="380" t="str">
        <f>'[5]COM COMFR'!D109</f>
        <v>CER</v>
      </c>
      <c r="E109" s="380" t="s">
        <v>463</v>
      </c>
      <c r="F109" s="380" t="s">
        <v>463</v>
      </c>
      <c r="G109" s="380" t="str">
        <f>'[5]COM COMFR'!G109</f>
        <v>s3d2b3</v>
      </c>
      <c r="H109" s="380" t="s">
        <v>463</v>
      </c>
      <c r="I109" s="379">
        <v>0</v>
      </c>
      <c r="J109" s="380">
        <f>'[5]COM COMFR'!J109</f>
        <v>1.9230000000000001E-2</v>
      </c>
    </row>
    <row r="110" spans="2:10">
      <c r="B110" s="378" t="s">
        <v>767</v>
      </c>
      <c r="C110" s="380" t="s">
        <v>463</v>
      </c>
      <c r="D110" s="380" t="str">
        <f>'[5]COM COMFR'!D110</f>
        <v>CEW</v>
      </c>
      <c r="E110" s="380" t="s">
        <v>463</v>
      </c>
      <c r="F110" s="380" t="s">
        <v>463</v>
      </c>
      <c r="G110" s="380" t="str">
        <f>'[5]COM COMFR'!G110</f>
        <v>s1d1b1</v>
      </c>
      <c r="H110" s="380" t="s">
        <v>463</v>
      </c>
      <c r="I110" s="379">
        <v>0</v>
      </c>
      <c r="J110" s="380">
        <f>'[5]COM COMFR'!J110</f>
        <v>9.6060000000000006E-2</v>
      </c>
    </row>
    <row r="111" spans="2:10">
      <c r="B111" s="378" t="s">
        <v>767</v>
      </c>
      <c r="C111" s="380" t="s">
        <v>463</v>
      </c>
      <c r="D111" s="380" t="str">
        <f>'[5]COM COMFR'!D111</f>
        <v>CEW</v>
      </c>
      <c r="E111" s="380" t="s">
        <v>463</v>
      </c>
      <c r="F111" s="380" t="s">
        <v>463</v>
      </c>
      <c r="G111" s="380" t="str">
        <f>'[5]COM COMFR'!G111</f>
        <v>s1d1b2</v>
      </c>
      <c r="H111" s="380" t="s">
        <v>463</v>
      </c>
      <c r="I111" s="379">
        <v>0</v>
      </c>
      <c r="J111" s="380">
        <f>'[5]COM COMFR'!J111</f>
        <v>0.11436000000000011</v>
      </c>
    </row>
    <row r="112" spans="2:10">
      <c r="B112" s="378" t="s">
        <v>767</v>
      </c>
      <c r="C112" s="380" t="s">
        <v>463</v>
      </c>
      <c r="D112" s="380" t="str">
        <f>'[5]COM COMFR'!D112</f>
        <v>CEW</v>
      </c>
      <c r="E112" s="380" t="s">
        <v>463</v>
      </c>
      <c r="F112" s="380" t="s">
        <v>463</v>
      </c>
      <c r="G112" s="380" t="str">
        <f>'[5]COM COMFR'!G112</f>
        <v>s1d1b3</v>
      </c>
      <c r="H112" s="380" t="s">
        <v>463</v>
      </c>
      <c r="I112" s="379">
        <v>0</v>
      </c>
      <c r="J112" s="380">
        <f>'[5]COM COMFR'!J112</f>
        <v>3.909E-2</v>
      </c>
    </row>
    <row r="113" spans="2:10">
      <c r="B113" s="378" t="s">
        <v>767</v>
      </c>
      <c r="C113" s="380" t="s">
        <v>463</v>
      </c>
      <c r="D113" s="380" t="str">
        <f>'[5]COM COMFR'!D113</f>
        <v>CEW</v>
      </c>
      <c r="E113" s="380" t="s">
        <v>463</v>
      </c>
      <c r="F113" s="380" t="s">
        <v>463</v>
      </c>
      <c r="G113" s="380" t="str">
        <f>'[5]COM COMFR'!G113</f>
        <v>s1d2b1</v>
      </c>
      <c r="H113" s="380" t="s">
        <v>463</v>
      </c>
      <c r="I113" s="379">
        <v>0</v>
      </c>
      <c r="J113" s="380">
        <f>'[5]COM COMFR'!J113</f>
        <v>4.5670000000000002E-2</v>
      </c>
    </row>
    <row r="114" spans="2:10">
      <c r="B114" s="378" t="s">
        <v>767</v>
      </c>
      <c r="C114" s="380" t="s">
        <v>463</v>
      </c>
      <c r="D114" s="380" t="str">
        <f>'[5]COM COMFR'!D114</f>
        <v>CEW</v>
      </c>
      <c r="E114" s="380" t="s">
        <v>463</v>
      </c>
      <c r="F114" s="380" t="s">
        <v>463</v>
      </c>
      <c r="G114" s="380" t="str">
        <f>'[5]COM COMFR'!G114</f>
        <v>s1d2b2</v>
      </c>
      <c r="H114" s="380" t="s">
        <v>463</v>
      </c>
      <c r="I114" s="379">
        <v>0</v>
      </c>
      <c r="J114" s="380">
        <f>'[5]COM COMFR'!J114</f>
        <v>4.4600000000000001E-2</v>
      </c>
    </row>
    <row r="115" spans="2:10">
      <c r="B115" s="378" t="s">
        <v>767</v>
      </c>
      <c r="C115" s="380" t="s">
        <v>463</v>
      </c>
      <c r="D115" s="380" t="str">
        <f>'[5]COM COMFR'!D115</f>
        <v>CEW</v>
      </c>
      <c r="E115" s="380" t="s">
        <v>463</v>
      </c>
      <c r="F115" s="380" t="s">
        <v>463</v>
      </c>
      <c r="G115" s="380" t="str">
        <f>'[5]COM COMFR'!G115</f>
        <v>s1d2b3</v>
      </c>
      <c r="H115" s="380" t="s">
        <v>463</v>
      </c>
      <c r="I115" s="379">
        <v>0</v>
      </c>
      <c r="J115" s="380">
        <f>'[5]COM COMFR'!J115</f>
        <v>1.677E-2</v>
      </c>
    </row>
    <row r="116" spans="2:10">
      <c r="B116" s="378" t="s">
        <v>767</v>
      </c>
      <c r="C116" s="380" t="s">
        <v>463</v>
      </c>
      <c r="D116" s="380" t="str">
        <f>'[5]COM COMFR'!D116</f>
        <v>CEW</v>
      </c>
      <c r="E116" s="380" t="s">
        <v>463</v>
      </c>
      <c r="F116" s="380" t="s">
        <v>463</v>
      </c>
      <c r="G116" s="380" t="str">
        <f>'[5]COM COMFR'!G116</f>
        <v>s2d1b1</v>
      </c>
      <c r="H116" s="380" t="s">
        <v>463</v>
      </c>
      <c r="I116" s="379">
        <v>0</v>
      </c>
      <c r="J116" s="380">
        <f>'[5]COM COMFR'!J116</f>
        <v>7.8799999999999995E-2</v>
      </c>
    </row>
    <row r="117" spans="2:10">
      <c r="B117" s="378" t="s">
        <v>767</v>
      </c>
      <c r="C117" s="380" t="s">
        <v>463</v>
      </c>
      <c r="D117" s="380" t="str">
        <f>'[5]COM COMFR'!D117</f>
        <v>CEW</v>
      </c>
      <c r="E117" s="380" t="s">
        <v>463</v>
      </c>
      <c r="F117" s="380" t="s">
        <v>463</v>
      </c>
      <c r="G117" s="380" t="str">
        <f>'[5]COM COMFR'!G117</f>
        <v>s2d1b2</v>
      </c>
      <c r="H117" s="380" t="s">
        <v>463</v>
      </c>
      <c r="I117" s="379">
        <v>0</v>
      </c>
      <c r="J117" s="380">
        <f>'[5]COM COMFR'!J117</f>
        <v>3.245E-2</v>
      </c>
    </row>
    <row r="118" spans="2:10">
      <c r="B118" s="378" t="s">
        <v>767</v>
      </c>
      <c r="C118" s="380" t="s">
        <v>463</v>
      </c>
      <c r="D118" s="380" t="str">
        <f>'[5]COM COMFR'!D118</f>
        <v>CEW</v>
      </c>
      <c r="E118" s="380" t="s">
        <v>463</v>
      </c>
      <c r="F118" s="380" t="s">
        <v>463</v>
      </c>
      <c r="G118" s="380" t="str">
        <f>'[5]COM COMFR'!G118</f>
        <v>s2d1b3</v>
      </c>
      <c r="H118" s="380" t="s">
        <v>463</v>
      </c>
      <c r="I118" s="379">
        <v>0</v>
      </c>
      <c r="J118" s="380">
        <f>'[5]COM COMFR'!J118</f>
        <v>6.2390000000000001E-2</v>
      </c>
    </row>
    <row r="119" spans="2:10">
      <c r="B119" s="378" t="s">
        <v>767</v>
      </c>
      <c r="C119" s="380" t="s">
        <v>463</v>
      </c>
      <c r="D119" s="380" t="str">
        <f>'[5]COM COMFR'!D119</f>
        <v>CEW</v>
      </c>
      <c r="E119" s="380" t="s">
        <v>463</v>
      </c>
      <c r="F119" s="380" t="s">
        <v>463</v>
      </c>
      <c r="G119" s="380" t="str">
        <f>'[5]COM COMFR'!G119</f>
        <v>s2d1b4</v>
      </c>
      <c r="H119" s="380" t="s">
        <v>463</v>
      </c>
      <c r="I119" s="379">
        <v>0</v>
      </c>
      <c r="J119" s="380">
        <f>'[5]COM COMFR'!J119</f>
        <v>2.46E-2</v>
      </c>
    </row>
    <row r="120" spans="2:10">
      <c r="B120" s="378" t="s">
        <v>767</v>
      </c>
      <c r="C120" s="380" t="s">
        <v>463</v>
      </c>
      <c r="D120" s="380" t="str">
        <f>'[5]COM COMFR'!D120</f>
        <v>CEW</v>
      </c>
      <c r="E120" s="380" t="s">
        <v>463</v>
      </c>
      <c r="F120" s="380" t="s">
        <v>463</v>
      </c>
      <c r="G120" s="380" t="str">
        <f>'[5]COM COMFR'!G120</f>
        <v>s2d1b5</v>
      </c>
      <c r="H120" s="380" t="s">
        <v>463</v>
      </c>
      <c r="I120" s="379">
        <v>0</v>
      </c>
      <c r="J120" s="380">
        <f>'[5]COM COMFR'!J120</f>
        <v>1.5689999999999999E-2</v>
      </c>
    </row>
    <row r="121" spans="2:10">
      <c r="B121" s="378" t="s">
        <v>767</v>
      </c>
      <c r="C121" s="380" t="s">
        <v>463</v>
      </c>
      <c r="D121" s="380" t="str">
        <f>'[5]COM COMFR'!D121</f>
        <v>CEW</v>
      </c>
      <c r="E121" s="380" t="s">
        <v>463</v>
      </c>
      <c r="F121" s="380" t="s">
        <v>463</v>
      </c>
      <c r="G121" s="380" t="str">
        <f>'[5]COM COMFR'!G121</f>
        <v>s2d2b1</v>
      </c>
      <c r="H121" s="380" t="s">
        <v>463</v>
      </c>
      <c r="I121" s="379">
        <v>0</v>
      </c>
      <c r="J121" s="380">
        <f>'[5]COM COMFR'!J121</f>
        <v>3.9260000000000003E-2</v>
      </c>
    </row>
    <row r="122" spans="2:10">
      <c r="B122" s="378" t="s">
        <v>767</v>
      </c>
      <c r="C122" s="380" t="s">
        <v>463</v>
      </c>
      <c r="D122" s="380" t="str">
        <f>'[5]COM COMFR'!D122</f>
        <v>CEW</v>
      </c>
      <c r="E122" s="380" t="s">
        <v>463</v>
      </c>
      <c r="F122" s="380" t="s">
        <v>463</v>
      </c>
      <c r="G122" s="380" t="str">
        <f>'[5]COM COMFR'!G122</f>
        <v>s2d2b2</v>
      </c>
      <c r="H122" s="380" t="s">
        <v>463</v>
      </c>
      <c r="I122" s="379">
        <v>0</v>
      </c>
      <c r="J122" s="380">
        <f>'[5]COM COMFR'!J122</f>
        <v>3.8339999999999999E-2</v>
      </c>
    </row>
    <row r="123" spans="2:10">
      <c r="B123" s="378" t="s">
        <v>767</v>
      </c>
      <c r="C123" s="380" t="s">
        <v>463</v>
      </c>
      <c r="D123" s="380" t="str">
        <f>'[5]COM COMFR'!D123</f>
        <v>CEW</v>
      </c>
      <c r="E123" s="380" t="s">
        <v>463</v>
      </c>
      <c r="F123" s="380" t="s">
        <v>463</v>
      </c>
      <c r="G123" s="380" t="str">
        <f>'[5]COM COMFR'!G123</f>
        <v>s2d2b3</v>
      </c>
      <c r="H123" s="380" t="s">
        <v>463</v>
      </c>
      <c r="I123" s="379">
        <v>0</v>
      </c>
      <c r="J123" s="380">
        <f>'[5]COM COMFR'!J123</f>
        <v>1.4420000000000001E-2</v>
      </c>
    </row>
    <row r="124" spans="2:10">
      <c r="B124" s="378" t="s">
        <v>767</v>
      </c>
      <c r="C124" s="380" t="s">
        <v>463</v>
      </c>
      <c r="D124" s="380" t="str">
        <f>'[5]COM COMFR'!D124</f>
        <v>CEW</v>
      </c>
      <c r="E124" s="380" t="s">
        <v>463</v>
      </c>
      <c r="F124" s="380" t="s">
        <v>463</v>
      </c>
      <c r="G124" s="380" t="str">
        <f>'[5]COM COMFR'!G124</f>
        <v>s3d1b1</v>
      </c>
      <c r="H124" s="380" t="s">
        <v>463</v>
      </c>
      <c r="I124" s="379">
        <v>0</v>
      </c>
      <c r="J124" s="380">
        <f>'[5]COM COMFR'!J124</f>
        <v>0.10345</v>
      </c>
    </row>
    <row r="125" spans="2:10">
      <c r="B125" s="378" t="s">
        <v>767</v>
      </c>
      <c r="C125" s="380" t="s">
        <v>463</v>
      </c>
      <c r="D125" s="380" t="str">
        <f>'[5]COM COMFR'!D125</f>
        <v>CEW</v>
      </c>
      <c r="E125" s="380" t="s">
        <v>463</v>
      </c>
      <c r="F125" s="380" t="s">
        <v>463</v>
      </c>
      <c r="G125" s="380" t="str">
        <f>'[5]COM COMFR'!G125</f>
        <v>s3d1b2</v>
      </c>
      <c r="H125" s="380" t="s">
        <v>463</v>
      </c>
      <c r="I125" s="379">
        <v>0</v>
      </c>
      <c r="J125" s="380">
        <f>'[5]COM COMFR'!J125</f>
        <v>0.10102</v>
      </c>
    </row>
    <row r="126" spans="2:10">
      <c r="B126" s="378" t="s">
        <v>767</v>
      </c>
      <c r="C126" s="380" t="s">
        <v>463</v>
      </c>
      <c r="D126" s="380" t="str">
        <f>'[5]COM COMFR'!D126</f>
        <v>CEW</v>
      </c>
      <c r="E126" s="380" t="s">
        <v>463</v>
      </c>
      <c r="F126" s="380" t="s">
        <v>463</v>
      </c>
      <c r="G126" s="380" t="str">
        <f>'[5]COM COMFR'!G126</f>
        <v>s3d1b3</v>
      </c>
      <c r="H126" s="380" t="s">
        <v>463</v>
      </c>
      <c r="I126" s="379">
        <v>0</v>
      </c>
      <c r="J126" s="380">
        <f>'[5]COM COMFR'!J126</f>
        <v>3.798E-2</v>
      </c>
    </row>
    <row r="127" spans="2:10">
      <c r="B127" s="378" t="s">
        <v>767</v>
      </c>
      <c r="C127" s="380" t="s">
        <v>463</v>
      </c>
      <c r="D127" s="380" t="str">
        <f>'[5]COM COMFR'!D127</f>
        <v>CEW</v>
      </c>
      <c r="E127" s="380" t="s">
        <v>463</v>
      </c>
      <c r="F127" s="380" t="s">
        <v>463</v>
      </c>
      <c r="G127" s="380" t="str">
        <f>'[5]COM COMFR'!G127</f>
        <v>s3d2b1</v>
      </c>
      <c r="H127" s="380" t="s">
        <v>463</v>
      </c>
      <c r="I127" s="379">
        <v>0</v>
      </c>
      <c r="J127" s="380">
        <f>'[5]COM COMFR'!J127</f>
        <v>4.0559999999999999E-2</v>
      </c>
    </row>
    <row r="128" spans="2:10">
      <c r="B128" s="378" t="s">
        <v>767</v>
      </c>
      <c r="C128" s="380" t="s">
        <v>463</v>
      </c>
      <c r="D128" s="380" t="str">
        <f>'[5]COM COMFR'!D128</f>
        <v>CEW</v>
      </c>
      <c r="E128" s="380" t="s">
        <v>463</v>
      </c>
      <c r="F128" s="380" t="s">
        <v>463</v>
      </c>
      <c r="G128" s="380" t="str">
        <f>'[5]COM COMFR'!G128</f>
        <v>s3d2b2</v>
      </c>
      <c r="H128" s="380" t="s">
        <v>463</v>
      </c>
      <c r="I128" s="379">
        <v>0</v>
      </c>
      <c r="J128" s="380">
        <f>'[5]COM COMFR'!J128</f>
        <v>3.9600000000000003E-2</v>
      </c>
    </row>
    <row r="129" spans="2:10">
      <c r="B129" s="378" t="s">
        <v>767</v>
      </c>
      <c r="C129" s="380" t="s">
        <v>463</v>
      </c>
      <c r="D129" s="380" t="str">
        <f>'[5]COM COMFR'!D129</f>
        <v>CEW</v>
      </c>
      <c r="E129" s="380" t="s">
        <v>463</v>
      </c>
      <c r="F129" s="380" t="s">
        <v>463</v>
      </c>
      <c r="G129" s="380" t="str">
        <f>'[5]COM COMFR'!G129</f>
        <v>s3d2b3</v>
      </c>
      <c r="H129" s="380" t="s">
        <v>463</v>
      </c>
      <c r="I129" s="379">
        <v>0</v>
      </c>
      <c r="J129" s="380">
        <f>'[5]COM COMFR'!J129</f>
        <v>1.489E-2</v>
      </c>
    </row>
    <row r="130" spans="2:10">
      <c r="B130" s="378" t="s">
        <v>767</v>
      </c>
      <c r="C130" s="380" t="s">
        <v>463</v>
      </c>
      <c r="D130" s="380" t="str">
        <f>'[5]COM COMFR'!D130</f>
        <v>CEG</v>
      </c>
      <c r="E130" s="380" t="s">
        <v>463</v>
      </c>
      <c r="F130" s="380" t="s">
        <v>463</v>
      </c>
      <c r="G130" s="380" t="str">
        <f>'[5]COM COMFR'!G130</f>
        <v>s1d1b1</v>
      </c>
      <c r="H130" s="380" t="s">
        <v>463</v>
      </c>
      <c r="I130" s="379">
        <v>0</v>
      </c>
      <c r="J130" s="380">
        <f>'[5]COM COMFR'!J130</f>
        <v>7.2599999999999998E-2</v>
      </c>
    </row>
    <row r="131" spans="2:10">
      <c r="B131" s="378" t="s">
        <v>767</v>
      </c>
      <c r="C131" s="380" t="s">
        <v>463</v>
      </c>
      <c r="D131" s="380" t="str">
        <f>'[5]COM COMFR'!D131</f>
        <v>CEG</v>
      </c>
      <c r="E131" s="380" t="s">
        <v>463</v>
      </c>
      <c r="F131" s="380" t="s">
        <v>463</v>
      </c>
      <c r="G131" s="380" t="str">
        <f>'[5]COM COMFR'!G131</f>
        <v>s1d1b2</v>
      </c>
      <c r="H131" s="380" t="s">
        <v>463</v>
      </c>
      <c r="I131" s="379">
        <v>0</v>
      </c>
      <c r="J131" s="380">
        <f>'[5]COM COMFR'!J131</f>
        <v>0</v>
      </c>
    </row>
    <row r="132" spans="2:10">
      <c r="B132" s="378" t="s">
        <v>767</v>
      </c>
      <c r="C132" s="380" t="s">
        <v>463</v>
      </c>
      <c r="D132" s="380" t="str">
        <f>'[5]COM COMFR'!D132</f>
        <v>CEG</v>
      </c>
      <c r="E132" s="380" t="s">
        <v>463</v>
      </c>
      <c r="F132" s="380" t="s">
        <v>463</v>
      </c>
      <c r="G132" s="380" t="str">
        <f>'[5]COM COMFR'!G132</f>
        <v>s1d1b3</v>
      </c>
      <c r="H132" s="380" t="s">
        <v>463</v>
      </c>
      <c r="I132" s="379">
        <v>0</v>
      </c>
      <c r="J132" s="380">
        <f>'[5]COM COMFR'!J132</f>
        <v>3.6299999999999999E-2</v>
      </c>
    </row>
    <row r="133" spans="2:10">
      <c r="B133" s="378" t="s">
        <v>767</v>
      </c>
      <c r="C133" s="380" t="s">
        <v>463</v>
      </c>
      <c r="D133" s="380" t="str">
        <f>'[5]COM COMFR'!D133</f>
        <v>CEG</v>
      </c>
      <c r="E133" s="380" t="s">
        <v>463</v>
      </c>
      <c r="F133" s="380" t="s">
        <v>463</v>
      </c>
      <c r="G133" s="380" t="str">
        <f>'[5]COM COMFR'!G133</f>
        <v>s1d2b1</v>
      </c>
      <c r="H133" s="380" t="s">
        <v>463</v>
      </c>
      <c r="I133" s="379">
        <v>0</v>
      </c>
      <c r="J133" s="380">
        <f>'[5]COM COMFR'!J133</f>
        <v>0.40819000000000005</v>
      </c>
    </row>
    <row r="134" spans="2:10">
      <c r="B134" s="378" t="s">
        <v>767</v>
      </c>
      <c r="C134" s="380" t="s">
        <v>463</v>
      </c>
      <c r="D134" s="380" t="str">
        <f>'[5]COM COMFR'!D134</f>
        <v>CEG</v>
      </c>
      <c r="E134" s="380" t="s">
        <v>463</v>
      </c>
      <c r="F134" s="380" t="s">
        <v>463</v>
      </c>
      <c r="G134" s="380" t="str">
        <f>'[5]COM COMFR'!G134</f>
        <v>s1d2b2</v>
      </c>
      <c r="H134" s="380" t="s">
        <v>463</v>
      </c>
      <c r="I134" s="379">
        <v>0</v>
      </c>
      <c r="J134" s="380">
        <f>'[5]COM COMFR'!J134</f>
        <v>0</v>
      </c>
    </row>
    <row r="135" spans="2:10">
      <c r="B135" s="378" t="s">
        <v>767</v>
      </c>
      <c r="C135" s="380" t="s">
        <v>463</v>
      </c>
      <c r="D135" s="380" t="str">
        <f>'[5]COM COMFR'!D135</f>
        <v>CEG</v>
      </c>
      <c r="E135" s="380" t="s">
        <v>463</v>
      </c>
      <c r="F135" s="380" t="s">
        <v>463</v>
      </c>
      <c r="G135" s="380" t="str">
        <f>'[5]COM COMFR'!G135</f>
        <v>s1d2b3</v>
      </c>
      <c r="H135" s="380" t="s">
        <v>463</v>
      </c>
      <c r="I135" s="379">
        <v>0</v>
      </c>
      <c r="J135" s="380">
        <f>'[5]COM COMFR'!J135</f>
        <v>3.7400000000000003E-2</v>
      </c>
    </row>
    <row r="136" spans="2:10">
      <c r="B136" s="378" t="s">
        <v>767</v>
      </c>
      <c r="C136" s="380" t="s">
        <v>463</v>
      </c>
      <c r="D136" s="380" t="str">
        <f>'[5]COM COMFR'!D136</f>
        <v>CEG</v>
      </c>
      <c r="E136" s="380" t="s">
        <v>463</v>
      </c>
      <c r="F136" s="380" t="s">
        <v>463</v>
      </c>
      <c r="G136" s="380" t="str">
        <f>'[5]COM COMFR'!G136</f>
        <v>s2d1b1</v>
      </c>
      <c r="H136" s="380" t="s">
        <v>463</v>
      </c>
      <c r="I136" s="379">
        <v>0</v>
      </c>
      <c r="J136" s="380">
        <f>'[5]COM COMFR'!J136</f>
        <v>0.40819000000000005</v>
      </c>
    </row>
    <row r="137" spans="2:10">
      <c r="B137" s="378" t="s">
        <v>767</v>
      </c>
      <c r="C137" s="380" t="s">
        <v>463</v>
      </c>
      <c r="D137" s="380" t="str">
        <f>'[5]COM COMFR'!D137</f>
        <v>CEG</v>
      </c>
      <c r="E137" s="380" t="s">
        <v>463</v>
      </c>
      <c r="F137" s="380" t="s">
        <v>463</v>
      </c>
      <c r="G137" s="380" t="str">
        <f>'[5]COM COMFR'!G137</f>
        <v>s2d1b2</v>
      </c>
      <c r="H137" s="380" t="s">
        <v>463</v>
      </c>
      <c r="I137" s="379">
        <v>0</v>
      </c>
      <c r="J137" s="380">
        <f>'[5]COM COMFR'!J137</f>
        <v>0</v>
      </c>
    </row>
    <row r="138" spans="2:10">
      <c r="B138" s="378" t="s">
        <v>767</v>
      </c>
      <c r="C138" s="380" t="s">
        <v>463</v>
      </c>
      <c r="D138" s="380" t="str">
        <f>'[5]COM COMFR'!D138</f>
        <v>CEG</v>
      </c>
      <c r="E138" s="380" t="s">
        <v>463</v>
      </c>
      <c r="F138" s="380" t="s">
        <v>463</v>
      </c>
      <c r="G138" s="380" t="str">
        <f>'[5]COM COMFR'!G138</f>
        <v>s2d1b3</v>
      </c>
      <c r="H138" s="380" t="s">
        <v>463</v>
      </c>
      <c r="I138" s="379">
        <v>0</v>
      </c>
      <c r="J138" s="380">
        <f>'[5]COM COMFR'!J138</f>
        <v>5.0000000000000002E-5</v>
      </c>
    </row>
    <row r="139" spans="2:10">
      <c r="B139" s="378" t="s">
        <v>767</v>
      </c>
      <c r="C139" s="380" t="s">
        <v>463</v>
      </c>
      <c r="D139" s="380" t="str">
        <f>'[5]COM COMFR'!D139</f>
        <v>CEG</v>
      </c>
      <c r="E139" s="380" t="s">
        <v>463</v>
      </c>
      <c r="F139" s="380" t="s">
        <v>463</v>
      </c>
      <c r="G139" s="380" t="str">
        <f>'[5]COM COMFR'!G139</f>
        <v>s2d1b4</v>
      </c>
      <c r="H139" s="380" t="s">
        <v>463</v>
      </c>
      <c r="I139" s="379">
        <v>0</v>
      </c>
      <c r="J139" s="380">
        <f>'[5]COM COMFR'!J139</f>
        <v>1.8679999999999999E-2</v>
      </c>
    </row>
    <row r="140" spans="2:10">
      <c r="B140" s="378" t="s">
        <v>767</v>
      </c>
      <c r="C140" s="380" t="s">
        <v>463</v>
      </c>
      <c r="D140" s="380" t="str">
        <f>'[5]COM COMFR'!D140</f>
        <v>CEG</v>
      </c>
      <c r="E140" s="380" t="s">
        <v>463</v>
      </c>
      <c r="F140" s="380" t="s">
        <v>463</v>
      </c>
      <c r="G140" s="380" t="str">
        <f>'[5]COM COMFR'!G140</f>
        <v>s2d1b5</v>
      </c>
      <c r="H140" s="380" t="s">
        <v>463</v>
      </c>
      <c r="I140" s="379">
        <v>0</v>
      </c>
      <c r="J140" s="380">
        <f>'[5]COM COMFR'!J140</f>
        <v>1.8679999999999999E-2</v>
      </c>
    </row>
    <row r="141" spans="2:10">
      <c r="B141" s="378" t="s">
        <v>767</v>
      </c>
      <c r="C141" s="380" t="s">
        <v>463</v>
      </c>
      <c r="D141" s="380" t="str">
        <f>'[5]COM COMFR'!D141</f>
        <v>CEG</v>
      </c>
      <c r="E141" s="380" t="s">
        <v>463</v>
      </c>
      <c r="F141" s="380" t="s">
        <v>463</v>
      </c>
      <c r="G141" s="380" t="str">
        <f>'[5]COM COMFR'!G141</f>
        <v>s2d2b1</v>
      </c>
      <c r="H141" s="380" t="s">
        <v>463</v>
      </c>
      <c r="I141" s="379">
        <v>0</v>
      </c>
      <c r="J141" s="380">
        <f>'[5]COM COMFR'!J141</f>
        <v>0.40819000000000005</v>
      </c>
    </row>
    <row r="142" spans="2:10">
      <c r="B142" s="378" t="s">
        <v>767</v>
      </c>
      <c r="C142" s="380" t="s">
        <v>463</v>
      </c>
      <c r="D142" s="380" t="str">
        <f>'[5]COM COMFR'!D142</f>
        <v>CEG</v>
      </c>
      <c r="E142" s="380" t="s">
        <v>463</v>
      </c>
      <c r="F142" s="380" t="s">
        <v>463</v>
      </c>
      <c r="G142" s="380" t="str">
        <f>'[5]COM COMFR'!G142</f>
        <v>s2d2b2</v>
      </c>
      <c r="H142" s="380" t="s">
        <v>463</v>
      </c>
      <c r="I142" s="379">
        <v>0</v>
      </c>
      <c r="J142" s="380">
        <f>'[5]COM COMFR'!J142</f>
        <v>0</v>
      </c>
    </row>
    <row r="143" spans="2:10">
      <c r="B143" s="378" t="s">
        <v>767</v>
      </c>
      <c r="C143" s="380" t="s">
        <v>463</v>
      </c>
      <c r="D143" s="380" t="str">
        <f>'[5]COM COMFR'!D143</f>
        <v>CEG</v>
      </c>
      <c r="E143" s="380" t="s">
        <v>463</v>
      </c>
      <c r="F143" s="380" t="s">
        <v>463</v>
      </c>
      <c r="G143" s="380" t="str">
        <f>'[5]COM COMFR'!G143</f>
        <v>s2d2b3</v>
      </c>
      <c r="H143" s="380" t="s">
        <v>463</v>
      </c>
      <c r="I143" s="379">
        <v>0</v>
      </c>
      <c r="J143" s="380">
        <f>'[5]COM COMFR'!J143</f>
        <v>3.7400000000000003E-2</v>
      </c>
    </row>
    <row r="144" spans="2:10">
      <c r="B144" s="378" t="s">
        <v>767</v>
      </c>
      <c r="C144" s="380" t="s">
        <v>463</v>
      </c>
      <c r="D144" s="380" t="str">
        <f>'[5]COM COMFR'!D144</f>
        <v>CEG</v>
      </c>
      <c r="E144" s="380" t="s">
        <v>463</v>
      </c>
      <c r="F144" s="380" t="s">
        <v>463</v>
      </c>
      <c r="G144" s="380" t="str">
        <f>'[5]COM COMFR'!G144</f>
        <v>s3d1b1</v>
      </c>
      <c r="H144" s="380" t="s">
        <v>463</v>
      </c>
      <c r="I144" s="379">
        <v>0</v>
      </c>
      <c r="J144" s="380">
        <f>'[5]COM COMFR'!J144</f>
        <v>0.40819000000000005</v>
      </c>
    </row>
    <row r="145" spans="2:10">
      <c r="B145" s="378" t="s">
        <v>767</v>
      </c>
      <c r="C145" s="380" t="s">
        <v>463</v>
      </c>
      <c r="D145" s="380" t="str">
        <f>'[5]COM COMFR'!D145</f>
        <v>CEG</v>
      </c>
      <c r="E145" s="380" t="s">
        <v>463</v>
      </c>
      <c r="F145" s="380" t="s">
        <v>463</v>
      </c>
      <c r="G145" s="380" t="str">
        <f>'[5]COM COMFR'!G145</f>
        <v>s3d1b2</v>
      </c>
      <c r="H145" s="380" t="s">
        <v>463</v>
      </c>
      <c r="I145" s="379">
        <v>0</v>
      </c>
      <c r="J145" s="380">
        <f>'[5]COM COMFR'!J145</f>
        <v>0</v>
      </c>
    </row>
    <row r="146" spans="2:10">
      <c r="B146" s="378" t="s">
        <v>767</v>
      </c>
      <c r="C146" s="380" t="s">
        <v>463</v>
      </c>
      <c r="D146" s="380" t="str">
        <f>'[5]COM COMFR'!D146</f>
        <v>CEG</v>
      </c>
      <c r="E146" s="380" t="s">
        <v>463</v>
      </c>
      <c r="F146" s="380" t="s">
        <v>463</v>
      </c>
      <c r="G146" s="380" t="str">
        <f>'[5]COM COMFR'!G146</f>
        <v>s3d1b3</v>
      </c>
      <c r="H146" s="380" t="s">
        <v>463</v>
      </c>
      <c r="I146" s="379">
        <v>0</v>
      </c>
      <c r="J146" s="380">
        <f>'[5]COM COMFR'!J146</f>
        <v>3.7400000000000003E-2</v>
      </c>
    </row>
    <row r="147" spans="2:10">
      <c r="B147" s="378" t="s">
        <v>767</v>
      </c>
      <c r="C147" s="380" t="s">
        <v>463</v>
      </c>
      <c r="D147" s="380" t="str">
        <f>'[5]COM COMFR'!D147</f>
        <v>CEG</v>
      </c>
      <c r="E147" s="380" t="s">
        <v>463</v>
      </c>
      <c r="F147" s="380" t="s">
        <v>463</v>
      </c>
      <c r="G147" s="380" t="str">
        <f>'[5]COM COMFR'!G147</f>
        <v>s3d2b1</v>
      </c>
      <c r="H147" s="380" t="s">
        <v>463</v>
      </c>
      <c r="I147" s="379">
        <v>0</v>
      </c>
      <c r="J147" s="380">
        <f>'[5]COM COMFR'!J147</f>
        <v>7.2599999999999998E-2</v>
      </c>
    </row>
    <row r="148" spans="2:10">
      <c r="B148" s="378" t="s">
        <v>767</v>
      </c>
      <c r="C148" s="380" t="s">
        <v>463</v>
      </c>
      <c r="D148" s="380" t="str">
        <f>'[5]COM COMFR'!D148</f>
        <v>CEG</v>
      </c>
      <c r="E148" s="380" t="s">
        <v>463</v>
      </c>
      <c r="F148" s="380" t="s">
        <v>463</v>
      </c>
      <c r="G148" s="380" t="str">
        <f>'[5]COM COMFR'!G148</f>
        <v>s3d2b2</v>
      </c>
      <c r="H148" s="380" t="s">
        <v>463</v>
      </c>
      <c r="I148" s="379">
        <v>0</v>
      </c>
      <c r="J148" s="380">
        <f>'[5]COM COMFR'!J148</f>
        <v>0</v>
      </c>
    </row>
    <row r="149" spans="2:10">
      <c r="B149" s="378" t="s">
        <v>767</v>
      </c>
      <c r="C149" s="380" t="s">
        <v>463</v>
      </c>
      <c r="D149" s="380" t="str">
        <f>'[5]COM COMFR'!D149</f>
        <v>CEG</v>
      </c>
      <c r="E149" s="380" t="s">
        <v>463</v>
      </c>
      <c r="F149" s="380" t="s">
        <v>463</v>
      </c>
      <c r="G149" s="380" t="str">
        <f>'[5]COM COMFR'!G149</f>
        <v>s3d2b3</v>
      </c>
      <c r="H149" s="380" t="s">
        <v>463</v>
      </c>
      <c r="I149" s="379">
        <v>0</v>
      </c>
      <c r="J149" s="380">
        <f>'[5]COM COMFR'!J149</f>
        <v>3.6299999999999999E-2</v>
      </c>
    </row>
    <row r="150" spans="2:10">
      <c r="B150" s="378" t="s">
        <v>767</v>
      </c>
      <c r="C150" s="380" t="s">
        <v>463</v>
      </c>
      <c r="D150" s="380" t="str">
        <f>'[5]COM COMFR'!D150</f>
        <v>CET</v>
      </c>
      <c r="E150" s="380" t="s">
        <v>463</v>
      </c>
      <c r="F150" s="380" t="s">
        <v>463</v>
      </c>
      <c r="G150" s="380" t="str">
        <f>'[5]COM COMFR'!G150</f>
        <v>s1d1b1</v>
      </c>
      <c r="H150" s="380" t="s">
        <v>463</v>
      </c>
      <c r="I150" s="379">
        <v>0</v>
      </c>
      <c r="J150" s="380">
        <f>'[5]COM COMFR'!J150</f>
        <v>3.6299999999999999E-2</v>
      </c>
    </row>
    <row r="151" spans="2:10">
      <c r="B151" s="378" t="s">
        <v>767</v>
      </c>
      <c r="C151" s="380" t="s">
        <v>463</v>
      </c>
      <c r="D151" s="380" t="str">
        <f>'[5]COM COMFR'!D151</f>
        <v>CET</v>
      </c>
      <c r="E151" s="380" t="s">
        <v>463</v>
      </c>
      <c r="F151" s="380" t="s">
        <v>463</v>
      </c>
      <c r="G151" s="380" t="str">
        <f>'[5]COM COMFR'!G151</f>
        <v>s1d1b2</v>
      </c>
      <c r="H151" s="380" t="s">
        <v>463</v>
      </c>
      <c r="I151" s="379">
        <v>0</v>
      </c>
      <c r="J151" s="380">
        <f>'[5]COM COMFR'!J151</f>
        <v>0.38781999999999994</v>
      </c>
    </row>
    <row r="152" spans="2:10">
      <c r="B152" s="378" t="s">
        <v>767</v>
      </c>
      <c r="C152" s="380" t="s">
        <v>463</v>
      </c>
      <c r="D152" s="380" t="str">
        <f>'[5]COM COMFR'!D152</f>
        <v>CET</v>
      </c>
      <c r="E152" s="380" t="s">
        <v>463</v>
      </c>
      <c r="F152" s="380" t="s">
        <v>463</v>
      </c>
      <c r="G152" s="380" t="str">
        <f>'[5]COM COMFR'!G152</f>
        <v>s1d1b3</v>
      </c>
      <c r="H152" s="380" t="s">
        <v>463</v>
      </c>
      <c r="I152" s="379">
        <v>0</v>
      </c>
      <c r="J152" s="380">
        <f>'[5]COM COMFR'!J152</f>
        <v>1.8149999999999999E-2</v>
      </c>
    </row>
    <row r="153" spans="2:10">
      <c r="B153" s="378" t="s">
        <v>767</v>
      </c>
      <c r="C153" s="380" t="s">
        <v>463</v>
      </c>
      <c r="D153" s="380" t="str">
        <f>'[5]COM COMFR'!D153</f>
        <v>CET</v>
      </c>
      <c r="E153" s="380" t="s">
        <v>463</v>
      </c>
      <c r="F153" s="380" t="s">
        <v>463</v>
      </c>
      <c r="G153" s="380" t="str">
        <f>'[5]COM COMFR'!G153</f>
        <v>s1d2b1</v>
      </c>
      <c r="H153" s="380" t="s">
        <v>463</v>
      </c>
      <c r="I153" s="379">
        <v>0</v>
      </c>
      <c r="J153" s="380">
        <f>'[5]COM COMFR'!J153</f>
        <v>4.2079999999999999E-2</v>
      </c>
    </row>
    <row r="154" spans="2:10">
      <c r="B154" s="378" t="s">
        <v>767</v>
      </c>
      <c r="C154" s="380" t="s">
        <v>463</v>
      </c>
      <c r="D154" s="380" t="str">
        <f>'[5]COM COMFR'!D154</f>
        <v>CET</v>
      </c>
      <c r="E154" s="380" t="s">
        <v>463</v>
      </c>
      <c r="F154" s="380" t="s">
        <v>463</v>
      </c>
      <c r="G154" s="380" t="str">
        <f>'[5]COM COMFR'!G154</f>
        <v>s1d2b2</v>
      </c>
      <c r="H154" s="380" t="s">
        <v>463</v>
      </c>
      <c r="I154" s="379">
        <v>0</v>
      </c>
      <c r="J154" s="380">
        <f>'[5]COM COMFR'!J154</f>
        <v>5.1429999999999997E-2</v>
      </c>
    </row>
    <row r="155" spans="2:10">
      <c r="B155" s="378" t="s">
        <v>767</v>
      </c>
      <c r="C155" s="380" t="s">
        <v>463</v>
      </c>
      <c r="D155" s="380" t="str">
        <f>'[5]COM COMFR'!D155</f>
        <v>CET</v>
      </c>
      <c r="E155" s="380" t="s">
        <v>463</v>
      </c>
      <c r="F155" s="380" t="s">
        <v>463</v>
      </c>
      <c r="G155" s="380" t="str">
        <f>'[5]COM COMFR'!G155</f>
        <v>s1d2b3</v>
      </c>
      <c r="H155" s="380" t="s">
        <v>463</v>
      </c>
      <c r="I155" s="379">
        <v>0</v>
      </c>
      <c r="J155" s="380">
        <f>'[5]COM COMFR'!J155</f>
        <v>1.8700000000000001E-2</v>
      </c>
    </row>
    <row r="156" spans="2:10">
      <c r="B156" s="378" t="s">
        <v>767</v>
      </c>
      <c r="C156" s="380" t="s">
        <v>463</v>
      </c>
      <c r="D156" s="380" t="str">
        <f>'[5]COM COMFR'!D156</f>
        <v>CET</v>
      </c>
      <c r="E156" s="380" t="s">
        <v>463</v>
      </c>
      <c r="F156" s="380" t="s">
        <v>463</v>
      </c>
      <c r="G156" s="380" t="str">
        <f>'[5]COM COMFR'!G156</f>
        <v>s2d1b1</v>
      </c>
      <c r="H156" s="380" t="s">
        <v>463</v>
      </c>
      <c r="I156" s="379">
        <v>0</v>
      </c>
      <c r="J156" s="380">
        <f>'[5]COM COMFR'!J156</f>
        <v>3.7400000000000003E-2</v>
      </c>
    </row>
    <row r="157" spans="2:10">
      <c r="B157" s="378" t="s">
        <v>767</v>
      </c>
      <c r="C157" s="380" t="s">
        <v>463</v>
      </c>
      <c r="D157" s="380" t="str">
        <f>'[5]COM COMFR'!D157</f>
        <v>CET</v>
      </c>
      <c r="E157" s="380" t="s">
        <v>463</v>
      </c>
      <c r="F157" s="380" t="s">
        <v>463</v>
      </c>
      <c r="G157" s="380" t="str">
        <f>'[5]COM COMFR'!G157</f>
        <v>s2d1b2</v>
      </c>
      <c r="H157" s="380" t="s">
        <v>463</v>
      </c>
      <c r="I157" s="379">
        <v>0</v>
      </c>
      <c r="J157" s="380">
        <f>'[5]COM COMFR'!J157</f>
        <v>2.8049999999999999E-2</v>
      </c>
    </row>
    <row r="158" spans="2:10">
      <c r="B158" s="378" t="s">
        <v>767</v>
      </c>
      <c r="C158" s="380" t="s">
        <v>463</v>
      </c>
      <c r="D158" s="380" t="str">
        <f>'[5]COM COMFR'!D158</f>
        <v>CET</v>
      </c>
      <c r="E158" s="380" t="s">
        <v>463</v>
      </c>
      <c r="F158" s="380" t="s">
        <v>463</v>
      </c>
      <c r="G158" s="380" t="str">
        <f>'[5]COM COMFR'!G158</f>
        <v>s2d1b3</v>
      </c>
      <c r="H158" s="380" t="s">
        <v>463</v>
      </c>
      <c r="I158" s="379">
        <v>0</v>
      </c>
      <c r="J158" s="380">
        <f>'[5]COM COMFR'!J158</f>
        <v>2.8049999999999999E-2</v>
      </c>
    </row>
    <row r="159" spans="2:10">
      <c r="B159" s="378" t="s">
        <v>767</v>
      </c>
      <c r="C159" s="380" t="s">
        <v>463</v>
      </c>
      <c r="D159" s="380" t="str">
        <f>'[5]COM COMFR'!D159</f>
        <v>CET</v>
      </c>
      <c r="E159" s="380" t="s">
        <v>463</v>
      </c>
      <c r="F159" s="380" t="s">
        <v>463</v>
      </c>
      <c r="G159" s="380" t="str">
        <f>'[5]COM COMFR'!G159</f>
        <v>s2d1b4</v>
      </c>
      <c r="H159" s="380" t="s">
        <v>463</v>
      </c>
      <c r="I159" s="379">
        <v>0</v>
      </c>
      <c r="J159" s="380">
        <f>'[5]COM COMFR'!J159</f>
        <v>9.3500000000000007E-3</v>
      </c>
    </row>
    <row r="160" spans="2:10">
      <c r="B160" s="378" t="s">
        <v>767</v>
      </c>
      <c r="C160" s="380" t="s">
        <v>463</v>
      </c>
      <c r="D160" s="380" t="str">
        <f>'[5]COM COMFR'!D160</f>
        <v>CET</v>
      </c>
      <c r="E160" s="380" t="s">
        <v>463</v>
      </c>
      <c r="F160" s="380" t="s">
        <v>463</v>
      </c>
      <c r="G160" s="380" t="str">
        <f>'[5]COM COMFR'!G160</f>
        <v>s2d1b5</v>
      </c>
      <c r="H160" s="380" t="s">
        <v>463</v>
      </c>
      <c r="I160" s="379">
        <v>0</v>
      </c>
      <c r="J160" s="380">
        <f>'[5]COM COMFR'!J160</f>
        <v>9.3500000000000007E-3</v>
      </c>
    </row>
    <row r="161" spans="2:10">
      <c r="B161" s="378" t="s">
        <v>767</v>
      </c>
      <c r="C161" s="380" t="s">
        <v>463</v>
      </c>
      <c r="D161" s="380" t="str">
        <f>'[5]COM COMFR'!D161</f>
        <v>CET</v>
      </c>
      <c r="E161" s="380" t="s">
        <v>463</v>
      </c>
      <c r="F161" s="380" t="s">
        <v>463</v>
      </c>
      <c r="G161" s="380" t="str">
        <f>'[5]COM COMFR'!G161</f>
        <v>s2d2b1</v>
      </c>
      <c r="H161" s="380" t="s">
        <v>463</v>
      </c>
      <c r="I161" s="379">
        <v>0</v>
      </c>
      <c r="J161" s="380">
        <f>'[5]COM COMFR'!J161</f>
        <v>4.2079999999999999E-2</v>
      </c>
    </row>
    <row r="162" spans="2:10">
      <c r="B162" s="378" t="s">
        <v>767</v>
      </c>
      <c r="C162" s="380" t="s">
        <v>463</v>
      </c>
      <c r="D162" s="380" t="str">
        <f>'[5]COM COMFR'!D162</f>
        <v>CET</v>
      </c>
      <c r="E162" s="380" t="s">
        <v>463</v>
      </c>
      <c r="F162" s="380" t="s">
        <v>463</v>
      </c>
      <c r="G162" s="380" t="str">
        <f>'[5]COM COMFR'!G162</f>
        <v>s2d2b2</v>
      </c>
      <c r="H162" s="380" t="s">
        <v>463</v>
      </c>
      <c r="I162" s="379">
        <v>0</v>
      </c>
      <c r="J162" s="380">
        <f>'[5]COM COMFR'!J162</f>
        <v>5.1429999999999997E-2</v>
      </c>
    </row>
    <row r="163" spans="2:10">
      <c r="B163" s="378" t="s">
        <v>767</v>
      </c>
      <c r="C163" s="380" t="s">
        <v>463</v>
      </c>
      <c r="D163" s="380" t="str">
        <f>'[5]COM COMFR'!D163</f>
        <v>CET</v>
      </c>
      <c r="E163" s="380" t="s">
        <v>463</v>
      </c>
      <c r="F163" s="380" t="s">
        <v>463</v>
      </c>
      <c r="G163" s="380" t="str">
        <f>'[5]COM COMFR'!G163</f>
        <v>s2d2b3</v>
      </c>
      <c r="H163" s="380" t="s">
        <v>463</v>
      </c>
      <c r="I163" s="379">
        <v>0</v>
      </c>
      <c r="J163" s="380">
        <f>'[5]COM COMFR'!J163</f>
        <v>1.8700000000000001E-2</v>
      </c>
    </row>
    <row r="164" spans="2:10">
      <c r="B164" s="378" t="s">
        <v>767</v>
      </c>
      <c r="C164" s="380" t="s">
        <v>463</v>
      </c>
      <c r="D164" s="380" t="str">
        <f>'[5]COM COMFR'!D164</f>
        <v>CET</v>
      </c>
      <c r="E164" s="380" t="s">
        <v>463</v>
      </c>
      <c r="F164" s="380" t="s">
        <v>463</v>
      </c>
      <c r="G164" s="380" t="str">
        <f>'[5]COM COMFR'!G164</f>
        <v>s3d1b1</v>
      </c>
      <c r="H164" s="380" t="s">
        <v>463</v>
      </c>
      <c r="I164" s="379">
        <v>0</v>
      </c>
      <c r="J164" s="380">
        <f>'[5]COM COMFR'!J164</f>
        <v>3.7400000000000003E-2</v>
      </c>
    </row>
    <row r="165" spans="2:10">
      <c r="B165" s="378" t="s">
        <v>767</v>
      </c>
      <c r="C165" s="380" t="s">
        <v>463</v>
      </c>
      <c r="D165" s="380" t="str">
        <f>'[5]COM COMFR'!D165</f>
        <v>CET</v>
      </c>
      <c r="E165" s="380" t="s">
        <v>463</v>
      </c>
      <c r="F165" s="380" t="s">
        <v>463</v>
      </c>
      <c r="G165" s="380" t="str">
        <f>'[5]COM COMFR'!G165</f>
        <v>s3d1b2</v>
      </c>
      <c r="H165" s="380" t="s">
        <v>463</v>
      </c>
      <c r="I165" s="379">
        <v>0</v>
      </c>
      <c r="J165" s="380">
        <f>'[5]COM COMFR'!J165</f>
        <v>4.2079999999999999E-2</v>
      </c>
    </row>
    <row r="166" spans="2:10">
      <c r="B166" s="378" t="s">
        <v>767</v>
      </c>
      <c r="C166" s="380" t="s">
        <v>463</v>
      </c>
      <c r="D166" s="380" t="str">
        <f>'[5]COM COMFR'!D166</f>
        <v>CET</v>
      </c>
      <c r="E166" s="380" t="s">
        <v>463</v>
      </c>
      <c r="F166" s="380" t="s">
        <v>463</v>
      </c>
      <c r="G166" s="380" t="str">
        <f>'[5]COM COMFR'!G166</f>
        <v>s3d1b3</v>
      </c>
      <c r="H166" s="380" t="s">
        <v>463</v>
      </c>
      <c r="I166" s="379">
        <v>0</v>
      </c>
      <c r="J166" s="380">
        <f>'[5]COM COMFR'!J166</f>
        <v>3.2730000000000002E-2</v>
      </c>
    </row>
    <row r="167" spans="2:10">
      <c r="B167" s="378" t="s">
        <v>767</v>
      </c>
      <c r="C167" s="380" t="s">
        <v>463</v>
      </c>
      <c r="D167" s="380" t="str">
        <f>'[5]COM COMFR'!D167</f>
        <v>CET</v>
      </c>
      <c r="E167" s="380" t="s">
        <v>463</v>
      </c>
      <c r="F167" s="380" t="s">
        <v>463</v>
      </c>
      <c r="G167" s="380" t="str">
        <f>'[5]COM COMFR'!G167</f>
        <v>s3d2b1</v>
      </c>
      <c r="H167" s="380" t="s">
        <v>463</v>
      </c>
      <c r="I167" s="379">
        <v>0</v>
      </c>
      <c r="J167" s="380">
        <f>'[5]COM COMFR'!J167</f>
        <v>3.6299999999999999E-2</v>
      </c>
    </row>
    <row r="168" spans="2:10">
      <c r="B168" s="378" t="s">
        <v>767</v>
      </c>
      <c r="C168" s="380" t="s">
        <v>463</v>
      </c>
      <c r="D168" s="380" t="str">
        <f>'[5]COM COMFR'!D168</f>
        <v>CET</v>
      </c>
      <c r="E168" s="380" t="s">
        <v>463</v>
      </c>
      <c r="F168" s="380" t="s">
        <v>463</v>
      </c>
      <c r="G168" s="380" t="str">
        <f>'[5]COM COMFR'!G168</f>
        <v>s3d2b2</v>
      </c>
      <c r="H168" s="380" t="s">
        <v>463</v>
      </c>
      <c r="I168" s="379">
        <v>0</v>
      </c>
      <c r="J168" s="380">
        <f>'[5]COM COMFR'!J168</f>
        <v>4.0840000000000001E-2</v>
      </c>
    </row>
    <row r="169" spans="2:10">
      <c r="B169" s="378" t="s">
        <v>767</v>
      </c>
      <c r="C169" s="380" t="s">
        <v>463</v>
      </c>
      <c r="D169" s="380" t="str">
        <f>'[5]COM COMFR'!D169</f>
        <v>CET</v>
      </c>
      <c r="E169" s="380" t="s">
        <v>463</v>
      </c>
      <c r="F169" s="380" t="s">
        <v>463</v>
      </c>
      <c r="G169" s="380" t="str">
        <f>'[5]COM COMFR'!G169</f>
        <v>s3d2b3</v>
      </c>
      <c r="H169" s="380" t="s">
        <v>463</v>
      </c>
      <c r="I169" s="379">
        <v>0</v>
      </c>
      <c r="J169" s="380">
        <f>'[5]COM COMFR'!J169</f>
        <v>3.1759999999999997E-2</v>
      </c>
    </row>
    <row r="170" spans="2:10">
      <c r="B170" s="378" t="s">
        <v>767</v>
      </c>
      <c r="C170" s="380" t="s">
        <v>463</v>
      </c>
      <c r="D170" s="380" t="str">
        <f>'[5]COM COMFR'!D170</f>
        <v>CEO</v>
      </c>
      <c r="E170" s="380" t="s">
        <v>463</v>
      </c>
      <c r="F170" s="380" t="s">
        <v>463</v>
      </c>
      <c r="G170" s="380" t="str">
        <f>'[5]COM COMFR'!G170</f>
        <v>s1d1b1</v>
      </c>
      <c r="H170" s="380" t="s">
        <v>463</v>
      </c>
      <c r="I170" s="379">
        <v>0</v>
      </c>
      <c r="J170" s="380">
        <f>'[5]COM COMFR'!J170</f>
        <v>5.2670000000000002E-2</v>
      </c>
    </row>
    <row r="171" spans="2:10">
      <c r="B171" s="378" t="s">
        <v>767</v>
      </c>
      <c r="C171" s="380" t="s">
        <v>463</v>
      </c>
      <c r="D171" s="380" t="str">
        <f>'[5]COM COMFR'!D171</f>
        <v>CEO</v>
      </c>
      <c r="E171" s="380" t="s">
        <v>463</v>
      </c>
      <c r="F171" s="380" t="s">
        <v>463</v>
      </c>
      <c r="G171" s="380" t="str">
        <f>'[5]COM COMFR'!G171</f>
        <v>s1d1b2</v>
      </c>
      <c r="H171" s="380" t="s">
        <v>463</v>
      </c>
      <c r="I171" s="379">
        <v>0</v>
      </c>
      <c r="J171" s="380">
        <f>'[5]COM COMFR'!J171</f>
        <v>0.15711</v>
      </c>
    </row>
    <row r="172" spans="2:10">
      <c r="B172" s="378" t="s">
        <v>767</v>
      </c>
      <c r="C172" s="380" t="s">
        <v>463</v>
      </c>
      <c r="D172" s="380" t="str">
        <f>'[5]COM COMFR'!D172</f>
        <v>CEO</v>
      </c>
      <c r="E172" s="380" t="s">
        <v>463</v>
      </c>
      <c r="F172" s="380" t="s">
        <v>463</v>
      </c>
      <c r="G172" s="380" t="str">
        <f>'[5]COM COMFR'!G172</f>
        <v>s1d1b3</v>
      </c>
      <c r="H172" s="380" t="s">
        <v>463</v>
      </c>
      <c r="I172" s="379">
        <v>0</v>
      </c>
      <c r="J172" s="380">
        <f>'[5]COM COMFR'!J172</f>
        <v>3.9730000000000001E-2</v>
      </c>
    </row>
    <row r="173" spans="2:10">
      <c r="B173" s="378" t="s">
        <v>767</v>
      </c>
      <c r="C173" s="380" t="s">
        <v>463</v>
      </c>
      <c r="D173" s="380" t="str">
        <f>'[5]COM COMFR'!D173</f>
        <v>CEO</v>
      </c>
      <c r="E173" s="380" t="s">
        <v>463</v>
      </c>
      <c r="F173" s="380" t="s">
        <v>463</v>
      </c>
      <c r="G173" s="380" t="str">
        <f>'[5]COM COMFR'!G173</f>
        <v>s1d2b1</v>
      </c>
      <c r="H173" s="380" t="s">
        <v>463</v>
      </c>
      <c r="I173" s="379">
        <v>0</v>
      </c>
      <c r="J173" s="380">
        <f>'[5]COM COMFR'!J173</f>
        <v>3.5869999999999999E-2</v>
      </c>
    </row>
    <row r="174" spans="2:10">
      <c r="B174" s="378" t="s">
        <v>767</v>
      </c>
      <c r="C174" s="380" t="s">
        <v>463</v>
      </c>
      <c r="D174" s="380" t="str">
        <f>'[5]COM COMFR'!D174</f>
        <v>CEO</v>
      </c>
      <c r="E174" s="380" t="s">
        <v>463</v>
      </c>
      <c r="F174" s="380" t="s">
        <v>463</v>
      </c>
      <c r="G174" s="380" t="str">
        <f>'[5]COM COMFR'!G174</f>
        <v>s1d2b2</v>
      </c>
      <c r="H174" s="380" t="s">
        <v>463</v>
      </c>
      <c r="I174" s="379">
        <v>0</v>
      </c>
      <c r="J174" s="380">
        <f>'[5]COM COMFR'!J174</f>
        <v>5.4239999999999997E-2</v>
      </c>
    </row>
    <row r="175" spans="2:10">
      <c r="B175" s="378" t="s">
        <v>767</v>
      </c>
      <c r="C175" s="380" t="s">
        <v>463</v>
      </c>
      <c r="D175" s="380" t="str">
        <f>'[5]COM COMFR'!D175</f>
        <v>CEO</v>
      </c>
      <c r="E175" s="380" t="s">
        <v>463</v>
      </c>
      <c r="F175" s="380" t="s">
        <v>463</v>
      </c>
      <c r="G175" s="380" t="str">
        <f>'[5]COM COMFR'!G175</f>
        <v>s1d2b3</v>
      </c>
      <c r="H175" s="380" t="s">
        <v>463</v>
      </c>
      <c r="I175" s="379">
        <v>0</v>
      </c>
      <c r="J175" s="380">
        <f>'[5]COM COMFR'!J175</f>
        <v>1.6930000000000001E-2</v>
      </c>
    </row>
    <row r="176" spans="2:10">
      <c r="B176" s="378" t="s">
        <v>767</v>
      </c>
      <c r="C176" s="380" t="s">
        <v>463</v>
      </c>
      <c r="D176" s="380" t="str">
        <f>'[5]COM COMFR'!D176</f>
        <v>CEO</v>
      </c>
      <c r="E176" s="380" t="s">
        <v>463</v>
      </c>
      <c r="F176" s="380" t="s">
        <v>463</v>
      </c>
      <c r="G176" s="380" t="str">
        <f>'[5]COM COMFR'!G176</f>
        <v>s2d1b1</v>
      </c>
      <c r="H176" s="380" t="s">
        <v>463</v>
      </c>
      <c r="I176" s="379">
        <v>0</v>
      </c>
      <c r="J176" s="380">
        <f>'[5]COM COMFR'!J176</f>
        <v>4.6080000000000003E-2</v>
      </c>
    </row>
    <row r="177" spans="2:10">
      <c r="B177" s="378" t="s">
        <v>767</v>
      </c>
      <c r="C177" s="380" t="s">
        <v>463</v>
      </c>
      <c r="D177" s="380" t="str">
        <f>'[5]COM COMFR'!D177</f>
        <v>CEO</v>
      </c>
      <c r="E177" s="380" t="s">
        <v>463</v>
      </c>
      <c r="F177" s="380" t="s">
        <v>463</v>
      </c>
      <c r="G177" s="380" t="str">
        <f>'[5]COM COMFR'!G177</f>
        <v>s2d1b2</v>
      </c>
      <c r="H177" s="380" t="s">
        <v>463</v>
      </c>
      <c r="I177" s="379">
        <v>0</v>
      </c>
      <c r="J177" s="380">
        <f>'[5]COM COMFR'!J177</f>
        <v>3.6229999999999998E-2</v>
      </c>
    </row>
    <row r="178" spans="2:10">
      <c r="B178" s="378" t="s">
        <v>767</v>
      </c>
      <c r="C178" s="380" t="s">
        <v>463</v>
      </c>
      <c r="D178" s="380" t="str">
        <f>'[5]COM COMFR'!D178</f>
        <v>CEO</v>
      </c>
      <c r="E178" s="380" t="s">
        <v>463</v>
      </c>
      <c r="F178" s="380" t="s">
        <v>463</v>
      </c>
      <c r="G178" s="380" t="str">
        <f>'[5]COM COMFR'!G178</f>
        <v>s2d1b3</v>
      </c>
      <c r="H178" s="380" t="s">
        <v>463</v>
      </c>
      <c r="I178" s="379">
        <v>0</v>
      </c>
      <c r="J178" s="380">
        <f>'[5]COM COMFR'!J178</f>
        <v>9.4500000000000001E-2</v>
      </c>
    </row>
    <row r="179" spans="2:10">
      <c r="B179" s="378" t="s">
        <v>767</v>
      </c>
      <c r="C179" s="380" t="s">
        <v>463</v>
      </c>
      <c r="D179" s="380" t="str">
        <f>'[5]COM COMFR'!D179</f>
        <v>CEO</v>
      </c>
      <c r="E179" s="380" t="s">
        <v>463</v>
      </c>
      <c r="F179" s="380" t="s">
        <v>463</v>
      </c>
      <c r="G179" s="380" t="str">
        <f>'[5]COM COMFR'!G179</f>
        <v>s2d1b4</v>
      </c>
      <c r="H179" s="380" t="s">
        <v>463</v>
      </c>
      <c r="I179" s="379">
        <v>0</v>
      </c>
      <c r="J179" s="380">
        <f>'[5]COM COMFR'!J179</f>
        <v>2.8490000000000001E-2</v>
      </c>
    </row>
    <row r="180" spans="2:10">
      <c r="B180" s="378" t="s">
        <v>767</v>
      </c>
      <c r="C180" s="380" t="s">
        <v>463</v>
      </c>
      <c r="D180" s="380" t="str">
        <f>'[5]COM COMFR'!D180</f>
        <v>CEO</v>
      </c>
      <c r="E180" s="380" t="s">
        <v>463</v>
      </c>
      <c r="F180" s="380" t="s">
        <v>463</v>
      </c>
      <c r="G180" s="380" t="str">
        <f>'[5]COM COMFR'!G180</f>
        <v>s2d1b5</v>
      </c>
      <c r="H180" s="380" t="s">
        <v>463</v>
      </c>
      <c r="I180" s="379">
        <v>0</v>
      </c>
      <c r="J180" s="380">
        <f>'[5]COM COMFR'!J180</f>
        <v>8.6199999999999992E-3</v>
      </c>
    </row>
    <row r="181" spans="2:10">
      <c r="B181" s="378" t="s">
        <v>767</v>
      </c>
      <c r="C181" s="380" t="s">
        <v>463</v>
      </c>
      <c r="D181" s="380" t="str">
        <f>'[5]COM COMFR'!D181</f>
        <v>CEO</v>
      </c>
      <c r="E181" s="380" t="s">
        <v>463</v>
      </c>
      <c r="F181" s="380" t="s">
        <v>463</v>
      </c>
      <c r="G181" s="380" t="str">
        <f>'[5]COM COMFR'!G181</f>
        <v>s2d2b1</v>
      </c>
      <c r="H181" s="380" t="s">
        <v>463</v>
      </c>
      <c r="I181" s="379">
        <v>0</v>
      </c>
      <c r="J181" s="380">
        <f>'[5]COM COMFR'!J181</f>
        <v>3.0790000000000001E-2</v>
      </c>
    </row>
    <row r="182" spans="2:10">
      <c r="B182" s="378" t="s">
        <v>767</v>
      </c>
      <c r="C182" s="380" t="s">
        <v>463</v>
      </c>
      <c r="D182" s="380" t="str">
        <f>'[5]COM COMFR'!D182</f>
        <v>CEO</v>
      </c>
      <c r="E182" s="380" t="s">
        <v>463</v>
      </c>
      <c r="F182" s="380" t="s">
        <v>463</v>
      </c>
      <c r="G182" s="380" t="str">
        <f>'[5]COM COMFR'!G182</f>
        <v>s2d2b2</v>
      </c>
      <c r="H182" s="380" t="s">
        <v>463</v>
      </c>
      <c r="I182" s="379">
        <v>0</v>
      </c>
      <c r="J182" s="380">
        <f>'[5]COM COMFR'!J182</f>
        <v>4.6629999999999998E-2</v>
      </c>
    </row>
    <row r="183" spans="2:10">
      <c r="B183" s="378" t="s">
        <v>767</v>
      </c>
      <c r="C183" s="380" t="s">
        <v>463</v>
      </c>
      <c r="D183" s="380" t="str">
        <f>'[5]COM COMFR'!D183</f>
        <v>CEO</v>
      </c>
      <c r="E183" s="380" t="s">
        <v>463</v>
      </c>
      <c r="F183" s="380" t="s">
        <v>463</v>
      </c>
      <c r="G183" s="380" t="str">
        <f>'[5]COM COMFR'!G183</f>
        <v>s2d2b3</v>
      </c>
      <c r="H183" s="380" t="s">
        <v>463</v>
      </c>
      <c r="I183" s="379">
        <v>0</v>
      </c>
      <c r="J183" s="380">
        <f>'[5]COM COMFR'!J183</f>
        <v>1.46E-2</v>
      </c>
    </row>
    <row r="184" spans="2:10">
      <c r="B184" s="378" t="s">
        <v>767</v>
      </c>
      <c r="C184" s="380" t="s">
        <v>463</v>
      </c>
      <c r="D184" s="380" t="str">
        <f>'[5]COM COMFR'!D184</f>
        <v>CEO</v>
      </c>
      <c r="E184" s="380" t="s">
        <v>463</v>
      </c>
      <c r="F184" s="380" t="s">
        <v>463</v>
      </c>
      <c r="G184" s="380" t="str">
        <f>'[5]COM COMFR'!G184</f>
        <v>s3d1b1</v>
      </c>
      <c r="H184" s="380" t="s">
        <v>463</v>
      </c>
      <c r="I184" s="379">
        <v>0</v>
      </c>
      <c r="J184" s="380">
        <f>'[5]COM COMFR'!J184</f>
        <v>5.7259999999999998E-2</v>
      </c>
    </row>
    <row r="185" spans="2:10">
      <c r="B185" s="378" t="s">
        <v>767</v>
      </c>
      <c r="C185" s="380" t="s">
        <v>463</v>
      </c>
      <c r="D185" s="380" t="str">
        <f>'[5]COM COMFR'!D185</f>
        <v>CEO</v>
      </c>
      <c r="E185" s="380" t="s">
        <v>463</v>
      </c>
      <c r="F185" s="380" t="s">
        <v>463</v>
      </c>
      <c r="G185" s="380" t="str">
        <f>'[5]COM COMFR'!G185</f>
        <v>s3d1b2</v>
      </c>
      <c r="H185" s="380" t="s">
        <v>463</v>
      </c>
      <c r="I185" s="379">
        <v>0</v>
      </c>
      <c r="J185" s="380">
        <f>'[5]COM COMFR'!J185</f>
        <v>0.14659</v>
      </c>
    </row>
    <row r="186" spans="2:10">
      <c r="B186" s="378" t="s">
        <v>767</v>
      </c>
      <c r="C186" s="380" t="s">
        <v>463</v>
      </c>
      <c r="D186" s="380" t="str">
        <f>'[5]COM COMFR'!D186</f>
        <v>CEO</v>
      </c>
      <c r="E186" s="380" t="s">
        <v>463</v>
      </c>
      <c r="F186" s="380" t="s">
        <v>463</v>
      </c>
      <c r="G186" s="380" t="str">
        <f>'[5]COM COMFR'!G186</f>
        <v>s3d1b3</v>
      </c>
      <c r="H186" s="380" t="s">
        <v>463</v>
      </c>
      <c r="I186" s="379">
        <v>0</v>
      </c>
      <c r="J186" s="380">
        <f>'[5]COM COMFR'!J186</f>
        <v>3.8609999999999998E-2</v>
      </c>
    </row>
    <row r="187" spans="2:10">
      <c r="B187" s="378" t="s">
        <v>767</v>
      </c>
      <c r="C187" s="380" t="s">
        <v>463</v>
      </c>
      <c r="D187" s="380" t="str">
        <f>'[5]COM COMFR'!D187</f>
        <v>CEO</v>
      </c>
      <c r="E187" s="380" t="s">
        <v>463</v>
      </c>
      <c r="F187" s="380" t="s">
        <v>463</v>
      </c>
      <c r="G187" s="380" t="str">
        <f>'[5]COM COMFR'!G187</f>
        <v>s3d2b1</v>
      </c>
      <c r="H187" s="380" t="s">
        <v>463</v>
      </c>
      <c r="I187" s="379">
        <v>0</v>
      </c>
      <c r="J187" s="380">
        <f>'[5]COM COMFR'!J187</f>
        <v>3.1850000000000003E-2</v>
      </c>
    </row>
    <row r="188" spans="2:10">
      <c r="B188" s="378" t="s">
        <v>767</v>
      </c>
      <c r="C188" s="380" t="s">
        <v>463</v>
      </c>
      <c r="D188" s="380" t="str">
        <f>'[5]COM COMFR'!D188</f>
        <v>CEO</v>
      </c>
      <c r="E188" s="380" t="s">
        <v>463</v>
      </c>
      <c r="F188" s="380" t="s">
        <v>463</v>
      </c>
      <c r="G188" s="380" t="str">
        <f>'[5]COM COMFR'!G188</f>
        <v>s3d2b2</v>
      </c>
      <c r="H188" s="380" t="s">
        <v>463</v>
      </c>
      <c r="I188" s="379">
        <v>0</v>
      </c>
      <c r="J188" s="380">
        <f>'[5]COM COMFR'!J188</f>
        <v>4.8169999999999998E-2</v>
      </c>
    </row>
    <row r="189" spans="2:10">
      <c r="B189" s="378" t="s">
        <v>767</v>
      </c>
      <c r="C189" s="380" t="s">
        <v>463</v>
      </c>
      <c r="D189" s="380" t="str">
        <f>'[5]COM COMFR'!D189</f>
        <v>CEO</v>
      </c>
      <c r="E189" s="380" t="s">
        <v>463</v>
      </c>
      <c r="F189" s="380" t="s">
        <v>463</v>
      </c>
      <c r="G189" s="380" t="str">
        <f>'[5]COM COMFR'!G189</f>
        <v>s3d2b3</v>
      </c>
      <c r="H189" s="380" t="s">
        <v>463</v>
      </c>
      <c r="I189" s="379">
        <v>0</v>
      </c>
      <c r="J189" s="380">
        <f>'[5]COM COMFR'!J189</f>
        <v>1.503E-2</v>
      </c>
    </row>
    <row r="190" spans="2:10">
      <c r="B190" s="378" t="s">
        <v>767</v>
      </c>
      <c r="C190" s="380" t="s">
        <v>463</v>
      </c>
      <c r="D190" s="380" t="str">
        <f>"CN"&amp;RIGHT(D10,1)</f>
        <v>CNC</v>
      </c>
      <c r="E190" s="380" t="s">
        <v>463</v>
      </c>
      <c r="F190" s="380" t="s">
        <v>463</v>
      </c>
      <c r="G190" s="380" t="str">
        <f t="shared" ref="G190:G221" si="1">G10</f>
        <v>s1d1b1</v>
      </c>
      <c r="H190" s="380" t="s">
        <v>463</v>
      </c>
      <c r="I190" s="379">
        <v>0</v>
      </c>
      <c r="J190" s="380">
        <f>J10</f>
        <v>7.2179999999999994E-2</v>
      </c>
    </row>
    <row r="191" spans="2:10">
      <c r="B191" s="378" t="s">
        <v>767</v>
      </c>
      <c r="C191" s="380" t="s">
        <v>463</v>
      </c>
      <c r="D191" s="380" t="str">
        <f t="shared" ref="D191:D221" si="2">"CN"&amp;RIGHT(D11,1)</f>
        <v>CNC</v>
      </c>
      <c r="E191" s="380" t="s">
        <v>463</v>
      </c>
      <c r="F191" s="380" t="s">
        <v>463</v>
      </c>
      <c r="G191" s="380" t="str">
        <f t="shared" si="1"/>
        <v>s1d1b2</v>
      </c>
      <c r="H191" s="380" t="s">
        <v>463</v>
      </c>
      <c r="I191" s="379">
        <v>0</v>
      </c>
      <c r="J191" s="380">
        <f t="shared" ref="J191" si="3">J11</f>
        <v>0.13908999999999985</v>
      </c>
    </row>
    <row r="192" spans="2:10">
      <c r="B192" s="378" t="s">
        <v>767</v>
      </c>
      <c r="C192" s="380" t="s">
        <v>463</v>
      </c>
      <c r="D192" s="380" t="str">
        <f t="shared" si="2"/>
        <v>CNC</v>
      </c>
      <c r="E192" s="380" t="s">
        <v>463</v>
      </c>
      <c r="F192" s="380" t="s">
        <v>463</v>
      </c>
      <c r="G192" s="380" t="str">
        <f t="shared" si="1"/>
        <v>s1d1b3</v>
      </c>
      <c r="H192" s="380" t="s">
        <v>463</v>
      </c>
      <c r="I192" s="379">
        <v>0</v>
      </c>
      <c r="J192" s="380">
        <f t="shared" ref="J192" si="4">J12</f>
        <v>5.2249999999999998E-2</v>
      </c>
    </row>
    <row r="193" spans="2:10">
      <c r="B193" s="378" t="s">
        <v>767</v>
      </c>
      <c r="C193" s="380" t="s">
        <v>463</v>
      </c>
      <c r="D193" s="380" t="str">
        <f t="shared" si="2"/>
        <v>CNC</v>
      </c>
      <c r="E193" s="380" t="s">
        <v>463</v>
      </c>
      <c r="F193" s="380" t="s">
        <v>463</v>
      </c>
      <c r="G193" s="380" t="str">
        <f t="shared" si="1"/>
        <v>s1d2b1</v>
      </c>
      <c r="H193" s="380" t="s">
        <v>463</v>
      </c>
      <c r="I193" s="379">
        <v>0</v>
      </c>
      <c r="J193" s="380">
        <f t="shared" ref="J193" si="5">J13</f>
        <v>3.3500000000000002E-2</v>
      </c>
    </row>
    <row r="194" spans="2:10">
      <c r="B194" s="378" t="s">
        <v>767</v>
      </c>
      <c r="C194" s="380" t="s">
        <v>463</v>
      </c>
      <c r="D194" s="380" t="str">
        <f t="shared" si="2"/>
        <v>CNC</v>
      </c>
      <c r="E194" s="380" t="s">
        <v>463</v>
      </c>
      <c r="F194" s="380" t="s">
        <v>463</v>
      </c>
      <c r="G194" s="380" t="str">
        <f t="shared" si="1"/>
        <v>s1d2b2</v>
      </c>
      <c r="H194" s="380" t="s">
        <v>463</v>
      </c>
      <c r="I194" s="379">
        <v>0</v>
      </c>
      <c r="J194" s="380">
        <f t="shared" ref="J194" si="6">J14</f>
        <v>5.7119999999999997E-2</v>
      </c>
    </row>
    <row r="195" spans="2:10">
      <c r="B195" s="378" t="s">
        <v>767</v>
      </c>
      <c r="C195" s="380" t="s">
        <v>463</v>
      </c>
      <c r="D195" s="380" t="str">
        <f t="shared" si="2"/>
        <v>CNC</v>
      </c>
      <c r="E195" s="380" t="s">
        <v>463</v>
      </c>
      <c r="F195" s="380" t="s">
        <v>463</v>
      </c>
      <c r="G195" s="380" t="str">
        <f t="shared" si="1"/>
        <v>s1d2b3</v>
      </c>
      <c r="H195" s="380" t="s">
        <v>463</v>
      </c>
      <c r="I195" s="379">
        <v>0</v>
      </c>
      <c r="J195" s="380">
        <f t="shared" ref="J195" si="7">J15</f>
        <v>2.2409999999999999E-2</v>
      </c>
    </row>
    <row r="196" spans="2:10">
      <c r="B196" s="378" t="s">
        <v>767</v>
      </c>
      <c r="C196" s="380" t="s">
        <v>463</v>
      </c>
      <c r="D196" s="380" t="str">
        <f t="shared" si="2"/>
        <v>CNC</v>
      </c>
      <c r="E196" s="380" t="s">
        <v>463</v>
      </c>
      <c r="F196" s="380" t="s">
        <v>463</v>
      </c>
      <c r="G196" s="380" t="str">
        <f t="shared" si="1"/>
        <v>s2d1b1</v>
      </c>
      <c r="H196" s="380" t="s">
        <v>463</v>
      </c>
      <c r="I196" s="379">
        <v>0</v>
      </c>
      <c r="J196" s="380">
        <f t="shared" ref="J196" si="8">J16</f>
        <v>4.5870000000000001E-2</v>
      </c>
    </row>
    <row r="197" spans="2:10">
      <c r="B197" s="378" t="s">
        <v>767</v>
      </c>
      <c r="C197" s="380" t="s">
        <v>463</v>
      </c>
      <c r="D197" s="380" t="str">
        <f t="shared" si="2"/>
        <v>CNC</v>
      </c>
      <c r="E197" s="380" t="s">
        <v>463</v>
      </c>
      <c r="F197" s="380" t="s">
        <v>463</v>
      </c>
      <c r="G197" s="380" t="str">
        <f t="shared" si="1"/>
        <v>s2d1b2</v>
      </c>
      <c r="H197" s="380" t="s">
        <v>463</v>
      </c>
      <c r="I197" s="379">
        <v>0</v>
      </c>
      <c r="J197" s="380">
        <f t="shared" ref="J197" si="9">J17</f>
        <v>2.0400000000000001E-2</v>
      </c>
    </row>
    <row r="198" spans="2:10">
      <c r="B198" s="378" t="s">
        <v>767</v>
      </c>
      <c r="C198" s="380" t="s">
        <v>463</v>
      </c>
      <c r="D198" s="380" t="str">
        <f t="shared" si="2"/>
        <v>CNC</v>
      </c>
      <c r="E198" s="380" t="s">
        <v>463</v>
      </c>
      <c r="F198" s="380" t="s">
        <v>463</v>
      </c>
      <c r="G198" s="380" t="str">
        <f t="shared" si="1"/>
        <v>s2d1b3</v>
      </c>
      <c r="H198" s="380" t="s">
        <v>463</v>
      </c>
      <c r="I198" s="379">
        <v>0</v>
      </c>
      <c r="J198" s="380">
        <f t="shared" ref="J198" si="10">J18</f>
        <v>7.1370000000000003E-2</v>
      </c>
    </row>
    <row r="199" spans="2:10">
      <c r="B199" s="378" t="s">
        <v>767</v>
      </c>
      <c r="C199" s="380" t="s">
        <v>463</v>
      </c>
      <c r="D199" s="380" t="str">
        <f t="shared" si="2"/>
        <v>CNC</v>
      </c>
      <c r="E199" s="380" t="s">
        <v>463</v>
      </c>
      <c r="F199" s="380" t="s">
        <v>463</v>
      </c>
      <c r="G199" s="380" t="str">
        <f t="shared" si="1"/>
        <v>s2d1b4</v>
      </c>
      <c r="H199" s="380" t="s">
        <v>463</v>
      </c>
      <c r="I199" s="379">
        <v>0</v>
      </c>
      <c r="J199" s="380">
        <f t="shared" ref="J199" si="11">J19</f>
        <v>2.7650000000000001E-2</v>
      </c>
    </row>
    <row r="200" spans="2:10">
      <c r="B200" s="378" t="s">
        <v>767</v>
      </c>
      <c r="C200" s="380" t="s">
        <v>463</v>
      </c>
      <c r="D200" s="380" t="str">
        <f t="shared" si="2"/>
        <v>CNC</v>
      </c>
      <c r="E200" s="380" t="s">
        <v>463</v>
      </c>
      <c r="F200" s="380" t="s">
        <v>463</v>
      </c>
      <c r="G200" s="380" t="str">
        <f t="shared" si="1"/>
        <v>s2d1b5</v>
      </c>
      <c r="H200" s="380" t="s">
        <v>463</v>
      </c>
      <c r="I200" s="379">
        <v>0</v>
      </c>
      <c r="J200" s="380">
        <f t="shared" ref="J200" si="12">J20</f>
        <v>1.367E-2</v>
      </c>
    </row>
    <row r="201" spans="2:10">
      <c r="B201" s="378" t="s">
        <v>767</v>
      </c>
      <c r="C201" s="380" t="s">
        <v>463</v>
      </c>
      <c r="D201" s="380" t="str">
        <f t="shared" si="2"/>
        <v>CNC</v>
      </c>
      <c r="E201" s="380" t="s">
        <v>463</v>
      </c>
      <c r="F201" s="380" t="s">
        <v>463</v>
      </c>
      <c r="G201" s="380" t="str">
        <f t="shared" si="1"/>
        <v>s2d2b1</v>
      </c>
      <c r="H201" s="380" t="s">
        <v>463</v>
      </c>
      <c r="I201" s="379">
        <v>0</v>
      </c>
      <c r="J201" s="380">
        <f t="shared" ref="J201" si="13">J21</f>
        <v>2.282E-2</v>
      </c>
    </row>
    <row r="202" spans="2:10">
      <c r="B202" s="378" t="s">
        <v>767</v>
      </c>
      <c r="C202" s="380" t="s">
        <v>463</v>
      </c>
      <c r="D202" s="380" t="str">
        <f t="shared" si="2"/>
        <v>CNC</v>
      </c>
      <c r="E202" s="380" t="s">
        <v>463</v>
      </c>
      <c r="F202" s="380" t="s">
        <v>463</v>
      </c>
      <c r="G202" s="380" t="str">
        <f t="shared" si="1"/>
        <v>s2d2b2</v>
      </c>
      <c r="H202" s="380" t="s">
        <v>463</v>
      </c>
      <c r="I202" s="379">
        <v>0</v>
      </c>
      <c r="J202" s="380">
        <f t="shared" ref="J202" si="14">J22</f>
        <v>3.8899999999999997E-2</v>
      </c>
    </row>
    <row r="203" spans="2:10">
      <c r="B203" s="378" t="s">
        <v>767</v>
      </c>
      <c r="C203" s="380" t="s">
        <v>463</v>
      </c>
      <c r="D203" s="380" t="str">
        <f t="shared" si="2"/>
        <v>CNC</v>
      </c>
      <c r="E203" s="380" t="s">
        <v>463</v>
      </c>
      <c r="F203" s="380" t="s">
        <v>463</v>
      </c>
      <c r="G203" s="380" t="str">
        <f t="shared" si="1"/>
        <v>s2d2b3</v>
      </c>
      <c r="H203" s="380" t="s">
        <v>463</v>
      </c>
      <c r="I203" s="379">
        <v>0</v>
      </c>
      <c r="J203" s="380">
        <f t="shared" ref="J203" si="15">J23</f>
        <v>1.5259999999999999E-2</v>
      </c>
    </row>
    <row r="204" spans="2:10">
      <c r="B204" s="378" t="s">
        <v>767</v>
      </c>
      <c r="C204" s="380" t="s">
        <v>463</v>
      </c>
      <c r="D204" s="380" t="str">
        <f t="shared" si="2"/>
        <v>CNC</v>
      </c>
      <c r="E204" s="380" t="s">
        <v>463</v>
      </c>
      <c r="F204" s="380" t="s">
        <v>463</v>
      </c>
      <c r="G204" s="380" t="str">
        <f t="shared" si="1"/>
        <v>s3d1b1</v>
      </c>
      <c r="H204" s="380" t="s">
        <v>463</v>
      </c>
      <c r="I204" s="379">
        <v>0</v>
      </c>
      <c r="J204" s="380">
        <f t="shared" ref="J204" si="16">J24</f>
        <v>7.825E-2</v>
      </c>
    </row>
    <row r="205" spans="2:10">
      <c r="B205" s="378" t="s">
        <v>767</v>
      </c>
      <c r="C205" s="380" t="s">
        <v>463</v>
      </c>
      <c r="D205" s="380" t="str">
        <f t="shared" si="2"/>
        <v>CNC</v>
      </c>
      <c r="E205" s="380" t="s">
        <v>463</v>
      </c>
      <c r="F205" s="380" t="s">
        <v>463</v>
      </c>
      <c r="G205" s="380" t="str">
        <f t="shared" si="1"/>
        <v>s3d1b2</v>
      </c>
      <c r="H205" s="380" t="s">
        <v>463</v>
      </c>
      <c r="I205" s="379">
        <v>0</v>
      </c>
      <c r="J205" s="380">
        <f t="shared" ref="J205" si="17">J25</f>
        <v>0.13341</v>
      </c>
    </row>
    <row r="206" spans="2:10">
      <c r="B206" s="378" t="s">
        <v>767</v>
      </c>
      <c r="C206" s="380" t="s">
        <v>463</v>
      </c>
      <c r="D206" s="380" t="str">
        <f t="shared" si="2"/>
        <v>CNC</v>
      </c>
      <c r="E206" s="380" t="s">
        <v>463</v>
      </c>
      <c r="F206" s="380" t="s">
        <v>463</v>
      </c>
      <c r="G206" s="380" t="str">
        <f t="shared" si="1"/>
        <v>s3d1b3</v>
      </c>
      <c r="H206" s="380" t="s">
        <v>463</v>
      </c>
      <c r="I206" s="379">
        <v>0</v>
      </c>
      <c r="J206" s="380">
        <f t="shared" ref="J206" si="18">J26</f>
        <v>5.2350000000000001E-2</v>
      </c>
    </row>
    <row r="207" spans="2:10">
      <c r="B207" s="378" t="s">
        <v>767</v>
      </c>
      <c r="C207" s="380" t="s">
        <v>463</v>
      </c>
      <c r="D207" s="380" t="str">
        <f t="shared" si="2"/>
        <v>CNC</v>
      </c>
      <c r="E207" s="380" t="s">
        <v>463</v>
      </c>
      <c r="F207" s="380" t="s">
        <v>463</v>
      </c>
      <c r="G207" s="380" t="str">
        <f t="shared" si="1"/>
        <v>s3d2b1</v>
      </c>
      <c r="H207" s="380" t="s">
        <v>463</v>
      </c>
      <c r="I207" s="379">
        <v>0</v>
      </c>
      <c r="J207" s="380">
        <f t="shared" ref="J207" si="19">J27</f>
        <v>3.0679999999999999E-2</v>
      </c>
    </row>
    <row r="208" spans="2:10">
      <c r="B208" s="378" t="s">
        <v>767</v>
      </c>
      <c r="C208" s="380" t="s">
        <v>463</v>
      </c>
      <c r="D208" s="380" t="str">
        <f t="shared" si="2"/>
        <v>CNC</v>
      </c>
      <c r="E208" s="380" t="s">
        <v>463</v>
      </c>
      <c r="F208" s="380" t="s">
        <v>463</v>
      </c>
      <c r="G208" s="380" t="str">
        <f t="shared" si="1"/>
        <v>s3d2b2</v>
      </c>
      <c r="H208" s="380" t="s">
        <v>463</v>
      </c>
      <c r="I208" s="379">
        <v>0</v>
      </c>
      <c r="J208" s="380">
        <f t="shared" ref="J208" si="20">J28</f>
        <v>5.2299999999999999E-2</v>
      </c>
    </row>
    <row r="209" spans="2:10">
      <c r="B209" s="378" t="s">
        <v>767</v>
      </c>
      <c r="C209" s="380" t="s">
        <v>463</v>
      </c>
      <c r="D209" s="380" t="str">
        <f t="shared" si="2"/>
        <v>CNC</v>
      </c>
      <c r="E209" s="380" t="s">
        <v>463</v>
      </c>
      <c r="F209" s="380" t="s">
        <v>463</v>
      </c>
      <c r="G209" s="380" t="str">
        <f t="shared" si="1"/>
        <v>s3d2b3</v>
      </c>
      <c r="H209" s="380" t="s">
        <v>463</v>
      </c>
      <c r="I209" s="379">
        <v>0</v>
      </c>
      <c r="J209" s="380">
        <f t="shared" ref="J209" si="21">J29</f>
        <v>2.052E-2</v>
      </c>
    </row>
    <row r="210" spans="2:10">
      <c r="B210" s="378" t="s">
        <v>767</v>
      </c>
      <c r="C210" s="380" t="s">
        <v>463</v>
      </c>
      <c r="D210" s="380" t="str">
        <f t="shared" si="2"/>
        <v>CNH</v>
      </c>
      <c r="E210" s="380" t="s">
        <v>463</v>
      </c>
      <c r="F210" s="380" t="s">
        <v>463</v>
      </c>
      <c r="G210" s="380" t="str">
        <f t="shared" si="1"/>
        <v>s1d1b1</v>
      </c>
      <c r="H210" s="380" t="s">
        <v>463</v>
      </c>
      <c r="I210" s="379">
        <v>0</v>
      </c>
      <c r="J210" s="380">
        <f t="shared" ref="J210" si="22">J30</f>
        <v>4.9180000000000001E-2</v>
      </c>
    </row>
    <row r="211" spans="2:10">
      <c r="B211" s="378" t="s">
        <v>767</v>
      </c>
      <c r="C211" s="380" t="s">
        <v>463</v>
      </c>
      <c r="D211" s="380" t="str">
        <f t="shared" si="2"/>
        <v>CNH</v>
      </c>
      <c r="E211" s="380" t="s">
        <v>463</v>
      </c>
      <c r="F211" s="380" t="s">
        <v>463</v>
      </c>
      <c r="G211" s="380" t="str">
        <f t="shared" si="1"/>
        <v>s1d1b2</v>
      </c>
      <c r="H211" s="380" t="s">
        <v>463</v>
      </c>
      <c r="I211" s="379">
        <v>0</v>
      </c>
      <c r="J211" s="380">
        <f t="shared" ref="J211" si="23">J31</f>
        <v>9.4759999999999997E-2</v>
      </c>
    </row>
    <row r="212" spans="2:10">
      <c r="B212" s="378" t="s">
        <v>767</v>
      </c>
      <c r="C212" s="380" t="s">
        <v>463</v>
      </c>
      <c r="D212" s="380" t="str">
        <f t="shared" si="2"/>
        <v>CNH</v>
      </c>
      <c r="E212" s="380" t="s">
        <v>463</v>
      </c>
      <c r="F212" s="380" t="s">
        <v>463</v>
      </c>
      <c r="G212" s="380" t="str">
        <f t="shared" si="1"/>
        <v>s1d1b3</v>
      </c>
      <c r="H212" s="380" t="s">
        <v>463</v>
      </c>
      <c r="I212" s="379">
        <v>0</v>
      </c>
      <c r="J212" s="380">
        <f t="shared" ref="J212" si="24">J32</f>
        <v>3.56E-2</v>
      </c>
    </row>
    <row r="213" spans="2:10">
      <c r="B213" s="378" t="s">
        <v>767</v>
      </c>
      <c r="C213" s="380" t="s">
        <v>463</v>
      </c>
      <c r="D213" s="380" t="str">
        <f t="shared" si="2"/>
        <v>CNH</v>
      </c>
      <c r="E213" s="380" t="s">
        <v>463</v>
      </c>
      <c r="F213" s="380" t="s">
        <v>463</v>
      </c>
      <c r="G213" s="380" t="str">
        <f t="shared" si="1"/>
        <v>s1d2b1</v>
      </c>
      <c r="H213" s="380" t="s">
        <v>463</v>
      </c>
      <c r="I213" s="379">
        <v>0</v>
      </c>
      <c r="J213" s="380">
        <f t="shared" ref="J213" si="25">J33</f>
        <v>2.283E-2</v>
      </c>
    </row>
    <row r="214" spans="2:10">
      <c r="B214" s="378" t="s">
        <v>767</v>
      </c>
      <c r="C214" s="380" t="s">
        <v>463</v>
      </c>
      <c r="D214" s="380" t="str">
        <f t="shared" si="2"/>
        <v>CNH</v>
      </c>
      <c r="E214" s="380" t="s">
        <v>463</v>
      </c>
      <c r="F214" s="380" t="s">
        <v>463</v>
      </c>
      <c r="G214" s="380" t="str">
        <f t="shared" si="1"/>
        <v>s1d2b2</v>
      </c>
      <c r="H214" s="380" t="s">
        <v>463</v>
      </c>
      <c r="I214" s="379">
        <v>0</v>
      </c>
      <c r="J214" s="380">
        <f t="shared" ref="J214" si="26">J34</f>
        <v>3.8920000000000003E-2</v>
      </c>
    </row>
    <row r="215" spans="2:10">
      <c r="B215" s="378" t="s">
        <v>767</v>
      </c>
      <c r="C215" s="380" t="s">
        <v>463</v>
      </c>
      <c r="D215" s="380" t="str">
        <f t="shared" si="2"/>
        <v>CNH</v>
      </c>
      <c r="E215" s="380" t="s">
        <v>463</v>
      </c>
      <c r="F215" s="380" t="s">
        <v>463</v>
      </c>
      <c r="G215" s="380" t="str">
        <f t="shared" si="1"/>
        <v>s1d2b3</v>
      </c>
      <c r="H215" s="380" t="s">
        <v>463</v>
      </c>
      <c r="I215" s="379">
        <v>0</v>
      </c>
      <c r="J215" s="380">
        <f t="shared" ref="J215" si="27">J35</f>
        <v>1.5270000000000001E-2</v>
      </c>
    </row>
    <row r="216" spans="2:10">
      <c r="B216" s="378" t="s">
        <v>767</v>
      </c>
      <c r="C216" s="380" t="s">
        <v>463</v>
      </c>
      <c r="D216" s="380" t="str">
        <f t="shared" si="2"/>
        <v>CNH</v>
      </c>
      <c r="E216" s="380" t="s">
        <v>463</v>
      </c>
      <c r="F216" s="380" t="s">
        <v>463</v>
      </c>
      <c r="G216" s="380" t="str">
        <f t="shared" si="1"/>
        <v>s2d1b1</v>
      </c>
      <c r="H216" s="380" t="s">
        <v>463</v>
      </c>
      <c r="I216" s="379">
        <v>0</v>
      </c>
      <c r="J216" s="380">
        <f t="shared" ref="J216" si="28">J36</f>
        <v>8.1710000000000005E-2</v>
      </c>
    </row>
    <row r="217" spans="2:10">
      <c r="B217" s="378" t="s">
        <v>767</v>
      </c>
      <c r="C217" s="380" t="s">
        <v>463</v>
      </c>
      <c r="D217" s="380" t="str">
        <f t="shared" si="2"/>
        <v>CNH</v>
      </c>
      <c r="E217" s="380" t="s">
        <v>463</v>
      </c>
      <c r="F217" s="380" t="s">
        <v>463</v>
      </c>
      <c r="G217" s="380" t="str">
        <f t="shared" si="1"/>
        <v>s2d1b2</v>
      </c>
      <c r="H217" s="380" t="s">
        <v>463</v>
      </c>
      <c r="I217" s="379">
        <v>0</v>
      </c>
      <c r="J217" s="380">
        <f t="shared" ref="J217" si="29">J37</f>
        <v>3.6339999999999997E-2</v>
      </c>
    </row>
    <row r="218" spans="2:10">
      <c r="B218" s="378" t="s">
        <v>767</v>
      </c>
      <c r="C218" s="380" t="s">
        <v>463</v>
      </c>
      <c r="D218" s="380" t="str">
        <f t="shared" si="2"/>
        <v>CNH</v>
      </c>
      <c r="E218" s="380" t="s">
        <v>463</v>
      </c>
      <c r="F218" s="380" t="s">
        <v>463</v>
      </c>
      <c r="G218" s="380" t="str">
        <f t="shared" si="1"/>
        <v>s2d1b3</v>
      </c>
      <c r="H218" s="380" t="s">
        <v>463</v>
      </c>
      <c r="I218" s="379">
        <v>0</v>
      </c>
      <c r="J218" s="380">
        <f t="shared" ref="J218" si="30">J38</f>
        <v>0.12713999999999995</v>
      </c>
    </row>
    <row r="219" spans="2:10">
      <c r="B219" s="378" t="s">
        <v>767</v>
      </c>
      <c r="C219" s="380" t="s">
        <v>463</v>
      </c>
      <c r="D219" s="380" t="str">
        <f t="shared" si="2"/>
        <v>CNH</v>
      </c>
      <c r="E219" s="380" t="s">
        <v>463</v>
      </c>
      <c r="F219" s="380" t="s">
        <v>463</v>
      </c>
      <c r="G219" s="380" t="str">
        <f t="shared" si="1"/>
        <v>s2d1b4</v>
      </c>
      <c r="H219" s="380" t="s">
        <v>463</v>
      </c>
      <c r="I219" s="379">
        <v>0</v>
      </c>
      <c r="J219" s="380">
        <f t="shared" ref="J219" si="31">J39</f>
        <v>4.9250000000000002E-2</v>
      </c>
    </row>
    <row r="220" spans="2:10">
      <c r="B220" s="378" t="s">
        <v>767</v>
      </c>
      <c r="C220" s="380" t="s">
        <v>463</v>
      </c>
      <c r="D220" s="380" t="str">
        <f t="shared" si="2"/>
        <v>CNH</v>
      </c>
      <c r="E220" s="380" t="s">
        <v>463</v>
      </c>
      <c r="F220" s="380" t="s">
        <v>463</v>
      </c>
      <c r="G220" s="380" t="str">
        <f t="shared" si="1"/>
        <v>s2d1b5</v>
      </c>
      <c r="H220" s="380" t="s">
        <v>463</v>
      </c>
      <c r="I220" s="379">
        <v>0</v>
      </c>
      <c r="J220" s="380">
        <f t="shared" ref="J220" si="32">J40</f>
        <v>2.435E-2</v>
      </c>
    </row>
    <row r="221" spans="2:10">
      <c r="B221" s="378" t="s">
        <v>767</v>
      </c>
      <c r="C221" s="380" t="s">
        <v>463</v>
      </c>
      <c r="D221" s="380" t="str">
        <f t="shared" si="2"/>
        <v>CNH</v>
      </c>
      <c r="E221" s="380" t="s">
        <v>463</v>
      </c>
      <c r="F221" s="380" t="s">
        <v>463</v>
      </c>
      <c r="G221" s="380" t="str">
        <f t="shared" si="1"/>
        <v>s2d2b1</v>
      </c>
      <c r="H221" s="380" t="s">
        <v>463</v>
      </c>
      <c r="I221" s="379">
        <v>0</v>
      </c>
      <c r="J221" s="380">
        <f t="shared" ref="J221" si="33">J41</f>
        <v>4.0649999999999999E-2</v>
      </c>
    </row>
    <row r="222" spans="2:10">
      <c r="B222" s="378" t="s">
        <v>767</v>
      </c>
      <c r="C222" s="380" t="s">
        <v>463</v>
      </c>
      <c r="D222" s="380" t="str">
        <f t="shared" ref="D222:D253" si="34">"CN"&amp;RIGHT(D42,1)</f>
        <v>CNH</v>
      </c>
      <c r="E222" s="380" t="s">
        <v>463</v>
      </c>
      <c r="F222" s="380" t="s">
        <v>463</v>
      </c>
      <c r="G222" s="380" t="str">
        <f t="shared" ref="G222:G253" si="35">G42</f>
        <v>s2d2b2</v>
      </c>
      <c r="H222" s="380" t="s">
        <v>463</v>
      </c>
      <c r="I222" s="379">
        <v>0</v>
      </c>
      <c r="J222" s="380">
        <f t="shared" ref="J222" si="36">J42</f>
        <v>6.93E-2</v>
      </c>
    </row>
    <row r="223" spans="2:10">
      <c r="B223" s="378" t="s">
        <v>767</v>
      </c>
      <c r="C223" s="380" t="s">
        <v>463</v>
      </c>
      <c r="D223" s="380" t="str">
        <f t="shared" si="34"/>
        <v>CNH</v>
      </c>
      <c r="E223" s="380" t="s">
        <v>463</v>
      </c>
      <c r="F223" s="380" t="s">
        <v>463</v>
      </c>
      <c r="G223" s="380" t="str">
        <f t="shared" si="35"/>
        <v>s2d2b3</v>
      </c>
      <c r="H223" s="380" t="s">
        <v>463</v>
      </c>
      <c r="I223" s="379">
        <v>0</v>
      </c>
      <c r="J223" s="380">
        <f t="shared" ref="J223" si="37">J43</f>
        <v>2.7189999999999999E-2</v>
      </c>
    </row>
    <row r="224" spans="2:10">
      <c r="B224" s="378" t="s">
        <v>767</v>
      </c>
      <c r="C224" s="380" t="s">
        <v>463</v>
      </c>
      <c r="D224" s="380" t="str">
        <f t="shared" si="34"/>
        <v>CNH</v>
      </c>
      <c r="E224" s="380" t="s">
        <v>463</v>
      </c>
      <c r="F224" s="380" t="s">
        <v>463</v>
      </c>
      <c r="G224" s="380" t="str">
        <f t="shared" si="35"/>
        <v>s3d1b1</v>
      </c>
      <c r="H224" s="380" t="s">
        <v>463</v>
      </c>
      <c r="I224" s="379">
        <v>0</v>
      </c>
      <c r="J224" s="380">
        <f t="shared" ref="J224" si="38">J44</f>
        <v>6.1210000000000001E-2</v>
      </c>
    </row>
    <row r="225" spans="2:10">
      <c r="B225" s="378" t="s">
        <v>767</v>
      </c>
      <c r="C225" s="380" t="s">
        <v>463</v>
      </c>
      <c r="D225" s="380" t="str">
        <f t="shared" si="34"/>
        <v>CNH</v>
      </c>
      <c r="E225" s="380" t="s">
        <v>463</v>
      </c>
      <c r="F225" s="380" t="s">
        <v>463</v>
      </c>
      <c r="G225" s="380" t="str">
        <f t="shared" si="35"/>
        <v>s3d1b2</v>
      </c>
      <c r="H225" s="380" t="s">
        <v>463</v>
      </c>
      <c r="I225" s="379">
        <v>0</v>
      </c>
      <c r="J225" s="380">
        <f t="shared" ref="J225" si="39">J45</f>
        <v>0.10437</v>
      </c>
    </row>
    <row r="226" spans="2:10">
      <c r="B226" s="378" t="s">
        <v>767</v>
      </c>
      <c r="C226" s="380" t="s">
        <v>463</v>
      </c>
      <c r="D226" s="380" t="str">
        <f t="shared" si="34"/>
        <v>CNH</v>
      </c>
      <c r="E226" s="380" t="s">
        <v>463</v>
      </c>
      <c r="F226" s="380" t="s">
        <v>463</v>
      </c>
      <c r="G226" s="380" t="str">
        <f t="shared" si="35"/>
        <v>s3d1b3</v>
      </c>
      <c r="H226" s="380" t="s">
        <v>463</v>
      </c>
      <c r="I226" s="379">
        <v>0</v>
      </c>
      <c r="J226" s="380">
        <f t="shared" ref="J226" si="40">J46</f>
        <v>4.095E-2</v>
      </c>
    </row>
    <row r="227" spans="2:10">
      <c r="B227" s="378" t="s">
        <v>767</v>
      </c>
      <c r="C227" s="380" t="s">
        <v>463</v>
      </c>
      <c r="D227" s="380" t="str">
        <f t="shared" si="34"/>
        <v>CNH</v>
      </c>
      <c r="E227" s="380" t="s">
        <v>463</v>
      </c>
      <c r="F227" s="380" t="s">
        <v>463</v>
      </c>
      <c r="G227" s="380" t="str">
        <f t="shared" si="35"/>
        <v>s3d2b1</v>
      </c>
      <c r="H227" s="380" t="s">
        <v>463</v>
      </c>
      <c r="I227" s="379">
        <v>0</v>
      </c>
      <c r="J227" s="380">
        <f t="shared" ref="J227" si="41">J47</f>
        <v>2.4E-2</v>
      </c>
    </row>
    <row r="228" spans="2:10">
      <c r="B228" s="378" t="s">
        <v>767</v>
      </c>
      <c r="C228" s="380" t="s">
        <v>463</v>
      </c>
      <c r="D228" s="380" t="str">
        <f t="shared" si="34"/>
        <v>CNH</v>
      </c>
      <c r="E228" s="380" t="s">
        <v>463</v>
      </c>
      <c r="F228" s="380" t="s">
        <v>463</v>
      </c>
      <c r="G228" s="380" t="str">
        <f t="shared" si="35"/>
        <v>s3d2b2</v>
      </c>
      <c r="H228" s="380" t="s">
        <v>463</v>
      </c>
      <c r="I228" s="379">
        <v>0</v>
      </c>
      <c r="J228" s="380">
        <f t="shared" ref="J228" si="42">J48</f>
        <v>4.0919999999999998E-2</v>
      </c>
    </row>
    <row r="229" spans="2:10">
      <c r="B229" s="378" t="s">
        <v>767</v>
      </c>
      <c r="C229" s="380" t="s">
        <v>463</v>
      </c>
      <c r="D229" s="380" t="str">
        <f t="shared" si="34"/>
        <v>CNH</v>
      </c>
      <c r="E229" s="380" t="s">
        <v>463</v>
      </c>
      <c r="F229" s="380" t="s">
        <v>463</v>
      </c>
      <c r="G229" s="380" t="str">
        <f t="shared" si="35"/>
        <v>s3d2b3</v>
      </c>
      <c r="H229" s="380" t="s">
        <v>463</v>
      </c>
      <c r="I229" s="379">
        <v>0</v>
      </c>
      <c r="J229" s="380">
        <f t="shared" ref="J229" si="43">J49</f>
        <v>1.6060000000000001E-2</v>
      </c>
    </row>
    <row r="230" spans="2:10">
      <c r="B230" s="378" t="s">
        <v>767</v>
      </c>
      <c r="C230" s="380" t="s">
        <v>463</v>
      </c>
      <c r="D230" s="380" t="str">
        <f t="shared" si="34"/>
        <v>CNK</v>
      </c>
      <c r="E230" s="380" t="s">
        <v>463</v>
      </c>
      <c r="F230" s="380" t="s">
        <v>463</v>
      </c>
      <c r="G230" s="380" t="str">
        <f t="shared" si="35"/>
        <v>s1d1b1</v>
      </c>
      <c r="H230" s="380" t="s">
        <v>463</v>
      </c>
      <c r="I230" s="379">
        <v>0</v>
      </c>
      <c r="J230" s="380">
        <f t="shared" ref="J230" si="44">J50</f>
        <v>6.2289999999999998E-2</v>
      </c>
    </row>
    <row r="231" spans="2:10">
      <c r="B231" s="378" t="s">
        <v>767</v>
      </c>
      <c r="C231" s="380" t="s">
        <v>463</v>
      </c>
      <c r="D231" s="380" t="str">
        <f t="shared" si="34"/>
        <v>CNK</v>
      </c>
      <c r="E231" s="380" t="s">
        <v>463</v>
      </c>
      <c r="F231" s="380" t="s">
        <v>463</v>
      </c>
      <c r="G231" s="380" t="str">
        <f t="shared" si="35"/>
        <v>s1d1b2</v>
      </c>
      <c r="H231" s="380" t="s">
        <v>463</v>
      </c>
      <c r="I231" s="379">
        <v>0</v>
      </c>
      <c r="J231" s="380">
        <f t="shared" ref="J231" si="45">J51</f>
        <v>0.14138999999999996</v>
      </c>
    </row>
    <row r="232" spans="2:10">
      <c r="B232" s="378" t="s">
        <v>767</v>
      </c>
      <c r="C232" s="380" t="s">
        <v>463</v>
      </c>
      <c r="D232" s="380" t="str">
        <f t="shared" si="34"/>
        <v>CNK</v>
      </c>
      <c r="E232" s="380" t="s">
        <v>463</v>
      </c>
      <c r="F232" s="380" t="s">
        <v>463</v>
      </c>
      <c r="G232" s="380" t="str">
        <f t="shared" si="35"/>
        <v>s1d1b3</v>
      </c>
      <c r="H232" s="380" t="s">
        <v>463</v>
      </c>
      <c r="I232" s="379">
        <v>0</v>
      </c>
      <c r="J232" s="380">
        <f t="shared" ref="J232" si="46">J52</f>
        <v>4.5839999999999999E-2</v>
      </c>
    </row>
    <row r="233" spans="2:10">
      <c r="B233" s="378" t="s">
        <v>767</v>
      </c>
      <c r="C233" s="380" t="s">
        <v>463</v>
      </c>
      <c r="D233" s="380" t="str">
        <f t="shared" si="34"/>
        <v>CNK</v>
      </c>
      <c r="E233" s="380" t="s">
        <v>463</v>
      </c>
      <c r="F233" s="380" t="s">
        <v>463</v>
      </c>
      <c r="G233" s="380" t="str">
        <f t="shared" si="35"/>
        <v>s1d2b1</v>
      </c>
      <c r="H233" s="380" t="s">
        <v>463</v>
      </c>
      <c r="I233" s="379">
        <v>0</v>
      </c>
      <c r="J233" s="380">
        <f t="shared" ref="J233" si="47">J53</f>
        <v>3.3450000000000001E-2</v>
      </c>
    </row>
    <row r="234" spans="2:10">
      <c r="B234" s="378" t="s">
        <v>767</v>
      </c>
      <c r="C234" s="380" t="s">
        <v>463</v>
      </c>
      <c r="D234" s="380" t="str">
        <f t="shared" si="34"/>
        <v>CNK</v>
      </c>
      <c r="E234" s="380" t="s">
        <v>463</v>
      </c>
      <c r="F234" s="380" t="s">
        <v>463</v>
      </c>
      <c r="G234" s="380" t="str">
        <f t="shared" si="35"/>
        <v>s1d2b2</v>
      </c>
      <c r="H234" s="380" t="s">
        <v>463</v>
      </c>
      <c r="I234" s="379">
        <v>0</v>
      </c>
      <c r="J234" s="380">
        <f t="shared" ref="J234" si="48">J54</f>
        <v>5.4149999999999997E-2</v>
      </c>
    </row>
    <row r="235" spans="2:10">
      <c r="B235" s="378" t="s">
        <v>767</v>
      </c>
      <c r="C235" s="380" t="s">
        <v>463</v>
      </c>
      <c r="D235" s="380" t="str">
        <f t="shared" si="34"/>
        <v>CNK</v>
      </c>
      <c r="E235" s="380" t="s">
        <v>463</v>
      </c>
      <c r="F235" s="380" t="s">
        <v>463</v>
      </c>
      <c r="G235" s="380" t="str">
        <f t="shared" si="35"/>
        <v>s1d2b3</v>
      </c>
      <c r="H235" s="380" t="s">
        <v>463</v>
      </c>
      <c r="I235" s="379">
        <v>0</v>
      </c>
      <c r="J235" s="380">
        <f t="shared" ref="J235" si="49">J55</f>
        <v>1.9429999999999999E-2</v>
      </c>
    </row>
    <row r="236" spans="2:10">
      <c r="B236" s="378" t="s">
        <v>767</v>
      </c>
      <c r="C236" s="380" t="s">
        <v>463</v>
      </c>
      <c r="D236" s="380" t="str">
        <f t="shared" si="34"/>
        <v>CNK</v>
      </c>
      <c r="E236" s="380" t="s">
        <v>463</v>
      </c>
      <c r="F236" s="380" t="s">
        <v>463</v>
      </c>
      <c r="G236" s="380" t="str">
        <f t="shared" si="35"/>
        <v>s2d1b1</v>
      </c>
      <c r="H236" s="380" t="s">
        <v>463</v>
      </c>
      <c r="I236" s="379">
        <v>0</v>
      </c>
      <c r="J236" s="380">
        <f t="shared" ref="J236" si="50">J56</f>
        <v>5.1119999999999999E-2</v>
      </c>
    </row>
    <row r="237" spans="2:10">
      <c r="B237" s="378" t="s">
        <v>767</v>
      </c>
      <c r="C237" s="380" t="s">
        <v>463</v>
      </c>
      <c r="D237" s="380" t="str">
        <f t="shared" si="34"/>
        <v>CNK</v>
      </c>
      <c r="E237" s="380" t="s">
        <v>463</v>
      </c>
      <c r="F237" s="380" t="s">
        <v>463</v>
      </c>
      <c r="G237" s="380" t="str">
        <f t="shared" si="35"/>
        <v>s2d1b2</v>
      </c>
      <c r="H237" s="380" t="s">
        <v>463</v>
      </c>
      <c r="I237" s="379">
        <v>0</v>
      </c>
      <c r="J237" s="380">
        <f t="shared" ref="J237" si="51">J57</f>
        <v>2.913E-2</v>
      </c>
    </row>
    <row r="238" spans="2:10">
      <c r="B238" s="378" t="s">
        <v>767</v>
      </c>
      <c r="C238" s="380" t="s">
        <v>463</v>
      </c>
      <c r="D238" s="380" t="str">
        <f t="shared" si="34"/>
        <v>CNK</v>
      </c>
      <c r="E238" s="380" t="s">
        <v>463</v>
      </c>
      <c r="F238" s="380" t="s">
        <v>463</v>
      </c>
      <c r="G238" s="380" t="str">
        <f t="shared" si="35"/>
        <v>s2d1b3</v>
      </c>
      <c r="H238" s="380" t="s">
        <v>463</v>
      </c>
      <c r="I238" s="379">
        <v>0</v>
      </c>
      <c r="J238" s="380">
        <f t="shared" ref="J238" si="52">J58</f>
        <v>8.9179999999999995E-2</v>
      </c>
    </row>
    <row r="239" spans="2:10">
      <c r="B239" s="378" t="s">
        <v>767</v>
      </c>
      <c r="C239" s="380" t="s">
        <v>463</v>
      </c>
      <c r="D239" s="380" t="str">
        <f t="shared" si="34"/>
        <v>CNK</v>
      </c>
      <c r="E239" s="380" t="s">
        <v>463</v>
      </c>
      <c r="F239" s="380" t="s">
        <v>463</v>
      </c>
      <c r="G239" s="380" t="str">
        <f t="shared" si="35"/>
        <v>s2d1b4</v>
      </c>
      <c r="H239" s="380" t="s">
        <v>463</v>
      </c>
      <c r="I239" s="379">
        <v>0</v>
      </c>
      <c r="J239" s="380">
        <f t="shared" ref="J239" si="53">J59</f>
        <v>3.134E-2</v>
      </c>
    </row>
    <row r="240" spans="2:10">
      <c r="B240" s="378" t="s">
        <v>767</v>
      </c>
      <c r="C240" s="380" t="s">
        <v>463</v>
      </c>
      <c r="D240" s="380" t="str">
        <f t="shared" si="34"/>
        <v>CNK</v>
      </c>
      <c r="E240" s="380" t="s">
        <v>463</v>
      </c>
      <c r="F240" s="380" t="s">
        <v>463</v>
      </c>
      <c r="G240" s="380" t="str">
        <f t="shared" si="35"/>
        <v>s2d1b5</v>
      </c>
      <c r="H240" s="380" t="s">
        <v>463</v>
      </c>
      <c r="I240" s="379">
        <v>0</v>
      </c>
      <c r="J240" s="380">
        <f t="shared" ref="J240" si="54">J60</f>
        <v>1.316E-2</v>
      </c>
    </row>
    <row r="241" spans="2:10">
      <c r="B241" s="378" t="s">
        <v>767</v>
      </c>
      <c r="C241" s="380" t="s">
        <v>463</v>
      </c>
      <c r="D241" s="380" t="str">
        <f t="shared" si="34"/>
        <v>CNK</v>
      </c>
      <c r="E241" s="380" t="s">
        <v>463</v>
      </c>
      <c r="F241" s="380" t="s">
        <v>463</v>
      </c>
      <c r="G241" s="380" t="str">
        <f t="shared" si="35"/>
        <v>s2d2b1</v>
      </c>
      <c r="H241" s="380" t="s">
        <v>463</v>
      </c>
      <c r="I241" s="379">
        <v>0</v>
      </c>
      <c r="J241" s="380">
        <f t="shared" ref="J241" si="55">J61</f>
        <v>2.8809999999999999E-2</v>
      </c>
    </row>
    <row r="242" spans="2:10">
      <c r="B242" s="378" t="s">
        <v>767</v>
      </c>
      <c r="C242" s="380" t="s">
        <v>463</v>
      </c>
      <c r="D242" s="380" t="str">
        <f t="shared" si="34"/>
        <v>CNK</v>
      </c>
      <c r="E242" s="380" t="s">
        <v>463</v>
      </c>
      <c r="F242" s="380" t="s">
        <v>463</v>
      </c>
      <c r="G242" s="380" t="str">
        <f t="shared" si="35"/>
        <v>s2d2b2</v>
      </c>
      <c r="H242" s="380" t="s">
        <v>463</v>
      </c>
      <c r="I242" s="379">
        <v>0</v>
      </c>
      <c r="J242" s="380">
        <f t="shared" ref="J242" si="56">J62</f>
        <v>4.6559999999999997E-2</v>
      </c>
    </row>
    <row r="243" spans="2:10">
      <c r="B243" s="378" t="s">
        <v>767</v>
      </c>
      <c r="C243" s="380" t="s">
        <v>463</v>
      </c>
      <c r="D243" s="380" t="str">
        <f t="shared" si="34"/>
        <v>CNK</v>
      </c>
      <c r="E243" s="380" t="s">
        <v>463</v>
      </c>
      <c r="F243" s="380" t="s">
        <v>463</v>
      </c>
      <c r="G243" s="380" t="str">
        <f t="shared" si="35"/>
        <v>s2d2b3</v>
      </c>
      <c r="H243" s="380" t="s">
        <v>463</v>
      </c>
      <c r="I243" s="379">
        <v>0</v>
      </c>
      <c r="J243" s="380">
        <f t="shared" ref="J243" si="57">J63</f>
        <v>1.6650000000000002E-2</v>
      </c>
    </row>
    <row r="244" spans="2:10">
      <c r="B244" s="378" t="s">
        <v>767</v>
      </c>
      <c r="C244" s="380" t="s">
        <v>463</v>
      </c>
      <c r="D244" s="380" t="str">
        <f t="shared" si="34"/>
        <v>CNK</v>
      </c>
      <c r="E244" s="380" t="s">
        <v>463</v>
      </c>
      <c r="F244" s="380" t="s">
        <v>463</v>
      </c>
      <c r="G244" s="380" t="str">
        <f t="shared" si="35"/>
        <v>s3d1b1</v>
      </c>
      <c r="H244" s="380" t="s">
        <v>463</v>
      </c>
      <c r="I244" s="379">
        <v>0</v>
      </c>
      <c r="J244" s="380">
        <f t="shared" ref="J244" si="58">J64</f>
        <v>6.6210000000000005E-2</v>
      </c>
    </row>
    <row r="245" spans="2:10">
      <c r="B245" s="378" t="s">
        <v>767</v>
      </c>
      <c r="C245" s="380" t="s">
        <v>463</v>
      </c>
      <c r="D245" s="380" t="str">
        <f t="shared" si="34"/>
        <v>CNK</v>
      </c>
      <c r="E245" s="380" t="s">
        <v>463</v>
      </c>
      <c r="F245" s="380" t="s">
        <v>463</v>
      </c>
      <c r="G245" s="380" t="str">
        <f t="shared" si="35"/>
        <v>s3d1b2</v>
      </c>
      <c r="H245" s="380" t="s">
        <v>463</v>
      </c>
      <c r="I245" s="379">
        <v>0</v>
      </c>
      <c r="J245" s="380">
        <f t="shared" ref="J245" si="59">J65</f>
        <v>0.13169</v>
      </c>
    </row>
    <row r="246" spans="2:10">
      <c r="B246" s="378" t="s">
        <v>767</v>
      </c>
      <c r="C246" s="380" t="s">
        <v>463</v>
      </c>
      <c r="D246" s="380" t="str">
        <f t="shared" si="34"/>
        <v>CNK</v>
      </c>
      <c r="E246" s="380" t="s">
        <v>463</v>
      </c>
      <c r="F246" s="380" t="s">
        <v>463</v>
      </c>
      <c r="G246" s="380" t="str">
        <f t="shared" si="35"/>
        <v>s3d1b3</v>
      </c>
      <c r="H246" s="380" t="s">
        <v>463</v>
      </c>
      <c r="I246" s="379">
        <v>0</v>
      </c>
      <c r="J246" s="380">
        <f t="shared" ref="J246" si="60">J66</f>
        <v>4.4540000000000003E-2</v>
      </c>
    </row>
    <row r="247" spans="2:10">
      <c r="B247" s="378" t="s">
        <v>767</v>
      </c>
      <c r="C247" s="380" t="s">
        <v>463</v>
      </c>
      <c r="D247" s="380" t="str">
        <f t="shared" si="34"/>
        <v>CNK</v>
      </c>
      <c r="E247" s="380" t="s">
        <v>463</v>
      </c>
      <c r="F247" s="380" t="s">
        <v>463</v>
      </c>
      <c r="G247" s="380" t="str">
        <f t="shared" si="35"/>
        <v>s3d2b1</v>
      </c>
      <c r="H247" s="380" t="s">
        <v>463</v>
      </c>
      <c r="I247" s="379">
        <v>0</v>
      </c>
      <c r="J247" s="380">
        <f t="shared" ref="J247" si="61">J67</f>
        <v>2.971E-2</v>
      </c>
    </row>
    <row r="248" spans="2:10">
      <c r="B248" s="378" t="s">
        <v>767</v>
      </c>
      <c r="C248" s="380" t="s">
        <v>463</v>
      </c>
      <c r="D248" s="380" t="str">
        <f t="shared" si="34"/>
        <v>CNK</v>
      </c>
      <c r="E248" s="380" t="s">
        <v>463</v>
      </c>
      <c r="F248" s="380" t="s">
        <v>463</v>
      </c>
      <c r="G248" s="380" t="str">
        <f t="shared" si="35"/>
        <v>s3d2b2</v>
      </c>
      <c r="H248" s="380" t="s">
        <v>463</v>
      </c>
      <c r="I248" s="379">
        <v>0</v>
      </c>
      <c r="J248" s="380">
        <f t="shared" ref="J248" si="62">J68</f>
        <v>4.8090000000000001E-2</v>
      </c>
    </row>
    <row r="249" spans="2:10">
      <c r="B249" s="378" t="s">
        <v>767</v>
      </c>
      <c r="C249" s="380" t="s">
        <v>463</v>
      </c>
      <c r="D249" s="380" t="str">
        <f t="shared" si="34"/>
        <v>CNK</v>
      </c>
      <c r="E249" s="380" t="s">
        <v>463</v>
      </c>
      <c r="F249" s="380" t="s">
        <v>463</v>
      </c>
      <c r="G249" s="380" t="str">
        <f t="shared" si="35"/>
        <v>s3d2b3</v>
      </c>
      <c r="H249" s="380" t="s">
        <v>463</v>
      </c>
      <c r="I249" s="379">
        <v>0</v>
      </c>
      <c r="J249" s="380">
        <f t="shared" ref="J249" si="63">J69</f>
        <v>1.7260000000000001E-2</v>
      </c>
    </row>
    <row r="250" spans="2:10">
      <c r="B250" s="378" t="s">
        <v>767</v>
      </c>
      <c r="C250" s="380" t="s">
        <v>463</v>
      </c>
      <c r="D250" s="380" t="str">
        <f t="shared" si="34"/>
        <v>CNL</v>
      </c>
      <c r="E250" s="380" t="s">
        <v>463</v>
      </c>
      <c r="F250" s="380" t="s">
        <v>463</v>
      </c>
      <c r="G250" s="380" t="str">
        <f t="shared" si="35"/>
        <v>s1d1b1</v>
      </c>
      <c r="H250" s="380" t="s">
        <v>463</v>
      </c>
      <c r="I250" s="379">
        <v>0</v>
      </c>
      <c r="J250" s="380">
        <f t="shared" ref="J250" si="64">J70</f>
        <v>6.6949999999999996E-2</v>
      </c>
    </row>
    <row r="251" spans="2:10">
      <c r="B251" s="378" t="s">
        <v>767</v>
      </c>
      <c r="C251" s="380" t="s">
        <v>463</v>
      </c>
      <c r="D251" s="380" t="str">
        <f t="shared" si="34"/>
        <v>CNL</v>
      </c>
      <c r="E251" s="380" t="s">
        <v>463</v>
      </c>
      <c r="F251" s="380" t="s">
        <v>463</v>
      </c>
      <c r="G251" s="380" t="str">
        <f t="shared" si="35"/>
        <v>s1d1b2</v>
      </c>
      <c r="H251" s="380" t="s">
        <v>463</v>
      </c>
      <c r="I251" s="379">
        <v>0</v>
      </c>
      <c r="J251" s="380">
        <f t="shared" ref="J251" si="65">J71</f>
        <v>0.12967000000000001</v>
      </c>
    </row>
    <row r="252" spans="2:10">
      <c r="B252" s="378" t="s">
        <v>767</v>
      </c>
      <c r="C252" s="380" t="s">
        <v>463</v>
      </c>
      <c r="D252" s="380" t="str">
        <f t="shared" si="34"/>
        <v>CNL</v>
      </c>
      <c r="E252" s="380" t="s">
        <v>463</v>
      </c>
      <c r="F252" s="380" t="s">
        <v>463</v>
      </c>
      <c r="G252" s="380" t="str">
        <f t="shared" si="35"/>
        <v>s1d1b3</v>
      </c>
      <c r="H252" s="380" t="s">
        <v>463</v>
      </c>
      <c r="I252" s="379">
        <v>0</v>
      </c>
      <c r="J252" s="380">
        <f t="shared" ref="J252" si="66">J72</f>
        <v>5.2900000000000003E-2</v>
      </c>
    </row>
    <row r="253" spans="2:10">
      <c r="B253" s="378" t="s">
        <v>767</v>
      </c>
      <c r="C253" s="380" t="s">
        <v>463</v>
      </c>
      <c r="D253" s="380" t="str">
        <f t="shared" si="34"/>
        <v>CNL</v>
      </c>
      <c r="E253" s="380" t="s">
        <v>463</v>
      </c>
      <c r="F253" s="380" t="s">
        <v>463</v>
      </c>
      <c r="G253" s="380" t="str">
        <f t="shared" si="35"/>
        <v>s1d2b1</v>
      </c>
      <c r="H253" s="380" t="s">
        <v>463</v>
      </c>
      <c r="I253" s="379">
        <v>0</v>
      </c>
      <c r="J253" s="380">
        <f t="shared" ref="J253" si="67">J73</f>
        <v>3.449E-2</v>
      </c>
    </row>
    <row r="254" spans="2:10">
      <c r="B254" s="378" t="s">
        <v>767</v>
      </c>
      <c r="C254" s="380" t="s">
        <v>463</v>
      </c>
      <c r="D254" s="380" t="str">
        <f t="shared" ref="D254:D285" si="68">"CN"&amp;RIGHT(D74,1)</f>
        <v>CNL</v>
      </c>
      <c r="E254" s="380" t="s">
        <v>463</v>
      </c>
      <c r="F254" s="380" t="s">
        <v>463</v>
      </c>
      <c r="G254" s="380" t="str">
        <f t="shared" ref="G254:G285" si="69">G74</f>
        <v>s1d2b2</v>
      </c>
      <c r="H254" s="380" t="s">
        <v>463</v>
      </c>
      <c r="I254" s="379">
        <v>0</v>
      </c>
      <c r="J254" s="380">
        <f t="shared" ref="J254" si="70">J74</f>
        <v>4.9779999999999998E-2</v>
      </c>
    </row>
    <row r="255" spans="2:10">
      <c r="B255" s="378" t="s">
        <v>767</v>
      </c>
      <c r="C255" s="380" t="s">
        <v>463</v>
      </c>
      <c r="D255" s="380" t="str">
        <f t="shared" si="68"/>
        <v>CNL</v>
      </c>
      <c r="E255" s="380" t="s">
        <v>463</v>
      </c>
      <c r="F255" s="380" t="s">
        <v>463</v>
      </c>
      <c r="G255" s="380" t="str">
        <f t="shared" si="69"/>
        <v>s1d2b3</v>
      </c>
      <c r="H255" s="380" t="s">
        <v>463</v>
      </c>
      <c r="I255" s="379">
        <v>0</v>
      </c>
      <c r="J255" s="380">
        <f t="shared" ref="J255" si="71">J75</f>
        <v>2.2759999999999999E-2</v>
      </c>
    </row>
    <row r="256" spans="2:10">
      <c r="B256" s="378" t="s">
        <v>767</v>
      </c>
      <c r="C256" s="380" t="s">
        <v>463</v>
      </c>
      <c r="D256" s="380" t="str">
        <f t="shared" si="68"/>
        <v>CNL</v>
      </c>
      <c r="E256" s="380" t="s">
        <v>463</v>
      </c>
      <c r="F256" s="380" t="s">
        <v>463</v>
      </c>
      <c r="G256" s="380" t="str">
        <f t="shared" si="69"/>
        <v>s2d1b1</v>
      </c>
      <c r="H256" s="380" t="s">
        <v>463</v>
      </c>
      <c r="I256" s="379">
        <v>0</v>
      </c>
      <c r="J256" s="380">
        <f t="shared" ref="J256" si="72">J76</f>
        <v>5.3129999999999997E-2</v>
      </c>
    </row>
    <row r="257" spans="2:10">
      <c r="B257" s="378" t="s">
        <v>767</v>
      </c>
      <c r="C257" s="380" t="s">
        <v>463</v>
      </c>
      <c r="D257" s="380" t="str">
        <f t="shared" si="68"/>
        <v>CNL</v>
      </c>
      <c r="E257" s="380" t="s">
        <v>463</v>
      </c>
      <c r="F257" s="380" t="s">
        <v>463</v>
      </c>
      <c r="G257" s="380" t="str">
        <f t="shared" si="69"/>
        <v>s2d1b2</v>
      </c>
      <c r="H257" s="380" t="s">
        <v>463</v>
      </c>
      <c r="I257" s="379">
        <v>0</v>
      </c>
      <c r="J257" s="380">
        <f t="shared" ref="J257" si="73">J77</f>
        <v>5.8680000000000003E-2</v>
      </c>
    </row>
    <row r="258" spans="2:10">
      <c r="B258" s="378" t="s">
        <v>767</v>
      </c>
      <c r="C258" s="380" t="s">
        <v>463</v>
      </c>
      <c r="D258" s="380" t="str">
        <f t="shared" si="68"/>
        <v>CNL</v>
      </c>
      <c r="E258" s="380" t="s">
        <v>463</v>
      </c>
      <c r="F258" s="380" t="s">
        <v>463</v>
      </c>
      <c r="G258" s="380" t="str">
        <f t="shared" si="69"/>
        <v>s2d1b3</v>
      </c>
      <c r="H258" s="380" t="s">
        <v>463</v>
      </c>
      <c r="I258" s="379">
        <v>0</v>
      </c>
      <c r="J258" s="380">
        <f t="shared" ref="J258" si="74">J78</f>
        <v>4.8300000000000003E-2</v>
      </c>
    </row>
    <row r="259" spans="2:10">
      <c r="B259" s="378" t="s">
        <v>767</v>
      </c>
      <c r="C259" s="380" t="s">
        <v>463</v>
      </c>
      <c r="D259" s="380" t="str">
        <f t="shared" si="68"/>
        <v>CNL</v>
      </c>
      <c r="E259" s="380" t="s">
        <v>463</v>
      </c>
      <c r="F259" s="380" t="s">
        <v>463</v>
      </c>
      <c r="G259" s="380" t="str">
        <f t="shared" si="69"/>
        <v>s2d1b4</v>
      </c>
      <c r="H259" s="380" t="s">
        <v>463</v>
      </c>
      <c r="I259" s="379">
        <v>0</v>
      </c>
      <c r="J259" s="380">
        <f t="shared" ref="J259" si="75">J79</f>
        <v>2.8250000000000001E-2</v>
      </c>
    </row>
    <row r="260" spans="2:10">
      <c r="B260" s="378" t="s">
        <v>767</v>
      </c>
      <c r="C260" s="380" t="s">
        <v>463</v>
      </c>
      <c r="D260" s="380" t="str">
        <f t="shared" si="68"/>
        <v>CNL</v>
      </c>
      <c r="E260" s="380" t="s">
        <v>463</v>
      </c>
      <c r="F260" s="380" t="s">
        <v>463</v>
      </c>
      <c r="G260" s="380" t="str">
        <f t="shared" si="69"/>
        <v>s2d1b5</v>
      </c>
      <c r="H260" s="380" t="s">
        <v>463</v>
      </c>
      <c r="I260" s="379">
        <v>0</v>
      </c>
      <c r="J260" s="380">
        <f t="shared" ref="J260" si="76">J80</f>
        <v>2.5559999999999999E-2</v>
      </c>
    </row>
    <row r="261" spans="2:10">
      <c r="B261" s="378" t="s">
        <v>767</v>
      </c>
      <c r="C261" s="380" t="s">
        <v>463</v>
      </c>
      <c r="D261" s="380" t="str">
        <f t="shared" si="68"/>
        <v>CNL</v>
      </c>
      <c r="E261" s="380" t="s">
        <v>463</v>
      </c>
      <c r="F261" s="380" t="s">
        <v>463</v>
      </c>
      <c r="G261" s="380" t="str">
        <f t="shared" si="69"/>
        <v>s2d2b1</v>
      </c>
      <c r="H261" s="380" t="s">
        <v>463</v>
      </c>
      <c r="I261" s="379">
        <v>0</v>
      </c>
      <c r="J261" s="380">
        <f t="shared" ref="J261" si="77">J81</f>
        <v>3.1919999999999997E-2</v>
      </c>
    </row>
    <row r="262" spans="2:10">
      <c r="B262" s="378" t="s">
        <v>767</v>
      </c>
      <c r="C262" s="380" t="s">
        <v>463</v>
      </c>
      <c r="D262" s="380" t="str">
        <f t="shared" si="68"/>
        <v>CNL</v>
      </c>
      <c r="E262" s="380" t="s">
        <v>463</v>
      </c>
      <c r="F262" s="380" t="s">
        <v>463</v>
      </c>
      <c r="G262" s="380" t="str">
        <f t="shared" si="69"/>
        <v>s2d2b2</v>
      </c>
      <c r="H262" s="380" t="s">
        <v>463</v>
      </c>
      <c r="I262" s="379">
        <v>0</v>
      </c>
      <c r="J262" s="380">
        <f t="shared" ref="J262" si="78">J82</f>
        <v>4.2299999999999997E-2</v>
      </c>
    </row>
    <row r="263" spans="2:10">
      <c r="B263" s="378" t="s">
        <v>767</v>
      </c>
      <c r="C263" s="380" t="s">
        <v>463</v>
      </c>
      <c r="D263" s="380" t="str">
        <f t="shared" si="68"/>
        <v>CNL</v>
      </c>
      <c r="E263" s="380" t="s">
        <v>463</v>
      </c>
      <c r="F263" s="380" t="s">
        <v>463</v>
      </c>
      <c r="G263" s="380" t="str">
        <f t="shared" si="69"/>
        <v>s2d2b3</v>
      </c>
      <c r="H263" s="380" t="s">
        <v>463</v>
      </c>
      <c r="I263" s="379">
        <v>0</v>
      </c>
      <c r="J263" s="380">
        <f t="shared" ref="J263" si="79">J83</f>
        <v>1.78E-2</v>
      </c>
    </row>
    <row r="264" spans="2:10">
      <c r="B264" s="378" t="s">
        <v>767</v>
      </c>
      <c r="C264" s="380" t="s">
        <v>463</v>
      </c>
      <c r="D264" s="380" t="str">
        <f t="shared" si="68"/>
        <v>CNL</v>
      </c>
      <c r="E264" s="380" t="s">
        <v>463</v>
      </c>
      <c r="F264" s="380" t="s">
        <v>463</v>
      </c>
      <c r="G264" s="380" t="str">
        <f t="shared" si="69"/>
        <v>s3d1b1</v>
      </c>
      <c r="H264" s="380" t="s">
        <v>463</v>
      </c>
      <c r="I264" s="379">
        <v>0</v>
      </c>
      <c r="J264" s="380">
        <f t="shared" ref="J264" si="80">J84</f>
        <v>8.0560000000000007E-2</v>
      </c>
    </row>
    <row r="265" spans="2:10">
      <c r="B265" s="378" t="s">
        <v>767</v>
      </c>
      <c r="C265" s="380" t="s">
        <v>463</v>
      </c>
      <c r="D265" s="380" t="str">
        <f t="shared" si="68"/>
        <v>CNL</v>
      </c>
      <c r="E265" s="380" t="s">
        <v>463</v>
      </c>
      <c r="F265" s="380" t="s">
        <v>463</v>
      </c>
      <c r="G265" s="380" t="str">
        <f t="shared" si="69"/>
        <v>s3d1b2</v>
      </c>
      <c r="H265" s="380" t="s">
        <v>463</v>
      </c>
      <c r="I265" s="379">
        <v>0</v>
      </c>
      <c r="J265" s="380">
        <f t="shared" ref="J265" si="81">J85</f>
        <v>0.11049</v>
      </c>
    </row>
    <row r="266" spans="2:10">
      <c r="B266" s="378" t="s">
        <v>767</v>
      </c>
      <c r="C266" s="380" t="s">
        <v>463</v>
      </c>
      <c r="D266" s="380" t="str">
        <f t="shared" si="68"/>
        <v>CNL</v>
      </c>
      <c r="E266" s="380" t="s">
        <v>463</v>
      </c>
      <c r="F266" s="380" t="s">
        <v>463</v>
      </c>
      <c r="G266" s="380" t="str">
        <f t="shared" si="69"/>
        <v>s3d1b3</v>
      </c>
      <c r="H266" s="380" t="s">
        <v>463</v>
      </c>
      <c r="I266" s="379">
        <v>0</v>
      </c>
      <c r="J266" s="380">
        <f t="shared" ref="J266" si="82">J86</f>
        <v>5.1400000000000001E-2</v>
      </c>
    </row>
    <row r="267" spans="2:10">
      <c r="B267" s="378" t="s">
        <v>767</v>
      </c>
      <c r="C267" s="380" t="s">
        <v>463</v>
      </c>
      <c r="D267" s="380" t="str">
        <f t="shared" si="68"/>
        <v>CNL</v>
      </c>
      <c r="E267" s="380" t="s">
        <v>463</v>
      </c>
      <c r="F267" s="380" t="s">
        <v>463</v>
      </c>
      <c r="G267" s="380" t="str">
        <f t="shared" si="69"/>
        <v>s3d2b1</v>
      </c>
      <c r="H267" s="380" t="s">
        <v>463</v>
      </c>
      <c r="I267" s="379">
        <v>0</v>
      </c>
      <c r="J267" s="380">
        <f t="shared" ref="J267" si="83">J87</f>
        <v>2.725E-2</v>
      </c>
    </row>
    <row r="268" spans="2:10">
      <c r="B268" s="378" t="s">
        <v>767</v>
      </c>
      <c r="C268" s="380" t="s">
        <v>463</v>
      </c>
      <c r="D268" s="380" t="str">
        <f t="shared" si="68"/>
        <v>CNL</v>
      </c>
      <c r="E268" s="380" t="s">
        <v>463</v>
      </c>
      <c r="F268" s="380" t="s">
        <v>463</v>
      </c>
      <c r="G268" s="380" t="str">
        <f t="shared" si="69"/>
        <v>s3d2b2</v>
      </c>
      <c r="H268" s="380" t="s">
        <v>463</v>
      </c>
      <c r="I268" s="379">
        <v>0</v>
      </c>
      <c r="J268" s="380">
        <f t="shared" ref="J268" si="84">J88</f>
        <v>4.65E-2</v>
      </c>
    </row>
    <row r="269" spans="2:10">
      <c r="B269" s="378" t="s">
        <v>767</v>
      </c>
      <c r="C269" s="380" t="s">
        <v>463</v>
      </c>
      <c r="D269" s="380" t="str">
        <f t="shared" si="68"/>
        <v>CNL</v>
      </c>
      <c r="E269" s="380" t="s">
        <v>463</v>
      </c>
      <c r="F269" s="380" t="s">
        <v>463</v>
      </c>
      <c r="G269" s="380" t="str">
        <f t="shared" si="69"/>
        <v>s3d2b3</v>
      </c>
      <c r="H269" s="380" t="s">
        <v>463</v>
      </c>
      <c r="I269" s="379">
        <v>0</v>
      </c>
      <c r="J269" s="380">
        <f t="shared" ref="J269" si="85">J89</f>
        <v>2.1309999999999999E-2</v>
      </c>
    </row>
    <row r="270" spans="2:10">
      <c r="B270" s="378" t="s">
        <v>767</v>
      </c>
      <c r="C270" s="380" t="s">
        <v>463</v>
      </c>
      <c r="D270" s="380" t="str">
        <f t="shared" si="68"/>
        <v>CNR</v>
      </c>
      <c r="E270" s="380" t="s">
        <v>463</v>
      </c>
      <c r="F270" s="380" t="s">
        <v>463</v>
      </c>
      <c r="G270" s="380" t="str">
        <f t="shared" si="69"/>
        <v>s1d1b1</v>
      </c>
      <c r="H270" s="380" t="s">
        <v>463</v>
      </c>
      <c r="I270" s="379">
        <v>0</v>
      </c>
      <c r="J270" s="380">
        <f t="shared" ref="J270" si="86">J90</f>
        <v>9.0829999999999994E-2</v>
      </c>
    </row>
    <row r="271" spans="2:10">
      <c r="B271" s="378" t="s">
        <v>767</v>
      </c>
      <c r="C271" s="380" t="s">
        <v>463</v>
      </c>
      <c r="D271" s="380" t="str">
        <f t="shared" si="68"/>
        <v>CNR</v>
      </c>
      <c r="E271" s="380" t="s">
        <v>463</v>
      </c>
      <c r="F271" s="380" t="s">
        <v>463</v>
      </c>
      <c r="G271" s="380" t="str">
        <f t="shared" si="69"/>
        <v>s1d1b2</v>
      </c>
      <c r="H271" s="380" t="s">
        <v>463</v>
      </c>
      <c r="I271" s="379">
        <v>0</v>
      </c>
      <c r="J271" s="380">
        <f t="shared" ref="J271" si="87">J91</f>
        <v>0.10806</v>
      </c>
    </row>
    <row r="272" spans="2:10">
      <c r="B272" s="378" t="s">
        <v>767</v>
      </c>
      <c r="C272" s="380" t="s">
        <v>463</v>
      </c>
      <c r="D272" s="380" t="str">
        <f t="shared" si="68"/>
        <v>CNR</v>
      </c>
      <c r="E272" s="380" t="s">
        <v>463</v>
      </c>
      <c r="F272" s="380" t="s">
        <v>463</v>
      </c>
      <c r="G272" s="380" t="str">
        <f t="shared" si="69"/>
        <v>s1d1b3</v>
      </c>
      <c r="H272" s="380" t="s">
        <v>463</v>
      </c>
      <c r="I272" s="379">
        <v>0</v>
      </c>
      <c r="J272" s="380">
        <f t="shared" ref="J272" si="88">J92</f>
        <v>5.0630000000000001E-2</v>
      </c>
    </row>
    <row r="273" spans="2:10">
      <c r="B273" s="378" t="s">
        <v>767</v>
      </c>
      <c r="C273" s="380" t="s">
        <v>463</v>
      </c>
      <c r="D273" s="380" t="str">
        <f t="shared" si="68"/>
        <v>CNR</v>
      </c>
      <c r="E273" s="380" t="s">
        <v>463</v>
      </c>
      <c r="F273" s="380" t="s">
        <v>463</v>
      </c>
      <c r="G273" s="380" t="str">
        <f t="shared" si="69"/>
        <v>s1d2b1</v>
      </c>
      <c r="H273" s="380" t="s">
        <v>463</v>
      </c>
      <c r="I273" s="379">
        <v>0</v>
      </c>
      <c r="J273" s="380">
        <f t="shared" ref="J273" si="89">J93</f>
        <v>4.2819999999999997E-2</v>
      </c>
    </row>
    <row r="274" spans="2:10">
      <c r="B274" s="378" t="s">
        <v>767</v>
      </c>
      <c r="C274" s="380" t="s">
        <v>463</v>
      </c>
      <c r="D274" s="380" t="str">
        <f t="shared" si="68"/>
        <v>CNR</v>
      </c>
      <c r="E274" s="380" t="s">
        <v>463</v>
      </c>
      <c r="F274" s="380" t="s">
        <v>463</v>
      </c>
      <c r="G274" s="380" t="str">
        <f t="shared" si="69"/>
        <v>s1d2b2</v>
      </c>
      <c r="H274" s="380" t="s">
        <v>463</v>
      </c>
      <c r="I274" s="379">
        <v>0</v>
      </c>
      <c r="J274" s="380">
        <f t="shared" ref="J274" si="90">J94</f>
        <v>4.2000000000000003E-2</v>
      </c>
    </row>
    <row r="275" spans="2:10">
      <c r="B275" s="378" t="s">
        <v>767</v>
      </c>
      <c r="C275" s="380" t="s">
        <v>463</v>
      </c>
      <c r="D275" s="380" t="str">
        <f t="shared" si="68"/>
        <v>CNR</v>
      </c>
      <c r="E275" s="380" t="s">
        <v>463</v>
      </c>
      <c r="F275" s="380" t="s">
        <v>463</v>
      </c>
      <c r="G275" s="380" t="str">
        <f t="shared" si="69"/>
        <v>s1d2b3</v>
      </c>
      <c r="H275" s="380" t="s">
        <v>463</v>
      </c>
      <c r="I275" s="379">
        <v>0</v>
      </c>
      <c r="J275" s="380">
        <f t="shared" ref="J275" si="91">J95</f>
        <v>2.2210000000000001E-2</v>
      </c>
    </row>
    <row r="276" spans="2:10">
      <c r="B276" s="378" t="s">
        <v>767</v>
      </c>
      <c r="C276" s="380" t="s">
        <v>463</v>
      </c>
      <c r="D276" s="380" t="str">
        <f t="shared" si="68"/>
        <v>CNR</v>
      </c>
      <c r="E276" s="380" t="s">
        <v>463</v>
      </c>
      <c r="F276" s="380" t="s">
        <v>463</v>
      </c>
      <c r="G276" s="380" t="str">
        <f t="shared" si="69"/>
        <v>s2d1b1</v>
      </c>
      <c r="H276" s="380" t="s">
        <v>463</v>
      </c>
      <c r="I276" s="379">
        <v>0</v>
      </c>
      <c r="J276" s="380">
        <f t="shared" ref="J276" si="92">J96</f>
        <v>7.2499999999999995E-2</v>
      </c>
    </row>
    <row r="277" spans="2:10">
      <c r="B277" s="378" t="s">
        <v>767</v>
      </c>
      <c r="C277" s="380" t="s">
        <v>463</v>
      </c>
      <c r="D277" s="380" t="str">
        <f t="shared" si="68"/>
        <v>CNR</v>
      </c>
      <c r="E277" s="380" t="s">
        <v>463</v>
      </c>
      <c r="F277" s="380" t="s">
        <v>463</v>
      </c>
      <c r="G277" s="380" t="str">
        <f t="shared" si="69"/>
        <v>s2d1b2</v>
      </c>
      <c r="H277" s="380" t="s">
        <v>463</v>
      </c>
      <c r="I277" s="379">
        <v>0</v>
      </c>
      <c r="J277" s="380">
        <f t="shared" ref="J277" si="93">J97</f>
        <v>2.24E-2</v>
      </c>
    </row>
    <row r="278" spans="2:10">
      <c r="B278" s="378" t="s">
        <v>767</v>
      </c>
      <c r="C278" s="380" t="s">
        <v>463</v>
      </c>
      <c r="D278" s="380" t="str">
        <f t="shared" si="68"/>
        <v>CNR</v>
      </c>
      <c r="E278" s="380" t="s">
        <v>463</v>
      </c>
      <c r="F278" s="380" t="s">
        <v>463</v>
      </c>
      <c r="G278" s="380" t="str">
        <f t="shared" si="69"/>
        <v>s2d1b3</v>
      </c>
      <c r="H278" s="380" t="s">
        <v>463</v>
      </c>
      <c r="I278" s="379">
        <v>0</v>
      </c>
      <c r="J278" s="380">
        <f t="shared" ref="J278" si="94">J98</f>
        <v>6.7030000000000006E-2</v>
      </c>
    </row>
    <row r="279" spans="2:10">
      <c r="B279" s="378" t="s">
        <v>767</v>
      </c>
      <c r="C279" s="380" t="s">
        <v>463</v>
      </c>
      <c r="D279" s="380" t="str">
        <f t="shared" si="68"/>
        <v>CNR</v>
      </c>
      <c r="E279" s="380" t="s">
        <v>463</v>
      </c>
      <c r="F279" s="380" t="s">
        <v>463</v>
      </c>
      <c r="G279" s="380" t="str">
        <f t="shared" si="69"/>
        <v>s2d1b4</v>
      </c>
      <c r="H279" s="380" t="s">
        <v>463</v>
      </c>
      <c r="I279" s="379">
        <v>0</v>
      </c>
      <c r="J279" s="380">
        <f t="shared" ref="J279" si="95">J99</f>
        <v>3.5090000000000003E-2</v>
      </c>
    </row>
    <row r="280" spans="2:10">
      <c r="B280" s="378" t="s">
        <v>767</v>
      </c>
      <c r="C280" s="380" t="s">
        <v>463</v>
      </c>
      <c r="D280" s="380" t="str">
        <f t="shared" si="68"/>
        <v>CNR</v>
      </c>
      <c r="E280" s="380" t="s">
        <v>463</v>
      </c>
      <c r="F280" s="380" t="s">
        <v>463</v>
      </c>
      <c r="G280" s="380" t="str">
        <f t="shared" si="69"/>
        <v>s2d1b5</v>
      </c>
      <c r="H280" s="380" t="s">
        <v>463</v>
      </c>
      <c r="I280" s="379">
        <v>0</v>
      </c>
      <c r="J280" s="380">
        <f t="shared" ref="J280" si="96">J100</f>
        <v>1.6899999999999998E-2</v>
      </c>
    </row>
    <row r="281" spans="2:10">
      <c r="B281" s="378" t="s">
        <v>767</v>
      </c>
      <c r="C281" s="380" t="s">
        <v>463</v>
      </c>
      <c r="D281" s="380" t="str">
        <f t="shared" si="68"/>
        <v>CNR</v>
      </c>
      <c r="E281" s="380" t="s">
        <v>463</v>
      </c>
      <c r="F281" s="380" t="s">
        <v>463</v>
      </c>
      <c r="G281" s="380" t="str">
        <f t="shared" si="69"/>
        <v>s2d2b1</v>
      </c>
      <c r="H281" s="380" t="s">
        <v>463</v>
      </c>
      <c r="I281" s="379">
        <v>0</v>
      </c>
      <c r="J281" s="380">
        <f t="shared" ref="J281" si="97">J101</f>
        <v>3.8150000000000003E-2</v>
      </c>
    </row>
    <row r="282" spans="2:10">
      <c r="B282" s="378" t="s">
        <v>767</v>
      </c>
      <c r="C282" s="380" t="s">
        <v>463</v>
      </c>
      <c r="D282" s="380" t="str">
        <f t="shared" si="68"/>
        <v>CNR</v>
      </c>
      <c r="E282" s="380" t="s">
        <v>463</v>
      </c>
      <c r="F282" s="380" t="s">
        <v>463</v>
      </c>
      <c r="G282" s="380" t="str">
        <f t="shared" si="69"/>
        <v>s2d2b2</v>
      </c>
      <c r="H282" s="380" t="s">
        <v>463</v>
      </c>
      <c r="I282" s="379">
        <v>0</v>
      </c>
      <c r="J282" s="380">
        <f t="shared" ref="J282" si="98">J102</f>
        <v>3.5249999999999997E-2</v>
      </c>
    </row>
    <row r="283" spans="2:10">
      <c r="B283" s="378" t="s">
        <v>767</v>
      </c>
      <c r="C283" s="380" t="s">
        <v>463</v>
      </c>
      <c r="D283" s="380" t="str">
        <f t="shared" si="68"/>
        <v>CNR</v>
      </c>
      <c r="E283" s="380" t="s">
        <v>463</v>
      </c>
      <c r="F283" s="380" t="s">
        <v>463</v>
      </c>
      <c r="G283" s="380" t="str">
        <f t="shared" si="69"/>
        <v>s2d2b3</v>
      </c>
      <c r="H283" s="380" t="s">
        <v>463</v>
      </c>
      <c r="I283" s="379">
        <v>0</v>
      </c>
      <c r="J283" s="380">
        <f t="shared" ref="J283" si="99">J103</f>
        <v>1.8620000000000001E-2</v>
      </c>
    </row>
    <row r="284" spans="2:10">
      <c r="B284" s="378" t="s">
        <v>767</v>
      </c>
      <c r="C284" s="380" t="s">
        <v>463</v>
      </c>
      <c r="D284" s="380" t="str">
        <f t="shared" si="68"/>
        <v>CNR</v>
      </c>
      <c r="E284" s="380" t="s">
        <v>463</v>
      </c>
      <c r="F284" s="380" t="s">
        <v>463</v>
      </c>
      <c r="G284" s="380" t="str">
        <f t="shared" si="69"/>
        <v>s3d1b1</v>
      </c>
      <c r="H284" s="380" t="s">
        <v>463</v>
      </c>
      <c r="I284" s="379">
        <v>0</v>
      </c>
      <c r="J284" s="380">
        <f t="shared" ref="J284" si="100">J104</f>
        <v>9.665E-2</v>
      </c>
    </row>
    <row r="285" spans="2:10">
      <c r="B285" s="378" t="s">
        <v>767</v>
      </c>
      <c r="C285" s="380" t="s">
        <v>463</v>
      </c>
      <c r="D285" s="380" t="str">
        <f t="shared" si="68"/>
        <v>CNR</v>
      </c>
      <c r="E285" s="380" t="s">
        <v>463</v>
      </c>
      <c r="F285" s="380" t="s">
        <v>463</v>
      </c>
      <c r="G285" s="380" t="str">
        <f t="shared" si="69"/>
        <v>s3d1b2</v>
      </c>
      <c r="H285" s="380" t="s">
        <v>463</v>
      </c>
      <c r="I285" s="379">
        <v>0</v>
      </c>
      <c r="J285" s="380">
        <f t="shared" ref="J285" si="101">J105</f>
        <v>9.6610000000000001E-2</v>
      </c>
    </row>
    <row r="286" spans="2:10">
      <c r="B286" s="378" t="s">
        <v>767</v>
      </c>
      <c r="C286" s="380" t="s">
        <v>463</v>
      </c>
      <c r="D286" s="380" t="str">
        <f t="shared" ref="D286:D317" si="102">"CN"&amp;RIGHT(D106,1)</f>
        <v>CNR</v>
      </c>
      <c r="E286" s="380" t="s">
        <v>463</v>
      </c>
      <c r="F286" s="380" t="s">
        <v>463</v>
      </c>
      <c r="G286" s="380" t="str">
        <f t="shared" ref="G286:G317" si="103">G106</f>
        <v>s3d1b3</v>
      </c>
      <c r="H286" s="380" t="s">
        <v>463</v>
      </c>
      <c r="I286" s="379">
        <v>0</v>
      </c>
      <c r="J286" s="380">
        <f t="shared" ref="J286" si="104">J106</f>
        <v>4.9189999999999998E-2</v>
      </c>
    </row>
    <row r="287" spans="2:10">
      <c r="B287" s="378" t="s">
        <v>767</v>
      </c>
      <c r="C287" s="380" t="s">
        <v>463</v>
      </c>
      <c r="D287" s="380" t="str">
        <f t="shared" si="102"/>
        <v>CNR</v>
      </c>
      <c r="E287" s="380" t="s">
        <v>463</v>
      </c>
      <c r="F287" s="380" t="s">
        <v>463</v>
      </c>
      <c r="G287" s="380" t="str">
        <f t="shared" si="103"/>
        <v>s3d2b1</v>
      </c>
      <c r="H287" s="380" t="s">
        <v>463</v>
      </c>
      <c r="I287" s="379">
        <v>0</v>
      </c>
      <c r="J287" s="380">
        <f t="shared" ref="J287" si="105">J107</f>
        <v>3.9410000000000001E-2</v>
      </c>
    </row>
    <row r="288" spans="2:10">
      <c r="B288" s="378" t="s">
        <v>767</v>
      </c>
      <c r="C288" s="380" t="s">
        <v>463</v>
      </c>
      <c r="D288" s="380" t="str">
        <f t="shared" si="102"/>
        <v>CNR</v>
      </c>
      <c r="E288" s="380" t="s">
        <v>463</v>
      </c>
      <c r="F288" s="380" t="s">
        <v>463</v>
      </c>
      <c r="G288" s="380" t="str">
        <f t="shared" si="103"/>
        <v>s3d2b2</v>
      </c>
      <c r="H288" s="380" t="s">
        <v>463</v>
      </c>
      <c r="I288" s="379">
        <v>0</v>
      </c>
      <c r="J288" s="380">
        <f t="shared" ref="J288" si="106">J108</f>
        <v>3.6420000000000001E-2</v>
      </c>
    </row>
    <row r="289" spans="2:10">
      <c r="B289" s="378" t="s">
        <v>767</v>
      </c>
      <c r="C289" s="380" t="s">
        <v>463</v>
      </c>
      <c r="D289" s="380" t="str">
        <f t="shared" si="102"/>
        <v>CNR</v>
      </c>
      <c r="E289" s="380" t="s">
        <v>463</v>
      </c>
      <c r="F289" s="380" t="s">
        <v>463</v>
      </c>
      <c r="G289" s="380" t="str">
        <f t="shared" si="103"/>
        <v>s3d2b3</v>
      </c>
      <c r="H289" s="380" t="s">
        <v>463</v>
      </c>
      <c r="I289" s="379">
        <v>0</v>
      </c>
      <c r="J289" s="380">
        <f t="shared" ref="J289" si="107">J109</f>
        <v>1.9230000000000001E-2</v>
      </c>
    </row>
    <row r="290" spans="2:10">
      <c r="B290" s="378" t="s">
        <v>767</v>
      </c>
      <c r="C290" s="380" t="s">
        <v>463</v>
      </c>
      <c r="D290" s="380" t="str">
        <f t="shared" si="102"/>
        <v>CNW</v>
      </c>
      <c r="E290" s="380" t="s">
        <v>463</v>
      </c>
      <c r="F290" s="380" t="s">
        <v>463</v>
      </c>
      <c r="G290" s="380" t="str">
        <f t="shared" si="103"/>
        <v>s1d1b1</v>
      </c>
      <c r="H290" s="380" t="s">
        <v>463</v>
      </c>
      <c r="I290" s="379">
        <v>0</v>
      </c>
      <c r="J290" s="380">
        <f t="shared" ref="J290" si="108">J110</f>
        <v>9.6060000000000006E-2</v>
      </c>
    </row>
    <row r="291" spans="2:10">
      <c r="B291" s="378" t="s">
        <v>767</v>
      </c>
      <c r="C291" s="380" t="s">
        <v>463</v>
      </c>
      <c r="D291" s="380" t="str">
        <f t="shared" si="102"/>
        <v>CNW</v>
      </c>
      <c r="E291" s="380" t="s">
        <v>463</v>
      </c>
      <c r="F291" s="380" t="s">
        <v>463</v>
      </c>
      <c r="G291" s="380" t="str">
        <f t="shared" si="103"/>
        <v>s1d1b2</v>
      </c>
      <c r="H291" s="380" t="s">
        <v>463</v>
      </c>
      <c r="I291" s="379">
        <v>0</v>
      </c>
      <c r="J291" s="380">
        <f t="shared" ref="J291" si="109">J111</f>
        <v>0.11436000000000011</v>
      </c>
    </row>
    <row r="292" spans="2:10">
      <c r="B292" s="378" t="s">
        <v>767</v>
      </c>
      <c r="C292" s="380" t="s">
        <v>463</v>
      </c>
      <c r="D292" s="380" t="str">
        <f t="shared" si="102"/>
        <v>CNW</v>
      </c>
      <c r="E292" s="380" t="s">
        <v>463</v>
      </c>
      <c r="F292" s="380" t="s">
        <v>463</v>
      </c>
      <c r="G292" s="380" t="str">
        <f t="shared" si="103"/>
        <v>s1d1b3</v>
      </c>
      <c r="H292" s="380" t="s">
        <v>463</v>
      </c>
      <c r="I292" s="379">
        <v>0</v>
      </c>
      <c r="J292" s="380">
        <f t="shared" ref="J292" si="110">J112</f>
        <v>3.909E-2</v>
      </c>
    </row>
    <row r="293" spans="2:10">
      <c r="B293" s="378" t="s">
        <v>767</v>
      </c>
      <c r="C293" s="380" t="s">
        <v>463</v>
      </c>
      <c r="D293" s="380" t="str">
        <f t="shared" si="102"/>
        <v>CNW</v>
      </c>
      <c r="E293" s="380" t="s">
        <v>463</v>
      </c>
      <c r="F293" s="380" t="s">
        <v>463</v>
      </c>
      <c r="G293" s="380" t="str">
        <f t="shared" si="103"/>
        <v>s1d2b1</v>
      </c>
      <c r="H293" s="380" t="s">
        <v>463</v>
      </c>
      <c r="I293" s="379">
        <v>0</v>
      </c>
      <c r="J293" s="380">
        <f t="shared" ref="J293" si="111">J113</f>
        <v>4.5670000000000002E-2</v>
      </c>
    </row>
    <row r="294" spans="2:10">
      <c r="B294" s="378" t="s">
        <v>767</v>
      </c>
      <c r="C294" s="380" t="s">
        <v>463</v>
      </c>
      <c r="D294" s="380" t="str">
        <f t="shared" si="102"/>
        <v>CNW</v>
      </c>
      <c r="E294" s="380" t="s">
        <v>463</v>
      </c>
      <c r="F294" s="380" t="s">
        <v>463</v>
      </c>
      <c r="G294" s="380" t="str">
        <f t="shared" si="103"/>
        <v>s1d2b2</v>
      </c>
      <c r="H294" s="380" t="s">
        <v>463</v>
      </c>
      <c r="I294" s="379">
        <v>0</v>
      </c>
      <c r="J294" s="380">
        <f t="shared" ref="J294" si="112">J114</f>
        <v>4.4600000000000001E-2</v>
      </c>
    </row>
    <row r="295" spans="2:10">
      <c r="B295" s="378" t="s">
        <v>767</v>
      </c>
      <c r="C295" s="380" t="s">
        <v>463</v>
      </c>
      <c r="D295" s="380" t="str">
        <f t="shared" si="102"/>
        <v>CNW</v>
      </c>
      <c r="E295" s="380" t="s">
        <v>463</v>
      </c>
      <c r="F295" s="380" t="s">
        <v>463</v>
      </c>
      <c r="G295" s="380" t="str">
        <f t="shared" si="103"/>
        <v>s1d2b3</v>
      </c>
      <c r="H295" s="380" t="s">
        <v>463</v>
      </c>
      <c r="I295" s="379">
        <v>0</v>
      </c>
      <c r="J295" s="380">
        <f t="shared" ref="J295" si="113">J115</f>
        <v>1.677E-2</v>
      </c>
    </row>
    <row r="296" spans="2:10">
      <c r="B296" s="378" t="s">
        <v>767</v>
      </c>
      <c r="C296" s="380" t="s">
        <v>463</v>
      </c>
      <c r="D296" s="380" t="str">
        <f t="shared" si="102"/>
        <v>CNW</v>
      </c>
      <c r="E296" s="380" t="s">
        <v>463</v>
      </c>
      <c r="F296" s="380" t="s">
        <v>463</v>
      </c>
      <c r="G296" s="380" t="str">
        <f t="shared" si="103"/>
        <v>s2d1b1</v>
      </c>
      <c r="H296" s="380" t="s">
        <v>463</v>
      </c>
      <c r="I296" s="379">
        <v>0</v>
      </c>
      <c r="J296" s="380">
        <f t="shared" ref="J296" si="114">J116</f>
        <v>7.8799999999999995E-2</v>
      </c>
    </row>
    <row r="297" spans="2:10">
      <c r="B297" s="378" t="s">
        <v>767</v>
      </c>
      <c r="C297" s="380" t="s">
        <v>463</v>
      </c>
      <c r="D297" s="380" t="str">
        <f t="shared" si="102"/>
        <v>CNW</v>
      </c>
      <c r="E297" s="380" t="s">
        <v>463</v>
      </c>
      <c r="F297" s="380" t="s">
        <v>463</v>
      </c>
      <c r="G297" s="380" t="str">
        <f t="shared" si="103"/>
        <v>s2d1b2</v>
      </c>
      <c r="H297" s="380" t="s">
        <v>463</v>
      </c>
      <c r="I297" s="379">
        <v>0</v>
      </c>
      <c r="J297" s="380">
        <f t="shared" ref="J297" si="115">J117</f>
        <v>3.245E-2</v>
      </c>
    </row>
    <row r="298" spans="2:10">
      <c r="B298" s="378" t="s">
        <v>767</v>
      </c>
      <c r="C298" s="380" t="s">
        <v>463</v>
      </c>
      <c r="D298" s="380" t="str">
        <f t="shared" si="102"/>
        <v>CNW</v>
      </c>
      <c r="E298" s="380" t="s">
        <v>463</v>
      </c>
      <c r="F298" s="380" t="s">
        <v>463</v>
      </c>
      <c r="G298" s="380" t="str">
        <f t="shared" si="103"/>
        <v>s2d1b3</v>
      </c>
      <c r="H298" s="380" t="s">
        <v>463</v>
      </c>
      <c r="I298" s="379">
        <v>0</v>
      </c>
      <c r="J298" s="380">
        <f t="shared" ref="J298" si="116">J118</f>
        <v>6.2390000000000001E-2</v>
      </c>
    </row>
    <row r="299" spans="2:10">
      <c r="B299" s="378" t="s">
        <v>767</v>
      </c>
      <c r="C299" s="380" t="s">
        <v>463</v>
      </c>
      <c r="D299" s="380" t="str">
        <f t="shared" si="102"/>
        <v>CNW</v>
      </c>
      <c r="E299" s="380" t="s">
        <v>463</v>
      </c>
      <c r="F299" s="380" t="s">
        <v>463</v>
      </c>
      <c r="G299" s="380" t="str">
        <f t="shared" si="103"/>
        <v>s2d1b4</v>
      </c>
      <c r="H299" s="380" t="s">
        <v>463</v>
      </c>
      <c r="I299" s="379">
        <v>0</v>
      </c>
      <c r="J299" s="380">
        <f t="shared" ref="J299" si="117">J119</f>
        <v>2.46E-2</v>
      </c>
    </row>
    <row r="300" spans="2:10">
      <c r="B300" s="378" t="s">
        <v>767</v>
      </c>
      <c r="C300" s="380" t="s">
        <v>463</v>
      </c>
      <c r="D300" s="380" t="str">
        <f t="shared" si="102"/>
        <v>CNW</v>
      </c>
      <c r="E300" s="380" t="s">
        <v>463</v>
      </c>
      <c r="F300" s="380" t="s">
        <v>463</v>
      </c>
      <c r="G300" s="380" t="str">
        <f t="shared" si="103"/>
        <v>s2d1b5</v>
      </c>
      <c r="H300" s="380" t="s">
        <v>463</v>
      </c>
      <c r="I300" s="379">
        <v>0</v>
      </c>
      <c r="J300" s="380">
        <f t="shared" ref="J300" si="118">J120</f>
        <v>1.5689999999999999E-2</v>
      </c>
    </row>
    <row r="301" spans="2:10">
      <c r="B301" s="378" t="s">
        <v>767</v>
      </c>
      <c r="C301" s="380" t="s">
        <v>463</v>
      </c>
      <c r="D301" s="380" t="str">
        <f t="shared" si="102"/>
        <v>CNW</v>
      </c>
      <c r="E301" s="380" t="s">
        <v>463</v>
      </c>
      <c r="F301" s="380" t="s">
        <v>463</v>
      </c>
      <c r="G301" s="380" t="str">
        <f t="shared" si="103"/>
        <v>s2d2b1</v>
      </c>
      <c r="H301" s="380" t="s">
        <v>463</v>
      </c>
      <c r="I301" s="379">
        <v>0</v>
      </c>
      <c r="J301" s="380">
        <f t="shared" ref="J301" si="119">J121</f>
        <v>3.9260000000000003E-2</v>
      </c>
    </row>
    <row r="302" spans="2:10">
      <c r="B302" s="378" t="s">
        <v>767</v>
      </c>
      <c r="C302" s="380" t="s">
        <v>463</v>
      </c>
      <c r="D302" s="380" t="str">
        <f t="shared" si="102"/>
        <v>CNW</v>
      </c>
      <c r="E302" s="380" t="s">
        <v>463</v>
      </c>
      <c r="F302" s="380" t="s">
        <v>463</v>
      </c>
      <c r="G302" s="380" t="str">
        <f t="shared" si="103"/>
        <v>s2d2b2</v>
      </c>
      <c r="H302" s="380" t="s">
        <v>463</v>
      </c>
      <c r="I302" s="379">
        <v>0</v>
      </c>
      <c r="J302" s="380">
        <f t="shared" ref="J302" si="120">J122</f>
        <v>3.8339999999999999E-2</v>
      </c>
    </row>
    <row r="303" spans="2:10">
      <c r="B303" s="378" t="s">
        <v>767</v>
      </c>
      <c r="C303" s="380" t="s">
        <v>463</v>
      </c>
      <c r="D303" s="380" t="str">
        <f t="shared" si="102"/>
        <v>CNW</v>
      </c>
      <c r="E303" s="380" t="s">
        <v>463</v>
      </c>
      <c r="F303" s="380" t="s">
        <v>463</v>
      </c>
      <c r="G303" s="380" t="str">
        <f t="shared" si="103"/>
        <v>s2d2b3</v>
      </c>
      <c r="H303" s="380" t="s">
        <v>463</v>
      </c>
      <c r="I303" s="379">
        <v>0</v>
      </c>
      <c r="J303" s="380">
        <f t="shared" ref="J303" si="121">J123</f>
        <v>1.4420000000000001E-2</v>
      </c>
    </row>
    <row r="304" spans="2:10">
      <c r="B304" s="378" t="s">
        <v>767</v>
      </c>
      <c r="C304" s="380" t="s">
        <v>463</v>
      </c>
      <c r="D304" s="380" t="str">
        <f t="shared" si="102"/>
        <v>CNW</v>
      </c>
      <c r="E304" s="380" t="s">
        <v>463</v>
      </c>
      <c r="F304" s="380" t="s">
        <v>463</v>
      </c>
      <c r="G304" s="380" t="str">
        <f t="shared" si="103"/>
        <v>s3d1b1</v>
      </c>
      <c r="H304" s="380" t="s">
        <v>463</v>
      </c>
      <c r="I304" s="379">
        <v>0</v>
      </c>
      <c r="J304" s="380">
        <f t="shared" ref="J304" si="122">J124</f>
        <v>0.10345</v>
      </c>
    </row>
    <row r="305" spans="2:10">
      <c r="B305" s="378" t="s">
        <v>767</v>
      </c>
      <c r="C305" s="380" t="s">
        <v>463</v>
      </c>
      <c r="D305" s="380" t="str">
        <f t="shared" si="102"/>
        <v>CNW</v>
      </c>
      <c r="E305" s="380" t="s">
        <v>463</v>
      </c>
      <c r="F305" s="380" t="s">
        <v>463</v>
      </c>
      <c r="G305" s="380" t="str">
        <f t="shared" si="103"/>
        <v>s3d1b2</v>
      </c>
      <c r="H305" s="380" t="s">
        <v>463</v>
      </c>
      <c r="I305" s="379">
        <v>0</v>
      </c>
      <c r="J305" s="380">
        <f t="shared" ref="J305" si="123">J125</f>
        <v>0.10102</v>
      </c>
    </row>
    <row r="306" spans="2:10">
      <c r="B306" s="378" t="s">
        <v>767</v>
      </c>
      <c r="C306" s="380" t="s">
        <v>463</v>
      </c>
      <c r="D306" s="380" t="str">
        <f t="shared" si="102"/>
        <v>CNW</v>
      </c>
      <c r="E306" s="380" t="s">
        <v>463</v>
      </c>
      <c r="F306" s="380" t="s">
        <v>463</v>
      </c>
      <c r="G306" s="380" t="str">
        <f t="shared" si="103"/>
        <v>s3d1b3</v>
      </c>
      <c r="H306" s="380" t="s">
        <v>463</v>
      </c>
      <c r="I306" s="379">
        <v>0</v>
      </c>
      <c r="J306" s="380">
        <f t="shared" ref="J306" si="124">J126</f>
        <v>3.798E-2</v>
      </c>
    </row>
    <row r="307" spans="2:10">
      <c r="B307" s="378" t="s">
        <v>767</v>
      </c>
      <c r="C307" s="380" t="s">
        <v>463</v>
      </c>
      <c r="D307" s="380" t="str">
        <f t="shared" si="102"/>
        <v>CNW</v>
      </c>
      <c r="E307" s="380" t="s">
        <v>463</v>
      </c>
      <c r="F307" s="380" t="s">
        <v>463</v>
      </c>
      <c r="G307" s="380" t="str">
        <f t="shared" si="103"/>
        <v>s3d2b1</v>
      </c>
      <c r="H307" s="380" t="s">
        <v>463</v>
      </c>
      <c r="I307" s="379">
        <v>0</v>
      </c>
      <c r="J307" s="380">
        <f t="shared" ref="J307" si="125">J127</f>
        <v>4.0559999999999999E-2</v>
      </c>
    </row>
    <row r="308" spans="2:10">
      <c r="B308" s="378" t="s">
        <v>767</v>
      </c>
      <c r="C308" s="380" t="s">
        <v>463</v>
      </c>
      <c r="D308" s="380" t="str">
        <f t="shared" si="102"/>
        <v>CNW</v>
      </c>
      <c r="E308" s="380" t="s">
        <v>463</v>
      </c>
      <c r="F308" s="380" t="s">
        <v>463</v>
      </c>
      <c r="G308" s="380" t="str">
        <f t="shared" si="103"/>
        <v>s3d2b2</v>
      </c>
      <c r="H308" s="380" t="s">
        <v>463</v>
      </c>
      <c r="I308" s="379">
        <v>0</v>
      </c>
      <c r="J308" s="380">
        <f t="shared" ref="J308" si="126">J128</f>
        <v>3.9600000000000003E-2</v>
      </c>
    </row>
    <row r="309" spans="2:10">
      <c r="B309" s="378" t="s">
        <v>767</v>
      </c>
      <c r="C309" s="380" t="s">
        <v>463</v>
      </c>
      <c r="D309" s="380" t="str">
        <f t="shared" si="102"/>
        <v>CNW</v>
      </c>
      <c r="E309" s="380" t="s">
        <v>463</v>
      </c>
      <c r="F309" s="380" t="s">
        <v>463</v>
      </c>
      <c r="G309" s="380" t="str">
        <f t="shared" si="103"/>
        <v>s3d2b3</v>
      </c>
      <c r="H309" s="380" t="s">
        <v>463</v>
      </c>
      <c r="I309" s="379">
        <v>0</v>
      </c>
      <c r="J309" s="380">
        <f t="shared" ref="J309" si="127">J129</f>
        <v>1.489E-2</v>
      </c>
    </row>
    <row r="310" spans="2:10">
      <c r="B310" s="378" t="s">
        <v>767</v>
      </c>
      <c r="C310" s="380" t="s">
        <v>463</v>
      </c>
      <c r="D310" s="380" t="str">
        <f t="shared" si="102"/>
        <v>CNG</v>
      </c>
      <c r="E310" s="380" t="s">
        <v>463</v>
      </c>
      <c r="F310" s="380" t="s">
        <v>463</v>
      </c>
      <c r="G310" s="380" t="str">
        <f t="shared" si="103"/>
        <v>s1d1b1</v>
      </c>
      <c r="H310" s="380" t="s">
        <v>463</v>
      </c>
      <c r="I310" s="379">
        <v>0</v>
      </c>
      <c r="J310" s="380">
        <f t="shared" ref="J310" si="128">J130</f>
        <v>7.2599999999999998E-2</v>
      </c>
    </row>
    <row r="311" spans="2:10">
      <c r="B311" s="378" t="s">
        <v>767</v>
      </c>
      <c r="C311" s="380" t="s">
        <v>463</v>
      </c>
      <c r="D311" s="380" t="str">
        <f t="shared" si="102"/>
        <v>CNG</v>
      </c>
      <c r="E311" s="380" t="s">
        <v>463</v>
      </c>
      <c r="F311" s="380" t="s">
        <v>463</v>
      </c>
      <c r="G311" s="380" t="str">
        <f t="shared" si="103"/>
        <v>s1d1b2</v>
      </c>
      <c r="H311" s="380" t="s">
        <v>463</v>
      </c>
      <c r="I311" s="379">
        <v>0</v>
      </c>
      <c r="J311" s="380">
        <f t="shared" ref="J311" si="129">J131</f>
        <v>0</v>
      </c>
    </row>
    <row r="312" spans="2:10">
      <c r="B312" s="378" t="s">
        <v>767</v>
      </c>
      <c r="C312" s="380" t="s">
        <v>463</v>
      </c>
      <c r="D312" s="380" t="str">
        <f t="shared" si="102"/>
        <v>CNG</v>
      </c>
      <c r="E312" s="380" t="s">
        <v>463</v>
      </c>
      <c r="F312" s="380" t="s">
        <v>463</v>
      </c>
      <c r="G312" s="380" t="str">
        <f t="shared" si="103"/>
        <v>s1d1b3</v>
      </c>
      <c r="H312" s="380" t="s">
        <v>463</v>
      </c>
      <c r="I312" s="379">
        <v>0</v>
      </c>
      <c r="J312" s="380">
        <f t="shared" ref="J312" si="130">J132</f>
        <v>3.6299999999999999E-2</v>
      </c>
    </row>
    <row r="313" spans="2:10">
      <c r="B313" s="378" t="s">
        <v>767</v>
      </c>
      <c r="C313" s="380" t="s">
        <v>463</v>
      </c>
      <c r="D313" s="380" t="str">
        <f t="shared" si="102"/>
        <v>CNG</v>
      </c>
      <c r="E313" s="380" t="s">
        <v>463</v>
      </c>
      <c r="F313" s="380" t="s">
        <v>463</v>
      </c>
      <c r="G313" s="380" t="str">
        <f t="shared" si="103"/>
        <v>s1d2b1</v>
      </c>
      <c r="H313" s="380" t="s">
        <v>463</v>
      </c>
      <c r="I313" s="379">
        <v>0</v>
      </c>
      <c r="J313" s="380">
        <f t="shared" ref="J313" si="131">J133</f>
        <v>0.40819000000000005</v>
      </c>
    </row>
    <row r="314" spans="2:10">
      <c r="B314" s="378" t="s">
        <v>767</v>
      </c>
      <c r="C314" s="380" t="s">
        <v>463</v>
      </c>
      <c r="D314" s="380" t="str">
        <f t="shared" si="102"/>
        <v>CNG</v>
      </c>
      <c r="E314" s="380" t="s">
        <v>463</v>
      </c>
      <c r="F314" s="380" t="s">
        <v>463</v>
      </c>
      <c r="G314" s="380" t="str">
        <f t="shared" si="103"/>
        <v>s1d2b2</v>
      </c>
      <c r="H314" s="380" t="s">
        <v>463</v>
      </c>
      <c r="I314" s="379">
        <v>0</v>
      </c>
      <c r="J314" s="380">
        <f t="shared" ref="J314" si="132">J134</f>
        <v>0</v>
      </c>
    </row>
    <row r="315" spans="2:10">
      <c r="B315" s="378" t="s">
        <v>767</v>
      </c>
      <c r="C315" s="380" t="s">
        <v>463</v>
      </c>
      <c r="D315" s="380" t="str">
        <f t="shared" si="102"/>
        <v>CNG</v>
      </c>
      <c r="E315" s="380" t="s">
        <v>463</v>
      </c>
      <c r="F315" s="380" t="s">
        <v>463</v>
      </c>
      <c r="G315" s="380" t="str">
        <f t="shared" si="103"/>
        <v>s1d2b3</v>
      </c>
      <c r="H315" s="380" t="s">
        <v>463</v>
      </c>
      <c r="I315" s="379">
        <v>0</v>
      </c>
      <c r="J315" s="380">
        <f t="shared" ref="J315" si="133">J135</f>
        <v>3.7400000000000003E-2</v>
      </c>
    </row>
    <row r="316" spans="2:10">
      <c r="B316" s="378" t="s">
        <v>767</v>
      </c>
      <c r="C316" s="380" t="s">
        <v>463</v>
      </c>
      <c r="D316" s="380" t="str">
        <f t="shared" si="102"/>
        <v>CNG</v>
      </c>
      <c r="E316" s="380" t="s">
        <v>463</v>
      </c>
      <c r="F316" s="380" t="s">
        <v>463</v>
      </c>
      <c r="G316" s="380" t="str">
        <f t="shared" si="103"/>
        <v>s2d1b1</v>
      </c>
      <c r="H316" s="380" t="s">
        <v>463</v>
      </c>
      <c r="I316" s="379">
        <v>0</v>
      </c>
      <c r="J316" s="380">
        <f t="shared" ref="J316" si="134">J136</f>
        <v>0.40819000000000005</v>
      </c>
    </row>
    <row r="317" spans="2:10">
      <c r="B317" s="378" t="s">
        <v>767</v>
      </c>
      <c r="C317" s="380" t="s">
        <v>463</v>
      </c>
      <c r="D317" s="380" t="str">
        <f t="shared" si="102"/>
        <v>CNG</v>
      </c>
      <c r="E317" s="380" t="s">
        <v>463</v>
      </c>
      <c r="F317" s="380" t="s">
        <v>463</v>
      </c>
      <c r="G317" s="380" t="str">
        <f t="shared" si="103"/>
        <v>s2d1b2</v>
      </c>
      <c r="H317" s="380" t="s">
        <v>463</v>
      </c>
      <c r="I317" s="379">
        <v>0</v>
      </c>
      <c r="J317" s="380">
        <f t="shared" ref="J317" si="135">J137</f>
        <v>0</v>
      </c>
    </row>
    <row r="318" spans="2:10">
      <c r="B318" s="378" t="s">
        <v>767</v>
      </c>
      <c r="C318" s="380" t="s">
        <v>463</v>
      </c>
      <c r="D318" s="380" t="str">
        <f t="shared" ref="D318:D329" si="136">"CN"&amp;RIGHT(D138,1)</f>
        <v>CNG</v>
      </c>
      <c r="E318" s="380" t="s">
        <v>463</v>
      </c>
      <c r="F318" s="380" t="s">
        <v>463</v>
      </c>
      <c r="G318" s="380" t="str">
        <f t="shared" ref="G318:G329" si="137">G138</f>
        <v>s2d1b3</v>
      </c>
      <c r="H318" s="380" t="s">
        <v>463</v>
      </c>
      <c r="I318" s="379">
        <v>0</v>
      </c>
      <c r="J318" s="380">
        <f t="shared" ref="J318" si="138">J138</f>
        <v>5.0000000000000002E-5</v>
      </c>
    </row>
    <row r="319" spans="2:10">
      <c r="B319" s="378" t="s">
        <v>767</v>
      </c>
      <c r="C319" s="380" t="s">
        <v>463</v>
      </c>
      <c r="D319" s="380" t="str">
        <f t="shared" si="136"/>
        <v>CNG</v>
      </c>
      <c r="E319" s="380" t="s">
        <v>463</v>
      </c>
      <c r="F319" s="380" t="s">
        <v>463</v>
      </c>
      <c r="G319" s="380" t="str">
        <f t="shared" si="137"/>
        <v>s2d1b4</v>
      </c>
      <c r="H319" s="380" t="s">
        <v>463</v>
      </c>
      <c r="I319" s="379">
        <v>0</v>
      </c>
      <c r="J319" s="380">
        <f t="shared" ref="J319" si="139">J139</f>
        <v>1.8679999999999999E-2</v>
      </c>
    </row>
    <row r="320" spans="2:10">
      <c r="B320" s="378" t="s">
        <v>767</v>
      </c>
      <c r="C320" s="380" t="s">
        <v>463</v>
      </c>
      <c r="D320" s="380" t="str">
        <f t="shared" si="136"/>
        <v>CNG</v>
      </c>
      <c r="E320" s="380" t="s">
        <v>463</v>
      </c>
      <c r="F320" s="380" t="s">
        <v>463</v>
      </c>
      <c r="G320" s="380" t="str">
        <f t="shared" si="137"/>
        <v>s2d1b5</v>
      </c>
      <c r="H320" s="380" t="s">
        <v>463</v>
      </c>
      <c r="I320" s="379">
        <v>0</v>
      </c>
      <c r="J320" s="380">
        <f t="shared" ref="J320" si="140">J140</f>
        <v>1.8679999999999999E-2</v>
      </c>
    </row>
    <row r="321" spans="2:10">
      <c r="B321" s="378" t="s">
        <v>767</v>
      </c>
      <c r="C321" s="380" t="s">
        <v>463</v>
      </c>
      <c r="D321" s="380" t="str">
        <f t="shared" si="136"/>
        <v>CNG</v>
      </c>
      <c r="E321" s="380" t="s">
        <v>463</v>
      </c>
      <c r="F321" s="380" t="s">
        <v>463</v>
      </c>
      <c r="G321" s="380" t="str">
        <f t="shared" si="137"/>
        <v>s2d2b1</v>
      </c>
      <c r="H321" s="380" t="s">
        <v>463</v>
      </c>
      <c r="I321" s="379">
        <v>0</v>
      </c>
      <c r="J321" s="380">
        <f t="shared" ref="J321" si="141">J141</f>
        <v>0.40819000000000005</v>
      </c>
    </row>
    <row r="322" spans="2:10">
      <c r="B322" s="378" t="s">
        <v>767</v>
      </c>
      <c r="C322" s="380" t="s">
        <v>463</v>
      </c>
      <c r="D322" s="380" t="str">
        <f t="shared" si="136"/>
        <v>CNG</v>
      </c>
      <c r="E322" s="380" t="s">
        <v>463</v>
      </c>
      <c r="F322" s="380" t="s">
        <v>463</v>
      </c>
      <c r="G322" s="380" t="str">
        <f t="shared" si="137"/>
        <v>s2d2b2</v>
      </c>
      <c r="H322" s="380" t="s">
        <v>463</v>
      </c>
      <c r="I322" s="379">
        <v>0</v>
      </c>
      <c r="J322" s="380">
        <f t="shared" ref="J322" si="142">J142</f>
        <v>0</v>
      </c>
    </row>
    <row r="323" spans="2:10">
      <c r="B323" s="378" t="s">
        <v>767</v>
      </c>
      <c r="C323" s="380" t="s">
        <v>463</v>
      </c>
      <c r="D323" s="380" t="str">
        <f t="shared" si="136"/>
        <v>CNG</v>
      </c>
      <c r="E323" s="380" t="s">
        <v>463</v>
      </c>
      <c r="F323" s="380" t="s">
        <v>463</v>
      </c>
      <c r="G323" s="380" t="str">
        <f t="shared" si="137"/>
        <v>s2d2b3</v>
      </c>
      <c r="H323" s="380" t="s">
        <v>463</v>
      </c>
      <c r="I323" s="379">
        <v>0</v>
      </c>
      <c r="J323" s="380">
        <f t="shared" ref="J323" si="143">J143</f>
        <v>3.7400000000000003E-2</v>
      </c>
    </row>
    <row r="324" spans="2:10">
      <c r="B324" s="378" t="s">
        <v>767</v>
      </c>
      <c r="C324" s="380" t="s">
        <v>463</v>
      </c>
      <c r="D324" s="380" t="str">
        <f t="shared" si="136"/>
        <v>CNG</v>
      </c>
      <c r="E324" s="380" t="s">
        <v>463</v>
      </c>
      <c r="F324" s="380" t="s">
        <v>463</v>
      </c>
      <c r="G324" s="380" t="str">
        <f t="shared" si="137"/>
        <v>s3d1b1</v>
      </c>
      <c r="H324" s="380" t="s">
        <v>463</v>
      </c>
      <c r="I324" s="379">
        <v>0</v>
      </c>
      <c r="J324" s="380">
        <f t="shared" ref="J324" si="144">J144</f>
        <v>0.40819000000000005</v>
      </c>
    </row>
    <row r="325" spans="2:10">
      <c r="B325" s="378" t="s">
        <v>767</v>
      </c>
      <c r="C325" s="380" t="s">
        <v>463</v>
      </c>
      <c r="D325" s="380" t="str">
        <f t="shared" si="136"/>
        <v>CNG</v>
      </c>
      <c r="E325" s="380" t="s">
        <v>463</v>
      </c>
      <c r="F325" s="380" t="s">
        <v>463</v>
      </c>
      <c r="G325" s="380" t="str">
        <f t="shared" si="137"/>
        <v>s3d1b2</v>
      </c>
      <c r="H325" s="380" t="s">
        <v>463</v>
      </c>
      <c r="I325" s="379">
        <v>0</v>
      </c>
      <c r="J325" s="380">
        <f t="shared" ref="J325" si="145">J145</f>
        <v>0</v>
      </c>
    </row>
    <row r="326" spans="2:10">
      <c r="B326" s="378" t="s">
        <v>767</v>
      </c>
      <c r="C326" s="380" t="s">
        <v>463</v>
      </c>
      <c r="D326" s="380" t="str">
        <f t="shared" si="136"/>
        <v>CNG</v>
      </c>
      <c r="E326" s="380" t="s">
        <v>463</v>
      </c>
      <c r="F326" s="380" t="s">
        <v>463</v>
      </c>
      <c r="G326" s="380" t="str">
        <f t="shared" si="137"/>
        <v>s3d1b3</v>
      </c>
      <c r="H326" s="380" t="s">
        <v>463</v>
      </c>
      <c r="I326" s="379">
        <v>0</v>
      </c>
      <c r="J326" s="380">
        <f t="shared" ref="J326" si="146">J146</f>
        <v>3.7400000000000003E-2</v>
      </c>
    </row>
    <row r="327" spans="2:10">
      <c r="B327" s="378" t="s">
        <v>767</v>
      </c>
      <c r="C327" s="380" t="s">
        <v>463</v>
      </c>
      <c r="D327" s="380" t="str">
        <f t="shared" si="136"/>
        <v>CNG</v>
      </c>
      <c r="E327" s="380" t="s">
        <v>463</v>
      </c>
      <c r="F327" s="380" t="s">
        <v>463</v>
      </c>
      <c r="G327" s="380" t="str">
        <f t="shared" si="137"/>
        <v>s3d2b1</v>
      </c>
      <c r="H327" s="380" t="s">
        <v>463</v>
      </c>
      <c r="I327" s="379">
        <v>0</v>
      </c>
      <c r="J327" s="380">
        <f t="shared" ref="J327" si="147">J147</f>
        <v>7.2599999999999998E-2</v>
      </c>
    </row>
    <row r="328" spans="2:10">
      <c r="B328" s="378" t="s">
        <v>767</v>
      </c>
      <c r="C328" s="380" t="s">
        <v>463</v>
      </c>
      <c r="D328" s="380" t="str">
        <f t="shared" si="136"/>
        <v>CNG</v>
      </c>
      <c r="E328" s="380" t="s">
        <v>463</v>
      </c>
      <c r="F328" s="380" t="s">
        <v>463</v>
      </c>
      <c r="G328" s="380" t="str">
        <f t="shared" si="137"/>
        <v>s3d2b2</v>
      </c>
      <c r="H328" s="380" t="s">
        <v>463</v>
      </c>
      <c r="I328" s="379">
        <v>0</v>
      </c>
      <c r="J328" s="380">
        <f t="shared" ref="J328" si="148">J148</f>
        <v>0</v>
      </c>
    </row>
    <row r="329" spans="2:10">
      <c r="B329" s="378" t="s">
        <v>767</v>
      </c>
      <c r="C329" s="380" t="s">
        <v>463</v>
      </c>
      <c r="D329" s="380" t="str">
        <f t="shared" si="136"/>
        <v>CNG</v>
      </c>
      <c r="E329" s="380" t="s">
        <v>463</v>
      </c>
      <c r="F329" s="380" t="s">
        <v>463</v>
      </c>
      <c r="G329" s="380" t="str">
        <f t="shared" si="137"/>
        <v>s3d2b3</v>
      </c>
      <c r="H329" s="380" t="s">
        <v>463</v>
      </c>
      <c r="I329" s="379">
        <v>0</v>
      </c>
      <c r="J329" s="380">
        <f t="shared" ref="J329" si="149">J149</f>
        <v>3.6299999999999999E-2</v>
      </c>
    </row>
    <row r="330" spans="2:10">
      <c r="B330" s="378" t="s">
        <v>767</v>
      </c>
      <c r="C330" s="380" t="s">
        <v>463</v>
      </c>
      <c r="D330" s="380" t="str">
        <f t="shared" ref="D330:D369" si="150">"CN"&amp;RIGHT(D150,1)</f>
        <v>CNT</v>
      </c>
      <c r="E330" s="380" t="s">
        <v>463</v>
      </c>
      <c r="F330" s="380" t="s">
        <v>463</v>
      </c>
      <c r="G330" s="380" t="str">
        <f>G150</f>
        <v>s1d1b1</v>
      </c>
      <c r="H330" s="380" t="s">
        <v>463</v>
      </c>
      <c r="I330" s="379">
        <v>0</v>
      </c>
      <c r="J330" s="380">
        <f t="shared" ref="J330" si="151">J150</f>
        <v>3.6299999999999999E-2</v>
      </c>
    </row>
    <row r="331" spans="2:10">
      <c r="B331" s="378" t="s">
        <v>767</v>
      </c>
      <c r="C331" s="380" t="s">
        <v>463</v>
      </c>
      <c r="D331" s="380" t="str">
        <f t="shared" si="150"/>
        <v>CNT</v>
      </c>
      <c r="E331" s="380" t="s">
        <v>463</v>
      </c>
      <c r="F331" s="380" t="s">
        <v>463</v>
      </c>
      <c r="G331" s="380" t="str">
        <f t="shared" ref="G331:G369" si="152">G151</f>
        <v>s1d1b2</v>
      </c>
      <c r="H331" s="380" t="s">
        <v>463</v>
      </c>
      <c r="I331" s="379">
        <v>0</v>
      </c>
      <c r="J331" s="380">
        <f t="shared" ref="J331" si="153">J151</f>
        <v>0.38781999999999994</v>
      </c>
    </row>
    <row r="332" spans="2:10">
      <c r="B332" s="378" t="s">
        <v>767</v>
      </c>
      <c r="C332" s="380" t="s">
        <v>463</v>
      </c>
      <c r="D332" s="380" t="str">
        <f t="shared" si="150"/>
        <v>CNT</v>
      </c>
      <c r="E332" s="380" t="s">
        <v>463</v>
      </c>
      <c r="F332" s="380" t="s">
        <v>463</v>
      </c>
      <c r="G332" s="380" t="str">
        <f t="shared" si="152"/>
        <v>s1d1b3</v>
      </c>
      <c r="H332" s="380" t="s">
        <v>463</v>
      </c>
      <c r="I332" s="379">
        <v>0</v>
      </c>
      <c r="J332" s="380">
        <f t="shared" ref="J332" si="154">J152</f>
        <v>1.8149999999999999E-2</v>
      </c>
    </row>
    <row r="333" spans="2:10">
      <c r="B333" s="378" t="s">
        <v>767</v>
      </c>
      <c r="C333" s="380" t="s">
        <v>463</v>
      </c>
      <c r="D333" s="380" t="str">
        <f t="shared" si="150"/>
        <v>CNT</v>
      </c>
      <c r="E333" s="380" t="s">
        <v>463</v>
      </c>
      <c r="F333" s="380" t="s">
        <v>463</v>
      </c>
      <c r="G333" s="380" t="str">
        <f t="shared" si="152"/>
        <v>s1d2b1</v>
      </c>
      <c r="H333" s="380" t="s">
        <v>463</v>
      </c>
      <c r="I333" s="379">
        <v>0</v>
      </c>
      <c r="J333" s="380">
        <f t="shared" ref="J333" si="155">J153</f>
        <v>4.2079999999999999E-2</v>
      </c>
    </row>
    <row r="334" spans="2:10">
      <c r="B334" s="378" t="s">
        <v>767</v>
      </c>
      <c r="C334" s="380" t="s">
        <v>463</v>
      </c>
      <c r="D334" s="380" t="str">
        <f t="shared" si="150"/>
        <v>CNT</v>
      </c>
      <c r="E334" s="380" t="s">
        <v>463</v>
      </c>
      <c r="F334" s="380" t="s">
        <v>463</v>
      </c>
      <c r="G334" s="380" t="str">
        <f t="shared" si="152"/>
        <v>s1d2b2</v>
      </c>
      <c r="H334" s="380" t="s">
        <v>463</v>
      </c>
      <c r="I334" s="379">
        <v>0</v>
      </c>
      <c r="J334" s="380">
        <f t="shared" ref="J334" si="156">J154</f>
        <v>5.1429999999999997E-2</v>
      </c>
    </row>
    <row r="335" spans="2:10">
      <c r="B335" s="378" t="s">
        <v>767</v>
      </c>
      <c r="C335" s="380" t="s">
        <v>463</v>
      </c>
      <c r="D335" s="380" t="str">
        <f t="shared" si="150"/>
        <v>CNT</v>
      </c>
      <c r="E335" s="380" t="s">
        <v>463</v>
      </c>
      <c r="F335" s="380" t="s">
        <v>463</v>
      </c>
      <c r="G335" s="380" t="str">
        <f t="shared" si="152"/>
        <v>s1d2b3</v>
      </c>
      <c r="H335" s="380" t="s">
        <v>463</v>
      </c>
      <c r="I335" s="379">
        <v>0</v>
      </c>
      <c r="J335" s="380">
        <f t="shared" ref="J335" si="157">J155</f>
        <v>1.8700000000000001E-2</v>
      </c>
    </row>
    <row r="336" spans="2:10">
      <c r="B336" s="378" t="s">
        <v>767</v>
      </c>
      <c r="C336" s="380" t="s">
        <v>463</v>
      </c>
      <c r="D336" s="380" t="str">
        <f t="shared" si="150"/>
        <v>CNT</v>
      </c>
      <c r="E336" s="380" t="s">
        <v>463</v>
      </c>
      <c r="F336" s="380" t="s">
        <v>463</v>
      </c>
      <c r="G336" s="380" t="str">
        <f t="shared" si="152"/>
        <v>s2d1b1</v>
      </c>
      <c r="H336" s="380" t="s">
        <v>463</v>
      </c>
      <c r="I336" s="379">
        <v>0</v>
      </c>
      <c r="J336" s="380">
        <f t="shared" ref="J336" si="158">J156</f>
        <v>3.7400000000000003E-2</v>
      </c>
    </row>
    <row r="337" spans="2:10">
      <c r="B337" s="378" t="s">
        <v>767</v>
      </c>
      <c r="C337" s="380" t="s">
        <v>463</v>
      </c>
      <c r="D337" s="380" t="str">
        <f t="shared" si="150"/>
        <v>CNT</v>
      </c>
      <c r="E337" s="380" t="s">
        <v>463</v>
      </c>
      <c r="F337" s="380" t="s">
        <v>463</v>
      </c>
      <c r="G337" s="380" t="str">
        <f t="shared" si="152"/>
        <v>s2d1b2</v>
      </c>
      <c r="H337" s="380" t="s">
        <v>463</v>
      </c>
      <c r="I337" s="379">
        <v>0</v>
      </c>
      <c r="J337" s="380">
        <f t="shared" ref="J337" si="159">J157</f>
        <v>2.8049999999999999E-2</v>
      </c>
    </row>
    <row r="338" spans="2:10">
      <c r="B338" s="378" t="s">
        <v>767</v>
      </c>
      <c r="C338" s="380" t="s">
        <v>463</v>
      </c>
      <c r="D338" s="380" t="str">
        <f t="shared" si="150"/>
        <v>CNT</v>
      </c>
      <c r="E338" s="380" t="s">
        <v>463</v>
      </c>
      <c r="F338" s="380" t="s">
        <v>463</v>
      </c>
      <c r="G338" s="380" t="str">
        <f t="shared" si="152"/>
        <v>s2d1b3</v>
      </c>
      <c r="H338" s="380" t="s">
        <v>463</v>
      </c>
      <c r="I338" s="379">
        <v>0</v>
      </c>
      <c r="J338" s="380">
        <f t="shared" ref="J338" si="160">J158</f>
        <v>2.8049999999999999E-2</v>
      </c>
    </row>
    <row r="339" spans="2:10">
      <c r="B339" s="378" t="s">
        <v>767</v>
      </c>
      <c r="C339" s="380" t="s">
        <v>463</v>
      </c>
      <c r="D339" s="380" t="str">
        <f t="shared" si="150"/>
        <v>CNT</v>
      </c>
      <c r="E339" s="380" t="s">
        <v>463</v>
      </c>
      <c r="F339" s="380" t="s">
        <v>463</v>
      </c>
      <c r="G339" s="380" t="str">
        <f t="shared" si="152"/>
        <v>s2d1b4</v>
      </c>
      <c r="H339" s="380" t="s">
        <v>463</v>
      </c>
      <c r="I339" s="379">
        <v>0</v>
      </c>
      <c r="J339" s="380">
        <f t="shared" ref="J339" si="161">J159</f>
        <v>9.3500000000000007E-3</v>
      </c>
    </row>
    <row r="340" spans="2:10">
      <c r="B340" s="378" t="s">
        <v>767</v>
      </c>
      <c r="C340" s="380" t="s">
        <v>463</v>
      </c>
      <c r="D340" s="380" t="str">
        <f t="shared" si="150"/>
        <v>CNT</v>
      </c>
      <c r="E340" s="380" t="s">
        <v>463</v>
      </c>
      <c r="F340" s="380" t="s">
        <v>463</v>
      </c>
      <c r="G340" s="380" t="str">
        <f t="shared" si="152"/>
        <v>s2d1b5</v>
      </c>
      <c r="H340" s="380" t="s">
        <v>463</v>
      </c>
      <c r="I340" s="379">
        <v>0</v>
      </c>
      <c r="J340" s="380">
        <f t="shared" ref="J340" si="162">J160</f>
        <v>9.3500000000000007E-3</v>
      </c>
    </row>
    <row r="341" spans="2:10">
      <c r="B341" s="378" t="s">
        <v>767</v>
      </c>
      <c r="C341" s="380" t="s">
        <v>463</v>
      </c>
      <c r="D341" s="380" t="str">
        <f t="shared" si="150"/>
        <v>CNT</v>
      </c>
      <c r="E341" s="380" t="s">
        <v>463</v>
      </c>
      <c r="F341" s="380" t="s">
        <v>463</v>
      </c>
      <c r="G341" s="380" t="str">
        <f t="shared" si="152"/>
        <v>s2d2b1</v>
      </c>
      <c r="H341" s="380" t="s">
        <v>463</v>
      </c>
      <c r="I341" s="379">
        <v>0</v>
      </c>
      <c r="J341" s="380">
        <f t="shared" ref="J341" si="163">J161</f>
        <v>4.2079999999999999E-2</v>
      </c>
    </row>
    <row r="342" spans="2:10">
      <c r="B342" s="378" t="s">
        <v>767</v>
      </c>
      <c r="C342" s="380" t="s">
        <v>463</v>
      </c>
      <c r="D342" s="380" t="str">
        <f t="shared" si="150"/>
        <v>CNT</v>
      </c>
      <c r="E342" s="380" t="s">
        <v>463</v>
      </c>
      <c r="F342" s="380" t="s">
        <v>463</v>
      </c>
      <c r="G342" s="380" t="str">
        <f t="shared" si="152"/>
        <v>s2d2b2</v>
      </c>
      <c r="H342" s="380" t="s">
        <v>463</v>
      </c>
      <c r="I342" s="379">
        <v>0</v>
      </c>
      <c r="J342" s="380">
        <f t="shared" ref="J342" si="164">J162</f>
        <v>5.1429999999999997E-2</v>
      </c>
    </row>
    <row r="343" spans="2:10">
      <c r="B343" s="378" t="s">
        <v>767</v>
      </c>
      <c r="C343" s="380" t="s">
        <v>463</v>
      </c>
      <c r="D343" s="380" t="str">
        <f t="shared" si="150"/>
        <v>CNT</v>
      </c>
      <c r="E343" s="380" t="s">
        <v>463</v>
      </c>
      <c r="F343" s="380" t="s">
        <v>463</v>
      </c>
      <c r="G343" s="380" t="str">
        <f t="shared" si="152"/>
        <v>s2d2b3</v>
      </c>
      <c r="H343" s="380" t="s">
        <v>463</v>
      </c>
      <c r="I343" s="379">
        <v>0</v>
      </c>
      <c r="J343" s="380">
        <f t="shared" ref="J343" si="165">J163</f>
        <v>1.8700000000000001E-2</v>
      </c>
    </row>
    <row r="344" spans="2:10">
      <c r="B344" s="378" t="s">
        <v>767</v>
      </c>
      <c r="C344" s="380" t="s">
        <v>463</v>
      </c>
      <c r="D344" s="380" t="str">
        <f t="shared" si="150"/>
        <v>CNT</v>
      </c>
      <c r="E344" s="380" t="s">
        <v>463</v>
      </c>
      <c r="F344" s="380" t="s">
        <v>463</v>
      </c>
      <c r="G344" s="380" t="str">
        <f t="shared" si="152"/>
        <v>s3d1b1</v>
      </c>
      <c r="H344" s="380" t="s">
        <v>463</v>
      </c>
      <c r="I344" s="379">
        <v>0</v>
      </c>
      <c r="J344" s="380">
        <f t="shared" ref="J344" si="166">J164</f>
        <v>3.7400000000000003E-2</v>
      </c>
    </row>
    <row r="345" spans="2:10">
      <c r="B345" s="378" t="s">
        <v>767</v>
      </c>
      <c r="C345" s="380" t="s">
        <v>463</v>
      </c>
      <c r="D345" s="380" t="str">
        <f t="shared" si="150"/>
        <v>CNT</v>
      </c>
      <c r="E345" s="380" t="s">
        <v>463</v>
      </c>
      <c r="F345" s="380" t="s">
        <v>463</v>
      </c>
      <c r="G345" s="380" t="str">
        <f t="shared" si="152"/>
        <v>s3d1b2</v>
      </c>
      <c r="H345" s="380" t="s">
        <v>463</v>
      </c>
      <c r="I345" s="379">
        <v>0</v>
      </c>
      <c r="J345" s="380">
        <f t="shared" ref="J345" si="167">J165</f>
        <v>4.2079999999999999E-2</v>
      </c>
    </row>
    <row r="346" spans="2:10">
      <c r="B346" s="378" t="s">
        <v>767</v>
      </c>
      <c r="C346" s="380" t="s">
        <v>463</v>
      </c>
      <c r="D346" s="380" t="str">
        <f t="shared" si="150"/>
        <v>CNT</v>
      </c>
      <c r="E346" s="380" t="s">
        <v>463</v>
      </c>
      <c r="F346" s="380" t="s">
        <v>463</v>
      </c>
      <c r="G346" s="380" t="str">
        <f t="shared" si="152"/>
        <v>s3d1b3</v>
      </c>
      <c r="H346" s="380" t="s">
        <v>463</v>
      </c>
      <c r="I346" s="379">
        <v>0</v>
      </c>
      <c r="J346" s="380">
        <f t="shared" ref="J346" si="168">J166</f>
        <v>3.2730000000000002E-2</v>
      </c>
    </row>
    <row r="347" spans="2:10">
      <c r="B347" s="378" t="s">
        <v>767</v>
      </c>
      <c r="C347" s="380" t="s">
        <v>463</v>
      </c>
      <c r="D347" s="380" t="str">
        <f t="shared" si="150"/>
        <v>CNT</v>
      </c>
      <c r="E347" s="380" t="s">
        <v>463</v>
      </c>
      <c r="F347" s="380" t="s">
        <v>463</v>
      </c>
      <c r="G347" s="380" t="str">
        <f t="shared" si="152"/>
        <v>s3d2b1</v>
      </c>
      <c r="H347" s="380" t="s">
        <v>463</v>
      </c>
      <c r="I347" s="379">
        <v>0</v>
      </c>
      <c r="J347" s="380">
        <f t="shared" ref="J347" si="169">J167</f>
        <v>3.6299999999999999E-2</v>
      </c>
    </row>
    <row r="348" spans="2:10">
      <c r="B348" s="378" t="s">
        <v>767</v>
      </c>
      <c r="C348" s="380" t="s">
        <v>463</v>
      </c>
      <c r="D348" s="380" t="str">
        <f t="shared" si="150"/>
        <v>CNT</v>
      </c>
      <c r="E348" s="380" t="s">
        <v>463</v>
      </c>
      <c r="F348" s="380" t="s">
        <v>463</v>
      </c>
      <c r="G348" s="380" t="str">
        <f t="shared" si="152"/>
        <v>s3d2b2</v>
      </c>
      <c r="H348" s="380" t="s">
        <v>463</v>
      </c>
      <c r="I348" s="379">
        <v>0</v>
      </c>
      <c r="J348" s="380">
        <f t="shared" ref="J348" si="170">J168</f>
        <v>4.0840000000000001E-2</v>
      </c>
    </row>
    <row r="349" spans="2:10">
      <c r="B349" s="378" t="s">
        <v>767</v>
      </c>
      <c r="C349" s="380" t="s">
        <v>463</v>
      </c>
      <c r="D349" s="380" t="str">
        <f t="shared" si="150"/>
        <v>CNT</v>
      </c>
      <c r="E349" s="380" t="s">
        <v>463</v>
      </c>
      <c r="F349" s="380" t="s">
        <v>463</v>
      </c>
      <c r="G349" s="380" t="str">
        <f t="shared" si="152"/>
        <v>s3d2b3</v>
      </c>
      <c r="H349" s="380" t="s">
        <v>463</v>
      </c>
      <c r="I349" s="379">
        <v>0</v>
      </c>
      <c r="J349" s="380">
        <f t="shared" ref="J349" si="171">J169</f>
        <v>3.1759999999999997E-2</v>
      </c>
    </row>
    <row r="350" spans="2:10">
      <c r="B350" s="378" t="s">
        <v>767</v>
      </c>
      <c r="C350" s="380" t="s">
        <v>463</v>
      </c>
      <c r="D350" s="380" t="str">
        <f t="shared" si="150"/>
        <v>CNO</v>
      </c>
      <c r="E350" s="380" t="s">
        <v>463</v>
      </c>
      <c r="F350" s="380" t="s">
        <v>463</v>
      </c>
      <c r="G350" s="380" t="str">
        <f t="shared" si="152"/>
        <v>s1d1b1</v>
      </c>
      <c r="H350" s="380" t="s">
        <v>463</v>
      </c>
      <c r="I350" s="379">
        <v>0</v>
      </c>
      <c r="J350" s="380">
        <f t="shared" ref="J350" si="172">J170</f>
        <v>5.2670000000000002E-2</v>
      </c>
    </row>
    <row r="351" spans="2:10">
      <c r="B351" s="378" t="s">
        <v>767</v>
      </c>
      <c r="C351" s="380" t="s">
        <v>463</v>
      </c>
      <c r="D351" s="380" t="str">
        <f t="shared" si="150"/>
        <v>CNO</v>
      </c>
      <c r="E351" s="380" t="s">
        <v>463</v>
      </c>
      <c r="F351" s="380" t="s">
        <v>463</v>
      </c>
      <c r="G351" s="380" t="str">
        <f t="shared" si="152"/>
        <v>s1d1b2</v>
      </c>
      <c r="H351" s="380" t="s">
        <v>463</v>
      </c>
      <c r="I351" s="379">
        <v>0</v>
      </c>
      <c r="J351" s="380">
        <f t="shared" ref="J351" si="173">J171</f>
        <v>0.15711</v>
      </c>
    </row>
    <row r="352" spans="2:10">
      <c r="B352" s="378" t="s">
        <v>767</v>
      </c>
      <c r="C352" s="380" t="s">
        <v>463</v>
      </c>
      <c r="D352" s="380" t="str">
        <f t="shared" si="150"/>
        <v>CNO</v>
      </c>
      <c r="E352" s="380" t="s">
        <v>463</v>
      </c>
      <c r="F352" s="380" t="s">
        <v>463</v>
      </c>
      <c r="G352" s="380" t="str">
        <f t="shared" si="152"/>
        <v>s1d1b3</v>
      </c>
      <c r="H352" s="380" t="s">
        <v>463</v>
      </c>
      <c r="I352" s="379">
        <v>0</v>
      </c>
      <c r="J352" s="380">
        <f t="shared" ref="J352" si="174">J172</f>
        <v>3.9730000000000001E-2</v>
      </c>
    </row>
    <row r="353" spans="2:10">
      <c r="B353" s="378" t="s">
        <v>767</v>
      </c>
      <c r="C353" s="380" t="s">
        <v>463</v>
      </c>
      <c r="D353" s="380" t="str">
        <f t="shared" si="150"/>
        <v>CNO</v>
      </c>
      <c r="E353" s="380" t="s">
        <v>463</v>
      </c>
      <c r="F353" s="380" t="s">
        <v>463</v>
      </c>
      <c r="G353" s="380" t="str">
        <f t="shared" si="152"/>
        <v>s1d2b1</v>
      </c>
      <c r="H353" s="380" t="s">
        <v>463</v>
      </c>
      <c r="I353" s="379">
        <v>0</v>
      </c>
      <c r="J353" s="380">
        <f t="shared" ref="J353" si="175">J173</f>
        <v>3.5869999999999999E-2</v>
      </c>
    </row>
    <row r="354" spans="2:10">
      <c r="B354" s="378" t="s">
        <v>767</v>
      </c>
      <c r="C354" s="380" t="s">
        <v>463</v>
      </c>
      <c r="D354" s="380" t="str">
        <f t="shared" si="150"/>
        <v>CNO</v>
      </c>
      <c r="E354" s="380" t="s">
        <v>463</v>
      </c>
      <c r="F354" s="380" t="s">
        <v>463</v>
      </c>
      <c r="G354" s="380" t="str">
        <f t="shared" si="152"/>
        <v>s1d2b2</v>
      </c>
      <c r="H354" s="380" t="s">
        <v>463</v>
      </c>
      <c r="I354" s="379">
        <v>0</v>
      </c>
      <c r="J354" s="380">
        <f t="shared" ref="J354" si="176">J174</f>
        <v>5.4239999999999997E-2</v>
      </c>
    </row>
    <row r="355" spans="2:10">
      <c r="B355" s="378" t="s">
        <v>767</v>
      </c>
      <c r="C355" s="380" t="s">
        <v>463</v>
      </c>
      <c r="D355" s="380" t="str">
        <f t="shared" si="150"/>
        <v>CNO</v>
      </c>
      <c r="E355" s="380" t="s">
        <v>463</v>
      </c>
      <c r="F355" s="380" t="s">
        <v>463</v>
      </c>
      <c r="G355" s="380" t="str">
        <f t="shared" si="152"/>
        <v>s1d2b3</v>
      </c>
      <c r="H355" s="380" t="s">
        <v>463</v>
      </c>
      <c r="I355" s="379">
        <v>0</v>
      </c>
      <c r="J355" s="380">
        <f t="shared" ref="J355" si="177">J175</f>
        <v>1.6930000000000001E-2</v>
      </c>
    </row>
    <row r="356" spans="2:10">
      <c r="B356" s="378" t="s">
        <v>767</v>
      </c>
      <c r="C356" s="380" t="s">
        <v>463</v>
      </c>
      <c r="D356" s="380" t="str">
        <f t="shared" si="150"/>
        <v>CNO</v>
      </c>
      <c r="E356" s="380" t="s">
        <v>463</v>
      </c>
      <c r="F356" s="380" t="s">
        <v>463</v>
      </c>
      <c r="G356" s="380" t="str">
        <f t="shared" si="152"/>
        <v>s2d1b1</v>
      </c>
      <c r="H356" s="380" t="s">
        <v>463</v>
      </c>
      <c r="I356" s="379">
        <v>0</v>
      </c>
      <c r="J356" s="380">
        <f t="shared" ref="J356" si="178">J176</f>
        <v>4.6080000000000003E-2</v>
      </c>
    </row>
    <row r="357" spans="2:10">
      <c r="B357" s="378" t="s">
        <v>767</v>
      </c>
      <c r="C357" s="380" t="s">
        <v>463</v>
      </c>
      <c r="D357" s="380" t="str">
        <f t="shared" si="150"/>
        <v>CNO</v>
      </c>
      <c r="E357" s="380" t="s">
        <v>463</v>
      </c>
      <c r="F357" s="380" t="s">
        <v>463</v>
      </c>
      <c r="G357" s="380" t="str">
        <f t="shared" si="152"/>
        <v>s2d1b2</v>
      </c>
      <c r="H357" s="380" t="s">
        <v>463</v>
      </c>
      <c r="I357" s="379">
        <v>0</v>
      </c>
      <c r="J357" s="380">
        <f t="shared" ref="J357" si="179">J177</f>
        <v>3.6229999999999998E-2</v>
      </c>
    </row>
    <row r="358" spans="2:10">
      <c r="B358" s="378" t="s">
        <v>767</v>
      </c>
      <c r="C358" s="380" t="s">
        <v>463</v>
      </c>
      <c r="D358" s="380" t="str">
        <f t="shared" si="150"/>
        <v>CNO</v>
      </c>
      <c r="E358" s="380" t="s">
        <v>463</v>
      </c>
      <c r="F358" s="380" t="s">
        <v>463</v>
      </c>
      <c r="G358" s="380" t="str">
        <f t="shared" si="152"/>
        <v>s2d1b3</v>
      </c>
      <c r="H358" s="380" t="s">
        <v>463</v>
      </c>
      <c r="I358" s="379">
        <v>0</v>
      </c>
      <c r="J358" s="380">
        <f t="shared" ref="J358" si="180">J178</f>
        <v>9.4500000000000001E-2</v>
      </c>
    </row>
    <row r="359" spans="2:10">
      <c r="B359" s="378" t="s">
        <v>767</v>
      </c>
      <c r="C359" s="380" t="s">
        <v>463</v>
      </c>
      <c r="D359" s="380" t="str">
        <f t="shared" si="150"/>
        <v>CNO</v>
      </c>
      <c r="E359" s="380" t="s">
        <v>463</v>
      </c>
      <c r="F359" s="380" t="s">
        <v>463</v>
      </c>
      <c r="G359" s="380" t="str">
        <f t="shared" si="152"/>
        <v>s2d1b4</v>
      </c>
      <c r="H359" s="380" t="s">
        <v>463</v>
      </c>
      <c r="I359" s="379">
        <v>0</v>
      </c>
      <c r="J359" s="380">
        <f t="shared" ref="J359" si="181">J179</f>
        <v>2.8490000000000001E-2</v>
      </c>
    </row>
    <row r="360" spans="2:10">
      <c r="B360" s="378" t="s">
        <v>767</v>
      </c>
      <c r="C360" s="380" t="s">
        <v>463</v>
      </c>
      <c r="D360" s="380" t="str">
        <f t="shared" si="150"/>
        <v>CNO</v>
      </c>
      <c r="E360" s="380" t="s">
        <v>463</v>
      </c>
      <c r="F360" s="380" t="s">
        <v>463</v>
      </c>
      <c r="G360" s="380" t="str">
        <f t="shared" si="152"/>
        <v>s2d1b5</v>
      </c>
      <c r="H360" s="380" t="s">
        <v>463</v>
      </c>
      <c r="I360" s="379">
        <v>0</v>
      </c>
      <c r="J360" s="380">
        <f t="shared" ref="J360" si="182">J180</f>
        <v>8.6199999999999992E-3</v>
      </c>
    </row>
    <row r="361" spans="2:10">
      <c r="B361" s="378" t="s">
        <v>767</v>
      </c>
      <c r="C361" s="380" t="s">
        <v>463</v>
      </c>
      <c r="D361" s="380" t="str">
        <f t="shared" si="150"/>
        <v>CNO</v>
      </c>
      <c r="E361" s="380" t="s">
        <v>463</v>
      </c>
      <c r="F361" s="380" t="s">
        <v>463</v>
      </c>
      <c r="G361" s="380" t="str">
        <f t="shared" si="152"/>
        <v>s2d2b1</v>
      </c>
      <c r="H361" s="380" t="s">
        <v>463</v>
      </c>
      <c r="I361" s="379">
        <v>0</v>
      </c>
      <c r="J361" s="380">
        <f t="shared" ref="J361" si="183">J181</f>
        <v>3.0790000000000001E-2</v>
      </c>
    </row>
    <row r="362" spans="2:10">
      <c r="B362" s="378" t="s">
        <v>767</v>
      </c>
      <c r="C362" s="380" t="s">
        <v>463</v>
      </c>
      <c r="D362" s="380" t="str">
        <f t="shared" si="150"/>
        <v>CNO</v>
      </c>
      <c r="E362" s="380" t="s">
        <v>463</v>
      </c>
      <c r="F362" s="380" t="s">
        <v>463</v>
      </c>
      <c r="G362" s="380" t="str">
        <f t="shared" si="152"/>
        <v>s2d2b2</v>
      </c>
      <c r="H362" s="380" t="s">
        <v>463</v>
      </c>
      <c r="I362" s="379">
        <v>0</v>
      </c>
      <c r="J362" s="380">
        <f t="shared" ref="J362" si="184">J182</f>
        <v>4.6629999999999998E-2</v>
      </c>
    </row>
    <row r="363" spans="2:10">
      <c r="B363" s="378" t="s">
        <v>767</v>
      </c>
      <c r="C363" s="380" t="s">
        <v>463</v>
      </c>
      <c r="D363" s="380" t="str">
        <f t="shared" si="150"/>
        <v>CNO</v>
      </c>
      <c r="E363" s="380" t="s">
        <v>463</v>
      </c>
      <c r="F363" s="380" t="s">
        <v>463</v>
      </c>
      <c r="G363" s="380" t="str">
        <f t="shared" si="152"/>
        <v>s2d2b3</v>
      </c>
      <c r="H363" s="380" t="s">
        <v>463</v>
      </c>
      <c r="I363" s="379">
        <v>0</v>
      </c>
      <c r="J363" s="380">
        <f t="shared" ref="J363" si="185">J183</f>
        <v>1.46E-2</v>
      </c>
    </row>
    <row r="364" spans="2:10">
      <c r="B364" s="378" t="s">
        <v>767</v>
      </c>
      <c r="C364" s="380" t="s">
        <v>463</v>
      </c>
      <c r="D364" s="380" t="str">
        <f t="shared" si="150"/>
        <v>CNO</v>
      </c>
      <c r="E364" s="380" t="s">
        <v>463</v>
      </c>
      <c r="F364" s="380" t="s">
        <v>463</v>
      </c>
      <c r="G364" s="380" t="str">
        <f t="shared" si="152"/>
        <v>s3d1b1</v>
      </c>
      <c r="H364" s="380" t="s">
        <v>463</v>
      </c>
      <c r="I364" s="379">
        <v>0</v>
      </c>
      <c r="J364" s="380">
        <f t="shared" ref="J364" si="186">J184</f>
        <v>5.7259999999999998E-2</v>
      </c>
    </row>
    <row r="365" spans="2:10">
      <c r="B365" s="378" t="s">
        <v>767</v>
      </c>
      <c r="C365" s="380" t="s">
        <v>463</v>
      </c>
      <c r="D365" s="380" t="str">
        <f t="shared" si="150"/>
        <v>CNO</v>
      </c>
      <c r="E365" s="380" t="s">
        <v>463</v>
      </c>
      <c r="F365" s="380" t="s">
        <v>463</v>
      </c>
      <c r="G365" s="380" t="str">
        <f t="shared" si="152"/>
        <v>s3d1b2</v>
      </c>
      <c r="H365" s="380" t="s">
        <v>463</v>
      </c>
      <c r="I365" s="379">
        <v>0</v>
      </c>
      <c r="J365" s="380">
        <f t="shared" ref="J365" si="187">J185</f>
        <v>0.14659</v>
      </c>
    </row>
    <row r="366" spans="2:10">
      <c r="B366" s="378" t="s">
        <v>767</v>
      </c>
      <c r="C366" s="380" t="s">
        <v>463</v>
      </c>
      <c r="D366" s="380" t="str">
        <f t="shared" si="150"/>
        <v>CNO</v>
      </c>
      <c r="E366" s="380" t="s">
        <v>463</v>
      </c>
      <c r="F366" s="380" t="s">
        <v>463</v>
      </c>
      <c r="G366" s="380" t="str">
        <f t="shared" si="152"/>
        <v>s3d1b3</v>
      </c>
      <c r="H366" s="380" t="s">
        <v>463</v>
      </c>
      <c r="I366" s="379">
        <v>0</v>
      </c>
      <c r="J366" s="380">
        <f t="shared" ref="J366" si="188">J186</f>
        <v>3.8609999999999998E-2</v>
      </c>
    </row>
    <row r="367" spans="2:10">
      <c r="B367" s="378" t="s">
        <v>767</v>
      </c>
      <c r="C367" s="380" t="s">
        <v>463</v>
      </c>
      <c r="D367" s="380" t="str">
        <f t="shared" si="150"/>
        <v>CNO</v>
      </c>
      <c r="E367" s="380" t="s">
        <v>463</v>
      </c>
      <c r="F367" s="380" t="s">
        <v>463</v>
      </c>
      <c r="G367" s="380" t="str">
        <f t="shared" si="152"/>
        <v>s3d2b1</v>
      </c>
      <c r="H367" s="380" t="s">
        <v>463</v>
      </c>
      <c r="I367" s="379">
        <v>0</v>
      </c>
      <c r="J367" s="380">
        <f t="shared" ref="J367" si="189">J187</f>
        <v>3.1850000000000003E-2</v>
      </c>
    </row>
    <row r="368" spans="2:10">
      <c r="B368" s="378" t="s">
        <v>767</v>
      </c>
      <c r="C368" s="380" t="s">
        <v>463</v>
      </c>
      <c r="D368" s="380" t="str">
        <f t="shared" si="150"/>
        <v>CNO</v>
      </c>
      <c r="E368" s="380" t="s">
        <v>463</v>
      </c>
      <c r="F368" s="380" t="s">
        <v>463</v>
      </c>
      <c r="G368" s="380" t="str">
        <f t="shared" si="152"/>
        <v>s3d2b2</v>
      </c>
      <c r="H368" s="380" t="s">
        <v>463</v>
      </c>
      <c r="I368" s="379">
        <v>0</v>
      </c>
      <c r="J368" s="380">
        <f t="shared" ref="J368" si="190">J188</f>
        <v>4.8169999999999998E-2</v>
      </c>
    </row>
    <row r="369" spans="2:10">
      <c r="B369" s="378" t="s">
        <v>767</v>
      </c>
      <c r="C369" s="380" t="s">
        <v>463</v>
      </c>
      <c r="D369" s="380" t="str">
        <f t="shared" si="150"/>
        <v>CNO</v>
      </c>
      <c r="E369" s="380" t="s">
        <v>463</v>
      </c>
      <c r="F369" s="380" t="s">
        <v>463</v>
      </c>
      <c r="G369" s="380" t="str">
        <f t="shared" si="152"/>
        <v>s3d2b3</v>
      </c>
      <c r="H369" s="380" t="s">
        <v>463</v>
      </c>
      <c r="I369" s="379">
        <v>0</v>
      </c>
      <c r="J369" s="380">
        <f t="shared" ref="J369" si="191">J189</f>
        <v>1.503E-2</v>
      </c>
    </row>
    <row r="370" spans="2:10">
      <c r="B370" s="378"/>
      <c r="C370" s="380"/>
      <c r="D370" s="380"/>
      <c r="E370" s="380"/>
      <c r="F370" s="380"/>
      <c r="G370" s="380"/>
      <c r="H370" s="380"/>
      <c r="I370" s="379"/>
      <c r="J370" s="380"/>
    </row>
    <row r="371" spans="2:10">
      <c r="B371" s="378"/>
      <c r="C371" s="380"/>
      <c r="D371" s="380"/>
      <c r="E371" s="380"/>
      <c r="F371" s="380"/>
      <c r="G371" s="380"/>
      <c r="H371" s="380"/>
      <c r="I371" s="379"/>
      <c r="J371" s="380"/>
    </row>
    <row r="372" spans="2:10">
      <c r="B372" s="378"/>
      <c r="C372" s="380"/>
      <c r="D372" s="380"/>
      <c r="E372" s="380"/>
      <c r="F372" s="380"/>
      <c r="G372" s="380"/>
      <c r="H372" s="380"/>
      <c r="I372" s="379"/>
      <c r="J372" s="380"/>
    </row>
    <row r="373" spans="2:10">
      <c r="B373" s="378"/>
      <c r="C373" s="380"/>
      <c r="D373" s="380"/>
      <c r="E373" s="380"/>
      <c r="F373" s="380"/>
      <c r="G373" s="380"/>
      <c r="H373" s="380"/>
      <c r="I373" s="379"/>
      <c r="J373" s="380"/>
    </row>
    <row r="374" spans="2:10">
      <c r="B374" s="378"/>
      <c r="C374" s="380"/>
      <c r="D374" s="380"/>
      <c r="E374" s="380"/>
      <c r="F374" s="380"/>
      <c r="G374" s="380"/>
      <c r="H374" s="380"/>
      <c r="I374" s="379"/>
      <c r="J374" s="380"/>
    </row>
    <row r="375" spans="2:10">
      <c r="B375" s="378"/>
      <c r="C375" s="380"/>
      <c r="D375" s="380"/>
      <c r="E375" s="380"/>
      <c r="F375" s="380"/>
      <c r="G375" s="380"/>
      <c r="H375" s="380"/>
      <c r="I375" s="379"/>
      <c r="J375" s="380"/>
    </row>
    <row r="376" spans="2:10">
      <c r="B376" s="378"/>
      <c r="C376" s="380"/>
      <c r="D376" s="380"/>
      <c r="E376" s="380"/>
      <c r="F376" s="380"/>
      <c r="G376" s="380"/>
      <c r="H376" s="380"/>
      <c r="I376" s="379"/>
      <c r="J376" s="380"/>
    </row>
    <row r="377" spans="2:10">
      <c r="B377" s="378"/>
      <c r="C377" s="380"/>
      <c r="D377" s="380"/>
      <c r="E377" s="380"/>
      <c r="F377" s="380"/>
      <c r="G377" s="380"/>
      <c r="H377" s="380"/>
      <c r="I377" s="379"/>
      <c r="J377" s="380"/>
    </row>
    <row r="378" spans="2:10">
      <c r="B378" s="378"/>
      <c r="C378" s="380"/>
      <c r="D378" s="380"/>
      <c r="E378" s="380"/>
      <c r="F378" s="380"/>
      <c r="G378" s="380"/>
      <c r="H378" s="380"/>
      <c r="I378" s="379"/>
      <c r="J378" s="380"/>
    </row>
    <row r="379" spans="2:10">
      <c r="B379" s="378"/>
      <c r="C379" s="380"/>
      <c r="D379" s="380"/>
      <c r="E379" s="380"/>
      <c r="F379" s="380"/>
      <c r="G379" s="380"/>
      <c r="H379" s="380"/>
      <c r="I379" s="379"/>
      <c r="J379" s="380"/>
    </row>
    <row r="380" spans="2:10">
      <c r="B380" s="378"/>
      <c r="C380" s="380"/>
      <c r="D380" s="380"/>
      <c r="E380" s="380"/>
      <c r="F380" s="380"/>
      <c r="G380" s="380"/>
      <c r="H380" s="380"/>
      <c r="I380" s="379"/>
      <c r="J380" s="380"/>
    </row>
    <row r="381" spans="2:10">
      <c r="B381" s="378"/>
      <c r="C381" s="380"/>
      <c r="D381" s="380"/>
      <c r="E381" s="380"/>
      <c r="F381" s="380"/>
      <c r="G381" s="380"/>
      <c r="H381" s="380"/>
      <c r="I381" s="379"/>
      <c r="J381" s="380"/>
    </row>
    <row r="382" spans="2:10">
      <c r="B382" s="378"/>
      <c r="C382" s="380"/>
      <c r="D382" s="380"/>
      <c r="E382" s="380"/>
      <c r="F382" s="380"/>
      <c r="G382" s="380"/>
      <c r="H382" s="380"/>
      <c r="I382" s="379"/>
      <c r="J382" s="380"/>
    </row>
    <row r="383" spans="2:10">
      <c r="B383" s="378"/>
      <c r="C383" s="380"/>
      <c r="D383" s="380"/>
      <c r="E383" s="380"/>
      <c r="F383" s="380"/>
      <c r="G383" s="380"/>
      <c r="H383" s="380"/>
      <c r="I383" s="379"/>
      <c r="J383" s="380"/>
    </row>
    <row r="384" spans="2:10">
      <c r="B384" s="378"/>
      <c r="C384" s="380"/>
      <c r="D384" s="380"/>
      <c r="E384" s="380"/>
      <c r="F384" s="380"/>
      <c r="G384" s="380"/>
      <c r="H384" s="380"/>
      <c r="I384" s="379"/>
      <c r="J384" s="380"/>
    </row>
    <row r="385" spans="2:10">
      <c r="B385" s="378"/>
      <c r="C385" s="380"/>
      <c r="D385" s="380"/>
      <c r="E385" s="380"/>
      <c r="F385" s="380"/>
      <c r="G385" s="380"/>
      <c r="H385" s="380"/>
      <c r="I385" s="379"/>
      <c r="J385" s="380"/>
    </row>
    <row r="386" spans="2:10">
      <c r="B386" s="378"/>
      <c r="C386" s="380"/>
      <c r="D386" s="380"/>
      <c r="E386" s="380"/>
      <c r="F386" s="380"/>
      <c r="G386" s="380"/>
      <c r="H386" s="380"/>
      <c r="I386" s="379"/>
      <c r="J386" s="380"/>
    </row>
    <row r="387" spans="2:10">
      <c r="B387" s="378"/>
      <c r="C387" s="380"/>
      <c r="D387" s="380"/>
      <c r="E387" s="380"/>
      <c r="F387" s="380"/>
      <c r="G387" s="380"/>
      <c r="H387" s="380"/>
      <c r="I387" s="379"/>
      <c r="J387" s="380"/>
    </row>
    <row r="388" spans="2:10">
      <c r="B388" s="378"/>
      <c r="C388" s="380"/>
      <c r="D388" s="380"/>
      <c r="E388" s="380"/>
      <c r="F388" s="380"/>
      <c r="G388" s="380"/>
      <c r="H388" s="380"/>
      <c r="I388" s="379"/>
      <c r="J388" s="380"/>
    </row>
    <row r="389" spans="2:10">
      <c r="B389" s="378"/>
      <c r="C389" s="380"/>
      <c r="D389" s="380"/>
      <c r="E389" s="380"/>
      <c r="F389" s="380"/>
      <c r="G389" s="380"/>
      <c r="H389" s="380"/>
      <c r="I389" s="379"/>
      <c r="J389" s="380"/>
    </row>
    <row r="390" spans="2:10">
      <c r="B390" s="378"/>
      <c r="C390" s="380"/>
      <c r="D390" s="380"/>
      <c r="E390" s="380"/>
      <c r="F390" s="380"/>
      <c r="G390" s="380"/>
      <c r="H390" s="380"/>
      <c r="I390" s="379"/>
      <c r="J390" s="380"/>
    </row>
    <row r="391" spans="2:10">
      <c r="B391" s="378"/>
      <c r="C391" s="380"/>
      <c r="D391" s="380"/>
      <c r="E391" s="380"/>
      <c r="F391" s="380"/>
      <c r="G391" s="380"/>
      <c r="H391" s="380"/>
      <c r="I391" s="379"/>
      <c r="J391" s="380"/>
    </row>
    <row r="392" spans="2:10">
      <c r="B392" s="378"/>
      <c r="C392" s="380"/>
      <c r="D392" s="380"/>
      <c r="E392" s="380"/>
      <c r="F392" s="380"/>
      <c r="G392" s="380"/>
      <c r="H392" s="380"/>
      <c r="I392" s="379"/>
      <c r="J392" s="380"/>
    </row>
    <row r="393" spans="2:10">
      <c r="B393" s="378"/>
      <c r="C393" s="380"/>
      <c r="D393" s="380"/>
      <c r="E393" s="380"/>
      <c r="F393" s="380"/>
      <c r="G393" s="380"/>
      <c r="H393" s="380"/>
      <c r="I393" s="379"/>
      <c r="J393" s="380"/>
    </row>
    <row r="394" spans="2:10">
      <c r="B394" s="378"/>
      <c r="C394" s="380"/>
      <c r="D394" s="380"/>
      <c r="E394" s="380"/>
      <c r="F394" s="380"/>
      <c r="G394" s="380"/>
      <c r="H394" s="380"/>
      <c r="I394" s="379"/>
      <c r="J394" s="380"/>
    </row>
    <row r="395" spans="2:10">
      <c r="B395" s="378"/>
      <c r="C395" s="380"/>
      <c r="D395" s="380"/>
      <c r="E395" s="380"/>
      <c r="F395" s="380"/>
      <c r="G395" s="380"/>
      <c r="H395" s="380"/>
      <c r="I395" s="379"/>
      <c r="J395" s="380"/>
    </row>
    <row r="396" spans="2:10">
      <c r="B396" s="378"/>
      <c r="C396" s="380"/>
      <c r="D396" s="380"/>
      <c r="E396" s="380"/>
      <c r="F396" s="380"/>
      <c r="G396" s="380"/>
      <c r="H396" s="380"/>
      <c r="I396" s="379"/>
      <c r="J396" s="380"/>
    </row>
    <row r="397" spans="2:10">
      <c r="B397" s="378"/>
      <c r="C397" s="380"/>
      <c r="D397" s="380"/>
      <c r="E397" s="380"/>
      <c r="F397" s="380"/>
      <c r="G397" s="380"/>
      <c r="H397" s="380"/>
      <c r="I397" s="379"/>
      <c r="J397" s="380"/>
    </row>
    <row r="398" spans="2:10">
      <c r="B398" s="378"/>
      <c r="C398" s="380"/>
      <c r="D398" s="380"/>
      <c r="E398" s="380"/>
      <c r="F398" s="380"/>
      <c r="G398" s="380"/>
      <c r="H398" s="380"/>
      <c r="I398" s="379"/>
      <c r="J398" s="380"/>
    </row>
    <row r="399" spans="2:10">
      <c r="B399" s="378"/>
      <c r="C399" s="380"/>
      <c r="D399" s="380"/>
      <c r="E399" s="380"/>
      <c r="F399" s="380"/>
      <c r="G399" s="380"/>
      <c r="H399" s="380"/>
      <c r="I399" s="379"/>
      <c r="J399" s="380"/>
    </row>
    <row r="400" spans="2:10">
      <c r="B400" s="378"/>
      <c r="C400" s="380"/>
      <c r="D400" s="380"/>
      <c r="E400" s="380"/>
      <c r="F400" s="380"/>
      <c r="G400" s="380"/>
      <c r="H400" s="380"/>
      <c r="I400" s="379"/>
      <c r="J400" s="380"/>
    </row>
    <row r="401" spans="2:10">
      <c r="B401" s="378"/>
      <c r="C401" s="380"/>
      <c r="D401" s="380"/>
      <c r="E401" s="380"/>
      <c r="F401" s="380"/>
      <c r="G401" s="380"/>
      <c r="H401" s="380"/>
      <c r="I401" s="379"/>
      <c r="J401" s="380"/>
    </row>
    <row r="402" spans="2:10">
      <c r="B402" s="378"/>
      <c r="C402" s="380"/>
      <c r="D402" s="380"/>
      <c r="E402" s="380"/>
      <c r="F402" s="380"/>
      <c r="G402" s="380"/>
      <c r="H402" s="380"/>
      <c r="I402" s="379"/>
      <c r="J402" s="380"/>
    </row>
    <row r="403" spans="2:10">
      <c r="B403" s="378"/>
      <c r="C403" s="380"/>
      <c r="D403" s="380"/>
      <c r="E403" s="380"/>
      <c r="F403" s="380"/>
      <c r="G403" s="380"/>
      <c r="H403" s="380"/>
      <c r="I403" s="379"/>
      <c r="J403" s="380"/>
    </row>
    <row r="404" spans="2:10">
      <c r="B404" s="378"/>
      <c r="C404" s="380"/>
      <c r="D404" s="380"/>
      <c r="E404" s="380"/>
      <c r="F404" s="380"/>
      <c r="G404" s="380"/>
      <c r="H404" s="380"/>
      <c r="I404" s="379"/>
      <c r="J404" s="380"/>
    </row>
    <row r="405" spans="2:10">
      <c r="B405" s="378"/>
      <c r="C405" s="380"/>
      <c r="D405" s="380"/>
      <c r="E405" s="380"/>
      <c r="F405" s="380"/>
      <c r="G405" s="380"/>
      <c r="H405" s="380"/>
      <c r="I405" s="379"/>
      <c r="J405" s="380"/>
    </row>
    <row r="406" spans="2:10">
      <c r="B406" s="378"/>
      <c r="C406" s="380"/>
      <c r="D406" s="380"/>
      <c r="E406" s="380"/>
      <c r="F406" s="380"/>
      <c r="G406" s="380"/>
      <c r="H406" s="380"/>
      <c r="I406" s="379"/>
      <c r="J406" s="380"/>
    </row>
    <row r="407" spans="2:10">
      <c r="B407" s="378"/>
      <c r="C407" s="380"/>
      <c r="D407" s="380"/>
      <c r="E407" s="380"/>
      <c r="F407" s="380"/>
      <c r="G407" s="380"/>
      <c r="H407" s="380"/>
      <c r="I407" s="379"/>
      <c r="J407" s="380"/>
    </row>
    <row r="408" spans="2:10">
      <c r="B408" s="378"/>
      <c r="C408" s="380"/>
      <c r="D408" s="380"/>
      <c r="E408" s="380"/>
      <c r="F408" s="380"/>
      <c r="G408" s="380"/>
      <c r="H408" s="380"/>
      <c r="I408" s="379"/>
      <c r="J408" s="380"/>
    </row>
    <row r="409" spans="2:10">
      <c r="B409" s="378"/>
      <c r="C409" s="380"/>
      <c r="D409" s="380"/>
      <c r="E409" s="380"/>
      <c r="F409" s="380"/>
      <c r="G409" s="380"/>
      <c r="H409" s="380"/>
      <c r="I409" s="379"/>
      <c r="J409" s="380"/>
    </row>
    <row r="410" spans="2:10">
      <c r="B410" s="378"/>
      <c r="C410" s="380"/>
      <c r="D410" s="380"/>
      <c r="E410" s="380"/>
      <c r="F410" s="380"/>
      <c r="G410" s="380"/>
      <c r="H410" s="380"/>
      <c r="I410" s="379"/>
      <c r="J410" s="380"/>
    </row>
    <row r="411" spans="2:10">
      <c r="B411" s="378"/>
      <c r="C411" s="380"/>
      <c r="D411" s="380"/>
      <c r="E411" s="380"/>
      <c r="F411" s="380"/>
      <c r="G411" s="380"/>
      <c r="H411" s="380"/>
      <c r="I411" s="379"/>
      <c r="J411" s="380"/>
    </row>
    <row r="412" spans="2:10">
      <c r="B412" s="378"/>
      <c r="C412" s="380"/>
      <c r="D412" s="380"/>
      <c r="E412" s="380"/>
      <c r="F412" s="380"/>
      <c r="G412" s="380"/>
      <c r="H412" s="380"/>
      <c r="I412" s="379"/>
      <c r="J412" s="380"/>
    </row>
    <row r="413" spans="2:10">
      <c r="B413" s="378"/>
      <c r="C413" s="380"/>
      <c r="D413" s="380"/>
      <c r="E413" s="380"/>
      <c r="F413" s="380"/>
      <c r="G413" s="380"/>
      <c r="H413" s="380"/>
      <c r="I413" s="379"/>
      <c r="J413" s="380"/>
    </row>
    <row r="414" spans="2:10">
      <c r="B414" s="378"/>
      <c r="C414" s="380"/>
      <c r="D414" s="380"/>
      <c r="E414" s="380"/>
      <c r="F414" s="380"/>
      <c r="G414" s="380"/>
      <c r="H414" s="380"/>
      <c r="I414" s="379"/>
      <c r="J414" s="380"/>
    </row>
    <row r="415" spans="2:10">
      <c r="B415" s="378"/>
      <c r="C415" s="380"/>
      <c r="D415" s="380"/>
      <c r="E415" s="380"/>
      <c r="F415" s="380"/>
      <c r="G415" s="380"/>
      <c r="H415" s="380"/>
      <c r="I415" s="379"/>
      <c r="J415" s="380"/>
    </row>
    <row r="416" spans="2:10">
      <c r="B416" s="378"/>
      <c r="C416" s="380"/>
      <c r="D416" s="380"/>
      <c r="E416" s="380"/>
      <c r="F416" s="380"/>
      <c r="G416" s="380"/>
      <c r="H416" s="380"/>
      <c r="I416" s="379"/>
      <c r="J416" s="380"/>
    </row>
    <row r="417" spans="2:10">
      <c r="B417" s="378"/>
      <c r="C417" s="380"/>
      <c r="D417" s="380"/>
      <c r="E417" s="380"/>
      <c r="F417" s="380"/>
      <c r="G417" s="380"/>
      <c r="H417" s="380"/>
      <c r="I417" s="379"/>
      <c r="J417" s="380"/>
    </row>
    <row r="418" spans="2:10">
      <c r="B418" s="378"/>
      <c r="C418" s="380"/>
      <c r="D418" s="380"/>
      <c r="E418" s="380"/>
      <c r="F418" s="380"/>
      <c r="G418" s="380"/>
      <c r="H418" s="380"/>
      <c r="I418" s="379"/>
      <c r="J418" s="380"/>
    </row>
    <row r="419" spans="2:10">
      <c r="B419" s="378"/>
      <c r="C419" s="380"/>
      <c r="D419" s="380"/>
      <c r="E419" s="380"/>
      <c r="F419" s="380"/>
      <c r="G419" s="380"/>
      <c r="H419" s="380"/>
      <c r="I419" s="379"/>
      <c r="J419" s="380"/>
    </row>
    <row r="420" spans="2:10">
      <c r="B420" s="378"/>
      <c r="C420" s="380"/>
      <c r="D420" s="380"/>
      <c r="E420" s="380"/>
      <c r="F420" s="380"/>
      <c r="G420" s="380"/>
      <c r="H420" s="380"/>
      <c r="I420" s="379"/>
      <c r="J420" s="380"/>
    </row>
    <row r="421" spans="2:10">
      <c r="B421" s="378"/>
      <c r="C421" s="380"/>
      <c r="D421" s="380"/>
      <c r="E421" s="380"/>
      <c r="F421" s="380"/>
      <c r="G421" s="380"/>
      <c r="H421" s="380"/>
      <c r="I421" s="379"/>
      <c r="J421" s="380"/>
    </row>
    <row r="422" spans="2:10">
      <c r="B422" s="378"/>
      <c r="C422" s="380"/>
      <c r="D422" s="380"/>
      <c r="E422" s="380"/>
      <c r="F422" s="380"/>
      <c r="G422" s="380"/>
      <c r="H422" s="380"/>
      <c r="I422" s="379"/>
      <c r="J422" s="380"/>
    </row>
    <row r="423" spans="2:10">
      <c r="B423" s="378"/>
      <c r="C423" s="380"/>
      <c r="D423" s="380"/>
      <c r="E423" s="380"/>
      <c r="F423" s="380"/>
      <c r="G423" s="380"/>
      <c r="H423" s="380"/>
      <c r="I423" s="379"/>
      <c r="J423" s="380"/>
    </row>
    <row r="424" spans="2:10">
      <c r="B424" s="378"/>
      <c r="C424" s="380"/>
      <c r="D424" s="380"/>
      <c r="E424" s="380"/>
      <c r="F424" s="380"/>
      <c r="G424" s="380"/>
      <c r="H424" s="380"/>
      <c r="I424" s="379"/>
      <c r="J424" s="380"/>
    </row>
    <row r="425" spans="2:10">
      <c r="B425" s="378"/>
      <c r="C425" s="380"/>
      <c r="D425" s="380"/>
      <c r="E425" s="380"/>
      <c r="F425" s="380"/>
      <c r="G425" s="380"/>
      <c r="H425" s="380"/>
      <c r="I425" s="379"/>
      <c r="J425" s="380"/>
    </row>
    <row r="426" spans="2:10">
      <c r="B426" s="378"/>
      <c r="C426" s="380"/>
      <c r="D426" s="380"/>
      <c r="E426" s="380"/>
      <c r="F426" s="380"/>
      <c r="G426" s="380"/>
      <c r="H426" s="380"/>
      <c r="I426" s="379"/>
      <c r="J426" s="380"/>
    </row>
    <row r="427" spans="2:10">
      <c r="B427" s="378"/>
      <c r="C427" s="380"/>
      <c r="D427" s="380"/>
      <c r="E427" s="380"/>
      <c r="F427" s="380"/>
      <c r="G427" s="380"/>
      <c r="H427" s="380"/>
      <c r="I427" s="379"/>
      <c r="J427" s="380"/>
    </row>
    <row r="428" spans="2:10">
      <c r="B428" s="378"/>
      <c r="C428" s="380"/>
      <c r="D428" s="380"/>
      <c r="E428" s="380"/>
      <c r="F428" s="380"/>
      <c r="G428" s="380"/>
      <c r="H428" s="380"/>
      <c r="I428" s="379"/>
      <c r="J428" s="380"/>
    </row>
    <row r="429" spans="2:10">
      <c r="B429" s="378"/>
      <c r="C429" s="380"/>
      <c r="D429" s="380"/>
      <c r="E429" s="380"/>
      <c r="F429" s="380"/>
      <c r="G429" s="380"/>
      <c r="H429" s="380"/>
      <c r="I429" s="379"/>
      <c r="J429" s="380"/>
    </row>
    <row r="430" spans="2:10">
      <c r="B430" s="378"/>
      <c r="C430" s="380"/>
      <c r="D430" s="380"/>
      <c r="E430" s="380"/>
      <c r="F430" s="380"/>
      <c r="G430" s="380"/>
      <c r="H430" s="380"/>
      <c r="I430" s="379"/>
      <c r="J430" s="380"/>
    </row>
    <row r="431" spans="2:10">
      <c r="B431" s="378"/>
      <c r="C431" s="380"/>
      <c r="D431" s="380"/>
      <c r="E431" s="380"/>
      <c r="F431" s="380"/>
      <c r="G431" s="380"/>
      <c r="H431" s="380"/>
      <c r="I431" s="379"/>
      <c r="J431" s="380"/>
    </row>
    <row r="432" spans="2:10">
      <c r="B432" s="378"/>
      <c r="C432" s="380"/>
      <c r="D432" s="380"/>
      <c r="E432" s="380"/>
      <c r="F432" s="380"/>
      <c r="G432" s="380"/>
      <c r="H432" s="380"/>
      <c r="I432" s="379"/>
      <c r="J432" s="380"/>
    </row>
    <row r="433" spans="2:10">
      <c r="B433" s="378"/>
      <c r="C433" s="380"/>
      <c r="D433" s="380"/>
      <c r="E433" s="380"/>
      <c r="F433" s="380"/>
      <c r="G433" s="380"/>
      <c r="H433" s="380"/>
      <c r="I433" s="379"/>
      <c r="J433" s="380"/>
    </row>
    <row r="434" spans="2:10">
      <c r="B434" s="378"/>
      <c r="C434" s="380"/>
      <c r="D434" s="380"/>
      <c r="E434" s="380"/>
      <c r="F434" s="380"/>
      <c r="G434" s="380"/>
      <c r="H434" s="380"/>
      <c r="I434" s="379"/>
      <c r="J434" s="380"/>
    </row>
    <row r="435" spans="2:10">
      <c r="B435" s="378"/>
      <c r="C435" s="380"/>
      <c r="D435" s="380"/>
      <c r="E435" s="380"/>
      <c r="F435" s="380"/>
      <c r="G435" s="380"/>
      <c r="H435" s="380"/>
      <c r="I435" s="379"/>
      <c r="J435" s="380"/>
    </row>
    <row r="436" spans="2:10">
      <c r="B436" s="378"/>
      <c r="C436" s="380"/>
      <c r="D436" s="380"/>
      <c r="E436" s="380"/>
      <c r="F436" s="380"/>
      <c r="G436" s="380"/>
      <c r="H436" s="380"/>
      <c r="I436" s="379"/>
      <c r="J436" s="380"/>
    </row>
    <row r="437" spans="2:10">
      <c r="B437" s="378"/>
      <c r="C437" s="380"/>
      <c r="D437" s="380"/>
      <c r="E437" s="380"/>
      <c r="F437" s="380"/>
      <c r="G437" s="380"/>
      <c r="H437" s="380"/>
      <c r="I437" s="379"/>
      <c r="J437" s="380"/>
    </row>
    <row r="438" spans="2:10">
      <c r="B438" s="378"/>
      <c r="C438" s="380"/>
      <c r="D438" s="380"/>
      <c r="E438" s="380"/>
      <c r="F438" s="380"/>
      <c r="G438" s="380"/>
      <c r="H438" s="380"/>
      <c r="I438" s="379"/>
      <c r="J438" s="380"/>
    </row>
    <row r="439" spans="2:10">
      <c r="B439" s="378"/>
      <c r="C439" s="380"/>
      <c r="D439" s="380"/>
      <c r="E439" s="380"/>
      <c r="F439" s="380"/>
      <c r="G439" s="380"/>
      <c r="H439" s="380"/>
      <c r="I439" s="379"/>
      <c r="J439" s="380"/>
    </row>
    <row r="440" spans="2:10">
      <c r="B440" s="378"/>
      <c r="C440" s="380"/>
      <c r="D440" s="380"/>
      <c r="E440" s="380"/>
      <c r="F440" s="380"/>
      <c r="G440" s="380"/>
      <c r="H440" s="380"/>
      <c r="I440" s="379"/>
      <c r="J440" s="380"/>
    </row>
    <row r="441" spans="2:10">
      <c r="B441" s="378"/>
      <c r="C441" s="380"/>
      <c r="D441" s="380"/>
      <c r="E441" s="380"/>
      <c r="F441" s="380"/>
      <c r="G441" s="380"/>
      <c r="H441" s="380"/>
      <c r="I441" s="379"/>
      <c r="J441" s="380"/>
    </row>
    <row r="442" spans="2:10">
      <c r="B442" s="378"/>
      <c r="C442" s="380"/>
      <c r="D442" s="380"/>
      <c r="E442" s="380"/>
      <c r="F442" s="380"/>
      <c r="G442" s="380"/>
      <c r="H442" s="380"/>
      <c r="I442" s="379"/>
      <c r="J442" s="380"/>
    </row>
    <row r="443" spans="2:10">
      <c r="B443" s="378"/>
      <c r="C443" s="380"/>
      <c r="D443" s="380"/>
      <c r="E443" s="380"/>
      <c r="F443" s="380"/>
      <c r="G443" s="380"/>
      <c r="H443" s="380"/>
      <c r="I443" s="379"/>
      <c r="J443" s="380"/>
    </row>
    <row r="444" spans="2:10">
      <c r="B444" s="378"/>
      <c r="C444" s="380"/>
      <c r="D444" s="380"/>
      <c r="E444" s="380"/>
      <c r="F444" s="380"/>
      <c r="G444" s="380"/>
      <c r="H444" s="380"/>
      <c r="I444" s="379"/>
      <c r="J444" s="380"/>
    </row>
    <row r="445" spans="2:10">
      <c r="B445" s="378"/>
      <c r="C445" s="380"/>
      <c r="D445" s="380"/>
      <c r="E445" s="380"/>
      <c r="F445" s="380"/>
      <c r="G445" s="380"/>
      <c r="H445" s="380"/>
      <c r="I445" s="379"/>
      <c r="J445" s="380"/>
    </row>
    <row r="446" spans="2:10">
      <c r="B446" s="378"/>
      <c r="C446" s="380"/>
      <c r="D446" s="380"/>
      <c r="E446" s="380"/>
      <c r="F446" s="380"/>
      <c r="G446" s="380"/>
      <c r="H446" s="380"/>
      <c r="I446" s="379"/>
      <c r="J446" s="380"/>
    </row>
    <row r="447" spans="2:10">
      <c r="B447" s="378"/>
      <c r="C447" s="380"/>
      <c r="D447" s="380"/>
      <c r="E447" s="380"/>
      <c r="F447" s="380"/>
      <c r="G447" s="380"/>
      <c r="H447" s="380"/>
      <c r="I447" s="379"/>
      <c r="J447" s="380"/>
    </row>
    <row r="448" spans="2:10">
      <c r="B448" s="378"/>
      <c r="C448" s="380"/>
      <c r="D448" s="380"/>
      <c r="E448" s="380"/>
      <c r="F448" s="380"/>
      <c r="G448" s="380"/>
      <c r="H448" s="380"/>
      <c r="I448" s="379"/>
      <c r="J448" s="380"/>
    </row>
    <row r="449" spans="2:10">
      <c r="B449" s="378"/>
      <c r="C449" s="380"/>
      <c r="D449" s="380"/>
      <c r="E449" s="380"/>
      <c r="F449" s="380"/>
      <c r="G449" s="380"/>
      <c r="H449" s="380"/>
      <c r="I449" s="379"/>
      <c r="J449" s="380"/>
    </row>
    <row r="450" spans="2:10">
      <c r="B450" s="378"/>
      <c r="C450" s="380"/>
      <c r="D450" s="380"/>
      <c r="E450" s="380"/>
      <c r="F450" s="380"/>
      <c r="G450" s="380"/>
      <c r="H450" s="380"/>
      <c r="I450" s="379"/>
      <c r="J450" s="380"/>
    </row>
    <row r="451" spans="2:10">
      <c r="B451" s="378"/>
      <c r="C451" s="380"/>
      <c r="D451" s="380"/>
      <c r="E451" s="380"/>
      <c r="F451" s="380"/>
      <c r="G451" s="380"/>
      <c r="H451" s="380"/>
      <c r="I451" s="379"/>
      <c r="J451" s="380"/>
    </row>
    <row r="452" spans="2:10">
      <c r="B452" s="378"/>
      <c r="C452" s="380"/>
      <c r="D452" s="380"/>
      <c r="E452" s="380"/>
      <c r="F452" s="380"/>
      <c r="G452" s="380"/>
      <c r="H452" s="380"/>
      <c r="I452" s="379"/>
      <c r="J452" s="380"/>
    </row>
    <row r="453" spans="2:10">
      <c r="B453" s="378"/>
      <c r="C453" s="380"/>
      <c r="D453" s="380"/>
      <c r="E453" s="380"/>
      <c r="F453" s="380"/>
      <c r="G453" s="380"/>
      <c r="H453" s="380"/>
      <c r="I453" s="379"/>
      <c r="J453" s="380"/>
    </row>
    <row r="454" spans="2:10">
      <c r="B454" s="378"/>
      <c r="C454" s="380"/>
      <c r="D454" s="380"/>
      <c r="E454" s="380"/>
      <c r="F454" s="380"/>
      <c r="G454" s="380"/>
      <c r="H454" s="380"/>
      <c r="I454" s="379"/>
      <c r="J454" s="380"/>
    </row>
    <row r="455" spans="2:10">
      <c r="B455" s="378"/>
      <c r="C455" s="380"/>
      <c r="D455" s="380"/>
      <c r="E455" s="380"/>
      <c r="F455" s="380"/>
      <c r="G455" s="380"/>
      <c r="H455" s="380"/>
      <c r="I455" s="379"/>
      <c r="J455" s="380"/>
    </row>
    <row r="456" spans="2:10">
      <c r="B456" s="378"/>
      <c r="C456" s="380"/>
      <c r="D456" s="380"/>
      <c r="E456" s="380"/>
      <c r="F456" s="380"/>
      <c r="G456" s="380"/>
      <c r="H456" s="380"/>
      <c r="I456" s="379"/>
      <c r="J456" s="380"/>
    </row>
    <row r="457" spans="2:10">
      <c r="B457" s="378"/>
      <c r="C457" s="380"/>
      <c r="D457" s="380"/>
      <c r="E457" s="380"/>
      <c r="F457" s="380"/>
      <c r="G457" s="380"/>
      <c r="H457" s="380"/>
      <c r="I457" s="379"/>
      <c r="J457" s="380"/>
    </row>
    <row r="458" spans="2:10">
      <c r="B458" s="378"/>
      <c r="C458" s="380"/>
      <c r="D458" s="380"/>
      <c r="E458" s="380"/>
      <c r="F458" s="380"/>
      <c r="G458" s="380"/>
      <c r="H458" s="380"/>
      <c r="I458" s="379"/>
      <c r="J458" s="380"/>
    </row>
    <row r="459" spans="2:10">
      <c r="B459" s="378"/>
      <c r="C459" s="380"/>
      <c r="D459" s="380"/>
      <c r="E459" s="380"/>
      <c r="F459" s="380"/>
      <c r="G459" s="380"/>
      <c r="H459" s="380"/>
      <c r="I459" s="379"/>
      <c r="J459" s="380"/>
    </row>
    <row r="460" spans="2:10">
      <c r="B460" s="378"/>
      <c r="C460" s="380"/>
      <c r="D460" s="380"/>
      <c r="E460" s="380"/>
      <c r="F460" s="380"/>
      <c r="G460" s="380"/>
      <c r="H460" s="380"/>
      <c r="I460" s="379"/>
      <c r="J460" s="380"/>
    </row>
    <row r="461" spans="2:10">
      <c r="B461" s="378"/>
      <c r="C461" s="380"/>
      <c r="D461" s="380"/>
      <c r="E461" s="380"/>
      <c r="F461" s="380"/>
      <c r="G461" s="380"/>
      <c r="H461" s="380"/>
      <c r="I461" s="379"/>
      <c r="J461" s="380"/>
    </row>
    <row r="462" spans="2:10">
      <c r="B462" s="378"/>
      <c r="C462" s="380"/>
      <c r="D462" s="380"/>
      <c r="E462" s="380"/>
      <c r="F462" s="380"/>
      <c r="G462" s="380"/>
      <c r="H462" s="380"/>
      <c r="I462" s="379"/>
      <c r="J462" s="380"/>
    </row>
    <row r="463" spans="2:10">
      <c r="B463" s="378"/>
      <c r="C463" s="380"/>
      <c r="D463" s="380"/>
      <c r="E463" s="380"/>
      <c r="F463" s="380"/>
      <c r="G463" s="380"/>
      <c r="H463" s="380"/>
      <c r="I463" s="379"/>
      <c r="J463" s="380"/>
    </row>
    <row r="464" spans="2:10">
      <c r="B464" s="378"/>
      <c r="C464" s="380"/>
      <c r="D464" s="380"/>
      <c r="E464" s="380"/>
      <c r="F464" s="380"/>
      <c r="G464" s="380"/>
      <c r="H464" s="380"/>
      <c r="I464" s="379"/>
      <c r="J464" s="380"/>
    </row>
    <row r="465" spans="2:10">
      <c r="B465" s="378"/>
      <c r="C465" s="380"/>
      <c r="D465" s="380"/>
      <c r="E465" s="380"/>
      <c r="F465" s="380"/>
      <c r="G465" s="380"/>
      <c r="H465" s="380"/>
      <c r="I465" s="379"/>
      <c r="J465" s="380"/>
    </row>
    <row r="466" spans="2:10">
      <c r="B466" s="378"/>
      <c r="C466" s="380"/>
      <c r="D466" s="380"/>
      <c r="E466" s="380"/>
      <c r="F466" s="380"/>
      <c r="G466" s="380"/>
      <c r="H466" s="380"/>
      <c r="I466" s="379"/>
      <c r="J466" s="380"/>
    </row>
    <row r="467" spans="2:10">
      <c r="B467" s="378"/>
      <c r="C467" s="380"/>
      <c r="D467" s="380"/>
      <c r="E467" s="380"/>
      <c r="F467" s="380"/>
      <c r="G467" s="380"/>
      <c r="H467" s="380"/>
      <c r="I467" s="379"/>
      <c r="J467" s="380"/>
    </row>
    <row r="468" spans="2:10">
      <c r="B468" s="378"/>
      <c r="C468" s="380"/>
      <c r="D468" s="380"/>
      <c r="E468" s="380"/>
      <c r="F468" s="380"/>
      <c r="G468" s="380"/>
      <c r="H468" s="380"/>
      <c r="I468" s="379"/>
      <c r="J468" s="380"/>
    </row>
    <row r="469" spans="2:10">
      <c r="B469" s="378"/>
      <c r="C469" s="380"/>
      <c r="D469" s="380"/>
      <c r="E469" s="380"/>
      <c r="F469" s="380"/>
      <c r="G469" s="380"/>
      <c r="H469" s="380"/>
      <c r="I469" s="379"/>
      <c r="J469" s="380"/>
    </row>
    <row r="470" spans="2:10">
      <c r="B470" s="378"/>
      <c r="C470" s="380"/>
      <c r="D470" s="380"/>
      <c r="E470" s="380"/>
      <c r="F470" s="380"/>
      <c r="G470" s="380"/>
      <c r="H470" s="380"/>
      <c r="I470" s="379"/>
      <c r="J470" s="380"/>
    </row>
    <row r="471" spans="2:10">
      <c r="B471" s="378"/>
      <c r="C471" s="380"/>
      <c r="D471" s="380"/>
      <c r="E471" s="380"/>
      <c r="F471" s="380"/>
      <c r="G471" s="380"/>
      <c r="H471" s="380"/>
      <c r="I471" s="379"/>
      <c r="J471" s="380"/>
    </row>
    <row r="472" spans="2:10">
      <c r="B472" s="378"/>
      <c r="C472" s="380"/>
      <c r="D472" s="380"/>
      <c r="E472" s="380"/>
      <c r="F472" s="380"/>
      <c r="G472" s="380"/>
      <c r="H472" s="380"/>
      <c r="I472" s="379"/>
      <c r="J472" s="380"/>
    </row>
    <row r="473" spans="2:10">
      <c r="B473" s="378"/>
      <c r="C473" s="380"/>
      <c r="D473" s="380"/>
      <c r="E473" s="380"/>
      <c r="F473" s="380"/>
      <c r="G473" s="380"/>
      <c r="H473" s="380"/>
      <c r="I473" s="379"/>
      <c r="J473" s="380"/>
    </row>
    <row r="474" spans="2:10">
      <c r="B474" s="378"/>
      <c r="C474" s="380"/>
      <c r="D474" s="380"/>
      <c r="E474" s="380"/>
      <c r="F474" s="380"/>
      <c r="G474" s="380"/>
      <c r="H474" s="380"/>
      <c r="I474" s="379"/>
      <c r="J474" s="380"/>
    </row>
    <row r="475" spans="2:10">
      <c r="B475" s="378"/>
      <c r="C475" s="380"/>
      <c r="D475" s="380"/>
      <c r="E475" s="380"/>
      <c r="F475" s="380"/>
      <c r="G475" s="380"/>
      <c r="H475" s="380"/>
      <c r="I475" s="379"/>
      <c r="J475" s="380"/>
    </row>
    <row r="476" spans="2:10">
      <c r="B476" s="378"/>
      <c r="C476" s="380"/>
      <c r="D476" s="380"/>
      <c r="E476" s="380"/>
      <c r="F476" s="380"/>
      <c r="G476" s="380"/>
      <c r="H476" s="380"/>
      <c r="I476" s="379"/>
      <c r="J476" s="380"/>
    </row>
    <row r="477" spans="2:10">
      <c r="B477" s="378"/>
      <c r="C477" s="380"/>
      <c r="D477" s="380"/>
      <c r="E477" s="380"/>
      <c r="F477" s="380"/>
      <c r="G477" s="380"/>
      <c r="H477" s="380"/>
      <c r="I477" s="379"/>
      <c r="J477" s="380"/>
    </row>
    <row r="478" spans="2:10">
      <c r="B478" s="378"/>
      <c r="C478" s="380"/>
      <c r="D478" s="380"/>
      <c r="E478" s="380"/>
      <c r="F478" s="380"/>
      <c r="G478" s="380"/>
      <c r="H478" s="380"/>
      <c r="I478" s="379"/>
      <c r="J478" s="380"/>
    </row>
    <row r="479" spans="2:10">
      <c r="B479" s="378"/>
      <c r="C479" s="380"/>
      <c r="D479" s="380"/>
      <c r="E479" s="380"/>
      <c r="F479" s="380"/>
      <c r="G479" s="380"/>
      <c r="H479" s="380"/>
      <c r="I479" s="379"/>
      <c r="J479" s="380"/>
    </row>
    <row r="480" spans="2:10">
      <c r="B480" s="378"/>
      <c r="C480" s="380"/>
      <c r="D480" s="380"/>
      <c r="E480" s="380"/>
      <c r="F480" s="380"/>
      <c r="G480" s="380"/>
      <c r="H480" s="380"/>
      <c r="I480" s="379"/>
      <c r="J480" s="380"/>
    </row>
    <row r="481" spans="2:10">
      <c r="B481" s="378"/>
      <c r="C481" s="380"/>
      <c r="D481" s="380"/>
      <c r="E481" s="380"/>
      <c r="F481" s="380"/>
      <c r="G481" s="380"/>
      <c r="H481" s="380"/>
      <c r="I481" s="379"/>
      <c r="J481" s="380"/>
    </row>
    <row r="482" spans="2:10">
      <c r="B482" s="378"/>
      <c r="C482" s="380"/>
      <c r="D482" s="380"/>
      <c r="E482" s="380"/>
      <c r="F482" s="380"/>
      <c r="G482" s="380"/>
      <c r="H482" s="380"/>
      <c r="I482" s="379"/>
      <c r="J482" s="380"/>
    </row>
    <row r="483" spans="2:10">
      <c r="B483" s="378"/>
      <c r="C483" s="380"/>
      <c r="D483" s="380"/>
      <c r="E483" s="380"/>
      <c r="F483" s="380"/>
      <c r="G483" s="380"/>
      <c r="H483" s="380"/>
      <c r="I483" s="379"/>
      <c r="J483" s="380"/>
    </row>
    <row r="484" spans="2:10">
      <c r="B484" s="378"/>
      <c r="C484" s="380"/>
      <c r="D484" s="380"/>
      <c r="E484" s="380"/>
      <c r="F484" s="380"/>
      <c r="G484" s="380"/>
      <c r="H484" s="380"/>
      <c r="I484" s="379"/>
      <c r="J484" s="380"/>
    </row>
    <row r="485" spans="2:10">
      <c r="B485" s="378"/>
      <c r="C485" s="380"/>
      <c r="D485" s="380"/>
      <c r="E485" s="380"/>
      <c r="F485" s="380"/>
      <c r="G485" s="380"/>
      <c r="H485" s="380"/>
      <c r="I485" s="379"/>
      <c r="J485" s="380"/>
    </row>
    <row r="486" spans="2:10">
      <c r="B486" s="378"/>
      <c r="C486" s="380"/>
      <c r="D486" s="380"/>
      <c r="E486" s="380"/>
      <c r="F486" s="380"/>
      <c r="G486" s="380"/>
      <c r="H486" s="380"/>
      <c r="I486" s="379"/>
      <c r="J486" s="380"/>
    </row>
    <row r="487" spans="2:10">
      <c r="B487" s="378"/>
      <c r="C487" s="380"/>
      <c r="D487" s="380"/>
      <c r="E487" s="380"/>
      <c r="F487" s="380"/>
      <c r="G487" s="380"/>
      <c r="H487" s="380"/>
      <c r="I487" s="379"/>
      <c r="J487" s="380"/>
    </row>
    <row r="488" spans="2:10">
      <c r="B488" s="378"/>
      <c r="C488" s="380"/>
      <c r="D488" s="380"/>
      <c r="E488" s="380"/>
      <c r="F488" s="380"/>
      <c r="G488" s="380"/>
      <c r="H488" s="380"/>
      <c r="I488" s="379"/>
      <c r="J488" s="380"/>
    </row>
    <row r="489" spans="2:10">
      <c r="B489" s="378"/>
      <c r="C489" s="380"/>
      <c r="D489" s="380"/>
      <c r="E489" s="380"/>
      <c r="F489" s="380"/>
      <c r="G489" s="380"/>
      <c r="H489" s="380"/>
      <c r="I489" s="379"/>
      <c r="J489" s="380"/>
    </row>
    <row r="490" spans="2:10">
      <c r="B490" s="378"/>
      <c r="C490" s="380"/>
      <c r="D490" s="380"/>
      <c r="E490" s="380"/>
      <c r="F490" s="380"/>
      <c r="G490" s="380"/>
      <c r="H490" s="380"/>
      <c r="I490" s="379"/>
      <c r="J490" s="380"/>
    </row>
    <row r="491" spans="2:10">
      <c r="B491" s="378"/>
      <c r="C491" s="380"/>
      <c r="D491" s="380"/>
      <c r="E491" s="380"/>
      <c r="F491" s="380"/>
      <c r="G491" s="380"/>
      <c r="H491" s="380"/>
      <c r="I491" s="379"/>
      <c r="J491" s="380"/>
    </row>
    <row r="492" spans="2:10">
      <c r="B492" s="378"/>
      <c r="C492" s="380"/>
      <c r="D492" s="380"/>
      <c r="E492" s="380"/>
      <c r="F492" s="380"/>
      <c r="G492" s="380"/>
      <c r="H492" s="380"/>
      <c r="I492" s="379"/>
      <c r="J492" s="380"/>
    </row>
    <row r="493" spans="2:10">
      <c r="B493" s="378"/>
      <c r="C493" s="380"/>
      <c r="D493" s="380"/>
      <c r="E493" s="380"/>
      <c r="F493" s="380"/>
      <c r="G493" s="380"/>
      <c r="H493" s="380"/>
      <c r="I493" s="379"/>
      <c r="J493" s="380"/>
    </row>
    <row r="494" spans="2:10">
      <c r="B494" s="378"/>
      <c r="C494" s="380"/>
      <c r="D494" s="380"/>
      <c r="E494" s="380"/>
      <c r="F494" s="380"/>
      <c r="G494" s="380"/>
      <c r="H494" s="380"/>
      <c r="I494" s="379"/>
      <c r="J494" s="380"/>
    </row>
    <row r="495" spans="2:10">
      <c r="B495" s="378"/>
      <c r="C495" s="380"/>
      <c r="D495" s="380"/>
      <c r="E495" s="380"/>
      <c r="F495" s="380"/>
      <c r="G495" s="380"/>
      <c r="H495" s="380"/>
      <c r="I495" s="379"/>
      <c r="J495" s="380"/>
    </row>
    <row r="496" spans="2:10">
      <c r="B496" s="378"/>
      <c r="C496" s="380"/>
      <c r="D496" s="380"/>
      <c r="E496" s="380"/>
      <c r="F496" s="380"/>
      <c r="G496" s="380"/>
      <c r="H496" s="380"/>
      <c r="I496" s="379"/>
      <c r="J496" s="380"/>
    </row>
    <row r="497" spans="2:10">
      <c r="B497" s="378"/>
      <c r="C497" s="380"/>
      <c r="D497" s="380"/>
      <c r="E497" s="380"/>
      <c r="F497" s="380"/>
      <c r="G497" s="380"/>
      <c r="H497" s="380"/>
      <c r="I497" s="379"/>
      <c r="J497" s="380"/>
    </row>
    <row r="498" spans="2:10">
      <c r="B498" s="378"/>
      <c r="C498" s="380"/>
      <c r="D498" s="380"/>
      <c r="E498" s="380"/>
      <c r="F498" s="380"/>
      <c r="G498" s="380"/>
      <c r="H498" s="380"/>
      <c r="I498" s="379"/>
      <c r="J498" s="380"/>
    </row>
    <row r="499" spans="2:10">
      <c r="B499" s="378"/>
      <c r="C499" s="380"/>
      <c r="D499" s="380"/>
      <c r="E499" s="380"/>
      <c r="F499" s="380"/>
      <c r="G499" s="380"/>
      <c r="H499" s="380"/>
      <c r="I499" s="379"/>
      <c r="J499" s="380"/>
    </row>
    <row r="500" spans="2:10">
      <c r="B500" s="378"/>
      <c r="C500" s="380"/>
      <c r="D500" s="380"/>
      <c r="E500" s="380"/>
      <c r="F500" s="380"/>
      <c r="G500" s="380"/>
      <c r="H500" s="380"/>
      <c r="I500" s="379"/>
      <c r="J500" s="380"/>
    </row>
  </sheetData>
  <pageMargins left="0.75" right="0.75" top="1" bottom="1" header="0.5" footer="0.5"/>
  <headerFooter alignWithMargins="0"/>
  <drawing r:id="rId1"/>
  <legacyDrawing r:id="rId2"/>
  <controls>
    <mc:AlternateContent xmlns:mc="http://schemas.openxmlformats.org/markup-compatibility/2006">
      <mc:Choice Requires="x14">
        <control shapeId="39945" r:id="rId3" name="cmdSpecifyIEOptcode">
          <controlPr defaultSize="0" autoLine="0" r:id="rId4">
            <anchor moveWithCells="1">
              <from>
                <xdr:col>8</xdr:col>
                <xdr:colOff>47625</xdr:colOff>
                <xdr:row>3</xdr:row>
                <xdr:rowOff>0</xdr:rowOff>
              </from>
              <to>
                <xdr:col>8</xdr:col>
                <xdr:colOff>466725</xdr:colOff>
                <xdr:row>4</xdr:row>
                <xdr:rowOff>104775</xdr:rowOff>
              </to>
            </anchor>
          </controlPr>
        </control>
      </mc:Choice>
      <mc:Fallback>
        <control shapeId="39945" r:id="rId3" name="cmdSpecifyIEOptcode"/>
      </mc:Fallback>
    </mc:AlternateContent>
    <mc:AlternateContent xmlns:mc="http://schemas.openxmlformats.org/markup-compatibility/2006">
      <mc:Choice Requires="x14">
        <control shapeId="39944" r:id="rId5" name="cmdSpecifyArg6">
          <controlPr defaultSize="0" autoLine="0" r:id="rId6">
            <anchor moveWithCells="1">
              <from>
                <xdr:col>7</xdr:col>
                <xdr:colOff>0</xdr:colOff>
                <xdr:row>3</xdr:row>
                <xdr:rowOff>0</xdr:rowOff>
              </from>
              <to>
                <xdr:col>7</xdr:col>
                <xdr:colOff>619125</xdr:colOff>
                <xdr:row>4</xdr:row>
                <xdr:rowOff>104775</xdr:rowOff>
              </to>
            </anchor>
          </controlPr>
        </control>
      </mc:Choice>
      <mc:Fallback>
        <control shapeId="39944" r:id="rId5" name="cmdSpecifyArg6"/>
      </mc:Fallback>
    </mc:AlternateContent>
    <mc:AlternateContent xmlns:mc="http://schemas.openxmlformats.org/markup-compatibility/2006">
      <mc:Choice Requires="x14">
        <control shapeId="39943" r:id="rId7" name="cmdSpecifyArg5">
          <controlPr defaultSize="0" autoLine="0" r:id="rId8">
            <anchor moveWithCells="1">
              <from>
                <xdr:col>6</xdr:col>
                <xdr:colOff>0</xdr:colOff>
                <xdr:row>3</xdr:row>
                <xdr:rowOff>0</xdr:rowOff>
              </from>
              <to>
                <xdr:col>6</xdr:col>
                <xdr:colOff>619125</xdr:colOff>
                <xdr:row>4</xdr:row>
                <xdr:rowOff>104775</xdr:rowOff>
              </to>
            </anchor>
          </controlPr>
        </control>
      </mc:Choice>
      <mc:Fallback>
        <control shapeId="39943" r:id="rId7" name="cmdSpecifyArg5"/>
      </mc:Fallback>
    </mc:AlternateContent>
    <mc:AlternateContent xmlns:mc="http://schemas.openxmlformats.org/markup-compatibility/2006">
      <mc:Choice Requires="x14">
        <control shapeId="39942" r:id="rId9" name="cmdSpecifyArg4">
          <controlPr defaultSize="0" autoLine="0" r:id="rId10">
            <anchor moveWithCells="1">
              <from>
                <xdr:col>5</xdr:col>
                <xdr:colOff>0</xdr:colOff>
                <xdr:row>3</xdr:row>
                <xdr:rowOff>0</xdr:rowOff>
              </from>
              <to>
                <xdr:col>5</xdr:col>
                <xdr:colOff>619125</xdr:colOff>
                <xdr:row>4</xdr:row>
                <xdr:rowOff>104775</xdr:rowOff>
              </to>
            </anchor>
          </controlPr>
        </control>
      </mc:Choice>
      <mc:Fallback>
        <control shapeId="39942" r:id="rId9" name="cmdSpecifyArg4"/>
      </mc:Fallback>
    </mc:AlternateContent>
    <mc:AlternateContent xmlns:mc="http://schemas.openxmlformats.org/markup-compatibility/2006">
      <mc:Choice Requires="x14">
        <control shapeId="39941"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39941" r:id="rId11" name="cmdSpecifyArg3"/>
      </mc:Fallback>
    </mc:AlternateContent>
    <mc:AlternateContent xmlns:mc="http://schemas.openxmlformats.org/markup-compatibility/2006">
      <mc:Choice Requires="x14">
        <control shapeId="39940" r:id="rId13" name="cmdSpecifyArg2">
          <controlPr defaultSize="0" autoLine="0" r:id="rId14">
            <anchor moveWithCells="1">
              <from>
                <xdr:col>3</xdr:col>
                <xdr:colOff>0</xdr:colOff>
                <xdr:row>3</xdr:row>
                <xdr:rowOff>0</xdr:rowOff>
              </from>
              <to>
                <xdr:col>3</xdr:col>
                <xdr:colOff>619125</xdr:colOff>
                <xdr:row>4</xdr:row>
                <xdr:rowOff>104775</xdr:rowOff>
              </to>
            </anchor>
          </controlPr>
        </control>
      </mc:Choice>
      <mc:Fallback>
        <control shapeId="39940" r:id="rId13" name="cmdSpecifyArg2"/>
      </mc:Fallback>
    </mc:AlternateContent>
    <mc:AlternateContent xmlns:mc="http://schemas.openxmlformats.org/markup-compatibility/2006">
      <mc:Choice Requires="x14">
        <control shapeId="39939" r:id="rId15" name="cmdSpecifyArg1">
          <controlPr defaultSize="0" autoLine="0" r:id="rId16">
            <anchor moveWithCells="1">
              <from>
                <xdr:col>2</xdr:col>
                <xdr:colOff>0</xdr:colOff>
                <xdr:row>3</xdr:row>
                <xdr:rowOff>0</xdr:rowOff>
              </from>
              <to>
                <xdr:col>2</xdr:col>
                <xdr:colOff>619125</xdr:colOff>
                <xdr:row>4</xdr:row>
                <xdr:rowOff>104775</xdr:rowOff>
              </to>
            </anchor>
          </controlPr>
        </control>
      </mc:Choice>
      <mc:Fallback>
        <control shapeId="39939" r:id="rId15" name="cmdSpecifyArg1"/>
      </mc:Fallback>
    </mc:AlternateContent>
    <mc:AlternateContent xmlns:mc="http://schemas.openxmlformats.org/markup-compatibility/2006">
      <mc:Choice Requires="x14">
        <control shapeId="39938" r:id="rId17" name="cmdSpecifyParameter">
          <controlPr defaultSize="0" autoLine="0" r:id="rId18">
            <anchor moveWithCells="1">
              <from>
                <xdr:col>1</xdr:col>
                <xdr:colOff>0</xdr:colOff>
                <xdr:row>3</xdr:row>
                <xdr:rowOff>0</xdr:rowOff>
              </from>
              <to>
                <xdr:col>2</xdr:col>
                <xdr:colOff>19050</xdr:colOff>
                <xdr:row>4</xdr:row>
                <xdr:rowOff>104775</xdr:rowOff>
              </to>
            </anchor>
          </controlPr>
        </control>
      </mc:Choice>
      <mc:Fallback>
        <control shapeId="39938" r:id="rId17" name="cmdSpecifyParameter"/>
      </mc:Fallback>
    </mc:AlternateContent>
    <mc:AlternateContent xmlns:mc="http://schemas.openxmlformats.org/markup-compatibility/2006">
      <mc:Choice Requires="x14">
        <control shapeId="39937" r:id="rId19" name="cmdCheckTSandTIDDataSheet">
          <controlPr defaultSize="0" autoLine="0" r:id="rId20">
            <anchor moveWithCells="1">
              <from>
                <xdr:col>0</xdr:col>
                <xdr:colOff>0</xdr:colOff>
                <xdr:row>2</xdr:row>
                <xdr:rowOff>0</xdr:rowOff>
              </from>
              <to>
                <xdr:col>1</xdr:col>
                <xdr:colOff>9525</xdr:colOff>
                <xdr:row>3</xdr:row>
                <xdr:rowOff>47625</xdr:rowOff>
              </to>
            </anchor>
          </controlPr>
        </control>
      </mc:Choice>
      <mc:Fallback>
        <control shapeId="39937" r:id="rId19" name="cmdCheckTSandTIDDataSheet"/>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tabColor theme="9" tint="-0.249977111117893"/>
  </sheetPr>
  <dimension ref="A1:O268"/>
  <sheetViews>
    <sheetView workbookViewId="0">
      <selection activeCell="J15" sqref="J15"/>
    </sheetView>
  </sheetViews>
  <sheetFormatPr defaultColWidth="11.42578125" defaultRowHeight="11.25"/>
  <cols>
    <col min="1" max="1" width="12.140625" style="376" customWidth="1"/>
    <col min="2" max="2" width="12" style="376" customWidth="1"/>
    <col min="3" max="3" width="11.140625" style="376" customWidth="1"/>
    <col min="4" max="8" width="11.42578125" style="376" customWidth="1"/>
    <col min="9" max="9" width="7.42578125" style="376" customWidth="1"/>
    <col min="10" max="10" width="10.7109375" style="376" customWidth="1"/>
    <col min="11" max="16384" width="11.42578125" style="376"/>
  </cols>
  <sheetData>
    <row r="1" spans="1:15">
      <c r="A1" s="375" t="str">
        <f>IF(TScode=0,"TS DATA","")</f>
        <v>TS DATA</v>
      </c>
      <c r="B1" s="376" t="s">
        <v>707</v>
      </c>
    </row>
    <row r="2" spans="1:15">
      <c r="A2" s="376" t="s">
        <v>709</v>
      </c>
      <c r="L2" s="505" t="s">
        <v>1048</v>
      </c>
      <c r="M2" s="505"/>
      <c r="N2" s="505"/>
      <c r="O2" s="505"/>
    </row>
    <row r="3" spans="1:15" ht="15" customHeight="1">
      <c r="A3" s="376" t="s">
        <v>709</v>
      </c>
    </row>
    <row r="4" spans="1:15">
      <c r="A4" s="376" t="s">
        <v>709</v>
      </c>
    </row>
    <row r="5" spans="1:15">
      <c r="A5" s="376" t="s">
        <v>709</v>
      </c>
    </row>
    <row r="6" spans="1:15">
      <c r="A6" s="376" t="s">
        <v>709</v>
      </c>
    </row>
    <row r="7" spans="1:15" ht="22.5" customHeight="1">
      <c r="A7" s="376" t="s">
        <v>709</v>
      </c>
      <c r="B7" s="375" t="s">
        <v>722</v>
      </c>
      <c r="C7" s="375" t="s">
        <v>723</v>
      </c>
      <c r="D7" s="375" t="s">
        <v>724</v>
      </c>
      <c r="E7" s="375" t="s">
        <v>725</v>
      </c>
      <c r="F7" s="375" t="s">
        <v>726</v>
      </c>
      <c r="G7" s="375" t="s">
        <v>727</v>
      </c>
      <c r="H7" s="375" t="s">
        <v>728</v>
      </c>
      <c r="I7" s="377" t="s">
        <v>729</v>
      </c>
      <c r="J7" s="376">
        <v>2012</v>
      </c>
    </row>
    <row r="8" spans="1:15">
      <c r="A8" s="376" t="s">
        <v>709</v>
      </c>
      <c r="B8" s="375"/>
      <c r="C8" s="375"/>
      <c r="D8" s="375"/>
      <c r="E8" s="375"/>
      <c r="F8" s="375"/>
      <c r="G8" s="375"/>
      <c r="H8" s="375"/>
      <c r="I8" s="377"/>
    </row>
    <row r="9" spans="1:15">
      <c r="A9" s="376" t="s">
        <v>709</v>
      </c>
      <c r="B9" s="378" t="s">
        <v>767</v>
      </c>
      <c r="C9" s="378" t="s">
        <v>463</v>
      </c>
      <c r="D9" s="378" t="s">
        <v>750</v>
      </c>
      <c r="E9" s="378" t="s">
        <v>463</v>
      </c>
      <c r="F9" s="378" t="s">
        <v>463</v>
      </c>
      <c r="G9" s="378" t="s">
        <v>768</v>
      </c>
      <c r="H9" s="378" t="s">
        <v>463</v>
      </c>
      <c r="I9" s="379">
        <v>0</v>
      </c>
    </row>
    <row r="10" spans="1:15">
      <c r="A10" s="376" t="str">
        <f>IF(D10&lt;&gt;"",IF(ISTEXT(D10),"","*"))</f>
        <v/>
      </c>
      <c r="B10" s="378" t="s">
        <v>767</v>
      </c>
      <c r="C10" s="380" t="s">
        <v>463</v>
      </c>
      <c r="D10" s="380" t="str">
        <f>'[6]COM COMFR'!D10</f>
        <v>CEC</v>
      </c>
      <c r="E10" s="380" t="s">
        <v>463</v>
      </c>
      <c r="F10" s="380" t="s">
        <v>463</v>
      </c>
      <c r="G10" s="380" t="str">
        <f>'[6]COM COMFR'!G10</f>
        <v>s1d1b1</v>
      </c>
      <c r="H10" s="380" t="s">
        <v>463</v>
      </c>
      <c r="I10" s="379">
        <v>0</v>
      </c>
      <c r="J10" s="380">
        <f>'[6]COM COMFR'!J10</f>
        <v>0.20380000000000001</v>
      </c>
      <c r="K10" s="383"/>
      <c r="N10" s="380"/>
    </row>
    <row r="11" spans="1:15">
      <c r="A11" s="376" t="str">
        <f t="shared" ref="A11:A74" si="0">IF(D11&lt;&gt;"",IF(ISTEXT(D11),"","*"))</f>
        <v/>
      </c>
      <c r="B11" s="378" t="s">
        <v>767</v>
      </c>
      <c r="C11" s="380" t="s">
        <v>463</v>
      </c>
      <c r="D11" s="380" t="str">
        <f>'[6]COM COMFR'!D11</f>
        <v>CEC</v>
      </c>
      <c r="E11" s="380" t="s">
        <v>463</v>
      </c>
      <c r="F11" s="380" t="s">
        <v>463</v>
      </c>
      <c r="G11" s="380" t="str">
        <f>'[6]COM COMFR'!G11</f>
        <v>s1d1b2</v>
      </c>
      <c r="H11" s="380" t="s">
        <v>463</v>
      </c>
      <c r="I11" s="379">
        <v>0</v>
      </c>
      <c r="J11" s="380">
        <f>'[6]COM COMFR'!J11</f>
        <v>0.39271999999999979</v>
      </c>
      <c r="K11" s="383"/>
    </row>
    <row r="12" spans="1:15">
      <c r="A12" s="376" t="str">
        <f t="shared" si="0"/>
        <v/>
      </c>
      <c r="B12" s="378" t="s">
        <v>767</v>
      </c>
      <c r="C12" s="380" t="s">
        <v>463</v>
      </c>
      <c r="D12" s="380" t="str">
        <f>'[6]COM COMFR'!D12</f>
        <v>CEC</v>
      </c>
      <c r="E12" s="380" t="s">
        <v>463</v>
      </c>
      <c r="F12" s="380" t="s">
        <v>463</v>
      </c>
      <c r="G12" s="380" t="str">
        <f>'[6]COM COMFR'!G12</f>
        <v>s1d1b3</v>
      </c>
      <c r="H12" s="380" t="s">
        <v>463</v>
      </c>
      <c r="I12" s="379">
        <v>0</v>
      </c>
      <c r="J12" s="380">
        <f>'[6]COM COMFR'!J12</f>
        <v>0.14752999999999999</v>
      </c>
      <c r="K12" s="383"/>
    </row>
    <row r="13" spans="1:15">
      <c r="A13" s="376" t="str">
        <f t="shared" si="0"/>
        <v/>
      </c>
      <c r="B13" s="378" t="s">
        <v>767</v>
      </c>
      <c r="C13" s="380" t="s">
        <v>463</v>
      </c>
      <c r="D13" s="380" t="str">
        <f>'[6]COM COMFR'!D13</f>
        <v>CEC</v>
      </c>
      <c r="E13" s="380" t="s">
        <v>463</v>
      </c>
      <c r="F13" s="380" t="s">
        <v>463</v>
      </c>
      <c r="G13" s="380" t="str">
        <f>'[6]COM COMFR'!G13</f>
        <v>s2d1b1</v>
      </c>
      <c r="H13" s="380" t="s">
        <v>463</v>
      </c>
      <c r="I13" s="379">
        <v>0</v>
      </c>
      <c r="J13" s="380">
        <f>'[6]COM COMFR'!J13</f>
        <v>6.3039999999999999E-2</v>
      </c>
      <c r="K13" s="383"/>
    </row>
    <row r="14" spans="1:15">
      <c r="A14" s="376" t="str">
        <f t="shared" si="0"/>
        <v/>
      </c>
      <c r="B14" s="378" t="s">
        <v>767</v>
      </c>
      <c r="C14" s="380" t="s">
        <v>463</v>
      </c>
      <c r="D14" s="380" t="str">
        <f>'[6]COM COMFR'!D14</f>
        <v>CEC</v>
      </c>
      <c r="E14" s="380" t="s">
        <v>463</v>
      </c>
      <c r="F14" s="380" t="s">
        <v>463</v>
      </c>
      <c r="G14" s="380" t="str">
        <f>'[6]COM COMFR'!G14</f>
        <v>s2d1b2</v>
      </c>
      <c r="H14" s="380" t="s">
        <v>463</v>
      </c>
      <c r="I14" s="379">
        <v>0</v>
      </c>
      <c r="J14" s="380">
        <f>'[6]COM COMFR'!J14</f>
        <v>3.3020000000000001E-2</v>
      </c>
      <c r="K14" s="383"/>
    </row>
    <row r="15" spans="1:15">
      <c r="A15" s="376" t="str">
        <f t="shared" si="0"/>
        <v/>
      </c>
      <c r="B15" s="378" t="s">
        <v>767</v>
      </c>
      <c r="C15" s="380" t="s">
        <v>463</v>
      </c>
      <c r="D15" s="380" t="str">
        <f>'[6]COM COMFR'!D15</f>
        <v>CEC</v>
      </c>
      <c r="E15" s="380" t="s">
        <v>463</v>
      </c>
      <c r="F15" s="380" t="s">
        <v>463</v>
      </c>
      <c r="G15" s="380" t="str">
        <f>'[6]COM COMFR'!G15</f>
        <v>s2d1b3</v>
      </c>
      <c r="H15" s="380" t="s">
        <v>463</v>
      </c>
      <c r="I15" s="379">
        <v>0</v>
      </c>
      <c r="J15" s="380">
        <f>'[6]COM COMFR'!J15</f>
        <v>9.9519999999999997E-2</v>
      </c>
      <c r="K15" s="383"/>
    </row>
    <row r="16" spans="1:15">
      <c r="A16" s="376" t="str">
        <f t="shared" si="0"/>
        <v/>
      </c>
      <c r="B16" s="378" t="s">
        <v>767</v>
      </c>
      <c r="C16" s="380" t="s">
        <v>463</v>
      </c>
      <c r="D16" s="380" t="str">
        <f>'[6]COM COMFR'!D16</f>
        <v>CEC</v>
      </c>
      <c r="E16" s="380" t="s">
        <v>463</v>
      </c>
      <c r="F16" s="380" t="s">
        <v>463</v>
      </c>
      <c r="G16" s="380" t="str">
        <f>'[6]COM COMFR'!G16</f>
        <v>s2d1b4</v>
      </c>
      <c r="H16" s="380" t="s">
        <v>463</v>
      </c>
      <c r="I16" s="379">
        <v>0</v>
      </c>
      <c r="J16" s="380">
        <f>'[6]COM COMFR'!J16</f>
        <v>4.2099999999999999E-2</v>
      </c>
      <c r="K16" s="383"/>
    </row>
    <row r="17" spans="1:11">
      <c r="A17" s="376" t="str">
        <f t="shared" si="0"/>
        <v/>
      </c>
      <c r="B17" s="378" t="s">
        <v>767</v>
      </c>
      <c r="C17" s="380" t="s">
        <v>463</v>
      </c>
      <c r="D17" s="380" t="str">
        <f>'[6]COM COMFR'!D17</f>
        <v>CEC</v>
      </c>
      <c r="E17" s="380" t="s">
        <v>463</v>
      </c>
      <c r="F17" s="380" t="s">
        <v>463</v>
      </c>
      <c r="G17" s="380" t="str">
        <f>'[6]COM COMFR'!G17</f>
        <v>s2d1b5</v>
      </c>
      <c r="H17" s="380" t="s">
        <v>463</v>
      </c>
      <c r="I17" s="379">
        <v>0</v>
      </c>
      <c r="J17" s="380">
        <f>'[6]COM COMFR'!J17</f>
        <v>1.8270000000000002E-2</v>
      </c>
      <c r="K17" s="383"/>
    </row>
    <row r="18" spans="1:11">
      <c r="A18" s="376" t="str">
        <f t="shared" si="0"/>
        <v/>
      </c>
      <c r="B18" s="378" t="s">
        <v>767</v>
      </c>
      <c r="C18" s="380" t="s">
        <v>463</v>
      </c>
      <c r="D18" s="380" t="str">
        <f>'[6]COM COMFR'!D18</f>
        <v>CEH</v>
      </c>
      <c r="E18" s="380" t="s">
        <v>463</v>
      </c>
      <c r="F18" s="380" t="s">
        <v>463</v>
      </c>
      <c r="G18" s="380" t="str">
        <f>'[6]COM COMFR'!G18</f>
        <v>s1d1b1</v>
      </c>
      <c r="H18" s="380" t="s">
        <v>463</v>
      </c>
      <c r="I18" s="379">
        <v>0</v>
      </c>
      <c r="J18" s="380">
        <f>'[6]COM COMFR'!J18</f>
        <v>0.14902000000000001</v>
      </c>
      <c r="K18" s="383"/>
    </row>
    <row r="19" spans="1:11">
      <c r="A19" s="376" t="str">
        <f t="shared" si="0"/>
        <v/>
      </c>
      <c r="B19" s="378" t="s">
        <v>767</v>
      </c>
      <c r="C19" s="380" t="s">
        <v>463</v>
      </c>
      <c r="D19" s="380" t="str">
        <f>'[6]COM COMFR'!D19</f>
        <v>CEH</v>
      </c>
      <c r="E19" s="380" t="s">
        <v>463</v>
      </c>
      <c r="F19" s="380" t="s">
        <v>463</v>
      </c>
      <c r="G19" s="380" t="str">
        <f>'[6]COM COMFR'!G19</f>
        <v>s1d1b2</v>
      </c>
      <c r="H19" s="380" t="s">
        <v>463</v>
      </c>
      <c r="I19" s="379">
        <v>0</v>
      </c>
      <c r="J19" s="380">
        <f>'[6]COM COMFR'!J19</f>
        <v>0.28716000000000014</v>
      </c>
      <c r="K19" s="383"/>
    </row>
    <row r="20" spans="1:11">
      <c r="A20" s="376" t="str">
        <f t="shared" si="0"/>
        <v/>
      </c>
      <c r="B20" s="378" t="s">
        <v>767</v>
      </c>
      <c r="C20" s="380" t="s">
        <v>463</v>
      </c>
      <c r="D20" s="380" t="str">
        <f>'[6]COM COMFR'!D20</f>
        <v>CEH</v>
      </c>
      <c r="E20" s="380" t="s">
        <v>463</v>
      </c>
      <c r="F20" s="380" t="s">
        <v>463</v>
      </c>
      <c r="G20" s="380" t="str">
        <f>'[6]COM COMFR'!G20</f>
        <v>s1d1b3</v>
      </c>
      <c r="H20" s="380" t="s">
        <v>463</v>
      </c>
      <c r="I20" s="379">
        <v>0</v>
      </c>
      <c r="J20" s="380">
        <f>'[6]COM COMFR'!J20</f>
        <v>0.10788</v>
      </c>
      <c r="K20" s="383"/>
    </row>
    <row r="21" spans="1:11">
      <c r="A21" s="376" t="str">
        <f t="shared" si="0"/>
        <v/>
      </c>
      <c r="B21" s="378" t="s">
        <v>767</v>
      </c>
      <c r="C21" s="380" t="s">
        <v>463</v>
      </c>
      <c r="D21" s="380" t="str">
        <f>'[6]COM COMFR'!D21</f>
        <v>CEH</v>
      </c>
      <c r="E21" s="380" t="s">
        <v>463</v>
      </c>
      <c r="F21" s="380" t="s">
        <v>463</v>
      </c>
      <c r="G21" s="380" t="str">
        <f>'[6]COM COMFR'!G21</f>
        <v>s2d1b1</v>
      </c>
      <c r="H21" s="380" t="s">
        <v>463</v>
      </c>
      <c r="I21" s="379">
        <v>0</v>
      </c>
      <c r="J21" s="380">
        <f>'[6]COM COMFR'!J21</f>
        <v>0.1123</v>
      </c>
      <c r="K21" s="383"/>
    </row>
    <row r="22" spans="1:11">
      <c r="A22" s="376" t="str">
        <f t="shared" si="0"/>
        <v/>
      </c>
      <c r="B22" s="378" t="s">
        <v>767</v>
      </c>
      <c r="C22" s="380" t="s">
        <v>463</v>
      </c>
      <c r="D22" s="380" t="str">
        <f>'[6]COM COMFR'!D22</f>
        <v>CEH</v>
      </c>
      <c r="E22" s="380" t="s">
        <v>463</v>
      </c>
      <c r="F22" s="380" t="s">
        <v>463</v>
      </c>
      <c r="G22" s="380" t="str">
        <f>'[6]COM COMFR'!G22</f>
        <v>s2d1b2</v>
      </c>
      <c r="H22" s="380" t="s">
        <v>463</v>
      </c>
      <c r="I22" s="379">
        <v>0</v>
      </c>
      <c r="J22" s="380">
        <f>'[6]COM COMFR'!J22</f>
        <v>5.8810000000000001E-2</v>
      </c>
      <c r="K22" s="383"/>
    </row>
    <row r="23" spans="1:11">
      <c r="A23" s="376" t="str">
        <f t="shared" si="0"/>
        <v/>
      </c>
      <c r="B23" s="378" t="s">
        <v>767</v>
      </c>
      <c r="C23" s="380" t="s">
        <v>463</v>
      </c>
      <c r="D23" s="380" t="str">
        <f>'[6]COM COMFR'!D23</f>
        <v>CEH</v>
      </c>
      <c r="E23" s="380" t="s">
        <v>463</v>
      </c>
      <c r="F23" s="380" t="s">
        <v>463</v>
      </c>
      <c r="G23" s="380" t="str">
        <f>'[6]COM COMFR'!G23</f>
        <v>s2d1b3</v>
      </c>
      <c r="H23" s="380" t="s">
        <v>463</v>
      </c>
      <c r="I23" s="379">
        <v>0</v>
      </c>
      <c r="J23" s="380">
        <f>'[6]COM COMFR'!J23</f>
        <v>0.17727999999999999</v>
      </c>
      <c r="K23" s="383"/>
    </row>
    <row r="24" spans="1:11">
      <c r="A24" s="376" t="str">
        <f t="shared" si="0"/>
        <v/>
      </c>
      <c r="B24" s="378" t="s">
        <v>767</v>
      </c>
      <c r="C24" s="380" t="s">
        <v>463</v>
      </c>
      <c r="D24" s="380" t="str">
        <f>'[6]COM COMFR'!D24</f>
        <v>CEH</v>
      </c>
      <c r="E24" s="380" t="s">
        <v>463</v>
      </c>
      <c r="F24" s="380" t="s">
        <v>463</v>
      </c>
      <c r="G24" s="380" t="str">
        <f>'[6]COM COMFR'!G24</f>
        <v>s2d1b4</v>
      </c>
      <c r="H24" s="380" t="s">
        <v>463</v>
      </c>
      <c r="I24" s="379">
        <v>0</v>
      </c>
      <c r="J24" s="380">
        <f>'[6]COM COMFR'!J24</f>
        <v>7.4999999999999997E-2</v>
      </c>
      <c r="K24" s="383"/>
    </row>
    <row r="25" spans="1:11">
      <c r="A25" s="376" t="str">
        <f t="shared" si="0"/>
        <v/>
      </c>
      <c r="B25" s="378" t="s">
        <v>767</v>
      </c>
      <c r="C25" s="380" t="s">
        <v>463</v>
      </c>
      <c r="D25" s="380" t="str">
        <f>'[6]COM COMFR'!D25</f>
        <v>CEH</v>
      </c>
      <c r="E25" s="380" t="s">
        <v>463</v>
      </c>
      <c r="F25" s="380" t="s">
        <v>463</v>
      </c>
      <c r="G25" s="380" t="str">
        <f>'[6]COM COMFR'!G25</f>
        <v>s2d1b5</v>
      </c>
      <c r="H25" s="380" t="s">
        <v>463</v>
      </c>
      <c r="I25" s="379">
        <v>0</v>
      </c>
      <c r="J25" s="380">
        <f>'[6]COM COMFR'!J25</f>
        <v>3.2550000000000003E-2</v>
      </c>
      <c r="K25" s="383"/>
    </row>
    <row r="26" spans="1:11">
      <c r="A26" s="376" t="str">
        <f t="shared" si="0"/>
        <v/>
      </c>
      <c r="B26" s="378" t="s">
        <v>767</v>
      </c>
      <c r="C26" s="380" t="s">
        <v>463</v>
      </c>
      <c r="D26" s="380" t="str">
        <f>'[6]COM COMFR'!D26</f>
        <v>CEK</v>
      </c>
      <c r="E26" s="380" t="s">
        <v>463</v>
      </c>
      <c r="F26" s="380" t="s">
        <v>463</v>
      </c>
      <c r="G26" s="380" t="str">
        <f>'[6]COM COMFR'!G26</f>
        <v>s1d1b1</v>
      </c>
      <c r="H26" s="380" t="s">
        <v>463</v>
      </c>
      <c r="I26" s="379">
        <v>0</v>
      </c>
      <c r="J26" s="380">
        <f>'[6]COM COMFR'!J26</f>
        <v>0.17326</v>
      </c>
      <c r="K26" s="383"/>
    </row>
    <row r="27" spans="1:11">
      <c r="A27" s="376" t="str">
        <f t="shared" si="0"/>
        <v/>
      </c>
      <c r="B27" s="378" t="s">
        <v>767</v>
      </c>
      <c r="C27" s="380" t="s">
        <v>463</v>
      </c>
      <c r="D27" s="380" t="str">
        <f>'[6]COM COMFR'!D27</f>
        <v>CEK</v>
      </c>
      <c r="E27" s="380" t="s">
        <v>463</v>
      </c>
      <c r="F27" s="380" t="s">
        <v>463</v>
      </c>
      <c r="G27" s="380" t="str">
        <f>'[6]COM COMFR'!G27</f>
        <v>s1d1b2</v>
      </c>
      <c r="H27" s="380" t="s">
        <v>463</v>
      </c>
      <c r="I27" s="379">
        <v>0</v>
      </c>
      <c r="J27" s="380">
        <f>'[6]COM COMFR'!J27</f>
        <v>0.39327000000000001</v>
      </c>
      <c r="K27" s="383"/>
    </row>
    <row r="28" spans="1:11">
      <c r="A28" s="376" t="str">
        <f t="shared" si="0"/>
        <v/>
      </c>
      <c r="B28" s="378" t="s">
        <v>767</v>
      </c>
      <c r="C28" s="380" t="s">
        <v>463</v>
      </c>
      <c r="D28" s="380" t="str">
        <f>'[6]COM COMFR'!D28</f>
        <v>CEK</v>
      </c>
      <c r="E28" s="380" t="s">
        <v>463</v>
      </c>
      <c r="F28" s="380" t="s">
        <v>463</v>
      </c>
      <c r="G28" s="380" t="str">
        <f>'[6]COM COMFR'!G28</f>
        <v>s1d1b3</v>
      </c>
      <c r="H28" s="380" t="s">
        <v>463</v>
      </c>
      <c r="I28" s="379">
        <v>0</v>
      </c>
      <c r="J28" s="380">
        <f>'[6]COM COMFR'!J28</f>
        <v>0.12751999999999999</v>
      </c>
      <c r="K28" s="383"/>
    </row>
    <row r="29" spans="1:11">
      <c r="A29" s="376" t="str">
        <f t="shared" si="0"/>
        <v/>
      </c>
      <c r="B29" s="378" t="s">
        <v>767</v>
      </c>
      <c r="C29" s="380" t="s">
        <v>463</v>
      </c>
      <c r="D29" s="380" t="str">
        <f>'[6]COM COMFR'!D29</f>
        <v>CEK</v>
      </c>
      <c r="E29" s="380" t="s">
        <v>463</v>
      </c>
      <c r="F29" s="380" t="s">
        <v>463</v>
      </c>
      <c r="G29" s="380" t="str">
        <f>'[6]COM COMFR'!G29</f>
        <v>s2d1b1</v>
      </c>
      <c r="H29" s="380" t="s">
        <v>463</v>
      </c>
      <c r="I29" s="379">
        <v>0</v>
      </c>
      <c r="J29" s="380">
        <f>'[6]COM COMFR'!J29</f>
        <v>7.0050000000000001E-2</v>
      </c>
      <c r="K29" s="383"/>
    </row>
    <row r="30" spans="1:11">
      <c r="A30" s="376" t="str">
        <f t="shared" si="0"/>
        <v/>
      </c>
      <c r="B30" s="378" t="s">
        <v>767</v>
      </c>
      <c r="C30" s="380" t="s">
        <v>463</v>
      </c>
      <c r="D30" s="380" t="str">
        <f>'[6]COM COMFR'!D30</f>
        <v>CEK</v>
      </c>
      <c r="E30" s="380" t="s">
        <v>463</v>
      </c>
      <c r="F30" s="380" t="s">
        <v>463</v>
      </c>
      <c r="G30" s="380" t="str">
        <f>'[6]COM COMFR'!G30</f>
        <v>s2d1b2</v>
      </c>
      <c r="H30" s="380" t="s">
        <v>463</v>
      </c>
      <c r="I30" s="379">
        <v>0</v>
      </c>
      <c r="J30" s="380">
        <f>'[6]COM COMFR'!J30</f>
        <v>4.6249999999999999E-2</v>
      </c>
      <c r="K30" s="383"/>
    </row>
    <row r="31" spans="1:11">
      <c r="A31" s="376" t="str">
        <f t="shared" si="0"/>
        <v/>
      </c>
      <c r="B31" s="378" t="s">
        <v>767</v>
      </c>
      <c r="C31" s="380" t="s">
        <v>463</v>
      </c>
      <c r="D31" s="380" t="str">
        <f>'[6]COM COMFR'!D31</f>
        <v>CEK</v>
      </c>
      <c r="E31" s="380" t="s">
        <v>463</v>
      </c>
      <c r="F31" s="380" t="s">
        <v>463</v>
      </c>
      <c r="G31" s="380" t="str">
        <f>'[6]COM COMFR'!G31</f>
        <v>s2d1b3</v>
      </c>
      <c r="H31" s="380" t="s">
        <v>463</v>
      </c>
      <c r="I31" s="379">
        <v>0</v>
      </c>
      <c r="J31" s="380">
        <f>'[6]COM COMFR'!J31</f>
        <v>0.12447999999999999</v>
      </c>
      <c r="K31" s="383"/>
    </row>
    <row r="32" spans="1:11">
      <c r="A32" s="376" t="str">
        <f t="shared" si="0"/>
        <v/>
      </c>
      <c r="B32" s="378" t="s">
        <v>767</v>
      </c>
      <c r="C32" s="380" t="s">
        <v>463</v>
      </c>
      <c r="D32" s="380" t="str">
        <f>'[6]COM COMFR'!D32</f>
        <v>CEK</v>
      </c>
      <c r="E32" s="380" t="s">
        <v>463</v>
      </c>
      <c r="F32" s="380" t="s">
        <v>463</v>
      </c>
      <c r="G32" s="380" t="str">
        <f>'[6]COM COMFR'!G32</f>
        <v>s2d1b4</v>
      </c>
      <c r="H32" s="380" t="s">
        <v>463</v>
      </c>
      <c r="I32" s="379">
        <v>0</v>
      </c>
      <c r="J32" s="380">
        <f>'[6]COM COMFR'!J32</f>
        <v>4.7879999999999999E-2</v>
      </c>
      <c r="K32" s="383"/>
    </row>
    <row r="33" spans="1:13">
      <c r="A33" s="376" t="str">
        <f t="shared" si="0"/>
        <v/>
      </c>
      <c r="B33" s="378" t="s">
        <v>767</v>
      </c>
      <c r="C33" s="380" t="s">
        <v>463</v>
      </c>
      <c r="D33" s="380" t="str">
        <f>'[6]COM COMFR'!D33</f>
        <v>CEK</v>
      </c>
      <c r="E33" s="380" t="s">
        <v>463</v>
      </c>
      <c r="F33" s="380" t="s">
        <v>463</v>
      </c>
      <c r="G33" s="380" t="str">
        <f>'[6]COM COMFR'!G33</f>
        <v>s2d1b5</v>
      </c>
      <c r="H33" s="380" t="s">
        <v>463</v>
      </c>
      <c r="I33" s="379">
        <v>0</v>
      </c>
      <c r="J33" s="380">
        <f>'[6]COM COMFR'!J33</f>
        <v>1.729E-2</v>
      </c>
      <c r="K33" s="383"/>
    </row>
    <row r="34" spans="1:13">
      <c r="A34" s="376" t="str">
        <f t="shared" si="0"/>
        <v/>
      </c>
      <c r="B34" s="378" t="s">
        <v>767</v>
      </c>
      <c r="C34" s="380" t="s">
        <v>463</v>
      </c>
      <c r="D34" s="380" t="str">
        <f>'[6]COM COMFR'!D34</f>
        <v>CEL</v>
      </c>
      <c r="E34" s="380" t="s">
        <v>463</v>
      </c>
      <c r="F34" s="380" t="s">
        <v>463</v>
      </c>
      <c r="G34" s="380" t="str">
        <f>'[6]COM COMFR'!G34</f>
        <v>s1d1b1</v>
      </c>
      <c r="H34" s="380" t="s">
        <v>463</v>
      </c>
      <c r="I34" s="379">
        <v>0</v>
      </c>
      <c r="J34" s="380">
        <f>'[6]COM COMFR'!J34</f>
        <v>0.18623000000000001</v>
      </c>
      <c r="K34" s="383"/>
    </row>
    <row r="35" spans="1:13">
      <c r="A35" s="376" t="str">
        <f t="shared" si="0"/>
        <v/>
      </c>
      <c r="B35" s="378" t="s">
        <v>767</v>
      </c>
      <c r="C35" s="380" t="s">
        <v>463</v>
      </c>
      <c r="D35" s="380" t="str">
        <f>'[6]COM COMFR'!D35</f>
        <v>CEL</v>
      </c>
      <c r="E35" s="380" t="s">
        <v>463</v>
      </c>
      <c r="F35" s="380" t="s">
        <v>463</v>
      </c>
      <c r="G35" s="380" t="str">
        <f>'[6]COM COMFR'!G35</f>
        <v>s1d1b2</v>
      </c>
      <c r="H35" s="380" t="s">
        <v>463</v>
      </c>
      <c r="I35" s="379">
        <v>0</v>
      </c>
      <c r="J35" s="380">
        <f>'[6]COM COMFR'!J35</f>
        <v>0.36068999999999996</v>
      </c>
      <c r="K35" s="383"/>
    </row>
    <row r="36" spans="1:13">
      <c r="A36" s="376" t="str">
        <f t="shared" si="0"/>
        <v/>
      </c>
      <c r="B36" s="378" t="s">
        <v>767</v>
      </c>
      <c r="C36" s="380" t="s">
        <v>463</v>
      </c>
      <c r="D36" s="380" t="str">
        <f>'[6]COM COMFR'!D36</f>
        <v>CEL</v>
      </c>
      <c r="E36" s="380" t="s">
        <v>463</v>
      </c>
      <c r="F36" s="380" t="s">
        <v>463</v>
      </c>
      <c r="G36" s="380" t="str">
        <f>'[6]COM COMFR'!G36</f>
        <v>s1d1b3</v>
      </c>
      <c r="H36" s="380" t="s">
        <v>463</v>
      </c>
      <c r="I36" s="379">
        <v>0</v>
      </c>
      <c r="J36" s="380">
        <f>'[6]COM COMFR'!J36</f>
        <v>0.14713999999999999</v>
      </c>
      <c r="K36" s="383"/>
    </row>
    <row r="37" spans="1:13">
      <c r="A37" s="376" t="str">
        <f t="shared" si="0"/>
        <v/>
      </c>
      <c r="B37" s="378" t="s">
        <v>767</v>
      </c>
      <c r="C37" s="380" t="s">
        <v>463</v>
      </c>
      <c r="D37" s="380" t="str">
        <f>'[6]COM COMFR'!D37</f>
        <v>CEL</v>
      </c>
      <c r="E37" s="380" t="s">
        <v>463</v>
      </c>
      <c r="F37" s="380" t="s">
        <v>463</v>
      </c>
      <c r="G37" s="380" t="str">
        <f>'[6]COM COMFR'!G37</f>
        <v>s2d1b1</v>
      </c>
      <c r="H37" s="380" t="s">
        <v>463</v>
      </c>
      <c r="I37" s="379">
        <v>0</v>
      </c>
      <c r="J37" s="380">
        <f>'[6]COM COMFR'!J37</f>
        <v>7.2919999999999999E-2</v>
      </c>
    </row>
    <row r="38" spans="1:13">
      <c r="A38" s="376" t="str">
        <f t="shared" si="0"/>
        <v/>
      </c>
      <c r="B38" s="378" t="s">
        <v>767</v>
      </c>
      <c r="C38" s="380" t="s">
        <v>463</v>
      </c>
      <c r="D38" s="380" t="str">
        <f>'[6]COM COMFR'!D38</f>
        <v>CEL</v>
      </c>
      <c r="E38" s="380" t="s">
        <v>463</v>
      </c>
      <c r="F38" s="380" t="s">
        <v>463</v>
      </c>
      <c r="G38" s="380" t="str">
        <f>'[6]COM COMFR'!G38</f>
        <v>s2d1b2</v>
      </c>
      <c r="H38" s="380" t="s">
        <v>463</v>
      </c>
      <c r="I38" s="379">
        <v>0</v>
      </c>
      <c r="J38" s="380">
        <f>'[6]COM COMFR'!J38</f>
        <v>8.8510000000000005E-2</v>
      </c>
    </row>
    <row r="39" spans="1:13">
      <c r="A39" s="376" t="str">
        <f t="shared" si="0"/>
        <v/>
      </c>
      <c r="B39" s="378" t="s">
        <v>767</v>
      </c>
      <c r="C39" s="380" t="s">
        <v>463</v>
      </c>
      <c r="D39" s="380" t="str">
        <f>'[6]COM COMFR'!D39</f>
        <v>CEL</v>
      </c>
      <c r="E39" s="380" t="s">
        <v>463</v>
      </c>
      <c r="F39" s="380" t="s">
        <v>463</v>
      </c>
      <c r="G39" s="380" t="str">
        <f>'[6]COM COMFR'!G39</f>
        <v>s2d1b3</v>
      </c>
      <c r="H39" s="380" t="s">
        <v>463</v>
      </c>
      <c r="I39" s="379">
        <v>0</v>
      </c>
      <c r="J39" s="380">
        <f>'[6]COM COMFR'!J39</f>
        <v>6.6019999999999995E-2</v>
      </c>
    </row>
    <row r="40" spans="1:13">
      <c r="A40" s="376" t="str">
        <f t="shared" si="0"/>
        <v/>
      </c>
      <c r="B40" s="378" t="s">
        <v>767</v>
      </c>
      <c r="C40" s="380" t="s">
        <v>463</v>
      </c>
      <c r="D40" s="380" t="str">
        <f>'[6]COM COMFR'!D40</f>
        <v>CEL</v>
      </c>
      <c r="E40" s="380" t="s">
        <v>463</v>
      </c>
      <c r="F40" s="380" t="s">
        <v>463</v>
      </c>
      <c r="G40" s="380" t="str">
        <f>'[6]COM COMFR'!G40</f>
        <v>s2d1b4</v>
      </c>
      <c r="H40" s="380" t="s">
        <v>463</v>
      </c>
      <c r="I40" s="379">
        <v>0</v>
      </c>
      <c r="J40" s="380">
        <f>'[6]COM COMFR'!J40</f>
        <v>4.3459999999999999E-2</v>
      </c>
    </row>
    <row r="41" spans="1:13">
      <c r="A41" s="376" t="str">
        <f t="shared" si="0"/>
        <v/>
      </c>
      <c r="B41" s="378" t="s">
        <v>767</v>
      </c>
      <c r="C41" s="380" t="s">
        <v>463</v>
      </c>
      <c r="D41" s="380" t="str">
        <f>'[6]COM COMFR'!D41</f>
        <v>CEL</v>
      </c>
      <c r="E41" s="380" t="s">
        <v>463</v>
      </c>
      <c r="F41" s="380" t="s">
        <v>463</v>
      </c>
      <c r="G41" s="380" t="str">
        <f>'[6]COM COMFR'!G41</f>
        <v>s2d1b5</v>
      </c>
      <c r="H41" s="380" t="s">
        <v>463</v>
      </c>
      <c r="I41" s="379">
        <v>0</v>
      </c>
      <c r="J41" s="380">
        <f>'[6]COM COMFR'!J41</f>
        <v>3.5029999999999999E-2</v>
      </c>
    </row>
    <row r="42" spans="1:13" ht="12.75">
      <c r="A42" s="376" t="str">
        <f t="shared" si="0"/>
        <v/>
      </c>
      <c r="B42" s="378" t="s">
        <v>767</v>
      </c>
      <c r="C42" s="380" t="s">
        <v>463</v>
      </c>
      <c r="D42" s="380" t="str">
        <f>'[6]COM COMFR'!D42</f>
        <v>CER</v>
      </c>
      <c r="E42" s="380" t="s">
        <v>463</v>
      </c>
      <c r="F42" s="380" t="s">
        <v>463</v>
      </c>
      <c r="G42" s="380" t="str">
        <f>'[6]COM COMFR'!G42</f>
        <v>s1d1b1</v>
      </c>
      <c r="H42" s="380" t="s">
        <v>463</v>
      </c>
      <c r="I42" s="379">
        <v>0</v>
      </c>
      <c r="J42" s="380">
        <f>'[6]COM COMFR'!J42</f>
        <v>0.25266</v>
      </c>
      <c r="M42"/>
    </row>
    <row r="43" spans="1:13" ht="12.75">
      <c r="A43" s="376" t="str">
        <f t="shared" si="0"/>
        <v/>
      </c>
      <c r="B43" s="378" t="s">
        <v>767</v>
      </c>
      <c r="C43" s="380" t="s">
        <v>463</v>
      </c>
      <c r="D43" s="380" t="str">
        <f>'[6]COM COMFR'!D43</f>
        <v>CER</v>
      </c>
      <c r="E43" s="380" t="s">
        <v>463</v>
      </c>
      <c r="F43" s="380" t="s">
        <v>463</v>
      </c>
      <c r="G43" s="380" t="str">
        <f>'[6]COM COMFR'!G43</f>
        <v>s1d1b2</v>
      </c>
      <c r="H43" s="380" t="s">
        <v>463</v>
      </c>
      <c r="I43" s="379">
        <v>0</v>
      </c>
      <c r="J43" s="380">
        <f>'[6]COM COMFR'!J43</f>
        <v>0.30057</v>
      </c>
      <c r="M43"/>
    </row>
    <row r="44" spans="1:13" ht="12.75">
      <c r="A44" s="376" t="str">
        <f t="shared" si="0"/>
        <v/>
      </c>
      <c r="B44" s="378" t="s">
        <v>767</v>
      </c>
      <c r="C44" s="380" t="s">
        <v>463</v>
      </c>
      <c r="D44" s="380" t="str">
        <f>'[6]COM COMFR'!D44</f>
        <v>CER</v>
      </c>
      <c r="E44" s="380" t="s">
        <v>463</v>
      </c>
      <c r="F44" s="380" t="s">
        <v>463</v>
      </c>
      <c r="G44" s="380" t="str">
        <f>'[6]COM COMFR'!G44</f>
        <v>s1d1b3</v>
      </c>
      <c r="H44" s="380" t="s">
        <v>463</v>
      </c>
      <c r="I44" s="379">
        <v>0</v>
      </c>
      <c r="J44" s="380">
        <f>'[6]COM COMFR'!J44</f>
        <v>0.14082</v>
      </c>
      <c r="M44"/>
    </row>
    <row r="45" spans="1:13" ht="12.75">
      <c r="A45" s="376" t="str">
        <f t="shared" si="0"/>
        <v/>
      </c>
      <c r="B45" s="378" t="s">
        <v>767</v>
      </c>
      <c r="C45" s="380" t="s">
        <v>463</v>
      </c>
      <c r="D45" s="380" t="str">
        <f>'[6]COM COMFR'!D45</f>
        <v>CER</v>
      </c>
      <c r="E45" s="380" t="s">
        <v>463</v>
      </c>
      <c r="F45" s="380" t="s">
        <v>463</v>
      </c>
      <c r="G45" s="380" t="str">
        <f>'[6]COM COMFR'!G45</f>
        <v>s2d1b1</v>
      </c>
      <c r="H45" s="380" t="s">
        <v>463</v>
      </c>
      <c r="I45" s="379">
        <v>0</v>
      </c>
      <c r="J45" s="380">
        <f>'[6]COM COMFR'!J45</f>
        <v>0.10063</v>
      </c>
      <c r="M45"/>
    </row>
    <row r="46" spans="1:13" ht="12.75">
      <c r="A46" s="376" t="str">
        <f t="shared" si="0"/>
        <v/>
      </c>
      <c r="B46" s="378" t="s">
        <v>767</v>
      </c>
      <c r="C46" s="380" t="s">
        <v>463</v>
      </c>
      <c r="D46" s="380" t="str">
        <f>'[6]COM COMFR'!D46</f>
        <v>CER</v>
      </c>
      <c r="E46" s="380" t="s">
        <v>463</v>
      </c>
      <c r="F46" s="380" t="s">
        <v>463</v>
      </c>
      <c r="G46" s="380" t="str">
        <f>'[6]COM COMFR'!G46</f>
        <v>s2d1b2</v>
      </c>
      <c r="H46" s="380" t="s">
        <v>463</v>
      </c>
      <c r="I46" s="379">
        <v>0</v>
      </c>
      <c r="J46" s="380">
        <f>'[6]COM COMFR'!J46</f>
        <v>3.6630000000000003E-2</v>
      </c>
      <c r="M46"/>
    </row>
    <row r="47" spans="1:13" ht="12.75">
      <c r="A47" s="376" t="str">
        <f t="shared" si="0"/>
        <v/>
      </c>
      <c r="B47" s="378" t="s">
        <v>767</v>
      </c>
      <c r="C47" s="380" t="s">
        <v>463</v>
      </c>
      <c r="D47" s="380" t="str">
        <f>'[6]COM COMFR'!D47</f>
        <v>CER</v>
      </c>
      <c r="E47" s="380" t="s">
        <v>463</v>
      </c>
      <c r="F47" s="380" t="s">
        <v>463</v>
      </c>
      <c r="G47" s="380" t="str">
        <f>'[6]COM COMFR'!G47</f>
        <v>s2d1b3</v>
      </c>
      <c r="H47" s="380" t="s">
        <v>463</v>
      </c>
      <c r="I47" s="379">
        <v>0</v>
      </c>
      <c r="J47" s="380">
        <f>'[6]COM COMFR'!J47</f>
        <v>9.2810000000000004E-2</v>
      </c>
      <c r="M47"/>
    </row>
    <row r="48" spans="1:13" ht="12.75">
      <c r="A48" s="376" t="str">
        <f t="shared" si="0"/>
        <v/>
      </c>
      <c r="B48" s="378" t="s">
        <v>767</v>
      </c>
      <c r="C48" s="380" t="s">
        <v>463</v>
      </c>
      <c r="D48" s="380" t="str">
        <f>'[6]COM COMFR'!D48</f>
        <v>CER</v>
      </c>
      <c r="E48" s="380" t="s">
        <v>463</v>
      </c>
      <c r="F48" s="380" t="s">
        <v>463</v>
      </c>
      <c r="G48" s="380" t="str">
        <f>'[6]COM COMFR'!G48</f>
        <v>s2d1b4</v>
      </c>
      <c r="H48" s="380" t="s">
        <v>463</v>
      </c>
      <c r="I48" s="379">
        <v>0</v>
      </c>
      <c r="J48" s="380">
        <f>'[6]COM COMFR'!J48</f>
        <v>5.3240000000000003E-2</v>
      </c>
      <c r="M48"/>
    </row>
    <row r="49" spans="1:13" ht="12.75">
      <c r="A49" s="376" t="str">
        <f t="shared" si="0"/>
        <v/>
      </c>
      <c r="B49" s="378" t="s">
        <v>767</v>
      </c>
      <c r="C49" s="380" t="s">
        <v>463</v>
      </c>
      <c r="D49" s="380" t="str">
        <f>'[6]COM COMFR'!D49</f>
        <v>CER</v>
      </c>
      <c r="E49" s="380" t="s">
        <v>463</v>
      </c>
      <c r="F49" s="380" t="s">
        <v>463</v>
      </c>
      <c r="G49" s="380" t="str">
        <f>'[6]COM COMFR'!G49</f>
        <v>s2d1b5</v>
      </c>
      <c r="H49" s="380" t="s">
        <v>463</v>
      </c>
      <c r="I49" s="379">
        <v>0</v>
      </c>
      <c r="J49" s="380">
        <f>'[6]COM COMFR'!J49</f>
        <v>2.264E-2</v>
      </c>
      <c r="M49"/>
    </row>
    <row r="50" spans="1:13">
      <c r="A50" s="376" t="str">
        <f t="shared" si="0"/>
        <v/>
      </c>
      <c r="B50" s="378" t="s">
        <v>767</v>
      </c>
      <c r="C50" s="380" t="s">
        <v>463</v>
      </c>
      <c r="D50" s="380" t="str">
        <f>'[6]COM COMFR'!D50</f>
        <v>CEW</v>
      </c>
      <c r="E50" s="380" t="s">
        <v>463</v>
      </c>
      <c r="F50" s="380" t="s">
        <v>463</v>
      </c>
      <c r="G50" s="380" t="str">
        <f>'[6]COM COMFR'!G50</f>
        <v>s1d1b1</v>
      </c>
      <c r="H50" s="380" t="s">
        <v>463</v>
      </c>
      <c r="I50" s="379">
        <v>0</v>
      </c>
      <c r="J50" s="380">
        <f>'[6]COM COMFR'!J50</f>
        <v>0.26721</v>
      </c>
    </row>
    <row r="51" spans="1:13">
      <c r="A51" s="376" t="str">
        <f t="shared" si="0"/>
        <v/>
      </c>
      <c r="B51" s="378" t="s">
        <v>767</v>
      </c>
      <c r="C51" s="380" t="s">
        <v>463</v>
      </c>
      <c r="D51" s="380" t="str">
        <f>'[6]COM COMFR'!D51</f>
        <v>CEW</v>
      </c>
      <c r="E51" s="380" t="s">
        <v>463</v>
      </c>
      <c r="F51" s="380" t="s">
        <v>463</v>
      </c>
      <c r="G51" s="380" t="str">
        <f>'[6]COM COMFR'!G51</f>
        <v>s1d1b2</v>
      </c>
      <c r="H51" s="380" t="s">
        <v>463</v>
      </c>
      <c r="I51" s="379">
        <v>0</v>
      </c>
      <c r="J51" s="380">
        <f>'[6]COM COMFR'!J51</f>
        <v>0.31810999999999978</v>
      </c>
    </row>
    <row r="52" spans="1:13">
      <c r="A52" s="376" t="str">
        <f t="shared" si="0"/>
        <v/>
      </c>
      <c r="B52" s="378" t="s">
        <v>767</v>
      </c>
      <c r="C52" s="380" t="s">
        <v>463</v>
      </c>
      <c r="D52" s="380" t="str">
        <f>'[6]COM COMFR'!D52</f>
        <v>CEW</v>
      </c>
      <c r="E52" s="380" t="s">
        <v>463</v>
      </c>
      <c r="F52" s="380" t="s">
        <v>463</v>
      </c>
      <c r="G52" s="380" t="str">
        <f>'[6]COM COMFR'!G52</f>
        <v>s1d1b3</v>
      </c>
      <c r="H52" s="380" t="s">
        <v>463</v>
      </c>
      <c r="I52" s="379">
        <v>0</v>
      </c>
      <c r="J52" s="380">
        <f>'[6]COM COMFR'!J52</f>
        <v>0.10874</v>
      </c>
    </row>
    <row r="53" spans="1:13">
      <c r="A53" s="376" t="str">
        <f t="shared" si="0"/>
        <v/>
      </c>
      <c r="B53" s="378" t="s">
        <v>767</v>
      </c>
      <c r="C53" s="380" t="s">
        <v>463</v>
      </c>
      <c r="D53" s="380" t="str">
        <f>'[6]COM COMFR'!D53</f>
        <v>CEW</v>
      </c>
      <c r="E53" s="380" t="s">
        <v>463</v>
      </c>
      <c r="F53" s="380" t="s">
        <v>463</v>
      </c>
      <c r="G53" s="380" t="str">
        <f>'[6]COM COMFR'!G53</f>
        <v>s2d1b1</v>
      </c>
      <c r="H53" s="380" t="s">
        <v>463</v>
      </c>
      <c r="I53" s="379">
        <v>0</v>
      </c>
      <c r="J53" s="380">
        <f>'[6]COM COMFR'!J53</f>
        <v>0.10963000000000001</v>
      </c>
    </row>
    <row r="54" spans="1:13">
      <c r="A54" s="376" t="str">
        <f t="shared" si="0"/>
        <v/>
      </c>
      <c r="B54" s="378" t="s">
        <v>767</v>
      </c>
      <c r="C54" s="380" t="s">
        <v>463</v>
      </c>
      <c r="D54" s="380" t="str">
        <f>'[6]COM COMFR'!D54</f>
        <v>CEW</v>
      </c>
      <c r="E54" s="380" t="s">
        <v>463</v>
      </c>
      <c r="F54" s="380" t="s">
        <v>463</v>
      </c>
      <c r="G54" s="380" t="str">
        <f>'[6]COM COMFR'!G54</f>
        <v>s2d1b2</v>
      </c>
      <c r="H54" s="380" t="s">
        <v>463</v>
      </c>
      <c r="I54" s="379">
        <v>0</v>
      </c>
      <c r="J54" s="380">
        <f>'[6]COM COMFR'!J54</f>
        <v>5.0990000000000001E-2</v>
      </c>
    </row>
    <row r="55" spans="1:13">
      <c r="A55" s="376" t="str">
        <f t="shared" si="0"/>
        <v/>
      </c>
      <c r="B55" s="378" t="s">
        <v>767</v>
      </c>
      <c r="C55" s="380" t="s">
        <v>463</v>
      </c>
      <c r="D55" s="380" t="str">
        <f>'[6]COM COMFR'!D55</f>
        <v>CEW</v>
      </c>
      <c r="E55" s="380" t="s">
        <v>463</v>
      </c>
      <c r="F55" s="380" t="s">
        <v>463</v>
      </c>
      <c r="G55" s="380" t="str">
        <f>'[6]COM COMFR'!G55</f>
        <v>s2d1b3</v>
      </c>
      <c r="H55" s="380" t="s">
        <v>463</v>
      </c>
      <c r="I55" s="379">
        <v>0</v>
      </c>
      <c r="J55" s="380">
        <f>'[6]COM COMFR'!J55</f>
        <v>8.6169999999999997E-2</v>
      </c>
    </row>
    <row r="56" spans="1:13">
      <c r="A56" s="376" t="str">
        <f t="shared" si="0"/>
        <v/>
      </c>
      <c r="B56" s="378" t="s">
        <v>767</v>
      </c>
      <c r="C56" s="380" t="s">
        <v>463</v>
      </c>
      <c r="D56" s="380" t="str">
        <f>'[6]COM COMFR'!D56</f>
        <v>CEW</v>
      </c>
      <c r="E56" s="380" t="s">
        <v>463</v>
      </c>
      <c r="F56" s="380" t="s">
        <v>463</v>
      </c>
      <c r="G56" s="380" t="str">
        <f>'[6]COM COMFR'!G56</f>
        <v>s2d1b4</v>
      </c>
      <c r="H56" s="380" t="s">
        <v>463</v>
      </c>
      <c r="I56" s="379">
        <v>0</v>
      </c>
      <c r="J56" s="380">
        <f>'[6]COM COMFR'!J56</f>
        <v>3.8240000000000003E-2</v>
      </c>
    </row>
    <row r="57" spans="1:13">
      <c r="A57" s="376" t="str">
        <f t="shared" si="0"/>
        <v/>
      </c>
      <c r="B57" s="378" t="s">
        <v>767</v>
      </c>
      <c r="C57" s="380" t="s">
        <v>463</v>
      </c>
      <c r="D57" s="380" t="str">
        <f>'[6]COM COMFR'!D57</f>
        <v>CEW</v>
      </c>
      <c r="E57" s="380" t="s">
        <v>463</v>
      </c>
      <c r="F57" s="380" t="s">
        <v>463</v>
      </c>
      <c r="G57" s="380" t="str">
        <f>'[6]COM COMFR'!G57</f>
        <v>s2d1b5</v>
      </c>
      <c r="H57" s="380" t="s">
        <v>463</v>
      </c>
      <c r="I57" s="379">
        <v>0</v>
      </c>
      <c r="J57" s="380">
        <f>'[6]COM COMFR'!J57</f>
        <v>2.0910000000000002E-2</v>
      </c>
    </row>
    <row r="58" spans="1:13">
      <c r="A58" s="376" t="str">
        <f t="shared" si="0"/>
        <v/>
      </c>
      <c r="B58" s="378" t="s">
        <v>767</v>
      </c>
      <c r="C58" s="380" t="s">
        <v>463</v>
      </c>
      <c r="D58" s="380" t="str">
        <f>'[6]COM COMFR'!D58</f>
        <v>CEG</v>
      </c>
      <c r="E58" s="380" t="s">
        <v>463</v>
      </c>
      <c r="F58" s="380" t="s">
        <v>463</v>
      </c>
      <c r="G58" s="380" t="str">
        <f>'[6]COM COMFR'!G58</f>
        <v>s1d1b1</v>
      </c>
      <c r="H58" s="380" t="s">
        <v>463</v>
      </c>
      <c r="I58" s="379">
        <v>0</v>
      </c>
      <c r="J58" s="380">
        <f>'[6]COM COMFR'!J58</f>
        <v>0.44383000000000006</v>
      </c>
    </row>
    <row r="59" spans="1:13">
      <c r="A59" s="376" t="str">
        <f t="shared" si="0"/>
        <v/>
      </c>
      <c r="B59" s="378" t="s">
        <v>767</v>
      </c>
      <c r="C59" s="380" t="s">
        <v>463</v>
      </c>
      <c r="D59" s="380" t="str">
        <f>'[6]COM COMFR'!D59</f>
        <v>CEG</v>
      </c>
      <c r="E59" s="380" t="s">
        <v>463</v>
      </c>
      <c r="F59" s="380" t="s">
        <v>463</v>
      </c>
      <c r="G59" s="380" t="str">
        <f>'[6]COM COMFR'!G59</f>
        <v>s1d1b2</v>
      </c>
      <c r="H59" s="380" t="s">
        <v>463</v>
      </c>
      <c r="I59" s="379">
        <v>0</v>
      </c>
      <c r="J59" s="380">
        <f>'[6]COM COMFR'!J59</f>
        <v>0.15719</v>
      </c>
    </row>
    <row r="60" spans="1:13">
      <c r="A60" s="376" t="str">
        <f t="shared" si="0"/>
        <v/>
      </c>
      <c r="B60" s="378" t="s">
        <v>767</v>
      </c>
      <c r="C60" s="380" t="s">
        <v>463</v>
      </c>
      <c r="D60" s="380" t="str">
        <f>'[6]COM COMFR'!D60</f>
        <v>CEG</v>
      </c>
      <c r="E60" s="380" t="s">
        <v>463</v>
      </c>
      <c r="F60" s="380" t="s">
        <v>463</v>
      </c>
      <c r="G60" s="380" t="str">
        <f>'[6]COM COMFR'!G60</f>
        <v>s1d1b3</v>
      </c>
      <c r="H60" s="380" t="s">
        <v>463</v>
      </c>
      <c r="I60" s="379">
        <v>0</v>
      </c>
      <c r="J60" s="380">
        <f>'[6]COM COMFR'!J60</f>
        <v>9.3039999999999998E-2</v>
      </c>
    </row>
    <row r="61" spans="1:13">
      <c r="A61" s="376" t="str">
        <f t="shared" si="0"/>
        <v/>
      </c>
      <c r="B61" s="378" t="s">
        <v>767</v>
      </c>
      <c r="C61" s="380" t="s">
        <v>463</v>
      </c>
      <c r="D61" s="380" t="str">
        <f>'[6]COM COMFR'!D61</f>
        <v>CEG</v>
      </c>
      <c r="E61" s="380" t="s">
        <v>463</v>
      </c>
      <c r="F61" s="380" t="s">
        <v>463</v>
      </c>
      <c r="G61" s="380" t="str">
        <f>'[6]COM COMFR'!G61</f>
        <v>s2d1b1</v>
      </c>
      <c r="H61" s="380" t="s">
        <v>463</v>
      </c>
      <c r="I61" s="379">
        <v>0</v>
      </c>
      <c r="J61" s="380">
        <f>'[6]COM COMFR'!J61</f>
        <v>0.17882999999999999</v>
      </c>
    </row>
    <row r="62" spans="1:13">
      <c r="A62" s="376" t="str">
        <f t="shared" si="0"/>
        <v/>
      </c>
      <c r="B62" s="378" t="s">
        <v>767</v>
      </c>
      <c r="C62" s="380" t="s">
        <v>463</v>
      </c>
      <c r="D62" s="380" t="str">
        <f>'[6]COM COMFR'!D62</f>
        <v>CEG</v>
      </c>
      <c r="E62" s="380" t="s">
        <v>463</v>
      </c>
      <c r="F62" s="380" t="s">
        <v>463</v>
      </c>
      <c r="G62" s="380" t="str">
        <f>'[6]COM COMFR'!G62</f>
        <v>s2d1b2</v>
      </c>
      <c r="H62" s="380" t="s">
        <v>463</v>
      </c>
      <c r="I62" s="379">
        <v>0</v>
      </c>
      <c r="J62" s="380">
        <f>'[6]COM COMFR'!J62</f>
        <v>6.4829999999999999E-2</v>
      </c>
    </row>
    <row r="63" spans="1:13">
      <c r="A63" s="376" t="str">
        <f t="shared" si="0"/>
        <v/>
      </c>
      <c r="B63" s="378" t="s">
        <v>767</v>
      </c>
      <c r="C63" s="380" t="s">
        <v>463</v>
      </c>
      <c r="D63" s="380" t="str">
        <f>'[6]COM COMFR'!D63</f>
        <v>CEG</v>
      </c>
      <c r="E63" s="380" t="s">
        <v>463</v>
      </c>
      <c r="F63" s="380" t="s">
        <v>463</v>
      </c>
      <c r="G63" s="380" t="str">
        <f>'[6]COM COMFR'!G63</f>
        <v>s2d1b3</v>
      </c>
      <c r="H63" s="380" t="s">
        <v>463</v>
      </c>
      <c r="I63" s="379">
        <v>0</v>
      </c>
      <c r="J63" s="380">
        <f>'[6]COM COMFR'!J63</f>
        <v>1.4E-3</v>
      </c>
    </row>
    <row r="64" spans="1:13">
      <c r="A64" s="376" t="str">
        <f t="shared" si="0"/>
        <v/>
      </c>
      <c r="B64" s="378" t="s">
        <v>767</v>
      </c>
      <c r="C64" s="380" t="s">
        <v>463</v>
      </c>
      <c r="D64" s="380" t="str">
        <f>'[6]COM COMFR'!D64</f>
        <v>CEG</v>
      </c>
      <c r="E64" s="380" t="s">
        <v>463</v>
      </c>
      <c r="F64" s="380" t="s">
        <v>463</v>
      </c>
      <c r="G64" s="380" t="str">
        <f>'[6]COM COMFR'!G64</f>
        <v>s2d1b4</v>
      </c>
      <c r="H64" s="380" t="s">
        <v>463</v>
      </c>
      <c r="I64" s="379">
        <v>0</v>
      </c>
      <c r="J64" s="380">
        <f>'[6]COM COMFR'!J64</f>
        <v>2.2669999999999999E-2</v>
      </c>
    </row>
    <row r="65" spans="1:10">
      <c r="A65" s="376" t="str">
        <f t="shared" si="0"/>
        <v/>
      </c>
      <c r="B65" s="378" t="s">
        <v>767</v>
      </c>
      <c r="C65" s="380" t="s">
        <v>463</v>
      </c>
      <c r="D65" s="380" t="str">
        <f>'[6]COM COMFR'!D65</f>
        <v>CEG</v>
      </c>
      <c r="E65" s="380" t="s">
        <v>463</v>
      </c>
      <c r="F65" s="380" t="s">
        <v>463</v>
      </c>
      <c r="G65" s="380" t="str">
        <f>'[6]COM COMFR'!G65</f>
        <v>s2d1b5</v>
      </c>
      <c r="H65" s="380" t="s">
        <v>463</v>
      </c>
      <c r="I65" s="379">
        <v>0</v>
      </c>
      <c r="J65" s="380">
        <f>'[6]COM COMFR'!J65</f>
        <v>3.8210000000000001E-2</v>
      </c>
    </row>
    <row r="66" spans="1:10">
      <c r="A66" s="376" t="str">
        <f t="shared" si="0"/>
        <v/>
      </c>
      <c r="B66" s="378" t="s">
        <v>767</v>
      </c>
      <c r="C66" s="380" t="s">
        <v>463</v>
      </c>
      <c r="D66" s="380" t="str">
        <f>'[6]COM COMFR'!D66</f>
        <v>CET</v>
      </c>
      <c r="E66" s="380" t="s">
        <v>463</v>
      </c>
      <c r="F66" s="380" t="s">
        <v>463</v>
      </c>
      <c r="G66" s="380" t="str">
        <f>'[6]COM COMFR'!G66</f>
        <v>s1d1b1</v>
      </c>
      <c r="H66" s="380" t="s">
        <v>463</v>
      </c>
      <c r="I66" s="379">
        <v>0</v>
      </c>
      <c r="J66" s="380">
        <f>'[6]COM COMFR'!J66</f>
        <v>0.26721</v>
      </c>
    </row>
    <row r="67" spans="1:10">
      <c r="A67" s="376" t="str">
        <f t="shared" si="0"/>
        <v/>
      </c>
      <c r="B67" s="378" t="s">
        <v>767</v>
      </c>
      <c r="C67" s="380" t="s">
        <v>463</v>
      </c>
      <c r="D67" s="380" t="str">
        <f>'[6]COM COMFR'!D67</f>
        <v>CET</v>
      </c>
      <c r="E67" s="380" t="s">
        <v>463</v>
      </c>
      <c r="F67" s="380" t="s">
        <v>463</v>
      </c>
      <c r="G67" s="380" t="str">
        <f>'[6]COM COMFR'!G67</f>
        <v>s1d1b2</v>
      </c>
      <c r="H67" s="380" t="s">
        <v>463</v>
      </c>
      <c r="I67" s="379">
        <v>0</v>
      </c>
      <c r="J67" s="380">
        <f>'[6]COM COMFR'!J67</f>
        <v>0.31810999999999978</v>
      </c>
    </row>
    <row r="68" spans="1:10">
      <c r="A68" s="376" t="str">
        <f t="shared" si="0"/>
        <v/>
      </c>
      <c r="B68" s="378" t="s">
        <v>767</v>
      </c>
      <c r="C68" s="380" t="s">
        <v>463</v>
      </c>
      <c r="D68" s="380" t="str">
        <f>'[6]COM COMFR'!D68</f>
        <v>CET</v>
      </c>
      <c r="E68" s="380" t="s">
        <v>463</v>
      </c>
      <c r="F68" s="380" t="s">
        <v>463</v>
      </c>
      <c r="G68" s="380" t="str">
        <f>'[6]COM COMFR'!G68</f>
        <v>s1d1b3</v>
      </c>
      <c r="H68" s="380" t="s">
        <v>463</v>
      </c>
      <c r="I68" s="379">
        <v>0</v>
      </c>
      <c r="J68" s="380">
        <f>'[6]COM COMFR'!J68</f>
        <v>0.10874</v>
      </c>
    </row>
    <row r="69" spans="1:10">
      <c r="A69" s="376" t="str">
        <f t="shared" si="0"/>
        <v/>
      </c>
      <c r="B69" s="378" t="s">
        <v>767</v>
      </c>
      <c r="C69" s="380" t="s">
        <v>463</v>
      </c>
      <c r="D69" s="380" t="str">
        <f>'[6]COM COMFR'!D69</f>
        <v>CET</v>
      </c>
      <c r="E69" s="380" t="s">
        <v>463</v>
      </c>
      <c r="F69" s="380" t="s">
        <v>463</v>
      </c>
      <c r="G69" s="380" t="str">
        <f>'[6]COM COMFR'!G69</f>
        <v>s2d1b1</v>
      </c>
      <c r="H69" s="380" t="s">
        <v>463</v>
      </c>
      <c r="I69" s="379">
        <v>0</v>
      </c>
      <c r="J69" s="380">
        <f>'[6]COM COMFR'!J69</f>
        <v>0.10963000000000001</v>
      </c>
    </row>
    <row r="70" spans="1:10">
      <c r="A70" s="376" t="str">
        <f t="shared" si="0"/>
        <v/>
      </c>
      <c r="B70" s="378" t="s">
        <v>767</v>
      </c>
      <c r="C70" s="380" t="s">
        <v>463</v>
      </c>
      <c r="D70" s="380" t="str">
        <f>'[6]COM COMFR'!D70</f>
        <v>CET</v>
      </c>
      <c r="E70" s="380" t="s">
        <v>463</v>
      </c>
      <c r="F70" s="380" t="s">
        <v>463</v>
      </c>
      <c r="G70" s="380" t="str">
        <f>'[6]COM COMFR'!G70</f>
        <v>s2d1b2</v>
      </c>
      <c r="H70" s="380" t="s">
        <v>463</v>
      </c>
      <c r="I70" s="379">
        <v>0</v>
      </c>
      <c r="J70" s="380">
        <f>'[6]COM COMFR'!J70</f>
        <v>5.0990000000000001E-2</v>
      </c>
    </row>
    <row r="71" spans="1:10">
      <c r="A71" s="376" t="str">
        <f t="shared" si="0"/>
        <v/>
      </c>
      <c r="B71" s="378" t="s">
        <v>767</v>
      </c>
      <c r="C71" s="380" t="s">
        <v>463</v>
      </c>
      <c r="D71" s="380" t="str">
        <f>'[6]COM COMFR'!D71</f>
        <v>CET</v>
      </c>
      <c r="E71" s="380" t="s">
        <v>463</v>
      </c>
      <c r="F71" s="380" t="s">
        <v>463</v>
      </c>
      <c r="G71" s="380" t="str">
        <f>'[6]COM COMFR'!G71</f>
        <v>s2d1b3</v>
      </c>
      <c r="H71" s="380" t="s">
        <v>463</v>
      </c>
      <c r="I71" s="379">
        <v>0</v>
      </c>
      <c r="J71" s="380">
        <f>'[6]COM COMFR'!J71</f>
        <v>8.6169999999999997E-2</v>
      </c>
    </row>
    <row r="72" spans="1:10">
      <c r="A72" s="376" t="str">
        <f t="shared" si="0"/>
        <v/>
      </c>
      <c r="B72" s="378" t="s">
        <v>767</v>
      </c>
      <c r="C72" s="380" t="s">
        <v>463</v>
      </c>
      <c r="D72" s="380" t="str">
        <f>'[6]COM COMFR'!D72</f>
        <v>CET</v>
      </c>
      <c r="E72" s="380" t="s">
        <v>463</v>
      </c>
      <c r="F72" s="380" t="s">
        <v>463</v>
      </c>
      <c r="G72" s="380" t="str">
        <f>'[6]COM COMFR'!G72</f>
        <v>s2d1b4</v>
      </c>
      <c r="H72" s="380" t="s">
        <v>463</v>
      </c>
      <c r="I72" s="379">
        <v>0</v>
      </c>
      <c r="J72" s="380">
        <f>'[6]COM COMFR'!J72</f>
        <v>3.8240000000000003E-2</v>
      </c>
    </row>
    <row r="73" spans="1:10">
      <c r="A73" s="376" t="str">
        <f t="shared" si="0"/>
        <v/>
      </c>
      <c r="B73" s="378" t="s">
        <v>767</v>
      </c>
      <c r="C73" s="380" t="s">
        <v>463</v>
      </c>
      <c r="D73" s="380" t="str">
        <f>'[6]COM COMFR'!D73</f>
        <v>CET</v>
      </c>
      <c r="E73" s="380" t="s">
        <v>463</v>
      </c>
      <c r="F73" s="380" t="s">
        <v>463</v>
      </c>
      <c r="G73" s="380" t="str">
        <f>'[6]COM COMFR'!G73</f>
        <v>s2d1b5</v>
      </c>
      <c r="H73" s="380" t="s">
        <v>463</v>
      </c>
      <c r="I73" s="379">
        <v>0</v>
      </c>
      <c r="J73" s="380">
        <f>'[6]COM COMFR'!J73</f>
        <v>2.0910000000000002E-2</v>
      </c>
    </row>
    <row r="74" spans="1:10">
      <c r="A74" s="376" t="str">
        <f t="shared" si="0"/>
        <v/>
      </c>
      <c r="B74" s="378" t="s">
        <v>767</v>
      </c>
      <c r="C74" s="380" t="s">
        <v>463</v>
      </c>
      <c r="D74" s="380" t="str">
        <f>'[6]COM COMFR'!D74</f>
        <v>CEO</v>
      </c>
      <c r="E74" s="380" t="s">
        <v>463</v>
      </c>
      <c r="F74" s="380" t="s">
        <v>463</v>
      </c>
      <c r="G74" s="380" t="str">
        <f>'[6]COM COMFR'!G74</f>
        <v>s1d1b1</v>
      </c>
      <c r="H74" s="380" t="s">
        <v>463</v>
      </c>
      <c r="I74" s="379">
        <v>0</v>
      </c>
      <c r="J74" s="380">
        <f>'[6]COM COMFR'!J74</f>
        <v>0.14651</v>
      </c>
    </row>
    <row r="75" spans="1:10">
      <c r="A75" s="376" t="str">
        <f t="shared" ref="A75:A138" si="1">IF(D75&lt;&gt;"",IF(ISTEXT(D75),"","*"))</f>
        <v/>
      </c>
      <c r="B75" s="378" t="s">
        <v>767</v>
      </c>
      <c r="C75" s="380" t="s">
        <v>463</v>
      </c>
      <c r="D75" s="380" t="str">
        <f>'[6]COM COMFR'!D75</f>
        <v>CEO</v>
      </c>
      <c r="E75" s="380" t="s">
        <v>463</v>
      </c>
      <c r="F75" s="380" t="s">
        <v>463</v>
      </c>
      <c r="G75" s="380" t="str">
        <f>'[6]COM COMFR'!G75</f>
        <v>s1d1b2</v>
      </c>
      <c r="H75" s="380" t="s">
        <v>463</v>
      </c>
      <c r="I75" s="379">
        <v>0</v>
      </c>
      <c r="J75" s="380">
        <f>'[6]COM COMFR'!J75</f>
        <v>0.43703000000000009</v>
      </c>
    </row>
    <row r="76" spans="1:10">
      <c r="A76" s="376" t="str">
        <f t="shared" si="1"/>
        <v/>
      </c>
      <c r="B76" s="378" t="s">
        <v>767</v>
      </c>
      <c r="C76" s="380" t="s">
        <v>463</v>
      </c>
      <c r="D76" s="380" t="str">
        <f>'[6]COM COMFR'!D76</f>
        <v>CEO</v>
      </c>
      <c r="E76" s="380" t="s">
        <v>463</v>
      </c>
      <c r="F76" s="380" t="s">
        <v>463</v>
      </c>
      <c r="G76" s="380" t="str">
        <f>'[6]COM COMFR'!G76</f>
        <v>s1d1b3</v>
      </c>
      <c r="H76" s="380" t="s">
        <v>463</v>
      </c>
      <c r="I76" s="379">
        <v>0</v>
      </c>
      <c r="J76" s="380">
        <f>'[6]COM COMFR'!J76</f>
        <v>0.11051999999999999</v>
      </c>
    </row>
    <row r="77" spans="1:10">
      <c r="A77" s="376" t="str">
        <f t="shared" si="1"/>
        <v/>
      </c>
      <c r="B77" s="378" t="s">
        <v>767</v>
      </c>
      <c r="C77" s="380" t="s">
        <v>463</v>
      </c>
      <c r="D77" s="380" t="str">
        <f>'[6]COM COMFR'!D77</f>
        <v>CEO</v>
      </c>
      <c r="E77" s="380" t="s">
        <v>463</v>
      </c>
      <c r="F77" s="380" t="s">
        <v>463</v>
      </c>
      <c r="G77" s="380" t="str">
        <f>'[6]COM COMFR'!G77</f>
        <v>s2d1b1</v>
      </c>
      <c r="H77" s="380" t="s">
        <v>463</v>
      </c>
      <c r="I77" s="379">
        <v>0</v>
      </c>
      <c r="J77" s="380">
        <f>'[6]COM COMFR'!J77</f>
        <v>6.2839999999999993E-2</v>
      </c>
    </row>
    <row r="78" spans="1:10">
      <c r="A78" s="376" t="str">
        <f t="shared" si="1"/>
        <v/>
      </c>
      <c r="B78" s="378" t="s">
        <v>767</v>
      </c>
      <c r="C78" s="380" t="s">
        <v>463</v>
      </c>
      <c r="D78" s="380" t="str">
        <f>'[6]COM COMFR'!D78</f>
        <v>CEO</v>
      </c>
      <c r="E78" s="380" t="s">
        <v>463</v>
      </c>
      <c r="F78" s="380" t="s">
        <v>463</v>
      </c>
      <c r="G78" s="380" t="str">
        <f>'[6]COM COMFR'!G78</f>
        <v>s2d1b2</v>
      </c>
      <c r="H78" s="380" t="s">
        <v>463</v>
      </c>
      <c r="I78" s="379">
        <v>0</v>
      </c>
      <c r="J78" s="380">
        <f>'[6]COM COMFR'!J78</f>
        <v>5.6410000000000002E-2</v>
      </c>
    </row>
    <row r="79" spans="1:10">
      <c r="A79" s="376" t="str">
        <f t="shared" si="1"/>
        <v/>
      </c>
      <c r="B79" s="378" t="s">
        <v>767</v>
      </c>
      <c r="C79" s="380" t="s">
        <v>463</v>
      </c>
      <c r="D79" s="380" t="str">
        <f>'[6]COM COMFR'!D79</f>
        <v>CEO</v>
      </c>
      <c r="E79" s="380" t="s">
        <v>463</v>
      </c>
      <c r="F79" s="380" t="s">
        <v>463</v>
      </c>
      <c r="G79" s="380" t="str">
        <f>'[6]COM COMFR'!G79</f>
        <v>s2d1b3</v>
      </c>
      <c r="H79" s="380" t="s">
        <v>463</v>
      </c>
      <c r="I79" s="379">
        <v>0</v>
      </c>
      <c r="J79" s="380">
        <f>'[6]COM COMFR'!J79</f>
        <v>0.13208</v>
      </c>
    </row>
    <row r="80" spans="1:10">
      <c r="A80" s="376" t="str">
        <f t="shared" si="1"/>
        <v/>
      </c>
      <c r="B80" s="378" t="s">
        <v>767</v>
      </c>
      <c r="C80" s="380" t="s">
        <v>463</v>
      </c>
      <c r="D80" s="380" t="str">
        <f>'[6]COM COMFR'!D80</f>
        <v>CEO</v>
      </c>
      <c r="E80" s="380" t="s">
        <v>463</v>
      </c>
      <c r="F80" s="380" t="s">
        <v>463</v>
      </c>
      <c r="G80" s="380" t="str">
        <f>'[6]COM COMFR'!G80</f>
        <v>s2d1b4</v>
      </c>
      <c r="H80" s="380" t="s">
        <v>463</v>
      </c>
      <c r="I80" s="379">
        <v>0</v>
      </c>
      <c r="J80" s="380">
        <f>'[6]COM COMFR'!J80</f>
        <v>4.3810000000000002E-2</v>
      </c>
    </row>
    <row r="81" spans="1:10">
      <c r="A81" s="376" t="str">
        <f t="shared" si="1"/>
        <v/>
      </c>
      <c r="B81" s="378" t="s">
        <v>767</v>
      </c>
      <c r="C81" s="380" t="s">
        <v>463</v>
      </c>
      <c r="D81" s="380" t="str">
        <f>'[6]COM COMFR'!D81</f>
        <v>CEO</v>
      </c>
      <c r="E81" s="380" t="s">
        <v>463</v>
      </c>
      <c r="F81" s="380" t="s">
        <v>463</v>
      </c>
      <c r="G81" s="380" t="str">
        <f>'[6]COM COMFR'!G81</f>
        <v>s2d1b5</v>
      </c>
      <c r="H81" s="380" t="s">
        <v>463</v>
      </c>
      <c r="I81" s="379">
        <v>0</v>
      </c>
      <c r="J81" s="380">
        <f>'[6]COM COMFR'!J81</f>
        <v>1.0800000000000001E-2</v>
      </c>
    </row>
    <row r="82" spans="1:10">
      <c r="A82" s="376" t="str">
        <f t="shared" si="1"/>
        <v/>
      </c>
      <c r="B82" s="378" t="s">
        <v>767</v>
      </c>
      <c r="C82" s="380" t="s">
        <v>463</v>
      </c>
      <c r="D82" s="380" t="str">
        <f>"CN"&amp;RIGHT(D10,1)</f>
        <v>CNC</v>
      </c>
      <c r="E82" s="380" t="s">
        <v>463</v>
      </c>
      <c r="F82" s="380" t="s">
        <v>463</v>
      </c>
      <c r="G82" s="380" t="str">
        <f>G10</f>
        <v>s1d1b1</v>
      </c>
      <c r="H82" s="380" t="s">
        <v>463</v>
      </c>
      <c r="I82" s="379">
        <v>0</v>
      </c>
      <c r="J82" s="380">
        <f>J10</f>
        <v>0.20380000000000001</v>
      </c>
    </row>
    <row r="83" spans="1:10">
      <c r="A83" s="376" t="str">
        <f t="shared" si="1"/>
        <v/>
      </c>
      <c r="B83" s="378" t="s">
        <v>767</v>
      </c>
      <c r="C83" s="380" t="s">
        <v>463</v>
      </c>
      <c r="D83" s="380" t="str">
        <f t="shared" ref="D83:D146" si="2">"CN"&amp;RIGHT(D11,1)</f>
        <v>CNC</v>
      </c>
      <c r="E83" s="380" t="s">
        <v>463</v>
      </c>
      <c r="F83" s="380" t="s">
        <v>463</v>
      </c>
      <c r="G83" s="380" t="str">
        <f t="shared" ref="G83:G146" si="3">G11</f>
        <v>s1d1b2</v>
      </c>
      <c r="H83" s="380" t="s">
        <v>463</v>
      </c>
      <c r="I83" s="379">
        <v>0</v>
      </c>
      <c r="J83" s="380">
        <f t="shared" ref="J83:J146" si="4">J11</f>
        <v>0.39271999999999979</v>
      </c>
    </row>
    <row r="84" spans="1:10">
      <c r="A84" s="376" t="str">
        <f t="shared" si="1"/>
        <v/>
      </c>
      <c r="B84" s="378" t="s">
        <v>767</v>
      </c>
      <c r="C84" s="380" t="s">
        <v>463</v>
      </c>
      <c r="D84" s="380" t="str">
        <f t="shared" si="2"/>
        <v>CNC</v>
      </c>
      <c r="E84" s="380" t="s">
        <v>463</v>
      </c>
      <c r="F84" s="380" t="s">
        <v>463</v>
      </c>
      <c r="G84" s="380" t="str">
        <f t="shared" si="3"/>
        <v>s1d1b3</v>
      </c>
      <c r="H84" s="380" t="s">
        <v>463</v>
      </c>
      <c r="I84" s="379">
        <v>0</v>
      </c>
      <c r="J84" s="380">
        <f t="shared" si="4"/>
        <v>0.14752999999999999</v>
      </c>
    </row>
    <row r="85" spans="1:10">
      <c r="A85" s="376" t="str">
        <f t="shared" si="1"/>
        <v/>
      </c>
      <c r="B85" s="378" t="s">
        <v>767</v>
      </c>
      <c r="C85" s="380" t="s">
        <v>463</v>
      </c>
      <c r="D85" s="380" t="str">
        <f t="shared" si="2"/>
        <v>CNC</v>
      </c>
      <c r="E85" s="380" t="s">
        <v>463</v>
      </c>
      <c r="F85" s="380" t="s">
        <v>463</v>
      </c>
      <c r="G85" s="380" t="str">
        <f t="shared" si="3"/>
        <v>s2d1b1</v>
      </c>
      <c r="H85" s="380" t="s">
        <v>463</v>
      </c>
      <c r="I85" s="379">
        <v>0</v>
      </c>
      <c r="J85" s="380">
        <f t="shared" si="4"/>
        <v>6.3039999999999999E-2</v>
      </c>
    </row>
    <row r="86" spans="1:10">
      <c r="A86" s="376" t="str">
        <f t="shared" si="1"/>
        <v/>
      </c>
      <c r="B86" s="378" t="s">
        <v>767</v>
      </c>
      <c r="C86" s="380" t="s">
        <v>463</v>
      </c>
      <c r="D86" s="380" t="str">
        <f t="shared" si="2"/>
        <v>CNC</v>
      </c>
      <c r="E86" s="380" t="s">
        <v>463</v>
      </c>
      <c r="F86" s="380" t="s">
        <v>463</v>
      </c>
      <c r="G86" s="380" t="str">
        <f t="shared" si="3"/>
        <v>s2d1b2</v>
      </c>
      <c r="H86" s="380" t="s">
        <v>463</v>
      </c>
      <c r="I86" s="379">
        <v>0</v>
      </c>
      <c r="J86" s="380">
        <f t="shared" si="4"/>
        <v>3.3020000000000001E-2</v>
      </c>
    </row>
    <row r="87" spans="1:10">
      <c r="A87" s="376" t="str">
        <f t="shared" si="1"/>
        <v/>
      </c>
      <c r="B87" s="378" t="s">
        <v>767</v>
      </c>
      <c r="C87" s="380" t="s">
        <v>463</v>
      </c>
      <c r="D87" s="380" t="str">
        <f t="shared" si="2"/>
        <v>CNC</v>
      </c>
      <c r="E87" s="380" t="s">
        <v>463</v>
      </c>
      <c r="F87" s="380" t="s">
        <v>463</v>
      </c>
      <c r="G87" s="380" t="str">
        <f t="shared" si="3"/>
        <v>s2d1b3</v>
      </c>
      <c r="H87" s="380" t="s">
        <v>463</v>
      </c>
      <c r="I87" s="379">
        <v>0</v>
      </c>
      <c r="J87" s="380">
        <f t="shared" si="4"/>
        <v>9.9519999999999997E-2</v>
      </c>
    </row>
    <row r="88" spans="1:10">
      <c r="A88" s="376" t="str">
        <f t="shared" si="1"/>
        <v/>
      </c>
      <c r="B88" s="378" t="s">
        <v>767</v>
      </c>
      <c r="C88" s="380" t="s">
        <v>463</v>
      </c>
      <c r="D88" s="380" t="str">
        <f t="shared" si="2"/>
        <v>CNC</v>
      </c>
      <c r="E88" s="380" t="s">
        <v>463</v>
      </c>
      <c r="F88" s="380" t="s">
        <v>463</v>
      </c>
      <c r="G88" s="380" t="str">
        <f t="shared" si="3"/>
        <v>s2d1b4</v>
      </c>
      <c r="H88" s="380" t="s">
        <v>463</v>
      </c>
      <c r="I88" s="379">
        <v>0</v>
      </c>
      <c r="J88" s="380">
        <f t="shared" si="4"/>
        <v>4.2099999999999999E-2</v>
      </c>
    </row>
    <row r="89" spans="1:10">
      <c r="A89" s="376" t="str">
        <f t="shared" si="1"/>
        <v/>
      </c>
      <c r="B89" s="378" t="s">
        <v>767</v>
      </c>
      <c r="C89" s="380" t="s">
        <v>463</v>
      </c>
      <c r="D89" s="380" t="str">
        <f t="shared" si="2"/>
        <v>CNC</v>
      </c>
      <c r="E89" s="380" t="s">
        <v>463</v>
      </c>
      <c r="F89" s="380" t="s">
        <v>463</v>
      </c>
      <c r="G89" s="380" t="str">
        <f t="shared" si="3"/>
        <v>s2d1b5</v>
      </c>
      <c r="H89" s="380" t="s">
        <v>463</v>
      </c>
      <c r="I89" s="379">
        <v>0</v>
      </c>
      <c r="J89" s="380">
        <f t="shared" si="4"/>
        <v>1.8270000000000002E-2</v>
      </c>
    </row>
    <row r="90" spans="1:10">
      <c r="A90" s="376" t="str">
        <f t="shared" si="1"/>
        <v/>
      </c>
      <c r="B90" s="378" t="s">
        <v>767</v>
      </c>
      <c r="C90" s="380" t="s">
        <v>463</v>
      </c>
      <c r="D90" s="380" t="str">
        <f t="shared" si="2"/>
        <v>CNH</v>
      </c>
      <c r="E90" s="380" t="s">
        <v>463</v>
      </c>
      <c r="F90" s="380" t="s">
        <v>463</v>
      </c>
      <c r="G90" s="380" t="str">
        <f t="shared" si="3"/>
        <v>s1d1b1</v>
      </c>
      <c r="H90" s="380" t="s">
        <v>463</v>
      </c>
      <c r="I90" s="379">
        <v>0</v>
      </c>
      <c r="J90" s="380">
        <f t="shared" si="4"/>
        <v>0.14902000000000001</v>
      </c>
    </row>
    <row r="91" spans="1:10">
      <c r="A91" s="376" t="str">
        <f t="shared" si="1"/>
        <v/>
      </c>
      <c r="B91" s="378" t="s">
        <v>767</v>
      </c>
      <c r="C91" s="380" t="s">
        <v>463</v>
      </c>
      <c r="D91" s="380" t="str">
        <f t="shared" si="2"/>
        <v>CNH</v>
      </c>
      <c r="E91" s="380" t="s">
        <v>463</v>
      </c>
      <c r="F91" s="380" t="s">
        <v>463</v>
      </c>
      <c r="G91" s="380" t="str">
        <f t="shared" si="3"/>
        <v>s1d1b2</v>
      </c>
      <c r="H91" s="380" t="s">
        <v>463</v>
      </c>
      <c r="I91" s="379">
        <v>0</v>
      </c>
      <c r="J91" s="380">
        <f t="shared" si="4"/>
        <v>0.28716000000000014</v>
      </c>
    </row>
    <row r="92" spans="1:10">
      <c r="A92" s="376" t="str">
        <f t="shared" si="1"/>
        <v/>
      </c>
      <c r="B92" s="378" t="s">
        <v>767</v>
      </c>
      <c r="C92" s="380" t="s">
        <v>463</v>
      </c>
      <c r="D92" s="380" t="str">
        <f t="shared" si="2"/>
        <v>CNH</v>
      </c>
      <c r="E92" s="380" t="s">
        <v>463</v>
      </c>
      <c r="F92" s="380" t="s">
        <v>463</v>
      </c>
      <c r="G92" s="380" t="str">
        <f t="shared" si="3"/>
        <v>s1d1b3</v>
      </c>
      <c r="H92" s="380" t="s">
        <v>463</v>
      </c>
      <c r="I92" s="379">
        <v>0</v>
      </c>
      <c r="J92" s="380">
        <f t="shared" si="4"/>
        <v>0.10788</v>
      </c>
    </row>
    <row r="93" spans="1:10">
      <c r="A93" s="376" t="str">
        <f t="shared" si="1"/>
        <v/>
      </c>
      <c r="B93" s="378" t="s">
        <v>767</v>
      </c>
      <c r="C93" s="380" t="s">
        <v>463</v>
      </c>
      <c r="D93" s="380" t="str">
        <f t="shared" si="2"/>
        <v>CNH</v>
      </c>
      <c r="E93" s="380" t="s">
        <v>463</v>
      </c>
      <c r="F93" s="380" t="s">
        <v>463</v>
      </c>
      <c r="G93" s="380" t="str">
        <f t="shared" si="3"/>
        <v>s2d1b1</v>
      </c>
      <c r="H93" s="380" t="s">
        <v>463</v>
      </c>
      <c r="I93" s="379">
        <v>0</v>
      </c>
      <c r="J93" s="380">
        <f t="shared" si="4"/>
        <v>0.1123</v>
      </c>
    </row>
    <row r="94" spans="1:10">
      <c r="A94" s="376" t="str">
        <f t="shared" si="1"/>
        <v/>
      </c>
      <c r="B94" s="378" t="s">
        <v>767</v>
      </c>
      <c r="C94" s="380" t="s">
        <v>463</v>
      </c>
      <c r="D94" s="380" t="str">
        <f t="shared" si="2"/>
        <v>CNH</v>
      </c>
      <c r="E94" s="380" t="s">
        <v>463</v>
      </c>
      <c r="F94" s="380" t="s">
        <v>463</v>
      </c>
      <c r="G94" s="380" t="str">
        <f t="shared" si="3"/>
        <v>s2d1b2</v>
      </c>
      <c r="H94" s="380" t="s">
        <v>463</v>
      </c>
      <c r="I94" s="379">
        <v>0</v>
      </c>
      <c r="J94" s="380">
        <f t="shared" si="4"/>
        <v>5.8810000000000001E-2</v>
      </c>
    </row>
    <row r="95" spans="1:10">
      <c r="A95" s="376" t="str">
        <f t="shared" si="1"/>
        <v/>
      </c>
      <c r="B95" s="378" t="s">
        <v>767</v>
      </c>
      <c r="C95" s="380" t="s">
        <v>463</v>
      </c>
      <c r="D95" s="380" t="str">
        <f t="shared" si="2"/>
        <v>CNH</v>
      </c>
      <c r="E95" s="380" t="s">
        <v>463</v>
      </c>
      <c r="F95" s="380" t="s">
        <v>463</v>
      </c>
      <c r="G95" s="380" t="str">
        <f t="shared" si="3"/>
        <v>s2d1b3</v>
      </c>
      <c r="H95" s="380" t="s">
        <v>463</v>
      </c>
      <c r="I95" s="379">
        <v>0</v>
      </c>
      <c r="J95" s="380">
        <f t="shared" si="4"/>
        <v>0.17727999999999999</v>
      </c>
    </row>
    <row r="96" spans="1:10">
      <c r="A96" s="376" t="str">
        <f t="shared" si="1"/>
        <v/>
      </c>
      <c r="B96" s="378" t="s">
        <v>767</v>
      </c>
      <c r="C96" s="380" t="s">
        <v>463</v>
      </c>
      <c r="D96" s="380" t="str">
        <f t="shared" si="2"/>
        <v>CNH</v>
      </c>
      <c r="E96" s="380" t="s">
        <v>463</v>
      </c>
      <c r="F96" s="380" t="s">
        <v>463</v>
      </c>
      <c r="G96" s="380" t="str">
        <f t="shared" si="3"/>
        <v>s2d1b4</v>
      </c>
      <c r="H96" s="380" t="s">
        <v>463</v>
      </c>
      <c r="I96" s="379">
        <v>0</v>
      </c>
      <c r="J96" s="380">
        <f t="shared" si="4"/>
        <v>7.4999999999999997E-2</v>
      </c>
    </row>
    <row r="97" spans="1:10">
      <c r="A97" s="376" t="str">
        <f t="shared" si="1"/>
        <v/>
      </c>
      <c r="B97" s="378" t="s">
        <v>767</v>
      </c>
      <c r="C97" s="380" t="s">
        <v>463</v>
      </c>
      <c r="D97" s="380" t="str">
        <f t="shared" si="2"/>
        <v>CNH</v>
      </c>
      <c r="E97" s="380" t="s">
        <v>463</v>
      </c>
      <c r="F97" s="380" t="s">
        <v>463</v>
      </c>
      <c r="G97" s="380" t="str">
        <f t="shared" si="3"/>
        <v>s2d1b5</v>
      </c>
      <c r="H97" s="380" t="s">
        <v>463</v>
      </c>
      <c r="I97" s="379">
        <v>0</v>
      </c>
      <c r="J97" s="380">
        <f t="shared" si="4"/>
        <v>3.2550000000000003E-2</v>
      </c>
    </row>
    <row r="98" spans="1:10">
      <c r="A98" s="376" t="str">
        <f t="shared" si="1"/>
        <v/>
      </c>
      <c r="B98" s="378" t="s">
        <v>767</v>
      </c>
      <c r="C98" s="380" t="s">
        <v>463</v>
      </c>
      <c r="D98" s="380" t="str">
        <f t="shared" si="2"/>
        <v>CNK</v>
      </c>
      <c r="E98" s="380" t="s">
        <v>463</v>
      </c>
      <c r="F98" s="380" t="s">
        <v>463</v>
      </c>
      <c r="G98" s="380" t="str">
        <f t="shared" si="3"/>
        <v>s1d1b1</v>
      </c>
      <c r="H98" s="380" t="s">
        <v>463</v>
      </c>
      <c r="I98" s="379">
        <v>0</v>
      </c>
      <c r="J98" s="380">
        <f t="shared" si="4"/>
        <v>0.17326</v>
      </c>
    </row>
    <row r="99" spans="1:10">
      <c r="A99" s="376" t="str">
        <f t="shared" si="1"/>
        <v/>
      </c>
      <c r="B99" s="378" t="s">
        <v>767</v>
      </c>
      <c r="C99" s="380" t="s">
        <v>463</v>
      </c>
      <c r="D99" s="380" t="str">
        <f t="shared" si="2"/>
        <v>CNK</v>
      </c>
      <c r="E99" s="380" t="s">
        <v>463</v>
      </c>
      <c r="F99" s="380" t="s">
        <v>463</v>
      </c>
      <c r="G99" s="380" t="str">
        <f t="shared" si="3"/>
        <v>s1d1b2</v>
      </c>
      <c r="H99" s="380" t="s">
        <v>463</v>
      </c>
      <c r="I99" s="379">
        <v>0</v>
      </c>
      <c r="J99" s="380">
        <f t="shared" si="4"/>
        <v>0.39327000000000001</v>
      </c>
    </row>
    <row r="100" spans="1:10">
      <c r="A100" s="376" t="str">
        <f t="shared" si="1"/>
        <v/>
      </c>
      <c r="B100" s="378" t="s">
        <v>767</v>
      </c>
      <c r="C100" s="380" t="s">
        <v>463</v>
      </c>
      <c r="D100" s="380" t="str">
        <f t="shared" si="2"/>
        <v>CNK</v>
      </c>
      <c r="E100" s="380" t="s">
        <v>463</v>
      </c>
      <c r="F100" s="380" t="s">
        <v>463</v>
      </c>
      <c r="G100" s="380" t="str">
        <f t="shared" si="3"/>
        <v>s1d1b3</v>
      </c>
      <c r="H100" s="380" t="s">
        <v>463</v>
      </c>
      <c r="I100" s="379">
        <v>0</v>
      </c>
      <c r="J100" s="380">
        <f t="shared" si="4"/>
        <v>0.12751999999999999</v>
      </c>
    </row>
    <row r="101" spans="1:10">
      <c r="A101" s="376" t="str">
        <f t="shared" si="1"/>
        <v/>
      </c>
      <c r="B101" s="378" t="s">
        <v>767</v>
      </c>
      <c r="C101" s="380" t="s">
        <v>463</v>
      </c>
      <c r="D101" s="380" t="str">
        <f t="shared" si="2"/>
        <v>CNK</v>
      </c>
      <c r="E101" s="380" t="s">
        <v>463</v>
      </c>
      <c r="F101" s="380" t="s">
        <v>463</v>
      </c>
      <c r="G101" s="380" t="str">
        <f t="shared" si="3"/>
        <v>s2d1b1</v>
      </c>
      <c r="H101" s="380" t="s">
        <v>463</v>
      </c>
      <c r="I101" s="379">
        <v>0</v>
      </c>
      <c r="J101" s="380">
        <f t="shared" si="4"/>
        <v>7.0050000000000001E-2</v>
      </c>
    </row>
    <row r="102" spans="1:10">
      <c r="A102" s="376" t="str">
        <f t="shared" si="1"/>
        <v/>
      </c>
      <c r="B102" s="378" t="s">
        <v>767</v>
      </c>
      <c r="C102" s="380" t="s">
        <v>463</v>
      </c>
      <c r="D102" s="380" t="str">
        <f t="shared" si="2"/>
        <v>CNK</v>
      </c>
      <c r="E102" s="380" t="s">
        <v>463</v>
      </c>
      <c r="F102" s="380" t="s">
        <v>463</v>
      </c>
      <c r="G102" s="380" t="str">
        <f t="shared" si="3"/>
        <v>s2d1b2</v>
      </c>
      <c r="H102" s="380" t="s">
        <v>463</v>
      </c>
      <c r="I102" s="379">
        <v>0</v>
      </c>
      <c r="J102" s="380">
        <f t="shared" si="4"/>
        <v>4.6249999999999999E-2</v>
      </c>
    </row>
    <row r="103" spans="1:10">
      <c r="A103" s="376" t="str">
        <f t="shared" si="1"/>
        <v/>
      </c>
      <c r="B103" s="378" t="s">
        <v>767</v>
      </c>
      <c r="C103" s="380" t="s">
        <v>463</v>
      </c>
      <c r="D103" s="380" t="str">
        <f t="shared" si="2"/>
        <v>CNK</v>
      </c>
      <c r="E103" s="380" t="s">
        <v>463</v>
      </c>
      <c r="F103" s="380" t="s">
        <v>463</v>
      </c>
      <c r="G103" s="380" t="str">
        <f t="shared" si="3"/>
        <v>s2d1b3</v>
      </c>
      <c r="H103" s="380" t="s">
        <v>463</v>
      </c>
      <c r="I103" s="379">
        <v>0</v>
      </c>
      <c r="J103" s="380">
        <f t="shared" si="4"/>
        <v>0.12447999999999999</v>
      </c>
    </row>
    <row r="104" spans="1:10">
      <c r="A104" s="376" t="str">
        <f t="shared" si="1"/>
        <v/>
      </c>
      <c r="B104" s="378" t="s">
        <v>767</v>
      </c>
      <c r="C104" s="380" t="s">
        <v>463</v>
      </c>
      <c r="D104" s="380" t="str">
        <f t="shared" si="2"/>
        <v>CNK</v>
      </c>
      <c r="E104" s="380" t="s">
        <v>463</v>
      </c>
      <c r="F104" s="380" t="s">
        <v>463</v>
      </c>
      <c r="G104" s="380" t="str">
        <f t="shared" si="3"/>
        <v>s2d1b4</v>
      </c>
      <c r="H104" s="380" t="s">
        <v>463</v>
      </c>
      <c r="I104" s="379">
        <v>0</v>
      </c>
      <c r="J104" s="380">
        <f t="shared" si="4"/>
        <v>4.7879999999999999E-2</v>
      </c>
    </row>
    <row r="105" spans="1:10">
      <c r="A105" s="376" t="str">
        <f t="shared" si="1"/>
        <v/>
      </c>
      <c r="B105" s="378" t="s">
        <v>767</v>
      </c>
      <c r="C105" s="380" t="s">
        <v>463</v>
      </c>
      <c r="D105" s="380" t="str">
        <f t="shared" si="2"/>
        <v>CNK</v>
      </c>
      <c r="E105" s="380" t="s">
        <v>463</v>
      </c>
      <c r="F105" s="380" t="s">
        <v>463</v>
      </c>
      <c r="G105" s="380" t="str">
        <f t="shared" si="3"/>
        <v>s2d1b5</v>
      </c>
      <c r="H105" s="380" t="s">
        <v>463</v>
      </c>
      <c r="I105" s="379">
        <v>0</v>
      </c>
      <c r="J105" s="380">
        <f t="shared" si="4"/>
        <v>1.729E-2</v>
      </c>
    </row>
    <row r="106" spans="1:10">
      <c r="A106" s="376" t="str">
        <f t="shared" si="1"/>
        <v/>
      </c>
      <c r="B106" s="378" t="s">
        <v>767</v>
      </c>
      <c r="C106" s="380" t="s">
        <v>463</v>
      </c>
      <c r="D106" s="380" t="str">
        <f t="shared" si="2"/>
        <v>CNL</v>
      </c>
      <c r="E106" s="380" t="s">
        <v>463</v>
      </c>
      <c r="F106" s="380" t="s">
        <v>463</v>
      </c>
      <c r="G106" s="380" t="str">
        <f t="shared" si="3"/>
        <v>s1d1b1</v>
      </c>
      <c r="H106" s="380" t="s">
        <v>463</v>
      </c>
      <c r="I106" s="379">
        <v>0</v>
      </c>
      <c r="J106" s="380">
        <f t="shared" si="4"/>
        <v>0.18623000000000001</v>
      </c>
    </row>
    <row r="107" spans="1:10">
      <c r="A107" s="376" t="str">
        <f t="shared" si="1"/>
        <v/>
      </c>
      <c r="B107" s="378" t="s">
        <v>767</v>
      </c>
      <c r="C107" s="380" t="s">
        <v>463</v>
      </c>
      <c r="D107" s="380" t="str">
        <f t="shared" si="2"/>
        <v>CNL</v>
      </c>
      <c r="E107" s="380" t="s">
        <v>463</v>
      </c>
      <c r="F107" s="380" t="s">
        <v>463</v>
      </c>
      <c r="G107" s="380" t="str">
        <f t="shared" si="3"/>
        <v>s1d1b2</v>
      </c>
      <c r="H107" s="380" t="s">
        <v>463</v>
      </c>
      <c r="I107" s="379">
        <v>0</v>
      </c>
      <c r="J107" s="380">
        <f t="shared" si="4"/>
        <v>0.36068999999999996</v>
      </c>
    </row>
    <row r="108" spans="1:10">
      <c r="A108" s="376" t="str">
        <f t="shared" si="1"/>
        <v/>
      </c>
      <c r="B108" s="378" t="s">
        <v>767</v>
      </c>
      <c r="C108" s="380" t="s">
        <v>463</v>
      </c>
      <c r="D108" s="380" t="str">
        <f t="shared" si="2"/>
        <v>CNL</v>
      </c>
      <c r="E108" s="380" t="s">
        <v>463</v>
      </c>
      <c r="F108" s="380" t="s">
        <v>463</v>
      </c>
      <c r="G108" s="380" t="str">
        <f t="shared" si="3"/>
        <v>s1d1b3</v>
      </c>
      <c r="H108" s="380" t="s">
        <v>463</v>
      </c>
      <c r="I108" s="379">
        <v>0</v>
      </c>
      <c r="J108" s="380">
        <f t="shared" si="4"/>
        <v>0.14713999999999999</v>
      </c>
    </row>
    <row r="109" spans="1:10">
      <c r="A109" s="376" t="str">
        <f t="shared" si="1"/>
        <v/>
      </c>
      <c r="B109" s="378" t="s">
        <v>767</v>
      </c>
      <c r="C109" s="380" t="s">
        <v>463</v>
      </c>
      <c r="D109" s="380" t="str">
        <f t="shared" si="2"/>
        <v>CNL</v>
      </c>
      <c r="E109" s="380" t="s">
        <v>463</v>
      </c>
      <c r="F109" s="380" t="s">
        <v>463</v>
      </c>
      <c r="G109" s="380" t="str">
        <f t="shared" si="3"/>
        <v>s2d1b1</v>
      </c>
      <c r="H109" s="380" t="s">
        <v>463</v>
      </c>
      <c r="I109" s="379">
        <v>0</v>
      </c>
      <c r="J109" s="380">
        <f t="shared" si="4"/>
        <v>7.2919999999999999E-2</v>
      </c>
    </row>
    <row r="110" spans="1:10">
      <c r="A110" s="376" t="str">
        <f t="shared" si="1"/>
        <v/>
      </c>
      <c r="B110" s="378" t="s">
        <v>767</v>
      </c>
      <c r="C110" s="380" t="s">
        <v>463</v>
      </c>
      <c r="D110" s="380" t="str">
        <f t="shared" si="2"/>
        <v>CNL</v>
      </c>
      <c r="E110" s="380" t="s">
        <v>463</v>
      </c>
      <c r="F110" s="380" t="s">
        <v>463</v>
      </c>
      <c r="G110" s="380" t="str">
        <f t="shared" si="3"/>
        <v>s2d1b2</v>
      </c>
      <c r="H110" s="380" t="s">
        <v>463</v>
      </c>
      <c r="I110" s="379">
        <v>0</v>
      </c>
      <c r="J110" s="380">
        <f t="shared" si="4"/>
        <v>8.8510000000000005E-2</v>
      </c>
    </row>
    <row r="111" spans="1:10">
      <c r="A111" s="376" t="str">
        <f t="shared" si="1"/>
        <v/>
      </c>
      <c r="B111" s="378" t="s">
        <v>767</v>
      </c>
      <c r="C111" s="380" t="s">
        <v>463</v>
      </c>
      <c r="D111" s="380" t="str">
        <f t="shared" si="2"/>
        <v>CNL</v>
      </c>
      <c r="E111" s="380" t="s">
        <v>463</v>
      </c>
      <c r="F111" s="380" t="s">
        <v>463</v>
      </c>
      <c r="G111" s="380" t="str">
        <f t="shared" si="3"/>
        <v>s2d1b3</v>
      </c>
      <c r="H111" s="380" t="s">
        <v>463</v>
      </c>
      <c r="I111" s="379">
        <v>0</v>
      </c>
      <c r="J111" s="380">
        <f t="shared" si="4"/>
        <v>6.6019999999999995E-2</v>
      </c>
    </row>
    <row r="112" spans="1:10">
      <c r="A112" s="376" t="str">
        <f t="shared" si="1"/>
        <v/>
      </c>
      <c r="B112" s="378" t="s">
        <v>767</v>
      </c>
      <c r="C112" s="380" t="s">
        <v>463</v>
      </c>
      <c r="D112" s="380" t="str">
        <f t="shared" si="2"/>
        <v>CNL</v>
      </c>
      <c r="E112" s="380" t="s">
        <v>463</v>
      </c>
      <c r="F112" s="380" t="s">
        <v>463</v>
      </c>
      <c r="G112" s="380" t="str">
        <f t="shared" si="3"/>
        <v>s2d1b4</v>
      </c>
      <c r="H112" s="380" t="s">
        <v>463</v>
      </c>
      <c r="I112" s="379">
        <v>0</v>
      </c>
      <c r="J112" s="380">
        <f t="shared" si="4"/>
        <v>4.3459999999999999E-2</v>
      </c>
    </row>
    <row r="113" spans="1:10">
      <c r="A113" s="376" t="str">
        <f t="shared" si="1"/>
        <v/>
      </c>
      <c r="B113" s="378" t="s">
        <v>767</v>
      </c>
      <c r="C113" s="380" t="s">
        <v>463</v>
      </c>
      <c r="D113" s="380" t="str">
        <f t="shared" si="2"/>
        <v>CNL</v>
      </c>
      <c r="E113" s="380" t="s">
        <v>463</v>
      </c>
      <c r="F113" s="380" t="s">
        <v>463</v>
      </c>
      <c r="G113" s="380" t="str">
        <f t="shared" si="3"/>
        <v>s2d1b5</v>
      </c>
      <c r="H113" s="380" t="s">
        <v>463</v>
      </c>
      <c r="I113" s="379">
        <v>0</v>
      </c>
      <c r="J113" s="380">
        <f t="shared" si="4"/>
        <v>3.5029999999999999E-2</v>
      </c>
    </row>
    <row r="114" spans="1:10">
      <c r="A114" s="376" t="str">
        <f t="shared" si="1"/>
        <v/>
      </c>
      <c r="B114" s="378" t="s">
        <v>767</v>
      </c>
      <c r="C114" s="380" t="s">
        <v>463</v>
      </c>
      <c r="D114" s="380" t="str">
        <f t="shared" si="2"/>
        <v>CNR</v>
      </c>
      <c r="E114" s="380" t="s">
        <v>463</v>
      </c>
      <c r="F114" s="380" t="s">
        <v>463</v>
      </c>
      <c r="G114" s="380" t="str">
        <f t="shared" si="3"/>
        <v>s1d1b1</v>
      </c>
      <c r="H114" s="380" t="s">
        <v>463</v>
      </c>
      <c r="I114" s="379">
        <v>0</v>
      </c>
      <c r="J114" s="380">
        <f t="shared" si="4"/>
        <v>0.25266</v>
      </c>
    </row>
    <row r="115" spans="1:10">
      <c r="A115" s="376" t="str">
        <f t="shared" si="1"/>
        <v/>
      </c>
      <c r="B115" s="378" t="s">
        <v>767</v>
      </c>
      <c r="C115" s="380" t="s">
        <v>463</v>
      </c>
      <c r="D115" s="380" t="str">
        <f t="shared" si="2"/>
        <v>CNR</v>
      </c>
      <c r="E115" s="380" t="s">
        <v>463</v>
      </c>
      <c r="F115" s="380" t="s">
        <v>463</v>
      </c>
      <c r="G115" s="380" t="str">
        <f t="shared" si="3"/>
        <v>s1d1b2</v>
      </c>
      <c r="H115" s="380" t="s">
        <v>463</v>
      </c>
      <c r="I115" s="379">
        <v>0</v>
      </c>
      <c r="J115" s="380">
        <f t="shared" si="4"/>
        <v>0.30057</v>
      </c>
    </row>
    <row r="116" spans="1:10">
      <c r="A116" s="376" t="str">
        <f t="shared" si="1"/>
        <v/>
      </c>
      <c r="B116" s="378" t="s">
        <v>767</v>
      </c>
      <c r="C116" s="380" t="s">
        <v>463</v>
      </c>
      <c r="D116" s="380" t="str">
        <f t="shared" si="2"/>
        <v>CNR</v>
      </c>
      <c r="E116" s="380" t="s">
        <v>463</v>
      </c>
      <c r="F116" s="380" t="s">
        <v>463</v>
      </c>
      <c r="G116" s="380" t="str">
        <f t="shared" si="3"/>
        <v>s1d1b3</v>
      </c>
      <c r="H116" s="380" t="s">
        <v>463</v>
      </c>
      <c r="I116" s="379">
        <v>0</v>
      </c>
      <c r="J116" s="380">
        <f t="shared" si="4"/>
        <v>0.14082</v>
      </c>
    </row>
    <row r="117" spans="1:10">
      <c r="A117" s="376" t="str">
        <f t="shared" si="1"/>
        <v/>
      </c>
      <c r="B117" s="378" t="s">
        <v>767</v>
      </c>
      <c r="C117" s="380" t="s">
        <v>463</v>
      </c>
      <c r="D117" s="380" t="str">
        <f t="shared" si="2"/>
        <v>CNR</v>
      </c>
      <c r="E117" s="380" t="s">
        <v>463</v>
      </c>
      <c r="F117" s="380" t="s">
        <v>463</v>
      </c>
      <c r="G117" s="380" t="str">
        <f t="shared" si="3"/>
        <v>s2d1b1</v>
      </c>
      <c r="H117" s="380" t="s">
        <v>463</v>
      </c>
      <c r="I117" s="379">
        <v>0</v>
      </c>
      <c r="J117" s="380">
        <f t="shared" si="4"/>
        <v>0.10063</v>
      </c>
    </row>
    <row r="118" spans="1:10">
      <c r="A118" s="376" t="str">
        <f t="shared" si="1"/>
        <v/>
      </c>
      <c r="B118" s="378" t="s">
        <v>767</v>
      </c>
      <c r="C118" s="380" t="s">
        <v>463</v>
      </c>
      <c r="D118" s="380" t="str">
        <f t="shared" si="2"/>
        <v>CNR</v>
      </c>
      <c r="E118" s="380" t="s">
        <v>463</v>
      </c>
      <c r="F118" s="380" t="s">
        <v>463</v>
      </c>
      <c r="G118" s="380" t="str">
        <f t="shared" si="3"/>
        <v>s2d1b2</v>
      </c>
      <c r="H118" s="380" t="s">
        <v>463</v>
      </c>
      <c r="I118" s="379">
        <v>0</v>
      </c>
      <c r="J118" s="380">
        <f t="shared" si="4"/>
        <v>3.6630000000000003E-2</v>
      </c>
    </row>
    <row r="119" spans="1:10">
      <c r="A119" s="376" t="str">
        <f t="shared" si="1"/>
        <v/>
      </c>
      <c r="B119" s="378" t="s">
        <v>767</v>
      </c>
      <c r="C119" s="380" t="s">
        <v>463</v>
      </c>
      <c r="D119" s="380" t="str">
        <f t="shared" si="2"/>
        <v>CNR</v>
      </c>
      <c r="E119" s="380" t="s">
        <v>463</v>
      </c>
      <c r="F119" s="380" t="s">
        <v>463</v>
      </c>
      <c r="G119" s="380" t="str">
        <f t="shared" si="3"/>
        <v>s2d1b3</v>
      </c>
      <c r="H119" s="380" t="s">
        <v>463</v>
      </c>
      <c r="I119" s="379">
        <v>0</v>
      </c>
      <c r="J119" s="380">
        <f t="shared" si="4"/>
        <v>9.2810000000000004E-2</v>
      </c>
    </row>
    <row r="120" spans="1:10">
      <c r="A120" s="376" t="str">
        <f t="shared" si="1"/>
        <v/>
      </c>
      <c r="B120" s="378" t="s">
        <v>767</v>
      </c>
      <c r="C120" s="380" t="s">
        <v>463</v>
      </c>
      <c r="D120" s="380" t="str">
        <f t="shared" si="2"/>
        <v>CNR</v>
      </c>
      <c r="E120" s="380" t="s">
        <v>463</v>
      </c>
      <c r="F120" s="380" t="s">
        <v>463</v>
      </c>
      <c r="G120" s="380" t="str">
        <f t="shared" si="3"/>
        <v>s2d1b4</v>
      </c>
      <c r="H120" s="380" t="s">
        <v>463</v>
      </c>
      <c r="I120" s="379">
        <v>0</v>
      </c>
      <c r="J120" s="380">
        <f t="shared" si="4"/>
        <v>5.3240000000000003E-2</v>
      </c>
    </row>
    <row r="121" spans="1:10">
      <c r="A121" s="376" t="str">
        <f t="shared" si="1"/>
        <v/>
      </c>
      <c r="B121" s="378" t="s">
        <v>767</v>
      </c>
      <c r="C121" s="380" t="s">
        <v>463</v>
      </c>
      <c r="D121" s="380" t="str">
        <f t="shared" si="2"/>
        <v>CNR</v>
      </c>
      <c r="E121" s="380" t="s">
        <v>463</v>
      </c>
      <c r="F121" s="380" t="s">
        <v>463</v>
      </c>
      <c r="G121" s="380" t="str">
        <f t="shared" si="3"/>
        <v>s2d1b5</v>
      </c>
      <c r="H121" s="380" t="s">
        <v>463</v>
      </c>
      <c r="I121" s="379">
        <v>0</v>
      </c>
      <c r="J121" s="380">
        <f t="shared" si="4"/>
        <v>2.264E-2</v>
      </c>
    </row>
    <row r="122" spans="1:10">
      <c r="A122" s="376" t="str">
        <f t="shared" si="1"/>
        <v/>
      </c>
      <c r="B122" s="378" t="s">
        <v>767</v>
      </c>
      <c r="C122" s="380" t="s">
        <v>463</v>
      </c>
      <c r="D122" s="380" t="str">
        <f t="shared" si="2"/>
        <v>CNW</v>
      </c>
      <c r="E122" s="380" t="s">
        <v>463</v>
      </c>
      <c r="F122" s="380" t="s">
        <v>463</v>
      </c>
      <c r="G122" s="380" t="str">
        <f t="shared" si="3"/>
        <v>s1d1b1</v>
      </c>
      <c r="H122" s="380" t="s">
        <v>463</v>
      </c>
      <c r="I122" s="379">
        <v>0</v>
      </c>
      <c r="J122" s="380">
        <f t="shared" si="4"/>
        <v>0.26721</v>
      </c>
    </row>
    <row r="123" spans="1:10">
      <c r="A123" s="376" t="str">
        <f t="shared" si="1"/>
        <v/>
      </c>
      <c r="B123" s="378" t="s">
        <v>767</v>
      </c>
      <c r="C123" s="380" t="s">
        <v>463</v>
      </c>
      <c r="D123" s="380" t="str">
        <f t="shared" si="2"/>
        <v>CNW</v>
      </c>
      <c r="E123" s="380" t="s">
        <v>463</v>
      </c>
      <c r="F123" s="380" t="s">
        <v>463</v>
      </c>
      <c r="G123" s="380" t="str">
        <f t="shared" si="3"/>
        <v>s1d1b2</v>
      </c>
      <c r="H123" s="380" t="s">
        <v>463</v>
      </c>
      <c r="I123" s="379">
        <v>0</v>
      </c>
      <c r="J123" s="380">
        <f t="shared" si="4"/>
        <v>0.31810999999999978</v>
      </c>
    </row>
    <row r="124" spans="1:10">
      <c r="A124" s="376" t="str">
        <f t="shared" si="1"/>
        <v/>
      </c>
      <c r="B124" s="378" t="s">
        <v>767</v>
      </c>
      <c r="C124" s="380" t="s">
        <v>463</v>
      </c>
      <c r="D124" s="380" t="str">
        <f t="shared" si="2"/>
        <v>CNW</v>
      </c>
      <c r="E124" s="380" t="s">
        <v>463</v>
      </c>
      <c r="F124" s="380" t="s">
        <v>463</v>
      </c>
      <c r="G124" s="380" t="str">
        <f t="shared" si="3"/>
        <v>s1d1b3</v>
      </c>
      <c r="H124" s="380" t="s">
        <v>463</v>
      </c>
      <c r="I124" s="379">
        <v>0</v>
      </c>
      <c r="J124" s="380">
        <f t="shared" si="4"/>
        <v>0.10874</v>
      </c>
    </row>
    <row r="125" spans="1:10">
      <c r="A125" s="376" t="str">
        <f t="shared" si="1"/>
        <v/>
      </c>
      <c r="B125" s="378" t="s">
        <v>767</v>
      </c>
      <c r="C125" s="380" t="s">
        <v>463</v>
      </c>
      <c r="D125" s="380" t="str">
        <f t="shared" si="2"/>
        <v>CNW</v>
      </c>
      <c r="E125" s="380" t="s">
        <v>463</v>
      </c>
      <c r="F125" s="380" t="s">
        <v>463</v>
      </c>
      <c r="G125" s="380" t="str">
        <f t="shared" si="3"/>
        <v>s2d1b1</v>
      </c>
      <c r="H125" s="380" t="s">
        <v>463</v>
      </c>
      <c r="I125" s="379">
        <v>0</v>
      </c>
      <c r="J125" s="380">
        <f t="shared" si="4"/>
        <v>0.10963000000000001</v>
      </c>
    </row>
    <row r="126" spans="1:10">
      <c r="A126" s="376" t="str">
        <f t="shared" si="1"/>
        <v/>
      </c>
      <c r="B126" s="378" t="s">
        <v>767</v>
      </c>
      <c r="C126" s="380" t="s">
        <v>463</v>
      </c>
      <c r="D126" s="380" t="str">
        <f t="shared" si="2"/>
        <v>CNW</v>
      </c>
      <c r="E126" s="380" t="s">
        <v>463</v>
      </c>
      <c r="F126" s="380" t="s">
        <v>463</v>
      </c>
      <c r="G126" s="380" t="str">
        <f t="shared" si="3"/>
        <v>s2d1b2</v>
      </c>
      <c r="H126" s="380" t="s">
        <v>463</v>
      </c>
      <c r="I126" s="379">
        <v>0</v>
      </c>
      <c r="J126" s="380">
        <f t="shared" si="4"/>
        <v>5.0990000000000001E-2</v>
      </c>
    </row>
    <row r="127" spans="1:10">
      <c r="A127" s="376" t="str">
        <f t="shared" si="1"/>
        <v/>
      </c>
      <c r="B127" s="378" t="s">
        <v>767</v>
      </c>
      <c r="C127" s="380" t="s">
        <v>463</v>
      </c>
      <c r="D127" s="380" t="str">
        <f t="shared" si="2"/>
        <v>CNW</v>
      </c>
      <c r="E127" s="380" t="s">
        <v>463</v>
      </c>
      <c r="F127" s="380" t="s">
        <v>463</v>
      </c>
      <c r="G127" s="380" t="str">
        <f t="shared" si="3"/>
        <v>s2d1b3</v>
      </c>
      <c r="H127" s="380" t="s">
        <v>463</v>
      </c>
      <c r="I127" s="379">
        <v>0</v>
      </c>
      <c r="J127" s="380">
        <f t="shared" si="4"/>
        <v>8.6169999999999997E-2</v>
      </c>
    </row>
    <row r="128" spans="1:10">
      <c r="A128" s="376" t="str">
        <f t="shared" si="1"/>
        <v/>
      </c>
      <c r="B128" s="378" t="s">
        <v>767</v>
      </c>
      <c r="C128" s="380" t="s">
        <v>463</v>
      </c>
      <c r="D128" s="380" t="str">
        <f t="shared" si="2"/>
        <v>CNW</v>
      </c>
      <c r="E128" s="380" t="s">
        <v>463</v>
      </c>
      <c r="F128" s="380" t="s">
        <v>463</v>
      </c>
      <c r="G128" s="380" t="str">
        <f t="shared" si="3"/>
        <v>s2d1b4</v>
      </c>
      <c r="H128" s="380" t="s">
        <v>463</v>
      </c>
      <c r="I128" s="379">
        <v>0</v>
      </c>
      <c r="J128" s="380">
        <f t="shared" si="4"/>
        <v>3.8240000000000003E-2</v>
      </c>
    </row>
    <row r="129" spans="1:10">
      <c r="A129" s="376" t="str">
        <f t="shared" si="1"/>
        <v/>
      </c>
      <c r="B129" s="378" t="s">
        <v>767</v>
      </c>
      <c r="C129" s="380" t="s">
        <v>463</v>
      </c>
      <c r="D129" s="380" t="str">
        <f t="shared" si="2"/>
        <v>CNW</v>
      </c>
      <c r="E129" s="380" t="s">
        <v>463</v>
      </c>
      <c r="F129" s="380" t="s">
        <v>463</v>
      </c>
      <c r="G129" s="380" t="str">
        <f t="shared" si="3"/>
        <v>s2d1b5</v>
      </c>
      <c r="H129" s="380" t="s">
        <v>463</v>
      </c>
      <c r="I129" s="379">
        <v>0</v>
      </c>
      <c r="J129" s="380">
        <f t="shared" si="4"/>
        <v>2.0910000000000002E-2</v>
      </c>
    </row>
    <row r="130" spans="1:10">
      <c r="A130" s="376" t="str">
        <f t="shared" si="1"/>
        <v/>
      </c>
      <c r="B130" s="378" t="s">
        <v>767</v>
      </c>
      <c r="C130" s="380" t="s">
        <v>463</v>
      </c>
      <c r="D130" s="380" t="str">
        <f t="shared" si="2"/>
        <v>CNG</v>
      </c>
      <c r="E130" s="380" t="s">
        <v>463</v>
      </c>
      <c r="F130" s="380" t="s">
        <v>463</v>
      </c>
      <c r="G130" s="380" t="str">
        <f t="shared" si="3"/>
        <v>s1d1b1</v>
      </c>
      <c r="H130" s="380" t="s">
        <v>463</v>
      </c>
      <c r="I130" s="379">
        <v>0</v>
      </c>
      <c r="J130" s="380">
        <f t="shared" si="4"/>
        <v>0.44383000000000006</v>
      </c>
    </row>
    <row r="131" spans="1:10">
      <c r="A131" s="376" t="str">
        <f t="shared" si="1"/>
        <v/>
      </c>
      <c r="B131" s="378" t="s">
        <v>767</v>
      </c>
      <c r="C131" s="380" t="s">
        <v>463</v>
      </c>
      <c r="D131" s="380" t="str">
        <f t="shared" si="2"/>
        <v>CNG</v>
      </c>
      <c r="E131" s="380" t="s">
        <v>463</v>
      </c>
      <c r="F131" s="380" t="s">
        <v>463</v>
      </c>
      <c r="G131" s="380" t="str">
        <f t="shared" si="3"/>
        <v>s1d1b2</v>
      </c>
      <c r="H131" s="380" t="s">
        <v>463</v>
      </c>
      <c r="I131" s="379">
        <v>0</v>
      </c>
      <c r="J131" s="380">
        <f t="shared" si="4"/>
        <v>0.15719</v>
      </c>
    </row>
    <row r="132" spans="1:10">
      <c r="A132" s="376" t="str">
        <f t="shared" si="1"/>
        <v/>
      </c>
      <c r="B132" s="378" t="s">
        <v>767</v>
      </c>
      <c r="C132" s="380" t="s">
        <v>463</v>
      </c>
      <c r="D132" s="380" t="str">
        <f t="shared" si="2"/>
        <v>CNG</v>
      </c>
      <c r="E132" s="380" t="s">
        <v>463</v>
      </c>
      <c r="F132" s="380" t="s">
        <v>463</v>
      </c>
      <c r="G132" s="380" t="str">
        <f t="shared" si="3"/>
        <v>s1d1b3</v>
      </c>
      <c r="H132" s="380" t="s">
        <v>463</v>
      </c>
      <c r="I132" s="379">
        <v>0</v>
      </c>
      <c r="J132" s="380">
        <f t="shared" si="4"/>
        <v>9.3039999999999998E-2</v>
      </c>
    </row>
    <row r="133" spans="1:10">
      <c r="A133" s="376" t="str">
        <f t="shared" si="1"/>
        <v/>
      </c>
      <c r="B133" s="378" t="s">
        <v>767</v>
      </c>
      <c r="C133" s="380" t="s">
        <v>463</v>
      </c>
      <c r="D133" s="380" t="str">
        <f t="shared" si="2"/>
        <v>CNG</v>
      </c>
      <c r="E133" s="380" t="s">
        <v>463</v>
      </c>
      <c r="F133" s="380" t="s">
        <v>463</v>
      </c>
      <c r="G133" s="380" t="str">
        <f t="shared" si="3"/>
        <v>s2d1b1</v>
      </c>
      <c r="H133" s="380" t="s">
        <v>463</v>
      </c>
      <c r="I133" s="379">
        <v>0</v>
      </c>
      <c r="J133" s="380">
        <f t="shared" si="4"/>
        <v>0.17882999999999999</v>
      </c>
    </row>
    <row r="134" spans="1:10">
      <c r="A134" s="376" t="str">
        <f t="shared" si="1"/>
        <v/>
      </c>
      <c r="B134" s="378" t="s">
        <v>767</v>
      </c>
      <c r="C134" s="380" t="s">
        <v>463</v>
      </c>
      <c r="D134" s="380" t="str">
        <f t="shared" si="2"/>
        <v>CNG</v>
      </c>
      <c r="E134" s="380" t="s">
        <v>463</v>
      </c>
      <c r="F134" s="380" t="s">
        <v>463</v>
      </c>
      <c r="G134" s="380" t="str">
        <f t="shared" si="3"/>
        <v>s2d1b2</v>
      </c>
      <c r="H134" s="380" t="s">
        <v>463</v>
      </c>
      <c r="I134" s="379">
        <v>0</v>
      </c>
      <c r="J134" s="380">
        <f t="shared" si="4"/>
        <v>6.4829999999999999E-2</v>
      </c>
    </row>
    <row r="135" spans="1:10">
      <c r="A135" s="376" t="str">
        <f t="shared" si="1"/>
        <v/>
      </c>
      <c r="B135" s="378" t="s">
        <v>767</v>
      </c>
      <c r="C135" s="380" t="s">
        <v>463</v>
      </c>
      <c r="D135" s="380" t="str">
        <f t="shared" si="2"/>
        <v>CNG</v>
      </c>
      <c r="E135" s="380" t="s">
        <v>463</v>
      </c>
      <c r="F135" s="380" t="s">
        <v>463</v>
      </c>
      <c r="G135" s="380" t="str">
        <f t="shared" si="3"/>
        <v>s2d1b3</v>
      </c>
      <c r="H135" s="380" t="s">
        <v>463</v>
      </c>
      <c r="I135" s="379">
        <v>0</v>
      </c>
      <c r="J135" s="380">
        <f t="shared" si="4"/>
        <v>1.4E-3</v>
      </c>
    </row>
    <row r="136" spans="1:10">
      <c r="A136" s="376" t="str">
        <f t="shared" si="1"/>
        <v/>
      </c>
      <c r="B136" s="378" t="s">
        <v>767</v>
      </c>
      <c r="C136" s="380" t="s">
        <v>463</v>
      </c>
      <c r="D136" s="380" t="str">
        <f t="shared" si="2"/>
        <v>CNG</v>
      </c>
      <c r="E136" s="380" t="s">
        <v>463</v>
      </c>
      <c r="F136" s="380" t="s">
        <v>463</v>
      </c>
      <c r="G136" s="380" t="str">
        <f t="shared" si="3"/>
        <v>s2d1b4</v>
      </c>
      <c r="H136" s="380" t="s">
        <v>463</v>
      </c>
      <c r="I136" s="379">
        <v>0</v>
      </c>
      <c r="J136" s="380">
        <f t="shared" si="4"/>
        <v>2.2669999999999999E-2</v>
      </c>
    </row>
    <row r="137" spans="1:10">
      <c r="A137" s="376" t="str">
        <f t="shared" si="1"/>
        <v/>
      </c>
      <c r="B137" s="378" t="s">
        <v>767</v>
      </c>
      <c r="C137" s="380" t="s">
        <v>463</v>
      </c>
      <c r="D137" s="380" t="str">
        <f t="shared" si="2"/>
        <v>CNG</v>
      </c>
      <c r="E137" s="380" t="s">
        <v>463</v>
      </c>
      <c r="F137" s="380" t="s">
        <v>463</v>
      </c>
      <c r="G137" s="380" t="str">
        <f t="shared" si="3"/>
        <v>s2d1b5</v>
      </c>
      <c r="H137" s="380" t="s">
        <v>463</v>
      </c>
      <c r="I137" s="379">
        <v>0</v>
      </c>
      <c r="J137" s="380">
        <f t="shared" si="4"/>
        <v>3.8210000000000001E-2</v>
      </c>
    </row>
    <row r="138" spans="1:10">
      <c r="A138" s="376" t="str">
        <f t="shared" si="1"/>
        <v/>
      </c>
      <c r="B138" s="378" t="s">
        <v>767</v>
      </c>
      <c r="C138" s="380" t="s">
        <v>463</v>
      </c>
      <c r="D138" s="380" t="str">
        <f t="shared" si="2"/>
        <v>CNT</v>
      </c>
      <c r="E138" s="380" t="s">
        <v>463</v>
      </c>
      <c r="F138" s="380" t="s">
        <v>463</v>
      </c>
      <c r="G138" s="380" t="str">
        <f t="shared" si="3"/>
        <v>s1d1b1</v>
      </c>
      <c r="H138" s="380" t="s">
        <v>463</v>
      </c>
      <c r="I138" s="379">
        <v>0</v>
      </c>
      <c r="J138" s="380">
        <f t="shared" si="4"/>
        <v>0.26721</v>
      </c>
    </row>
    <row r="139" spans="1:10">
      <c r="A139" s="376" t="str">
        <f t="shared" ref="A139:A153" si="5">IF(D139&lt;&gt;"",IF(ISTEXT(D139),"","*"))</f>
        <v/>
      </c>
      <c r="B139" s="378" t="s">
        <v>767</v>
      </c>
      <c r="C139" s="380" t="s">
        <v>463</v>
      </c>
      <c r="D139" s="380" t="str">
        <f t="shared" si="2"/>
        <v>CNT</v>
      </c>
      <c r="E139" s="380" t="s">
        <v>463</v>
      </c>
      <c r="F139" s="380" t="s">
        <v>463</v>
      </c>
      <c r="G139" s="380" t="str">
        <f t="shared" si="3"/>
        <v>s1d1b2</v>
      </c>
      <c r="H139" s="380" t="s">
        <v>463</v>
      </c>
      <c r="I139" s="379">
        <v>0</v>
      </c>
      <c r="J139" s="380">
        <f t="shared" si="4"/>
        <v>0.31810999999999978</v>
      </c>
    </row>
    <row r="140" spans="1:10">
      <c r="A140" s="376" t="str">
        <f t="shared" si="5"/>
        <v/>
      </c>
      <c r="B140" s="378" t="s">
        <v>767</v>
      </c>
      <c r="C140" s="380" t="s">
        <v>463</v>
      </c>
      <c r="D140" s="380" t="str">
        <f t="shared" si="2"/>
        <v>CNT</v>
      </c>
      <c r="E140" s="380" t="s">
        <v>463</v>
      </c>
      <c r="F140" s="380" t="s">
        <v>463</v>
      </c>
      <c r="G140" s="380" t="str">
        <f t="shared" si="3"/>
        <v>s1d1b3</v>
      </c>
      <c r="H140" s="380" t="s">
        <v>463</v>
      </c>
      <c r="I140" s="379">
        <v>0</v>
      </c>
      <c r="J140" s="380">
        <f t="shared" si="4"/>
        <v>0.10874</v>
      </c>
    </row>
    <row r="141" spans="1:10">
      <c r="A141" s="376" t="str">
        <f t="shared" si="5"/>
        <v/>
      </c>
      <c r="B141" s="378" t="s">
        <v>767</v>
      </c>
      <c r="C141" s="380" t="s">
        <v>463</v>
      </c>
      <c r="D141" s="380" t="str">
        <f t="shared" si="2"/>
        <v>CNT</v>
      </c>
      <c r="E141" s="380" t="s">
        <v>463</v>
      </c>
      <c r="F141" s="380" t="s">
        <v>463</v>
      </c>
      <c r="G141" s="380" t="str">
        <f t="shared" si="3"/>
        <v>s2d1b1</v>
      </c>
      <c r="H141" s="380" t="s">
        <v>463</v>
      </c>
      <c r="I141" s="379">
        <v>0</v>
      </c>
      <c r="J141" s="380">
        <f t="shared" si="4"/>
        <v>0.10963000000000001</v>
      </c>
    </row>
    <row r="142" spans="1:10">
      <c r="A142" s="376" t="str">
        <f t="shared" si="5"/>
        <v/>
      </c>
      <c r="B142" s="378" t="s">
        <v>767</v>
      </c>
      <c r="C142" s="380" t="s">
        <v>463</v>
      </c>
      <c r="D142" s="380" t="str">
        <f t="shared" si="2"/>
        <v>CNT</v>
      </c>
      <c r="E142" s="380" t="s">
        <v>463</v>
      </c>
      <c r="F142" s="380" t="s">
        <v>463</v>
      </c>
      <c r="G142" s="380" t="str">
        <f t="shared" si="3"/>
        <v>s2d1b2</v>
      </c>
      <c r="H142" s="380" t="s">
        <v>463</v>
      </c>
      <c r="I142" s="379">
        <v>0</v>
      </c>
      <c r="J142" s="380">
        <f t="shared" si="4"/>
        <v>5.0990000000000001E-2</v>
      </c>
    </row>
    <row r="143" spans="1:10">
      <c r="A143" s="376" t="str">
        <f t="shared" si="5"/>
        <v/>
      </c>
      <c r="B143" s="378" t="s">
        <v>767</v>
      </c>
      <c r="C143" s="380" t="s">
        <v>463</v>
      </c>
      <c r="D143" s="380" t="str">
        <f t="shared" si="2"/>
        <v>CNT</v>
      </c>
      <c r="E143" s="380" t="s">
        <v>463</v>
      </c>
      <c r="F143" s="380" t="s">
        <v>463</v>
      </c>
      <c r="G143" s="380" t="str">
        <f t="shared" si="3"/>
        <v>s2d1b3</v>
      </c>
      <c r="H143" s="380" t="s">
        <v>463</v>
      </c>
      <c r="I143" s="379">
        <v>0</v>
      </c>
      <c r="J143" s="380">
        <f t="shared" si="4"/>
        <v>8.6169999999999997E-2</v>
      </c>
    </row>
    <row r="144" spans="1:10">
      <c r="A144" s="376" t="str">
        <f t="shared" si="5"/>
        <v/>
      </c>
      <c r="B144" s="378" t="s">
        <v>767</v>
      </c>
      <c r="C144" s="380" t="s">
        <v>463</v>
      </c>
      <c r="D144" s="380" t="str">
        <f t="shared" si="2"/>
        <v>CNT</v>
      </c>
      <c r="E144" s="380" t="s">
        <v>463</v>
      </c>
      <c r="F144" s="380" t="s">
        <v>463</v>
      </c>
      <c r="G144" s="380" t="str">
        <f t="shared" si="3"/>
        <v>s2d1b4</v>
      </c>
      <c r="H144" s="380" t="s">
        <v>463</v>
      </c>
      <c r="I144" s="379">
        <v>0</v>
      </c>
      <c r="J144" s="380">
        <f t="shared" si="4"/>
        <v>3.8240000000000003E-2</v>
      </c>
    </row>
    <row r="145" spans="1:10">
      <c r="A145" s="376" t="str">
        <f t="shared" si="5"/>
        <v/>
      </c>
      <c r="B145" s="378" t="s">
        <v>767</v>
      </c>
      <c r="C145" s="380" t="s">
        <v>463</v>
      </c>
      <c r="D145" s="380" t="str">
        <f t="shared" si="2"/>
        <v>CNT</v>
      </c>
      <c r="E145" s="380" t="s">
        <v>463</v>
      </c>
      <c r="F145" s="380" t="s">
        <v>463</v>
      </c>
      <c r="G145" s="380" t="str">
        <f t="shared" si="3"/>
        <v>s2d1b5</v>
      </c>
      <c r="H145" s="380" t="s">
        <v>463</v>
      </c>
      <c r="I145" s="379">
        <v>0</v>
      </c>
      <c r="J145" s="380">
        <f t="shared" si="4"/>
        <v>2.0910000000000002E-2</v>
      </c>
    </row>
    <row r="146" spans="1:10">
      <c r="A146" s="376" t="str">
        <f t="shared" si="5"/>
        <v/>
      </c>
      <c r="B146" s="378" t="s">
        <v>767</v>
      </c>
      <c r="C146" s="380" t="s">
        <v>463</v>
      </c>
      <c r="D146" s="380" t="str">
        <f t="shared" si="2"/>
        <v>CNO</v>
      </c>
      <c r="E146" s="380" t="s">
        <v>463</v>
      </c>
      <c r="F146" s="380" t="s">
        <v>463</v>
      </c>
      <c r="G146" s="380" t="str">
        <f t="shared" si="3"/>
        <v>s1d1b1</v>
      </c>
      <c r="H146" s="380" t="s">
        <v>463</v>
      </c>
      <c r="I146" s="379">
        <v>0</v>
      </c>
      <c r="J146" s="380">
        <f t="shared" si="4"/>
        <v>0.14651</v>
      </c>
    </row>
    <row r="147" spans="1:10">
      <c r="A147" s="376" t="str">
        <f t="shared" si="5"/>
        <v/>
      </c>
      <c r="B147" s="378" t="s">
        <v>767</v>
      </c>
      <c r="C147" s="380" t="s">
        <v>463</v>
      </c>
      <c r="D147" s="380" t="str">
        <f t="shared" ref="D147:D153" si="6">"CN"&amp;RIGHT(D75,1)</f>
        <v>CNO</v>
      </c>
      <c r="E147" s="380" t="s">
        <v>463</v>
      </c>
      <c r="F147" s="380" t="s">
        <v>463</v>
      </c>
      <c r="G147" s="380" t="str">
        <f t="shared" ref="G147:G153" si="7">G75</f>
        <v>s1d1b2</v>
      </c>
      <c r="H147" s="380" t="s">
        <v>463</v>
      </c>
      <c r="I147" s="379">
        <v>0</v>
      </c>
      <c r="J147" s="380">
        <f t="shared" ref="J147:J153" si="8">J75</f>
        <v>0.43703000000000009</v>
      </c>
    </row>
    <row r="148" spans="1:10">
      <c r="A148" s="376" t="str">
        <f t="shared" si="5"/>
        <v/>
      </c>
      <c r="B148" s="378" t="s">
        <v>767</v>
      </c>
      <c r="C148" s="380" t="s">
        <v>463</v>
      </c>
      <c r="D148" s="380" t="str">
        <f t="shared" si="6"/>
        <v>CNO</v>
      </c>
      <c r="E148" s="380" t="s">
        <v>463</v>
      </c>
      <c r="F148" s="380" t="s">
        <v>463</v>
      </c>
      <c r="G148" s="380" t="str">
        <f t="shared" si="7"/>
        <v>s1d1b3</v>
      </c>
      <c r="H148" s="380" t="s">
        <v>463</v>
      </c>
      <c r="I148" s="379">
        <v>0</v>
      </c>
      <c r="J148" s="380">
        <f t="shared" si="8"/>
        <v>0.11051999999999999</v>
      </c>
    </row>
    <row r="149" spans="1:10">
      <c r="A149" s="376" t="str">
        <f t="shared" si="5"/>
        <v/>
      </c>
      <c r="B149" s="378" t="s">
        <v>767</v>
      </c>
      <c r="C149" s="380" t="s">
        <v>463</v>
      </c>
      <c r="D149" s="380" t="str">
        <f t="shared" si="6"/>
        <v>CNO</v>
      </c>
      <c r="E149" s="380" t="s">
        <v>463</v>
      </c>
      <c r="F149" s="380" t="s">
        <v>463</v>
      </c>
      <c r="G149" s="380" t="str">
        <f t="shared" si="7"/>
        <v>s2d1b1</v>
      </c>
      <c r="H149" s="380" t="s">
        <v>463</v>
      </c>
      <c r="I149" s="379">
        <v>0</v>
      </c>
      <c r="J149" s="380">
        <f t="shared" si="8"/>
        <v>6.2839999999999993E-2</v>
      </c>
    </row>
    <row r="150" spans="1:10">
      <c r="A150" s="376" t="str">
        <f t="shared" si="5"/>
        <v/>
      </c>
      <c r="B150" s="378" t="s">
        <v>767</v>
      </c>
      <c r="C150" s="380" t="s">
        <v>463</v>
      </c>
      <c r="D150" s="380" t="str">
        <f t="shared" si="6"/>
        <v>CNO</v>
      </c>
      <c r="E150" s="380" t="s">
        <v>463</v>
      </c>
      <c r="F150" s="380" t="s">
        <v>463</v>
      </c>
      <c r="G150" s="380" t="str">
        <f t="shared" si="7"/>
        <v>s2d1b2</v>
      </c>
      <c r="H150" s="380" t="s">
        <v>463</v>
      </c>
      <c r="I150" s="379">
        <v>0</v>
      </c>
      <c r="J150" s="380">
        <f t="shared" si="8"/>
        <v>5.6410000000000002E-2</v>
      </c>
    </row>
    <row r="151" spans="1:10">
      <c r="A151" s="376" t="str">
        <f t="shared" si="5"/>
        <v/>
      </c>
      <c r="B151" s="378" t="s">
        <v>767</v>
      </c>
      <c r="C151" s="380" t="s">
        <v>463</v>
      </c>
      <c r="D151" s="380" t="str">
        <f t="shared" si="6"/>
        <v>CNO</v>
      </c>
      <c r="E151" s="380" t="s">
        <v>463</v>
      </c>
      <c r="F151" s="380" t="s">
        <v>463</v>
      </c>
      <c r="G151" s="380" t="str">
        <f t="shared" si="7"/>
        <v>s2d1b3</v>
      </c>
      <c r="H151" s="380" t="s">
        <v>463</v>
      </c>
      <c r="I151" s="379">
        <v>0</v>
      </c>
      <c r="J151" s="380">
        <f t="shared" si="8"/>
        <v>0.13208</v>
      </c>
    </row>
    <row r="152" spans="1:10">
      <c r="A152" s="376" t="str">
        <f t="shared" si="5"/>
        <v/>
      </c>
      <c r="B152" s="378" t="s">
        <v>767</v>
      </c>
      <c r="C152" s="380" t="s">
        <v>463</v>
      </c>
      <c r="D152" s="380" t="str">
        <f t="shared" si="6"/>
        <v>CNO</v>
      </c>
      <c r="E152" s="380" t="s">
        <v>463</v>
      </c>
      <c r="F152" s="380" t="s">
        <v>463</v>
      </c>
      <c r="G152" s="380" t="str">
        <f t="shared" si="7"/>
        <v>s2d1b4</v>
      </c>
      <c r="H152" s="380" t="s">
        <v>463</v>
      </c>
      <c r="I152" s="379">
        <v>0</v>
      </c>
      <c r="J152" s="380">
        <f t="shared" si="8"/>
        <v>4.3810000000000002E-2</v>
      </c>
    </row>
    <row r="153" spans="1:10">
      <c r="A153" s="376" t="str">
        <f t="shared" si="5"/>
        <v/>
      </c>
      <c r="B153" s="378" t="s">
        <v>767</v>
      </c>
      <c r="C153" s="380" t="s">
        <v>463</v>
      </c>
      <c r="D153" s="380" t="str">
        <f t="shared" si="6"/>
        <v>CNO</v>
      </c>
      <c r="E153" s="380" t="s">
        <v>463</v>
      </c>
      <c r="F153" s="380" t="s">
        <v>463</v>
      </c>
      <c r="G153" s="380" t="str">
        <f t="shared" si="7"/>
        <v>s2d1b5</v>
      </c>
      <c r="H153" s="380" t="s">
        <v>463</v>
      </c>
      <c r="I153" s="379">
        <v>0</v>
      </c>
      <c r="J153" s="380">
        <f t="shared" si="8"/>
        <v>1.0800000000000001E-2</v>
      </c>
    </row>
    <row r="154" spans="1:10">
      <c r="B154" s="378"/>
      <c r="C154" s="380"/>
      <c r="D154" s="380"/>
      <c r="E154" s="380"/>
      <c r="F154" s="380"/>
      <c r="G154" s="380"/>
      <c r="H154" s="380"/>
      <c r="I154" s="379"/>
      <c r="J154" s="380"/>
    </row>
    <row r="155" spans="1:10">
      <c r="B155" s="378"/>
      <c r="C155" s="380"/>
      <c r="D155" s="380"/>
      <c r="E155" s="380"/>
      <c r="F155" s="380"/>
      <c r="G155" s="380"/>
      <c r="H155" s="380"/>
      <c r="I155" s="379"/>
      <c r="J155" s="380"/>
    </row>
    <row r="156" spans="1:10">
      <c r="B156" s="378"/>
      <c r="C156" s="380"/>
      <c r="D156" s="380"/>
      <c r="E156" s="380"/>
      <c r="F156" s="380"/>
      <c r="G156" s="380"/>
      <c r="H156" s="380"/>
      <c r="I156" s="379"/>
      <c r="J156" s="380"/>
    </row>
    <row r="157" spans="1:10">
      <c r="B157" s="378"/>
      <c r="C157" s="380"/>
      <c r="D157" s="380"/>
      <c r="E157" s="380"/>
      <c r="F157" s="380"/>
      <c r="G157" s="380"/>
      <c r="H157" s="380"/>
      <c r="I157" s="379"/>
      <c r="J157" s="380"/>
    </row>
    <row r="158" spans="1:10">
      <c r="B158" s="378"/>
      <c r="C158" s="380"/>
      <c r="D158" s="380"/>
      <c r="E158" s="380"/>
      <c r="F158" s="380"/>
      <c r="G158" s="380"/>
      <c r="H158" s="380"/>
      <c r="I158" s="379"/>
      <c r="J158" s="380"/>
    </row>
    <row r="159" spans="1:10">
      <c r="B159" s="378"/>
      <c r="C159" s="380"/>
      <c r="D159" s="380"/>
      <c r="E159" s="380"/>
      <c r="F159" s="380"/>
      <c r="G159" s="380"/>
      <c r="H159" s="380"/>
      <c r="I159" s="379"/>
      <c r="J159" s="380"/>
    </row>
    <row r="160" spans="1:10">
      <c r="B160" s="378"/>
      <c r="C160" s="380"/>
      <c r="D160" s="380"/>
      <c r="E160" s="380"/>
      <c r="F160" s="380"/>
      <c r="G160" s="380"/>
      <c r="H160" s="380"/>
      <c r="I160" s="379"/>
      <c r="J160" s="380"/>
    </row>
    <row r="161" spans="2:10">
      <c r="B161" s="378"/>
      <c r="C161" s="380"/>
      <c r="D161" s="380"/>
      <c r="E161" s="380"/>
      <c r="F161" s="380"/>
      <c r="G161" s="380"/>
      <c r="H161" s="380"/>
      <c r="I161" s="379"/>
      <c r="J161" s="380"/>
    </row>
    <row r="162" spans="2:10">
      <c r="B162" s="378"/>
      <c r="C162" s="380"/>
      <c r="D162" s="380"/>
      <c r="E162" s="380"/>
      <c r="F162" s="380"/>
      <c r="G162" s="380"/>
      <c r="H162" s="380"/>
      <c r="I162" s="379"/>
      <c r="J162" s="380"/>
    </row>
    <row r="163" spans="2:10">
      <c r="B163" s="378"/>
      <c r="C163" s="380"/>
      <c r="D163" s="380"/>
      <c r="E163" s="380"/>
      <c r="F163" s="380"/>
      <c r="G163" s="380"/>
      <c r="H163" s="380"/>
      <c r="I163" s="379"/>
      <c r="J163" s="380"/>
    </row>
    <row r="164" spans="2:10">
      <c r="B164" s="378"/>
      <c r="C164" s="380"/>
      <c r="D164" s="380"/>
      <c r="E164" s="380"/>
      <c r="F164" s="380"/>
      <c r="G164" s="380"/>
      <c r="H164" s="380"/>
      <c r="I164" s="379"/>
      <c r="J164" s="380"/>
    </row>
    <row r="165" spans="2:10">
      <c r="B165" s="378"/>
      <c r="C165" s="380"/>
      <c r="D165" s="380"/>
      <c r="E165" s="380"/>
      <c r="F165" s="380"/>
      <c r="G165" s="380"/>
      <c r="H165" s="380"/>
      <c r="I165" s="379"/>
      <c r="J165" s="380"/>
    </row>
    <row r="166" spans="2:10">
      <c r="B166" s="378"/>
      <c r="C166" s="380"/>
      <c r="D166" s="380"/>
      <c r="E166" s="380"/>
      <c r="F166" s="380"/>
      <c r="G166" s="380"/>
      <c r="H166" s="380"/>
      <c r="I166" s="379"/>
      <c r="J166" s="380"/>
    </row>
    <row r="167" spans="2:10">
      <c r="B167" s="378"/>
      <c r="C167" s="380"/>
      <c r="D167" s="380"/>
      <c r="E167" s="380"/>
      <c r="F167" s="380"/>
      <c r="G167" s="380"/>
      <c r="H167" s="380"/>
      <c r="I167" s="379"/>
      <c r="J167" s="380"/>
    </row>
    <row r="168" spans="2:10">
      <c r="B168" s="378"/>
      <c r="C168" s="380"/>
      <c r="D168" s="380"/>
      <c r="E168" s="380"/>
      <c r="F168" s="380"/>
      <c r="G168" s="380"/>
      <c r="H168" s="380"/>
      <c r="I168" s="379"/>
      <c r="J168" s="380"/>
    </row>
    <row r="169" spans="2:10">
      <c r="B169" s="378"/>
      <c r="C169" s="380"/>
      <c r="D169" s="380"/>
      <c r="E169" s="380"/>
      <c r="F169" s="380"/>
      <c r="G169" s="380"/>
      <c r="H169" s="380"/>
      <c r="I169" s="379"/>
      <c r="J169" s="380"/>
    </row>
    <row r="170" spans="2:10">
      <c r="B170" s="378"/>
      <c r="C170" s="380"/>
      <c r="D170" s="380"/>
      <c r="E170" s="380"/>
      <c r="F170" s="380"/>
      <c r="G170" s="380"/>
      <c r="H170" s="380"/>
      <c r="I170" s="379"/>
      <c r="J170" s="380"/>
    </row>
    <row r="171" spans="2:10">
      <c r="B171" s="378"/>
      <c r="C171" s="380"/>
      <c r="D171" s="380"/>
      <c r="E171" s="380"/>
      <c r="F171" s="380"/>
      <c r="G171" s="380"/>
      <c r="H171" s="380"/>
      <c r="I171" s="379"/>
      <c r="J171" s="380"/>
    </row>
    <row r="172" spans="2:10">
      <c r="B172" s="378"/>
      <c r="C172" s="380"/>
      <c r="D172" s="380"/>
      <c r="E172" s="380"/>
      <c r="F172" s="380"/>
      <c r="G172" s="380"/>
      <c r="H172" s="380"/>
      <c r="I172" s="379"/>
      <c r="J172" s="380"/>
    </row>
    <row r="173" spans="2:10">
      <c r="B173" s="378"/>
      <c r="C173" s="380"/>
      <c r="D173" s="380"/>
      <c r="E173" s="380"/>
      <c r="F173" s="380"/>
      <c r="G173" s="380"/>
      <c r="H173" s="380"/>
      <c r="I173" s="379"/>
      <c r="J173" s="380"/>
    </row>
    <row r="174" spans="2:10">
      <c r="B174" s="378"/>
      <c r="C174" s="380"/>
      <c r="D174" s="380"/>
      <c r="E174" s="380"/>
      <c r="F174" s="380"/>
      <c r="G174" s="380"/>
      <c r="H174" s="380"/>
      <c r="I174" s="379"/>
      <c r="J174" s="380"/>
    </row>
    <row r="175" spans="2:10">
      <c r="B175" s="378"/>
      <c r="C175" s="380"/>
      <c r="D175" s="380"/>
      <c r="E175" s="380"/>
      <c r="F175" s="380"/>
      <c r="G175" s="380"/>
      <c r="H175" s="380"/>
      <c r="I175" s="379"/>
      <c r="J175" s="380"/>
    </row>
    <row r="176" spans="2:10">
      <c r="B176" s="378"/>
      <c r="C176" s="380"/>
      <c r="D176" s="380"/>
      <c r="E176" s="380"/>
      <c r="F176" s="380"/>
      <c r="G176" s="380"/>
      <c r="H176" s="380"/>
      <c r="I176" s="379"/>
      <c r="J176" s="380"/>
    </row>
    <row r="177" spans="2:10">
      <c r="B177" s="378"/>
      <c r="C177" s="380"/>
      <c r="D177" s="380"/>
      <c r="E177" s="380"/>
      <c r="F177" s="380"/>
      <c r="G177" s="380"/>
      <c r="H177" s="380"/>
      <c r="I177" s="379"/>
      <c r="J177" s="380"/>
    </row>
    <row r="178" spans="2:10">
      <c r="B178" s="378"/>
      <c r="C178" s="380"/>
      <c r="D178" s="380"/>
      <c r="E178" s="380"/>
      <c r="F178" s="380"/>
      <c r="G178" s="380"/>
      <c r="H178" s="380"/>
      <c r="I178" s="379"/>
      <c r="J178" s="380"/>
    </row>
    <row r="179" spans="2:10">
      <c r="B179" s="378"/>
      <c r="C179" s="380"/>
      <c r="D179" s="380"/>
      <c r="E179" s="380"/>
      <c r="F179" s="380"/>
      <c r="G179" s="380"/>
      <c r="H179" s="380"/>
      <c r="I179" s="379"/>
      <c r="J179" s="380"/>
    </row>
    <row r="180" spans="2:10">
      <c r="B180" s="378"/>
      <c r="C180" s="380"/>
      <c r="D180" s="380"/>
      <c r="E180" s="380"/>
      <c r="F180" s="380"/>
      <c r="G180" s="380"/>
      <c r="H180" s="380"/>
      <c r="I180" s="379"/>
      <c r="J180" s="380"/>
    </row>
    <row r="181" spans="2:10">
      <c r="B181" s="378"/>
      <c r="C181" s="380"/>
      <c r="D181" s="380"/>
      <c r="E181" s="380"/>
      <c r="F181" s="380"/>
      <c r="G181" s="380"/>
      <c r="H181" s="380"/>
      <c r="I181" s="379"/>
      <c r="J181" s="380"/>
    </row>
    <row r="182" spans="2:10">
      <c r="B182" s="378"/>
      <c r="C182" s="380"/>
      <c r="D182" s="380"/>
      <c r="E182" s="380"/>
      <c r="F182" s="380"/>
      <c r="G182" s="380"/>
      <c r="H182" s="380"/>
      <c r="I182" s="379"/>
      <c r="J182" s="380"/>
    </row>
    <row r="183" spans="2:10">
      <c r="B183" s="378"/>
      <c r="C183" s="380"/>
      <c r="D183" s="380"/>
      <c r="E183" s="380"/>
      <c r="F183" s="380"/>
      <c r="G183" s="380"/>
      <c r="H183" s="380"/>
      <c r="I183" s="379"/>
      <c r="J183" s="380"/>
    </row>
    <row r="184" spans="2:10">
      <c r="B184" s="378"/>
      <c r="C184" s="380"/>
      <c r="D184" s="380"/>
      <c r="E184" s="380"/>
      <c r="F184" s="380"/>
      <c r="G184" s="380"/>
      <c r="H184" s="380"/>
      <c r="I184" s="379"/>
      <c r="J184" s="380"/>
    </row>
    <row r="185" spans="2:10">
      <c r="B185" s="378"/>
      <c r="C185" s="380"/>
      <c r="D185" s="380"/>
      <c r="E185" s="380"/>
      <c r="F185" s="380"/>
      <c r="G185" s="380"/>
      <c r="H185" s="380"/>
      <c r="I185" s="379"/>
      <c r="J185" s="380"/>
    </row>
    <row r="186" spans="2:10">
      <c r="B186" s="378"/>
      <c r="C186" s="380"/>
      <c r="D186" s="380"/>
      <c r="E186" s="380"/>
      <c r="F186" s="380"/>
      <c r="G186" s="380"/>
      <c r="H186" s="380"/>
      <c r="I186" s="379"/>
      <c r="J186" s="380"/>
    </row>
    <row r="187" spans="2:10">
      <c r="B187" s="378"/>
      <c r="C187" s="380"/>
      <c r="D187" s="380"/>
      <c r="E187" s="380"/>
      <c r="F187" s="380"/>
      <c r="G187" s="380"/>
      <c r="H187" s="380"/>
      <c r="I187" s="379"/>
      <c r="J187" s="380"/>
    </row>
    <row r="188" spans="2:10">
      <c r="B188" s="378"/>
      <c r="C188" s="380"/>
      <c r="D188" s="380"/>
      <c r="E188" s="380"/>
      <c r="F188" s="380"/>
      <c r="G188" s="380"/>
      <c r="H188" s="380"/>
      <c r="I188" s="379"/>
      <c r="J188" s="380"/>
    </row>
    <row r="189" spans="2:10">
      <c r="B189" s="378"/>
      <c r="C189" s="380"/>
      <c r="D189" s="380"/>
      <c r="E189" s="380"/>
      <c r="F189" s="380"/>
      <c r="G189" s="380"/>
      <c r="H189" s="380"/>
      <c r="I189" s="379"/>
      <c r="J189" s="380"/>
    </row>
    <row r="190" spans="2:10">
      <c r="B190" s="378"/>
      <c r="C190" s="380"/>
      <c r="D190" s="380"/>
      <c r="E190" s="380"/>
      <c r="F190" s="380"/>
      <c r="G190" s="380"/>
      <c r="H190" s="380"/>
      <c r="I190" s="379"/>
      <c r="J190" s="380"/>
    </row>
    <row r="191" spans="2:10">
      <c r="B191" s="378"/>
      <c r="C191" s="380"/>
      <c r="D191" s="380"/>
      <c r="E191" s="380"/>
      <c r="F191" s="380"/>
      <c r="G191" s="380"/>
      <c r="H191" s="380"/>
      <c r="I191" s="379"/>
      <c r="J191" s="380"/>
    </row>
    <row r="192" spans="2:10">
      <c r="B192" s="378"/>
      <c r="C192" s="380"/>
      <c r="D192" s="380"/>
      <c r="E192" s="380"/>
      <c r="F192" s="380"/>
      <c r="G192" s="380"/>
      <c r="H192" s="380"/>
      <c r="I192" s="379"/>
      <c r="J192" s="380"/>
    </row>
    <row r="193" spans="2:10">
      <c r="B193" s="378"/>
      <c r="C193" s="380"/>
      <c r="D193" s="380"/>
      <c r="E193" s="380"/>
      <c r="F193" s="380"/>
      <c r="G193" s="380"/>
      <c r="H193" s="380"/>
      <c r="I193" s="379"/>
      <c r="J193" s="380"/>
    </row>
    <row r="194" spans="2:10">
      <c r="B194" s="378"/>
      <c r="C194" s="380"/>
      <c r="D194" s="380"/>
      <c r="E194" s="380"/>
      <c r="F194" s="380"/>
      <c r="G194" s="380"/>
      <c r="H194" s="380"/>
      <c r="I194" s="379"/>
      <c r="J194" s="380"/>
    </row>
    <row r="195" spans="2:10">
      <c r="B195" s="378"/>
      <c r="C195" s="380"/>
      <c r="D195" s="380"/>
      <c r="E195" s="380"/>
      <c r="F195" s="380"/>
      <c r="G195" s="380"/>
      <c r="H195" s="380"/>
      <c r="I195" s="379"/>
      <c r="J195" s="380"/>
    </row>
    <row r="196" spans="2:10">
      <c r="B196" s="378"/>
      <c r="C196" s="380"/>
      <c r="D196" s="380"/>
      <c r="E196" s="380"/>
      <c r="F196" s="380"/>
      <c r="G196" s="380"/>
      <c r="H196" s="380"/>
      <c r="I196" s="379"/>
      <c r="J196" s="380"/>
    </row>
    <row r="197" spans="2:10">
      <c r="B197" s="378"/>
      <c r="C197" s="380"/>
      <c r="D197" s="380"/>
      <c r="E197" s="380"/>
      <c r="F197" s="380"/>
      <c r="G197" s="380"/>
      <c r="H197" s="380"/>
      <c r="I197" s="379"/>
      <c r="J197" s="380"/>
    </row>
    <row r="198" spans="2:10">
      <c r="B198" s="378"/>
      <c r="C198" s="380"/>
      <c r="D198" s="380"/>
      <c r="E198" s="380"/>
      <c r="F198" s="380"/>
      <c r="G198" s="380"/>
      <c r="H198" s="380"/>
      <c r="I198" s="379"/>
      <c r="J198" s="380"/>
    </row>
    <row r="199" spans="2:10">
      <c r="B199" s="378"/>
      <c r="C199" s="380"/>
      <c r="D199" s="380"/>
      <c r="E199" s="380"/>
      <c r="F199" s="380"/>
      <c r="G199" s="380"/>
      <c r="H199" s="380"/>
      <c r="I199" s="379"/>
      <c r="J199" s="380"/>
    </row>
    <row r="200" spans="2:10">
      <c r="B200" s="378"/>
      <c r="C200" s="380"/>
      <c r="D200" s="380"/>
      <c r="E200" s="380"/>
      <c r="F200" s="380"/>
      <c r="G200" s="380"/>
      <c r="H200" s="380"/>
      <c r="I200" s="379"/>
      <c r="J200" s="380"/>
    </row>
    <row r="201" spans="2:10">
      <c r="B201" s="378"/>
      <c r="C201" s="380"/>
      <c r="D201" s="380"/>
      <c r="E201" s="380"/>
      <c r="F201" s="380"/>
      <c r="G201" s="380"/>
      <c r="H201" s="380"/>
      <c r="I201" s="379"/>
      <c r="J201" s="380"/>
    </row>
    <row r="202" spans="2:10">
      <c r="B202" s="378"/>
      <c r="C202" s="380"/>
      <c r="D202" s="380"/>
      <c r="E202" s="380"/>
      <c r="F202" s="380"/>
      <c r="G202" s="380"/>
      <c r="H202" s="380"/>
      <c r="I202" s="379"/>
      <c r="J202" s="380"/>
    </row>
    <row r="203" spans="2:10">
      <c r="B203" s="378"/>
      <c r="C203" s="380"/>
      <c r="D203" s="380"/>
      <c r="E203" s="380"/>
      <c r="F203" s="380"/>
      <c r="G203" s="380"/>
      <c r="H203" s="380"/>
      <c r="I203" s="379"/>
      <c r="J203" s="380"/>
    </row>
    <row r="204" spans="2:10">
      <c r="B204" s="378"/>
      <c r="C204" s="380"/>
      <c r="D204" s="380"/>
      <c r="E204" s="380"/>
      <c r="F204" s="380"/>
      <c r="G204" s="380"/>
      <c r="H204" s="380"/>
      <c r="I204" s="379"/>
      <c r="J204" s="380"/>
    </row>
    <row r="205" spans="2:10">
      <c r="B205" s="378"/>
      <c r="C205" s="380"/>
      <c r="D205" s="380"/>
      <c r="E205" s="380"/>
      <c r="F205" s="380"/>
      <c r="G205" s="380"/>
      <c r="H205" s="380"/>
      <c r="I205" s="379"/>
      <c r="J205" s="380"/>
    </row>
    <row r="206" spans="2:10">
      <c r="B206" s="378"/>
      <c r="C206" s="380"/>
      <c r="D206" s="380"/>
      <c r="E206" s="380"/>
      <c r="F206" s="380"/>
      <c r="G206" s="380"/>
      <c r="H206" s="380"/>
      <c r="I206" s="379"/>
      <c r="J206" s="380"/>
    </row>
    <row r="207" spans="2:10">
      <c r="B207" s="378"/>
      <c r="C207" s="380"/>
      <c r="D207" s="380"/>
      <c r="E207" s="380"/>
      <c r="F207" s="380"/>
      <c r="G207" s="380"/>
      <c r="H207" s="380"/>
      <c r="I207" s="379"/>
      <c r="J207" s="380"/>
    </row>
    <row r="208" spans="2:10">
      <c r="B208" s="378"/>
      <c r="C208" s="380"/>
      <c r="D208" s="380"/>
      <c r="E208" s="380"/>
      <c r="F208" s="380"/>
      <c r="G208" s="380"/>
      <c r="H208" s="380"/>
      <c r="I208" s="379"/>
      <c r="J208" s="380"/>
    </row>
    <row r="209" spans="2:10">
      <c r="B209" s="378"/>
      <c r="C209" s="380"/>
      <c r="D209" s="380"/>
      <c r="E209" s="380"/>
      <c r="F209" s="380"/>
      <c r="G209" s="380"/>
      <c r="H209" s="380"/>
      <c r="I209" s="379"/>
      <c r="J209" s="380"/>
    </row>
    <row r="210" spans="2:10">
      <c r="B210" s="378"/>
      <c r="C210" s="380"/>
      <c r="D210" s="380"/>
      <c r="E210" s="380"/>
      <c r="F210" s="380"/>
      <c r="G210" s="380"/>
      <c r="H210" s="380"/>
      <c r="I210" s="379"/>
      <c r="J210" s="380"/>
    </row>
    <row r="211" spans="2:10">
      <c r="B211" s="378"/>
      <c r="C211" s="380"/>
      <c r="D211" s="380"/>
      <c r="E211" s="380"/>
      <c r="F211" s="380"/>
      <c r="G211" s="380"/>
      <c r="H211" s="380"/>
      <c r="I211" s="379"/>
      <c r="J211" s="380"/>
    </row>
    <row r="212" spans="2:10">
      <c r="B212" s="378"/>
      <c r="C212" s="380"/>
      <c r="D212" s="380"/>
      <c r="E212" s="380"/>
      <c r="F212" s="380"/>
      <c r="G212" s="380"/>
      <c r="H212" s="380"/>
      <c r="I212" s="379"/>
      <c r="J212" s="380"/>
    </row>
    <row r="213" spans="2:10">
      <c r="B213" s="378"/>
      <c r="C213" s="380"/>
      <c r="D213" s="380"/>
      <c r="E213" s="380"/>
      <c r="F213" s="380"/>
      <c r="G213" s="380"/>
      <c r="H213" s="380"/>
      <c r="I213" s="379"/>
      <c r="J213" s="380"/>
    </row>
    <row r="214" spans="2:10">
      <c r="B214" s="378"/>
      <c r="C214" s="380"/>
      <c r="D214" s="380"/>
      <c r="E214" s="380"/>
      <c r="F214" s="380"/>
      <c r="G214" s="380"/>
      <c r="H214" s="380"/>
      <c r="I214" s="379"/>
      <c r="J214" s="380"/>
    </row>
    <row r="215" spans="2:10">
      <c r="B215" s="378"/>
      <c r="C215" s="380"/>
      <c r="D215" s="380"/>
      <c r="E215" s="380"/>
      <c r="F215" s="380"/>
      <c r="G215" s="380"/>
      <c r="H215" s="380"/>
      <c r="I215" s="379"/>
      <c r="J215" s="380"/>
    </row>
    <row r="216" spans="2:10">
      <c r="B216" s="378"/>
      <c r="C216" s="380"/>
      <c r="D216" s="380"/>
      <c r="E216" s="380"/>
      <c r="F216" s="380"/>
      <c r="G216" s="380"/>
      <c r="H216" s="380"/>
      <c r="I216" s="379"/>
      <c r="J216" s="380"/>
    </row>
    <row r="217" spans="2:10">
      <c r="B217" s="378"/>
      <c r="C217" s="380"/>
      <c r="D217" s="380"/>
      <c r="E217" s="380"/>
      <c r="F217" s="380"/>
      <c r="G217" s="380"/>
      <c r="H217" s="380"/>
      <c r="I217" s="379"/>
      <c r="J217" s="380"/>
    </row>
    <row r="218" spans="2:10">
      <c r="B218" s="378"/>
      <c r="C218" s="380"/>
      <c r="D218" s="380"/>
      <c r="E218" s="380"/>
      <c r="F218" s="380"/>
      <c r="G218" s="380"/>
      <c r="H218" s="380"/>
      <c r="I218" s="379"/>
      <c r="J218" s="380"/>
    </row>
    <row r="219" spans="2:10">
      <c r="B219" s="378"/>
      <c r="C219" s="380"/>
      <c r="D219" s="380"/>
      <c r="E219" s="380"/>
      <c r="F219" s="380"/>
      <c r="G219" s="380"/>
      <c r="H219" s="380"/>
      <c r="I219" s="379"/>
      <c r="J219" s="380"/>
    </row>
    <row r="220" spans="2:10">
      <c r="B220" s="378"/>
      <c r="C220" s="380"/>
      <c r="D220" s="380"/>
      <c r="E220" s="380"/>
      <c r="F220" s="380"/>
      <c r="G220" s="380"/>
      <c r="H220" s="380"/>
      <c r="I220" s="379"/>
      <c r="J220" s="380"/>
    </row>
    <row r="221" spans="2:10">
      <c r="B221" s="378"/>
      <c r="C221" s="380"/>
      <c r="D221" s="380"/>
      <c r="E221" s="380"/>
      <c r="F221" s="380"/>
      <c r="G221" s="380"/>
      <c r="H221" s="380"/>
      <c r="I221" s="379"/>
      <c r="J221" s="380"/>
    </row>
    <row r="222" spans="2:10">
      <c r="B222" s="378"/>
      <c r="C222" s="380"/>
      <c r="D222" s="380"/>
      <c r="E222" s="380"/>
      <c r="F222" s="380"/>
      <c r="G222" s="380"/>
      <c r="H222" s="380"/>
      <c r="I222" s="379"/>
      <c r="J222" s="380"/>
    </row>
    <row r="223" spans="2:10">
      <c r="B223" s="378"/>
      <c r="C223" s="380"/>
      <c r="D223" s="380"/>
      <c r="E223" s="380"/>
      <c r="F223" s="380"/>
      <c r="G223" s="380"/>
      <c r="H223" s="380"/>
      <c r="I223" s="379"/>
      <c r="J223" s="380"/>
    </row>
    <row r="224" spans="2:10">
      <c r="B224" s="378"/>
      <c r="C224" s="380"/>
      <c r="D224" s="380"/>
      <c r="E224" s="380"/>
      <c r="F224" s="380"/>
      <c r="G224" s="380"/>
      <c r="H224" s="380"/>
      <c r="I224" s="379"/>
      <c r="J224" s="380"/>
    </row>
    <row r="225" spans="2:10">
      <c r="B225" s="378"/>
      <c r="C225" s="380"/>
      <c r="D225" s="380"/>
      <c r="E225" s="380"/>
      <c r="F225" s="380"/>
      <c r="G225" s="380"/>
      <c r="H225" s="380"/>
      <c r="I225" s="379"/>
      <c r="J225" s="380"/>
    </row>
    <row r="226" spans="2:10">
      <c r="B226" s="378"/>
      <c r="C226" s="380"/>
      <c r="D226" s="380"/>
      <c r="E226" s="380"/>
      <c r="F226" s="380"/>
      <c r="G226" s="380"/>
      <c r="H226" s="380"/>
      <c r="I226" s="379"/>
      <c r="J226" s="380"/>
    </row>
    <row r="227" spans="2:10">
      <c r="B227" s="378"/>
      <c r="C227" s="380"/>
      <c r="D227" s="380"/>
      <c r="E227" s="380"/>
      <c r="F227" s="380"/>
      <c r="G227" s="380"/>
      <c r="H227" s="380"/>
      <c r="I227" s="379"/>
      <c r="J227" s="380"/>
    </row>
    <row r="228" spans="2:10">
      <c r="B228" s="378"/>
      <c r="C228" s="380"/>
      <c r="D228" s="380"/>
      <c r="E228" s="380"/>
      <c r="F228" s="380"/>
      <c r="G228" s="380"/>
      <c r="H228" s="380"/>
      <c r="I228" s="379"/>
      <c r="J228" s="380"/>
    </row>
    <row r="229" spans="2:10">
      <c r="B229" s="378"/>
      <c r="C229" s="380"/>
      <c r="D229" s="380"/>
      <c r="E229" s="380"/>
      <c r="F229" s="380"/>
      <c r="G229" s="380"/>
      <c r="H229" s="380"/>
      <c r="I229" s="379"/>
      <c r="J229" s="380"/>
    </row>
    <row r="230" spans="2:10">
      <c r="B230" s="378"/>
      <c r="C230" s="380"/>
      <c r="D230" s="380"/>
      <c r="E230" s="380"/>
      <c r="F230" s="380"/>
      <c r="G230" s="380"/>
      <c r="H230" s="380"/>
      <c r="I230" s="379"/>
      <c r="J230" s="380"/>
    </row>
    <row r="231" spans="2:10">
      <c r="B231" s="378"/>
      <c r="C231" s="380"/>
      <c r="D231" s="380"/>
      <c r="E231" s="380"/>
      <c r="F231" s="380"/>
      <c r="G231" s="380"/>
      <c r="H231" s="380"/>
      <c r="I231" s="379"/>
      <c r="J231" s="380"/>
    </row>
    <row r="232" spans="2:10">
      <c r="B232" s="378"/>
      <c r="C232" s="380"/>
      <c r="D232" s="380"/>
      <c r="E232" s="380"/>
      <c r="F232" s="380"/>
      <c r="G232" s="380"/>
      <c r="H232" s="380"/>
      <c r="I232" s="379"/>
      <c r="J232" s="380"/>
    </row>
    <row r="233" spans="2:10">
      <c r="B233" s="378"/>
      <c r="C233" s="380"/>
      <c r="D233" s="380"/>
      <c r="E233" s="380"/>
      <c r="F233" s="380"/>
      <c r="G233" s="380"/>
      <c r="H233" s="380"/>
      <c r="I233" s="379"/>
      <c r="J233" s="380"/>
    </row>
    <row r="234" spans="2:10">
      <c r="B234" s="378"/>
      <c r="C234" s="380"/>
      <c r="D234" s="380"/>
      <c r="E234" s="380"/>
      <c r="F234" s="380"/>
      <c r="G234" s="380"/>
      <c r="H234" s="380"/>
      <c r="I234" s="379"/>
      <c r="J234" s="380"/>
    </row>
    <row r="235" spans="2:10">
      <c r="B235" s="378"/>
      <c r="C235" s="380"/>
      <c r="D235" s="380"/>
      <c r="E235" s="380"/>
      <c r="F235" s="380"/>
      <c r="G235" s="380"/>
      <c r="H235" s="380"/>
      <c r="I235" s="379"/>
      <c r="J235" s="380"/>
    </row>
    <row r="236" spans="2:10">
      <c r="B236" s="378"/>
      <c r="C236" s="380"/>
      <c r="D236" s="380"/>
      <c r="E236" s="380"/>
      <c r="F236" s="380"/>
      <c r="G236" s="380"/>
      <c r="H236" s="380"/>
      <c r="I236" s="379"/>
      <c r="J236" s="380"/>
    </row>
    <row r="237" spans="2:10">
      <c r="B237" s="378"/>
      <c r="C237" s="380"/>
      <c r="D237" s="380"/>
      <c r="E237" s="380"/>
      <c r="F237" s="380"/>
      <c r="G237" s="380"/>
      <c r="H237" s="380"/>
      <c r="I237" s="379"/>
      <c r="J237" s="380"/>
    </row>
    <row r="238" spans="2:10">
      <c r="B238" s="378"/>
      <c r="C238" s="380"/>
      <c r="D238" s="380"/>
      <c r="E238" s="380"/>
      <c r="F238" s="380"/>
      <c r="G238" s="380"/>
      <c r="H238" s="380"/>
      <c r="I238" s="379"/>
      <c r="J238" s="380"/>
    </row>
    <row r="239" spans="2:10">
      <c r="B239" s="378"/>
      <c r="C239" s="380"/>
      <c r="D239" s="380"/>
      <c r="E239" s="380"/>
      <c r="F239" s="380"/>
      <c r="G239" s="380"/>
      <c r="H239" s="380"/>
      <c r="I239" s="379"/>
      <c r="J239" s="380"/>
    </row>
    <row r="240" spans="2:10">
      <c r="B240" s="378"/>
      <c r="C240" s="380"/>
      <c r="D240" s="380"/>
      <c r="E240" s="380"/>
      <c r="F240" s="380"/>
      <c r="G240" s="380"/>
      <c r="H240" s="380"/>
      <c r="I240" s="379"/>
      <c r="J240" s="380"/>
    </row>
    <row r="241" spans="2:10">
      <c r="B241" s="378"/>
      <c r="C241" s="380"/>
      <c r="D241" s="380"/>
      <c r="E241" s="380"/>
      <c r="F241" s="380"/>
      <c r="G241" s="380"/>
      <c r="H241" s="380"/>
      <c r="I241" s="379"/>
      <c r="J241" s="380"/>
    </row>
    <row r="242" spans="2:10">
      <c r="B242" s="378"/>
      <c r="C242" s="380"/>
      <c r="D242" s="380"/>
      <c r="E242" s="380"/>
      <c r="F242" s="380"/>
      <c r="G242" s="380"/>
      <c r="H242" s="380"/>
      <c r="I242" s="379"/>
      <c r="J242" s="380"/>
    </row>
    <row r="243" spans="2:10">
      <c r="B243" s="378"/>
      <c r="C243" s="380"/>
      <c r="D243" s="380"/>
      <c r="E243" s="380"/>
      <c r="F243" s="380"/>
      <c r="G243" s="380"/>
      <c r="H243" s="380"/>
      <c r="I243" s="379"/>
      <c r="J243" s="380"/>
    </row>
    <row r="244" spans="2:10">
      <c r="B244" s="378"/>
      <c r="C244" s="380"/>
      <c r="D244" s="380"/>
      <c r="E244" s="380"/>
      <c r="F244" s="380"/>
      <c r="G244" s="380"/>
      <c r="H244" s="380"/>
      <c r="I244" s="379"/>
      <c r="J244" s="380"/>
    </row>
    <row r="245" spans="2:10">
      <c r="B245" s="378"/>
      <c r="C245" s="380"/>
      <c r="D245" s="380"/>
      <c r="E245" s="380"/>
      <c r="F245" s="380"/>
      <c r="G245" s="380"/>
      <c r="H245" s="380"/>
      <c r="I245" s="379"/>
      <c r="J245" s="380"/>
    </row>
    <row r="246" spans="2:10">
      <c r="B246" s="378"/>
      <c r="C246" s="380"/>
      <c r="D246" s="380"/>
      <c r="E246" s="380"/>
      <c r="F246" s="380"/>
      <c r="G246" s="380"/>
      <c r="H246" s="380"/>
      <c r="I246" s="379"/>
      <c r="J246" s="380"/>
    </row>
    <row r="247" spans="2:10">
      <c r="B247" s="378"/>
      <c r="C247" s="380"/>
      <c r="D247" s="380"/>
      <c r="E247" s="380"/>
      <c r="F247" s="380"/>
      <c r="G247" s="380"/>
      <c r="H247" s="380"/>
      <c r="I247" s="379"/>
      <c r="J247" s="380"/>
    </row>
    <row r="248" spans="2:10">
      <c r="B248" s="378"/>
      <c r="C248" s="380"/>
      <c r="D248" s="380"/>
      <c r="E248" s="380"/>
      <c r="F248" s="380"/>
      <c r="G248" s="380"/>
      <c r="H248" s="380"/>
      <c r="I248" s="379"/>
      <c r="J248" s="380"/>
    </row>
    <row r="249" spans="2:10">
      <c r="B249" s="378"/>
      <c r="C249" s="380"/>
      <c r="D249" s="380"/>
      <c r="E249" s="380"/>
      <c r="F249" s="380"/>
      <c r="G249" s="380"/>
      <c r="H249" s="380"/>
      <c r="I249" s="379"/>
      <c r="J249" s="380"/>
    </row>
    <row r="250" spans="2:10">
      <c r="B250" s="378"/>
      <c r="C250" s="380"/>
      <c r="D250" s="380"/>
      <c r="E250" s="380"/>
      <c r="F250" s="380"/>
      <c r="G250" s="380"/>
      <c r="H250" s="380"/>
      <c r="I250" s="379"/>
      <c r="J250" s="380"/>
    </row>
    <row r="251" spans="2:10">
      <c r="B251" s="378"/>
      <c r="C251" s="380"/>
      <c r="D251" s="380"/>
      <c r="E251" s="380"/>
      <c r="F251" s="380"/>
      <c r="G251" s="380"/>
      <c r="H251" s="380"/>
      <c r="I251" s="379"/>
      <c r="J251" s="380"/>
    </row>
    <row r="252" spans="2:10">
      <c r="B252" s="378"/>
      <c r="C252" s="380"/>
      <c r="D252" s="380"/>
      <c r="E252" s="380"/>
      <c r="F252" s="380"/>
      <c r="G252" s="380"/>
      <c r="H252" s="380"/>
      <c r="I252" s="379"/>
      <c r="J252" s="380"/>
    </row>
    <row r="253" spans="2:10">
      <c r="B253" s="378"/>
      <c r="C253" s="380"/>
      <c r="D253" s="380"/>
      <c r="E253" s="380"/>
      <c r="F253" s="380"/>
      <c r="G253" s="380"/>
      <c r="H253" s="380"/>
      <c r="I253" s="379"/>
      <c r="J253" s="380"/>
    </row>
    <row r="254" spans="2:10">
      <c r="B254" s="378"/>
      <c r="C254" s="380"/>
      <c r="D254" s="380"/>
      <c r="E254" s="380"/>
      <c r="F254" s="380"/>
      <c r="G254" s="380"/>
      <c r="H254" s="380"/>
      <c r="I254" s="379"/>
      <c r="J254" s="380"/>
    </row>
    <row r="255" spans="2:10">
      <c r="B255" s="378"/>
      <c r="C255" s="380"/>
      <c r="D255" s="380"/>
      <c r="E255" s="380"/>
      <c r="F255" s="380"/>
      <c r="G255" s="380"/>
      <c r="H255" s="380"/>
      <c r="I255" s="379"/>
      <c r="J255" s="380"/>
    </row>
    <row r="256" spans="2:10">
      <c r="B256" s="378"/>
      <c r="C256" s="380"/>
      <c r="D256" s="380"/>
      <c r="E256" s="380"/>
      <c r="F256" s="380"/>
      <c r="G256" s="380"/>
      <c r="H256" s="380"/>
      <c r="I256" s="379"/>
      <c r="J256" s="380"/>
    </row>
    <row r="257" spans="2:10">
      <c r="B257" s="378"/>
      <c r="C257" s="380"/>
      <c r="D257" s="380"/>
      <c r="E257" s="380"/>
      <c r="F257" s="380"/>
      <c r="G257" s="380"/>
      <c r="H257" s="380"/>
      <c r="I257" s="379"/>
      <c r="J257" s="380"/>
    </row>
    <row r="258" spans="2:10">
      <c r="B258" s="378"/>
      <c r="C258" s="380"/>
      <c r="D258" s="380"/>
      <c r="E258" s="380"/>
      <c r="F258" s="380"/>
      <c r="G258" s="380"/>
      <c r="H258" s="380"/>
      <c r="I258" s="379"/>
      <c r="J258" s="380"/>
    </row>
    <row r="259" spans="2:10">
      <c r="B259" s="378"/>
      <c r="C259" s="380"/>
      <c r="D259" s="380"/>
      <c r="E259" s="380"/>
      <c r="F259" s="380"/>
      <c r="G259" s="380"/>
      <c r="H259" s="380"/>
      <c r="I259" s="379"/>
      <c r="J259" s="380"/>
    </row>
    <row r="260" spans="2:10">
      <c r="B260" s="378"/>
      <c r="C260" s="380"/>
      <c r="D260" s="380"/>
      <c r="E260" s="380"/>
      <c r="F260" s="380"/>
      <c r="G260" s="380"/>
      <c r="H260" s="380"/>
      <c r="I260" s="379"/>
      <c r="J260" s="380"/>
    </row>
    <row r="261" spans="2:10">
      <c r="B261" s="378"/>
      <c r="C261" s="380"/>
      <c r="D261" s="380"/>
      <c r="E261" s="380"/>
      <c r="F261" s="380"/>
      <c r="G261" s="380"/>
      <c r="H261" s="380"/>
      <c r="I261" s="379"/>
      <c r="J261" s="380"/>
    </row>
    <row r="262" spans="2:10">
      <c r="B262" s="378"/>
      <c r="C262" s="380"/>
      <c r="D262" s="380"/>
      <c r="E262" s="380"/>
      <c r="F262" s="380"/>
      <c r="G262" s="380"/>
      <c r="H262" s="380"/>
      <c r="I262" s="379"/>
      <c r="J262" s="380"/>
    </row>
    <row r="263" spans="2:10">
      <c r="B263" s="378"/>
      <c r="C263" s="380"/>
      <c r="D263" s="380"/>
      <c r="E263" s="380"/>
      <c r="F263" s="380"/>
      <c r="G263" s="380"/>
      <c r="H263" s="380"/>
      <c r="I263" s="379"/>
      <c r="J263" s="380"/>
    </row>
    <row r="264" spans="2:10">
      <c r="B264" s="378"/>
      <c r="C264" s="380"/>
      <c r="D264" s="380"/>
      <c r="E264" s="380"/>
      <c r="F264" s="380"/>
      <c r="G264" s="380"/>
      <c r="H264" s="380"/>
      <c r="I264" s="379"/>
      <c r="J264" s="380"/>
    </row>
    <row r="265" spans="2:10">
      <c r="B265" s="378"/>
      <c r="C265" s="380"/>
      <c r="D265" s="380"/>
      <c r="E265" s="380"/>
      <c r="F265" s="380"/>
      <c r="G265" s="380"/>
      <c r="H265" s="380"/>
      <c r="I265" s="379"/>
      <c r="J265" s="380"/>
    </row>
    <row r="266" spans="2:10">
      <c r="B266" s="378"/>
      <c r="C266" s="380"/>
      <c r="D266" s="380"/>
      <c r="E266" s="380"/>
      <c r="F266" s="380"/>
      <c r="G266" s="380"/>
      <c r="H266" s="380"/>
      <c r="I266" s="379"/>
      <c r="J266" s="380"/>
    </row>
    <row r="267" spans="2:10">
      <c r="B267" s="378"/>
      <c r="C267" s="380"/>
      <c r="D267" s="380"/>
      <c r="E267" s="380"/>
      <c r="F267" s="380"/>
      <c r="G267" s="380"/>
      <c r="H267" s="380"/>
      <c r="I267" s="379"/>
      <c r="J267" s="380"/>
    </row>
    <row r="268" spans="2:10">
      <c r="B268" s="378"/>
      <c r="C268" s="380"/>
      <c r="D268" s="380"/>
      <c r="E268" s="380"/>
      <c r="F268" s="380"/>
      <c r="G268" s="380"/>
      <c r="H268" s="380"/>
      <c r="I268" s="379"/>
      <c r="J268" s="380"/>
    </row>
  </sheetData>
  <pageMargins left="0.75" right="0.75" top="1" bottom="1" header="0.5" footer="0.5"/>
  <headerFooter alignWithMargins="0"/>
  <drawing r:id="rId1"/>
  <legacyDrawing r:id="rId2"/>
  <controls>
    <mc:AlternateContent xmlns:mc="http://schemas.openxmlformats.org/markup-compatibility/2006">
      <mc:Choice Requires="x14">
        <control shapeId="1290241" r:id="rId3" name="cmdCheckTSandTIDDataSheet">
          <controlPr defaultSize="0" autoLine="0" r:id="rId4">
            <anchor moveWithCells="1">
              <from>
                <xdr:col>0</xdr:col>
                <xdr:colOff>0</xdr:colOff>
                <xdr:row>2</xdr:row>
                <xdr:rowOff>0</xdr:rowOff>
              </from>
              <to>
                <xdr:col>1</xdr:col>
                <xdr:colOff>9525</xdr:colOff>
                <xdr:row>3</xdr:row>
                <xdr:rowOff>47625</xdr:rowOff>
              </to>
            </anchor>
          </controlPr>
        </control>
      </mc:Choice>
      <mc:Fallback>
        <control shapeId="1290241" r:id="rId3" name="cmdCheckTSandTIDDataSheet"/>
      </mc:Fallback>
    </mc:AlternateContent>
    <mc:AlternateContent xmlns:mc="http://schemas.openxmlformats.org/markup-compatibility/2006">
      <mc:Choice Requires="x14">
        <control shapeId="1290242" r:id="rId5" name="cmdSpecifyParameter">
          <controlPr defaultSize="0" autoLine="0" r:id="rId6">
            <anchor moveWithCells="1">
              <from>
                <xdr:col>1</xdr:col>
                <xdr:colOff>0</xdr:colOff>
                <xdr:row>3</xdr:row>
                <xdr:rowOff>0</xdr:rowOff>
              </from>
              <to>
                <xdr:col>2</xdr:col>
                <xdr:colOff>19050</xdr:colOff>
                <xdr:row>4</xdr:row>
                <xdr:rowOff>104775</xdr:rowOff>
              </to>
            </anchor>
          </controlPr>
        </control>
      </mc:Choice>
      <mc:Fallback>
        <control shapeId="1290242" r:id="rId5" name="cmdSpecifyParameter"/>
      </mc:Fallback>
    </mc:AlternateContent>
    <mc:AlternateContent xmlns:mc="http://schemas.openxmlformats.org/markup-compatibility/2006">
      <mc:Choice Requires="x14">
        <control shapeId="1290243" r:id="rId7" name="cmdSpecifyArg1">
          <controlPr defaultSize="0" autoLine="0" r:id="rId8">
            <anchor moveWithCells="1">
              <from>
                <xdr:col>2</xdr:col>
                <xdr:colOff>0</xdr:colOff>
                <xdr:row>3</xdr:row>
                <xdr:rowOff>0</xdr:rowOff>
              </from>
              <to>
                <xdr:col>2</xdr:col>
                <xdr:colOff>619125</xdr:colOff>
                <xdr:row>4</xdr:row>
                <xdr:rowOff>104775</xdr:rowOff>
              </to>
            </anchor>
          </controlPr>
        </control>
      </mc:Choice>
      <mc:Fallback>
        <control shapeId="1290243" r:id="rId7" name="cmdSpecifyArg1"/>
      </mc:Fallback>
    </mc:AlternateContent>
    <mc:AlternateContent xmlns:mc="http://schemas.openxmlformats.org/markup-compatibility/2006">
      <mc:Choice Requires="x14">
        <control shapeId="1290244" r:id="rId9" name="cmdSpecifyArg2">
          <controlPr defaultSize="0" autoLine="0" r:id="rId10">
            <anchor moveWithCells="1">
              <from>
                <xdr:col>3</xdr:col>
                <xdr:colOff>0</xdr:colOff>
                <xdr:row>3</xdr:row>
                <xdr:rowOff>0</xdr:rowOff>
              </from>
              <to>
                <xdr:col>3</xdr:col>
                <xdr:colOff>619125</xdr:colOff>
                <xdr:row>4</xdr:row>
                <xdr:rowOff>104775</xdr:rowOff>
              </to>
            </anchor>
          </controlPr>
        </control>
      </mc:Choice>
      <mc:Fallback>
        <control shapeId="1290244" r:id="rId9" name="cmdSpecifyArg2"/>
      </mc:Fallback>
    </mc:AlternateContent>
    <mc:AlternateContent xmlns:mc="http://schemas.openxmlformats.org/markup-compatibility/2006">
      <mc:Choice Requires="x14">
        <control shapeId="1290245" r:id="rId11" name="cmdSpecifyArg3">
          <controlPr defaultSize="0" autoLine="0" r:id="rId12">
            <anchor moveWithCells="1">
              <from>
                <xdr:col>4</xdr:col>
                <xdr:colOff>0</xdr:colOff>
                <xdr:row>3</xdr:row>
                <xdr:rowOff>0</xdr:rowOff>
              </from>
              <to>
                <xdr:col>4</xdr:col>
                <xdr:colOff>619125</xdr:colOff>
                <xdr:row>4</xdr:row>
                <xdr:rowOff>104775</xdr:rowOff>
              </to>
            </anchor>
          </controlPr>
        </control>
      </mc:Choice>
      <mc:Fallback>
        <control shapeId="1290245" r:id="rId11" name="cmdSpecifyArg3"/>
      </mc:Fallback>
    </mc:AlternateContent>
    <mc:AlternateContent xmlns:mc="http://schemas.openxmlformats.org/markup-compatibility/2006">
      <mc:Choice Requires="x14">
        <control shapeId="1290246" r:id="rId13" name="cmdSpecifyArg4">
          <controlPr defaultSize="0" autoLine="0" r:id="rId14">
            <anchor moveWithCells="1">
              <from>
                <xdr:col>5</xdr:col>
                <xdr:colOff>0</xdr:colOff>
                <xdr:row>3</xdr:row>
                <xdr:rowOff>0</xdr:rowOff>
              </from>
              <to>
                <xdr:col>5</xdr:col>
                <xdr:colOff>619125</xdr:colOff>
                <xdr:row>4</xdr:row>
                <xdr:rowOff>104775</xdr:rowOff>
              </to>
            </anchor>
          </controlPr>
        </control>
      </mc:Choice>
      <mc:Fallback>
        <control shapeId="1290246" r:id="rId13" name="cmdSpecifyArg4"/>
      </mc:Fallback>
    </mc:AlternateContent>
    <mc:AlternateContent xmlns:mc="http://schemas.openxmlformats.org/markup-compatibility/2006">
      <mc:Choice Requires="x14">
        <control shapeId="1290247" r:id="rId15" name="cmdSpecifyArg5">
          <controlPr defaultSize="0" autoLine="0" r:id="rId16">
            <anchor moveWithCells="1">
              <from>
                <xdr:col>6</xdr:col>
                <xdr:colOff>0</xdr:colOff>
                <xdr:row>3</xdr:row>
                <xdr:rowOff>0</xdr:rowOff>
              </from>
              <to>
                <xdr:col>6</xdr:col>
                <xdr:colOff>619125</xdr:colOff>
                <xdr:row>4</xdr:row>
                <xdr:rowOff>104775</xdr:rowOff>
              </to>
            </anchor>
          </controlPr>
        </control>
      </mc:Choice>
      <mc:Fallback>
        <control shapeId="1290247" r:id="rId15" name="cmdSpecifyArg5"/>
      </mc:Fallback>
    </mc:AlternateContent>
    <mc:AlternateContent xmlns:mc="http://schemas.openxmlformats.org/markup-compatibility/2006">
      <mc:Choice Requires="x14">
        <control shapeId="1290248" r:id="rId17" name="cmdSpecifyArg6">
          <controlPr defaultSize="0" autoLine="0" r:id="rId18">
            <anchor moveWithCells="1">
              <from>
                <xdr:col>7</xdr:col>
                <xdr:colOff>0</xdr:colOff>
                <xdr:row>3</xdr:row>
                <xdr:rowOff>0</xdr:rowOff>
              </from>
              <to>
                <xdr:col>7</xdr:col>
                <xdr:colOff>619125</xdr:colOff>
                <xdr:row>4</xdr:row>
                <xdr:rowOff>104775</xdr:rowOff>
              </to>
            </anchor>
          </controlPr>
        </control>
      </mc:Choice>
      <mc:Fallback>
        <control shapeId="1290248" r:id="rId17" name="cmdSpecifyArg6"/>
      </mc:Fallback>
    </mc:AlternateContent>
    <mc:AlternateContent xmlns:mc="http://schemas.openxmlformats.org/markup-compatibility/2006">
      <mc:Choice Requires="x14">
        <control shapeId="1290249" r:id="rId19" name="cmdSpecifyIEOptcode">
          <controlPr defaultSize="0" autoLine="0" r:id="rId20">
            <anchor moveWithCells="1">
              <from>
                <xdr:col>8</xdr:col>
                <xdr:colOff>47625</xdr:colOff>
                <xdr:row>3</xdr:row>
                <xdr:rowOff>0</xdr:rowOff>
              </from>
              <to>
                <xdr:col>8</xdr:col>
                <xdr:colOff>466725</xdr:colOff>
                <xdr:row>4</xdr:row>
                <xdr:rowOff>104775</xdr:rowOff>
              </to>
            </anchor>
          </controlPr>
        </control>
      </mc:Choice>
      <mc:Fallback>
        <control shapeId="1290249" r:id="rId19" name="cmdSpecifyIEOptcode"/>
      </mc:Fallback>
    </mc:AlternateContent>
  </control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tabColor theme="9" tint="-0.249977111117893"/>
  </sheetPr>
  <dimension ref="A1:F19"/>
  <sheetViews>
    <sheetView topLeftCell="D2" workbookViewId="0">
      <selection activeCell="D12" sqref="D12"/>
    </sheetView>
  </sheetViews>
  <sheetFormatPr defaultColWidth="9.140625" defaultRowHeight="15"/>
  <cols>
    <col min="1" max="1" width="6.28515625" style="500" bestFit="1" customWidth="1"/>
    <col min="2" max="2" width="8.85546875" style="500" bestFit="1" customWidth="1"/>
    <col min="3" max="3" width="22.85546875" style="500" bestFit="1" customWidth="1"/>
    <col min="4" max="4" width="96.140625" style="500" bestFit="1" customWidth="1"/>
    <col min="5" max="5" width="6.5703125" style="500" bestFit="1" customWidth="1"/>
    <col min="6" max="6" width="25.85546875" style="500" bestFit="1" customWidth="1"/>
    <col min="7" max="16384" width="9.140625" style="500"/>
  </cols>
  <sheetData>
    <row r="1" spans="1:6">
      <c r="A1" s="500" t="s">
        <v>706</v>
      </c>
      <c r="B1" s="500" t="s">
        <v>707</v>
      </c>
    </row>
    <row r="2" spans="1:6">
      <c r="B2" s="500" t="s">
        <v>989</v>
      </c>
      <c r="C2" s="500" t="s">
        <v>990</v>
      </c>
      <c r="D2" s="500" t="s">
        <v>991</v>
      </c>
      <c r="E2" s="500" t="s">
        <v>647</v>
      </c>
      <c r="F2" s="500" t="s">
        <v>992</v>
      </c>
    </row>
    <row r="3" spans="1:6">
      <c r="B3" s="500" t="s">
        <v>989</v>
      </c>
      <c r="C3" s="500" t="s">
        <v>993</v>
      </c>
      <c r="D3" s="500" t="s">
        <v>994</v>
      </c>
      <c r="E3" s="500" t="s">
        <v>647</v>
      </c>
      <c r="F3" s="500" t="s">
        <v>992</v>
      </c>
    </row>
    <row r="4" spans="1:6">
      <c r="B4" s="500" t="s">
        <v>989</v>
      </c>
      <c r="C4" s="500" t="s">
        <v>995</v>
      </c>
      <c r="D4" s="500" t="s">
        <v>996</v>
      </c>
      <c r="E4" s="500" t="s">
        <v>647</v>
      </c>
      <c r="F4" s="500" t="s">
        <v>992</v>
      </c>
    </row>
    <row r="5" spans="1:6">
      <c r="B5" s="500" t="s">
        <v>989</v>
      </c>
      <c r="C5" s="500" t="s">
        <v>997</v>
      </c>
      <c r="D5" s="500" t="s">
        <v>998</v>
      </c>
      <c r="E5" s="500" t="s">
        <v>647</v>
      </c>
      <c r="F5" s="500" t="s">
        <v>992</v>
      </c>
    </row>
    <row r="6" spans="1:6">
      <c r="B6" s="500" t="s">
        <v>754</v>
      </c>
      <c r="C6" s="500" t="s">
        <v>999</v>
      </c>
      <c r="D6" s="500" t="s">
        <v>1000</v>
      </c>
      <c r="E6" s="500" t="s">
        <v>647</v>
      </c>
      <c r="F6" s="500" t="s">
        <v>1001</v>
      </c>
    </row>
    <row r="7" spans="1:6">
      <c r="B7" s="500" t="s">
        <v>754</v>
      </c>
      <c r="C7" s="500" t="s">
        <v>1002</v>
      </c>
      <c r="D7" s="500" t="s">
        <v>1003</v>
      </c>
      <c r="E7" s="500" t="s">
        <v>647</v>
      </c>
      <c r="F7" s="500" t="s">
        <v>1001</v>
      </c>
    </row>
    <row r="8" spans="1:6">
      <c r="B8" s="500" t="s">
        <v>754</v>
      </c>
      <c r="C8" s="500" t="s">
        <v>1004</v>
      </c>
      <c r="D8" s="500" t="s">
        <v>1005</v>
      </c>
      <c r="E8" s="500" t="s">
        <v>647</v>
      </c>
      <c r="F8" s="500" t="s">
        <v>1001</v>
      </c>
    </row>
    <row r="9" spans="1:6">
      <c r="B9" s="500" t="s">
        <v>754</v>
      </c>
      <c r="C9" s="500" t="s">
        <v>1006</v>
      </c>
      <c r="D9" s="500" t="s">
        <v>1007</v>
      </c>
      <c r="E9" s="500" t="s">
        <v>647</v>
      </c>
      <c r="F9" s="500" t="s">
        <v>1001</v>
      </c>
    </row>
    <row r="10" spans="1:6">
      <c r="B10" s="500" t="s">
        <v>754</v>
      </c>
      <c r="C10" s="500" t="s">
        <v>1008</v>
      </c>
      <c r="D10" s="500" t="s">
        <v>1009</v>
      </c>
      <c r="E10" s="500" t="s">
        <v>647</v>
      </c>
      <c r="F10" s="500" t="s">
        <v>1001</v>
      </c>
    </row>
    <row r="11" spans="1:6">
      <c r="B11" s="500" t="s">
        <v>754</v>
      </c>
      <c r="C11" s="500" t="s">
        <v>1010</v>
      </c>
      <c r="D11" s="500" t="s">
        <v>1011</v>
      </c>
      <c r="E11" s="500" t="s">
        <v>647</v>
      </c>
      <c r="F11" s="500" t="s">
        <v>1001</v>
      </c>
    </row>
    <row r="12" spans="1:6">
      <c r="B12" s="500" t="s">
        <v>821</v>
      </c>
      <c r="C12" s="500" t="s">
        <v>1012</v>
      </c>
      <c r="D12" s="500" t="s">
        <v>1013</v>
      </c>
      <c r="E12" s="500" t="s">
        <v>1014</v>
      </c>
      <c r="F12" s="500" t="s">
        <v>1015</v>
      </c>
    </row>
    <row r="13" spans="1:6">
      <c r="B13" s="500" t="s">
        <v>821</v>
      </c>
      <c r="C13" s="500" t="s">
        <v>1016</v>
      </c>
      <c r="D13" s="500" t="s">
        <v>1017</v>
      </c>
      <c r="E13" s="500" t="s">
        <v>1014</v>
      </c>
      <c r="F13" s="500" t="s">
        <v>1015</v>
      </c>
    </row>
    <row r="14" spans="1:6">
      <c r="B14" s="500" t="s">
        <v>821</v>
      </c>
      <c r="C14" s="500" t="s">
        <v>1018</v>
      </c>
      <c r="D14" s="500" t="s">
        <v>1019</v>
      </c>
      <c r="E14" s="500" t="s">
        <v>1014</v>
      </c>
      <c r="F14" s="500" t="s">
        <v>1015</v>
      </c>
    </row>
    <row r="15" spans="1:6">
      <c r="B15" s="500" t="s">
        <v>821</v>
      </c>
      <c r="C15" s="500" t="s">
        <v>1020</v>
      </c>
      <c r="D15" s="500" t="s">
        <v>1021</v>
      </c>
      <c r="E15" s="500" t="s">
        <v>1014</v>
      </c>
      <c r="F15" s="500" t="s">
        <v>1015</v>
      </c>
    </row>
    <row r="16" spans="1:6">
      <c r="B16" s="500" t="s">
        <v>821</v>
      </c>
      <c r="C16" s="500" t="s">
        <v>1022</v>
      </c>
      <c r="D16" s="500" t="s">
        <v>1023</v>
      </c>
      <c r="E16" s="500" t="s">
        <v>1014</v>
      </c>
      <c r="F16" s="500" t="s">
        <v>1024</v>
      </c>
    </row>
    <row r="17" spans="2:6">
      <c r="B17" s="500" t="s">
        <v>821</v>
      </c>
      <c r="C17" s="500" t="s">
        <v>1025</v>
      </c>
      <c r="D17" s="500" t="s">
        <v>1026</v>
      </c>
      <c r="E17" s="500" t="s">
        <v>1014</v>
      </c>
      <c r="F17" s="500" t="s">
        <v>1024</v>
      </c>
    </row>
    <row r="18" spans="2:6">
      <c r="B18" s="500" t="s">
        <v>821</v>
      </c>
      <c r="C18" s="500" t="s">
        <v>1027</v>
      </c>
      <c r="D18" s="500" t="s">
        <v>1028</v>
      </c>
      <c r="E18" s="500" t="s">
        <v>1029</v>
      </c>
      <c r="F18" s="500" t="s">
        <v>1030</v>
      </c>
    </row>
    <row r="19" spans="2:6">
      <c r="B19" s="500" t="s">
        <v>821</v>
      </c>
      <c r="C19" s="500" t="s">
        <v>1031</v>
      </c>
      <c r="D19" s="500" t="s">
        <v>1032</v>
      </c>
      <c r="E19" s="500" t="s">
        <v>1029</v>
      </c>
      <c r="F19" s="500" t="s">
        <v>1030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tabColor theme="9" tint="-0.249977111117893"/>
  </sheetPr>
  <dimension ref="A1:AL39"/>
  <sheetViews>
    <sheetView topLeftCell="A23" workbookViewId="0">
      <selection activeCell="C35" sqref="C35"/>
    </sheetView>
  </sheetViews>
  <sheetFormatPr defaultColWidth="9.140625" defaultRowHeight="15"/>
  <cols>
    <col min="1" max="1" width="8.28515625" style="500" bestFit="1" customWidth="1"/>
    <col min="2" max="2" width="12.140625" style="500" bestFit="1" customWidth="1"/>
    <col min="3" max="3" width="20.7109375" style="500" bestFit="1" customWidth="1"/>
    <col min="4" max="4" width="4.85546875" style="500" bestFit="1" customWidth="1"/>
    <col min="5" max="5" width="22.42578125" style="500" bestFit="1" customWidth="1"/>
    <col min="6" max="6" width="1.7109375" style="500" bestFit="1" customWidth="1"/>
    <col min="7" max="7" width="8.5703125" style="500" bestFit="1" customWidth="1"/>
    <col min="8" max="8" width="3.42578125" style="500" bestFit="1" customWidth="1"/>
    <col min="9" max="9" width="3.5703125" style="500" customWidth="1"/>
    <col min="10" max="10" width="12" style="500" bestFit="1" customWidth="1"/>
    <col min="11" max="11" width="5" style="500" bestFit="1" customWidth="1"/>
    <col min="12" max="13" width="4.42578125" style="500" bestFit="1" customWidth="1"/>
    <col min="14" max="48" width="7" style="500" bestFit="1" customWidth="1"/>
    <col min="49" max="16384" width="9.140625" style="500"/>
  </cols>
  <sheetData>
    <row r="1" spans="1:10">
      <c r="A1" s="500" t="s">
        <v>718</v>
      </c>
      <c r="B1" s="500" t="s">
        <v>707</v>
      </c>
    </row>
    <row r="2" spans="1:10">
      <c r="B2" s="500" t="s">
        <v>1033</v>
      </c>
      <c r="C2" s="500" t="s">
        <v>1027</v>
      </c>
      <c r="D2" s="500" t="s">
        <v>463</v>
      </c>
      <c r="E2" s="500" t="s">
        <v>463</v>
      </c>
      <c r="F2" s="500" t="s">
        <v>463</v>
      </c>
      <c r="G2" s="500" t="s">
        <v>463</v>
      </c>
      <c r="H2" s="500" t="s">
        <v>463</v>
      </c>
      <c r="I2" s="500">
        <v>0</v>
      </c>
      <c r="J2" s="500">
        <f>'Trigen data MTN + gas boiler'!D92</f>
        <v>123.01611378264606</v>
      </c>
    </row>
    <row r="3" spans="1:10">
      <c r="B3" s="500" t="s">
        <v>1033</v>
      </c>
      <c r="C3" s="500" t="s">
        <v>1031</v>
      </c>
      <c r="D3" s="500" t="s">
        <v>463</v>
      </c>
      <c r="E3" s="500" t="s">
        <v>463</v>
      </c>
      <c r="F3" s="500" t="s">
        <v>463</v>
      </c>
      <c r="G3" s="500" t="s">
        <v>463</v>
      </c>
      <c r="H3" s="500" t="s">
        <v>463</v>
      </c>
      <c r="I3" s="500">
        <v>0</v>
      </c>
      <c r="J3" s="500">
        <f>J2</f>
        <v>123.01611378264606</v>
      </c>
    </row>
    <row r="4" spans="1:10">
      <c r="B4" s="500" t="s">
        <v>731</v>
      </c>
      <c r="C4" s="500" t="s">
        <v>1012</v>
      </c>
      <c r="D4" s="500" t="s">
        <v>463</v>
      </c>
      <c r="E4" s="500" t="s">
        <v>733</v>
      </c>
      <c r="F4" s="500" t="s">
        <v>463</v>
      </c>
      <c r="G4" s="500" t="s">
        <v>734</v>
      </c>
      <c r="H4" s="500" t="s">
        <v>463</v>
      </c>
      <c r="I4" s="500">
        <v>0</v>
      </c>
      <c r="J4" s="500">
        <v>1</v>
      </c>
    </row>
    <row r="5" spans="1:10">
      <c r="B5" s="500" t="s">
        <v>731</v>
      </c>
      <c r="C5" s="500" t="s">
        <v>1016</v>
      </c>
      <c r="D5" s="500" t="s">
        <v>463</v>
      </c>
      <c r="E5" s="500" t="s">
        <v>1002</v>
      </c>
      <c r="F5" s="500" t="s">
        <v>463</v>
      </c>
      <c r="G5" s="500" t="s">
        <v>734</v>
      </c>
      <c r="H5" s="500" t="s">
        <v>463</v>
      </c>
      <c r="I5" s="500">
        <v>0</v>
      </c>
      <c r="J5" s="500">
        <v>1</v>
      </c>
    </row>
    <row r="6" spans="1:10">
      <c r="B6" s="500" t="s">
        <v>731</v>
      </c>
      <c r="C6" s="500" t="s">
        <v>1018</v>
      </c>
      <c r="D6" s="500" t="s">
        <v>463</v>
      </c>
      <c r="E6" s="500" t="s">
        <v>1004</v>
      </c>
      <c r="F6" s="500" t="s">
        <v>463</v>
      </c>
      <c r="G6" s="500" t="s">
        <v>734</v>
      </c>
      <c r="H6" s="500" t="s">
        <v>463</v>
      </c>
      <c r="I6" s="500">
        <v>0</v>
      </c>
      <c r="J6" s="500">
        <v>1</v>
      </c>
    </row>
    <row r="7" spans="1:10">
      <c r="B7" s="500" t="s">
        <v>731</v>
      </c>
      <c r="C7" s="500" t="s">
        <v>1020</v>
      </c>
      <c r="D7" s="500" t="s">
        <v>463</v>
      </c>
      <c r="E7" s="500" t="s">
        <v>1006</v>
      </c>
      <c r="F7" s="500" t="s">
        <v>463</v>
      </c>
      <c r="G7" s="500" t="s">
        <v>734</v>
      </c>
      <c r="H7" s="500" t="s">
        <v>463</v>
      </c>
      <c r="I7" s="500">
        <v>0</v>
      </c>
      <c r="J7" s="500">
        <v>1</v>
      </c>
    </row>
    <row r="8" spans="1:10">
      <c r="B8" s="500" t="s">
        <v>731</v>
      </c>
      <c r="C8" s="500" t="s">
        <v>1022</v>
      </c>
      <c r="D8" s="500" t="s">
        <v>463</v>
      </c>
      <c r="E8" s="500" t="s">
        <v>999</v>
      </c>
      <c r="F8" s="500" t="s">
        <v>463</v>
      </c>
      <c r="G8" s="500" t="s">
        <v>734</v>
      </c>
      <c r="H8" s="500" t="s">
        <v>463</v>
      </c>
      <c r="I8" s="500">
        <v>0</v>
      </c>
      <c r="J8" s="500">
        <v>1</v>
      </c>
    </row>
    <row r="9" spans="1:10">
      <c r="B9" s="500" t="s">
        <v>731</v>
      </c>
      <c r="C9" s="500" t="s">
        <v>1022</v>
      </c>
      <c r="D9" s="500" t="s">
        <v>463</v>
      </c>
      <c r="E9" s="500" t="s">
        <v>1004</v>
      </c>
      <c r="F9" s="500" t="s">
        <v>463</v>
      </c>
      <c r="G9" s="500" t="s">
        <v>734</v>
      </c>
      <c r="H9" s="500" t="s">
        <v>463</v>
      </c>
      <c r="I9" s="500">
        <v>0</v>
      </c>
      <c r="J9" s="500">
        <v>1</v>
      </c>
    </row>
    <row r="10" spans="1:10">
      <c r="B10" s="500" t="s">
        <v>731</v>
      </c>
      <c r="C10" s="500" t="s">
        <v>1025</v>
      </c>
      <c r="D10" s="500" t="s">
        <v>463</v>
      </c>
      <c r="E10" s="500" t="s">
        <v>1002</v>
      </c>
      <c r="F10" s="500" t="s">
        <v>463</v>
      </c>
      <c r="G10" s="500" t="s">
        <v>734</v>
      </c>
      <c r="H10" s="500" t="s">
        <v>463</v>
      </c>
      <c r="I10" s="500">
        <v>0</v>
      </c>
      <c r="J10" s="500">
        <v>1</v>
      </c>
    </row>
    <row r="11" spans="1:10">
      <c r="B11" s="500" t="s">
        <v>731</v>
      </c>
      <c r="C11" s="500" t="s">
        <v>1025</v>
      </c>
      <c r="D11" s="500" t="s">
        <v>463</v>
      </c>
      <c r="E11" s="500" t="s">
        <v>1006</v>
      </c>
      <c r="F11" s="500" t="s">
        <v>463</v>
      </c>
      <c r="G11" s="500" t="s">
        <v>734</v>
      </c>
      <c r="H11" s="500" t="s">
        <v>463</v>
      </c>
      <c r="I11" s="500">
        <v>0</v>
      </c>
      <c r="J11" s="500">
        <v>1</v>
      </c>
    </row>
    <row r="12" spans="1:10">
      <c r="B12" s="500" t="s">
        <v>731</v>
      </c>
      <c r="C12" s="500" t="s">
        <v>1027</v>
      </c>
      <c r="D12" s="500" t="s">
        <v>463</v>
      </c>
      <c r="E12" s="500" t="s">
        <v>1034</v>
      </c>
      <c r="F12" s="500" t="s">
        <v>463</v>
      </c>
      <c r="G12" s="500" t="s">
        <v>734</v>
      </c>
      <c r="H12" s="500" t="s">
        <v>463</v>
      </c>
      <c r="I12" s="500">
        <v>0</v>
      </c>
      <c r="J12" s="500">
        <v>0.45</v>
      </c>
    </row>
    <row r="13" spans="1:10">
      <c r="B13" s="500" t="s">
        <v>731</v>
      </c>
      <c r="C13" s="500" t="s">
        <v>1031</v>
      </c>
      <c r="D13" s="500" t="s">
        <v>463</v>
      </c>
      <c r="E13" s="500" t="s">
        <v>1034</v>
      </c>
      <c r="F13" s="500" t="s">
        <v>463</v>
      </c>
      <c r="G13" s="500" t="s">
        <v>734</v>
      </c>
      <c r="H13" s="500" t="s">
        <v>463</v>
      </c>
      <c r="I13" s="500">
        <v>0</v>
      </c>
      <c r="J13" s="500">
        <v>0.45</v>
      </c>
    </row>
    <row r="14" spans="1:10">
      <c r="B14" s="500" t="s">
        <v>1035</v>
      </c>
      <c r="C14" s="500" t="s">
        <v>1018</v>
      </c>
      <c r="D14" s="500" t="s">
        <v>463</v>
      </c>
      <c r="E14" s="500" t="s">
        <v>463</v>
      </c>
      <c r="F14" s="500" t="s">
        <v>463</v>
      </c>
      <c r="G14" s="500" t="s">
        <v>734</v>
      </c>
      <c r="H14" s="500" t="s">
        <v>737</v>
      </c>
      <c r="I14" s="500">
        <v>0</v>
      </c>
      <c r="J14" s="500">
        <v>1</v>
      </c>
    </row>
    <row r="15" spans="1:10">
      <c r="B15" s="500" t="s">
        <v>1035</v>
      </c>
      <c r="C15" s="500" t="s">
        <v>1020</v>
      </c>
      <c r="D15" s="500" t="s">
        <v>463</v>
      </c>
      <c r="E15" s="500" t="s">
        <v>463</v>
      </c>
      <c r="F15" s="500" t="s">
        <v>463</v>
      </c>
      <c r="G15" s="500" t="s">
        <v>734</v>
      </c>
      <c r="H15" s="500" t="s">
        <v>737</v>
      </c>
      <c r="I15" s="500">
        <v>0</v>
      </c>
      <c r="J15" s="500">
        <v>1</v>
      </c>
    </row>
    <row r="16" spans="1:10">
      <c r="B16" s="500" t="s">
        <v>1035</v>
      </c>
      <c r="C16" s="500" t="s">
        <v>1027</v>
      </c>
      <c r="D16" s="500" t="s">
        <v>463</v>
      </c>
      <c r="E16" s="500" t="s">
        <v>463</v>
      </c>
      <c r="F16" s="500" t="s">
        <v>463</v>
      </c>
      <c r="G16" s="500" t="s">
        <v>734</v>
      </c>
      <c r="H16" s="500" t="s">
        <v>797</v>
      </c>
      <c r="I16" s="500">
        <v>0</v>
      </c>
      <c r="J16" s="500">
        <v>0</v>
      </c>
    </row>
    <row r="17" spans="2:13">
      <c r="B17" s="500" t="s">
        <v>1035</v>
      </c>
      <c r="C17" s="500" t="s">
        <v>1031</v>
      </c>
      <c r="D17" s="500" t="s">
        <v>463</v>
      </c>
      <c r="E17" s="500" t="s">
        <v>463</v>
      </c>
      <c r="F17" s="500" t="s">
        <v>463</v>
      </c>
      <c r="G17" s="500" t="s">
        <v>734</v>
      </c>
      <c r="H17" s="500" t="s">
        <v>797</v>
      </c>
      <c r="I17" s="500">
        <v>0</v>
      </c>
      <c r="J17" s="500">
        <v>0</v>
      </c>
    </row>
    <row r="18" spans="2:13">
      <c r="B18" s="500" t="s">
        <v>1035</v>
      </c>
      <c r="C18" s="500" t="s">
        <v>1027</v>
      </c>
      <c r="D18" s="500" t="s">
        <v>463</v>
      </c>
      <c r="E18" s="500" t="s">
        <v>463</v>
      </c>
      <c r="F18" s="500" t="s">
        <v>463</v>
      </c>
      <c r="G18" s="500" t="s">
        <v>734</v>
      </c>
      <c r="H18" s="502" t="s">
        <v>737</v>
      </c>
      <c r="I18" s="500">
        <v>0</v>
      </c>
      <c r="J18" s="500">
        <v>0.9</v>
      </c>
    </row>
    <row r="19" spans="2:13">
      <c r="B19" s="500" t="s">
        <v>1035</v>
      </c>
      <c r="C19" s="500" t="s">
        <v>1031</v>
      </c>
      <c r="D19" s="500" t="s">
        <v>463</v>
      </c>
      <c r="E19" s="500" t="s">
        <v>463</v>
      </c>
      <c r="F19" s="500" t="s">
        <v>463</v>
      </c>
      <c r="G19" s="500" t="s">
        <v>734</v>
      </c>
      <c r="H19" s="502" t="s">
        <v>737</v>
      </c>
      <c r="I19" s="500">
        <v>0</v>
      </c>
      <c r="J19" s="500">
        <v>0.9</v>
      </c>
    </row>
    <row r="20" spans="2:13">
      <c r="B20" s="500" t="s">
        <v>739</v>
      </c>
      <c r="C20" s="500" t="s">
        <v>1027</v>
      </c>
      <c r="D20" s="500" t="s">
        <v>463</v>
      </c>
      <c r="E20" s="500" t="s">
        <v>463</v>
      </c>
      <c r="F20" s="500" t="s">
        <v>463</v>
      </c>
      <c r="G20" s="500" t="s">
        <v>463</v>
      </c>
      <c r="H20" s="504" t="s">
        <v>1037</v>
      </c>
      <c r="I20" s="500">
        <v>0</v>
      </c>
      <c r="K20" s="500">
        <v>0</v>
      </c>
      <c r="L20" s="500">
        <v>0</v>
      </c>
      <c r="M20" s="500">
        <v>0</v>
      </c>
    </row>
    <row r="21" spans="2:13">
      <c r="B21" s="500" t="s">
        <v>739</v>
      </c>
      <c r="C21" s="500" t="s">
        <v>1031</v>
      </c>
      <c r="D21" s="500" t="s">
        <v>463</v>
      </c>
      <c r="E21" s="500" t="s">
        <v>463</v>
      </c>
      <c r="F21" s="500" t="s">
        <v>463</v>
      </c>
      <c r="G21" s="500" t="s">
        <v>463</v>
      </c>
      <c r="H21" s="504" t="s">
        <v>1037</v>
      </c>
      <c r="I21" s="500">
        <v>0</v>
      </c>
      <c r="J21" s="500">
        <v>0</v>
      </c>
      <c r="K21" s="500">
        <v>0</v>
      </c>
      <c r="L21" s="500">
        <v>0</v>
      </c>
      <c r="M21" s="500">
        <v>0</v>
      </c>
    </row>
    <row r="22" spans="2:13">
      <c r="B22" s="500" t="s">
        <v>1036</v>
      </c>
      <c r="C22" s="500" t="s">
        <v>1027</v>
      </c>
      <c r="D22" s="500" t="s">
        <v>463</v>
      </c>
      <c r="E22" s="500" t="s">
        <v>463</v>
      </c>
      <c r="F22" s="500" t="s">
        <v>463</v>
      </c>
      <c r="G22" s="500" t="s">
        <v>463</v>
      </c>
      <c r="H22" s="500" t="s">
        <v>1037</v>
      </c>
      <c r="I22" s="500">
        <v>0</v>
      </c>
      <c r="J22" s="500">
        <v>0.92</v>
      </c>
    </row>
    <row r="23" spans="2:13">
      <c r="B23" s="500" t="s">
        <v>1036</v>
      </c>
      <c r="C23" s="500" t="s">
        <v>1031</v>
      </c>
      <c r="D23" s="500" t="s">
        <v>463</v>
      </c>
      <c r="E23" s="500" t="s">
        <v>463</v>
      </c>
      <c r="F23" s="500" t="s">
        <v>463</v>
      </c>
      <c r="G23" s="500" t="s">
        <v>463</v>
      </c>
      <c r="H23" s="500" t="s">
        <v>1037</v>
      </c>
      <c r="I23" s="500">
        <v>0</v>
      </c>
      <c r="J23" s="500">
        <v>0.92</v>
      </c>
    </row>
    <row r="24" spans="2:13">
      <c r="B24" s="500" t="s">
        <v>762</v>
      </c>
      <c r="C24" s="500" t="s">
        <v>1012</v>
      </c>
      <c r="D24" s="500" t="s">
        <v>463</v>
      </c>
      <c r="E24" s="500" t="s">
        <v>463</v>
      </c>
      <c r="F24" s="500" t="s">
        <v>463</v>
      </c>
      <c r="G24" s="500" t="s">
        <v>463</v>
      </c>
      <c r="H24" s="500" t="s">
        <v>463</v>
      </c>
      <c r="I24" s="500">
        <v>0</v>
      </c>
      <c r="J24" s="500">
        <v>1263</v>
      </c>
    </row>
    <row r="25" spans="2:13">
      <c r="B25" s="500" t="s">
        <v>762</v>
      </c>
      <c r="C25" s="500" t="s">
        <v>1016</v>
      </c>
      <c r="D25" s="500" t="s">
        <v>463</v>
      </c>
      <c r="E25" s="500" t="s">
        <v>463</v>
      </c>
      <c r="F25" s="500" t="s">
        <v>463</v>
      </c>
      <c r="G25" s="500" t="s">
        <v>463</v>
      </c>
      <c r="H25" s="500" t="s">
        <v>463</v>
      </c>
      <c r="I25" s="500">
        <v>0</v>
      </c>
      <c r="J25" s="500">
        <v>1263</v>
      </c>
    </row>
    <row r="26" spans="2:13">
      <c r="B26" s="500" t="s">
        <v>762</v>
      </c>
      <c r="C26" s="501" t="s">
        <v>1018</v>
      </c>
      <c r="D26" s="500" t="s">
        <v>463</v>
      </c>
      <c r="E26" s="500" t="s">
        <v>463</v>
      </c>
      <c r="F26" s="500" t="s">
        <v>463</v>
      </c>
      <c r="G26" s="500" t="s">
        <v>463</v>
      </c>
      <c r="H26" s="500" t="s">
        <v>463</v>
      </c>
      <c r="I26" s="500">
        <v>0</v>
      </c>
      <c r="J26" s="500">
        <v>9.8000000000000007</v>
      </c>
    </row>
    <row r="27" spans="2:13">
      <c r="B27" s="500" t="s">
        <v>762</v>
      </c>
      <c r="C27" s="500" t="s">
        <v>1020</v>
      </c>
      <c r="D27" s="500" t="s">
        <v>463</v>
      </c>
      <c r="E27" s="500" t="s">
        <v>463</v>
      </c>
      <c r="F27" s="500" t="s">
        <v>463</v>
      </c>
      <c r="G27" s="500" t="s">
        <v>463</v>
      </c>
      <c r="H27" s="500" t="s">
        <v>463</v>
      </c>
      <c r="I27" s="500">
        <v>0</v>
      </c>
      <c r="J27" s="500">
        <v>9.8000000000000007</v>
      </c>
    </row>
    <row r="28" spans="2:13">
      <c r="B28" s="500" t="s">
        <v>762</v>
      </c>
      <c r="C28" s="501" t="s">
        <v>1022</v>
      </c>
      <c r="D28" s="500" t="s">
        <v>463</v>
      </c>
      <c r="E28" s="500" t="s">
        <v>463</v>
      </c>
      <c r="F28" s="500" t="s">
        <v>463</v>
      </c>
      <c r="G28" s="500" t="s">
        <v>463</v>
      </c>
      <c r="H28" s="500" t="s">
        <v>463</v>
      </c>
      <c r="I28" s="500">
        <v>0</v>
      </c>
      <c r="J28" s="500">
        <v>1E-4</v>
      </c>
    </row>
    <row r="29" spans="2:13">
      <c r="B29" s="500" t="s">
        <v>762</v>
      </c>
      <c r="C29" s="500" t="s">
        <v>1025</v>
      </c>
      <c r="D29" s="500" t="s">
        <v>463</v>
      </c>
      <c r="E29" s="500" t="s">
        <v>463</v>
      </c>
      <c r="F29" s="500" t="s">
        <v>463</v>
      </c>
      <c r="G29" s="500" t="s">
        <v>463</v>
      </c>
      <c r="H29" s="500" t="s">
        <v>463</v>
      </c>
      <c r="I29" s="500">
        <v>0</v>
      </c>
      <c r="J29" s="500">
        <v>1E-4</v>
      </c>
    </row>
    <row r="30" spans="2:13">
      <c r="B30" s="500" t="s">
        <v>762</v>
      </c>
      <c r="C30" s="500" t="s">
        <v>1027</v>
      </c>
      <c r="D30" s="500" t="s">
        <v>463</v>
      </c>
      <c r="E30" s="500" t="s">
        <v>463</v>
      </c>
      <c r="F30" s="500" t="s">
        <v>463</v>
      </c>
      <c r="G30" s="500" t="s">
        <v>463</v>
      </c>
      <c r="H30" s="500" t="s">
        <v>463</v>
      </c>
      <c r="I30" s="500">
        <v>0</v>
      </c>
      <c r="J30" s="500">
        <f>'Trigen data MTN + gas boiler'!C69</f>
        <v>13486435.757725719</v>
      </c>
    </row>
    <row r="31" spans="2:13">
      <c r="B31" s="500" t="s">
        <v>762</v>
      </c>
      <c r="C31" s="500" t="s">
        <v>1031</v>
      </c>
      <c r="D31" s="500" t="s">
        <v>463</v>
      </c>
      <c r="E31" s="500" t="s">
        <v>463</v>
      </c>
      <c r="F31" s="500" t="s">
        <v>463</v>
      </c>
      <c r="G31" s="500" t="s">
        <v>463</v>
      </c>
      <c r="H31" s="500" t="s">
        <v>463</v>
      </c>
      <c r="I31" s="500">
        <v>0</v>
      </c>
      <c r="J31" s="500">
        <f>J30</f>
        <v>13486435.757725719</v>
      </c>
    </row>
    <row r="32" spans="2:13">
      <c r="B32" s="500" t="s">
        <v>741</v>
      </c>
      <c r="C32" s="500" t="s">
        <v>1027</v>
      </c>
      <c r="D32" s="500" t="s">
        <v>463</v>
      </c>
      <c r="E32" s="500" t="s">
        <v>463</v>
      </c>
      <c r="F32" s="500" t="s">
        <v>463</v>
      </c>
      <c r="G32" s="500" t="s">
        <v>463</v>
      </c>
      <c r="H32" s="500" t="s">
        <v>463</v>
      </c>
      <c r="I32" s="500">
        <v>0</v>
      </c>
      <c r="J32" s="500">
        <v>30</v>
      </c>
    </row>
    <row r="33" spans="1:38">
      <c r="B33" s="500" t="s">
        <v>741</v>
      </c>
      <c r="C33" s="500" t="s">
        <v>1031</v>
      </c>
      <c r="D33" s="500" t="s">
        <v>463</v>
      </c>
      <c r="E33" s="500" t="s">
        <v>463</v>
      </c>
      <c r="F33" s="500" t="s">
        <v>463</v>
      </c>
      <c r="G33" s="500" t="s">
        <v>463</v>
      </c>
      <c r="H33" s="500" t="s">
        <v>463</v>
      </c>
      <c r="I33" s="500">
        <v>0</v>
      </c>
      <c r="J33" s="500">
        <v>30</v>
      </c>
    </row>
    <row r="34" spans="1:38">
      <c r="B34" s="500" t="s">
        <v>1038</v>
      </c>
      <c r="C34" s="500" t="s">
        <v>1022</v>
      </c>
      <c r="D34" s="500" t="s">
        <v>463</v>
      </c>
      <c r="E34" s="500" t="s">
        <v>990</v>
      </c>
      <c r="F34" s="500" t="s">
        <v>463</v>
      </c>
      <c r="G34" s="500" t="s">
        <v>463</v>
      </c>
      <c r="H34" s="500" t="s">
        <v>463</v>
      </c>
      <c r="I34" s="500">
        <v>0</v>
      </c>
      <c r="J34" s="500">
        <v>1</v>
      </c>
    </row>
    <row r="35" spans="1:38">
      <c r="B35" s="638" t="s">
        <v>743</v>
      </c>
      <c r="C35" s="500" t="s">
        <v>1027</v>
      </c>
      <c r="D35" s="500" t="s">
        <v>463</v>
      </c>
      <c r="E35" s="500" t="s">
        <v>463</v>
      </c>
      <c r="F35" s="500" t="s">
        <v>463</v>
      </c>
      <c r="G35" s="500" t="s">
        <v>463</v>
      </c>
      <c r="H35" s="500" t="s">
        <v>463</v>
      </c>
      <c r="I35" s="500">
        <v>0</v>
      </c>
      <c r="J35" s="500">
        <v>1.46E-2</v>
      </c>
      <c r="K35" s="500">
        <v>1.46E-2</v>
      </c>
      <c r="L35" s="500">
        <v>1.46E-2</v>
      </c>
      <c r="M35" s="500">
        <v>1.46E-2</v>
      </c>
      <c r="N35" s="500">
        <v>1.46E-2</v>
      </c>
      <c r="O35" s="500">
        <v>1.46E-2</v>
      </c>
      <c r="P35" s="500">
        <v>1.46E-2</v>
      </c>
      <c r="Q35" s="500">
        <v>1.46E-2</v>
      </c>
      <c r="R35" s="500">
        <v>1.46E-2</v>
      </c>
      <c r="S35" s="500">
        <v>1.46E-2</v>
      </c>
      <c r="T35" s="500">
        <v>1.46E-2</v>
      </c>
      <c r="U35" s="500">
        <v>1.46E-2</v>
      </c>
      <c r="V35" s="500">
        <v>1.46E-2</v>
      </c>
      <c r="W35" s="500">
        <v>1.46E-2</v>
      </c>
      <c r="X35" s="500">
        <v>1.46E-2</v>
      </c>
      <c r="Y35" s="500">
        <v>1.46E-2</v>
      </c>
      <c r="Z35" s="500">
        <v>1.46E-2</v>
      </c>
      <c r="AA35" s="500">
        <v>1.46E-2</v>
      </c>
      <c r="AB35" s="500">
        <v>1.46E-2</v>
      </c>
      <c r="AC35" s="500">
        <v>1.46E-2</v>
      </c>
      <c r="AD35" s="500">
        <v>1.46E-2</v>
      </c>
      <c r="AE35" s="500">
        <v>1.46E-2</v>
      </c>
      <c r="AF35" s="500">
        <v>1.46E-2</v>
      </c>
      <c r="AG35" s="500">
        <v>1.46E-2</v>
      </c>
      <c r="AH35" s="500">
        <v>1.46E-2</v>
      </c>
      <c r="AI35" s="500">
        <v>1.46E-2</v>
      </c>
      <c r="AJ35" s="500">
        <v>1.46E-2</v>
      </c>
      <c r="AK35" s="500">
        <v>1.46E-2</v>
      </c>
      <c r="AL35" s="500">
        <v>1.46E-2</v>
      </c>
    </row>
    <row r="36" spans="1:38">
      <c r="B36" s="638" t="s">
        <v>743</v>
      </c>
      <c r="C36" s="500" t="s">
        <v>1012</v>
      </c>
      <c r="D36" s="500" t="s">
        <v>463</v>
      </c>
      <c r="E36" s="500" t="s">
        <v>463</v>
      </c>
      <c r="F36" s="500" t="s">
        <v>463</v>
      </c>
      <c r="G36" s="500" t="s">
        <v>463</v>
      </c>
      <c r="H36" s="500" t="s">
        <v>463</v>
      </c>
      <c r="I36" s="500">
        <v>0</v>
      </c>
      <c r="J36" s="500">
        <v>4.8399999999999999E-2</v>
      </c>
      <c r="K36" s="500">
        <v>4.8399999999999999E-2</v>
      </c>
      <c r="L36" s="500">
        <v>4.8399999999999999E-2</v>
      </c>
      <c r="M36" s="500">
        <v>4.8399999999999999E-2</v>
      </c>
      <c r="N36" s="500">
        <v>4.8399999999999999E-2</v>
      </c>
      <c r="O36" s="500">
        <v>4.8399999999999999E-2</v>
      </c>
      <c r="P36" s="500">
        <v>4.8399999999999999E-2</v>
      </c>
      <c r="Q36" s="500">
        <v>4.8399999999999999E-2</v>
      </c>
      <c r="R36" s="500">
        <v>4.8399999999999999E-2</v>
      </c>
      <c r="S36" s="500">
        <v>4.8399999999999999E-2</v>
      </c>
      <c r="T36" s="500">
        <v>4.8399999999999999E-2</v>
      </c>
      <c r="U36" s="500">
        <v>4.8399999999999999E-2</v>
      </c>
      <c r="V36" s="500">
        <v>4.8399999999999999E-2</v>
      </c>
      <c r="W36" s="500">
        <v>4.8399999999999999E-2</v>
      </c>
      <c r="X36" s="500">
        <v>4.8399999999999999E-2</v>
      </c>
      <c r="Y36" s="500">
        <v>4.8399999999999999E-2</v>
      </c>
      <c r="Z36" s="500">
        <v>4.8399999999999999E-2</v>
      </c>
      <c r="AA36" s="500">
        <v>4.8399999999999999E-2</v>
      </c>
      <c r="AB36" s="500">
        <v>4.8399999999999999E-2</v>
      </c>
      <c r="AC36" s="500">
        <v>4.8399999999999999E-2</v>
      </c>
      <c r="AD36" s="500">
        <v>4.8399999999999999E-2</v>
      </c>
      <c r="AE36" s="500">
        <v>4.8399999999999999E-2</v>
      </c>
      <c r="AF36" s="500">
        <v>4.8399999999999999E-2</v>
      </c>
      <c r="AG36" s="500">
        <v>4.8399999999999999E-2</v>
      </c>
      <c r="AH36" s="500">
        <v>4.8399999999999999E-2</v>
      </c>
      <c r="AI36" s="500">
        <v>4.8399999999999999E-2</v>
      </c>
      <c r="AJ36" s="500">
        <v>4.8399999999999999E-2</v>
      </c>
      <c r="AK36" s="500">
        <v>4.8399999999999999E-2</v>
      </c>
      <c r="AL36" s="500">
        <v>4.8399999999999999E-2</v>
      </c>
    </row>
    <row r="37" spans="1:38">
      <c r="A37" s="501"/>
      <c r="B37" s="638"/>
    </row>
    <row r="38" spans="1:38">
      <c r="A38" s="501"/>
    </row>
    <row r="39" spans="1:38">
      <c r="A39" s="50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5">
    <tabColor theme="9" tint="-0.249977111117893"/>
  </sheetPr>
  <dimension ref="A1:L49"/>
  <sheetViews>
    <sheetView workbookViewId="0"/>
  </sheetViews>
  <sheetFormatPr defaultColWidth="9.140625" defaultRowHeight="15"/>
  <cols>
    <col min="1" max="1" width="9.140625" style="500"/>
    <col min="2" max="2" width="12.5703125" style="500" bestFit="1" customWidth="1"/>
    <col min="3" max="3" width="20.7109375" style="500" bestFit="1" customWidth="1"/>
    <col min="4" max="4" width="20.140625" style="500" bestFit="1" customWidth="1"/>
    <col min="5" max="5" width="22.85546875" style="500" bestFit="1" customWidth="1"/>
    <col min="6" max="7" width="1.7109375" style="500" bestFit="1" customWidth="1"/>
    <col min="8" max="8" width="4" style="500" customWidth="1"/>
    <col min="9" max="9" width="9.7109375" style="500" customWidth="1"/>
    <col min="10" max="16384" width="9.140625" style="500"/>
  </cols>
  <sheetData>
    <row r="1" spans="1:9">
      <c r="A1" s="500" t="s">
        <v>744</v>
      </c>
      <c r="B1" s="500" t="s">
        <v>707</v>
      </c>
    </row>
    <row r="2" spans="1:9">
      <c r="B2" s="500" t="s">
        <v>1039</v>
      </c>
      <c r="C2" s="500" t="s">
        <v>463</v>
      </c>
      <c r="D2" s="500" t="s">
        <v>999</v>
      </c>
      <c r="E2" s="500" t="s">
        <v>990</v>
      </c>
      <c r="F2" s="500" t="s">
        <v>463</v>
      </c>
      <c r="G2" s="500" t="s">
        <v>463</v>
      </c>
      <c r="H2" s="500" t="s">
        <v>463</v>
      </c>
      <c r="I2" s="500">
        <v>1</v>
      </c>
    </row>
    <row r="3" spans="1:9">
      <c r="B3" s="500" t="s">
        <v>1039</v>
      </c>
      <c r="C3" s="500" t="s">
        <v>463</v>
      </c>
      <c r="D3" s="500" t="s">
        <v>999</v>
      </c>
      <c r="E3" s="500" t="s">
        <v>993</v>
      </c>
      <c r="F3" s="500" t="s">
        <v>463</v>
      </c>
      <c r="G3" s="500" t="s">
        <v>463</v>
      </c>
      <c r="H3" s="500" t="s">
        <v>463</v>
      </c>
      <c r="I3" s="500">
        <v>1</v>
      </c>
    </row>
    <row r="4" spans="1:9">
      <c r="B4" s="500" t="s">
        <v>1039</v>
      </c>
      <c r="C4" s="500" t="s">
        <v>463</v>
      </c>
      <c r="D4" s="500" t="s">
        <v>1002</v>
      </c>
      <c r="E4" s="500" t="s">
        <v>990</v>
      </c>
      <c r="F4" s="500" t="s">
        <v>463</v>
      </c>
      <c r="G4" s="500" t="s">
        <v>463</v>
      </c>
      <c r="H4" s="500" t="s">
        <v>463</v>
      </c>
      <c r="I4" s="500">
        <v>1</v>
      </c>
    </row>
    <row r="5" spans="1:9">
      <c r="B5" s="500" t="s">
        <v>1039</v>
      </c>
      <c r="C5" s="500" t="s">
        <v>463</v>
      </c>
      <c r="D5" s="500" t="s">
        <v>1002</v>
      </c>
      <c r="E5" s="500" t="s">
        <v>993</v>
      </c>
      <c r="F5" s="500" t="s">
        <v>463</v>
      </c>
      <c r="G5" s="500" t="s">
        <v>463</v>
      </c>
      <c r="H5" s="500" t="s">
        <v>463</v>
      </c>
      <c r="I5" s="500">
        <v>1</v>
      </c>
    </row>
    <row r="6" spans="1:9">
      <c r="B6" s="500" t="s">
        <v>1039</v>
      </c>
      <c r="C6" s="500" t="s">
        <v>463</v>
      </c>
      <c r="D6" s="500" t="s">
        <v>1004</v>
      </c>
      <c r="E6" s="500" t="s">
        <v>990</v>
      </c>
      <c r="F6" s="500" t="s">
        <v>463</v>
      </c>
      <c r="G6" s="500" t="s">
        <v>463</v>
      </c>
      <c r="H6" s="500" t="s">
        <v>463</v>
      </c>
      <c r="I6" s="500">
        <v>1</v>
      </c>
    </row>
    <row r="7" spans="1:9">
      <c r="B7" s="500" t="s">
        <v>1039</v>
      </c>
      <c r="C7" s="500" t="s">
        <v>463</v>
      </c>
      <c r="D7" s="500" t="s">
        <v>1004</v>
      </c>
      <c r="E7" s="500" t="s">
        <v>993</v>
      </c>
      <c r="F7" s="500" t="s">
        <v>463</v>
      </c>
      <c r="G7" s="500" t="s">
        <v>463</v>
      </c>
      <c r="H7" s="500" t="s">
        <v>463</v>
      </c>
      <c r="I7" s="500">
        <v>1</v>
      </c>
    </row>
    <row r="8" spans="1:9">
      <c r="B8" s="500" t="s">
        <v>1039</v>
      </c>
      <c r="C8" s="500" t="s">
        <v>463</v>
      </c>
      <c r="D8" s="500" t="s">
        <v>1006</v>
      </c>
      <c r="E8" s="500" t="s">
        <v>990</v>
      </c>
      <c r="F8" s="500" t="s">
        <v>463</v>
      </c>
      <c r="G8" s="500" t="s">
        <v>463</v>
      </c>
      <c r="H8" s="500" t="s">
        <v>463</v>
      </c>
      <c r="I8" s="500">
        <v>1</v>
      </c>
    </row>
    <row r="9" spans="1:9">
      <c r="B9" s="500" t="s">
        <v>1039</v>
      </c>
      <c r="C9" s="500" t="s">
        <v>463</v>
      </c>
      <c r="D9" s="500" t="s">
        <v>1006</v>
      </c>
      <c r="E9" s="500" t="s">
        <v>993</v>
      </c>
      <c r="F9" s="500" t="s">
        <v>463</v>
      </c>
      <c r="G9" s="500" t="s">
        <v>463</v>
      </c>
      <c r="H9" s="500" t="s">
        <v>463</v>
      </c>
      <c r="I9" s="500">
        <v>1</v>
      </c>
    </row>
    <row r="10" spans="1:9">
      <c r="B10" s="500" t="s">
        <v>1039</v>
      </c>
      <c r="C10" s="500" t="s">
        <v>463</v>
      </c>
      <c r="D10" s="500" t="s">
        <v>1040</v>
      </c>
      <c r="E10" s="500" t="s">
        <v>995</v>
      </c>
      <c r="F10" s="500" t="s">
        <v>463</v>
      </c>
      <c r="G10" s="500" t="s">
        <v>463</v>
      </c>
      <c r="H10" s="500" t="s">
        <v>463</v>
      </c>
      <c r="I10" s="500">
        <v>1</v>
      </c>
    </row>
    <row r="11" spans="1:9">
      <c r="B11" s="500" t="s">
        <v>1039</v>
      </c>
      <c r="C11" s="500" t="s">
        <v>463</v>
      </c>
      <c r="D11" s="500" t="s">
        <v>1040</v>
      </c>
      <c r="E11" s="500" t="s">
        <v>997</v>
      </c>
      <c r="F11" s="500" t="s">
        <v>463</v>
      </c>
      <c r="G11" s="500" t="s">
        <v>463</v>
      </c>
      <c r="H11" s="500" t="s">
        <v>463</v>
      </c>
      <c r="I11" s="500">
        <v>1</v>
      </c>
    </row>
    <row r="12" spans="1:9">
      <c r="B12" s="500" t="s">
        <v>1039</v>
      </c>
      <c r="C12" s="500" t="s">
        <v>463</v>
      </c>
      <c r="D12" s="500" t="s">
        <v>1008</v>
      </c>
      <c r="E12" s="500" t="s">
        <v>995</v>
      </c>
      <c r="F12" s="500" t="s">
        <v>463</v>
      </c>
      <c r="G12" s="500" t="s">
        <v>463</v>
      </c>
      <c r="H12" s="500" t="s">
        <v>463</v>
      </c>
      <c r="I12" s="500">
        <v>1</v>
      </c>
    </row>
    <row r="13" spans="1:9">
      <c r="B13" s="500" t="s">
        <v>1039</v>
      </c>
      <c r="C13" s="500" t="s">
        <v>463</v>
      </c>
      <c r="D13" s="500" t="s">
        <v>1010</v>
      </c>
      <c r="E13" s="500" t="s">
        <v>997</v>
      </c>
      <c r="F13" s="500" t="s">
        <v>463</v>
      </c>
      <c r="G13" s="500" t="s">
        <v>463</v>
      </c>
      <c r="H13" s="500" t="s">
        <v>463</v>
      </c>
      <c r="I13" s="500">
        <v>1</v>
      </c>
    </row>
    <row r="14" spans="1:9">
      <c r="B14" s="500" t="s">
        <v>746</v>
      </c>
      <c r="C14" s="500" t="s">
        <v>1012</v>
      </c>
      <c r="D14" s="500" t="s">
        <v>463</v>
      </c>
      <c r="E14" s="500" t="s">
        <v>910</v>
      </c>
      <c r="F14" s="500" t="s">
        <v>463</v>
      </c>
      <c r="G14" s="500" t="s">
        <v>463</v>
      </c>
      <c r="H14" s="500" t="s">
        <v>463</v>
      </c>
      <c r="I14" s="500">
        <v>1</v>
      </c>
    </row>
    <row r="15" spans="1:9">
      <c r="B15" s="500" t="s">
        <v>746</v>
      </c>
      <c r="C15" s="500" t="s">
        <v>1016</v>
      </c>
      <c r="D15" s="500" t="s">
        <v>463</v>
      </c>
      <c r="E15" s="500" t="s">
        <v>911</v>
      </c>
      <c r="F15" s="500" t="s">
        <v>463</v>
      </c>
      <c r="G15" s="500" t="s">
        <v>463</v>
      </c>
      <c r="H15" s="500" t="s">
        <v>463</v>
      </c>
      <c r="I15" s="500">
        <v>1</v>
      </c>
    </row>
    <row r="16" spans="1:9">
      <c r="B16" s="500" t="s">
        <v>746</v>
      </c>
      <c r="C16" s="500" t="s">
        <v>1018</v>
      </c>
      <c r="D16" s="500" t="s">
        <v>463</v>
      </c>
      <c r="E16" s="500" t="s">
        <v>902</v>
      </c>
      <c r="F16" s="500" t="s">
        <v>463</v>
      </c>
      <c r="G16" s="500" t="s">
        <v>463</v>
      </c>
      <c r="H16" s="500" t="s">
        <v>463</v>
      </c>
      <c r="I16" s="500">
        <v>1</v>
      </c>
    </row>
    <row r="17" spans="2:12">
      <c r="B17" s="500" t="s">
        <v>746</v>
      </c>
      <c r="C17" s="500" t="s">
        <v>1020</v>
      </c>
      <c r="D17" s="500" t="s">
        <v>463</v>
      </c>
      <c r="E17" s="500" t="s">
        <v>958</v>
      </c>
      <c r="F17" s="500" t="s">
        <v>463</v>
      </c>
      <c r="G17" s="500" t="s">
        <v>463</v>
      </c>
      <c r="H17" s="500" t="s">
        <v>463</v>
      </c>
      <c r="I17" s="500">
        <v>1</v>
      </c>
    </row>
    <row r="18" spans="2:12">
      <c r="B18" s="500" t="s">
        <v>746</v>
      </c>
      <c r="C18" s="500" t="s">
        <v>1022</v>
      </c>
      <c r="D18" s="500" t="s">
        <v>463</v>
      </c>
      <c r="E18" s="500" t="s">
        <v>990</v>
      </c>
      <c r="F18" s="500" t="s">
        <v>463</v>
      </c>
      <c r="G18" s="500" t="s">
        <v>463</v>
      </c>
      <c r="H18" s="500" t="s">
        <v>463</v>
      </c>
      <c r="I18" s="500">
        <v>1</v>
      </c>
    </row>
    <row r="19" spans="2:12">
      <c r="B19" s="500" t="s">
        <v>746</v>
      </c>
      <c r="C19" s="500" t="s">
        <v>1025</v>
      </c>
      <c r="D19" s="500" t="s">
        <v>463</v>
      </c>
      <c r="E19" s="500" t="s">
        <v>993</v>
      </c>
      <c r="F19" s="500" t="s">
        <v>463</v>
      </c>
      <c r="G19" s="500" t="s">
        <v>463</v>
      </c>
      <c r="H19" s="500" t="s">
        <v>463</v>
      </c>
      <c r="I19" s="500">
        <v>1</v>
      </c>
    </row>
    <row r="20" spans="2:12">
      <c r="B20" s="500" t="s">
        <v>746</v>
      </c>
      <c r="C20" s="500" t="s">
        <v>1027</v>
      </c>
      <c r="D20" s="500" t="s">
        <v>463</v>
      </c>
      <c r="E20" s="500" t="s">
        <v>995</v>
      </c>
      <c r="F20" s="500" t="s">
        <v>463</v>
      </c>
      <c r="G20" s="500" t="s">
        <v>463</v>
      </c>
      <c r="H20" s="500" t="s">
        <v>463</v>
      </c>
      <c r="I20" s="500">
        <v>1</v>
      </c>
    </row>
    <row r="21" spans="2:12">
      <c r="B21" s="500" t="s">
        <v>746</v>
      </c>
      <c r="C21" s="500" t="s">
        <v>1031</v>
      </c>
      <c r="D21" s="500" t="s">
        <v>463</v>
      </c>
      <c r="E21" s="500" t="s">
        <v>997</v>
      </c>
      <c r="F21" s="500" t="s">
        <v>463</v>
      </c>
      <c r="G21" s="500" t="s">
        <v>463</v>
      </c>
      <c r="H21" s="500" t="s">
        <v>463</v>
      </c>
      <c r="I21" s="500">
        <v>1</v>
      </c>
    </row>
    <row r="22" spans="2:12">
      <c r="B22" s="500" t="s">
        <v>748</v>
      </c>
      <c r="C22" s="500" t="s">
        <v>1012</v>
      </c>
      <c r="D22" s="500" t="s">
        <v>463</v>
      </c>
      <c r="E22" s="500" t="s">
        <v>463</v>
      </c>
      <c r="F22" s="500" t="s">
        <v>463</v>
      </c>
      <c r="G22" s="500" t="s">
        <v>463</v>
      </c>
      <c r="H22" s="500" t="s">
        <v>463</v>
      </c>
      <c r="I22" s="500">
        <v>1</v>
      </c>
    </row>
    <row r="23" spans="2:12">
      <c r="B23" s="500" t="s">
        <v>748</v>
      </c>
      <c r="C23" s="500" t="s">
        <v>1016</v>
      </c>
      <c r="D23" s="500" t="s">
        <v>463</v>
      </c>
      <c r="E23" s="500" t="s">
        <v>463</v>
      </c>
      <c r="F23" s="500" t="s">
        <v>463</v>
      </c>
      <c r="G23" s="500" t="s">
        <v>463</v>
      </c>
      <c r="H23" s="500" t="s">
        <v>463</v>
      </c>
      <c r="I23" s="500">
        <v>1</v>
      </c>
    </row>
    <row r="24" spans="2:12">
      <c r="B24" s="500" t="s">
        <v>748</v>
      </c>
      <c r="C24" s="500" t="s">
        <v>1018</v>
      </c>
      <c r="D24" s="500" t="s">
        <v>463</v>
      </c>
      <c r="E24" s="500" t="s">
        <v>463</v>
      </c>
      <c r="F24" s="500" t="s">
        <v>463</v>
      </c>
      <c r="G24" s="500" t="s">
        <v>463</v>
      </c>
      <c r="H24" s="500" t="s">
        <v>463</v>
      </c>
      <c r="I24" s="500">
        <v>1</v>
      </c>
    </row>
    <row r="25" spans="2:12">
      <c r="B25" s="500" t="s">
        <v>748</v>
      </c>
      <c r="C25" s="500" t="s">
        <v>1020</v>
      </c>
      <c r="D25" s="500" t="s">
        <v>463</v>
      </c>
      <c r="E25" s="500" t="s">
        <v>463</v>
      </c>
      <c r="F25" s="500" t="s">
        <v>463</v>
      </c>
      <c r="G25" s="500" t="s">
        <v>463</v>
      </c>
      <c r="H25" s="500" t="s">
        <v>463</v>
      </c>
      <c r="I25" s="500">
        <v>1</v>
      </c>
    </row>
    <row r="26" spans="2:12">
      <c r="B26" s="500" t="s">
        <v>748</v>
      </c>
      <c r="C26" s="500" t="s">
        <v>1022</v>
      </c>
      <c r="D26" s="500" t="s">
        <v>463</v>
      </c>
      <c r="E26" s="500" t="s">
        <v>463</v>
      </c>
      <c r="F26" s="500" t="s">
        <v>463</v>
      </c>
      <c r="G26" s="500" t="s">
        <v>463</v>
      </c>
      <c r="H26" s="500" t="s">
        <v>463</v>
      </c>
      <c r="I26" s="500">
        <v>1</v>
      </c>
      <c r="L26" s="503"/>
    </row>
    <row r="27" spans="2:12">
      <c r="B27" s="500" t="s">
        <v>748</v>
      </c>
      <c r="C27" s="500" t="s">
        <v>1025</v>
      </c>
      <c r="D27" s="500" t="s">
        <v>463</v>
      </c>
      <c r="E27" s="500" t="s">
        <v>463</v>
      </c>
      <c r="F27" s="500" t="s">
        <v>463</v>
      </c>
      <c r="G27" s="500" t="s">
        <v>463</v>
      </c>
      <c r="H27" s="500" t="s">
        <v>463</v>
      </c>
      <c r="I27" s="500">
        <v>1</v>
      </c>
    </row>
    <row r="28" spans="2:12">
      <c r="B28" s="500" t="s">
        <v>748</v>
      </c>
      <c r="C28" s="500" t="s">
        <v>1027</v>
      </c>
      <c r="D28" s="500" t="s">
        <v>463</v>
      </c>
      <c r="E28" s="500" t="s">
        <v>463</v>
      </c>
      <c r="F28" s="500" t="s">
        <v>463</v>
      </c>
      <c r="G28" s="500" t="s">
        <v>463</v>
      </c>
      <c r="H28" s="500" t="s">
        <v>463</v>
      </c>
      <c r="I28" s="500">
        <v>31.536000000000001</v>
      </c>
    </row>
    <row r="29" spans="2:12">
      <c r="B29" s="500" t="s">
        <v>748</v>
      </c>
      <c r="C29" s="500" t="s">
        <v>1031</v>
      </c>
      <c r="D29" s="500" t="s">
        <v>463</v>
      </c>
      <c r="E29" s="500" t="s">
        <v>463</v>
      </c>
      <c r="F29" s="500" t="s">
        <v>463</v>
      </c>
      <c r="G29" s="500" t="s">
        <v>463</v>
      </c>
      <c r="H29" s="500" t="s">
        <v>463</v>
      </c>
      <c r="I29" s="500">
        <v>31.536000000000001</v>
      </c>
    </row>
    <row r="30" spans="2:12">
      <c r="B30" s="500" t="s">
        <v>751</v>
      </c>
      <c r="C30" s="500" t="s">
        <v>1012</v>
      </c>
      <c r="D30" s="500" t="s">
        <v>999</v>
      </c>
      <c r="E30" s="500" t="s">
        <v>463</v>
      </c>
      <c r="F30" s="500" t="s">
        <v>463</v>
      </c>
      <c r="G30" s="500" t="s">
        <v>463</v>
      </c>
      <c r="H30" s="500" t="s">
        <v>463</v>
      </c>
      <c r="I30" s="500">
        <v>1</v>
      </c>
    </row>
    <row r="31" spans="2:12">
      <c r="B31" s="500" t="s">
        <v>751</v>
      </c>
      <c r="C31" s="500" t="s">
        <v>1016</v>
      </c>
      <c r="D31" s="500" t="s">
        <v>1002</v>
      </c>
      <c r="E31" s="500" t="s">
        <v>463</v>
      </c>
      <c r="F31" s="500" t="s">
        <v>463</v>
      </c>
      <c r="G31" s="500" t="s">
        <v>463</v>
      </c>
      <c r="H31" s="500" t="s">
        <v>463</v>
      </c>
      <c r="I31" s="500">
        <v>1</v>
      </c>
    </row>
    <row r="32" spans="2:12">
      <c r="B32" s="500" t="s">
        <v>751</v>
      </c>
      <c r="C32" s="500" t="s">
        <v>1018</v>
      </c>
      <c r="D32" s="500" t="s">
        <v>1004</v>
      </c>
      <c r="E32" s="500" t="s">
        <v>463</v>
      </c>
      <c r="F32" s="500" t="s">
        <v>463</v>
      </c>
      <c r="G32" s="500" t="s">
        <v>463</v>
      </c>
      <c r="H32" s="500" t="s">
        <v>463</v>
      </c>
      <c r="I32" s="500">
        <v>1</v>
      </c>
    </row>
    <row r="33" spans="2:9">
      <c r="B33" s="500" t="s">
        <v>751</v>
      </c>
      <c r="C33" s="500" t="s">
        <v>1020</v>
      </c>
      <c r="D33" s="500" t="s">
        <v>1006</v>
      </c>
      <c r="E33" s="500" t="s">
        <v>463</v>
      </c>
      <c r="F33" s="500" t="s">
        <v>463</v>
      </c>
      <c r="G33" s="500" t="s">
        <v>463</v>
      </c>
      <c r="H33" s="500" t="s">
        <v>463</v>
      </c>
      <c r="I33" s="500">
        <v>1</v>
      </c>
    </row>
    <row r="34" spans="2:9">
      <c r="B34" s="500" t="s">
        <v>751</v>
      </c>
      <c r="C34" s="500" t="s">
        <v>1022</v>
      </c>
      <c r="D34" s="500" t="s">
        <v>1008</v>
      </c>
      <c r="E34" s="500" t="s">
        <v>463</v>
      </c>
      <c r="F34" s="500" t="s">
        <v>463</v>
      </c>
      <c r="G34" s="500" t="s">
        <v>463</v>
      </c>
      <c r="H34" s="500" t="s">
        <v>463</v>
      </c>
      <c r="I34" s="500">
        <v>1</v>
      </c>
    </row>
    <row r="35" spans="2:9">
      <c r="B35" s="500" t="s">
        <v>751</v>
      </c>
      <c r="C35" s="500" t="s">
        <v>1025</v>
      </c>
      <c r="D35" s="500" t="s">
        <v>1010</v>
      </c>
      <c r="E35" s="500" t="s">
        <v>463</v>
      </c>
      <c r="F35" s="500" t="s">
        <v>463</v>
      </c>
      <c r="G35" s="500" t="s">
        <v>463</v>
      </c>
      <c r="H35" s="500" t="s">
        <v>463</v>
      </c>
      <c r="I35" s="500">
        <v>1</v>
      </c>
    </row>
    <row r="36" spans="2:9">
      <c r="B36" s="500" t="s">
        <v>751</v>
      </c>
      <c r="C36" s="500" t="s">
        <v>1027</v>
      </c>
      <c r="D36" s="500" t="s">
        <v>1034</v>
      </c>
      <c r="E36" s="500" t="s">
        <v>463</v>
      </c>
      <c r="F36" s="500" t="s">
        <v>463</v>
      </c>
      <c r="G36" s="500" t="s">
        <v>463</v>
      </c>
      <c r="H36" s="500" t="s">
        <v>463</v>
      </c>
      <c r="I36" s="500">
        <v>1</v>
      </c>
    </row>
    <row r="37" spans="2:9">
      <c r="B37" s="500" t="s">
        <v>751</v>
      </c>
      <c r="C37" s="500" t="s">
        <v>1031</v>
      </c>
      <c r="D37" s="500" t="s">
        <v>1034</v>
      </c>
      <c r="E37" s="500" t="s">
        <v>463</v>
      </c>
      <c r="F37" s="500" t="s">
        <v>463</v>
      </c>
      <c r="G37" s="500" t="s">
        <v>463</v>
      </c>
      <c r="H37" s="500" t="s">
        <v>463</v>
      </c>
      <c r="I37" s="500">
        <v>1</v>
      </c>
    </row>
    <row r="38" spans="2:9">
      <c r="B38" s="500" t="s">
        <v>749</v>
      </c>
      <c r="C38" s="500" t="s">
        <v>1012</v>
      </c>
      <c r="D38" s="500" t="s">
        <v>910</v>
      </c>
      <c r="E38" s="500" t="s">
        <v>463</v>
      </c>
      <c r="F38" s="500" t="s">
        <v>463</v>
      </c>
      <c r="G38" s="500" t="s">
        <v>463</v>
      </c>
      <c r="H38" s="500" t="s">
        <v>463</v>
      </c>
      <c r="I38" s="500">
        <v>1</v>
      </c>
    </row>
    <row r="39" spans="2:9">
      <c r="B39" s="500" t="s">
        <v>749</v>
      </c>
      <c r="C39" s="500" t="s">
        <v>1016</v>
      </c>
      <c r="D39" s="500" t="s">
        <v>911</v>
      </c>
      <c r="E39" s="500" t="s">
        <v>463</v>
      </c>
      <c r="F39" s="500" t="s">
        <v>463</v>
      </c>
      <c r="G39" s="500" t="s">
        <v>463</v>
      </c>
      <c r="H39" s="500" t="s">
        <v>463</v>
      </c>
      <c r="I39" s="500">
        <v>1</v>
      </c>
    </row>
    <row r="40" spans="2:9">
      <c r="B40" s="500" t="s">
        <v>749</v>
      </c>
      <c r="C40" s="500" t="s">
        <v>1018</v>
      </c>
      <c r="D40" s="500" t="s">
        <v>902</v>
      </c>
      <c r="E40" s="500" t="s">
        <v>463</v>
      </c>
      <c r="F40" s="500" t="s">
        <v>463</v>
      </c>
      <c r="G40" s="500" t="s">
        <v>463</v>
      </c>
      <c r="H40" s="500" t="s">
        <v>463</v>
      </c>
      <c r="I40" s="500">
        <v>1</v>
      </c>
    </row>
    <row r="41" spans="2:9">
      <c r="B41" s="500" t="s">
        <v>749</v>
      </c>
      <c r="C41" s="500" t="s">
        <v>1020</v>
      </c>
      <c r="D41" s="500" t="s">
        <v>958</v>
      </c>
      <c r="E41" s="500" t="s">
        <v>463</v>
      </c>
      <c r="F41" s="500" t="s">
        <v>463</v>
      </c>
      <c r="G41" s="500" t="s">
        <v>463</v>
      </c>
      <c r="H41" s="500" t="s">
        <v>463</v>
      </c>
      <c r="I41" s="500">
        <v>1</v>
      </c>
    </row>
    <row r="42" spans="2:9">
      <c r="B42" s="500" t="s">
        <v>749</v>
      </c>
      <c r="C42" s="500" t="s">
        <v>1022</v>
      </c>
      <c r="D42" s="500" t="s">
        <v>999</v>
      </c>
      <c r="E42" s="500" t="s">
        <v>463</v>
      </c>
      <c r="F42" s="500" t="s">
        <v>463</v>
      </c>
      <c r="G42" s="500" t="s">
        <v>463</v>
      </c>
      <c r="H42" s="500" t="s">
        <v>463</v>
      </c>
      <c r="I42" s="500">
        <v>1</v>
      </c>
    </row>
    <row r="43" spans="2:9">
      <c r="B43" s="500" t="s">
        <v>749</v>
      </c>
      <c r="C43" s="500" t="s">
        <v>1022</v>
      </c>
      <c r="D43" s="500" t="s">
        <v>1004</v>
      </c>
      <c r="E43" s="500" t="s">
        <v>463</v>
      </c>
      <c r="F43" s="500" t="s">
        <v>463</v>
      </c>
      <c r="G43" s="500" t="s">
        <v>463</v>
      </c>
      <c r="H43" s="500" t="s">
        <v>463</v>
      </c>
      <c r="I43" s="500">
        <v>1</v>
      </c>
    </row>
    <row r="44" spans="2:9">
      <c r="B44" s="500" t="s">
        <v>749</v>
      </c>
      <c r="C44" s="500" t="s">
        <v>1025</v>
      </c>
      <c r="D44" s="500" t="s">
        <v>1002</v>
      </c>
      <c r="E44" s="500" t="s">
        <v>463</v>
      </c>
      <c r="F44" s="500" t="s">
        <v>463</v>
      </c>
      <c r="G44" s="500" t="s">
        <v>463</v>
      </c>
      <c r="H44" s="500" t="s">
        <v>463</v>
      </c>
      <c r="I44" s="500">
        <v>1</v>
      </c>
    </row>
    <row r="45" spans="2:9">
      <c r="B45" s="500" t="s">
        <v>749</v>
      </c>
      <c r="C45" s="500" t="s">
        <v>1025</v>
      </c>
      <c r="D45" s="500" t="s">
        <v>1006</v>
      </c>
      <c r="E45" s="500" t="s">
        <v>463</v>
      </c>
      <c r="F45" s="500" t="s">
        <v>463</v>
      </c>
      <c r="G45" s="500" t="s">
        <v>463</v>
      </c>
      <c r="H45" s="500" t="s">
        <v>463</v>
      </c>
      <c r="I45" s="500">
        <v>1</v>
      </c>
    </row>
    <row r="46" spans="2:9">
      <c r="B46" s="500" t="s">
        <v>749</v>
      </c>
      <c r="C46" s="500" t="s">
        <v>1027</v>
      </c>
      <c r="D46" s="500" t="s">
        <v>1040</v>
      </c>
      <c r="E46" s="500" t="s">
        <v>463</v>
      </c>
      <c r="F46" s="500" t="s">
        <v>463</v>
      </c>
      <c r="G46" s="500" t="s">
        <v>463</v>
      </c>
      <c r="H46" s="500" t="s">
        <v>463</v>
      </c>
      <c r="I46" s="500">
        <v>1</v>
      </c>
    </row>
    <row r="47" spans="2:9">
      <c r="B47" s="500" t="s">
        <v>749</v>
      </c>
      <c r="C47" s="500" t="s">
        <v>1027</v>
      </c>
      <c r="D47" s="500" t="s">
        <v>1008</v>
      </c>
      <c r="E47" s="500" t="s">
        <v>463</v>
      </c>
      <c r="F47" s="500" t="s">
        <v>463</v>
      </c>
      <c r="G47" s="500" t="s">
        <v>463</v>
      </c>
      <c r="H47" s="500" t="s">
        <v>463</v>
      </c>
      <c r="I47" s="500">
        <v>1</v>
      </c>
    </row>
    <row r="48" spans="2:9">
      <c r="B48" s="500" t="s">
        <v>749</v>
      </c>
      <c r="C48" s="500" t="s">
        <v>1031</v>
      </c>
      <c r="D48" s="500" t="s">
        <v>1040</v>
      </c>
      <c r="E48" s="500" t="s">
        <v>463</v>
      </c>
      <c r="F48" s="500" t="s">
        <v>463</v>
      </c>
      <c r="G48" s="500" t="s">
        <v>463</v>
      </c>
      <c r="H48" s="500" t="s">
        <v>463</v>
      </c>
      <c r="I48" s="500">
        <v>1</v>
      </c>
    </row>
    <row r="49" spans="2:9">
      <c r="B49" s="500" t="s">
        <v>749</v>
      </c>
      <c r="C49" s="500" t="s">
        <v>1031</v>
      </c>
      <c r="D49" s="500" t="s">
        <v>1010</v>
      </c>
      <c r="E49" s="500" t="s">
        <v>463</v>
      </c>
      <c r="F49" s="500" t="s">
        <v>463</v>
      </c>
      <c r="G49" s="500" t="s">
        <v>463</v>
      </c>
      <c r="H49" s="500" t="s">
        <v>463</v>
      </c>
      <c r="I49" s="500">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D1:F17"/>
  <sheetViews>
    <sheetView workbookViewId="0"/>
  </sheetViews>
  <sheetFormatPr defaultColWidth="8.85546875" defaultRowHeight="12.75"/>
  <cols>
    <col min="4" max="4" width="12.42578125" customWidth="1"/>
  </cols>
  <sheetData>
    <row r="1" spans="4:6">
      <c r="E1" s="314" t="s">
        <v>763</v>
      </c>
      <c r="F1" s="371">
        <v>1E-8</v>
      </c>
    </row>
    <row r="3" spans="4:6">
      <c r="D3" s="314" t="s">
        <v>141</v>
      </c>
      <c r="E3" s="314" t="s">
        <v>764</v>
      </c>
      <c r="F3" s="314" t="s">
        <v>141</v>
      </c>
    </row>
    <row r="4" spans="4:6">
      <c r="D4" s="314" t="s">
        <v>465</v>
      </c>
      <c r="E4" t="s">
        <v>766</v>
      </c>
      <c r="F4" s="314" t="s">
        <v>465</v>
      </c>
    </row>
    <row r="5" spans="4:6">
      <c r="D5" s="314" t="s">
        <v>798</v>
      </c>
      <c r="E5" s="314" t="s">
        <v>799</v>
      </c>
      <c r="F5" s="314" t="s">
        <v>798</v>
      </c>
    </row>
    <row r="6" spans="4:6">
      <c r="D6" s="314" t="s">
        <v>800</v>
      </c>
      <c r="E6" s="314" t="s">
        <v>801</v>
      </c>
      <c r="F6" s="314" t="s">
        <v>800</v>
      </c>
    </row>
    <row r="7" spans="4:6">
      <c r="D7" t="s">
        <v>802</v>
      </c>
      <c r="E7" t="s">
        <v>803</v>
      </c>
      <c r="F7" t="s">
        <v>802</v>
      </c>
    </row>
    <row r="8" spans="4:6">
      <c r="D8" t="s">
        <v>804</v>
      </c>
      <c r="E8" t="s">
        <v>805</v>
      </c>
      <c r="F8" t="s">
        <v>804</v>
      </c>
    </row>
    <row r="9" spans="4:6">
      <c r="D9" s="314" t="s">
        <v>806</v>
      </c>
      <c r="E9" s="314" t="s">
        <v>807</v>
      </c>
      <c r="F9" s="314" t="s">
        <v>806</v>
      </c>
    </row>
    <row r="10" spans="4:6">
      <c r="D10" s="412" t="s">
        <v>137</v>
      </c>
      <c r="E10" s="412" t="s">
        <v>765</v>
      </c>
      <c r="F10" s="412" t="str">
        <f>D10</f>
        <v>Electricity</v>
      </c>
    </row>
    <row r="12" spans="4:6">
      <c r="D12" s="314"/>
      <c r="E12" s="314"/>
      <c r="F12" s="314"/>
    </row>
    <row r="15" spans="4:6">
      <c r="D15" s="314"/>
      <c r="E15" s="314"/>
      <c r="F15" s="314"/>
    </row>
    <row r="16" spans="4:6">
      <c r="D16" s="314"/>
      <c r="E16" s="314"/>
      <c r="F16" s="314"/>
    </row>
    <row r="17" spans="4:6">
      <c r="D17" s="314"/>
      <c r="E17" s="314"/>
      <c r="F17" s="31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4"/>
  <dimension ref="A2:J43"/>
  <sheetViews>
    <sheetView workbookViewId="0">
      <selection activeCell="J4" sqref="J4"/>
    </sheetView>
  </sheetViews>
  <sheetFormatPr defaultColWidth="11.42578125" defaultRowHeight="12.75"/>
  <cols>
    <col min="1" max="1" width="24" style="1" customWidth="1"/>
    <col min="2" max="8" width="11.42578125" style="1"/>
    <col min="9" max="9" width="12.28515625" style="1" customWidth="1"/>
    <col min="10" max="16384" width="11.42578125" style="1"/>
  </cols>
  <sheetData>
    <row r="2" spans="1:10">
      <c r="B2" s="1" t="s">
        <v>911</v>
      </c>
      <c r="C2" s="1" t="s">
        <v>958</v>
      </c>
      <c r="D2" s="1" t="s">
        <v>912</v>
      </c>
      <c r="E2" s="1" t="s">
        <v>913</v>
      </c>
      <c r="F2" s="1" t="s">
        <v>914</v>
      </c>
      <c r="G2" s="1" t="s">
        <v>915</v>
      </c>
      <c r="H2" s="1" t="s">
        <v>916</v>
      </c>
      <c r="I2" s="454" t="s">
        <v>917</v>
      </c>
      <c r="J2" s="1" t="s">
        <v>918</v>
      </c>
    </row>
    <row r="3" spans="1:10">
      <c r="B3" s="1" t="s">
        <v>910</v>
      </c>
      <c r="C3" s="1" t="s">
        <v>902</v>
      </c>
      <c r="D3" s="1" t="s">
        <v>903</v>
      </c>
      <c r="E3" s="1" t="s">
        <v>904</v>
      </c>
      <c r="F3" s="1" t="s">
        <v>905</v>
      </c>
      <c r="G3" s="1" t="s">
        <v>906</v>
      </c>
      <c r="H3" s="1" t="s">
        <v>907</v>
      </c>
      <c r="I3" s="456" t="s">
        <v>908</v>
      </c>
      <c r="J3" s="1" t="s">
        <v>909</v>
      </c>
    </row>
    <row r="4" spans="1:10">
      <c r="B4" s="73">
        <f>IF('TS COMFR_10'!$A$1&lt;&gt;"",AFA!B7,AFA!B6)</f>
        <v>0.79849999999999999</v>
      </c>
      <c r="C4" s="73">
        <f>IF('TS COMFR_10'!$A$1&lt;&gt;"",AFA!C7,AFA!C6)</f>
        <v>0.48230000000000001</v>
      </c>
      <c r="D4" s="73">
        <f>IF('TS COMFR_10'!$A$1&lt;&gt;"",AFA!D7,AFA!D6)</f>
        <v>0.68689999999999996</v>
      </c>
      <c r="E4" s="73">
        <f>IF('TS COMFR_10'!$A$1&lt;&gt;"",AFA!E7,AFA!E6)</f>
        <v>0.55200000000000005</v>
      </c>
      <c r="F4" s="73">
        <f>IF('TS COMFR_10'!$A$1&lt;&gt;"",AFA!F7,AFA!F6)</f>
        <v>0.68830000000000002</v>
      </c>
      <c r="G4" s="73">
        <f>IF('TS COMFR_10'!$A$1&lt;&gt;"",AFA!G7,AFA!G6)</f>
        <v>0.89129999999999998</v>
      </c>
      <c r="H4" s="73">
        <f>IF('TS COMFR_10'!$A$1&lt;&gt;"",AFA!H7,AFA!H6)</f>
        <v>0.5464</v>
      </c>
      <c r="I4" s="73">
        <f>IF('TS COMFR_10'!$A$1&lt;&gt;"",AFA!I7,AFA!I6)</f>
        <v>0.89129999999999998</v>
      </c>
      <c r="J4" s="73">
        <f>IF('TS COMFR_10'!$A$1&lt;&gt;"",AFA!J7,AFA!J6)</f>
        <v>0.64739999999999998</v>
      </c>
    </row>
    <row r="5" spans="1:10">
      <c r="B5" s="372"/>
      <c r="C5" s="372"/>
      <c r="D5" s="372"/>
      <c r="E5" s="372"/>
      <c r="F5" s="372"/>
      <c r="G5" s="372"/>
      <c r="H5" s="372"/>
      <c r="I5" s="372"/>
      <c r="J5" s="372"/>
    </row>
    <row r="6" spans="1:10">
      <c r="A6" s="1" t="s">
        <v>1050</v>
      </c>
      <c r="B6" s="372">
        <f>'[5]Load Calibration'!AS156</f>
        <v>0.74439999999999995</v>
      </c>
      <c r="C6" s="372">
        <f>'[5]Load Calibration'!AT156</f>
        <v>0.45879999999999999</v>
      </c>
      <c r="D6" s="372">
        <f>'[5]Load Calibration'!AU156</f>
        <v>0.65410000000000001</v>
      </c>
      <c r="E6" s="372">
        <f>'[5]Load Calibration'!AV156</f>
        <v>0.56810000000000005</v>
      </c>
      <c r="F6" s="372">
        <f>'[5]Load Calibration'!AW156</f>
        <v>0.71250000000000002</v>
      </c>
      <c r="G6" s="372">
        <f>'[5]Load Calibration'!AX156</f>
        <v>0.84599999999999997</v>
      </c>
      <c r="H6" s="372">
        <f>'[5]Load Calibration'!AY156</f>
        <v>9.5100000000000004E-2</v>
      </c>
      <c r="I6" s="372">
        <f>'[5]Load Calibration'!AZ156</f>
        <v>0.29459999999999997</v>
      </c>
      <c r="J6" s="372">
        <f>'[5]Load Calibration'!BA156</f>
        <v>0.61729999999999996</v>
      </c>
    </row>
    <row r="7" spans="1:10">
      <c r="A7" s="1" t="s">
        <v>1051</v>
      </c>
      <c r="B7" s="372">
        <f>'[6]Load Calibration'!AU156</f>
        <v>0.79849999999999999</v>
      </c>
      <c r="C7" s="372">
        <f>'[6]Load Calibration'!AV156</f>
        <v>0.48230000000000001</v>
      </c>
      <c r="D7" s="372">
        <f>'[6]Load Calibration'!AW156</f>
        <v>0.68689999999999996</v>
      </c>
      <c r="E7" s="372">
        <f>'[6]Load Calibration'!AX156</f>
        <v>0.55200000000000005</v>
      </c>
      <c r="F7" s="372">
        <f>'[6]Load Calibration'!AY156</f>
        <v>0.68830000000000002</v>
      </c>
      <c r="G7" s="372">
        <f>'[6]Load Calibration'!AZ156</f>
        <v>0.89129999999999998</v>
      </c>
      <c r="H7" s="372">
        <f>'[6]Load Calibration'!BA156</f>
        <v>0.5464</v>
      </c>
      <c r="I7" s="372">
        <f>'[6]Load Calibration'!BB156</f>
        <v>0.89129999999999998</v>
      </c>
      <c r="J7" s="372">
        <f>'[6]Load Calibration'!BC156</f>
        <v>0.64739999999999998</v>
      </c>
    </row>
    <row r="8" spans="1:10">
      <c r="B8" s="372"/>
      <c r="C8" s="372"/>
      <c r="D8" s="372"/>
      <c r="E8" s="372"/>
      <c r="F8" s="372"/>
      <c r="G8" s="372"/>
      <c r="H8" s="372"/>
      <c r="I8" s="372"/>
      <c r="J8" s="372"/>
    </row>
    <row r="9" spans="1:10">
      <c r="B9" s="372"/>
      <c r="C9" s="372"/>
      <c r="D9" s="372"/>
      <c r="E9" s="372"/>
      <c r="F9" s="372"/>
      <c r="G9" s="372"/>
      <c r="H9" s="372"/>
      <c r="I9" s="372"/>
      <c r="J9" s="372"/>
    </row>
    <row r="10" spans="1:10">
      <c r="B10" s="372"/>
      <c r="C10" s="372"/>
      <c r="D10" s="372"/>
      <c r="E10" s="372"/>
      <c r="F10" s="372"/>
      <c r="G10" s="372"/>
      <c r="H10" s="372"/>
      <c r="I10" s="372"/>
      <c r="J10" s="372"/>
    </row>
    <row r="11" spans="1:10">
      <c r="B11" s="372"/>
      <c r="C11" s="372"/>
      <c r="D11" s="372"/>
      <c r="E11" s="372"/>
      <c r="F11" s="372"/>
      <c r="G11" s="372"/>
      <c r="H11" s="372"/>
      <c r="I11" s="372"/>
      <c r="J11" s="372"/>
    </row>
    <row r="12" spans="1:10">
      <c r="B12" s="372"/>
      <c r="C12" s="372"/>
      <c r="D12" s="372"/>
      <c r="E12" s="372"/>
      <c r="F12" s="372"/>
      <c r="G12" s="372"/>
      <c r="H12" s="372"/>
      <c r="I12" s="372"/>
      <c r="J12" s="372"/>
    </row>
    <row r="13" spans="1:10">
      <c r="B13" s="372"/>
      <c r="C13" s="372"/>
      <c r="D13" s="372"/>
      <c r="E13" s="372"/>
      <c r="F13" s="372"/>
      <c r="G13" s="372"/>
      <c r="H13" s="372"/>
      <c r="I13" s="372"/>
      <c r="J13" s="372"/>
    </row>
    <row r="14" spans="1:10">
      <c r="B14" s="372"/>
      <c r="C14" s="372"/>
      <c r="D14" s="372"/>
      <c r="E14" s="372"/>
      <c r="F14" s="372"/>
      <c r="G14" s="372"/>
      <c r="H14" s="372"/>
      <c r="I14" s="372"/>
      <c r="J14" s="372"/>
    </row>
    <row r="15" spans="1:10">
      <c r="B15" s="372"/>
      <c r="C15" s="372"/>
      <c r="D15" s="372"/>
      <c r="E15" s="372"/>
      <c r="F15" s="372"/>
      <c r="G15" s="372"/>
      <c r="H15" s="372"/>
      <c r="I15" s="372"/>
      <c r="J15" s="372"/>
    </row>
    <row r="16" spans="1:10">
      <c r="B16" s="372"/>
      <c r="C16" s="372"/>
      <c r="D16" s="372"/>
      <c r="E16" s="372"/>
      <c r="F16" s="372"/>
      <c r="G16" s="372"/>
      <c r="H16" s="372"/>
      <c r="I16" s="372"/>
      <c r="J16" s="372"/>
    </row>
    <row r="17" spans="2:10">
      <c r="B17" s="372"/>
      <c r="C17" s="372"/>
      <c r="D17" s="372"/>
      <c r="E17" s="372"/>
      <c r="F17" s="372"/>
      <c r="G17" s="372"/>
      <c r="H17" s="372"/>
      <c r="I17" s="372"/>
      <c r="J17" s="372"/>
    </row>
    <row r="18" spans="2:10">
      <c r="B18" s="372"/>
      <c r="C18" s="372"/>
      <c r="D18" s="372"/>
      <c r="E18" s="372"/>
      <c r="F18" s="372"/>
      <c r="G18" s="372"/>
      <c r="H18" s="372"/>
      <c r="I18" s="372"/>
      <c r="J18" s="372"/>
    </row>
    <row r="19" spans="2:10">
      <c r="B19" s="372"/>
      <c r="C19" s="372"/>
      <c r="D19" s="372"/>
      <c r="E19" s="372"/>
      <c r="F19" s="372"/>
      <c r="G19" s="372"/>
      <c r="H19" s="372"/>
      <c r="I19" s="372"/>
      <c r="J19" s="372"/>
    </row>
    <row r="20" spans="2:10">
      <c r="B20" s="372"/>
      <c r="C20" s="372"/>
      <c r="D20" s="372"/>
      <c r="E20" s="372"/>
      <c r="F20" s="372"/>
      <c r="G20" s="372"/>
      <c r="H20" s="372"/>
      <c r="I20" s="372"/>
      <c r="J20" s="372"/>
    </row>
    <row r="21" spans="2:10">
      <c r="B21" s="372"/>
      <c r="C21" s="372"/>
      <c r="D21" s="372"/>
      <c r="E21" s="372"/>
      <c r="F21" s="372"/>
      <c r="G21" s="372"/>
      <c r="H21" s="372"/>
      <c r="I21" s="372"/>
      <c r="J21" s="372"/>
    </row>
    <row r="22" spans="2:10">
      <c r="B22" s="372"/>
      <c r="C22" s="372"/>
      <c r="D22" s="372"/>
      <c r="E22" s="372"/>
      <c r="F22" s="372"/>
      <c r="G22" s="372"/>
      <c r="H22" s="372"/>
      <c r="I22" s="372"/>
      <c r="J22" s="372"/>
    </row>
    <row r="23" spans="2:10">
      <c r="B23" s="372"/>
      <c r="C23" s="372"/>
      <c r="D23" s="372"/>
      <c r="E23" s="372"/>
      <c r="F23" s="372"/>
      <c r="G23" s="372"/>
      <c r="H23" s="372"/>
      <c r="I23" s="372"/>
      <c r="J23" s="372"/>
    </row>
    <row r="24" spans="2:10">
      <c r="B24" s="372"/>
      <c r="C24" s="372"/>
      <c r="D24" s="372"/>
      <c r="E24" s="372"/>
      <c r="F24" s="372"/>
      <c r="G24" s="372"/>
      <c r="H24" s="372"/>
      <c r="I24" s="372"/>
      <c r="J24" s="372"/>
    </row>
    <row r="25" spans="2:10">
      <c r="B25" s="372"/>
      <c r="C25" s="372"/>
      <c r="D25" s="372"/>
      <c r="E25" s="372"/>
      <c r="F25" s="372"/>
      <c r="G25" s="372"/>
      <c r="H25" s="372"/>
      <c r="I25" s="372"/>
      <c r="J25" s="372"/>
    </row>
    <row r="26" spans="2:10">
      <c r="B26" s="372"/>
      <c r="C26" s="372"/>
      <c r="D26" s="372"/>
      <c r="E26" s="372"/>
      <c r="F26" s="372"/>
      <c r="G26" s="372"/>
      <c r="H26" s="372"/>
      <c r="I26" s="372"/>
      <c r="J26" s="372"/>
    </row>
    <row r="27" spans="2:10">
      <c r="B27" s="372"/>
      <c r="C27" s="372"/>
      <c r="D27" s="372"/>
      <c r="E27" s="372"/>
      <c r="F27" s="372"/>
      <c r="G27" s="372"/>
      <c r="H27" s="372"/>
      <c r="I27" s="372"/>
      <c r="J27" s="372"/>
    </row>
    <row r="28" spans="2:10">
      <c r="B28" s="372" t="str">
        <f>'[5]Load Calibration'!AS181</f>
        <v/>
      </c>
      <c r="C28" s="372" t="str">
        <f>'[5]Load Calibration'!AT181</f>
        <v/>
      </c>
      <c r="D28" s="372" t="str">
        <f>'[5]Load Calibration'!AU181</f>
        <v/>
      </c>
      <c r="E28" s="372" t="str">
        <f>'[5]Load Calibration'!AV181</f>
        <v/>
      </c>
      <c r="F28" s="372" t="str">
        <f>'[5]Load Calibration'!AW181</f>
        <v/>
      </c>
      <c r="G28" s="372" t="str">
        <f>'[5]Load Calibration'!AX181</f>
        <v/>
      </c>
      <c r="H28" s="372"/>
      <c r="I28" s="372"/>
      <c r="J28" s="372"/>
    </row>
    <row r="29" spans="2:10">
      <c r="B29" s="372" t="str">
        <f>'[5]Load Calibration'!AS182</f>
        <v/>
      </c>
      <c r="C29" s="372" t="str">
        <f>'[5]Load Calibration'!AT182</f>
        <v/>
      </c>
      <c r="D29" s="372" t="str">
        <f>'[5]Load Calibration'!AU182</f>
        <v/>
      </c>
      <c r="E29" s="372" t="str">
        <f>'[5]Load Calibration'!AV182</f>
        <v/>
      </c>
      <c r="F29" s="372" t="str">
        <f>'[5]Load Calibration'!AW182</f>
        <v/>
      </c>
      <c r="G29" s="372" t="str">
        <f>'[5]Load Calibration'!AX182</f>
        <v/>
      </c>
      <c r="H29" s="372"/>
      <c r="I29" s="372"/>
      <c r="J29" s="372"/>
    </row>
    <row r="30" spans="2:10">
      <c r="B30" s="372" t="str">
        <f>'[5]Load Calibration'!AS183</f>
        <v/>
      </c>
      <c r="C30" s="372" t="str">
        <f>'[5]Load Calibration'!AT183</f>
        <v/>
      </c>
      <c r="D30" s="372" t="str">
        <f>'[5]Load Calibration'!AU183</f>
        <v/>
      </c>
      <c r="E30" s="372" t="str">
        <f>'[5]Load Calibration'!AV183</f>
        <v/>
      </c>
      <c r="F30" s="372" t="str">
        <f>'[5]Load Calibration'!AW183</f>
        <v/>
      </c>
      <c r="G30" s="372" t="str">
        <f>'[5]Load Calibration'!AX183</f>
        <v/>
      </c>
      <c r="H30" s="372"/>
      <c r="I30" s="372"/>
      <c r="J30" s="372"/>
    </row>
    <row r="31" spans="2:10">
      <c r="B31" s="372" t="str">
        <f>'[5]Load Calibration'!AS184</f>
        <v/>
      </c>
      <c r="C31" s="372" t="str">
        <f>'[5]Load Calibration'!AT184</f>
        <v/>
      </c>
      <c r="D31" s="372" t="str">
        <f>'[5]Load Calibration'!AU184</f>
        <v/>
      </c>
      <c r="E31" s="372" t="str">
        <f>'[5]Load Calibration'!AV184</f>
        <v/>
      </c>
      <c r="F31" s="372" t="str">
        <f>'[5]Load Calibration'!AW184</f>
        <v/>
      </c>
      <c r="G31" s="372" t="str">
        <f>'[5]Load Calibration'!AX184</f>
        <v/>
      </c>
      <c r="H31" s="372"/>
      <c r="I31" s="372"/>
      <c r="J31" s="372"/>
    </row>
    <row r="32" spans="2:10">
      <c r="B32" s="372" t="str">
        <f>'[5]Load Calibration'!AS185</f>
        <v/>
      </c>
      <c r="C32" s="372" t="str">
        <f>'[5]Load Calibration'!AT185</f>
        <v/>
      </c>
      <c r="D32" s="372" t="str">
        <f>'[5]Load Calibration'!AU185</f>
        <v/>
      </c>
      <c r="E32" s="372" t="str">
        <f>'[5]Load Calibration'!AV185</f>
        <v/>
      </c>
      <c r="F32" s="372" t="str">
        <f>'[5]Load Calibration'!AW185</f>
        <v/>
      </c>
      <c r="G32" s="372" t="str">
        <f>'[5]Load Calibration'!AX185</f>
        <v/>
      </c>
      <c r="H32" s="372"/>
      <c r="I32" s="372"/>
      <c r="J32" s="372"/>
    </row>
    <row r="33" spans="2:10">
      <c r="B33" s="372" t="str">
        <f>'[5]Load Calibration'!AS186</f>
        <v/>
      </c>
      <c r="C33" s="372" t="str">
        <f>'[5]Load Calibration'!AT186</f>
        <v/>
      </c>
      <c r="D33" s="372" t="str">
        <f>'[5]Load Calibration'!AU186</f>
        <v/>
      </c>
      <c r="E33" s="372" t="str">
        <f>'[5]Load Calibration'!AV186</f>
        <v/>
      </c>
      <c r="F33" s="372" t="str">
        <f>'[5]Load Calibration'!AW186</f>
        <v/>
      </c>
      <c r="G33" s="372" t="str">
        <f>'[5]Load Calibration'!AX186</f>
        <v/>
      </c>
      <c r="H33" s="372"/>
      <c r="I33" s="372"/>
      <c r="J33" s="372"/>
    </row>
    <row r="34" spans="2:10">
      <c r="B34" s="372" t="str">
        <f>'[5]Load Calibration'!AS187</f>
        <v/>
      </c>
      <c r="C34" s="372" t="str">
        <f>'[5]Load Calibration'!AT187</f>
        <v/>
      </c>
      <c r="D34" s="372" t="str">
        <f>'[5]Load Calibration'!AU187</f>
        <v/>
      </c>
      <c r="E34" s="372" t="str">
        <f>'[5]Load Calibration'!AV187</f>
        <v/>
      </c>
      <c r="F34" s="372" t="str">
        <f>'[5]Load Calibration'!AW187</f>
        <v/>
      </c>
      <c r="G34" s="372" t="str">
        <f>'[5]Load Calibration'!AX187</f>
        <v/>
      </c>
      <c r="H34" s="372"/>
      <c r="I34" s="372"/>
      <c r="J34" s="372"/>
    </row>
    <row r="35" spans="2:10">
      <c r="B35" s="372" t="str">
        <f>'[5]Load Calibration'!AS188</f>
        <v/>
      </c>
      <c r="C35" s="372" t="str">
        <f>'[5]Load Calibration'!AT188</f>
        <v/>
      </c>
      <c r="D35" s="372" t="str">
        <f>'[5]Load Calibration'!AU188</f>
        <v/>
      </c>
      <c r="E35" s="372" t="str">
        <f>'[5]Load Calibration'!AV188</f>
        <v/>
      </c>
      <c r="F35" s="372" t="str">
        <f>'[5]Load Calibration'!AW188</f>
        <v/>
      </c>
      <c r="G35" s="372" t="str">
        <f>'[5]Load Calibration'!AX188</f>
        <v/>
      </c>
      <c r="H35" s="372"/>
      <c r="I35" s="372"/>
      <c r="J35" s="372"/>
    </row>
    <row r="36" spans="2:10">
      <c r="B36" s="372" t="str">
        <f>'[5]Load Calibration'!AS189</f>
        <v/>
      </c>
      <c r="C36" s="372" t="str">
        <f>'[5]Load Calibration'!AT189</f>
        <v/>
      </c>
      <c r="D36" s="372" t="str">
        <f>'[5]Load Calibration'!AU189</f>
        <v/>
      </c>
      <c r="E36" s="372" t="str">
        <f>'[5]Load Calibration'!AV189</f>
        <v/>
      </c>
      <c r="F36" s="372" t="str">
        <f>'[5]Load Calibration'!AW189</f>
        <v/>
      </c>
      <c r="G36" s="372" t="str">
        <f>'[5]Load Calibration'!AX189</f>
        <v/>
      </c>
      <c r="H36" s="372"/>
      <c r="I36" s="372"/>
      <c r="J36" s="372"/>
    </row>
    <row r="37" spans="2:10">
      <c r="B37" s="372"/>
      <c r="C37" s="372"/>
      <c r="D37" s="372"/>
      <c r="E37" s="372"/>
      <c r="F37" s="372"/>
    </row>
    <row r="38" spans="2:10">
      <c r="B38" s="372"/>
      <c r="C38" s="372"/>
      <c r="D38" s="372"/>
      <c r="E38" s="372"/>
      <c r="F38" s="372"/>
    </row>
    <row r="39" spans="2:10">
      <c r="B39" s="372"/>
      <c r="C39" s="372"/>
      <c r="D39" s="372"/>
      <c r="E39" s="372"/>
      <c r="F39" s="372"/>
    </row>
    <row r="40" spans="2:10">
      <c r="B40" s="372"/>
      <c r="C40" s="372"/>
      <c r="D40" s="372"/>
      <c r="E40" s="372"/>
      <c r="F40" s="372"/>
    </row>
    <row r="41" spans="2:10">
      <c r="B41" s="372"/>
      <c r="C41" s="372"/>
      <c r="D41" s="372"/>
      <c r="E41" s="372"/>
      <c r="F41" s="372"/>
    </row>
    <row r="42" spans="2:10">
      <c r="B42" s="372"/>
      <c r="C42" s="372"/>
      <c r="D42" s="372"/>
      <c r="E42" s="372"/>
      <c r="F42" s="372"/>
    </row>
    <row r="43" spans="2:10" s="374" customFormat="1">
      <c r="B43" s="373"/>
      <c r="C43" s="373"/>
      <c r="D43" s="373"/>
      <c r="E43" s="373"/>
      <c r="F43" s="37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3:W95"/>
  <sheetViews>
    <sheetView topLeftCell="A22" zoomScaleNormal="100" workbookViewId="0"/>
  </sheetViews>
  <sheetFormatPr defaultRowHeight="12.75"/>
  <cols>
    <col min="3" max="3" width="12.7109375" bestFit="1" customWidth="1"/>
  </cols>
  <sheetData>
    <row r="3" spans="2:10">
      <c r="B3" s="1" t="s">
        <v>954</v>
      </c>
      <c r="C3" s="1"/>
      <c r="D3" s="1"/>
      <c r="E3" s="68"/>
      <c r="F3" s="1"/>
      <c r="G3" s="1"/>
      <c r="H3" s="1"/>
      <c r="I3" s="1"/>
      <c r="J3" s="458" t="s">
        <v>934</v>
      </c>
    </row>
    <row r="4" spans="2:10">
      <c r="B4" s="1"/>
      <c r="C4" s="1"/>
      <c r="D4" s="1"/>
      <c r="E4" s="68"/>
      <c r="F4" s="1"/>
      <c r="G4" s="1"/>
      <c r="H4" s="1"/>
      <c r="I4" s="1"/>
    </row>
    <row r="5" spans="2:10">
      <c r="B5" s="1">
        <v>300</v>
      </c>
      <c r="C5" s="1" t="s">
        <v>924</v>
      </c>
      <c r="D5" s="1"/>
      <c r="E5" s="68"/>
      <c r="F5" s="1"/>
      <c r="G5" s="1"/>
      <c r="H5" s="1"/>
      <c r="I5" s="1"/>
    </row>
    <row r="6" spans="2:10">
      <c r="B6" s="1">
        <v>77</v>
      </c>
      <c r="C6" s="1" t="s">
        <v>925</v>
      </c>
      <c r="D6" s="1"/>
      <c r="E6" s="68"/>
      <c r="F6" s="1"/>
      <c r="G6" s="1"/>
      <c r="H6" s="1"/>
      <c r="I6" s="1"/>
    </row>
    <row r="7" spans="2:10">
      <c r="B7" s="190">
        <f>B5/B6</f>
        <v>3.8961038961038961</v>
      </c>
      <c r="C7" s="1" t="s">
        <v>926</v>
      </c>
      <c r="D7" s="1"/>
      <c r="E7" s="68"/>
      <c r="F7" s="1"/>
      <c r="G7" s="1"/>
      <c r="H7" s="1"/>
      <c r="I7" s="1"/>
    </row>
    <row r="8" spans="2:10">
      <c r="B8" s="1"/>
      <c r="C8" s="1" t="s">
        <v>927</v>
      </c>
      <c r="D8" s="1"/>
      <c r="E8" s="68"/>
      <c r="F8" s="1"/>
      <c r="G8" s="1"/>
      <c r="H8" s="1"/>
      <c r="I8" s="1"/>
    </row>
    <row r="9" spans="2:10">
      <c r="B9">
        <v>21</v>
      </c>
      <c r="C9" s="1" t="s">
        <v>955</v>
      </c>
      <c r="D9" s="1"/>
      <c r="E9" s="68"/>
      <c r="F9" s="1"/>
      <c r="G9" s="1"/>
      <c r="H9" s="1"/>
      <c r="I9" s="1"/>
    </row>
    <row r="10" spans="2:10">
      <c r="B10" s="1">
        <f>B6-B9</f>
        <v>56</v>
      </c>
      <c r="C10" s="1" t="s">
        <v>956</v>
      </c>
      <c r="D10" s="1"/>
      <c r="E10" s="68"/>
      <c r="F10" s="1"/>
      <c r="G10" s="1"/>
      <c r="H10" s="1"/>
      <c r="I10" s="1"/>
      <c r="J10" t="s">
        <v>957</v>
      </c>
    </row>
    <row r="11" spans="2:10">
      <c r="B11" s="1" t="s">
        <v>951</v>
      </c>
      <c r="C11" s="1"/>
      <c r="D11" s="1"/>
      <c r="E11" s="68"/>
      <c r="F11" s="1"/>
      <c r="G11" s="1"/>
      <c r="H11" s="1"/>
      <c r="I11" s="1"/>
    </row>
    <row r="12" spans="2:10">
      <c r="B12" s="1">
        <v>233785</v>
      </c>
      <c r="C12" s="1" t="s">
        <v>952</v>
      </c>
      <c r="E12" s="68"/>
      <c r="F12" s="1"/>
      <c r="G12" s="1"/>
      <c r="H12" s="1"/>
      <c r="I12" s="1"/>
      <c r="J12" s="1" t="s">
        <v>953</v>
      </c>
    </row>
    <row r="13" spans="2:10">
      <c r="B13" s="1"/>
      <c r="C13" s="1"/>
      <c r="D13" s="1"/>
      <c r="E13" s="68"/>
      <c r="F13" s="1"/>
      <c r="G13" s="1"/>
      <c r="H13" s="1"/>
      <c r="I13" s="1"/>
    </row>
    <row r="14" spans="2:10">
      <c r="B14" s="1"/>
      <c r="C14" s="1"/>
      <c r="D14" s="1"/>
      <c r="E14" s="68"/>
      <c r="F14" s="1"/>
      <c r="G14" s="1"/>
      <c r="H14" s="1"/>
      <c r="I14" s="1"/>
    </row>
    <row r="15" spans="2:10">
      <c r="B15" s="1" t="s">
        <v>928</v>
      </c>
      <c r="C15" s="1"/>
      <c r="D15" s="1"/>
      <c r="E15" s="68"/>
      <c r="F15" s="1"/>
      <c r="G15" s="1"/>
      <c r="H15" s="1"/>
      <c r="I15" s="1"/>
    </row>
    <row r="16" spans="2:10">
      <c r="B16" s="1">
        <v>1.4</v>
      </c>
      <c r="C16" s="1" t="s">
        <v>929</v>
      </c>
      <c r="D16" s="1"/>
      <c r="E16" s="68"/>
      <c r="F16" s="1"/>
      <c r="G16" s="1"/>
      <c r="H16" s="1"/>
      <c r="I16" s="1"/>
    </row>
    <row r="17" spans="1:23">
      <c r="B17" s="1" t="s">
        <v>930</v>
      </c>
      <c r="C17" s="1"/>
      <c r="D17" s="1"/>
      <c r="E17" s="68"/>
      <c r="F17" s="1"/>
      <c r="G17" s="1"/>
      <c r="H17" s="1"/>
      <c r="I17" s="1"/>
    </row>
    <row r="18" spans="1:23">
      <c r="B18" s="1">
        <v>186</v>
      </c>
      <c r="C18" s="1" t="s">
        <v>931</v>
      </c>
      <c r="D18" s="1"/>
      <c r="E18" s="68"/>
      <c r="F18" s="1"/>
      <c r="G18" s="1"/>
      <c r="H18" s="1"/>
      <c r="I18" s="1"/>
    </row>
    <row r="19" spans="1:23">
      <c r="B19" s="1">
        <v>25</v>
      </c>
      <c r="C19" s="1" t="s">
        <v>932</v>
      </c>
      <c r="D19" s="1"/>
      <c r="E19" s="68"/>
      <c r="F19" s="1"/>
      <c r="G19" s="1"/>
      <c r="H19" s="1"/>
      <c r="I19" s="1"/>
    </row>
    <row r="20" spans="1:23">
      <c r="B20" s="1"/>
      <c r="C20" s="1"/>
      <c r="D20" s="1"/>
      <c r="E20" s="68"/>
      <c r="F20" s="1"/>
      <c r="G20" s="1"/>
      <c r="H20" s="1"/>
      <c r="I20" s="1"/>
    </row>
    <row r="21" spans="1:23">
      <c r="A21" s="640"/>
      <c r="B21" s="641">
        <f>(B16/B18)*1000</f>
        <v>7.5268817204301071</v>
      </c>
      <c r="C21" s="374" t="s">
        <v>933</v>
      </c>
      <c r="D21" s="374"/>
      <c r="E21" s="642"/>
      <c r="F21" s="374"/>
      <c r="G21" s="374"/>
      <c r="H21" s="374"/>
      <c r="I21" s="374"/>
      <c r="J21" s="640"/>
      <c r="K21" s="640"/>
      <c r="L21" s="640"/>
      <c r="M21" s="640"/>
      <c r="N21" s="640"/>
      <c r="O21" s="640"/>
      <c r="P21" s="640"/>
      <c r="Q21" s="640"/>
      <c r="R21" s="640"/>
      <c r="S21" s="640"/>
      <c r="T21" s="640"/>
      <c r="U21" s="640"/>
      <c r="V21" s="640"/>
      <c r="W21" s="640"/>
    </row>
    <row r="22" spans="1:23">
      <c r="B22" t="s">
        <v>1294</v>
      </c>
      <c r="E22" s="68"/>
      <c r="F22" s="1"/>
      <c r="G22" s="1"/>
      <c r="H22" s="1"/>
      <c r="I22" s="1"/>
    </row>
    <row r="23" spans="1:23">
      <c r="E23" s="68"/>
      <c r="F23" s="1" t="s">
        <v>945</v>
      </c>
      <c r="G23" s="1"/>
      <c r="H23" s="1"/>
      <c r="I23" s="1"/>
    </row>
    <row r="24" spans="1:23">
      <c r="B24" s="1"/>
      <c r="D24" s="1"/>
      <c r="E24" s="68"/>
      <c r="F24" s="1" t="s">
        <v>946</v>
      </c>
      <c r="G24" s="1"/>
      <c r="H24" s="1"/>
      <c r="I24" s="1"/>
    </row>
    <row r="25" spans="1:23">
      <c r="B25" s="1"/>
      <c r="D25" s="1"/>
      <c r="E25" s="68"/>
      <c r="F25" s="1" t="s">
        <v>947</v>
      </c>
      <c r="G25" s="1"/>
      <c r="H25" s="1"/>
      <c r="I25" s="1"/>
    </row>
    <row r="26" spans="1:23">
      <c r="B26" s="1"/>
      <c r="D26" s="1"/>
      <c r="E26" s="68"/>
      <c r="F26" s="1"/>
      <c r="G26" s="1"/>
      <c r="H26" s="1"/>
      <c r="I26" s="1"/>
    </row>
    <row r="27" spans="1:23">
      <c r="B27" s="1"/>
      <c r="C27" s="1"/>
      <c r="D27" s="1"/>
      <c r="E27" s="68"/>
      <c r="F27" s="1"/>
      <c r="G27" s="1"/>
      <c r="H27" s="1" t="s">
        <v>939</v>
      </c>
      <c r="I27" s="1"/>
    </row>
    <row r="28" spans="1:23">
      <c r="B28" s="1"/>
      <c r="C28" s="1" t="s">
        <v>936</v>
      </c>
      <c r="D28" s="1" t="s">
        <v>935</v>
      </c>
      <c r="E28" s="68"/>
      <c r="F28" s="1"/>
      <c r="G28" s="1" t="s">
        <v>938</v>
      </c>
      <c r="H28" s="17">
        <v>550</v>
      </c>
      <c r="I28" s="1"/>
    </row>
    <row r="29" spans="1:23">
      <c r="B29" s="1"/>
      <c r="C29" s="1"/>
      <c r="D29" s="17">
        <f>2*1.068</f>
        <v>2.1360000000000001</v>
      </c>
      <c r="E29" s="68" t="s">
        <v>937</v>
      </c>
      <c r="F29" s="1"/>
      <c r="G29" s="1"/>
      <c r="H29" s="17">
        <v>550</v>
      </c>
      <c r="I29" s="1"/>
    </row>
    <row r="30" spans="1:23">
      <c r="B30" s="1"/>
      <c r="C30" s="1"/>
      <c r="D30" s="1"/>
      <c r="E30" s="68"/>
      <c r="F30" s="1"/>
      <c r="G30" s="1"/>
      <c r="H30" s="17">
        <v>450</v>
      </c>
      <c r="I30" s="1"/>
    </row>
    <row r="31" spans="1:23">
      <c r="B31" s="1"/>
      <c r="C31" s="1"/>
      <c r="D31" s="1"/>
      <c r="E31" s="68"/>
      <c r="F31" s="1"/>
      <c r="G31" s="1"/>
      <c r="H31" s="1"/>
      <c r="I31" s="1"/>
    </row>
    <row r="32" spans="1:23">
      <c r="B32" s="1"/>
      <c r="C32" s="1"/>
      <c r="D32" s="1"/>
      <c r="E32" s="68"/>
      <c r="F32" s="1"/>
      <c r="G32" s="1"/>
      <c r="H32" s="1"/>
      <c r="I32" s="1"/>
    </row>
    <row r="33" spans="2:17">
      <c r="B33" s="1"/>
      <c r="C33" s="1"/>
      <c r="D33" s="1"/>
      <c r="E33" s="68"/>
      <c r="F33" s="1"/>
      <c r="G33" s="1"/>
      <c r="H33" s="1"/>
      <c r="I33" s="1"/>
    </row>
    <row r="34" spans="2:17">
      <c r="B34" s="1"/>
      <c r="C34" s="1"/>
      <c r="D34" s="1"/>
      <c r="E34" s="68"/>
      <c r="F34" s="1"/>
      <c r="G34" s="1"/>
      <c r="H34" s="1"/>
      <c r="I34" s="1"/>
    </row>
    <row r="35" spans="2:17">
      <c r="B35" s="1"/>
      <c r="C35" s="1"/>
      <c r="D35" s="1"/>
      <c r="E35" s="68"/>
      <c r="F35" s="1"/>
      <c r="G35" s="1"/>
      <c r="H35" s="1"/>
      <c r="I35" s="1"/>
    </row>
    <row r="36" spans="2:17">
      <c r="B36" s="1"/>
      <c r="C36" s="1"/>
      <c r="D36" s="1"/>
      <c r="E36" s="68"/>
      <c r="F36" s="1"/>
      <c r="G36" s="1"/>
      <c r="H36" s="1"/>
      <c r="I36" s="1"/>
    </row>
    <row r="37" spans="2:17">
      <c r="B37" s="1"/>
      <c r="C37" s="1"/>
      <c r="D37" s="1"/>
      <c r="E37" s="68"/>
      <c r="F37" s="1"/>
      <c r="G37" s="1"/>
      <c r="H37" s="1"/>
      <c r="I37" s="1"/>
    </row>
    <row r="38" spans="2:17">
      <c r="B38" s="1"/>
      <c r="C38" s="1"/>
      <c r="D38" s="1"/>
      <c r="E38" s="68"/>
      <c r="F38" s="1"/>
      <c r="G38" s="1"/>
      <c r="P38" s="1">
        <f>SUM(H28:H30)</f>
        <v>1550</v>
      </c>
      <c r="Q38" s="1" t="s">
        <v>939</v>
      </c>
    </row>
    <row r="39" spans="2:17">
      <c r="B39" s="1"/>
      <c r="C39" s="1"/>
      <c r="D39" s="1"/>
      <c r="E39" s="68"/>
      <c r="F39" s="1"/>
      <c r="G39" s="1"/>
      <c r="P39" s="1"/>
      <c r="Q39" s="1"/>
    </row>
    <row r="40" spans="2:17">
      <c r="B40" s="1"/>
      <c r="C40" s="1"/>
      <c r="D40" s="1"/>
      <c r="E40" s="68"/>
      <c r="F40" s="1"/>
      <c r="G40" s="1"/>
      <c r="P40" s="1"/>
      <c r="Q40" s="1"/>
    </row>
    <row r="41" spans="2:17">
      <c r="B41" s="1"/>
      <c r="C41" s="1"/>
      <c r="D41" s="1"/>
      <c r="E41" s="68"/>
      <c r="F41" s="1"/>
      <c r="G41" s="1"/>
      <c r="P41" s="1"/>
      <c r="Q41" s="1"/>
    </row>
    <row r="42" spans="2:17">
      <c r="B42" s="1"/>
      <c r="C42" s="1"/>
      <c r="D42" s="1"/>
      <c r="E42" s="68"/>
      <c r="F42" s="1"/>
      <c r="G42" s="1"/>
      <c r="P42" s="1"/>
      <c r="Q42" s="1"/>
    </row>
    <row r="43" spans="2:17">
      <c r="B43" s="1"/>
      <c r="C43" s="1"/>
      <c r="D43" s="1"/>
      <c r="E43" s="68"/>
      <c r="F43" s="1"/>
      <c r="G43" s="1"/>
      <c r="P43" s="1"/>
      <c r="Q43" s="1"/>
    </row>
    <row r="44" spans="2:17">
      <c r="B44" s="1"/>
      <c r="C44" s="1"/>
      <c r="D44" s="1"/>
      <c r="E44" s="68"/>
      <c r="F44" s="1"/>
      <c r="G44" s="1"/>
      <c r="P44" s="1"/>
      <c r="Q44" s="1"/>
    </row>
    <row r="45" spans="2:17">
      <c r="B45" s="1"/>
      <c r="C45" s="1"/>
      <c r="D45" s="1"/>
      <c r="E45" s="68"/>
      <c r="F45" s="1"/>
      <c r="G45" s="1"/>
      <c r="P45" s="1">
        <v>100</v>
      </c>
      <c r="Q45" s="1" t="s">
        <v>939</v>
      </c>
    </row>
    <row r="46" spans="2:17">
      <c r="B46" s="1"/>
      <c r="C46" s="1"/>
      <c r="D46" s="1"/>
      <c r="E46" s="68"/>
      <c r="F46" s="1"/>
      <c r="G46" s="1"/>
      <c r="H46" s="1"/>
      <c r="I46" s="1"/>
    </row>
    <row r="47" spans="2:17">
      <c r="B47" s="1"/>
      <c r="C47" s="1"/>
      <c r="D47" s="1"/>
      <c r="E47" s="68"/>
      <c r="F47" s="1"/>
      <c r="G47" s="1"/>
      <c r="H47" s="1"/>
      <c r="I47" s="1"/>
    </row>
    <row r="48" spans="2:17">
      <c r="B48" s="1"/>
      <c r="C48" s="1"/>
      <c r="D48" s="1"/>
      <c r="E48" s="68"/>
      <c r="F48" s="1"/>
      <c r="G48" s="1"/>
      <c r="H48" s="1"/>
      <c r="I48" s="1"/>
    </row>
    <row r="49" spans="2:9">
      <c r="B49" s="1"/>
      <c r="C49" s="1"/>
      <c r="D49" s="1"/>
      <c r="E49" s="68"/>
      <c r="F49" s="1"/>
      <c r="G49" s="1"/>
      <c r="H49" s="1"/>
      <c r="I49" s="1"/>
    </row>
    <row r="50" spans="2:9">
      <c r="B50" s="1"/>
      <c r="C50" s="1"/>
      <c r="D50" s="1"/>
      <c r="E50" s="68"/>
      <c r="F50" s="1"/>
      <c r="G50" s="1"/>
      <c r="H50" s="1"/>
      <c r="I50" s="1"/>
    </row>
    <row r="51" spans="2:9">
      <c r="B51" s="1"/>
      <c r="C51" s="1"/>
      <c r="D51" s="1"/>
      <c r="E51" s="68"/>
      <c r="F51" s="1"/>
      <c r="G51" s="1"/>
      <c r="H51" s="1"/>
      <c r="I51" s="1"/>
    </row>
    <row r="52" spans="2:9">
      <c r="B52" s="1"/>
      <c r="C52" s="1"/>
      <c r="D52" s="1"/>
      <c r="E52" s="68"/>
      <c r="F52" s="1"/>
      <c r="G52" s="1"/>
      <c r="H52" s="1"/>
      <c r="I52" s="1"/>
    </row>
    <row r="53" spans="2:9">
      <c r="B53" s="1" t="s">
        <v>566</v>
      </c>
      <c r="C53" s="1">
        <v>2</v>
      </c>
      <c r="D53" s="1"/>
      <c r="E53" s="68"/>
      <c r="F53" s="1"/>
      <c r="G53" s="1"/>
      <c r="H53" s="1"/>
      <c r="I53" s="1"/>
    </row>
    <row r="54" spans="2:9">
      <c r="B54" s="1" t="s">
        <v>940</v>
      </c>
      <c r="C54" s="1">
        <v>5.157</v>
      </c>
      <c r="D54" s="1" t="s">
        <v>941</v>
      </c>
      <c r="E54" s="68"/>
      <c r="F54" s="1"/>
      <c r="G54" s="1"/>
      <c r="H54" s="1"/>
      <c r="I54" s="1"/>
    </row>
    <row r="55" spans="2:9">
      <c r="B55" s="1"/>
      <c r="C55" s="1"/>
      <c r="D55" s="1"/>
      <c r="E55" s="68"/>
      <c r="F55" s="1"/>
      <c r="G55" s="1"/>
      <c r="H55" s="1"/>
      <c r="I55" s="1"/>
    </row>
    <row r="56" spans="2:9">
      <c r="B56" s="1" t="s">
        <v>942</v>
      </c>
      <c r="C56" s="1">
        <v>13442</v>
      </c>
      <c r="D56" s="1" t="s">
        <v>943</v>
      </c>
      <c r="E56" s="68"/>
      <c r="F56" s="1"/>
      <c r="G56" s="1"/>
      <c r="H56" s="1"/>
      <c r="I56" s="1"/>
    </row>
    <row r="57" spans="2:9">
      <c r="B57" s="1"/>
      <c r="C57" s="1"/>
      <c r="D57" s="1"/>
      <c r="E57" s="68"/>
      <c r="F57" s="1"/>
      <c r="G57" s="1"/>
      <c r="H57" s="1"/>
      <c r="I57" s="1"/>
    </row>
    <row r="58" spans="2:9">
      <c r="B58" s="1"/>
      <c r="C58" s="1"/>
      <c r="D58" s="1"/>
      <c r="E58" s="68"/>
      <c r="F58" s="1"/>
      <c r="G58" s="1"/>
      <c r="H58" s="1"/>
      <c r="I58" s="1"/>
    </row>
    <row r="59" spans="2:9">
      <c r="B59" s="1" t="s">
        <v>944</v>
      </c>
      <c r="C59" s="420">
        <f>C56*1000/(P38*8760)</f>
        <v>0.98998379731919284</v>
      </c>
      <c r="D59" s="1"/>
      <c r="E59" s="68"/>
      <c r="F59" s="1"/>
      <c r="G59" s="1"/>
      <c r="H59" s="1"/>
      <c r="I59" s="1"/>
    </row>
    <row r="60" spans="2:9">
      <c r="B60" s="1"/>
      <c r="C60" s="1"/>
      <c r="D60" s="1"/>
      <c r="E60" s="68"/>
      <c r="F60" s="1"/>
      <c r="G60" s="1"/>
      <c r="H60" s="1"/>
      <c r="I60" s="1"/>
    </row>
    <row r="61" spans="2:9">
      <c r="B61" s="1"/>
      <c r="C61" s="1"/>
      <c r="D61" s="1"/>
      <c r="E61" s="68"/>
      <c r="F61" s="1"/>
      <c r="G61" s="1"/>
      <c r="H61" s="1"/>
      <c r="I61" s="1"/>
    </row>
    <row r="62" spans="2:9">
      <c r="B62" s="1" t="s">
        <v>948</v>
      </c>
      <c r="C62" s="1"/>
      <c r="D62" s="1"/>
      <c r="E62" s="68"/>
      <c r="F62" s="1"/>
      <c r="G62" s="1"/>
      <c r="H62" s="1"/>
      <c r="I62" s="1"/>
    </row>
    <row r="63" spans="2:9">
      <c r="B63" s="1"/>
      <c r="C63" s="1">
        <v>18430</v>
      </c>
      <c r="D63" s="1" t="s">
        <v>949</v>
      </c>
      <c r="E63" s="68"/>
      <c r="F63" s="1"/>
      <c r="G63" s="1"/>
      <c r="H63" s="1"/>
      <c r="I63" s="1"/>
    </row>
    <row r="64" spans="2:9">
      <c r="B64" s="1"/>
      <c r="C64" s="1"/>
      <c r="D64" s="1"/>
      <c r="E64" s="68"/>
      <c r="F64" s="1"/>
      <c r="G64" s="1"/>
      <c r="H64" s="1"/>
      <c r="I64" s="1"/>
    </row>
    <row r="65" spans="2:19">
      <c r="B65" s="1" t="s">
        <v>944</v>
      </c>
      <c r="C65" s="1">
        <f>C63/(D29*8760)</f>
        <v>0.98496314538333929</v>
      </c>
      <c r="D65" s="1"/>
      <c r="E65" s="68"/>
      <c r="F65" s="1"/>
      <c r="G65" s="1"/>
      <c r="H65" s="1"/>
      <c r="I65" s="1"/>
    </row>
    <row r="66" spans="2:19">
      <c r="B66" s="1"/>
      <c r="C66" s="1"/>
      <c r="D66" s="1"/>
      <c r="E66" s="68"/>
      <c r="F66" s="1"/>
      <c r="G66" s="1"/>
      <c r="H66" s="1"/>
      <c r="I66" s="1"/>
    </row>
    <row r="67" spans="2:19">
      <c r="B67" s="1" t="s">
        <v>950</v>
      </c>
      <c r="C67" s="1">
        <v>22</v>
      </c>
      <c r="D67" s="1" t="s">
        <v>1290</v>
      </c>
      <c r="F67" s="1"/>
      <c r="G67" s="1"/>
      <c r="H67" s="482" t="s">
        <v>977</v>
      </c>
      <c r="I67" s="1"/>
      <c r="J67" s="68" t="s">
        <v>1289</v>
      </c>
    </row>
    <row r="68" spans="2:19">
      <c r="B68" s="1"/>
      <c r="C68" s="1">
        <v>1.3094103081137336</v>
      </c>
      <c r="D68" s="1" t="s">
        <v>1291</v>
      </c>
      <c r="E68" s="68">
        <v>2015</v>
      </c>
      <c r="F68" s="1"/>
      <c r="G68" s="1"/>
      <c r="H68" s="1"/>
      <c r="I68" s="1"/>
    </row>
    <row r="69" spans="2:19">
      <c r="B69" s="1"/>
      <c r="C69" s="419">
        <f>C67*C68*1000/D29*1000</f>
        <v>13486435.757725719</v>
      </c>
      <c r="D69" s="482" t="s">
        <v>1295</v>
      </c>
      <c r="E69" s="68"/>
      <c r="F69" s="1"/>
      <c r="G69" s="1"/>
      <c r="H69" s="1"/>
      <c r="I69" s="1"/>
    </row>
    <row r="70" spans="2:19">
      <c r="B70" s="1"/>
      <c r="C70" s="1"/>
      <c r="D70" s="1"/>
      <c r="E70" s="68"/>
      <c r="F70" s="1"/>
      <c r="G70" s="1"/>
      <c r="H70" s="1"/>
      <c r="I70" s="1"/>
    </row>
    <row r="71" spans="2:19">
      <c r="B71" s="1"/>
      <c r="C71" s="1"/>
      <c r="D71" s="1"/>
      <c r="E71" s="68"/>
      <c r="F71" s="1"/>
      <c r="G71" s="1"/>
      <c r="H71" s="1"/>
      <c r="I71" s="1"/>
    </row>
    <row r="72" spans="2:19">
      <c r="B72" s="485" t="s">
        <v>959</v>
      </c>
    </row>
    <row r="74" spans="2:19">
      <c r="B74" s="483"/>
    </row>
    <row r="75" spans="2:19">
      <c r="B75" s="484" t="s">
        <v>960</v>
      </c>
      <c r="D75" s="359">
        <v>0.88</v>
      </c>
      <c r="G75" s="314" t="s">
        <v>1041</v>
      </c>
      <c r="J75" s="458" t="s">
        <v>972</v>
      </c>
      <c r="S75" t="s">
        <v>1042</v>
      </c>
    </row>
    <row r="76" spans="2:19">
      <c r="B76" s="484" t="s">
        <v>1043</v>
      </c>
      <c r="D76">
        <v>650000</v>
      </c>
      <c r="E76" s="314" t="s">
        <v>668</v>
      </c>
      <c r="G76" s="314" t="s">
        <v>1044</v>
      </c>
    </row>
    <row r="77" spans="2:19">
      <c r="B77" s="314" t="s">
        <v>961</v>
      </c>
      <c r="D77">
        <f>D76*H81</f>
        <v>650000</v>
      </c>
      <c r="E77" s="314" t="s">
        <v>668</v>
      </c>
      <c r="G77" s="314"/>
    </row>
    <row r="78" spans="2:19">
      <c r="B78" s="314" t="s">
        <v>962</v>
      </c>
      <c r="D78">
        <v>1000</v>
      </c>
      <c r="E78" s="314" t="s">
        <v>963</v>
      </c>
      <c r="F78" s="314" t="s">
        <v>964</v>
      </c>
    </row>
    <row r="79" spans="2:19">
      <c r="B79" s="314" t="s">
        <v>969</v>
      </c>
      <c r="D79">
        <v>32</v>
      </c>
      <c r="E79" s="314" t="s">
        <v>970</v>
      </c>
      <c r="F79" s="314"/>
      <c r="J79" s="458" t="s">
        <v>972</v>
      </c>
    </row>
    <row r="80" spans="2:19">
      <c r="B80" s="314" t="s">
        <v>965</v>
      </c>
      <c r="D80">
        <f>40.6*2</f>
        <v>81.2</v>
      </c>
      <c r="E80" s="314" t="s">
        <v>966</v>
      </c>
      <c r="F80" s="314" t="s">
        <v>967</v>
      </c>
      <c r="H80" s="314" t="s">
        <v>1045</v>
      </c>
      <c r="J80" s="458" t="s">
        <v>972</v>
      </c>
    </row>
    <row r="81" spans="2:11">
      <c r="C81" s="314" t="s">
        <v>968</v>
      </c>
      <c r="D81">
        <f>27.3*2</f>
        <v>54.6</v>
      </c>
      <c r="E81" s="314" t="s">
        <v>963</v>
      </c>
      <c r="F81" s="314" t="s">
        <v>138</v>
      </c>
      <c r="H81">
        <v>1</v>
      </c>
      <c r="I81" s="314" t="s">
        <v>1046</v>
      </c>
    </row>
    <row r="82" spans="2:11">
      <c r="H82">
        <v>39</v>
      </c>
      <c r="I82" s="314" t="s">
        <v>973</v>
      </c>
      <c r="K82" s="314" t="s">
        <v>974</v>
      </c>
    </row>
    <row r="83" spans="2:11">
      <c r="B83" t="s">
        <v>971</v>
      </c>
      <c r="D83">
        <f>D80*D75*H82</f>
        <v>2786.7840000000001</v>
      </c>
      <c r="E83" s="314" t="s">
        <v>975</v>
      </c>
    </row>
    <row r="85" spans="2:11">
      <c r="C85" s="314" t="s">
        <v>976</v>
      </c>
      <c r="D85">
        <f>D83*8760</f>
        <v>24412227.84</v>
      </c>
      <c r="E85" t="s">
        <v>115</v>
      </c>
    </row>
    <row r="86" spans="2:11">
      <c r="D86">
        <f>D85/1000000000</f>
        <v>2.4412227839999998E-2</v>
      </c>
      <c r="E86" t="s">
        <v>647</v>
      </c>
    </row>
    <row r="88" spans="2:11">
      <c r="B88" s="314" t="s">
        <v>961</v>
      </c>
      <c r="D88">
        <f>D77/D86/1000000</f>
        <v>26.626000882023558</v>
      </c>
      <c r="E88" s="314" t="s">
        <v>1047</v>
      </c>
    </row>
    <row r="89" spans="2:11">
      <c r="E89" s="314"/>
    </row>
    <row r="92" spans="2:11" ht="15">
      <c r="B92" t="s">
        <v>1033</v>
      </c>
      <c r="D92" s="639">
        <f>D95*D93</f>
        <v>123.01611378264606</v>
      </c>
    </row>
    <row r="93" spans="2:11">
      <c r="D93">
        <v>1.1636030437253695</v>
      </c>
      <c r="E93" t="s">
        <v>1292</v>
      </c>
    </row>
    <row r="95" spans="2:11">
      <c r="D95">
        <v>105.72</v>
      </c>
      <c r="E95" t="s">
        <v>1293</v>
      </c>
    </row>
  </sheetData>
  <hyperlinks>
    <hyperlink ref="J3" r:id="rId1" location=".UwNfafmSwSU" xr:uid="{00000000-0004-0000-2200-000000000000}"/>
    <hyperlink ref="J75" r:id="rId2" xr:uid="{00000000-0004-0000-2200-000001000000}"/>
    <hyperlink ref="J79" r:id="rId3" xr:uid="{00000000-0004-0000-2200-000002000000}"/>
    <hyperlink ref="J80" r:id="rId4" xr:uid="{00000000-0004-0000-2200-000003000000}"/>
  </hyperlinks>
  <pageMargins left="0.7" right="0.7" top="0.75" bottom="0.75" header="0.3" footer="0.3"/>
  <pageSetup paperSize="9" orientation="portrait" r:id="rId5"/>
  <drawing r:id="rId6"/>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6"/>
  <dimension ref="B4:O49"/>
  <sheetViews>
    <sheetView workbookViewId="0"/>
  </sheetViews>
  <sheetFormatPr defaultRowHeight="12.75"/>
  <cols>
    <col min="2" max="2" width="25.28515625" customWidth="1"/>
    <col min="3" max="3" width="17" customWidth="1"/>
    <col min="4" max="4" width="13" customWidth="1"/>
    <col min="14" max="14" width="15" bestFit="1" customWidth="1"/>
  </cols>
  <sheetData>
    <row r="4" spans="2:5">
      <c r="B4" s="485" t="s">
        <v>148</v>
      </c>
    </row>
    <row r="5" spans="2:5">
      <c r="B5" s="485"/>
    </row>
    <row r="6" spans="2:5">
      <c r="B6" s="485" t="s">
        <v>1052</v>
      </c>
    </row>
    <row r="8" spans="2:5">
      <c r="B8" s="314" t="s">
        <v>1053</v>
      </c>
      <c r="D8" s="507">
        <f>COM_2012!E46</f>
        <v>26.712147671579974</v>
      </c>
      <c r="E8" s="314" t="s">
        <v>1054</v>
      </c>
    </row>
    <row r="9" spans="2:5">
      <c r="D9" s="314" t="s">
        <v>467</v>
      </c>
    </row>
    <row r="10" spans="2:5">
      <c r="B10" t="str">
        <f>'End use share 2006c'!A56</f>
        <v>Office and banking space</v>
      </c>
      <c r="D10" s="507">
        <f>'End use share 2006c'!B56</f>
        <v>105</v>
      </c>
    </row>
    <row r="11" spans="2:5">
      <c r="B11" t="str">
        <f>'End use share 2006c'!A57</f>
        <v>Shopping space</v>
      </c>
      <c r="D11" s="507">
        <f>'End use share 2006c'!B57</f>
        <v>140</v>
      </c>
    </row>
    <row r="12" spans="2:5">
      <c r="B12" t="str">
        <f>'End use share 2006c'!A58</f>
        <v>Other non-residential space</v>
      </c>
      <c r="D12" s="507">
        <f>'End use share 2006c'!B58</f>
        <v>85</v>
      </c>
    </row>
    <row r="17" spans="2:15">
      <c r="B17" s="314" t="s">
        <v>1055</v>
      </c>
    </row>
    <row r="18" spans="2:15">
      <c r="C18" s="314" t="s">
        <v>1058</v>
      </c>
      <c r="D18" s="314" t="s">
        <v>1060</v>
      </c>
      <c r="F18" s="314" t="s">
        <v>1059</v>
      </c>
      <c r="H18" s="314" t="s">
        <v>1061</v>
      </c>
      <c r="I18" s="314" t="s">
        <v>1062</v>
      </c>
      <c r="J18" s="314" t="s">
        <v>1063</v>
      </c>
      <c r="L18" s="314" t="s">
        <v>1064</v>
      </c>
    </row>
    <row r="19" spans="2:15">
      <c r="B19" s="314" t="s">
        <v>1056</v>
      </c>
      <c r="C19" s="359">
        <v>0.7</v>
      </c>
      <c r="D19" s="506">
        <f>D8*C19</f>
        <v>18.698503370105982</v>
      </c>
      <c r="F19">
        <v>13</v>
      </c>
      <c r="H19">
        <v>15</v>
      </c>
      <c r="I19">
        <f>H19*5*52</f>
        <v>3900</v>
      </c>
      <c r="J19">
        <f>I19*F19*0.001</f>
        <v>50.7</v>
      </c>
      <c r="L19" s="389">
        <f>J19*1000*3600/1000000000</f>
        <v>0.18251999999999999</v>
      </c>
      <c r="N19" s="508">
        <f>D19*1000000/L19</f>
        <v>102446325.71831022</v>
      </c>
    </row>
    <row r="20" spans="2:15">
      <c r="B20" s="314" t="s">
        <v>1057</v>
      </c>
      <c r="C20" s="359">
        <v>0.3</v>
      </c>
      <c r="D20" s="506">
        <f>D8*C20</f>
        <v>8.0136443014739918</v>
      </c>
      <c r="F20">
        <v>18</v>
      </c>
      <c r="H20">
        <v>15</v>
      </c>
      <c r="I20">
        <f>H20*5*52</f>
        <v>3900</v>
      </c>
      <c r="J20">
        <f>I20*F20*0.001</f>
        <v>70.2</v>
      </c>
      <c r="L20" s="389">
        <f>J20*1000*3600/1000000000</f>
        <v>0.25272</v>
      </c>
      <c r="N20" s="508">
        <f>D20*1000000/L20</f>
        <v>31709577.0080484</v>
      </c>
    </row>
    <row r="22" spans="2:15">
      <c r="N22" s="509">
        <f>SUM(N19:N20)</f>
        <v>134155902.72635862</v>
      </c>
    </row>
    <row r="24" spans="2:15">
      <c r="N24" s="389">
        <f>N22/(50*1000000)</f>
        <v>2.6831180545271724</v>
      </c>
      <c r="O24" s="314" t="s">
        <v>1065</v>
      </c>
    </row>
    <row r="25" spans="2:15">
      <c r="B25" s="314" t="s">
        <v>1066</v>
      </c>
      <c r="N25" s="314" t="s">
        <v>1080</v>
      </c>
    </row>
    <row r="27" spans="2:15">
      <c r="B27" s="480" t="s">
        <v>1067</v>
      </c>
      <c r="C27">
        <v>500</v>
      </c>
      <c r="D27" s="314" t="s">
        <v>1070</v>
      </c>
    </row>
    <row r="29" spans="2:15">
      <c r="C29" s="506">
        <f>'floor space 1993-2007'!C34</f>
        <v>88.927261498745025</v>
      </c>
      <c r="D29" s="314" t="s">
        <v>1068</v>
      </c>
    </row>
    <row r="31" spans="2:15">
      <c r="C31" s="389">
        <f>C29*1000000*C27</f>
        <v>44463630749.372513</v>
      </c>
      <c r="D31" s="314" t="s">
        <v>1069</v>
      </c>
    </row>
    <row r="32" spans="2:15">
      <c r="B32" s="510"/>
    </row>
    <row r="33" spans="2:5">
      <c r="B33" s="480" t="s">
        <v>1071</v>
      </c>
      <c r="C33">
        <v>2.5</v>
      </c>
      <c r="D33" s="314" t="s">
        <v>1072</v>
      </c>
    </row>
    <row r="34" spans="2:5">
      <c r="B34" s="510"/>
    </row>
    <row r="35" spans="2:5">
      <c r="B35" s="510"/>
      <c r="C35">
        <f>1/(C33^2)</f>
        <v>0.16</v>
      </c>
      <c r="D35" s="314" t="s">
        <v>1073</v>
      </c>
    </row>
    <row r="36" spans="2:5">
      <c r="B36" s="510"/>
    </row>
    <row r="37" spans="2:5">
      <c r="B37" s="480" t="s">
        <v>1077</v>
      </c>
      <c r="C37">
        <f>C31/C35</f>
        <v>277897692183.57819</v>
      </c>
      <c r="D37" s="314" t="s">
        <v>1069</v>
      </c>
    </row>
    <row r="38" spans="2:5">
      <c r="B38" s="510"/>
    </row>
    <row r="39" spans="2:5">
      <c r="B39" s="480" t="s">
        <v>1056</v>
      </c>
      <c r="C39">
        <v>2900</v>
      </c>
      <c r="D39" s="314" t="s">
        <v>1074</v>
      </c>
      <c r="E39" s="314" t="s">
        <v>1079</v>
      </c>
    </row>
    <row r="40" spans="2:5">
      <c r="B40" s="480" t="s">
        <v>1057</v>
      </c>
      <c r="C40">
        <v>2850</v>
      </c>
      <c r="D40" s="314" t="s">
        <v>1074</v>
      </c>
      <c r="E40" t="s">
        <v>1075</v>
      </c>
    </row>
    <row r="41" spans="2:5">
      <c r="B41" s="510"/>
    </row>
    <row r="42" spans="2:5">
      <c r="B42" s="480" t="s">
        <v>1056</v>
      </c>
      <c r="C42" s="508">
        <f>C37*C19</f>
        <v>194528384528.50473</v>
      </c>
    </row>
    <row r="43" spans="2:5">
      <c r="B43" s="480" t="s">
        <v>1057</v>
      </c>
      <c r="C43" s="508">
        <f>C37*C20</f>
        <v>83369307655.073456</v>
      </c>
    </row>
    <row r="44" spans="2:5">
      <c r="C44" s="508"/>
    </row>
    <row r="45" spans="2:5">
      <c r="C45" s="508">
        <f>C42/C39</f>
        <v>67078753.285691284</v>
      </c>
    </row>
    <row r="46" spans="2:5">
      <c r="C46" s="508">
        <f>C43/C40</f>
        <v>29252388.650902968</v>
      </c>
    </row>
    <row r="47" spans="2:5">
      <c r="C47" s="511">
        <f>SUM(C45:C46)</f>
        <v>96331141.936594248</v>
      </c>
      <c r="D47" s="314" t="s">
        <v>1078</v>
      </c>
    </row>
    <row r="49" spans="3:4">
      <c r="C49" s="389">
        <f>C47/(50*1000000)</f>
        <v>1.9266228387318849</v>
      </c>
      <c r="D49" s="314" t="s">
        <v>1076</v>
      </c>
    </row>
  </sheetData>
  <pageMargins left="0.7" right="0.7" top="0.75" bottom="0.75" header="0.3" footer="0.3"/>
  <pageSetup paperSize="0" orientation="portrait" horizontalDpi="0" verticalDpi="0" copies="0"/>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0070C0"/>
  </sheetPr>
  <dimension ref="A1:I8"/>
  <sheetViews>
    <sheetView workbookViewId="0"/>
  </sheetViews>
  <sheetFormatPr defaultRowHeight="12.75"/>
  <cols>
    <col min="1" max="1" width="4.42578125" customWidth="1"/>
  </cols>
  <sheetData>
    <row r="1" spans="1:9">
      <c r="A1" s="596" t="s">
        <v>1204</v>
      </c>
      <c r="B1" s="596"/>
      <c r="C1" s="597"/>
      <c r="D1" s="597"/>
      <c r="E1" s="597"/>
      <c r="F1" s="597"/>
      <c r="G1" s="597"/>
      <c r="H1" s="597"/>
    </row>
    <row r="2" spans="1:9">
      <c r="A2" s="596"/>
      <c r="B2" s="596"/>
      <c r="C2" s="597"/>
      <c r="D2" s="597"/>
      <c r="E2" s="597"/>
      <c r="F2" s="597"/>
      <c r="G2" s="597"/>
      <c r="H2" s="597"/>
    </row>
    <row r="3" spans="1:9">
      <c r="A3" s="596">
        <v>1</v>
      </c>
      <c r="B3" s="596" t="s">
        <v>1256</v>
      </c>
      <c r="C3" s="597"/>
      <c r="D3" s="597"/>
      <c r="E3" s="597"/>
      <c r="F3" s="597"/>
      <c r="G3" s="597"/>
      <c r="H3" s="597"/>
      <c r="I3" s="664" t="s">
        <v>1480</v>
      </c>
    </row>
    <row r="4" spans="1:9">
      <c r="A4" s="596">
        <v>2</v>
      </c>
      <c r="B4" s="596" t="s">
        <v>1255</v>
      </c>
      <c r="C4" s="597"/>
      <c r="D4" s="597"/>
      <c r="E4" s="597"/>
      <c r="F4" s="597"/>
      <c r="G4" s="597"/>
      <c r="H4" s="597"/>
      <c r="I4" s="664" t="s">
        <v>1480</v>
      </c>
    </row>
    <row r="5" spans="1:9">
      <c r="A5" s="596">
        <v>3</v>
      </c>
      <c r="B5" s="596" t="s">
        <v>1252</v>
      </c>
      <c r="C5" s="597"/>
      <c r="D5" s="597"/>
      <c r="E5" s="597"/>
      <c r="F5" s="597"/>
      <c r="G5" s="597"/>
      <c r="H5" s="597"/>
      <c r="I5" s="664" t="s">
        <v>1480</v>
      </c>
    </row>
    <row r="6" spans="1:9">
      <c r="A6" s="596">
        <v>4</v>
      </c>
      <c r="B6" s="596" t="s">
        <v>1254</v>
      </c>
      <c r="C6" s="597"/>
      <c r="D6" s="597"/>
      <c r="E6" s="597"/>
      <c r="F6" s="597"/>
      <c r="G6" s="597"/>
      <c r="H6" s="597"/>
      <c r="I6" s="664" t="s">
        <v>1480</v>
      </c>
    </row>
    <row r="7" spans="1:9">
      <c r="A7" s="596">
        <v>5</v>
      </c>
      <c r="B7" s="596" t="s">
        <v>1253</v>
      </c>
      <c r="C7" s="597"/>
      <c r="D7" s="597"/>
      <c r="E7" s="597"/>
      <c r="F7" s="597"/>
      <c r="G7" s="597"/>
      <c r="H7" s="597"/>
    </row>
    <row r="8" spans="1:9">
      <c r="A8" s="596">
        <v>6</v>
      </c>
      <c r="B8" s="596" t="s">
        <v>1257</v>
      </c>
      <c r="C8" s="597"/>
      <c r="D8" s="597"/>
      <c r="E8" s="597"/>
      <c r="F8" s="597"/>
      <c r="G8" s="597"/>
      <c r="H8" s="597"/>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rgb="FF0070C0"/>
  </sheetPr>
  <dimension ref="A1:AP450"/>
  <sheetViews>
    <sheetView workbookViewId="0">
      <selection activeCell="G2" sqref="G2"/>
    </sheetView>
  </sheetViews>
  <sheetFormatPr defaultColWidth="9.140625" defaultRowHeight="12.75"/>
  <cols>
    <col min="1" max="1" width="5" style="314" bestFit="1" customWidth="1"/>
    <col min="2" max="2" width="11.7109375" style="314" bestFit="1" customWidth="1"/>
    <col min="3" max="4" width="14.7109375" style="314" customWidth="1"/>
    <col min="5" max="16384" width="9.140625" style="314"/>
  </cols>
  <sheetData>
    <row r="1" spans="1:42">
      <c r="B1" s="577" t="s">
        <v>1142</v>
      </c>
      <c r="C1" s="577" t="s">
        <v>1205</v>
      </c>
      <c r="D1" s="577" t="s">
        <v>1206</v>
      </c>
      <c r="E1" s="577" t="s">
        <v>1207</v>
      </c>
      <c r="F1" s="577" t="s">
        <v>1208</v>
      </c>
      <c r="G1" s="577" t="s">
        <v>1209</v>
      </c>
      <c r="H1" s="577" t="s">
        <v>1210</v>
      </c>
      <c r="I1" s="577" t="s">
        <v>1211</v>
      </c>
      <c r="J1" s="577" t="s">
        <v>1212</v>
      </c>
      <c r="K1" s="577" t="s">
        <v>1213</v>
      </c>
      <c r="L1" s="577" t="s">
        <v>1214</v>
      </c>
      <c r="M1" s="577" t="s">
        <v>1215</v>
      </c>
      <c r="N1" s="577" t="s">
        <v>1216</v>
      </c>
      <c r="O1" s="577" t="s">
        <v>1217</v>
      </c>
      <c r="P1" s="577" t="s">
        <v>1218</v>
      </c>
      <c r="Q1" s="577" t="s">
        <v>1219</v>
      </c>
      <c r="R1" s="577" t="s">
        <v>1220</v>
      </c>
      <c r="S1" s="577" t="s">
        <v>1221</v>
      </c>
      <c r="T1" s="577" t="s">
        <v>1222</v>
      </c>
      <c r="U1" s="577" t="s">
        <v>1223</v>
      </c>
      <c r="V1" s="577" t="s">
        <v>1224</v>
      </c>
      <c r="W1" s="577" t="s">
        <v>1225</v>
      </c>
      <c r="X1" s="577" t="s">
        <v>1226</v>
      </c>
      <c r="Y1" s="577" t="s">
        <v>1227</v>
      </c>
      <c r="Z1" s="577" t="s">
        <v>1228</v>
      </c>
      <c r="AA1" s="577" t="s">
        <v>1229</v>
      </c>
      <c r="AB1" s="577" t="s">
        <v>1230</v>
      </c>
      <c r="AC1" s="577" t="s">
        <v>1231</v>
      </c>
      <c r="AD1" s="577" t="s">
        <v>1232</v>
      </c>
      <c r="AE1" s="577" t="s">
        <v>1233</v>
      </c>
      <c r="AF1" s="577" t="s">
        <v>1234</v>
      </c>
      <c r="AG1" s="577" t="s">
        <v>1235</v>
      </c>
      <c r="AH1" s="577" t="s">
        <v>1236</v>
      </c>
      <c r="AI1" s="577" t="s">
        <v>1237</v>
      </c>
      <c r="AJ1" s="577" t="s">
        <v>1238</v>
      </c>
      <c r="AK1" s="577" t="s">
        <v>1239</v>
      </c>
      <c r="AL1" s="577" t="s">
        <v>1240</v>
      </c>
      <c r="AM1" s="577" t="s">
        <v>1241</v>
      </c>
      <c r="AN1" s="577" t="s">
        <v>1242</v>
      </c>
      <c r="AO1" s="577" t="s">
        <v>1243</v>
      </c>
      <c r="AP1" s="577" t="s">
        <v>1244</v>
      </c>
    </row>
    <row r="2" spans="1:42">
      <c r="B2" s="577" t="s">
        <v>712</v>
      </c>
      <c r="C2" s="577" t="s">
        <v>1485</v>
      </c>
      <c r="D2" s="577" t="s">
        <v>1144</v>
      </c>
      <c r="E2" s="577" t="s">
        <v>1145</v>
      </c>
      <c r="F2" s="577" t="s">
        <v>1146</v>
      </c>
      <c r="G2" s="577" t="s">
        <v>1486</v>
      </c>
      <c r="H2" s="577" t="s">
        <v>1148</v>
      </c>
      <c r="I2" s="577" t="s">
        <v>1149</v>
      </c>
      <c r="J2" s="577" t="s">
        <v>1191</v>
      </c>
      <c r="K2" s="577" t="s">
        <v>1150</v>
      </c>
      <c r="L2" s="577" t="s">
        <v>1151</v>
      </c>
      <c r="M2" s="577" t="s">
        <v>1152</v>
      </c>
      <c r="N2" s="577" t="s">
        <v>1153</v>
      </c>
      <c r="O2" s="577" t="s">
        <v>1154</v>
      </c>
      <c r="P2" s="577" t="s">
        <v>1155</v>
      </c>
      <c r="Q2" s="577" t="s">
        <v>1156</v>
      </c>
      <c r="R2" s="577" t="s">
        <v>1157</v>
      </c>
      <c r="S2" s="577" t="s">
        <v>1161</v>
      </c>
      <c r="T2" s="577" t="s">
        <v>1158</v>
      </c>
      <c r="U2" s="577" t="s">
        <v>1159</v>
      </c>
      <c r="V2" s="577" t="s">
        <v>1160</v>
      </c>
      <c r="W2" s="577" t="s">
        <v>1162</v>
      </c>
      <c r="X2" s="577" t="s">
        <v>1163</v>
      </c>
      <c r="Y2" s="577" t="s">
        <v>1164</v>
      </c>
      <c r="Z2" s="577" t="s">
        <v>1165</v>
      </c>
      <c r="AA2" s="577" t="s">
        <v>1166</v>
      </c>
      <c r="AB2" s="577" t="s">
        <v>1167</v>
      </c>
      <c r="AC2" s="577" t="s">
        <v>1168</v>
      </c>
      <c r="AD2" s="577" t="s">
        <v>1169</v>
      </c>
      <c r="AE2" s="577" t="s">
        <v>1170</v>
      </c>
      <c r="AF2" s="577" t="s">
        <v>1171</v>
      </c>
      <c r="AG2" s="577" t="s">
        <v>1172</v>
      </c>
      <c r="AH2" s="577" t="s">
        <v>1173</v>
      </c>
      <c r="AI2" s="577" t="s">
        <v>1174</v>
      </c>
      <c r="AJ2" s="577" t="s">
        <v>1175</v>
      </c>
      <c r="AK2" s="577" t="s">
        <v>1176</v>
      </c>
      <c r="AL2" s="577" t="s">
        <v>1177</v>
      </c>
      <c r="AM2" s="577" t="s">
        <v>1178</v>
      </c>
      <c r="AN2" s="577" t="s">
        <v>1179</v>
      </c>
      <c r="AO2" s="577" t="s">
        <v>1180</v>
      </c>
      <c r="AP2" s="577" t="s">
        <v>1181</v>
      </c>
    </row>
    <row r="3" spans="1:42">
      <c r="A3" s="547">
        <f>YEAR($B3)</f>
        <v>1986</v>
      </c>
      <c r="B3" s="578">
        <v>31443</v>
      </c>
      <c r="C3" s="314">
        <v>83424</v>
      </c>
      <c r="D3" s="314">
        <v>53456</v>
      </c>
      <c r="E3" s="314">
        <v>46471</v>
      </c>
      <c r="F3" s="314" t="e">
        <v>#N/A</v>
      </c>
      <c r="G3" s="314" t="e">
        <v>#N/A</v>
      </c>
      <c r="H3" s="314" t="e">
        <v>#N/A</v>
      </c>
      <c r="I3" s="314" t="e">
        <v>#N/A</v>
      </c>
      <c r="J3" s="314" t="e">
        <v>#N/A</v>
      </c>
      <c r="K3" s="314" t="e">
        <v>#N/A</v>
      </c>
      <c r="L3" s="314" t="e">
        <v>#N/A</v>
      </c>
      <c r="M3" s="314" t="e">
        <v>#N/A</v>
      </c>
      <c r="N3" s="314" t="e">
        <v>#N/A</v>
      </c>
      <c r="O3" s="314" t="e">
        <v>#N/A</v>
      </c>
      <c r="P3" s="314" t="e">
        <v>#N/A</v>
      </c>
      <c r="Q3" s="314" t="e">
        <v>#N/A</v>
      </c>
      <c r="R3" s="314" t="e">
        <v>#N/A</v>
      </c>
      <c r="S3" s="314" t="e">
        <v>#N/A</v>
      </c>
      <c r="T3" s="314" t="e">
        <v>#N/A</v>
      </c>
      <c r="U3" s="314" t="e">
        <v>#N/A</v>
      </c>
      <c r="V3" s="314" t="e">
        <v>#N/A</v>
      </c>
      <c r="W3" s="314" t="e">
        <v>#N/A</v>
      </c>
      <c r="X3" s="314" t="e">
        <v>#N/A</v>
      </c>
      <c r="Y3" s="314" t="e">
        <v>#N/A</v>
      </c>
      <c r="Z3" s="314" t="e">
        <v>#N/A</v>
      </c>
      <c r="AA3" s="314" t="e">
        <v>#N/A</v>
      </c>
      <c r="AB3" s="314" t="e">
        <v>#N/A</v>
      </c>
      <c r="AC3" s="314" t="e">
        <v>#N/A</v>
      </c>
      <c r="AD3" s="314" t="e">
        <v>#N/A</v>
      </c>
      <c r="AE3" s="314" t="e">
        <v>#N/A</v>
      </c>
      <c r="AF3" s="314" t="e">
        <v>#N/A</v>
      </c>
      <c r="AG3" s="314" t="e">
        <v>#N/A</v>
      </c>
      <c r="AH3" s="314" t="e">
        <v>#N/A</v>
      </c>
      <c r="AI3" s="314" t="e">
        <v>#N/A</v>
      </c>
      <c r="AJ3" s="314" t="e">
        <v>#N/A</v>
      </c>
      <c r="AK3" s="314" t="e">
        <v>#N/A</v>
      </c>
      <c r="AL3" s="314" t="e">
        <v>#N/A</v>
      </c>
      <c r="AM3" s="314" t="e">
        <v>#N/A</v>
      </c>
      <c r="AN3" s="314" t="e">
        <v>#N/A</v>
      </c>
      <c r="AO3" s="314" t="e">
        <v>#N/A</v>
      </c>
      <c r="AP3" s="314" t="e">
        <v>#N/A</v>
      </c>
    </row>
    <row r="4" spans="1:42">
      <c r="A4" s="547">
        <f t="shared" ref="A4:A67" si="0">YEAR($B4)</f>
        <v>1986</v>
      </c>
      <c r="B4" s="578">
        <v>31471</v>
      </c>
      <c r="C4" s="314">
        <v>55979</v>
      </c>
      <c r="D4" s="314">
        <v>33080</v>
      </c>
      <c r="E4" s="314">
        <v>104077</v>
      </c>
      <c r="F4" s="314" t="e">
        <v>#N/A</v>
      </c>
      <c r="G4" s="314" t="e">
        <v>#N/A</v>
      </c>
      <c r="H4" s="314" t="e">
        <v>#N/A</v>
      </c>
      <c r="I4" s="314" t="e">
        <v>#N/A</v>
      </c>
      <c r="J4" s="314" t="e">
        <v>#N/A</v>
      </c>
      <c r="K4" s="314" t="e">
        <v>#N/A</v>
      </c>
      <c r="L4" s="314" t="e">
        <v>#N/A</v>
      </c>
      <c r="M4" s="314" t="e">
        <v>#N/A</v>
      </c>
      <c r="N4" s="314" t="e">
        <v>#N/A</v>
      </c>
      <c r="O4" s="314" t="e">
        <v>#N/A</v>
      </c>
      <c r="P4" s="314" t="e">
        <v>#N/A</v>
      </c>
      <c r="Q4" s="314" t="e">
        <v>#N/A</v>
      </c>
      <c r="R4" s="314" t="e">
        <v>#N/A</v>
      </c>
      <c r="S4" s="314" t="e">
        <v>#N/A</v>
      </c>
      <c r="T4" s="314" t="e">
        <v>#N/A</v>
      </c>
      <c r="U4" s="314" t="e">
        <v>#N/A</v>
      </c>
      <c r="V4" s="314" t="e">
        <v>#N/A</v>
      </c>
      <c r="W4" s="314" t="e">
        <v>#N/A</v>
      </c>
      <c r="X4" s="314" t="e">
        <v>#N/A</v>
      </c>
      <c r="Y4" s="314" t="e">
        <v>#N/A</v>
      </c>
      <c r="Z4" s="314" t="e">
        <v>#N/A</v>
      </c>
      <c r="AA4" s="314" t="e">
        <v>#N/A</v>
      </c>
      <c r="AB4" s="314" t="e">
        <v>#N/A</v>
      </c>
      <c r="AC4" s="314" t="e">
        <v>#N/A</v>
      </c>
      <c r="AD4" s="314" t="e">
        <v>#N/A</v>
      </c>
      <c r="AE4" s="314" t="e">
        <v>#N/A</v>
      </c>
      <c r="AF4" s="314" t="e">
        <v>#N/A</v>
      </c>
      <c r="AG4" s="314" t="e">
        <v>#N/A</v>
      </c>
      <c r="AH4" s="314" t="e">
        <v>#N/A</v>
      </c>
      <c r="AI4" s="314" t="e">
        <v>#N/A</v>
      </c>
      <c r="AJ4" s="314" t="e">
        <v>#N/A</v>
      </c>
      <c r="AK4" s="314" t="e">
        <v>#N/A</v>
      </c>
      <c r="AL4" s="314" t="e">
        <v>#N/A</v>
      </c>
      <c r="AM4" s="314" t="e">
        <v>#N/A</v>
      </c>
      <c r="AN4" s="314" t="e">
        <v>#N/A</v>
      </c>
      <c r="AO4" s="314" t="e">
        <v>#N/A</v>
      </c>
      <c r="AP4" s="314" t="e">
        <v>#N/A</v>
      </c>
    </row>
    <row r="5" spans="1:42">
      <c r="A5" s="547">
        <f t="shared" si="0"/>
        <v>1986</v>
      </c>
      <c r="B5" s="578">
        <v>31502</v>
      </c>
      <c r="C5" s="314">
        <v>30457</v>
      </c>
      <c r="D5" s="314">
        <v>58933</v>
      </c>
      <c r="E5" s="314">
        <v>159613</v>
      </c>
      <c r="F5" s="314" t="e">
        <v>#N/A</v>
      </c>
      <c r="G5" s="314" t="e">
        <v>#N/A</v>
      </c>
      <c r="H5" s="314" t="e">
        <v>#N/A</v>
      </c>
      <c r="I5" s="314" t="e">
        <v>#N/A</v>
      </c>
      <c r="J5" s="314" t="e">
        <v>#N/A</v>
      </c>
      <c r="K5" s="314" t="e">
        <v>#N/A</v>
      </c>
      <c r="L5" s="314" t="e">
        <v>#N/A</v>
      </c>
      <c r="M5" s="314" t="e">
        <v>#N/A</v>
      </c>
      <c r="N5" s="314" t="e">
        <v>#N/A</v>
      </c>
      <c r="O5" s="314" t="e">
        <v>#N/A</v>
      </c>
      <c r="P5" s="314" t="e">
        <v>#N/A</v>
      </c>
      <c r="Q5" s="314" t="e">
        <v>#N/A</v>
      </c>
      <c r="R5" s="314" t="e">
        <v>#N/A</v>
      </c>
      <c r="S5" s="314" t="e">
        <v>#N/A</v>
      </c>
      <c r="T5" s="314" t="e">
        <v>#N/A</v>
      </c>
      <c r="U5" s="314" t="e">
        <v>#N/A</v>
      </c>
      <c r="V5" s="314" t="e">
        <v>#N/A</v>
      </c>
      <c r="W5" s="314" t="e">
        <v>#N/A</v>
      </c>
      <c r="X5" s="314" t="e">
        <v>#N/A</v>
      </c>
      <c r="Y5" s="314" t="e">
        <v>#N/A</v>
      </c>
      <c r="Z5" s="314" t="e">
        <v>#N/A</v>
      </c>
      <c r="AA5" s="314" t="e">
        <v>#N/A</v>
      </c>
      <c r="AB5" s="314" t="e">
        <v>#N/A</v>
      </c>
      <c r="AC5" s="314" t="e">
        <v>#N/A</v>
      </c>
      <c r="AD5" s="314" t="e">
        <v>#N/A</v>
      </c>
      <c r="AE5" s="314" t="e">
        <v>#N/A</v>
      </c>
      <c r="AF5" s="314" t="e">
        <v>#N/A</v>
      </c>
      <c r="AG5" s="314" t="e">
        <v>#N/A</v>
      </c>
      <c r="AH5" s="314" t="e">
        <v>#N/A</v>
      </c>
      <c r="AI5" s="314" t="e">
        <v>#N/A</v>
      </c>
      <c r="AJ5" s="314" t="e">
        <v>#N/A</v>
      </c>
      <c r="AK5" s="314" t="e">
        <v>#N/A</v>
      </c>
      <c r="AL5" s="314" t="e">
        <v>#N/A</v>
      </c>
      <c r="AM5" s="314" t="e">
        <v>#N/A</v>
      </c>
      <c r="AN5" s="314" t="e">
        <v>#N/A</v>
      </c>
      <c r="AO5" s="314" t="e">
        <v>#N/A</v>
      </c>
      <c r="AP5" s="314" t="e">
        <v>#N/A</v>
      </c>
    </row>
    <row r="6" spans="1:42">
      <c r="A6" s="547">
        <f t="shared" si="0"/>
        <v>1986</v>
      </c>
      <c r="B6" s="578">
        <v>31532</v>
      </c>
      <c r="C6" s="314">
        <v>116285</v>
      </c>
      <c r="D6" s="314">
        <v>133612</v>
      </c>
      <c r="E6" s="314">
        <v>130408</v>
      </c>
      <c r="F6" s="314" t="e">
        <v>#N/A</v>
      </c>
      <c r="G6" s="314" t="e">
        <v>#N/A</v>
      </c>
      <c r="H6" s="314" t="e">
        <v>#N/A</v>
      </c>
      <c r="I6" s="314" t="e">
        <v>#N/A</v>
      </c>
      <c r="J6" s="314" t="e">
        <v>#N/A</v>
      </c>
      <c r="K6" s="314" t="e">
        <v>#N/A</v>
      </c>
      <c r="L6" s="314" t="e">
        <v>#N/A</v>
      </c>
      <c r="M6" s="314" t="e">
        <v>#N/A</v>
      </c>
      <c r="N6" s="314" t="e">
        <v>#N/A</v>
      </c>
      <c r="O6" s="314" t="e">
        <v>#N/A</v>
      </c>
      <c r="P6" s="314" t="e">
        <v>#N/A</v>
      </c>
      <c r="Q6" s="314" t="e">
        <v>#N/A</v>
      </c>
      <c r="R6" s="314" t="e">
        <v>#N/A</v>
      </c>
      <c r="S6" s="314" t="e">
        <v>#N/A</v>
      </c>
      <c r="T6" s="314" t="e">
        <v>#N/A</v>
      </c>
      <c r="U6" s="314" t="e">
        <v>#N/A</v>
      </c>
      <c r="V6" s="314" t="e">
        <v>#N/A</v>
      </c>
      <c r="W6" s="314" t="e">
        <v>#N/A</v>
      </c>
      <c r="X6" s="314" t="e">
        <v>#N/A</v>
      </c>
      <c r="Y6" s="314" t="e">
        <v>#N/A</v>
      </c>
      <c r="Z6" s="314" t="e">
        <v>#N/A</v>
      </c>
      <c r="AA6" s="314" t="e">
        <v>#N/A</v>
      </c>
      <c r="AB6" s="314" t="e">
        <v>#N/A</v>
      </c>
      <c r="AC6" s="314" t="e">
        <v>#N/A</v>
      </c>
      <c r="AD6" s="314" t="e">
        <v>#N/A</v>
      </c>
      <c r="AE6" s="314" t="e">
        <v>#N/A</v>
      </c>
      <c r="AF6" s="314" t="e">
        <v>#N/A</v>
      </c>
      <c r="AG6" s="314" t="e">
        <v>#N/A</v>
      </c>
      <c r="AH6" s="314" t="e">
        <v>#N/A</v>
      </c>
      <c r="AI6" s="314" t="e">
        <v>#N/A</v>
      </c>
      <c r="AJ6" s="314" t="e">
        <v>#N/A</v>
      </c>
      <c r="AK6" s="314" t="e">
        <v>#N/A</v>
      </c>
      <c r="AL6" s="314" t="e">
        <v>#N/A</v>
      </c>
      <c r="AM6" s="314" t="e">
        <v>#N/A</v>
      </c>
      <c r="AN6" s="314" t="e">
        <v>#N/A</v>
      </c>
      <c r="AO6" s="314" t="e">
        <v>#N/A</v>
      </c>
      <c r="AP6" s="314" t="e">
        <v>#N/A</v>
      </c>
    </row>
    <row r="7" spans="1:42">
      <c r="A7" s="547">
        <f t="shared" si="0"/>
        <v>1986</v>
      </c>
      <c r="B7" s="578">
        <v>31563</v>
      </c>
      <c r="C7" s="314">
        <v>36153</v>
      </c>
      <c r="D7" s="314">
        <v>62480</v>
      </c>
      <c r="E7" s="314">
        <v>63227</v>
      </c>
      <c r="F7" s="314" t="e">
        <v>#N/A</v>
      </c>
      <c r="G7" s="314" t="e">
        <v>#N/A</v>
      </c>
      <c r="H7" s="314" t="e">
        <v>#N/A</v>
      </c>
      <c r="I7" s="314" t="e">
        <v>#N/A</v>
      </c>
      <c r="J7" s="314" t="e">
        <v>#N/A</v>
      </c>
      <c r="K7" s="314" t="e">
        <v>#N/A</v>
      </c>
      <c r="L7" s="314" t="e">
        <v>#N/A</v>
      </c>
      <c r="M7" s="314" t="e">
        <v>#N/A</v>
      </c>
      <c r="N7" s="314" t="e">
        <v>#N/A</v>
      </c>
      <c r="O7" s="314" t="e">
        <v>#N/A</v>
      </c>
      <c r="P7" s="314" t="e">
        <v>#N/A</v>
      </c>
      <c r="Q7" s="314" t="e">
        <v>#N/A</v>
      </c>
      <c r="R7" s="314" t="e">
        <v>#N/A</v>
      </c>
      <c r="S7" s="314" t="e">
        <v>#N/A</v>
      </c>
      <c r="T7" s="314" t="e">
        <v>#N/A</v>
      </c>
      <c r="U7" s="314" t="e">
        <v>#N/A</v>
      </c>
      <c r="V7" s="314" t="e">
        <v>#N/A</v>
      </c>
      <c r="W7" s="314" t="e">
        <v>#N/A</v>
      </c>
      <c r="X7" s="314" t="e">
        <v>#N/A</v>
      </c>
      <c r="Y7" s="314" t="e">
        <v>#N/A</v>
      </c>
      <c r="Z7" s="314" t="e">
        <v>#N/A</v>
      </c>
      <c r="AA7" s="314" t="e">
        <v>#N/A</v>
      </c>
      <c r="AB7" s="314" t="e">
        <v>#N/A</v>
      </c>
      <c r="AC7" s="314" t="e">
        <v>#N/A</v>
      </c>
      <c r="AD7" s="314" t="e">
        <v>#N/A</v>
      </c>
      <c r="AE7" s="314" t="e">
        <v>#N/A</v>
      </c>
      <c r="AF7" s="314" t="e">
        <v>#N/A</v>
      </c>
      <c r="AG7" s="314" t="e">
        <v>#N/A</v>
      </c>
      <c r="AH7" s="314" t="e">
        <v>#N/A</v>
      </c>
      <c r="AI7" s="314" t="e">
        <v>#N/A</v>
      </c>
      <c r="AJ7" s="314" t="e">
        <v>#N/A</v>
      </c>
      <c r="AK7" s="314" t="e">
        <v>#N/A</v>
      </c>
      <c r="AL7" s="314" t="e">
        <v>#N/A</v>
      </c>
      <c r="AM7" s="314" t="e">
        <v>#N/A</v>
      </c>
      <c r="AN7" s="314" t="e">
        <v>#N/A</v>
      </c>
      <c r="AO7" s="314" t="e">
        <v>#N/A</v>
      </c>
      <c r="AP7" s="314" t="e">
        <v>#N/A</v>
      </c>
    </row>
    <row r="8" spans="1:42">
      <c r="A8" s="547">
        <f t="shared" si="0"/>
        <v>1986</v>
      </c>
      <c r="B8" s="578">
        <v>31593</v>
      </c>
      <c r="C8" s="314">
        <v>129113</v>
      </c>
      <c r="D8" s="314">
        <v>104262</v>
      </c>
      <c r="E8" s="314">
        <v>96941</v>
      </c>
      <c r="F8" s="314" t="e">
        <v>#N/A</v>
      </c>
      <c r="G8" s="314" t="e">
        <v>#N/A</v>
      </c>
      <c r="H8" s="314" t="e">
        <v>#N/A</v>
      </c>
      <c r="I8" s="314" t="e">
        <v>#N/A</v>
      </c>
      <c r="J8" s="314" t="e">
        <v>#N/A</v>
      </c>
      <c r="K8" s="314" t="e">
        <v>#N/A</v>
      </c>
      <c r="L8" s="314" t="e">
        <v>#N/A</v>
      </c>
      <c r="M8" s="314" t="e">
        <v>#N/A</v>
      </c>
      <c r="N8" s="314" t="e">
        <v>#N/A</v>
      </c>
      <c r="O8" s="314" t="e">
        <v>#N/A</v>
      </c>
      <c r="P8" s="314" t="e">
        <v>#N/A</v>
      </c>
      <c r="Q8" s="314" t="e">
        <v>#N/A</v>
      </c>
      <c r="R8" s="314" t="e">
        <v>#N/A</v>
      </c>
      <c r="S8" s="314" t="e">
        <v>#N/A</v>
      </c>
      <c r="T8" s="314" t="e">
        <v>#N/A</v>
      </c>
      <c r="U8" s="314" t="e">
        <v>#N/A</v>
      </c>
      <c r="V8" s="314" t="e">
        <v>#N/A</v>
      </c>
      <c r="W8" s="314" t="e">
        <v>#N/A</v>
      </c>
      <c r="X8" s="314" t="e">
        <v>#N/A</v>
      </c>
      <c r="Y8" s="314" t="e">
        <v>#N/A</v>
      </c>
      <c r="Z8" s="314" t="e">
        <v>#N/A</v>
      </c>
      <c r="AA8" s="314" t="e">
        <v>#N/A</v>
      </c>
      <c r="AB8" s="314" t="e">
        <v>#N/A</v>
      </c>
      <c r="AC8" s="314" t="e">
        <v>#N/A</v>
      </c>
      <c r="AD8" s="314" t="e">
        <v>#N/A</v>
      </c>
      <c r="AE8" s="314" t="e">
        <v>#N/A</v>
      </c>
      <c r="AF8" s="314" t="e">
        <v>#N/A</v>
      </c>
      <c r="AG8" s="314" t="e">
        <v>#N/A</v>
      </c>
      <c r="AH8" s="314" t="e">
        <v>#N/A</v>
      </c>
      <c r="AI8" s="314" t="e">
        <v>#N/A</v>
      </c>
      <c r="AJ8" s="314" t="e">
        <v>#N/A</v>
      </c>
      <c r="AK8" s="314" t="e">
        <v>#N/A</v>
      </c>
      <c r="AL8" s="314" t="e">
        <v>#N/A</v>
      </c>
      <c r="AM8" s="314" t="e">
        <v>#N/A</v>
      </c>
      <c r="AN8" s="314" t="e">
        <v>#N/A</v>
      </c>
      <c r="AO8" s="314" t="e">
        <v>#N/A</v>
      </c>
      <c r="AP8" s="314" t="e">
        <v>#N/A</v>
      </c>
    </row>
    <row r="9" spans="1:42">
      <c r="A9" s="547">
        <f t="shared" si="0"/>
        <v>1986</v>
      </c>
      <c r="B9" s="578">
        <v>31624</v>
      </c>
      <c r="C9" s="314">
        <v>50569</v>
      </c>
      <c r="D9" s="314">
        <v>34494</v>
      </c>
      <c r="E9" s="314">
        <v>123972</v>
      </c>
      <c r="F9" s="314" t="e">
        <v>#N/A</v>
      </c>
      <c r="G9" s="314" t="e">
        <v>#N/A</v>
      </c>
      <c r="H9" s="314" t="e">
        <v>#N/A</v>
      </c>
      <c r="I9" s="314" t="e">
        <v>#N/A</v>
      </c>
      <c r="J9" s="314" t="e">
        <v>#N/A</v>
      </c>
      <c r="K9" s="314" t="e">
        <v>#N/A</v>
      </c>
      <c r="L9" s="314" t="e">
        <v>#N/A</v>
      </c>
      <c r="M9" s="314" t="e">
        <v>#N/A</v>
      </c>
      <c r="N9" s="314" t="e">
        <v>#N/A</v>
      </c>
      <c r="O9" s="314" t="e">
        <v>#N/A</v>
      </c>
      <c r="P9" s="314" t="e">
        <v>#N/A</v>
      </c>
      <c r="Q9" s="314" t="e">
        <v>#N/A</v>
      </c>
      <c r="R9" s="314" t="e">
        <v>#N/A</v>
      </c>
      <c r="S9" s="314" t="e">
        <v>#N/A</v>
      </c>
      <c r="T9" s="314" t="e">
        <v>#N/A</v>
      </c>
      <c r="U9" s="314" t="e">
        <v>#N/A</v>
      </c>
      <c r="V9" s="314" t="e">
        <v>#N/A</v>
      </c>
      <c r="W9" s="314" t="e">
        <v>#N/A</v>
      </c>
      <c r="X9" s="314" t="e">
        <v>#N/A</v>
      </c>
      <c r="Y9" s="314" t="e">
        <v>#N/A</v>
      </c>
      <c r="Z9" s="314" t="e">
        <v>#N/A</v>
      </c>
      <c r="AA9" s="314" t="e">
        <v>#N/A</v>
      </c>
      <c r="AB9" s="314" t="e">
        <v>#N/A</v>
      </c>
      <c r="AC9" s="314" t="e">
        <v>#N/A</v>
      </c>
      <c r="AD9" s="314" t="e">
        <v>#N/A</v>
      </c>
      <c r="AE9" s="314" t="e">
        <v>#N/A</v>
      </c>
      <c r="AF9" s="314" t="e">
        <v>#N/A</v>
      </c>
      <c r="AG9" s="314" t="e">
        <v>#N/A</v>
      </c>
      <c r="AH9" s="314" t="e">
        <v>#N/A</v>
      </c>
      <c r="AI9" s="314" t="e">
        <v>#N/A</v>
      </c>
      <c r="AJ9" s="314" t="e">
        <v>#N/A</v>
      </c>
      <c r="AK9" s="314" t="e">
        <v>#N/A</v>
      </c>
      <c r="AL9" s="314" t="e">
        <v>#N/A</v>
      </c>
      <c r="AM9" s="314" t="e">
        <v>#N/A</v>
      </c>
      <c r="AN9" s="314" t="e">
        <v>#N/A</v>
      </c>
      <c r="AO9" s="314" t="e">
        <v>#N/A</v>
      </c>
      <c r="AP9" s="314" t="e">
        <v>#N/A</v>
      </c>
    </row>
    <row r="10" spans="1:42">
      <c r="A10" s="547">
        <f t="shared" si="0"/>
        <v>1986</v>
      </c>
      <c r="B10" s="578">
        <v>31655</v>
      </c>
      <c r="C10" s="314">
        <v>114000</v>
      </c>
      <c r="D10" s="314">
        <v>23459</v>
      </c>
      <c r="E10" s="314">
        <v>44498</v>
      </c>
      <c r="F10" s="314" t="e">
        <v>#N/A</v>
      </c>
      <c r="G10" s="314" t="e">
        <v>#N/A</v>
      </c>
      <c r="H10" s="314" t="e">
        <v>#N/A</v>
      </c>
      <c r="I10" s="314" t="e">
        <v>#N/A</v>
      </c>
      <c r="J10" s="314" t="e">
        <v>#N/A</v>
      </c>
      <c r="K10" s="314" t="e">
        <v>#N/A</v>
      </c>
      <c r="L10" s="314" t="e">
        <v>#N/A</v>
      </c>
      <c r="M10" s="314" t="e">
        <v>#N/A</v>
      </c>
      <c r="N10" s="314" t="e">
        <v>#N/A</v>
      </c>
      <c r="O10" s="314" t="e">
        <v>#N/A</v>
      </c>
      <c r="P10" s="314" t="e">
        <v>#N/A</v>
      </c>
      <c r="Q10" s="314" t="e">
        <v>#N/A</v>
      </c>
      <c r="R10" s="314" t="e">
        <v>#N/A</v>
      </c>
      <c r="S10" s="314" t="e">
        <v>#N/A</v>
      </c>
      <c r="T10" s="314" t="e">
        <v>#N/A</v>
      </c>
      <c r="U10" s="314" t="e">
        <v>#N/A</v>
      </c>
      <c r="V10" s="314" t="e">
        <v>#N/A</v>
      </c>
      <c r="W10" s="314" t="e">
        <v>#N/A</v>
      </c>
      <c r="X10" s="314" t="e">
        <v>#N/A</v>
      </c>
      <c r="Y10" s="314" t="e">
        <v>#N/A</v>
      </c>
      <c r="Z10" s="314" t="e">
        <v>#N/A</v>
      </c>
      <c r="AA10" s="314" t="e">
        <v>#N/A</v>
      </c>
      <c r="AB10" s="314" t="e">
        <v>#N/A</v>
      </c>
      <c r="AC10" s="314" t="e">
        <v>#N/A</v>
      </c>
      <c r="AD10" s="314" t="e">
        <v>#N/A</v>
      </c>
      <c r="AE10" s="314" t="e">
        <v>#N/A</v>
      </c>
      <c r="AF10" s="314" t="e">
        <v>#N/A</v>
      </c>
      <c r="AG10" s="314" t="e">
        <v>#N/A</v>
      </c>
      <c r="AH10" s="314" t="e">
        <v>#N/A</v>
      </c>
      <c r="AI10" s="314" t="e">
        <v>#N/A</v>
      </c>
      <c r="AJ10" s="314" t="e">
        <v>#N/A</v>
      </c>
      <c r="AK10" s="314" t="e">
        <v>#N/A</v>
      </c>
      <c r="AL10" s="314" t="e">
        <v>#N/A</v>
      </c>
      <c r="AM10" s="314" t="e">
        <v>#N/A</v>
      </c>
      <c r="AN10" s="314" t="e">
        <v>#N/A</v>
      </c>
      <c r="AO10" s="314" t="e">
        <v>#N/A</v>
      </c>
      <c r="AP10" s="314" t="e">
        <v>#N/A</v>
      </c>
    </row>
    <row r="11" spans="1:42">
      <c r="A11" s="547">
        <f t="shared" si="0"/>
        <v>1986</v>
      </c>
      <c r="B11" s="578">
        <v>31685</v>
      </c>
      <c r="C11" s="314">
        <v>113105</v>
      </c>
      <c r="D11" s="314">
        <v>51536</v>
      </c>
      <c r="E11" s="314">
        <v>81575</v>
      </c>
      <c r="F11" s="314" t="e">
        <v>#N/A</v>
      </c>
      <c r="G11" s="314" t="e">
        <v>#N/A</v>
      </c>
      <c r="H11" s="314" t="e">
        <v>#N/A</v>
      </c>
      <c r="I11" s="314" t="e">
        <v>#N/A</v>
      </c>
      <c r="J11" s="314" t="e">
        <v>#N/A</v>
      </c>
      <c r="K11" s="314" t="e">
        <v>#N/A</v>
      </c>
      <c r="L11" s="314" t="e">
        <v>#N/A</v>
      </c>
      <c r="M11" s="314" t="e">
        <v>#N/A</v>
      </c>
      <c r="N11" s="314" t="e">
        <v>#N/A</v>
      </c>
      <c r="O11" s="314" t="e">
        <v>#N/A</v>
      </c>
      <c r="P11" s="314" t="e">
        <v>#N/A</v>
      </c>
      <c r="Q11" s="314" t="e">
        <v>#N/A</v>
      </c>
      <c r="R11" s="314" t="e">
        <v>#N/A</v>
      </c>
      <c r="S11" s="314" t="e">
        <v>#N/A</v>
      </c>
      <c r="T11" s="314" t="e">
        <v>#N/A</v>
      </c>
      <c r="U11" s="314" t="e">
        <v>#N/A</v>
      </c>
      <c r="V11" s="314" t="e">
        <v>#N/A</v>
      </c>
      <c r="W11" s="314" t="e">
        <v>#N/A</v>
      </c>
      <c r="X11" s="314" t="e">
        <v>#N/A</v>
      </c>
      <c r="Y11" s="314" t="e">
        <v>#N/A</v>
      </c>
      <c r="Z11" s="314" t="e">
        <v>#N/A</v>
      </c>
      <c r="AA11" s="314" t="e">
        <v>#N/A</v>
      </c>
      <c r="AB11" s="314" t="e">
        <v>#N/A</v>
      </c>
      <c r="AC11" s="314" t="e">
        <v>#N/A</v>
      </c>
      <c r="AD11" s="314" t="e">
        <v>#N/A</v>
      </c>
      <c r="AE11" s="314" t="e">
        <v>#N/A</v>
      </c>
      <c r="AF11" s="314" t="e">
        <v>#N/A</v>
      </c>
      <c r="AG11" s="314" t="e">
        <v>#N/A</v>
      </c>
      <c r="AH11" s="314" t="e">
        <v>#N/A</v>
      </c>
      <c r="AI11" s="314" t="e">
        <v>#N/A</v>
      </c>
      <c r="AJ11" s="314" t="e">
        <v>#N/A</v>
      </c>
      <c r="AK11" s="314" t="e">
        <v>#N/A</v>
      </c>
      <c r="AL11" s="314" t="e">
        <v>#N/A</v>
      </c>
      <c r="AM11" s="314" t="e">
        <v>#N/A</v>
      </c>
      <c r="AN11" s="314" t="e">
        <v>#N/A</v>
      </c>
      <c r="AO11" s="314" t="e">
        <v>#N/A</v>
      </c>
      <c r="AP11" s="314" t="e">
        <v>#N/A</v>
      </c>
    </row>
    <row r="12" spans="1:42">
      <c r="A12" s="547">
        <f t="shared" si="0"/>
        <v>1986</v>
      </c>
      <c r="B12" s="578">
        <v>31716</v>
      </c>
      <c r="C12" s="314">
        <v>57008</v>
      </c>
      <c r="D12" s="314">
        <v>56362</v>
      </c>
      <c r="E12" s="314">
        <v>82404</v>
      </c>
      <c r="F12" s="314" t="e">
        <v>#N/A</v>
      </c>
      <c r="G12" s="314" t="e">
        <v>#N/A</v>
      </c>
      <c r="H12" s="314" t="e">
        <v>#N/A</v>
      </c>
      <c r="I12" s="314" t="e">
        <v>#N/A</v>
      </c>
      <c r="J12" s="314" t="e">
        <v>#N/A</v>
      </c>
      <c r="K12" s="314" t="e">
        <v>#N/A</v>
      </c>
      <c r="L12" s="314" t="e">
        <v>#N/A</v>
      </c>
      <c r="M12" s="314" t="e">
        <v>#N/A</v>
      </c>
      <c r="N12" s="314" t="e">
        <v>#N/A</v>
      </c>
      <c r="O12" s="314" t="e">
        <v>#N/A</v>
      </c>
      <c r="P12" s="314" t="e">
        <v>#N/A</v>
      </c>
      <c r="Q12" s="314" t="e">
        <v>#N/A</v>
      </c>
      <c r="R12" s="314" t="e">
        <v>#N/A</v>
      </c>
      <c r="S12" s="314" t="e">
        <v>#N/A</v>
      </c>
      <c r="T12" s="314" t="e">
        <v>#N/A</v>
      </c>
      <c r="U12" s="314" t="e">
        <v>#N/A</v>
      </c>
      <c r="V12" s="314" t="e">
        <v>#N/A</v>
      </c>
      <c r="W12" s="314" t="e">
        <v>#N/A</v>
      </c>
      <c r="X12" s="314" t="e">
        <v>#N/A</v>
      </c>
      <c r="Y12" s="314" t="e">
        <v>#N/A</v>
      </c>
      <c r="Z12" s="314" t="e">
        <v>#N/A</v>
      </c>
      <c r="AA12" s="314" t="e">
        <v>#N/A</v>
      </c>
      <c r="AB12" s="314" t="e">
        <v>#N/A</v>
      </c>
      <c r="AC12" s="314" t="e">
        <v>#N/A</v>
      </c>
      <c r="AD12" s="314" t="e">
        <v>#N/A</v>
      </c>
      <c r="AE12" s="314" t="e">
        <v>#N/A</v>
      </c>
      <c r="AF12" s="314" t="e">
        <v>#N/A</v>
      </c>
      <c r="AG12" s="314" t="e">
        <v>#N/A</v>
      </c>
      <c r="AH12" s="314" t="e">
        <v>#N/A</v>
      </c>
      <c r="AI12" s="314" t="e">
        <v>#N/A</v>
      </c>
      <c r="AJ12" s="314" t="e">
        <v>#N/A</v>
      </c>
      <c r="AK12" s="314" t="e">
        <v>#N/A</v>
      </c>
      <c r="AL12" s="314" t="e">
        <v>#N/A</v>
      </c>
      <c r="AM12" s="314" t="e">
        <v>#N/A</v>
      </c>
      <c r="AN12" s="314" t="e">
        <v>#N/A</v>
      </c>
      <c r="AO12" s="314" t="e">
        <v>#N/A</v>
      </c>
      <c r="AP12" s="314" t="e">
        <v>#N/A</v>
      </c>
    </row>
    <row r="13" spans="1:42">
      <c r="A13" s="547">
        <f t="shared" si="0"/>
        <v>1986</v>
      </c>
      <c r="B13" s="578">
        <v>31746</v>
      </c>
      <c r="C13" s="314">
        <v>46291</v>
      </c>
      <c r="D13" s="314">
        <v>34965</v>
      </c>
      <c r="E13" s="314">
        <v>51620</v>
      </c>
      <c r="F13" s="314" t="e">
        <v>#N/A</v>
      </c>
      <c r="G13" s="314" t="e">
        <v>#N/A</v>
      </c>
      <c r="H13" s="314" t="e">
        <v>#N/A</v>
      </c>
      <c r="I13" s="314" t="e">
        <v>#N/A</v>
      </c>
      <c r="J13" s="314" t="e">
        <v>#N/A</v>
      </c>
      <c r="K13" s="314" t="e">
        <v>#N/A</v>
      </c>
      <c r="L13" s="314" t="e">
        <v>#N/A</v>
      </c>
      <c r="M13" s="314" t="e">
        <v>#N/A</v>
      </c>
      <c r="N13" s="314" t="e">
        <v>#N/A</v>
      </c>
      <c r="O13" s="314" t="e">
        <v>#N/A</v>
      </c>
      <c r="P13" s="314" t="e">
        <v>#N/A</v>
      </c>
      <c r="Q13" s="314" t="e">
        <v>#N/A</v>
      </c>
      <c r="R13" s="314" t="e">
        <v>#N/A</v>
      </c>
      <c r="S13" s="314" t="e">
        <v>#N/A</v>
      </c>
      <c r="T13" s="314" t="e">
        <v>#N/A</v>
      </c>
      <c r="U13" s="314" t="e">
        <v>#N/A</v>
      </c>
      <c r="V13" s="314" t="e">
        <v>#N/A</v>
      </c>
      <c r="W13" s="314" t="e">
        <v>#N/A</v>
      </c>
      <c r="X13" s="314" t="e">
        <v>#N/A</v>
      </c>
      <c r="Y13" s="314" t="e">
        <v>#N/A</v>
      </c>
      <c r="Z13" s="314" t="e">
        <v>#N/A</v>
      </c>
      <c r="AA13" s="314" t="e">
        <v>#N/A</v>
      </c>
      <c r="AB13" s="314" t="e">
        <v>#N/A</v>
      </c>
      <c r="AC13" s="314" t="e">
        <v>#N/A</v>
      </c>
      <c r="AD13" s="314" t="e">
        <v>#N/A</v>
      </c>
      <c r="AE13" s="314" t="e">
        <v>#N/A</v>
      </c>
      <c r="AF13" s="314" t="e">
        <v>#N/A</v>
      </c>
      <c r="AG13" s="314" t="e">
        <v>#N/A</v>
      </c>
      <c r="AH13" s="314" t="e">
        <v>#N/A</v>
      </c>
      <c r="AI13" s="314" t="e">
        <v>#N/A</v>
      </c>
      <c r="AJ13" s="314" t="e">
        <v>#N/A</v>
      </c>
      <c r="AK13" s="314" t="e">
        <v>#N/A</v>
      </c>
      <c r="AL13" s="314" t="e">
        <v>#N/A</v>
      </c>
      <c r="AM13" s="314" t="e">
        <v>#N/A</v>
      </c>
      <c r="AN13" s="314" t="e">
        <v>#N/A</v>
      </c>
      <c r="AO13" s="314" t="e">
        <v>#N/A</v>
      </c>
      <c r="AP13" s="314" t="e">
        <v>#N/A</v>
      </c>
    </row>
    <row r="14" spans="1:42">
      <c r="A14" s="547">
        <f t="shared" si="0"/>
        <v>1986</v>
      </c>
      <c r="B14" s="578">
        <v>31777</v>
      </c>
      <c r="C14" s="314">
        <v>30744</v>
      </c>
      <c r="D14" s="314">
        <v>33227</v>
      </c>
      <c r="E14" s="314">
        <v>40652</v>
      </c>
      <c r="F14" s="314" t="e">
        <v>#N/A</v>
      </c>
      <c r="G14" s="314" t="e">
        <v>#N/A</v>
      </c>
      <c r="H14" s="314" t="e">
        <v>#N/A</v>
      </c>
      <c r="I14" s="314" t="e">
        <v>#N/A</v>
      </c>
      <c r="J14" s="314" t="e">
        <v>#N/A</v>
      </c>
      <c r="K14" s="314" t="e">
        <v>#N/A</v>
      </c>
      <c r="L14" s="314" t="e">
        <v>#N/A</v>
      </c>
      <c r="M14" s="314" t="e">
        <v>#N/A</v>
      </c>
      <c r="N14" s="314" t="e">
        <v>#N/A</v>
      </c>
      <c r="O14" s="314" t="e">
        <v>#N/A</v>
      </c>
      <c r="P14" s="314" t="e">
        <v>#N/A</v>
      </c>
      <c r="Q14" s="314" t="e">
        <v>#N/A</v>
      </c>
      <c r="R14" s="314" t="e">
        <v>#N/A</v>
      </c>
      <c r="S14" s="314" t="e">
        <v>#N/A</v>
      </c>
      <c r="T14" s="314" t="e">
        <v>#N/A</v>
      </c>
      <c r="U14" s="314" t="e">
        <v>#N/A</v>
      </c>
      <c r="V14" s="314" t="e">
        <v>#N/A</v>
      </c>
      <c r="W14" s="314" t="e">
        <v>#N/A</v>
      </c>
      <c r="X14" s="314" t="e">
        <v>#N/A</v>
      </c>
      <c r="Y14" s="314" t="e">
        <v>#N/A</v>
      </c>
      <c r="Z14" s="314" t="e">
        <v>#N/A</v>
      </c>
      <c r="AA14" s="314" t="e">
        <v>#N/A</v>
      </c>
      <c r="AB14" s="314" t="e">
        <v>#N/A</v>
      </c>
      <c r="AC14" s="314" t="e">
        <v>#N/A</v>
      </c>
      <c r="AD14" s="314" t="e">
        <v>#N/A</v>
      </c>
      <c r="AE14" s="314" t="e">
        <v>#N/A</v>
      </c>
      <c r="AF14" s="314" t="e">
        <v>#N/A</v>
      </c>
      <c r="AG14" s="314" t="e">
        <v>#N/A</v>
      </c>
      <c r="AH14" s="314" t="e">
        <v>#N/A</v>
      </c>
      <c r="AI14" s="314" t="e">
        <v>#N/A</v>
      </c>
      <c r="AJ14" s="314" t="e">
        <v>#N/A</v>
      </c>
      <c r="AK14" s="314" t="e">
        <v>#N/A</v>
      </c>
      <c r="AL14" s="314" t="e">
        <v>#N/A</v>
      </c>
      <c r="AM14" s="314" t="e">
        <v>#N/A</v>
      </c>
      <c r="AN14" s="314" t="e">
        <v>#N/A</v>
      </c>
      <c r="AO14" s="314" t="e">
        <v>#N/A</v>
      </c>
      <c r="AP14" s="314" t="e">
        <v>#N/A</v>
      </c>
    </row>
    <row r="15" spans="1:42">
      <c r="A15" s="547">
        <f t="shared" si="0"/>
        <v>1987</v>
      </c>
      <c r="B15" s="578">
        <v>31808</v>
      </c>
      <c r="C15" s="314">
        <v>92109</v>
      </c>
      <c r="D15" s="314">
        <v>9183</v>
      </c>
      <c r="E15" s="314">
        <v>67626</v>
      </c>
      <c r="F15" s="314" t="e">
        <v>#N/A</v>
      </c>
      <c r="G15" s="314" t="e">
        <v>#N/A</v>
      </c>
      <c r="H15" s="314" t="e">
        <v>#N/A</v>
      </c>
      <c r="I15" s="314" t="e">
        <v>#N/A</v>
      </c>
      <c r="J15" s="314" t="e">
        <v>#N/A</v>
      </c>
      <c r="K15" s="314" t="e">
        <v>#N/A</v>
      </c>
      <c r="L15" s="314" t="e">
        <v>#N/A</v>
      </c>
      <c r="M15" s="314" t="e">
        <v>#N/A</v>
      </c>
      <c r="N15" s="314" t="e">
        <v>#N/A</v>
      </c>
      <c r="O15" s="314" t="e">
        <v>#N/A</v>
      </c>
      <c r="P15" s="314" t="e">
        <v>#N/A</v>
      </c>
      <c r="Q15" s="314" t="e">
        <v>#N/A</v>
      </c>
      <c r="R15" s="314" t="e">
        <v>#N/A</v>
      </c>
      <c r="S15" s="314" t="e">
        <v>#N/A</v>
      </c>
      <c r="T15" s="314" t="e">
        <v>#N/A</v>
      </c>
      <c r="U15" s="314" t="e">
        <v>#N/A</v>
      </c>
      <c r="V15" s="314" t="e">
        <v>#N/A</v>
      </c>
      <c r="W15" s="314" t="e">
        <v>#N/A</v>
      </c>
      <c r="X15" s="314" t="e">
        <v>#N/A</v>
      </c>
      <c r="Y15" s="314" t="e">
        <v>#N/A</v>
      </c>
      <c r="Z15" s="314" t="e">
        <v>#N/A</v>
      </c>
      <c r="AA15" s="314" t="e">
        <v>#N/A</v>
      </c>
      <c r="AB15" s="314" t="e">
        <v>#N/A</v>
      </c>
      <c r="AC15" s="314" t="e">
        <v>#N/A</v>
      </c>
      <c r="AD15" s="314" t="e">
        <v>#N/A</v>
      </c>
      <c r="AE15" s="314" t="e">
        <v>#N/A</v>
      </c>
      <c r="AF15" s="314" t="e">
        <v>#N/A</v>
      </c>
      <c r="AG15" s="314" t="e">
        <v>#N/A</v>
      </c>
      <c r="AH15" s="314" t="e">
        <v>#N/A</v>
      </c>
      <c r="AI15" s="314" t="e">
        <v>#N/A</v>
      </c>
      <c r="AJ15" s="314" t="e">
        <v>#N/A</v>
      </c>
      <c r="AK15" s="314" t="e">
        <v>#N/A</v>
      </c>
      <c r="AL15" s="314" t="e">
        <v>#N/A</v>
      </c>
      <c r="AM15" s="314" t="e">
        <v>#N/A</v>
      </c>
      <c r="AN15" s="314" t="e">
        <v>#N/A</v>
      </c>
      <c r="AO15" s="314" t="e">
        <v>#N/A</v>
      </c>
      <c r="AP15" s="314" t="e">
        <v>#N/A</v>
      </c>
    </row>
    <row r="16" spans="1:42">
      <c r="A16" s="547">
        <f t="shared" si="0"/>
        <v>1987</v>
      </c>
      <c r="B16" s="578">
        <v>31836</v>
      </c>
      <c r="C16" s="314">
        <v>52519</v>
      </c>
      <c r="D16" s="314">
        <v>60326</v>
      </c>
      <c r="E16" s="314">
        <v>56037</v>
      </c>
      <c r="F16" s="314" t="e">
        <v>#N/A</v>
      </c>
      <c r="G16" s="314" t="e">
        <v>#N/A</v>
      </c>
      <c r="H16" s="314" t="e">
        <v>#N/A</v>
      </c>
      <c r="I16" s="314" t="e">
        <v>#N/A</v>
      </c>
      <c r="J16" s="314" t="e">
        <v>#N/A</v>
      </c>
      <c r="K16" s="314" t="e">
        <v>#N/A</v>
      </c>
      <c r="L16" s="314" t="e">
        <v>#N/A</v>
      </c>
      <c r="M16" s="314" t="e">
        <v>#N/A</v>
      </c>
      <c r="N16" s="314" t="e">
        <v>#N/A</v>
      </c>
      <c r="O16" s="314" t="e">
        <v>#N/A</v>
      </c>
      <c r="P16" s="314" t="e">
        <v>#N/A</v>
      </c>
      <c r="Q16" s="314" t="e">
        <v>#N/A</v>
      </c>
      <c r="R16" s="314" t="e">
        <v>#N/A</v>
      </c>
      <c r="S16" s="314" t="e">
        <v>#N/A</v>
      </c>
      <c r="T16" s="314" t="e">
        <v>#N/A</v>
      </c>
      <c r="U16" s="314" t="e">
        <v>#N/A</v>
      </c>
      <c r="V16" s="314" t="e">
        <v>#N/A</v>
      </c>
      <c r="W16" s="314" t="e">
        <v>#N/A</v>
      </c>
      <c r="X16" s="314" t="e">
        <v>#N/A</v>
      </c>
      <c r="Y16" s="314" t="e">
        <v>#N/A</v>
      </c>
      <c r="Z16" s="314" t="e">
        <v>#N/A</v>
      </c>
      <c r="AA16" s="314" t="e">
        <v>#N/A</v>
      </c>
      <c r="AB16" s="314" t="e">
        <v>#N/A</v>
      </c>
      <c r="AC16" s="314" t="e">
        <v>#N/A</v>
      </c>
      <c r="AD16" s="314" t="e">
        <v>#N/A</v>
      </c>
      <c r="AE16" s="314" t="e">
        <v>#N/A</v>
      </c>
      <c r="AF16" s="314" t="e">
        <v>#N/A</v>
      </c>
      <c r="AG16" s="314" t="e">
        <v>#N/A</v>
      </c>
      <c r="AH16" s="314" t="e">
        <v>#N/A</v>
      </c>
      <c r="AI16" s="314" t="e">
        <v>#N/A</v>
      </c>
      <c r="AJ16" s="314" t="e">
        <v>#N/A</v>
      </c>
      <c r="AK16" s="314" t="e">
        <v>#N/A</v>
      </c>
      <c r="AL16" s="314" t="e">
        <v>#N/A</v>
      </c>
      <c r="AM16" s="314" t="e">
        <v>#N/A</v>
      </c>
      <c r="AN16" s="314" t="e">
        <v>#N/A</v>
      </c>
      <c r="AO16" s="314" t="e">
        <v>#N/A</v>
      </c>
      <c r="AP16" s="314" t="e">
        <v>#N/A</v>
      </c>
    </row>
    <row r="17" spans="1:42">
      <c r="A17" s="547">
        <f t="shared" si="0"/>
        <v>1987</v>
      </c>
      <c r="B17" s="578">
        <v>31867</v>
      </c>
      <c r="C17" s="314">
        <v>6256</v>
      </c>
      <c r="D17" s="314">
        <v>10362</v>
      </c>
      <c r="E17" s="314">
        <v>61736</v>
      </c>
      <c r="F17" s="314" t="e">
        <v>#N/A</v>
      </c>
      <c r="G17" s="314" t="e">
        <v>#N/A</v>
      </c>
      <c r="H17" s="314" t="e">
        <v>#N/A</v>
      </c>
      <c r="I17" s="314" t="e">
        <v>#N/A</v>
      </c>
      <c r="J17" s="314" t="e">
        <v>#N/A</v>
      </c>
      <c r="K17" s="314" t="e">
        <v>#N/A</v>
      </c>
      <c r="L17" s="314" t="e">
        <v>#N/A</v>
      </c>
      <c r="M17" s="314" t="e">
        <v>#N/A</v>
      </c>
      <c r="N17" s="314" t="e">
        <v>#N/A</v>
      </c>
      <c r="O17" s="314" t="e">
        <v>#N/A</v>
      </c>
      <c r="P17" s="314" t="e">
        <v>#N/A</v>
      </c>
      <c r="Q17" s="314" t="e">
        <v>#N/A</v>
      </c>
      <c r="R17" s="314" t="e">
        <v>#N/A</v>
      </c>
      <c r="S17" s="314" t="e">
        <v>#N/A</v>
      </c>
      <c r="T17" s="314" t="e">
        <v>#N/A</v>
      </c>
      <c r="U17" s="314" t="e">
        <v>#N/A</v>
      </c>
      <c r="V17" s="314" t="e">
        <v>#N/A</v>
      </c>
      <c r="W17" s="314" t="e">
        <v>#N/A</v>
      </c>
      <c r="X17" s="314" t="e">
        <v>#N/A</v>
      </c>
      <c r="Y17" s="314" t="e">
        <v>#N/A</v>
      </c>
      <c r="Z17" s="314" t="e">
        <v>#N/A</v>
      </c>
      <c r="AA17" s="314" t="e">
        <v>#N/A</v>
      </c>
      <c r="AB17" s="314" t="e">
        <v>#N/A</v>
      </c>
      <c r="AC17" s="314" t="e">
        <v>#N/A</v>
      </c>
      <c r="AD17" s="314" t="e">
        <v>#N/A</v>
      </c>
      <c r="AE17" s="314" t="e">
        <v>#N/A</v>
      </c>
      <c r="AF17" s="314" t="e">
        <v>#N/A</v>
      </c>
      <c r="AG17" s="314" t="e">
        <v>#N/A</v>
      </c>
      <c r="AH17" s="314" t="e">
        <v>#N/A</v>
      </c>
      <c r="AI17" s="314" t="e">
        <v>#N/A</v>
      </c>
      <c r="AJ17" s="314" t="e">
        <v>#N/A</v>
      </c>
      <c r="AK17" s="314" t="e">
        <v>#N/A</v>
      </c>
      <c r="AL17" s="314" t="e">
        <v>#N/A</v>
      </c>
      <c r="AM17" s="314" t="e">
        <v>#N/A</v>
      </c>
      <c r="AN17" s="314" t="e">
        <v>#N/A</v>
      </c>
      <c r="AO17" s="314" t="e">
        <v>#N/A</v>
      </c>
      <c r="AP17" s="314" t="e">
        <v>#N/A</v>
      </c>
    </row>
    <row r="18" spans="1:42">
      <c r="A18" s="547">
        <f t="shared" si="0"/>
        <v>1987</v>
      </c>
      <c r="B18" s="578">
        <v>31897</v>
      </c>
      <c r="C18" s="314">
        <v>14914</v>
      </c>
      <c r="D18" s="314">
        <v>8935</v>
      </c>
      <c r="E18" s="314">
        <v>27344</v>
      </c>
      <c r="F18" s="314" t="e">
        <v>#N/A</v>
      </c>
      <c r="G18" s="314" t="e">
        <v>#N/A</v>
      </c>
      <c r="H18" s="314" t="e">
        <v>#N/A</v>
      </c>
      <c r="I18" s="314" t="e">
        <v>#N/A</v>
      </c>
      <c r="J18" s="314" t="e">
        <v>#N/A</v>
      </c>
      <c r="K18" s="314" t="e">
        <v>#N/A</v>
      </c>
      <c r="L18" s="314" t="e">
        <v>#N/A</v>
      </c>
      <c r="M18" s="314" t="e">
        <v>#N/A</v>
      </c>
      <c r="N18" s="314" t="e">
        <v>#N/A</v>
      </c>
      <c r="O18" s="314" t="e">
        <v>#N/A</v>
      </c>
      <c r="P18" s="314" t="e">
        <v>#N/A</v>
      </c>
      <c r="Q18" s="314" t="e">
        <v>#N/A</v>
      </c>
      <c r="R18" s="314" t="e">
        <v>#N/A</v>
      </c>
      <c r="S18" s="314" t="e">
        <v>#N/A</v>
      </c>
      <c r="T18" s="314" t="e">
        <v>#N/A</v>
      </c>
      <c r="U18" s="314" t="e">
        <v>#N/A</v>
      </c>
      <c r="V18" s="314" t="e">
        <v>#N/A</v>
      </c>
      <c r="W18" s="314" t="e">
        <v>#N/A</v>
      </c>
      <c r="X18" s="314" t="e">
        <v>#N/A</v>
      </c>
      <c r="Y18" s="314" t="e">
        <v>#N/A</v>
      </c>
      <c r="Z18" s="314" t="e">
        <v>#N/A</v>
      </c>
      <c r="AA18" s="314" t="e">
        <v>#N/A</v>
      </c>
      <c r="AB18" s="314" t="e">
        <v>#N/A</v>
      </c>
      <c r="AC18" s="314" t="e">
        <v>#N/A</v>
      </c>
      <c r="AD18" s="314" t="e">
        <v>#N/A</v>
      </c>
      <c r="AE18" s="314" t="e">
        <v>#N/A</v>
      </c>
      <c r="AF18" s="314" t="e">
        <v>#N/A</v>
      </c>
      <c r="AG18" s="314" t="e">
        <v>#N/A</v>
      </c>
      <c r="AH18" s="314" t="e">
        <v>#N/A</v>
      </c>
      <c r="AI18" s="314" t="e">
        <v>#N/A</v>
      </c>
      <c r="AJ18" s="314" t="e">
        <v>#N/A</v>
      </c>
      <c r="AK18" s="314" t="e">
        <v>#N/A</v>
      </c>
      <c r="AL18" s="314" t="e">
        <v>#N/A</v>
      </c>
      <c r="AM18" s="314" t="e">
        <v>#N/A</v>
      </c>
      <c r="AN18" s="314" t="e">
        <v>#N/A</v>
      </c>
      <c r="AO18" s="314" t="e">
        <v>#N/A</v>
      </c>
      <c r="AP18" s="314" t="e">
        <v>#N/A</v>
      </c>
    </row>
    <row r="19" spans="1:42">
      <c r="A19" s="547">
        <f t="shared" si="0"/>
        <v>1987</v>
      </c>
      <c r="B19" s="578">
        <v>31928</v>
      </c>
      <c r="C19" s="314">
        <v>33029</v>
      </c>
      <c r="D19" s="314">
        <v>22407</v>
      </c>
      <c r="E19" s="314">
        <v>31512</v>
      </c>
      <c r="F19" s="314" t="e">
        <v>#N/A</v>
      </c>
      <c r="G19" s="314" t="e">
        <v>#N/A</v>
      </c>
      <c r="H19" s="314" t="e">
        <v>#N/A</v>
      </c>
      <c r="I19" s="314" t="e">
        <v>#N/A</v>
      </c>
      <c r="J19" s="314" t="e">
        <v>#N/A</v>
      </c>
      <c r="K19" s="314" t="e">
        <v>#N/A</v>
      </c>
      <c r="L19" s="314" t="e">
        <v>#N/A</v>
      </c>
      <c r="M19" s="314" t="e">
        <v>#N/A</v>
      </c>
      <c r="N19" s="314" t="e">
        <v>#N/A</v>
      </c>
      <c r="O19" s="314" t="e">
        <v>#N/A</v>
      </c>
      <c r="P19" s="314" t="e">
        <v>#N/A</v>
      </c>
      <c r="Q19" s="314" t="e">
        <v>#N/A</v>
      </c>
      <c r="R19" s="314" t="e">
        <v>#N/A</v>
      </c>
      <c r="S19" s="314" t="e">
        <v>#N/A</v>
      </c>
      <c r="T19" s="314" t="e">
        <v>#N/A</v>
      </c>
      <c r="U19" s="314" t="e">
        <v>#N/A</v>
      </c>
      <c r="V19" s="314" t="e">
        <v>#N/A</v>
      </c>
      <c r="W19" s="314" t="e">
        <v>#N/A</v>
      </c>
      <c r="X19" s="314" t="e">
        <v>#N/A</v>
      </c>
      <c r="Y19" s="314" t="e">
        <v>#N/A</v>
      </c>
      <c r="Z19" s="314" t="e">
        <v>#N/A</v>
      </c>
      <c r="AA19" s="314" t="e">
        <v>#N/A</v>
      </c>
      <c r="AB19" s="314" t="e">
        <v>#N/A</v>
      </c>
      <c r="AC19" s="314" t="e">
        <v>#N/A</v>
      </c>
      <c r="AD19" s="314" t="e">
        <v>#N/A</v>
      </c>
      <c r="AE19" s="314" t="e">
        <v>#N/A</v>
      </c>
      <c r="AF19" s="314" t="e">
        <v>#N/A</v>
      </c>
      <c r="AG19" s="314" t="e">
        <v>#N/A</v>
      </c>
      <c r="AH19" s="314" t="e">
        <v>#N/A</v>
      </c>
      <c r="AI19" s="314" t="e">
        <v>#N/A</v>
      </c>
      <c r="AJ19" s="314" t="e">
        <v>#N/A</v>
      </c>
      <c r="AK19" s="314" t="e">
        <v>#N/A</v>
      </c>
      <c r="AL19" s="314" t="e">
        <v>#N/A</v>
      </c>
      <c r="AM19" s="314" t="e">
        <v>#N/A</v>
      </c>
      <c r="AN19" s="314" t="e">
        <v>#N/A</v>
      </c>
      <c r="AO19" s="314" t="e">
        <v>#N/A</v>
      </c>
      <c r="AP19" s="314" t="e">
        <v>#N/A</v>
      </c>
    </row>
    <row r="20" spans="1:42">
      <c r="A20" s="547">
        <f t="shared" si="0"/>
        <v>1987</v>
      </c>
      <c r="B20" s="578">
        <v>31958</v>
      </c>
      <c r="C20" s="314">
        <v>50063</v>
      </c>
      <c r="D20" s="314">
        <v>50240</v>
      </c>
      <c r="E20" s="314">
        <v>65872</v>
      </c>
      <c r="F20" s="314" t="e">
        <v>#N/A</v>
      </c>
      <c r="G20" s="314" t="e">
        <v>#N/A</v>
      </c>
      <c r="H20" s="314" t="e">
        <v>#N/A</v>
      </c>
      <c r="I20" s="314" t="e">
        <v>#N/A</v>
      </c>
      <c r="J20" s="314" t="e">
        <v>#N/A</v>
      </c>
      <c r="K20" s="314" t="e">
        <v>#N/A</v>
      </c>
      <c r="L20" s="314" t="e">
        <v>#N/A</v>
      </c>
      <c r="M20" s="314" t="e">
        <v>#N/A</v>
      </c>
      <c r="N20" s="314" t="e">
        <v>#N/A</v>
      </c>
      <c r="O20" s="314" t="e">
        <v>#N/A</v>
      </c>
      <c r="P20" s="314" t="e">
        <v>#N/A</v>
      </c>
      <c r="Q20" s="314" t="e">
        <v>#N/A</v>
      </c>
      <c r="R20" s="314" t="e">
        <v>#N/A</v>
      </c>
      <c r="S20" s="314" t="e">
        <v>#N/A</v>
      </c>
      <c r="T20" s="314" t="e">
        <v>#N/A</v>
      </c>
      <c r="U20" s="314" t="e">
        <v>#N/A</v>
      </c>
      <c r="V20" s="314" t="e">
        <v>#N/A</v>
      </c>
      <c r="W20" s="314" t="e">
        <v>#N/A</v>
      </c>
      <c r="X20" s="314" t="e">
        <v>#N/A</v>
      </c>
      <c r="Y20" s="314" t="e">
        <v>#N/A</v>
      </c>
      <c r="Z20" s="314" t="e">
        <v>#N/A</v>
      </c>
      <c r="AA20" s="314" t="e">
        <v>#N/A</v>
      </c>
      <c r="AB20" s="314" t="e">
        <v>#N/A</v>
      </c>
      <c r="AC20" s="314" t="e">
        <v>#N/A</v>
      </c>
      <c r="AD20" s="314" t="e">
        <v>#N/A</v>
      </c>
      <c r="AE20" s="314" t="e">
        <v>#N/A</v>
      </c>
      <c r="AF20" s="314" t="e">
        <v>#N/A</v>
      </c>
      <c r="AG20" s="314" t="e">
        <v>#N/A</v>
      </c>
      <c r="AH20" s="314" t="e">
        <v>#N/A</v>
      </c>
      <c r="AI20" s="314" t="e">
        <v>#N/A</v>
      </c>
      <c r="AJ20" s="314" t="e">
        <v>#N/A</v>
      </c>
      <c r="AK20" s="314" t="e">
        <v>#N/A</v>
      </c>
      <c r="AL20" s="314" t="e">
        <v>#N/A</v>
      </c>
      <c r="AM20" s="314" t="e">
        <v>#N/A</v>
      </c>
      <c r="AN20" s="314" t="e">
        <v>#N/A</v>
      </c>
      <c r="AO20" s="314" t="e">
        <v>#N/A</v>
      </c>
      <c r="AP20" s="314" t="e">
        <v>#N/A</v>
      </c>
    </row>
    <row r="21" spans="1:42">
      <c r="A21" s="547">
        <f t="shared" si="0"/>
        <v>1987</v>
      </c>
      <c r="B21" s="578">
        <v>31989</v>
      </c>
      <c r="C21" s="314">
        <v>153393</v>
      </c>
      <c r="D21" s="314">
        <v>10246</v>
      </c>
      <c r="E21" s="314">
        <v>45885</v>
      </c>
      <c r="F21" s="314" t="e">
        <v>#N/A</v>
      </c>
      <c r="G21" s="314" t="e">
        <v>#N/A</v>
      </c>
      <c r="H21" s="314" t="e">
        <v>#N/A</v>
      </c>
      <c r="I21" s="314" t="e">
        <v>#N/A</v>
      </c>
      <c r="J21" s="314" t="e">
        <v>#N/A</v>
      </c>
      <c r="K21" s="314" t="e">
        <v>#N/A</v>
      </c>
      <c r="L21" s="314" t="e">
        <v>#N/A</v>
      </c>
      <c r="M21" s="314" t="e">
        <v>#N/A</v>
      </c>
      <c r="N21" s="314" t="e">
        <v>#N/A</v>
      </c>
      <c r="O21" s="314" t="e">
        <v>#N/A</v>
      </c>
      <c r="P21" s="314" t="e">
        <v>#N/A</v>
      </c>
      <c r="Q21" s="314" t="e">
        <v>#N/A</v>
      </c>
      <c r="R21" s="314" t="e">
        <v>#N/A</v>
      </c>
      <c r="S21" s="314" t="e">
        <v>#N/A</v>
      </c>
      <c r="T21" s="314" t="e">
        <v>#N/A</v>
      </c>
      <c r="U21" s="314" t="e">
        <v>#N/A</v>
      </c>
      <c r="V21" s="314" t="e">
        <v>#N/A</v>
      </c>
      <c r="W21" s="314" t="e">
        <v>#N/A</v>
      </c>
      <c r="X21" s="314" t="e">
        <v>#N/A</v>
      </c>
      <c r="Y21" s="314" t="e">
        <v>#N/A</v>
      </c>
      <c r="Z21" s="314" t="e">
        <v>#N/A</v>
      </c>
      <c r="AA21" s="314" t="e">
        <v>#N/A</v>
      </c>
      <c r="AB21" s="314" t="e">
        <v>#N/A</v>
      </c>
      <c r="AC21" s="314" t="e">
        <v>#N/A</v>
      </c>
      <c r="AD21" s="314" t="e">
        <v>#N/A</v>
      </c>
      <c r="AE21" s="314" t="e">
        <v>#N/A</v>
      </c>
      <c r="AF21" s="314" t="e">
        <v>#N/A</v>
      </c>
      <c r="AG21" s="314" t="e">
        <v>#N/A</v>
      </c>
      <c r="AH21" s="314" t="e">
        <v>#N/A</v>
      </c>
      <c r="AI21" s="314" t="e">
        <v>#N/A</v>
      </c>
      <c r="AJ21" s="314" t="e">
        <v>#N/A</v>
      </c>
      <c r="AK21" s="314" t="e">
        <v>#N/A</v>
      </c>
      <c r="AL21" s="314" t="e">
        <v>#N/A</v>
      </c>
      <c r="AM21" s="314" t="e">
        <v>#N/A</v>
      </c>
      <c r="AN21" s="314" t="e">
        <v>#N/A</v>
      </c>
      <c r="AO21" s="314" t="e">
        <v>#N/A</v>
      </c>
      <c r="AP21" s="314" t="e">
        <v>#N/A</v>
      </c>
    </row>
    <row r="22" spans="1:42">
      <c r="A22" s="547">
        <f t="shared" si="0"/>
        <v>1987</v>
      </c>
      <c r="B22" s="578">
        <v>32020</v>
      </c>
      <c r="C22" s="314">
        <v>134088</v>
      </c>
      <c r="D22" s="314">
        <v>27817</v>
      </c>
      <c r="E22" s="314">
        <v>87817</v>
      </c>
      <c r="F22" s="314" t="e">
        <v>#N/A</v>
      </c>
      <c r="G22" s="314" t="e">
        <v>#N/A</v>
      </c>
      <c r="H22" s="314" t="e">
        <v>#N/A</v>
      </c>
      <c r="I22" s="314" t="e">
        <v>#N/A</v>
      </c>
      <c r="J22" s="314" t="e">
        <v>#N/A</v>
      </c>
      <c r="K22" s="314" t="e">
        <v>#N/A</v>
      </c>
      <c r="L22" s="314" t="e">
        <v>#N/A</v>
      </c>
      <c r="M22" s="314" t="e">
        <v>#N/A</v>
      </c>
      <c r="N22" s="314" t="e">
        <v>#N/A</v>
      </c>
      <c r="O22" s="314" t="e">
        <v>#N/A</v>
      </c>
      <c r="P22" s="314" t="e">
        <v>#N/A</v>
      </c>
      <c r="Q22" s="314" t="e">
        <v>#N/A</v>
      </c>
      <c r="R22" s="314" t="e">
        <v>#N/A</v>
      </c>
      <c r="S22" s="314" t="e">
        <v>#N/A</v>
      </c>
      <c r="T22" s="314" t="e">
        <v>#N/A</v>
      </c>
      <c r="U22" s="314" t="e">
        <v>#N/A</v>
      </c>
      <c r="V22" s="314" t="e">
        <v>#N/A</v>
      </c>
      <c r="W22" s="314" t="e">
        <v>#N/A</v>
      </c>
      <c r="X22" s="314" t="e">
        <v>#N/A</v>
      </c>
      <c r="Y22" s="314" t="e">
        <v>#N/A</v>
      </c>
      <c r="Z22" s="314" t="e">
        <v>#N/A</v>
      </c>
      <c r="AA22" s="314" t="e">
        <v>#N/A</v>
      </c>
      <c r="AB22" s="314" t="e">
        <v>#N/A</v>
      </c>
      <c r="AC22" s="314" t="e">
        <v>#N/A</v>
      </c>
      <c r="AD22" s="314" t="e">
        <v>#N/A</v>
      </c>
      <c r="AE22" s="314" t="e">
        <v>#N/A</v>
      </c>
      <c r="AF22" s="314" t="e">
        <v>#N/A</v>
      </c>
      <c r="AG22" s="314" t="e">
        <v>#N/A</v>
      </c>
      <c r="AH22" s="314" t="e">
        <v>#N/A</v>
      </c>
      <c r="AI22" s="314" t="e">
        <v>#N/A</v>
      </c>
      <c r="AJ22" s="314" t="e">
        <v>#N/A</v>
      </c>
      <c r="AK22" s="314" t="e">
        <v>#N/A</v>
      </c>
      <c r="AL22" s="314" t="e">
        <v>#N/A</v>
      </c>
      <c r="AM22" s="314" t="e">
        <v>#N/A</v>
      </c>
      <c r="AN22" s="314" t="e">
        <v>#N/A</v>
      </c>
      <c r="AO22" s="314" t="e">
        <v>#N/A</v>
      </c>
      <c r="AP22" s="314" t="e">
        <v>#N/A</v>
      </c>
    </row>
    <row r="23" spans="1:42">
      <c r="A23" s="547">
        <f t="shared" si="0"/>
        <v>1987</v>
      </c>
      <c r="B23" s="578">
        <v>32050</v>
      </c>
      <c r="C23" s="314">
        <v>56708</v>
      </c>
      <c r="D23" s="314">
        <v>14801</v>
      </c>
      <c r="E23" s="314">
        <v>120120</v>
      </c>
      <c r="F23" s="314" t="e">
        <v>#N/A</v>
      </c>
      <c r="G23" s="314" t="e">
        <v>#N/A</v>
      </c>
      <c r="H23" s="314" t="e">
        <v>#N/A</v>
      </c>
      <c r="I23" s="314" t="e">
        <v>#N/A</v>
      </c>
      <c r="J23" s="314" t="e">
        <v>#N/A</v>
      </c>
      <c r="K23" s="314" t="e">
        <v>#N/A</v>
      </c>
      <c r="L23" s="314" t="e">
        <v>#N/A</v>
      </c>
      <c r="M23" s="314" t="e">
        <v>#N/A</v>
      </c>
      <c r="N23" s="314" t="e">
        <v>#N/A</v>
      </c>
      <c r="O23" s="314" t="e">
        <v>#N/A</v>
      </c>
      <c r="P23" s="314" t="e">
        <v>#N/A</v>
      </c>
      <c r="Q23" s="314" t="e">
        <v>#N/A</v>
      </c>
      <c r="R23" s="314" t="e">
        <v>#N/A</v>
      </c>
      <c r="S23" s="314" t="e">
        <v>#N/A</v>
      </c>
      <c r="T23" s="314" t="e">
        <v>#N/A</v>
      </c>
      <c r="U23" s="314" t="e">
        <v>#N/A</v>
      </c>
      <c r="V23" s="314" t="e">
        <v>#N/A</v>
      </c>
      <c r="W23" s="314" t="e">
        <v>#N/A</v>
      </c>
      <c r="X23" s="314" t="e">
        <v>#N/A</v>
      </c>
      <c r="Y23" s="314" t="e">
        <v>#N/A</v>
      </c>
      <c r="Z23" s="314" t="e">
        <v>#N/A</v>
      </c>
      <c r="AA23" s="314" t="e">
        <v>#N/A</v>
      </c>
      <c r="AB23" s="314" t="e">
        <v>#N/A</v>
      </c>
      <c r="AC23" s="314" t="e">
        <v>#N/A</v>
      </c>
      <c r="AD23" s="314" t="e">
        <v>#N/A</v>
      </c>
      <c r="AE23" s="314" t="e">
        <v>#N/A</v>
      </c>
      <c r="AF23" s="314" t="e">
        <v>#N/A</v>
      </c>
      <c r="AG23" s="314" t="e">
        <v>#N/A</v>
      </c>
      <c r="AH23" s="314" t="e">
        <v>#N/A</v>
      </c>
      <c r="AI23" s="314" t="e">
        <v>#N/A</v>
      </c>
      <c r="AJ23" s="314" t="e">
        <v>#N/A</v>
      </c>
      <c r="AK23" s="314" t="e">
        <v>#N/A</v>
      </c>
      <c r="AL23" s="314" t="e">
        <v>#N/A</v>
      </c>
      <c r="AM23" s="314" t="e">
        <v>#N/A</v>
      </c>
      <c r="AN23" s="314" t="e">
        <v>#N/A</v>
      </c>
      <c r="AO23" s="314" t="e">
        <v>#N/A</v>
      </c>
      <c r="AP23" s="314" t="e">
        <v>#N/A</v>
      </c>
    </row>
    <row r="24" spans="1:42">
      <c r="A24" s="547">
        <f t="shared" si="0"/>
        <v>1987</v>
      </c>
      <c r="B24" s="578">
        <v>32081</v>
      </c>
      <c r="C24" s="314">
        <v>55847</v>
      </c>
      <c r="D24" s="314">
        <v>67251</v>
      </c>
      <c r="E24" s="314">
        <v>87035</v>
      </c>
      <c r="F24" s="314" t="e">
        <v>#N/A</v>
      </c>
      <c r="G24" s="314" t="e">
        <v>#N/A</v>
      </c>
      <c r="H24" s="314" t="e">
        <v>#N/A</v>
      </c>
      <c r="I24" s="314" t="e">
        <v>#N/A</v>
      </c>
      <c r="J24" s="314" t="e">
        <v>#N/A</v>
      </c>
      <c r="K24" s="314" t="e">
        <v>#N/A</v>
      </c>
      <c r="L24" s="314" t="e">
        <v>#N/A</v>
      </c>
      <c r="M24" s="314" t="e">
        <v>#N/A</v>
      </c>
      <c r="N24" s="314" t="e">
        <v>#N/A</v>
      </c>
      <c r="O24" s="314" t="e">
        <v>#N/A</v>
      </c>
      <c r="P24" s="314" t="e">
        <v>#N/A</v>
      </c>
      <c r="Q24" s="314" t="e">
        <v>#N/A</v>
      </c>
      <c r="R24" s="314" t="e">
        <v>#N/A</v>
      </c>
      <c r="S24" s="314" t="e">
        <v>#N/A</v>
      </c>
      <c r="T24" s="314" t="e">
        <v>#N/A</v>
      </c>
      <c r="U24" s="314" t="e">
        <v>#N/A</v>
      </c>
      <c r="V24" s="314" t="e">
        <v>#N/A</v>
      </c>
      <c r="W24" s="314" t="e">
        <v>#N/A</v>
      </c>
      <c r="X24" s="314" t="e">
        <v>#N/A</v>
      </c>
      <c r="Y24" s="314" t="e">
        <v>#N/A</v>
      </c>
      <c r="Z24" s="314" t="e">
        <v>#N/A</v>
      </c>
      <c r="AA24" s="314" t="e">
        <v>#N/A</v>
      </c>
      <c r="AB24" s="314" t="e">
        <v>#N/A</v>
      </c>
      <c r="AC24" s="314" t="e">
        <v>#N/A</v>
      </c>
      <c r="AD24" s="314" t="e">
        <v>#N/A</v>
      </c>
      <c r="AE24" s="314" t="e">
        <v>#N/A</v>
      </c>
      <c r="AF24" s="314" t="e">
        <v>#N/A</v>
      </c>
      <c r="AG24" s="314" t="e">
        <v>#N/A</v>
      </c>
      <c r="AH24" s="314" t="e">
        <v>#N/A</v>
      </c>
      <c r="AI24" s="314" t="e">
        <v>#N/A</v>
      </c>
      <c r="AJ24" s="314" t="e">
        <v>#N/A</v>
      </c>
      <c r="AK24" s="314" t="e">
        <v>#N/A</v>
      </c>
      <c r="AL24" s="314" t="e">
        <v>#N/A</v>
      </c>
      <c r="AM24" s="314" t="e">
        <v>#N/A</v>
      </c>
      <c r="AN24" s="314" t="e">
        <v>#N/A</v>
      </c>
      <c r="AO24" s="314" t="e">
        <v>#N/A</v>
      </c>
      <c r="AP24" s="314" t="e">
        <v>#N/A</v>
      </c>
    </row>
    <row r="25" spans="1:42">
      <c r="A25" s="547">
        <f t="shared" si="0"/>
        <v>1987</v>
      </c>
      <c r="B25" s="578">
        <v>32111</v>
      </c>
      <c r="C25" s="314">
        <v>41333</v>
      </c>
      <c r="D25" s="314">
        <v>25119</v>
      </c>
      <c r="E25" s="314">
        <v>47301</v>
      </c>
      <c r="F25" s="314" t="e">
        <v>#N/A</v>
      </c>
      <c r="G25" s="314" t="e">
        <v>#N/A</v>
      </c>
      <c r="H25" s="314" t="e">
        <v>#N/A</v>
      </c>
      <c r="I25" s="314" t="e">
        <v>#N/A</v>
      </c>
      <c r="J25" s="314" t="e">
        <v>#N/A</v>
      </c>
      <c r="K25" s="314" t="e">
        <v>#N/A</v>
      </c>
      <c r="L25" s="314" t="e">
        <v>#N/A</v>
      </c>
      <c r="M25" s="314" t="e">
        <v>#N/A</v>
      </c>
      <c r="N25" s="314" t="e">
        <v>#N/A</v>
      </c>
      <c r="O25" s="314" t="e">
        <v>#N/A</v>
      </c>
      <c r="P25" s="314" t="e">
        <v>#N/A</v>
      </c>
      <c r="Q25" s="314" t="e">
        <v>#N/A</v>
      </c>
      <c r="R25" s="314" t="e">
        <v>#N/A</v>
      </c>
      <c r="S25" s="314" t="e">
        <v>#N/A</v>
      </c>
      <c r="T25" s="314" t="e">
        <v>#N/A</v>
      </c>
      <c r="U25" s="314" t="e">
        <v>#N/A</v>
      </c>
      <c r="V25" s="314" t="e">
        <v>#N/A</v>
      </c>
      <c r="W25" s="314" t="e">
        <v>#N/A</v>
      </c>
      <c r="X25" s="314" t="e">
        <v>#N/A</v>
      </c>
      <c r="Y25" s="314" t="e">
        <v>#N/A</v>
      </c>
      <c r="Z25" s="314" t="e">
        <v>#N/A</v>
      </c>
      <c r="AA25" s="314" t="e">
        <v>#N/A</v>
      </c>
      <c r="AB25" s="314" t="e">
        <v>#N/A</v>
      </c>
      <c r="AC25" s="314" t="e">
        <v>#N/A</v>
      </c>
      <c r="AD25" s="314" t="e">
        <v>#N/A</v>
      </c>
      <c r="AE25" s="314" t="e">
        <v>#N/A</v>
      </c>
      <c r="AF25" s="314" t="e">
        <v>#N/A</v>
      </c>
      <c r="AG25" s="314" t="e">
        <v>#N/A</v>
      </c>
      <c r="AH25" s="314" t="e">
        <v>#N/A</v>
      </c>
      <c r="AI25" s="314" t="e">
        <v>#N/A</v>
      </c>
      <c r="AJ25" s="314" t="e">
        <v>#N/A</v>
      </c>
      <c r="AK25" s="314" t="e">
        <v>#N/A</v>
      </c>
      <c r="AL25" s="314" t="e">
        <v>#N/A</v>
      </c>
      <c r="AM25" s="314" t="e">
        <v>#N/A</v>
      </c>
      <c r="AN25" s="314" t="e">
        <v>#N/A</v>
      </c>
      <c r="AO25" s="314" t="e">
        <v>#N/A</v>
      </c>
      <c r="AP25" s="314" t="e">
        <v>#N/A</v>
      </c>
    </row>
    <row r="26" spans="1:42">
      <c r="A26" s="547">
        <f t="shared" si="0"/>
        <v>1987</v>
      </c>
      <c r="B26" s="578">
        <v>32142</v>
      </c>
      <c r="C26" s="314">
        <v>106516</v>
      </c>
      <c r="D26" s="314">
        <v>27781</v>
      </c>
      <c r="E26" s="314">
        <v>30971</v>
      </c>
      <c r="F26" s="314" t="e">
        <v>#N/A</v>
      </c>
      <c r="G26" s="314" t="e">
        <v>#N/A</v>
      </c>
      <c r="H26" s="314" t="e">
        <v>#N/A</v>
      </c>
      <c r="I26" s="314" t="e">
        <v>#N/A</v>
      </c>
      <c r="J26" s="314" t="e">
        <v>#N/A</v>
      </c>
      <c r="K26" s="314" t="e">
        <v>#N/A</v>
      </c>
      <c r="L26" s="314" t="e">
        <v>#N/A</v>
      </c>
      <c r="M26" s="314" t="e">
        <v>#N/A</v>
      </c>
      <c r="N26" s="314" t="e">
        <v>#N/A</v>
      </c>
      <c r="O26" s="314" t="e">
        <v>#N/A</v>
      </c>
      <c r="P26" s="314" t="e">
        <v>#N/A</v>
      </c>
      <c r="Q26" s="314" t="e">
        <v>#N/A</v>
      </c>
      <c r="R26" s="314" t="e">
        <v>#N/A</v>
      </c>
      <c r="S26" s="314" t="e">
        <v>#N/A</v>
      </c>
      <c r="T26" s="314" t="e">
        <v>#N/A</v>
      </c>
      <c r="U26" s="314" t="e">
        <v>#N/A</v>
      </c>
      <c r="V26" s="314" t="e">
        <v>#N/A</v>
      </c>
      <c r="W26" s="314" t="e">
        <v>#N/A</v>
      </c>
      <c r="X26" s="314" t="e">
        <v>#N/A</v>
      </c>
      <c r="Y26" s="314" t="e">
        <v>#N/A</v>
      </c>
      <c r="Z26" s="314" t="e">
        <v>#N/A</v>
      </c>
      <c r="AA26" s="314" t="e">
        <v>#N/A</v>
      </c>
      <c r="AB26" s="314" t="e">
        <v>#N/A</v>
      </c>
      <c r="AC26" s="314" t="e">
        <v>#N/A</v>
      </c>
      <c r="AD26" s="314" t="e">
        <v>#N/A</v>
      </c>
      <c r="AE26" s="314" t="e">
        <v>#N/A</v>
      </c>
      <c r="AF26" s="314" t="e">
        <v>#N/A</v>
      </c>
      <c r="AG26" s="314" t="e">
        <v>#N/A</v>
      </c>
      <c r="AH26" s="314" t="e">
        <v>#N/A</v>
      </c>
      <c r="AI26" s="314" t="e">
        <v>#N/A</v>
      </c>
      <c r="AJ26" s="314" t="e">
        <v>#N/A</v>
      </c>
      <c r="AK26" s="314" t="e">
        <v>#N/A</v>
      </c>
      <c r="AL26" s="314" t="e">
        <v>#N/A</v>
      </c>
      <c r="AM26" s="314" t="e">
        <v>#N/A</v>
      </c>
      <c r="AN26" s="314" t="e">
        <v>#N/A</v>
      </c>
      <c r="AO26" s="314" t="e">
        <v>#N/A</v>
      </c>
      <c r="AP26" s="314" t="e">
        <v>#N/A</v>
      </c>
    </row>
    <row r="27" spans="1:42">
      <c r="A27" s="547">
        <f t="shared" si="0"/>
        <v>1988</v>
      </c>
      <c r="B27" s="578">
        <v>32173</v>
      </c>
      <c r="C27" s="314">
        <v>29780</v>
      </c>
      <c r="D27" s="314">
        <v>59672</v>
      </c>
      <c r="E27" s="314">
        <v>23500</v>
      </c>
      <c r="F27" s="314" t="e">
        <v>#N/A</v>
      </c>
      <c r="G27" s="314" t="e">
        <v>#N/A</v>
      </c>
      <c r="H27" s="314" t="e">
        <v>#N/A</v>
      </c>
      <c r="I27" s="314" t="e">
        <v>#N/A</v>
      </c>
      <c r="J27" s="314" t="e">
        <v>#N/A</v>
      </c>
      <c r="K27" s="314" t="e">
        <v>#N/A</v>
      </c>
      <c r="L27" s="314" t="e">
        <v>#N/A</v>
      </c>
      <c r="M27" s="314" t="e">
        <v>#N/A</v>
      </c>
      <c r="N27" s="314" t="e">
        <v>#N/A</v>
      </c>
      <c r="O27" s="314" t="e">
        <v>#N/A</v>
      </c>
      <c r="P27" s="314" t="e">
        <v>#N/A</v>
      </c>
      <c r="Q27" s="314" t="e">
        <v>#N/A</v>
      </c>
      <c r="R27" s="314" t="e">
        <v>#N/A</v>
      </c>
      <c r="S27" s="314" t="e">
        <v>#N/A</v>
      </c>
      <c r="T27" s="314" t="e">
        <v>#N/A</v>
      </c>
      <c r="U27" s="314" t="e">
        <v>#N/A</v>
      </c>
      <c r="V27" s="314" t="e">
        <v>#N/A</v>
      </c>
      <c r="W27" s="314" t="e">
        <v>#N/A</v>
      </c>
      <c r="X27" s="314" t="e">
        <v>#N/A</v>
      </c>
      <c r="Y27" s="314" t="e">
        <v>#N/A</v>
      </c>
      <c r="Z27" s="314" t="e">
        <v>#N/A</v>
      </c>
      <c r="AA27" s="314" t="e">
        <v>#N/A</v>
      </c>
      <c r="AB27" s="314" t="e">
        <v>#N/A</v>
      </c>
      <c r="AC27" s="314" t="e">
        <v>#N/A</v>
      </c>
      <c r="AD27" s="314" t="e">
        <v>#N/A</v>
      </c>
      <c r="AE27" s="314" t="e">
        <v>#N/A</v>
      </c>
      <c r="AF27" s="314" t="e">
        <v>#N/A</v>
      </c>
      <c r="AG27" s="314" t="e">
        <v>#N/A</v>
      </c>
      <c r="AH27" s="314" t="e">
        <v>#N/A</v>
      </c>
      <c r="AI27" s="314" t="e">
        <v>#N/A</v>
      </c>
      <c r="AJ27" s="314" t="e">
        <v>#N/A</v>
      </c>
      <c r="AK27" s="314" t="e">
        <v>#N/A</v>
      </c>
      <c r="AL27" s="314" t="e">
        <v>#N/A</v>
      </c>
      <c r="AM27" s="314" t="e">
        <v>#N/A</v>
      </c>
      <c r="AN27" s="314" t="e">
        <v>#N/A</v>
      </c>
      <c r="AO27" s="314" t="e">
        <v>#N/A</v>
      </c>
      <c r="AP27" s="314" t="e">
        <v>#N/A</v>
      </c>
    </row>
    <row r="28" spans="1:42">
      <c r="A28" s="547">
        <f t="shared" si="0"/>
        <v>1988</v>
      </c>
      <c r="B28" s="578">
        <v>32202</v>
      </c>
      <c r="C28" s="314">
        <v>36647</v>
      </c>
      <c r="D28" s="314">
        <v>28062</v>
      </c>
      <c r="E28" s="314">
        <v>61193</v>
      </c>
      <c r="F28" s="314" t="e">
        <v>#N/A</v>
      </c>
      <c r="G28" s="314" t="e">
        <v>#N/A</v>
      </c>
      <c r="H28" s="314" t="e">
        <v>#N/A</v>
      </c>
      <c r="I28" s="314" t="e">
        <v>#N/A</v>
      </c>
      <c r="J28" s="314" t="e">
        <v>#N/A</v>
      </c>
      <c r="K28" s="314" t="e">
        <v>#N/A</v>
      </c>
      <c r="L28" s="314" t="e">
        <v>#N/A</v>
      </c>
      <c r="M28" s="314" t="e">
        <v>#N/A</v>
      </c>
      <c r="N28" s="314" t="e">
        <v>#N/A</v>
      </c>
      <c r="O28" s="314" t="e">
        <v>#N/A</v>
      </c>
      <c r="P28" s="314" t="e">
        <v>#N/A</v>
      </c>
      <c r="Q28" s="314" t="e">
        <v>#N/A</v>
      </c>
      <c r="R28" s="314" t="e">
        <v>#N/A</v>
      </c>
      <c r="S28" s="314" t="e">
        <v>#N/A</v>
      </c>
      <c r="T28" s="314" t="e">
        <v>#N/A</v>
      </c>
      <c r="U28" s="314" t="e">
        <v>#N/A</v>
      </c>
      <c r="V28" s="314" t="e">
        <v>#N/A</v>
      </c>
      <c r="W28" s="314" t="e">
        <v>#N/A</v>
      </c>
      <c r="X28" s="314" t="e">
        <v>#N/A</v>
      </c>
      <c r="Y28" s="314" t="e">
        <v>#N/A</v>
      </c>
      <c r="Z28" s="314" t="e">
        <v>#N/A</v>
      </c>
      <c r="AA28" s="314" t="e">
        <v>#N/A</v>
      </c>
      <c r="AB28" s="314" t="e">
        <v>#N/A</v>
      </c>
      <c r="AC28" s="314" t="e">
        <v>#N/A</v>
      </c>
      <c r="AD28" s="314" t="e">
        <v>#N/A</v>
      </c>
      <c r="AE28" s="314" t="e">
        <v>#N/A</v>
      </c>
      <c r="AF28" s="314" t="e">
        <v>#N/A</v>
      </c>
      <c r="AG28" s="314" t="e">
        <v>#N/A</v>
      </c>
      <c r="AH28" s="314" t="e">
        <v>#N/A</v>
      </c>
      <c r="AI28" s="314" t="e">
        <v>#N/A</v>
      </c>
      <c r="AJ28" s="314" t="e">
        <v>#N/A</v>
      </c>
      <c r="AK28" s="314" t="e">
        <v>#N/A</v>
      </c>
      <c r="AL28" s="314" t="e">
        <v>#N/A</v>
      </c>
      <c r="AM28" s="314" t="e">
        <v>#N/A</v>
      </c>
      <c r="AN28" s="314" t="e">
        <v>#N/A</v>
      </c>
      <c r="AO28" s="314" t="e">
        <v>#N/A</v>
      </c>
      <c r="AP28" s="314" t="e">
        <v>#N/A</v>
      </c>
    </row>
    <row r="29" spans="1:42">
      <c r="A29" s="547">
        <f t="shared" si="0"/>
        <v>1988</v>
      </c>
      <c r="B29" s="578">
        <v>32233</v>
      </c>
      <c r="C29" s="314">
        <v>6777</v>
      </c>
      <c r="D29" s="314">
        <v>30421</v>
      </c>
      <c r="E29" s="314">
        <v>20918</v>
      </c>
      <c r="F29" s="314" t="e">
        <v>#N/A</v>
      </c>
      <c r="G29" s="314" t="e">
        <v>#N/A</v>
      </c>
      <c r="H29" s="314" t="e">
        <v>#N/A</v>
      </c>
      <c r="I29" s="314" t="e">
        <v>#N/A</v>
      </c>
      <c r="J29" s="314" t="e">
        <v>#N/A</v>
      </c>
      <c r="K29" s="314" t="e">
        <v>#N/A</v>
      </c>
      <c r="L29" s="314" t="e">
        <v>#N/A</v>
      </c>
      <c r="M29" s="314" t="e">
        <v>#N/A</v>
      </c>
      <c r="N29" s="314" t="e">
        <v>#N/A</v>
      </c>
      <c r="O29" s="314" t="e">
        <v>#N/A</v>
      </c>
      <c r="P29" s="314" t="e">
        <v>#N/A</v>
      </c>
      <c r="Q29" s="314" t="e">
        <v>#N/A</v>
      </c>
      <c r="R29" s="314" t="e">
        <v>#N/A</v>
      </c>
      <c r="S29" s="314" t="e">
        <v>#N/A</v>
      </c>
      <c r="T29" s="314" t="e">
        <v>#N/A</v>
      </c>
      <c r="U29" s="314" t="e">
        <v>#N/A</v>
      </c>
      <c r="V29" s="314" t="e">
        <v>#N/A</v>
      </c>
      <c r="W29" s="314" t="e">
        <v>#N/A</v>
      </c>
      <c r="X29" s="314" t="e">
        <v>#N/A</v>
      </c>
      <c r="Y29" s="314" t="e">
        <v>#N/A</v>
      </c>
      <c r="Z29" s="314" t="e">
        <v>#N/A</v>
      </c>
      <c r="AA29" s="314" t="e">
        <v>#N/A</v>
      </c>
      <c r="AB29" s="314" t="e">
        <v>#N/A</v>
      </c>
      <c r="AC29" s="314" t="e">
        <v>#N/A</v>
      </c>
      <c r="AD29" s="314" t="e">
        <v>#N/A</v>
      </c>
      <c r="AE29" s="314" t="e">
        <v>#N/A</v>
      </c>
      <c r="AF29" s="314" t="e">
        <v>#N/A</v>
      </c>
      <c r="AG29" s="314" t="e">
        <v>#N/A</v>
      </c>
      <c r="AH29" s="314" t="e">
        <v>#N/A</v>
      </c>
      <c r="AI29" s="314" t="e">
        <v>#N/A</v>
      </c>
      <c r="AJ29" s="314" t="e">
        <v>#N/A</v>
      </c>
      <c r="AK29" s="314" t="e">
        <v>#N/A</v>
      </c>
      <c r="AL29" s="314" t="e">
        <v>#N/A</v>
      </c>
      <c r="AM29" s="314" t="e">
        <v>#N/A</v>
      </c>
      <c r="AN29" s="314" t="e">
        <v>#N/A</v>
      </c>
      <c r="AO29" s="314" t="e">
        <v>#N/A</v>
      </c>
      <c r="AP29" s="314" t="e">
        <v>#N/A</v>
      </c>
    </row>
    <row r="30" spans="1:42">
      <c r="A30" s="547">
        <f t="shared" si="0"/>
        <v>1988</v>
      </c>
      <c r="B30" s="578">
        <v>32263</v>
      </c>
      <c r="C30" s="314">
        <v>19089</v>
      </c>
      <c r="D30" s="314">
        <v>27644</v>
      </c>
      <c r="E30" s="314">
        <v>35385</v>
      </c>
      <c r="F30" s="314" t="e">
        <v>#N/A</v>
      </c>
      <c r="G30" s="314" t="e">
        <v>#N/A</v>
      </c>
      <c r="H30" s="314" t="e">
        <v>#N/A</v>
      </c>
      <c r="I30" s="314" t="e">
        <v>#N/A</v>
      </c>
      <c r="J30" s="314" t="e">
        <v>#N/A</v>
      </c>
      <c r="K30" s="314" t="e">
        <v>#N/A</v>
      </c>
      <c r="L30" s="314" t="e">
        <v>#N/A</v>
      </c>
      <c r="M30" s="314" t="e">
        <v>#N/A</v>
      </c>
      <c r="N30" s="314" t="e">
        <v>#N/A</v>
      </c>
      <c r="O30" s="314" t="e">
        <v>#N/A</v>
      </c>
      <c r="P30" s="314" t="e">
        <v>#N/A</v>
      </c>
      <c r="Q30" s="314" t="e">
        <v>#N/A</v>
      </c>
      <c r="R30" s="314" t="e">
        <v>#N/A</v>
      </c>
      <c r="S30" s="314" t="e">
        <v>#N/A</v>
      </c>
      <c r="T30" s="314" t="e">
        <v>#N/A</v>
      </c>
      <c r="U30" s="314" t="e">
        <v>#N/A</v>
      </c>
      <c r="V30" s="314" t="e">
        <v>#N/A</v>
      </c>
      <c r="W30" s="314" t="e">
        <v>#N/A</v>
      </c>
      <c r="X30" s="314" t="e">
        <v>#N/A</v>
      </c>
      <c r="Y30" s="314" t="e">
        <v>#N/A</v>
      </c>
      <c r="Z30" s="314" t="e">
        <v>#N/A</v>
      </c>
      <c r="AA30" s="314" t="e">
        <v>#N/A</v>
      </c>
      <c r="AB30" s="314" t="e">
        <v>#N/A</v>
      </c>
      <c r="AC30" s="314" t="e">
        <v>#N/A</v>
      </c>
      <c r="AD30" s="314" t="e">
        <v>#N/A</v>
      </c>
      <c r="AE30" s="314" t="e">
        <v>#N/A</v>
      </c>
      <c r="AF30" s="314" t="e">
        <v>#N/A</v>
      </c>
      <c r="AG30" s="314" t="e">
        <v>#N/A</v>
      </c>
      <c r="AH30" s="314" t="e">
        <v>#N/A</v>
      </c>
      <c r="AI30" s="314" t="e">
        <v>#N/A</v>
      </c>
      <c r="AJ30" s="314" t="e">
        <v>#N/A</v>
      </c>
      <c r="AK30" s="314" t="e">
        <v>#N/A</v>
      </c>
      <c r="AL30" s="314" t="e">
        <v>#N/A</v>
      </c>
      <c r="AM30" s="314" t="e">
        <v>#N/A</v>
      </c>
      <c r="AN30" s="314" t="e">
        <v>#N/A</v>
      </c>
      <c r="AO30" s="314" t="e">
        <v>#N/A</v>
      </c>
      <c r="AP30" s="314" t="e">
        <v>#N/A</v>
      </c>
    </row>
    <row r="31" spans="1:42">
      <c r="A31" s="547">
        <f t="shared" si="0"/>
        <v>1988</v>
      </c>
      <c r="B31" s="578">
        <v>32294</v>
      </c>
      <c r="C31" s="314">
        <v>44477</v>
      </c>
      <c r="D31" s="314">
        <v>34404</v>
      </c>
      <c r="E31" s="314">
        <v>33045</v>
      </c>
      <c r="F31" s="314" t="e">
        <v>#N/A</v>
      </c>
      <c r="G31" s="314" t="e">
        <v>#N/A</v>
      </c>
      <c r="H31" s="314" t="e">
        <v>#N/A</v>
      </c>
      <c r="I31" s="314" t="e">
        <v>#N/A</v>
      </c>
      <c r="J31" s="314" t="e">
        <v>#N/A</v>
      </c>
      <c r="K31" s="314" t="e">
        <v>#N/A</v>
      </c>
      <c r="L31" s="314" t="e">
        <v>#N/A</v>
      </c>
      <c r="M31" s="314" t="e">
        <v>#N/A</v>
      </c>
      <c r="N31" s="314" t="e">
        <v>#N/A</v>
      </c>
      <c r="O31" s="314" t="e">
        <v>#N/A</v>
      </c>
      <c r="P31" s="314" t="e">
        <v>#N/A</v>
      </c>
      <c r="Q31" s="314" t="e">
        <v>#N/A</v>
      </c>
      <c r="R31" s="314" t="e">
        <v>#N/A</v>
      </c>
      <c r="S31" s="314" t="e">
        <v>#N/A</v>
      </c>
      <c r="T31" s="314" t="e">
        <v>#N/A</v>
      </c>
      <c r="U31" s="314" t="e">
        <v>#N/A</v>
      </c>
      <c r="V31" s="314" t="e">
        <v>#N/A</v>
      </c>
      <c r="W31" s="314" t="e">
        <v>#N/A</v>
      </c>
      <c r="X31" s="314" t="e">
        <v>#N/A</v>
      </c>
      <c r="Y31" s="314" t="e">
        <v>#N/A</v>
      </c>
      <c r="Z31" s="314" t="e">
        <v>#N/A</v>
      </c>
      <c r="AA31" s="314" t="e">
        <v>#N/A</v>
      </c>
      <c r="AB31" s="314" t="e">
        <v>#N/A</v>
      </c>
      <c r="AC31" s="314" t="e">
        <v>#N/A</v>
      </c>
      <c r="AD31" s="314" t="e">
        <v>#N/A</v>
      </c>
      <c r="AE31" s="314" t="e">
        <v>#N/A</v>
      </c>
      <c r="AF31" s="314" t="e">
        <v>#N/A</v>
      </c>
      <c r="AG31" s="314" t="e">
        <v>#N/A</v>
      </c>
      <c r="AH31" s="314" t="e">
        <v>#N/A</v>
      </c>
      <c r="AI31" s="314" t="e">
        <v>#N/A</v>
      </c>
      <c r="AJ31" s="314" t="e">
        <v>#N/A</v>
      </c>
      <c r="AK31" s="314" t="e">
        <v>#N/A</v>
      </c>
      <c r="AL31" s="314" t="e">
        <v>#N/A</v>
      </c>
      <c r="AM31" s="314" t="e">
        <v>#N/A</v>
      </c>
      <c r="AN31" s="314" t="e">
        <v>#N/A</v>
      </c>
      <c r="AO31" s="314" t="e">
        <v>#N/A</v>
      </c>
      <c r="AP31" s="314" t="e">
        <v>#N/A</v>
      </c>
    </row>
    <row r="32" spans="1:42">
      <c r="A32" s="547">
        <f t="shared" si="0"/>
        <v>1988</v>
      </c>
      <c r="B32" s="578">
        <v>32324</v>
      </c>
      <c r="C32" s="314">
        <v>110511</v>
      </c>
      <c r="D32" s="314">
        <v>46030</v>
      </c>
      <c r="E32" s="314">
        <v>82405</v>
      </c>
      <c r="F32" s="314" t="e">
        <v>#N/A</v>
      </c>
      <c r="G32" s="314" t="e">
        <v>#N/A</v>
      </c>
      <c r="H32" s="314" t="e">
        <v>#N/A</v>
      </c>
      <c r="I32" s="314" t="e">
        <v>#N/A</v>
      </c>
      <c r="J32" s="314" t="e">
        <v>#N/A</v>
      </c>
      <c r="K32" s="314" t="e">
        <v>#N/A</v>
      </c>
      <c r="L32" s="314" t="e">
        <v>#N/A</v>
      </c>
      <c r="M32" s="314" t="e">
        <v>#N/A</v>
      </c>
      <c r="N32" s="314" t="e">
        <v>#N/A</v>
      </c>
      <c r="O32" s="314" t="e">
        <v>#N/A</v>
      </c>
      <c r="P32" s="314" t="e">
        <v>#N/A</v>
      </c>
      <c r="Q32" s="314" t="e">
        <v>#N/A</v>
      </c>
      <c r="R32" s="314" t="e">
        <v>#N/A</v>
      </c>
      <c r="S32" s="314" t="e">
        <v>#N/A</v>
      </c>
      <c r="T32" s="314" t="e">
        <v>#N/A</v>
      </c>
      <c r="U32" s="314" t="e">
        <v>#N/A</v>
      </c>
      <c r="V32" s="314" t="e">
        <v>#N/A</v>
      </c>
      <c r="W32" s="314" t="e">
        <v>#N/A</v>
      </c>
      <c r="X32" s="314" t="e">
        <v>#N/A</v>
      </c>
      <c r="Y32" s="314" t="e">
        <v>#N/A</v>
      </c>
      <c r="Z32" s="314" t="e">
        <v>#N/A</v>
      </c>
      <c r="AA32" s="314" t="e">
        <v>#N/A</v>
      </c>
      <c r="AB32" s="314" t="e">
        <v>#N/A</v>
      </c>
      <c r="AC32" s="314" t="e">
        <v>#N/A</v>
      </c>
      <c r="AD32" s="314" t="e">
        <v>#N/A</v>
      </c>
      <c r="AE32" s="314" t="e">
        <v>#N/A</v>
      </c>
      <c r="AF32" s="314" t="e">
        <v>#N/A</v>
      </c>
      <c r="AG32" s="314" t="e">
        <v>#N/A</v>
      </c>
      <c r="AH32" s="314" t="e">
        <v>#N/A</v>
      </c>
      <c r="AI32" s="314" t="e">
        <v>#N/A</v>
      </c>
      <c r="AJ32" s="314" t="e">
        <v>#N/A</v>
      </c>
      <c r="AK32" s="314" t="e">
        <v>#N/A</v>
      </c>
      <c r="AL32" s="314" t="e">
        <v>#N/A</v>
      </c>
      <c r="AM32" s="314" t="e">
        <v>#N/A</v>
      </c>
      <c r="AN32" s="314" t="e">
        <v>#N/A</v>
      </c>
      <c r="AO32" s="314" t="e">
        <v>#N/A</v>
      </c>
      <c r="AP32" s="314" t="e">
        <v>#N/A</v>
      </c>
    </row>
    <row r="33" spans="1:42">
      <c r="A33" s="547">
        <f t="shared" si="0"/>
        <v>1988</v>
      </c>
      <c r="B33" s="578">
        <v>32355</v>
      </c>
      <c r="C33" s="314">
        <v>58269</v>
      </c>
      <c r="D33" s="314">
        <v>48890</v>
      </c>
      <c r="E33" s="314">
        <v>38759</v>
      </c>
      <c r="F33" s="314" t="e">
        <v>#N/A</v>
      </c>
      <c r="G33" s="314" t="e">
        <v>#N/A</v>
      </c>
      <c r="H33" s="314" t="e">
        <v>#N/A</v>
      </c>
      <c r="I33" s="314" t="e">
        <v>#N/A</v>
      </c>
      <c r="J33" s="314" t="e">
        <v>#N/A</v>
      </c>
      <c r="K33" s="314" t="e">
        <v>#N/A</v>
      </c>
      <c r="L33" s="314" t="e">
        <v>#N/A</v>
      </c>
      <c r="M33" s="314" t="e">
        <v>#N/A</v>
      </c>
      <c r="N33" s="314" t="e">
        <v>#N/A</v>
      </c>
      <c r="O33" s="314" t="e">
        <v>#N/A</v>
      </c>
      <c r="P33" s="314" t="e">
        <v>#N/A</v>
      </c>
      <c r="Q33" s="314" t="e">
        <v>#N/A</v>
      </c>
      <c r="R33" s="314" t="e">
        <v>#N/A</v>
      </c>
      <c r="S33" s="314" t="e">
        <v>#N/A</v>
      </c>
      <c r="T33" s="314" t="e">
        <v>#N/A</v>
      </c>
      <c r="U33" s="314" t="e">
        <v>#N/A</v>
      </c>
      <c r="V33" s="314" t="e">
        <v>#N/A</v>
      </c>
      <c r="W33" s="314" t="e">
        <v>#N/A</v>
      </c>
      <c r="X33" s="314" t="e">
        <v>#N/A</v>
      </c>
      <c r="Y33" s="314" t="e">
        <v>#N/A</v>
      </c>
      <c r="Z33" s="314" t="e">
        <v>#N/A</v>
      </c>
      <c r="AA33" s="314" t="e">
        <v>#N/A</v>
      </c>
      <c r="AB33" s="314" t="e">
        <v>#N/A</v>
      </c>
      <c r="AC33" s="314" t="e">
        <v>#N/A</v>
      </c>
      <c r="AD33" s="314" t="e">
        <v>#N/A</v>
      </c>
      <c r="AE33" s="314" t="e">
        <v>#N/A</v>
      </c>
      <c r="AF33" s="314" t="e">
        <v>#N/A</v>
      </c>
      <c r="AG33" s="314" t="e">
        <v>#N/A</v>
      </c>
      <c r="AH33" s="314" t="e">
        <v>#N/A</v>
      </c>
      <c r="AI33" s="314" t="e">
        <v>#N/A</v>
      </c>
      <c r="AJ33" s="314" t="e">
        <v>#N/A</v>
      </c>
      <c r="AK33" s="314" t="e">
        <v>#N/A</v>
      </c>
      <c r="AL33" s="314" t="e">
        <v>#N/A</v>
      </c>
      <c r="AM33" s="314" t="e">
        <v>#N/A</v>
      </c>
      <c r="AN33" s="314" t="e">
        <v>#N/A</v>
      </c>
      <c r="AO33" s="314" t="e">
        <v>#N/A</v>
      </c>
      <c r="AP33" s="314" t="e">
        <v>#N/A</v>
      </c>
    </row>
    <row r="34" spans="1:42">
      <c r="A34" s="547">
        <f t="shared" si="0"/>
        <v>1988</v>
      </c>
      <c r="B34" s="578">
        <v>32386</v>
      </c>
      <c r="C34" s="314">
        <v>55442</v>
      </c>
      <c r="D34" s="314">
        <v>31803</v>
      </c>
      <c r="E34" s="314">
        <v>89135</v>
      </c>
      <c r="F34" s="314" t="e">
        <v>#N/A</v>
      </c>
      <c r="G34" s="314" t="e">
        <v>#N/A</v>
      </c>
      <c r="H34" s="314" t="e">
        <v>#N/A</v>
      </c>
      <c r="I34" s="314" t="e">
        <v>#N/A</v>
      </c>
      <c r="J34" s="314" t="e">
        <v>#N/A</v>
      </c>
      <c r="K34" s="314" t="e">
        <v>#N/A</v>
      </c>
      <c r="L34" s="314" t="e">
        <v>#N/A</v>
      </c>
      <c r="M34" s="314" t="e">
        <v>#N/A</v>
      </c>
      <c r="N34" s="314" t="e">
        <v>#N/A</v>
      </c>
      <c r="O34" s="314" t="e">
        <v>#N/A</v>
      </c>
      <c r="P34" s="314" t="e">
        <v>#N/A</v>
      </c>
      <c r="Q34" s="314" t="e">
        <v>#N/A</v>
      </c>
      <c r="R34" s="314" t="e">
        <v>#N/A</v>
      </c>
      <c r="S34" s="314" t="e">
        <v>#N/A</v>
      </c>
      <c r="T34" s="314" t="e">
        <v>#N/A</v>
      </c>
      <c r="U34" s="314" t="e">
        <v>#N/A</v>
      </c>
      <c r="V34" s="314" t="e">
        <v>#N/A</v>
      </c>
      <c r="W34" s="314" t="e">
        <v>#N/A</v>
      </c>
      <c r="X34" s="314" t="e">
        <v>#N/A</v>
      </c>
      <c r="Y34" s="314" t="e">
        <v>#N/A</v>
      </c>
      <c r="Z34" s="314" t="e">
        <v>#N/A</v>
      </c>
      <c r="AA34" s="314" t="e">
        <v>#N/A</v>
      </c>
      <c r="AB34" s="314" t="e">
        <v>#N/A</v>
      </c>
      <c r="AC34" s="314" t="e">
        <v>#N/A</v>
      </c>
      <c r="AD34" s="314" t="e">
        <v>#N/A</v>
      </c>
      <c r="AE34" s="314" t="e">
        <v>#N/A</v>
      </c>
      <c r="AF34" s="314" t="e">
        <v>#N/A</v>
      </c>
      <c r="AG34" s="314" t="e">
        <v>#N/A</v>
      </c>
      <c r="AH34" s="314" t="e">
        <v>#N/A</v>
      </c>
      <c r="AI34" s="314" t="e">
        <v>#N/A</v>
      </c>
      <c r="AJ34" s="314" t="e">
        <v>#N/A</v>
      </c>
      <c r="AK34" s="314" t="e">
        <v>#N/A</v>
      </c>
      <c r="AL34" s="314" t="e">
        <v>#N/A</v>
      </c>
      <c r="AM34" s="314" t="e">
        <v>#N/A</v>
      </c>
      <c r="AN34" s="314" t="e">
        <v>#N/A</v>
      </c>
      <c r="AO34" s="314" t="e">
        <v>#N/A</v>
      </c>
      <c r="AP34" s="314" t="e">
        <v>#N/A</v>
      </c>
    </row>
    <row r="35" spans="1:42">
      <c r="A35" s="547">
        <f t="shared" si="0"/>
        <v>1988</v>
      </c>
      <c r="B35" s="578">
        <v>32416</v>
      </c>
      <c r="C35" s="314">
        <v>67702</v>
      </c>
      <c r="D35" s="314">
        <v>27178</v>
      </c>
      <c r="E35" s="314">
        <v>66160</v>
      </c>
      <c r="F35" s="314" t="e">
        <v>#N/A</v>
      </c>
      <c r="G35" s="314" t="e">
        <v>#N/A</v>
      </c>
      <c r="H35" s="314" t="e">
        <v>#N/A</v>
      </c>
      <c r="I35" s="314" t="e">
        <v>#N/A</v>
      </c>
      <c r="J35" s="314" t="e">
        <v>#N/A</v>
      </c>
      <c r="K35" s="314" t="e">
        <v>#N/A</v>
      </c>
      <c r="L35" s="314" t="e">
        <v>#N/A</v>
      </c>
      <c r="M35" s="314" t="e">
        <v>#N/A</v>
      </c>
      <c r="N35" s="314" t="e">
        <v>#N/A</v>
      </c>
      <c r="O35" s="314" t="e">
        <v>#N/A</v>
      </c>
      <c r="P35" s="314" t="e">
        <v>#N/A</v>
      </c>
      <c r="Q35" s="314" t="e">
        <v>#N/A</v>
      </c>
      <c r="R35" s="314" t="e">
        <v>#N/A</v>
      </c>
      <c r="S35" s="314" t="e">
        <v>#N/A</v>
      </c>
      <c r="T35" s="314" t="e">
        <v>#N/A</v>
      </c>
      <c r="U35" s="314" t="e">
        <v>#N/A</v>
      </c>
      <c r="V35" s="314" t="e">
        <v>#N/A</v>
      </c>
      <c r="W35" s="314" t="e">
        <v>#N/A</v>
      </c>
      <c r="X35" s="314" t="e">
        <v>#N/A</v>
      </c>
      <c r="Y35" s="314" t="e">
        <v>#N/A</v>
      </c>
      <c r="Z35" s="314" t="e">
        <v>#N/A</v>
      </c>
      <c r="AA35" s="314" t="e">
        <v>#N/A</v>
      </c>
      <c r="AB35" s="314" t="e">
        <v>#N/A</v>
      </c>
      <c r="AC35" s="314" t="e">
        <v>#N/A</v>
      </c>
      <c r="AD35" s="314" t="e">
        <v>#N/A</v>
      </c>
      <c r="AE35" s="314" t="e">
        <v>#N/A</v>
      </c>
      <c r="AF35" s="314" t="e">
        <v>#N/A</v>
      </c>
      <c r="AG35" s="314" t="e">
        <v>#N/A</v>
      </c>
      <c r="AH35" s="314" t="e">
        <v>#N/A</v>
      </c>
      <c r="AI35" s="314" t="e">
        <v>#N/A</v>
      </c>
      <c r="AJ35" s="314" t="e">
        <v>#N/A</v>
      </c>
      <c r="AK35" s="314" t="e">
        <v>#N/A</v>
      </c>
      <c r="AL35" s="314" t="e">
        <v>#N/A</v>
      </c>
      <c r="AM35" s="314" t="e">
        <v>#N/A</v>
      </c>
      <c r="AN35" s="314" t="e">
        <v>#N/A</v>
      </c>
      <c r="AO35" s="314" t="e">
        <v>#N/A</v>
      </c>
      <c r="AP35" s="314" t="e">
        <v>#N/A</v>
      </c>
    </row>
    <row r="36" spans="1:42">
      <c r="A36" s="547">
        <f t="shared" si="0"/>
        <v>1988</v>
      </c>
      <c r="B36" s="578">
        <v>32447</v>
      </c>
      <c r="C36" s="314">
        <v>163450</v>
      </c>
      <c r="D36" s="314">
        <v>26745</v>
      </c>
      <c r="E36" s="314">
        <v>60622</v>
      </c>
      <c r="F36" s="314" t="e">
        <v>#N/A</v>
      </c>
      <c r="G36" s="314" t="e">
        <v>#N/A</v>
      </c>
      <c r="H36" s="314" t="e">
        <v>#N/A</v>
      </c>
      <c r="I36" s="314" t="e">
        <v>#N/A</v>
      </c>
      <c r="J36" s="314" t="e">
        <v>#N/A</v>
      </c>
      <c r="K36" s="314" t="e">
        <v>#N/A</v>
      </c>
      <c r="L36" s="314" t="e">
        <v>#N/A</v>
      </c>
      <c r="M36" s="314" t="e">
        <v>#N/A</v>
      </c>
      <c r="N36" s="314" t="e">
        <v>#N/A</v>
      </c>
      <c r="O36" s="314" t="e">
        <v>#N/A</v>
      </c>
      <c r="P36" s="314" t="e">
        <v>#N/A</v>
      </c>
      <c r="Q36" s="314" t="e">
        <v>#N/A</v>
      </c>
      <c r="R36" s="314" t="e">
        <v>#N/A</v>
      </c>
      <c r="S36" s="314" t="e">
        <v>#N/A</v>
      </c>
      <c r="T36" s="314" t="e">
        <v>#N/A</v>
      </c>
      <c r="U36" s="314" t="e">
        <v>#N/A</v>
      </c>
      <c r="V36" s="314" t="e">
        <v>#N/A</v>
      </c>
      <c r="W36" s="314" t="e">
        <v>#N/A</v>
      </c>
      <c r="X36" s="314" t="e">
        <v>#N/A</v>
      </c>
      <c r="Y36" s="314" t="e">
        <v>#N/A</v>
      </c>
      <c r="Z36" s="314" t="e">
        <v>#N/A</v>
      </c>
      <c r="AA36" s="314" t="e">
        <v>#N/A</v>
      </c>
      <c r="AB36" s="314" t="e">
        <v>#N/A</v>
      </c>
      <c r="AC36" s="314" t="e">
        <v>#N/A</v>
      </c>
      <c r="AD36" s="314" t="e">
        <v>#N/A</v>
      </c>
      <c r="AE36" s="314" t="e">
        <v>#N/A</v>
      </c>
      <c r="AF36" s="314" t="e">
        <v>#N/A</v>
      </c>
      <c r="AG36" s="314" t="e">
        <v>#N/A</v>
      </c>
      <c r="AH36" s="314" t="e">
        <v>#N/A</v>
      </c>
      <c r="AI36" s="314" t="e">
        <v>#N/A</v>
      </c>
      <c r="AJ36" s="314" t="e">
        <v>#N/A</v>
      </c>
      <c r="AK36" s="314" t="e">
        <v>#N/A</v>
      </c>
      <c r="AL36" s="314" t="e">
        <v>#N/A</v>
      </c>
      <c r="AM36" s="314" t="e">
        <v>#N/A</v>
      </c>
      <c r="AN36" s="314" t="e">
        <v>#N/A</v>
      </c>
      <c r="AO36" s="314" t="e">
        <v>#N/A</v>
      </c>
      <c r="AP36" s="314" t="e">
        <v>#N/A</v>
      </c>
    </row>
    <row r="37" spans="1:42">
      <c r="A37" s="547">
        <f t="shared" si="0"/>
        <v>1988</v>
      </c>
      <c r="B37" s="578">
        <v>32477</v>
      </c>
      <c r="C37" s="314">
        <v>112673</v>
      </c>
      <c r="D37" s="314">
        <v>25606</v>
      </c>
      <c r="E37" s="314">
        <v>31977</v>
      </c>
      <c r="F37" s="314" t="e">
        <v>#N/A</v>
      </c>
      <c r="G37" s="314" t="e">
        <v>#N/A</v>
      </c>
      <c r="H37" s="314" t="e">
        <v>#N/A</v>
      </c>
      <c r="I37" s="314" t="e">
        <v>#N/A</v>
      </c>
      <c r="J37" s="314" t="e">
        <v>#N/A</v>
      </c>
      <c r="K37" s="314" t="e">
        <v>#N/A</v>
      </c>
      <c r="L37" s="314" t="e">
        <v>#N/A</v>
      </c>
      <c r="M37" s="314" t="e">
        <v>#N/A</v>
      </c>
      <c r="N37" s="314" t="e">
        <v>#N/A</v>
      </c>
      <c r="O37" s="314" t="e">
        <v>#N/A</v>
      </c>
      <c r="P37" s="314" t="e">
        <v>#N/A</v>
      </c>
      <c r="Q37" s="314" t="e">
        <v>#N/A</v>
      </c>
      <c r="R37" s="314" t="e">
        <v>#N/A</v>
      </c>
      <c r="S37" s="314" t="e">
        <v>#N/A</v>
      </c>
      <c r="T37" s="314" t="e">
        <v>#N/A</v>
      </c>
      <c r="U37" s="314" t="e">
        <v>#N/A</v>
      </c>
      <c r="V37" s="314" t="e">
        <v>#N/A</v>
      </c>
      <c r="W37" s="314" t="e">
        <v>#N/A</v>
      </c>
      <c r="X37" s="314" t="e">
        <v>#N/A</v>
      </c>
      <c r="Y37" s="314" t="e">
        <v>#N/A</v>
      </c>
      <c r="Z37" s="314" t="e">
        <v>#N/A</v>
      </c>
      <c r="AA37" s="314" t="e">
        <v>#N/A</v>
      </c>
      <c r="AB37" s="314" t="e">
        <v>#N/A</v>
      </c>
      <c r="AC37" s="314" t="e">
        <v>#N/A</v>
      </c>
      <c r="AD37" s="314" t="e">
        <v>#N/A</v>
      </c>
      <c r="AE37" s="314" t="e">
        <v>#N/A</v>
      </c>
      <c r="AF37" s="314" t="e">
        <v>#N/A</v>
      </c>
      <c r="AG37" s="314" t="e">
        <v>#N/A</v>
      </c>
      <c r="AH37" s="314" t="e">
        <v>#N/A</v>
      </c>
      <c r="AI37" s="314" t="e">
        <v>#N/A</v>
      </c>
      <c r="AJ37" s="314" t="e">
        <v>#N/A</v>
      </c>
      <c r="AK37" s="314" t="e">
        <v>#N/A</v>
      </c>
      <c r="AL37" s="314" t="e">
        <v>#N/A</v>
      </c>
      <c r="AM37" s="314" t="e">
        <v>#N/A</v>
      </c>
      <c r="AN37" s="314" t="e">
        <v>#N/A</v>
      </c>
      <c r="AO37" s="314" t="e">
        <v>#N/A</v>
      </c>
      <c r="AP37" s="314" t="e">
        <v>#N/A</v>
      </c>
    </row>
    <row r="38" spans="1:42">
      <c r="A38" s="547">
        <f t="shared" si="0"/>
        <v>1988</v>
      </c>
      <c r="B38" s="578">
        <v>32508</v>
      </c>
      <c r="C38" s="314">
        <v>34806</v>
      </c>
      <c r="D38" s="314">
        <v>49469</v>
      </c>
      <c r="E38" s="314">
        <v>17665</v>
      </c>
      <c r="F38" s="314" t="e">
        <v>#N/A</v>
      </c>
      <c r="G38" s="314" t="e">
        <v>#N/A</v>
      </c>
      <c r="H38" s="314" t="e">
        <v>#N/A</v>
      </c>
      <c r="I38" s="314" t="e">
        <v>#N/A</v>
      </c>
      <c r="J38" s="314" t="e">
        <v>#N/A</v>
      </c>
      <c r="K38" s="314" t="e">
        <v>#N/A</v>
      </c>
      <c r="L38" s="314" t="e">
        <v>#N/A</v>
      </c>
      <c r="M38" s="314" t="e">
        <v>#N/A</v>
      </c>
      <c r="N38" s="314" t="e">
        <v>#N/A</v>
      </c>
      <c r="O38" s="314" t="e">
        <v>#N/A</v>
      </c>
      <c r="P38" s="314" t="e">
        <v>#N/A</v>
      </c>
      <c r="Q38" s="314" t="e">
        <v>#N/A</v>
      </c>
      <c r="R38" s="314" t="e">
        <v>#N/A</v>
      </c>
      <c r="S38" s="314" t="e">
        <v>#N/A</v>
      </c>
      <c r="T38" s="314" t="e">
        <v>#N/A</v>
      </c>
      <c r="U38" s="314" t="e">
        <v>#N/A</v>
      </c>
      <c r="V38" s="314" t="e">
        <v>#N/A</v>
      </c>
      <c r="W38" s="314" t="e">
        <v>#N/A</v>
      </c>
      <c r="X38" s="314" t="e">
        <v>#N/A</v>
      </c>
      <c r="Y38" s="314" t="e">
        <v>#N/A</v>
      </c>
      <c r="Z38" s="314" t="e">
        <v>#N/A</v>
      </c>
      <c r="AA38" s="314" t="e">
        <v>#N/A</v>
      </c>
      <c r="AB38" s="314" t="e">
        <v>#N/A</v>
      </c>
      <c r="AC38" s="314" t="e">
        <v>#N/A</v>
      </c>
      <c r="AD38" s="314" t="e">
        <v>#N/A</v>
      </c>
      <c r="AE38" s="314" t="e">
        <v>#N/A</v>
      </c>
      <c r="AF38" s="314" t="e">
        <v>#N/A</v>
      </c>
      <c r="AG38" s="314" t="e">
        <v>#N/A</v>
      </c>
      <c r="AH38" s="314" t="e">
        <v>#N/A</v>
      </c>
      <c r="AI38" s="314" t="e">
        <v>#N/A</v>
      </c>
      <c r="AJ38" s="314" t="e">
        <v>#N/A</v>
      </c>
      <c r="AK38" s="314" t="e">
        <v>#N/A</v>
      </c>
      <c r="AL38" s="314" t="e">
        <v>#N/A</v>
      </c>
      <c r="AM38" s="314" t="e">
        <v>#N/A</v>
      </c>
      <c r="AN38" s="314" t="e">
        <v>#N/A</v>
      </c>
      <c r="AO38" s="314" t="e">
        <v>#N/A</v>
      </c>
      <c r="AP38" s="314" t="e">
        <v>#N/A</v>
      </c>
    </row>
    <row r="39" spans="1:42">
      <c r="A39" s="547">
        <f t="shared" si="0"/>
        <v>1989</v>
      </c>
      <c r="B39" s="578">
        <v>32539</v>
      </c>
      <c r="C39" s="314">
        <v>29900</v>
      </c>
      <c r="D39" s="314">
        <v>33190</v>
      </c>
      <c r="E39" s="314">
        <v>38798</v>
      </c>
      <c r="F39" s="314" t="e">
        <v>#N/A</v>
      </c>
      <c r="G39" s="314" t="e">
        <v>#N/A</v>
      </c>
      <c r="H39" s="314" t="e">
        <v>#N/A</v>
      </c>
      <c r="I39" s="314" t="e">
        <v>#N/A</v>
      </c>
      <c r="J39" s="314" t="e">
        <v>#N/A</v>
      </c>
      <c r="K39" s="314" t="e">
        <v>#N/A</v>
      </c>
      <c r="L39" s="314" t="e">
        <v>#N/A</v>
      </c>
      <c r="M39" s="314" t="e">
        <v>#N/A</v>
      </c>
      <c r="N39" s="314" t="e">
        <v>#N/A</v>
      </c>
      <c r="O39" s="314" t="e">
        <v>#N/A</v>
      </c>
      <c r="P39" s="314" t="e">
        <v>#N/A</v>
      </c>
      <c r="Q39" s="314" t="e">
        <v>#N/A</v>
      </c>
      <c r="R39" s="314" t="e">
        <v>#N/A</v>
      </c>
      <c r="S39" s="314" t="e">
        <v>#N/A</v>
      </c>
      <c r="T39" s="314" t="e">
        <v>#N/A</v>
      </c>
      <c r="U39" s="314" t="e">
        <v>#N/A</v>
      </c>
      <c r="V39" s="314" t="e">
        <v>#N/A</v>
      </c>
      <c r="W39" s="314" t="e">
        <v>#N/A</v>
      </c>
      <c r="X39" s="314" t="e">
        <v>#N/A</v>
      </c>
      <c r="Y39" s="314" t="e">
        <v>#N/A</v>
      </c>
      <c r="Z39" s="314" t="e">
        <v>#N/A</v>
      </c>
      <c r="AA39" s="314" t="e">
        <v>#N/A</v>
      </c>
      <c r="AB39" s="314" t="e">
        <v>#N/A</v>
      </c>
      <c r="AC39" s="314" t="e">
        <v>#N/A</v>
      </c>
      <c r="AD39" s="314" t="e">
        <v>#N/A</v>
      </c>
      <c r="AE39" s="314" t="e">
        <v>#N/A</v>
      </c>
      <c r="AF39" s="314" t="e">
        <v>#N/A</v>
      </c>
      <c r="AG39" s="314" t="e">
        <v>#N/A</v>
      </c>
      <c r="AH39" s="314" t="e">
        <v>#N/A</v>
      </c>
      <c r="AI39" s="314" t="e">
        <v>#N/A</v>
      </c>
      <c r="AJ39" s="314" t="e">
        <v>#N/A</v>
      </c>
      <c r="AK39" s="314" t="e">
        <v>#N/A</v>
      </c>
      <c r="AL39" s="314" t="e">
        <v>#N/A</v>
      </c>
      <c r="AM39" s="314" t="e">
        <v>#N/A</v>
      </c>
      <c r="AN39" s="314" t="e">
        <v>#N/A</v>
      </c>
      <c r="AO39" s="314" t="e">
        <v>#N/A</v>
      </c>
      <c r="AP39" s="314" t="e">
        <v>#N/A</v>
      </c>
    </row>
    <row r="40" spans="1:42">
      <c r="A40" s="547">
        <f t="shared" si="0"/>
        <v>1989</v>
      </c>
      <c r="B40" s="578">
        <v>32567</v>
      </c>
      <c r="C40" s="314">
        <v>59777</v>
      </c>
      <c r="D40" s="314">
        <v>12934</v>
      </c>
      <c r="E40" s="314">
        <v>52965</v>
      </c>
      <c r="F40" s="314" t="e">
        <v>#N/A</v>
      </c>
      <c r="G40" s="314" t="e">
        <v>#N/A</v>
      </c>
      <c r="H40" s="314" t="e">
        <v>#N/A</v>
      </c>
      <c r="I40" s="314" t="e">
        <v>#N/A</v>
      </c>
      <c r="J40" s="314" t="e">
        <v>#N/A</v>
      </c>
      <c r="K40" s="314" t="e">
        <v>#N/A</v>
      </c>
      <c r="L40" s="314" t="e">
        <v>#N/A</v>
      </c>
      <c r="M40" s="314" t="e">
        <v>#N/A</v>
      </c>
      <c r="N40" s="314" t="e">
        <v>#N/A</v>
      </c>
      <c r="O40" s="314" t="e">
        <v>#N/A</v>
      </c>
      <c r="P40" s="314" t="e">
        <v>#N/A</v>
      </c>
      <c r="Q40" s="314" t="e">
        <v>#N/A</v>
      </c>
      <c r="R40" s="314" t="e">
        <v>#N/A</v>
      </c>
      <c r="S40" s="314" t="e">
        <v>#N/A</v>
      </c>
      <c r="T40" s="314" t="e">
        <v>#N/A</v>
      </c>
      <c r="U40" s="314" t="e">
        <v>#N/A</v>
      </c>
      <c r="V40" s="314" t="e">
        <v>#N/A</v>
      </c>
      <c r="W40" s="314" t="e">
        <v>#N/A</v>
      </c>
      <c r="X40" s="314" t="e">
        <v>#N/A</v>
      </c>
      <c r="Y40" s="314" t="e">
        <v>#N/A</v>
      </c>
      <c r="Z40" s="314" t="e">
        <v>#N/A</v>
      </c>
      <c r="AA40" s="314" t="e">
        <v>#N/A</v>
      </c>
      <c r="AB40" s="314" t="e">
        <v>#N/A</v>
      </c>
      <c r="AC40" s="314" t="e">
        <v>#N/A</v>
      </c>
      <c r="AD40" s="314" t="e">
        <v>#N/A</v>
      </c>
      <c r="AE40" s="314" t="e">
        <v>#N/A</v>
      </c>
      <c r="AF40" s="314" t="e">
        <v>#N/A</v>
      </c>
      <c r="AG40" s="314" t="e">
        <v>#N/A</v>
      </c>
      <c r="AH40" s="314" t="e">
        <v>#N/A</v>
      </c>
      <c r="AI40" s="314" t="e">
        <v>#N/A</v>
      </c>
      <c r="AJ40" s="314" t="e">
        <v>#N/A</v>
      </c>
      <c r="AK40" s="314" t="e">
        <v>#N/A</v>
      </c>
      <c r="AL40" s="314" t="e">
        <v>#N/A</v>
      </c>
      <c r="AM40" s="314" t="e">
        <v>#N/A</v>
      </c>
      <c r="AN40" s="314" t="e">
        <v>#N/A</v>
      </c>
      <c r="AO40" s="314" t="e">
        <v>#N/A</v>
      </c>
      <c r="AP40" s="314" t="e">
        <v>#N/A</v>
      </c>
    </row>
    <row r="41" spans="1:42">
      <c r="A41" s="547">
        <f t="shared" si="0"/>
        <v>1989</v>
      </c>
      <c r="B41" s="578">
        <v>32598</v>
      </c>
      <c r="C41" s="314">
        <v>25137</v>
      </c>
      <c r="D41" s="314">
        <v>50607</v>
      </c>
      <c r="E41" s="314">
        <v>94414</v>
      </c>
      <c r="F41" s="314" t="e">
        <v>#N/A</v>
      </c>
      <c r="G41" s="314" t="e">
        <v>#N/A</v>
      </c>
      <c r="H41" s="314" t="e">
        <v>#N/A</v>
      </c>
      <c r="I41" s="314" t="e">
        <v>#N/A</v>
      </c>
      <c r="J41" s="314" t="e">
        <v>#N/A</v>
      </c>
      <c r="K41" s="314" t="e">
        <v>#N/A</v>
      </c>
      <c r="L41" s="314" t="e">
        <v>#N/A</v>
      </c>
      <c r="M41" s="314" t="e">
        <v>#N/A</v>
      </c>
      <c r="N41" s="314" t="e">
        <v>#N/A</v>
      </c>
      <c r="O41" s="314" t="e">
        <v>#N/A</v>
      </c>
      <c r="P41" s="314" t="e">
        <v>#N/A</v>
      </c>
      <c r="Q41" s="314" t="e">
        <v>#N/A</v>
      </c>
      <c r="R41" s="314" t="e">
        <v>#N/A</v>
      </c>
      <c r="S41" s="314" t="e">
        <v>#N/A</v>
      </c>
      <c r="T41" s="314" t="e">
        <v>#N/A</v>
      </c>
      <c r="U41" s="314" t="e">
        <v>#N/A</v>
      </c>
      <c r="V41" s="314" t="e">
        <v>#N/A</v>
      </c>
      <c r="W41" s="314" t="e">
        <v>#N/A</v>
      </c>
      <c r="X41" s="314" t="e">
        <v>#N/A</v>
      </c>
      <c r="Y41" s="314" t="e">
        <v>#N/A</v>
      </c>
      <c r="Z41" s="314" t="e">
        <v>#N/A</v>
      </c>
      <c r="AA41" s="314" t="e">
        <v>#N/A</v>
      </c>
      <c r="AB41" s="314" t="e">
        <v>#N/A</v>
      </c>
      <c r="AC41" s="314" t="e">
        <v>#N/A</v>
      </c>
      <c r="AD41" s="314" t="e">
        <v>#N/A</v>
      </c>
      <c r="AE41" s="314" t="e">
        <v>#N/A</v>
      </c>
      <c r="AF41" s="314" t="e">
        <v>#N/A</v>
      </c>
      <c r="AG41" s="314" t="e">
        <v>#N/A</v>
      </c>
      <c r="AH41" s="314" t="e">
        <v>#N/A</v>
      </c>
      <c r="AI41" s="314" t="e">
        <v>#N/A</v>
      </c>
      <c r="AJ41" s="314" t="e">
        <v>#N/A</v>
      </c>
      <c r="AK41" s="314" t="e">
        <v>#N/A</v>
      </c>
      <c r="AL41" s="314" t="e">
        <v>#N/A</v>
      </c>
      <c r="AM41" s="314" t="e">
        <v>#N/A</v>
      </c>
      <c r="AN41" s="314" t="e">
        <v>#N/A</v>
      </c>
      <c r="AO41" s="314" t="e">
        <v>#N/A</v>
      </c>
      <c r="AP41" s="314" t="e">
        <v>#N/A</v>
      </c>
    </row>
    <row r="42" spans="1:42">
      <c r="A42" s="547">
        <f t="shared" si="0"/>
        <v>1989</v>
      </c>
      <c r="B42" s="578">
        <v>32628</v>
      </c>
      <c r="C42" s="314">
        <v>28015</v>
      </c>
      <c r="D42" s="314">
        <v>23886</v>
      </c>
      <c r="E42" s="314">
        <v>50692</v>
      </c>
      <c r="F42" s="314" t="e">
        <v>#N/A</v>
      </c>
      <c r="G42" s="314" t="e">
        <v>#N/A</v>
      </c>
      <c r="H42" s="314" t="e">
        <v>#N/A</v>
      </c>
      <c r="I42" s="314" t="e">
        <v>#N/A</v>
      </c>
      <c r="J42" s="314" t="e">
        <v>#N/A</v>
      </c>
      <c r="K42" s="314" t="e">
        <v>#N/A</v>
      </c>
      <c r="L42" s="314" t="e">
        <v>#N/A</v>
      </c>
      <c r="M42" s="314" t="e">
        <v>#N/A</v>
      </c>
      <c r="N42" s="314" t="e">
        <v>#N/A</v>
      </c>
      <c r="O42" s="314" t="e">
        <v>#N/A</v>
      </c>
      <c r="P42" s="314" t="e">
        <v>#N/A</v>
      </c>
      <c r="Q42" s="314" t="e">
        <v>#N/A</v>
      </c>
      <c r="R42" s="314" t="e">
        <v>#N/A</v>
      </c>
      <c r="S42" s="314" t="e">
        <v>#N/A</v>
      </c>
      <c r="T42" s="314" t="e">
        <v>#N/A</v>
      </c>
      <c r="U42" s="314" t="e">
        <v>#N/A</v>
      </c>
      <c r="V42" s="314" t="e">
        <v>#N/A</v>
      </c>
      <c r="W42" s="314" t="e">
        <v>#N/A</v>
      </c>
      <c r="X42" s="314" t="e">
        <v>#N/A</v>
      </c>
      <c r="Y42" s="314" t="e">
        <v>#N/A</v>
      </c>
      <c r="Z42" s="314" t="e">
        <v>#N/A</v>
      </c>
      <c r="AA42" s="314" t="e">
        <v>#N/A</v>
      </c>
      <c r="AB42" s="314" t="e">
        <v>#N/A</v>
      </c>
      <c r="AC42" s="314" t="e">
        <v>#N/A</v>
      </c>
      <c r="AD42" s="314" t="e">
        <v>#N/A</v>
      </c>
      <c r="AE42" s="314" t="e">
        <v>#N/A</v>
      </c>
      <c r="AF42" s="314" t="e">
        <v>#N/A</v>
      </c>
      <c r="AG42" s="314" t="e">
        <v>#N/A</v>
      </c>
      <c r="AH42" s="314" t="e">
        <v>#N/A</v>
      </c>
      <c r="AI42" s="314" t="e">
        <v>#N/A</v>
      </c>
      <c r="AJ42" s="314" t="e">
        <v>#N/A</v>
      </c>
      <c r="AK42" s="314" t="e">
        <v>#N/A</v>
      </c>
      <c r="AL42" s="314" t="e">
        <v>#N/A</v>
      </c>
      <c r="AM42" s="314" t="e">
        <v>#N/A</v>
      </c>
      <c r="AN42" s="314" t="e">
        <v>#N/A</v>
      </c>
      <c r="AO42" s="314" t="e">
        <v>#N/A</v>
      </c>
      <c r="AP42" s="314" t="e">
        <v>#N/A</v>
      </c>
    </row>
    <row r="43" spans="1:42">
      <c r="A43" s="547">
        <f t="shared" si="0"/>
        <v>1989</v>
      </c>
      <c r="B43" s="578">
        <v>32659</v>
      </c>
      <c r="C43" s="314">
        <v>93554</v>
      </c>
      <c r="D43" s="314">
        <v>30962</v>
      </c>
      <c r="E43" s="314">
        <v>68756</v>
      </c>
      <c r="F43" s="314" t="e">
        <v>#N/A</v>
      </c>
      <c r="G43" s="314" t="e">
        <v>#N/A</v>
      </c>
      <c r="H43" s="314" t="e">
        <v>#N/A</v>
      </c>
      <c r="I43" s="314" t="e">
        <v>#N/A</v>
      </c>
      <c r="J43" s="314" t="e">
        <v>#N/A</v>
      </c>
      <c r="K43" s="314" t="e">
        <v>#N/A</v>
      </c>
      <c r="L43" s="314" t="e">
        <v>#N/A</v>
      </c>
      <c r="M43" s="314" t="e">
        <v>#N/A</v>
      </c>
      <c r="N43" s="314" t="e">
        <v>#N/A</v>
      </c>
      <c r="O43" s="314" t="e">
        <v>#N/A</v>
      </c>
      <c r="P43" s="314" t="e">
        <v>#N/A</v>
      </c>
      <c r="Q43" s="314" t="e">
        <v>#N/A</v>
      </c>
      <c r="R43" s="314" t="e">
        <v>#N/A</v>
      </c>
      <c r="S43" s="314" t="e">
        <v>#N/A</v>
      </c>
      <c r="T43" s="314" t="e">
        <v>#N/A</v>
      </c>
      <c r="U43" s="314" t="e">
        <v>#N/A</v>
      </c>
      <c r="V43" s="314" t="e">
        <v>#N/A</v>
      </c>
      <c r="W43" s="314" t="e">
        <v>#N/A</v>
      </c>
      <c r="X43" s="314" t="e">
        <v>#N/A</v>
      </c>
      <c r="Y43" s="314" t="e">
        <v>#N/A</v>
      </c>
      <c r="Z43" s="314" t="e">
        <v>#N/A</v>
      </c>
      <c r="AA43" s="314" t="e">
        <v>#N/A</v>
      </c>
      <c r="AB43" s="314" t="e">
        <v>#N/A</v>
      </c>
      <c r="AC43" s="314" t="e">
        <v>#N/A</v>
      </c>
      <c r="AD43" s="314" t="e">
        <v>#N/A</v>
      </c>
      <c r="AE43" s="314" t="e">
        <v>#N/A</v>
      </c>
      <c r="AF43" s="314" t="e">
        <v>#N/A</v>
      </c>
      <c r="AG43" s="314" t="e">
        <v>#N/A</v>
      </c>
      <c r="AH43" s="314" t="e">
        <v>#N/A</v>
      </c>
      <c r="AI43" s="314" t="e">
        <v>#N/A</v>
      </c>
      <c r="AJ43" s="314" t="e">
        <v>#N/A</v>
      </c>
      <c r="AK43" s="314" t="e">
        <v>#N/A</v>
      </c>
      <c r="AL43" s="314" t="e">
        <v>#N/A</v>
      </c>
      <c r="AM43" s="314" t="e">
        <v>#N/A</v>
      </c>
      <c r="AN43" s="314" t="e">
        <v>#N/A</v>
      </c>
      <c r="AO43" s="314" t="e">
        <v>#N/A</v>
      </c>
      <c r="AP43" s="314" t="e">
        <v>#N/A</v>
      </c>
    </row>
    <row r="44" spans="1:42">
      <c r="A44" s="547">
        <f t="shared" si="0"/>
        <v>1989</v>
      </c>
      <c r="B44" s="578">
        <v>32689</v>
      </c>
      <c r="C44" s="314">
        <v>66041</v>
      </c>
      <c r="D44" s="314">
        <v>38705</v>
      </c>
      <c r="E44" s="314">
        <v>75919</v>
      </c>
      <c r="F44" s="314" t="e">
        <v>#N/A</v>
      </c>
      <c r="G44" s="314" t="e">
        <v>#N/A</v>
      </c>
      <c r="H44" s="314" t="e">
        <v>#N/A</v>
      </c>
      <c r="I44" s="314" t="e">
        <v>#N/A</v>
      </c>
      <c r="J44" s="314" t="e">
        <v>#N/A</v>
      </c>
      <c r="K44" s="314" t="e">
        <v>#N/A</v>
      </c>
      <c r="L44" s="314" t="e">
        <v>#N/A</v>
      </c>
      <c r="M44" s="314" t="e">
        <v>#N/A</v>
      </c>
      <c r="N44" s="314" t="e">
        <v>#N/A</v>
      </c>
      <c r="O44" s="314" t="e">
        <v>#N/A</v>
      </c>
      <c r="P44" s="314" t="e">
        <v>#N/A</v>
      </c>
      <c r="Q44" s="314" t="e">
        <v>#N/A</v>
      </c>
      <c r="R44" s="314" t="e">
        <v>#N/A</v>
      </c>
      <c r="S44" s="314" t="e">
        <v>#N/A</v>
      </c>
      <c r="T44" s="314" t="e">
        <v>#N/A</v>
      </c>
      <c r="U44" s="314" t="e">
        <v>#N/A</v>
      </c>
      <c r="V44" s="314" t="e">
        <v>#N/A</v>
      </c>
      <c r="W44" s="314" t="e">
        <v>#N/A</v>
      </c>
      <c r="X44" s="314" t="e">
        <v>#N/A</v>
      </c>
      <c r="Y44" s="314" t="e">
        <v>#N/A</v>
      </c>
      <c r="Z44" s="314" t="e">
        <v>#N/A</v>
      </c>
      <c r="AA44" s="314" t="e">
        <v>#N/A</v>
      </c>
      <c r="AB44" s="314" t="e">
        <v>#N/A</v>
      </c>
      <c r="AC44" s="314" t="e">
        <v>#N/A</v>
      </c>
      <c r="AD44" s="314" t="e">
        <v>#N/A</v>
      </c>
      <c r="AE44" s="314" t="e">
        <v>#N/A</v>
      </c>
      <c r="AF44" s="314" t="e">
        <v>#N/A</v>
      </c>
      <c r="AG44" s="314" t="e">
        <v>#N/A</v>
      </c>
      <c r="AH44" s="314" t="e">
        <v>#N/A</v>
      </c>
      <c r="AI44" s="314" t="e">
        <v>#N/A</v>
      </c>
      <c r="AJ44" s="314" t="e">
        <v>#N/A</v>
      </c>
      <c r="AK44" s="314" t="e">
        <v>#N/A</v>
      </c>
      <c r="AL44" s="314" t="e">
        <v>#N/A</v>
      </c>
      <c r="AM44" s="314" t="e">
        <v>#N/A</v>
      </c>
      <c r="AN44" s="314" t="e">
        <v>#N/A</v>
      </c>
      <c r="AO44" s="314" t="e">
        <v>#N/A</v>
      </c>
      <c r="AP44" s="314" t="e">
        <v>#N/A</v>
      </c>
    </row>
    <row r="45" spans="1:42">
      <c r="A45" s="547">
        <f t="shared" si="0"/>
        <v>1989</v>
      </c>
      <c r="B45" s="578">
        <v>32720</v>
      </c>
      <c r="C45" s="314">
        <v>65012</v>
      </c>
      <c r="D45" s="314">
        <v>41185</v>
      </c>
      <c r="E45" s="314">
        <v>78739</v>
      </c>
      <c r="F45" s="314" t="e">
        <v>#N/A</v>
      </c>
      <c r="G45" s="314" t="e">
        <v>#N/A</v>
      </c>
      <c r="H45" s="314" t="e">
        <v>#N/A</v>
      </c>
      <c r="I45" s="314" t="e">
        <v>#N/A</v>
      </c>
      <c r="J45" s="314" t="e">
        <v>#N/A</v>
      </c>
      <c r="K45" s="314" t="e">
        <v>#N/A</v>
      </c>
      <c r="L45" s="314" t="e">
        <v>#N/A</v>
      </c>
      <c r="M45" s="314" t="e">
        <v>#N/A</v>
      </c>
      <c r="N45" s="314" t="e">
        <v>#N/A</v>
      </c>
      <c r="O45" s="314" t="e">
        <v>#N/A</v>
      </c>
      <c r="P45" s="314" t="e">
        <v>#N/A</v>
      </c>
      <c r="Q45" s="314" t="e">
        <v>#N/A</v>
      </c>
      <c r="R45" s="314" t="e">
        <v>#N/A</v>
      </c>
      <c r="S45" s="314" t="e">
        <v>#N/A</v>
      </c>
      <c r="T45" s="314" t="e">
        <v>#N/A</v>
      </c>
      <c r="U45" s="314" t="e">
        <v>#N/A</v>
      </c>
      <c r="V45" s="314" t="e">
        <v>#N/A</v>
      </c>
      <c r="W45" s="314" t="e">
        <v>#N/A</v>
      </c>
      <c r="X45" s="314" t="e">
        <v>#N/A</v>
      </c>
      <c r="Y45" s="314" t="e">
        <v>#N/A</v>
      </c>
      <c r="Z45" s="314" t="e">
        <v>#N/A</v>
      </c>
      <c r="AA45" s="314" t="e">
        <v>#N/A</v>
      </c>
      <c r="AB45" s="314" t="e">
        <v>#N/A</v>
      </c>
      <c r="AC45" s="314" t="e">
        <v>#N/A</v>
      </c>
      <c r="AD45" s="314" t="e">
        <v>#N/A</v>
      </c>
      <c r="AE45" s="314" t="e">
        <v>#N/A</v>
      </c>
      <c r="AF45" s="314" t="e">
        <v>#N/A</v>
      </c>
      <c r="AG45" s="314" t="e">
        <v>#N/A</v>
      </c>
      <c r="AH45" s="314" t="e">
        <v>#N/A</v>
      </c>
      <c r="AI45" s="314" t="e">
        <v>#N/A</v>
      </c>
      <c r="AJ45" s="314" t="e">
        <v>#N/A</v>
      </c>
      <c r="AK45" s="314" t="e">
        <v>#N/A</v>
      </c>
      <c r="AL45" s="314" t="e">
        <v>#N/A</v>
      </c>
      <c r="AM45" s="314" t="e">
        <v>#N/A</v>
      </c>
      <c r="AN45" s="314" t="e">
        <v>#N/A</v>
      </c>
      <c r="AO45" s="314" t="e">
        <v>#N/A</v>
      </c>
      <c r="AP45" s="314" t="e">
        <v>#N/A</v>
      </c>
    </row>
    <row r="46" spans="1:42">
      <c r="A46" s="547">
        <f t="shared" si="0"/>
        <v>1989</v>
      </c>
      <c r="B46" s="578">
        <v>32751</v>
      </c>
      <c r="C46" s="314">
        <v>75495</v>
      </c>
      <c r="D46" s="314">
        <v>83142</v>
      </c>
      <c r="E46" s="314">
        <v>76075</v>
      </c>
      <c r="F46" s="314" t="e">
        <v>#N/A</v>
      </c>
      <c r="G46" s="314" t="e">
        <v>#N/A</v>
      </c>
      <c r="H46" s="314" t="e">
        <v>#N/A</v>
      </c>
      <c r="I46" s="314" t="e">
        <v>#N/A</v>
      </c>
      <c r="J46" s="314" t="e">
        <v>#N/A</v>
      </c>
      <c r="K46" s="314" t="e">
        <v>#N/A</v>
      </c>
      <c r="L46" s="314" t="e">
        <v>#N/A</v>
      </c>
      <c r="M46" s="314" t="e">
        <v>#N/A</v>
      </c>
      <c r="N46" s="314" t="e">
        <v>#N/A</v>
      </c>
      <c r="O46" s="314" t="e">
        <v>#N/A</v>
      </c>
      <c r="P46" s="314" t="e">
        <v>#N/A</v>
      </c>
      <c r="Q46" s="314" t="e">
        <v>#N/A</v>
      </c>
      <c r="R46" s="314" t="e">
        <v>#N/A</v>
      </c>
      <c r="S46" s="314" t="e">
        <v>#N/A</v>
      </c>
      <c r="T46" s="314" t="e">
        <v>#N/A</v>
      </c>
      <c r="U46" s="314" t="e">
        <v>#N/A</v>
      </c>
      <c r="V46" s="314" t="e">
        <v>#N/A</v>
      </c>
      <c r="W46" s="314" t="e">
        <v>#N/A</v>
      </c>
      <c r="X46" s="314" t="e">
        <v>#N/A</v>
      </c>
      <c r="Y46" s="314" t="e">
        <v>#N/A</v>
      </c>
      <c r="Z46" s="314" t="e">
        <v>#N/A</v>
      </c>
      <c r="AA46" s="314" t="e">
        <v>#N/A</v>
      </c>
      <c r="AB46" s="314" t="e">
        <v>#N/A</v>
      </c>
      <c r="AC46" s="314" t="e">
        <v>#N/A</v>
      </c>
      <c r="AD46" s="314" t="e">
        <v>#N/A</v>
      </c>
      <c r="AE46" s="314" t="e">
        <v>#N/A</v>
      </c>
      <c r="AF46" s="314" t="e">
        <v>#N/A</v>
      </c>
      <c r="AG46" s="314" t="e">
        <v>#N/A</v>
      </c>
      <c r="AH46" s="314" t="e">
        <v>#N/A</v>
      </c>
      <c r="AI46" s="314" t="e">
        <v>#N/A</v>
      </c>
      <c r="AJ46" s="314" t="e">
        <v>#N/A</v>
      </c>
      <c r="AK46" s="314" t="e">
        <v>#N/A</v>
      </c>
      <c r="AL46" s="314" t="e">
        <v>#N/A</v>
      </c>
      <c r="AM46" s="314" t="e">
        <v>#N/A</v>
      </c>
      <c r="AN46" s="314" t="e">
        <v>#N/A</v>
      </c>
      <c r="AO46" s="314" t="e">
        <v>#N/A</v>
      </c>
      <c r="AP46" s="314" t="e">
        <v>#N/A</v>
      </c>
    </row>
    <row r="47" spans="1:42">
      <c r="A47" s="547">
        <f t="shared" si="0"/>
        <v>1989</v>
      </c>
      <c r="B47" s="578">
        <v>32781</v>
      </c>
      <c r="C47" s="314">
        <v>21201</v>
      </c>
      <c r="D47" s="314">
        <v>29930</v>
      </c>
      <c r="E47" s="314">
        <v>113122</v>
      </c>
      <c r="F47" s="314" t="e">
        <v>#N/A</v>
      </c>
      <c r="G47" s="314" t="e">
        <v>#N/A</v>
      </c>
      <c r="H47" s="314" t="e">
        <v>#N/A</v>
      </c>
      <c r="I47" s="314" t="e">
        <v>#N/A</v>
      </c>
      <c r="J47" s="314" t="e">
        <v>#N/A</v>
      </c>
      <c r="K47" s="314" t="e">
        <v>#N/A</v>
      </c>
      <c r="L47" s="314" t="e">
        <v>#N/A</v>
      </c>
      <c r="M47" s="314" t="e">
        <v>#N/A</v>
      </c>
      <c r="N47" s="314" t="e">
        <v>#N/A</v>
      </c>
      <c r="O47" s="314" t="e">
        <v>#N/A</v>
      </c>
      <c r="P47" s="314" t="e">
        <v>#N/A</v>
      </c>
      <c r="Q47" s="314" t="e">
        <v>#N/A</v>
      </c>
      <c r="R47" s="314" t="e">
        <v>#N/A</v>
      </c>
      <c r="S47" s="314" t="e">
        <v>#N/A</v>
      </c>
      <c r="T47" s="314" t="e">
        <v>#N/A</v>
      </c>
      <c r="U47" s="314" t="e">
        <v>#N/A</v>
      </c>
      <c r="V47" s="314" t="e">
        <v>#N/A</v>
      </c>
      <c r="W47" s="314" t="e">
        <v>#N/A</v>
      </c>
      <c r="X47" s="314" t="e">
        <v>#N/A</v>
      </c>
      <c r="Y47" s="314" t="e">
        <v>#N/A</v>
      </c>
      <c r="Z47" s="314" t="e">
        <v>#N/A</v>
      </c>
      <c r="AA47" s="314" t="e">
        <v>#N/A</v>
      </c>
      <c r="AB47" s="314" t="e">
        <v>#N/A</v>
      </c>
      <c r="AC47" s="314" t="e">
        <v>#N/A</v>
      </c>
      <c r="AD47" s="314" t="e">
        <v>#N/A</v>
      </c>
      <c r="AE47" s="314" t="e">
        <v>#N/A</v>
      </c>
      <c r="AF47" s="314" t="e">
        <v>#N/A</v>
      </c>
      <c r="AG47" s="314" t="e">
        <v>#N/A</v>
      </c>
      <c r="AH47" s="314" t="e">
        <v>#N/A</v>
      </c>
      <c r="AI47" s="314" t="e">
        <v>#N/A</v>
      </c>
      <c r="AJ47" s="314" t="e">
        <v>#N/A</v>
      </c>
      <c r="AK47" s="314" t="e">
        <v>#N/A</v>
      </c>
      <c r="AL47" s="314" t="e">
        <v>#N/A</v>
      </c>
      <c r="AM47" s="314" t="e">
        <v>#N/A</v>
      </c>
      <c r="AN47" s="314" t="e">
        <v>#N/A</v>
      </c>
      <c r="AO47" s="314" t="e">
        <v>#N/A</v>
      </c>
      <c r="AP47" s="314" t="e">
        <v>#N/A</v>
      </c>
    </row>
    <row r="48" spans="1:42">
      <c r="A48" s="547">
        <f t="shared" si="0"/>
        <v>1989</v>
      </c>
      <c r="B48" s="578">
        <v>32812</v>
      </c>
      <c r="C48" s="314">
        <v>60643</v>
      </c>
      <c r="D48" s="314">
        <v>105672</v>
      </c>
      <c r="E48" s="314">
        <v>99153</v>
      </c>
      <c r="F48" s="314" t="e">
        <v>#N/A</v>
      </c>
      <c r="G48" s="314" t="e">
        <v>#N/A</v>
      </c>
      <c r="H48" s="314" t="e">
        <v>#N/A</v>
      </c>
      <c r="I48" s="314" t="e">
        <v>#N/A</v>
      </c>
      <c r="J48" s="314" t="e">
        <v>#N/A</v>
      </c>
      <c r="K48" s="314" t="e">
        <v>#N/A</v>
      </c>
      <c r="L48" s="314" t="e">
        <v>#N/A</v>
      </c>
      <c r="M48" s="314" t="e">
        <v>#N/A</v>
      </c>
      <c r="N48" s="314" t="e">
        <v>#N/A</v>
      </c>
      <c r="O48" s="314" t="e">
        <v>#N/A</v>
      </c>
      <c r="P48" s="314" t="e">
        <v>#N/A</v>
      </c>
      <c r="Q48" s="314" t="e">
        <v>#N/A</v>
      </c>
      <c r="R48" s="314" t="e">
        <v>#N/A</v>
      </c>
      <c r="S48" s="314" t="e">
        <v>#N/A</v>
      </c>
      <c r="T48" s="314" t="e">
        <v>#N/A</v>
      </c>
      <c r="U48" s="314" t="e">
        <v>#N/A</v>
      </c>
      <c r="V48" s="314" t="e">
        <v>#N/A</v>
      </c>
      <c r="W48" s="314" t="e">
        <v>#N/A</v>
      </c>
      <c r="X48" s="314" t="e">
        <v>#N/A</v>
      </c>
      <c r="Y48" s="314" t="e">
        <v>#N/A</v>
      </c>
      <c r="Z48" s="314" t="e">
        <v>#N/A</v>
      </c>
      <c r="AA48" s="314" t="e">
        <v>#N/A</v>
      </c>
      <c r="AB48" s="314" t="e">
        <v>#N/A</v>
      </c>
      <c r="AC48" s="314" t="e">
        <v>#N/A</v>
      </c>
      <c r="AD48" s="314" t="e">
        <v>#N/A</v>
      </c>
      <c r="AE48" s="314" t="e">
        <v>#N/A</v>
      </c>
      <c r="AF48" s="314" t="e">
        <v>#N/A</v>
      </c>
      <c r="AG48" s="314" t="e">
        <v>#N/A</v>
      </c>
      <c r="AH48" s="314" t="e">
        <v>#N/A</v>
      </c>
      <c r="AI48" s="314" t="e">
        <v>#N/A</v>
      </c>
      <c r="AJ48" s="314" t="e">
        <v>#N/A</v>
      </c>
      <c r="AK48" s="314" t="e">
        <v>#N/A</v>
      </c>
      <c r="AL48" s="314" t="e">
        <v>#N/A</v>
      </c>
      <c r="AM48" s="314" t="e">
        <v>#N/A</v>
      </c>
      <c r="AN48" s="314" t="e">
        <v>#N/A</v>
      </c>
      <c r="AO48" s="314" t="e">
        <v>#N/A</v>
      </c>
      <c r="AP48" s="314" t="e">
        <v>#N/A</v>
      </c>
    </row>
    <row r="49" spans="1:42">
      <c r="A49" s="547">
        <f t="shared" si="0"/>
        <v>1989</v>
      </c>
      <c r="B49" s="578">
        <v>32842</v>
      </c>
      <c r="C49" s="314">
        <v>47066</v>
      </c>
      <c r="D49" s="314">
        <v>62662</v>
      </c>
      <c r="E49" s="314">
        <v>87966</v>
      </c>
      <c r="F49" s="314" t="e">
        <v>#N/A</v>
      </c>
      <c r="G49" s="314" t="e">
        <v>#N/A</v>
      </c>
      <c r="H49" s="314" t="e">
        <v>#N/A</v>
      </c>
      <c r="I49" s="314" t="e">
        <v>#N/A</v>
      </c>
      <c r="J49" s="314" t="e">
        <v>#N/A</v>
      </c>
      <c r="K49" s="314" t="e">
        <v>#N/A</v>
      </c>
      <c r="L49" s="314" t="e">
        <v>#N/A</v>
      </c>
      <c r="M49" s="314" t="e">
        <v>#N/A</v>
      </c>
      <c r="N49" s="314" t="e">
        <v>#N/A</v>
      </c>
      <c r="O49" s="314" t="e">
        <v>#N/A</v>
      </c>
      <c r="P49" s="314" t="e">
        <v>#N/A</v>
      </c>
      <c r="Q49" s="314" t="e">
        <v>#N/A</v>
      </c>
      <c r="R49" s="314" t="e">
        <v>#N/A</v>
      </c>
      <c r="S49" s="314" t="e">
        <v>#N/A</v>
      </c>
      <c r="T49" s="314" t="e">
        <v>#N/A</v>
      </c>
      <c r="U49" s="314" t="e">
        <v>#N/A</v>
      </c>
      <c r="V49" s="314" t="e">
        <v>#N/A</v>
      </c>
      <c r="W49" s="314" t="e">
        <v>#N/A</v>
      </c>
      <c r="X49" s="314" t="e">
        <v>#N/A</v>
      </c>
      <c r="Y49" s="314" t="e">
        <v>#N/A</v>
      </c>
      <c r="Z49" s="314" t="e">
        <v>#N/A</v>
      </c>
      <c r="AA49" s="314" t="e">
        <v>#N/A</v>
      </c>
      <c r="AB49" s="314" t="e">
        <v>#N/A</v>
      </c>
      <c r="AC49" s="314" t="e">
        <v>#N/A</v>
      </c>
      <c r="AD49" s="314" t="e">
        <v>#N/A</v>
      </c>
      <c r="AE49" s="314" t="e">
        <v>#N/A</v>
      </c>
      <c r="AF49" s="314" t="e">
        <v>#N/A</v>
      </c>
      <c r="AG49" s="314" t="e">
        <v>#N/A</v>
      </c>
      <c r="AH49" s="314" t="e">
        <v>#N/A</v>
      </c>
      <c r="AI49" s="314" t="e">
        <v>#N/A</v>
      </c>
      <c r="AJ49" s="314" t="e">
        <v>#N/A</v>
      </c>
      <c r="AK49" s="314" t="e">
        <v>#N/A</v>
      </c>
      <c r="AL49" s="314" t="e">
        <v>#N/A</v>
      </c>
      <c r="AM49" s="314" t="e">
        <v>#N/A</v>
      </c>
      <c r="AN49" s="314" t="e">
        <v>#N/A</v>
      </c>
      <c r="AO49" s="314" t="e">
        <v>#N/A</v>
      </c>
      <c r="AP49" s="314" t="e">
        <v>#N/A</v>
      </c>
    </row>
    <row r="50" spans="1:42">
      <c r="A50" s="547">
        <f t="shared" si="0"/>
        <v>1989</v>
      </c>
      <c r="B50" s="578">
        <v>32873</v>
      </c>
      <c r="C50" s="314">
        <v>22495</v>
      </c>
      <c r="D50" s="314">
        <v>44316</v>
      </c>
      <c r="E50" s="314">
        <v>70853</v>
      </c>
      <c r="F50" s="314" t="e">
        <v>#N/A</v>
      </c>
      <c r="G50" s="314" t="e">
        <v>#N/A</v>
      </c>
      <c r="H50" s="314" t="e">
        <v>#N/A</v>
      </c>
      <c r="I50" s="314" t="e">
        <v>#N/A</v>
      </c>
      <c r="J50" s="314" t="e">
        <v>#N/A</v>
      </c>
      <c r="K50" s="314" t="e">
        <v>#N/A</v>
      </c>
      <c r="L50" s="314" t="e">
        <v>#N/A</v>
      </c>
      <c r="M50" s="314" t="e">
        <v>#N/A</v>
      </c>
      <c r="N50" s="314" t="e">
        <v>#N/A</v>
      </c>
      <c r="O50" s="314" t="e">
        <v>#N/A</v>
      </c>
      <c r="P50" s="314" t="e">
        <v>#N/A</v>
      </c>
      <c r="Q50" s="314" t="e">
        <v>#N/A</v>
      </c>
      <c r="R50" s="314" t="e">
        <v>#N/A</v>
      </c>
      <c r="S50" s="314" t="e">
        <v>#N/A</v>
      </c>
      <c r="T50" s="314" t="e">
        <v>#N/A</v>
      </c>
      <c r="U50" s="314" t="e">
        <v>#N/A</v>
      </c>
      <c r="V50" s="314" t="e">
        <v>#N/A</v>
      </c>
      <c r="W50" s="314" t="e">
        <v>#N/A</v>
      </c>
      <c r="X50" s="314" t="e">
        <v>#N/A</v>
      </c>
      <c r="Y50" s="314" t="e">
        <v>#N/A</v>
      </c>
      <c r="Z50" s="314" t="e">
        <v>#N/A</v>
      </c>
      <c r="AA50" s="314" t="e">
        <v>#N/A</v>
      </c>
      <c r="AB50" s="314" t="e">
        <v>#N/A</v>
      </c>
      <c r="AC50" s="314" t="e">
        <v>#N/A</v>
      </c>
      <c r="AD50" s="314" t="e">
        <v>#N/A</v>
      </c>
      <c r="AE50" s="314" t="e">
        <v>#N/A</v>
      </c>
      <c r="AF50" s="314" t="e">
        <v>#N/A</v>
      </c>
      <c r="AG50" s="314" t="e">
        <v>#N/A</v>
      </c>
      <c r="AH50" s="314" t="e">
        <v>#N/A</v>
      </c>
      <c r="AI50" s="314" t="e">
        <v>#N/A</v>
      </c>
      <c r="AJ50" s="314" t="e">
        <v>#N/A</v>
      </c>
      <c r="AK50" s="314" t="e">
        <v>#N/A</v>
      </c>
      <c r="AL50" s="314" t="e">
        <v>#N/A</v>
      </c>
      <c r="AM50" s="314" t="e">
        <v>#N/A</v>
      </c>
      <c r="AN50" s="314" t="e">
        <v>#N/A</v>
      </c>
      <c r="AO50" s="314" t="e">
        <v>#N/A</v>
      </c>
      <c r="AP50" s="314" t="e">
        <v>#N/A</v>
      </c>
    </row>
    <row r="51" spans="1:42">
      <c r="A51" s="547">
        <f t="shared" si="0"/>
        <v>1990</v>
      </c>
      <c r="B51" s="578">
        <v>32904</v>
      </c>
      <c r="C51" s="314">
        <v>47307</v>
      </c>
      <c r="D51" s="314">
        <v>46592</v>
      </c>
      <c r="E51" s="314">
        <v>77752</v>
      </c>
      <c r="F51" s="314" t="e">
        <v>#N/A</v>
      </c>
      <c r="G51" s="314" t="e">
        <v>#N/A</v>
      </c>
      <c r="H51" s="314" t="e">
        <v>#N/A</v>
      </c>
      <c r="I51" s="314" t="e">
        <v>#N/A</v>
      </c>
      <c r="J51" s="314" t="e">
        <v>#N/A</v>
      </c>
      <c r="K51" s="314" t="e">
        <v>#N/A</v>
      </c>
      <c r="L51" s="314" t="e">
        <v>#N/A</v>
      </c>
      <c r="M51" s="314" t="e">
        <v>#N/A</v>
      </c>
      <c r="N51" s="314" t="e">
        <v>#N/A</v>
      </c>
      <c r="O51" s="314" t="e">
        <v>#N/A</v>
      </c>
      <c r="P51" s="314" t="e">
        <v>#N/A</v>
      </c>
      <c r="Q51" s="314" t="e">
        <v>#N/A</v>
      </c>
      <c r="R51" s="314" t="e">
        <v>#N/A</v>
      </c>
      <c r="S51" s="314" t="e">
        <v>#N/A</v>
      </c>
      <c r="T51" s="314" t="e">
        <v>#N/A</v>
      </c>
      <c r="U51" s="314" t="e">
        <v>#N/A</v>
      </c>
      <c r="V51" s="314" t="e">
        <v>#N/A</v>
      </c>
      <c r="W51" s="314" t="e">
        <v>#N/A</v>
      </c>
      <c r="X51" s="314" t="e">
        <v>#N/A</v>
      </c>
      <c r="Y51" s="314" t="e">
        <v>#N/A</v>
      </c>
      <c r="Z51" s="314" t="e">
        <v>#N/A</v>
      </c>
      <c r="AA51" s="314" t="e">
        <v>#N/A</v>
      </c>
      <c r="AB51" s="314" t="e">
        <v>#N/A</v>
      </c>
      <c r="AC51" s="314" t="e">
        <v>#N/A</v>
      </c>
      <c r="AD51" s="314" t="e">
        <v>#N/A</v>
      </c>
      <c r="AE51" s="314" t="e">
        <v>#N/A</v>
      </c>
      <c r="AF51" s="314" t="e">
        <v>#N/A</v>
      </c>
      <c r="AG51" s="314" t="e">
        <v>#N/A</v>
      </c>
      <c r="AH51" s="314" t="e">
        <v>#N/A</v>
      </c>
      <c r="AI51" s="314" t="e">
        <v>#N/A</v>
      </c>
      <c r="AJ51" s="314" t="e">
        <v>#N/A</v>
      </c>
      <c r="AK51" s="314" t="e">
        <v>#N/A</v>
      </c>
      <c r="AL51" s="314" t="e">
        <v>#N/A</v>
      </c>
      <c r="AM51" s="314" t="e">
        <v>#N/A</v>
      </c>
      <c r="AN51" s="314" t="e">
        <v>#N/A</v>
      </c>
      <c r="AO51" s="314" t="e">
        <v>#N/A</v>
      </c>
      <c r="AP51" s="314" t="e">
        <v>#N/A</v>
      </c>
    </row>
    <row r="52" spans="1:42">
      <c r="A52" s="547">
        <f t="shared" si="0"/>
        <v>1990</v>
      </c>
      <c r="B52" s="578">
        <v>32932</v>
      </c>
      <c r="C52" s="314">
        <v>62838</v>
      </c>
      <c r="D52" s="314">
        <v>48011</v>
      </c>
      <c r="E52" s="314">
        <v>122651</v>
      </c>
      <c r="F52" s="314" t="e">
        <v>#N/A</v>
      </c>
      <c r="G52" s="314" t="e">
        <v>#N/A</v>
      </c>
      <c r="H52" s="314" t="e">
        <v>#N/A</v>
      </c>
      <c r="I52" s="314" t="e">
        <v>#N/A</v>
      </c>
      <c r="J52" s="314" t="e">
        <v>#N/A</v>
      </c>
      <c r="K52" s="314" t="e">
        <v>#N/A</v>
      </c>
      <c r="L52" s="314" t="e">
        <v>#N/A</v>
      </c>
      <c r="M52" s="314" t="e">
        <v>#N/A</v>
      </c>
      <c r="N52" s="314" t="e">
        <v>#N/A</v>
      </c>
      <c r="O52" s="314" t="e">
        <v>#N/A</v>
      </c>
      <c r="P52" s="314" t="e">
        <v>#N/A</v>
      </c>
      <c r="Q52" s="314" t="e">
        <v>#N/A</v>
      </c>
      <c r="R52" s="314" t="e">
        <v>#N/A</v>
      </c>
      <c r="S52" s="314" t="e">
        <v>#N/A</v>
      </c>
      <c r="T52" s="314" t="e">
        <v>#N/A</v>
      </c>
      <c r="U52" s="314" t="e">
        <v>#N/A</v>
      </c>
      <c r="V52" s="314" t="e">
        <v>#N/A</v>
      </c>
      <c r="W52" s="314" t="e">
        <v>#N/A</v>
      </c>
      <c r="X52" s="314" t="e">
        <v>#N/A</v>
      </c>
      <c r="Y52" s="314" t="e">
        <v>#N/A</v>
      </c>
      <c r="Z52" s="314" t="e">
        <v>#N/A</v>
      </c>
      <c r="AA52" s="314" t="e">
        <v>#N/A</v>
      </c>
      <c r="AB52" s="314" t="e">
        <v>#N/A</v>
      </c>
      <c r="AC52" s="314" t="e">
        <v>#N/A</v>
      </c>
      <c r="AD52" s="314" t="e">
        <v>#N/A</v>
      </c>
      <c r="AE52" s="314" t="e">
        <v>#N/A</v>
      </c>
      <c r="AF52" s="314" t="e">
        <v>#N/A</v>
      </c>
      <c r="AG52" s="314" t="e">
        <v>#N/A</v>
      </c>
      <c r="AH52" s="314" t="e">
        <v>#N/A</v>
      </c>
      <c r="AI52" s="314" t="e">
        <v>#N/A</v>
      </c>
      <c r="AJ52" s="314" t="e">
        <v>#N/A</v>
      </c>
      <c r="AK52" s="314" t="e">
        <v>#N/A</v>
      </c>
      <c r="AL52" s="314" t="e">
        <v>#N/A</v>
      </c>
      <c r="AM52" s="314" t="e">
        <v>#N/A</v>
      </c>
      <c r="AN52" s="314" t="e">
        <v>#N/A</v>
      </c>
      <c r="AO52" s="314" t="e">
        <v>#N/A</v>
      </c>
      <c r="AP52" s="314" t="e">
        <v>#N/A</v>
      </c>
    </row>
    <row r="53" spans="1:42">
      <c r="A53" s="547">
        <f t="shared" si="0"/>
        <v>1990</v>
      </c>
      <c r="B53" s="578">
        <v>32963</v>
      </c>
      <c r="C53" s="314">
        <v>23714</v>
      </c>
      <c r="D53" s="314">
        <v>15935</v>
      </c>
      <c r="E53" s="314">
        <v>135250</v>
      </c>
      <c r="F53" s="314" t="e">
        <v>#N/A</v>
      </c>
      <c r="G53" s="314" t="e">
        <v>#N/A</v>
      </c>
      <c r="H53" s="314" t="e">
        <v>#N/A</v>
      </c>
      <c r="I53" s="314" t="e">
        <v>#N/A</v>
      </c>
      <c r="J53" s="314" t="e">
        <v>#N/A</v>
      </c>
      <c r="K53" s="314" t="e">
        <v>#N/A</v>
      </c>
      <c r="L53" s="314" t="e">
        <v>#N/A</v>
      </c>
      <c r="M53" s="314" t="e">
        <v>#N/A</v>
      </c>
      <c r="N53" s="314" t="e">
        <v>#N/A</v>
      </c>
      <c r="O53" s="314" t="e">
        <v>#N/A</v>
      </c>
      <c r="P53" s="314" t="e">
        <v>#N/A</v>
      </c>
      <c r="Q53" s="314" t="e">
        <v>#N/A</v>
      </c>
      <c r="R53" s="314" t="e">
        <v>#N/A</v>
      </c>
      <c r="S53" s="314" t="e">
        <v>#N/A</v>
      </c>
      <c r="T53" s="314" t="e">
        <v>#N/A</v>
      </c>
      <c r="U53" s="314" t="e">
        <v>#N/A</v>
      </c>
      <c r="V53" s="314" t="e">
        <v>#N/A</v>
      </c>
      <c r="W53" s="314" t="e">
        <v>#N/A</v>
      </c>
      <c r="X53" s="314" t="e">
        <v>#N/A</v>
      </c>
      <c r="Y53" s="314" t="e">
        <v>#N/A</v>
      </c>
      <c r="Z53" s="314" t="e">
        <v>#N/A</v>
      </c>
      <c r="AA53" s="314" t="e">
        <v>#N/A</v>
      </c>
      <c r="AB53" s="314" t="e">
        <v>#N/A</v>
      </c>
      <c r="AC53" s="314" t="e">
        <v>#N/A</v>
      </c>
      <c r="AD53" s="314" t="e">
        <v>#N/A</v>
      </c>
      <c r="AE53" s="314" t="e">
        <v>#N/A</v>
      </c>
      <c r="AF53" s="314" t="e">
        <v>#N/A</v>
      </c>
      <c r="AG53" s="314" t="e">
        <v>#N/A</v>
      </c>
      <c r="AH53" s="314" t="e">
        <v>#N/A</v>
      </c>
      <c r="AI53" s="314" t="e">
        <v>#N/A</v>
      </c>
      <c r="AJ53" s="314" t="e">
        <v>#N/A</v>
      </c>
      <c r="AK53" s="314" t="e">
        <v>#N/A</v>
      </c>
      <c r="AL53" s="314" t="e">
        <v>#N/A</v>
      </c>
      <c r="AM53" s="314" t="e">
        <v>#N/A</v>
      </c>
      <c r="AN53" s="314" t="e">
        <v>#N/A</v>
      </c>
      <c r="AO53" s="314" t="e">
        <v>#N/A</v>
      </c>
      <c r="AP53" s="314" t="e">
        <v>#N/A</v>
      </c>
    </row>
    <row r="54" spans="1:42">
      <c r="A54" s="547">
        <f t="shared" si="0"/>
        <v>1990</v>
      </c>
      <c r="B54" s="578">
        <v>32993</v>
      </c>
      <c r="C54" s="314">
        <v>34908</v>
      </c>
      <c r="D54" s="314">
        <v>22078</v>
      </c>
      <c r="E54" s="314">
        <v>63311</v>
      </c>
      <c r="F54" s="314" t="e">
        <v>#N/A</v>
      </c>
      <c r="G54" s="314" t="e">
        <v>#N/A</v>
      </c>
      <c r="H54" s="314" t="e">
        <v>#N/A</v>
      </c>
      <c r="I54" s="314" t="e">
        <v>#N/A</v>
      </c>
      <c r="J54" s="314" t="e">
        <v>#N/A</v>
      </c>
      <c r="K54" s="314" t="e">
        <v>#N/A</v>
      </c>
      <c r="L54" s="314" t="e">
        <v>#N/A</v>
      </c>
      <c r="M54" s="314" t="e">
        <v>#N/A</v>
      </c>
      <c r="N54" s="314" t="e">
        <v>#N/A</v>
      </c>
      <c r="O54" s="314" t="e">
        <v>#N/A</v>
      </c>
      <c r="P54" s="314" t="e">
        <v>#N/A</v>
      </c>
      <c r="Q54" s="314" t="e">
        <v>#N/A</v>
      </c>
      <c r="R54" s="314" t="e">
        <v>#N/A</v>
      </c>
      <c r="S54" s="314" t="e">
        <v>#N/A</v>
      </c>
      <c r="T54" s="314" t="e">
        <v>#N/A</v>
      </c>
      <c r="U54" s="314" t="e">
        <v>#N/A</v>
      </c>
      <c r="V54" s="314" t="e">
        <v>#N/A</v>
      </c>
      <c r="W54" s="314" t="e">
        <v>#N/A</v>
      </c>
      <c r="X54" s="314" t="e">
        <v>#N/A</v>
      </c>
      <c r="Y54" s="314" t="e">
        <v>#N/A</v>
      </c>
      <c r="Z54" s="314" t="e">
        <v>#N/A</v>
      </c>
      <c r="AA54" s="314" t="e">
        <v>#N/A</v>
      </c>
      <c r="AB54" s="314" t="e">
        <v>#N/A</v>
      </c>
      <c r="AC54" s="314" t="e">
        <v>#N/A</v>
      </c>
      <c r="AD54" s="314" t="e">
        <v>#N/A</v>
      </c>
      <c r="AE54" s="314" t="e">
        <v>#N/A</v>
      </c>
      <c r="AF54" s="314" t="e">
        <v>#N/A</v>
      </c>
      <c r="AG54" s="314" t="e">
        <v>#N/A</v>
      </c>
      <c r="AH54" s="314" t="e">
        <v>#N/A</v>
      </c>
      <c r="AI54" s="314" t="e">
        <v>#N/A</v>
      </c>
      <c r="AJ54" s="314" t="e">
        <v>#N/A</v>
      </c>
      <c r="AK54" s="314" t="e">
        <v>#N/A</v>
      </c>
      <c r="AL54" s="314" t="e">
        <v>#N/A</v>
      </c>
      <c r="AM54" s="314" t="e">
        <v>#N/A</v>
      </c>
      <c r="AN54" s="314" t="e">
        <v>#N/A</v>
      </c>
      <c r="AO54" s="314" t="e">
        <v>#N/A</v>
      </c>
      <c r="AP54" s="314" t="e">
        <v>#N/A</v>
      </c>
    </row>
    <row r="55" spans="1:42">
      <c r="A55" s="547">
        <f t="shared" si="0"/>
        <v>1990</v>
      </c>
      <c r="B55" s="578">
        <v>33024</v>
      </c>
      <c r="C55" s="314">
        <v>39932</v>
      </c>
      <c r="D55" s="314">
        <v>50790</v>
      </c>
      <c r="E55" s="314">
        <v>112645</v>
      </c>
      <c r="F55" s="314" t="e">
        <v>#N/A</v>
      </c>
      <c r="G55" s="314" t="e">
        <v>#N/A</v>
      </c>
      <c r="H55" s="314" t="e">
        <v>#N/A</v>
      </c>
      <c r="I55" s="314" t="e">
        <v>#N/A</v>
      </c>
      <c r="J55" s="314" t="e">
        <v>#N/A</v>
      </c>
      <c r="K55" s="314" t="e">
        <v>#N/A</v>
      </c>
      <c r="L55" s="314" t="e">
        <v>#N/A</v>
      </c>
      <c r="M55" s="314" t="e">
        <v>#N/A</v>
      </c>
      <c r="N55" s="314" t="e">
        <v>#N/A</v>
      </c>
      <c r="O55" s="314" t="e">
        <v>#N/A</v>
      </c>
      <c r="P55" s="314" t="e">
        <v>#N/A</v>
      </c>
      <c r="Q55" s="314" t="e">
        <v>#N/A</v>
      </c>
      <c r="R55" s="314" t="e">
        <v>#N/A</v>
      </c>
      <c r="S55" s="314" t="e">
        <v>#N/A</v>
      </c>
      <c r="T55" s="314" t="e">
        <v>#N/A</v>
      </c>
      <c r="U55" s="314" t="e">
        <v>#N/A</v>
      </c>
      <c r="V55" s="314" t="e">
        <v>#N/A</v>
      </c>
      <c r="W55" s="314" t="e">
        <v>#N/A</v>
      </c>
      <c r="X55" s="314" t="e">
        <v>#N/A</v>
      </c>
      <c r="Y55" s="314" t="e">
        <v>#N/A</v>
      </c>
      <c r="Z55" s="314" t="e">
        <v>#N/A</v>
      </c>
      <c r="AA55" s="314" t="e">
        <v>#N/A</v>
      </c>
      <c r="AB55" s="314" t="e">
        <v>#N/A</v>
      </c>
      <c r="AC55" s="314" t="e">
        <v>#N/A</v>
      </c>
      <c r="AD55" s="314" t="e">
        <v>#N/A</v>
      </c>
      <c r="AE55" s="314" t="e">
        <v>#N/A</v>
      </c>
      <c r="AF55" s="314" t="e">
        <v>#N/A</v>
      </c>
      <c r="AG55" s="314" t="e">
        <v>#N/A</v>
      </c>
      <c r="AH55" s="314" t="e">
        <v>#N/A</v>
      </c>
      <c r="AI55" s="314" t="e">
        <v>#N/A</v>
      </c>
      <c r="AJ55" s="314" t="e">
        <v>#N/A</v>
      </c>
      <c r="AK55" s="314" t="e">
        <v>#N/A</v>
      </c>
      <c r="AL55" s="314" t="e">
        <v>#N/A</v>
      </c>
      <c r="AM55" s="314" t="e">
        <v>#N/A</v>
      </c>
      <c r="AN55" s="314" t="e">
        <v>#N/A</v>
      </c>
      <c r="AO55" s="314" t="e">
        <v>#N/A</v>
      </c>
      <c r="AP55" s="314" t="e">
        <v>#N/A</v>
      </c>
    </row>
    <row r="56" spans="1:42">
      <c r="A56" s="547">
        <f t="shared" si="0"/>
        <v>1990</v>
      </c>
      <c r="B56" s="578">
        <v>33054</v>
      </c>
      <c r="C56" s="314">
        <v>39932</v>
      </c>
      <c r="D56" s="314">
        <v>50790</v>
      </c>
      <c r="E56" s="314">
        <v>112645</v>
      </c>
      <c r="F56" s="314" t="e">
        <v>#N/A</v>
      </c>
      <c r="G56" s="314" t="e">
        <v>#N/A</v>
      </c>
      <c r="H56" s="314" t="e">
        <v>#N/A</v>
      </c>
      <c r="I56" s="314" t="e">
        <v>#N/A</v>
      </c>
      <c r="J56" s="314" t="e">
        <v>#N/A</v>
      </c>
      <c r="K56" s="314" t="e">
        <v>#N/A</v>
      </c>
      <c r="L56" s="314" t="e">
        <v>#N/A</v>
      </c>
      <c r="M56" s="314" t="e">
        <v>#N/A</v>
      </c>
      <c r="N56" s="314" t="e">
        <v>#N/A</v>
      </c>
      <c r="O56" s="314" t="e">
        <v>#N/A</v>
      </c>
      <c r="P56" s="314" t="e">
        <v>#N/A</v>
      </c>
      <c r="Q56" s="314" t="e">
        <v>#N/A</v>
      </c>
      <c r="R56" s="314" t="e">
        <v>#N/A</v>
      </c>
      <c r="S56" s="314" t="e">
        <v>#N/A</v>
      </c>
      <c r="T56" s="314" t="e">
        <v>#N/A</v>
      </c>
      <c r="U56" s="314" t="e">
        <v>#N/A</v>
      </c>
      <c r="V56" s="314" t="e">
        <v>#N/A</v>
      </c>
      <c r="W56" s="314" t="e">
        <v>#N/A</v>
      </c>
      <c r="X56" s="314" t="e">
        <v>#N/A</v>
      </c>
      <c r="Y56" s="314" t="e">
        <v>#N/A</v>
      </c>
      <c r="Z56" s="314" t="e">
        <v>#N/A</v>
      </c>
      <c r="AA56" s="314" t="e">
        <v>#N/A</v>
      </c>
      <c r="AB56" s="314" t="e">
        <v>#N/A</v>
      </c>
      <c r="AC56" s="314" t="e">
        <v>#N/A</v>
      </c>
      <c r="AD56" s="314" t="e">
        <v>#N/A</v>
      </c>
      <c r="AE56" s="314" t="e">
        <v>#N/A</v>
      </c>
      <c r="AF56" s="314" t="e">
        <v>#N/A</v>
      </c>
      <c r="AG56" s="314" t="e">
        <v>#N/A</v>
      </c>
      <c r="AH56" s="314" t="e">
        <v>#N/A</v>
      </c>
      <c r="AI56" s="314" t="e">
        <v>#N/A</v>
      </c>
      <c r="AJ56" s="314" t="e">
        <v>#N/A</v>
      </c>
      <c r="AK56" s="314" t="e">
        <v>#N/A</v>
      </c>
      <c r="AL56" s="314" t="e">
        <v>#N/A</v>
      </c>
      <c r="AM56" s="314" t="e">
        <v>#N/A</v>
      </c>
      <c r="AN56" s="314" t="e">
        <v>#N/A</v>
      </c>
      <c r="AO56" s="314" t="e">
        <v>#N/A</v>
      </c>
      <c r="AP56" s="314" t="e">
        <v>#N/A</v>
      </c>
    </row>
    <row r="57" spans="1:42">
      <c r="A57" s="547">
        <f t="shared" si="0"/>
        <v>1990</v>
      </c>
      <c r="B57" s="578">
        <v>33085</v>
      </c>
      <c r="C57" s="314">
        <v>64802</v>
      </c>
      <c r="D57" s="314">
        <v>34594</v>
      </c>
      <c r="E57" s="314">
        <v>102566</v>
      </c>
      <c r="F57" s="314" t="e">
        <v>#N/A</v>
      </c>
      <c r="G57" s="314" t="e">
        <v>#N/A</v>
      </c>
      <c r="H57" s="314" t="e">
        <v>#N/A</v>
      </c>
      <c r="I57" s="314" t="e">
        <v>#N/A</v>
      </c>
      <c r="J57" s="314" t="e">
        <v>#N/A</v>
      </c>
      <c r="K57" s="314" t="e">
        <v>#N/A</v>
      </c>
      <c r="L57" s="314" t="e">
        <v>#N/A</v>
      </c>
      <c r="M57" s="314" t="e">
        <v>#N/A</v>
      </c>
      <c r="N57" s="314" t="e">
        <v>#N/A</v>
      </c>
      <c r="O57" s="314" t="e">
        <v>#N/A</v>
      </c>
      <c r="P57" s="314" t="e">
        <v>#N/A</v>
      </c>
      <c r="Q57" s="314" t="e">
        <v>#N/A</v>
      </c>
      <c r="R57" s="314" t="e">
        <v>#N/A</v>
      </c>
      <c r="S57" s="314" t="e">
        <v>#N/A</v>
      </c>
      <c r="T57" s="314" t="e">
        <v>#N/A</v>
      </c>
      <c r="U57" s="314" t="e">
        <v>#N/A</v>
      </c>
      <c r="V57" s="314" t="e">
        <v>#N/A</v>
      </c>
      <c r="W57" s="314" t="e">
        <v>#N/A</v>
      </c>
      <c r="X57" s="314" t="e">
        <v>#N/A</v>
      </c>
      <c r="Y57" s="314" t="e">
        <v>#N/A</v>
      </c>
      <c r="Z57" s="314" t="e">
        <v>#N/A</v>
      </c>
      <c r="AA57" s="314" t="e">
        <v>#N/A</v>
      </c>
      <c r="AB57" s="314" t="e">
        <v>#N/A</v>
      </c>
      <c r="AC57" s="314" t="e">
        <v>#N/A</v>
      </c>
      <c r="AD57" s="314" t="e">
        <v>#N/A</v>
      </c>
      <c r="AE57" s="314" t="e">
        <v>#N/A</v>
      </c>
      <c r="AF57" s="314" t="e">
        <v>#N/A</v>
      </c>
      <c r="AG57" s="314" t="e">
        <v>#N/A</v>
      </c>
      <c r="AH57" s="314" t="e">
        <v>#N/A</v>
      </c>
      <c r="AI57" s="314" t="e">
        <v>#N/A</v>
      </c>
      <c r="AJ57" s="314" t="e">
        <v>#N/A</v>
      </c>
      <c r="AK57" s="314" t="e">
        <v>#N/A</v>
      </c>
      <c r="AL57" s="314" t="e">
        <v>#N/A</v>
      </c>
      <c r="AM57" s="314" t="e">
        <v>#N/A</v>
      </c>
      <c r="AN57" s="314" t="e">
        <v>#N/A</v>
      </c>
      <c r="AO57" s="314" t="e">
        <v>#N/A</v>
      </c>
      <c r="AP57" s="314" t="e">
        <v>#N/A</v>
      </c>
    </row>
    <row r="58" spans="1:42">
      <c r="A58" s="547">
        <f t="shared" si="0"/>
        <v>1990</v>
      </c>
      <c r="B58" s="578">
        <v>33116</v>
      </c>
      <c r="C58" s="314">
        <v>93254</v>
      </c>
      <c r="D58" s="314">
        <v>23426</v>
      </c>
      <c r="E58" s="314">
        <v>152141</v>
      </c>
      <c r="F58" s="314" t="e">
        <v>#N/A</v>
      </c>
      <c r="G58" s="314" t="e">
        <v>#N/A</v>
      </c>
      <c r="H58" s="314" t="e">
        <v>#N/A</v>
      </c>
      <c r="I58" s="314" t="e">
        <v>#N/A</v>
      </c>
      <c r="J58" s="314" t="e">
        <v>#N/A</v>
      </c>
      <c r="K58" s="314" t="e">
        <v>#N/A</v>
      </c>
      <c r="L58" s="314" t="e">
        <v>#N/A</v>
      </c>
      <c r="M58" s="314" t="e">
        <v>#N/A</v>
      </c>
      <c r="N58" s="314" t="e">
        <v>#N/A</v>
      </c>
      <c r="O58" s="314" t="e">
        <v>#N/A</v>
      </c>
      <c r="P58" s="314" t="e">
        <v>#N/A</v>
      </c>
      <c r="Q58" s="314" t="e">
        <v>#N/A</v>
      </c>
      <c r="R58" s="314" t="e">
        <v>#N/A</v>
      </c>
      <c r="S58" s="314" t="e">
        <v>#N/A</v>
      </c>
      <c r="T58" s="314" t="e">
        <v>#N/A</v>
      </c>
      <c r="U58" s="314" t="e">
        <v>#N/A</v>
      </c>
      <c r="V58" s="314" t="e">
        <v>#N/A</v>
      </c>
      <c r="W58" s="314" t="e">
        <v>#N/A</v>
      </c>
      <c r="X58" s="314" t="e">
        <v>#N/A</v>
      </c>
      <c r="Y58" s="314" t="e">
        <v>#N/A</v>
      </c>
      <c r="Z58" s="314" t="e">
        <v>#N/A</v>
      </c>
      <c r="AA58" s="314" t="e">
        <v>#N/A</v>
      </c>
      <c r="AB58" s="314" t="e">
        <v>#N/A</v>
      </c>
      <c r="AC58" s="314" t="e">
        <v>#N/A</v>
      </c>
      <c r="AD58" s="314" t="e">
        <v>#N/A</v>
      </c>
      <c r="AE58" s="314" t="e">
        <v>#N/A</v>
      </c>
      <c r="AF58" s="314" t="e">
        <v>#N/A</v>
      </c>
      <c r="AG58" s="314" t="e">
        <v>#N/A</v>
      </c>
      <c r="AH58" s="314" t="e">
        <v>#N/A</v>
      </c>
      <c r="AI58" s="314" t="e">
        <v>#N/A</v>
      </c>
      <c r="AJ58" s="314" t="e">
        <v>#N/A</v>
      </c>
      <c r="AK58" s="314" t="e">
        <v>#N/A</v>
      </c>
      <c r="AL58" s="314" t="e">
        <v>#N/A</v>
      </c>
      <c r="AM58" s="314" t="e">
        <v>#N/A</v>
      </c>
      <c r="AN58" s="314" t="e">
        <v>#N/A</v>
      </c>
      <c r="AO58" s="314" t="e">
        <v>#N/A</v>
      </c>
      <c r="AP58" s="314" t="e">
        <v>#N/A</v>
      </c>
    </row>
    <row r="59" spans="1:42">
      <c r="A59" s="547">
        <f t="shared" si="0"/>
        <v>1990</v>
      </c>
      <c r="B59" s="578">
        <v>33146</v>
      </c>
      <c r="C59" s="314">
        <v>42616</v>
      </c>
      <c r="D59" s="314">
        <v>44989</v>
      </c>
      <c r="E59" s="314">
        <v>94097</v>
      </c>
      <c r="F59" s="314" t="e">
        <v>#N/A</v>
      </c>
      <c r="G59" s="314" t="e">
        <v>#N/A</v>
      </c>
      <c r="H59" s="314" t="e">
        <v>#N/A</v>
      </c>
      <c r="I59" s="314" t="e">
        <v>#N/A</v>
      </c>
      <c r="J59" s="314" t="e">
        <v>#N/A</v>
      </c>
      <c r="K59" s="314" t="e">
        <v>#N/A</v>
      </c>
      <c r="L59" s="314" t="e">
        <v>#N/A</v>
      </c>
      <c r="M59" s="314" t="e">
        <v>#N/A</v>
      </c>
      <c r="N59" s="314" t="e">
        <v>#N/A</v>
      </c>
      <c r="O59" s="314" t="e">
        <v>#N/A</v>
      </c>
      <c r="P59" s="314" t="e">
        <v>#N/A</v>
      </c>
      <c r="Q59" s="314" t="e">
        <v>#N/A</v>
      </c>
      <c r="R59" s="314" t="e">
        <v>#N/A</v>
      </c>
      <c r="S59" s="314" t="e">
        <v>#N/A</v>
      </c>
      <c r="T59" s="314" t="e">
        <v>#N/A</v>
      </c>
      <c r="U59" s="314" t="e">
        <v>#N/A</v>
      </c>
      <c r="V59" s="314" t="e">
        <v>#N/A</v>
      </c>
      <c r="W59" s="314" t="e">
        <v>#N/A</v>
      </c>
      <c r="X59" s="314" t="e">
        <v>#N/A</v>
      </c>
      <c r="Y59" s="314" t="e">
        <v>#N/A</v>
      </c>
      <c r="Z59" s="314" t="e">
        <v>#N/A</v>
      </c>
      <c r="AA59" s="314" t="e">
        <v>#N/A</v>
      </c>
      <c r="AB59" s="314" t="e">
        <v>#N/A</v>
      </c>
      <c r="AC59" s="314" t="e">
        <v>#N/A</v>
      </c>
      <c r="AD59" s="314" t="e">
        <v>#N/A</v>
      </c>
      <c r="AE59" s="314" t="e">
        <v>#N/A</v>
      </c>
      <c r="AF59" s="314" t="e">
        <v>#N/A</v>
      </c>
      <c r="AG59" s="314" t="e">
        <v>#N/A</v>
      </c>
      <c r="AH59" s="314" t="e">
        <v>#N/A</v>
      </c>
      <c r="AI59" s="314" t="e">
        <v>#N/A</v>
      </c>
      <c r="AJ59" s="314" t="e">
        <v>#N/A</v>
      </c>
      <c r="AK59" s="314" t="e">
        <v>#N/A</v>
      </c>
      <c r="AL59" s="314" t="e">
        <v>#N/A</v>
      </c>
      <c r="AM59" s="314" t="e">
        <v>#N/A</v>
      </c>
      <c r="AN59" s="314" t="e">
        <v>#N/A</v>
      </c>
      <c r="AO59" s="314" t="e">
        <v>#N/A</v>
      </c>
      <c r="AP59" s="314" t="e">
        <v>#N/A</v>
      </c>
    </row>
    <row r="60" spans="1:42">
      <c r="A60" s="547">
        <f t="shared" si="0"/>
        <v>1990</v>
      </c>
      <c r="B60" s="578">
        <v>33177</v>
      </c>
      <c r="C60" s="314">
        <v>57719</v>
      </c>
      <c r="D60" s="314">
        <v>35168</v>
      </c>
      <c r="E60" s="314">
        <v>104214</v>
      </c>
      <c r="F60" s="314" t="e">
        <v>#N/A</v>
      </c>
      <c r="G60" s="314" t="e">
        <v>#N/A</v>
      </c>
      <c r="H60" s="314" t="e">
        <v>#N/A</v>
      </c>
      <c r="I60" s="314" t="e">
        <v>#N/A</v>
      </c>
      <c r="J60" s="314" t="e">
        <v>#N/A</v>
      </c>
      <c r="K60" s="314" t="e">
        <v>#N/A</v>
      </c>
      <c r="L60" s="314" t="e">
        <v>#N/A</v>
      </c>
      <c r="M60" s="314" t="e">
        <v>#N/A</v>
      </c>
      <c r="N60" s="314" t="e">
        <v>#N/A</v>
      </c>
      <c r="O60" s="314" t="e">
        <v>#N/A</v>
      </c>
      <c r="P60" s="314" t="e">
        <v>#N/A</v>
      </c>
      <c r="Q60" s="314" t="e">
        <v>#N/A</v>
      </c>
      <c r="R60" s="314" t="e">
        <v>#N/A</v>
      </c>
      <c r="S60" s="314" t="e">
        <v>#N/A</v>
      </c>
      <c r="T60" s="314" t="e">
        <v>#N/A</v>
      </c>
      <c r="U60" s="314" t="e">
        <v>#N/A</v>
      </c>
      <c r="V60" s="314" t="e">
        <v>#N/A</v>
      </c>
      <c r="W60" s="314" t="e">
        <v>#N/A</v>
      </c>
      <c r="X60" s="314" t="e">
        <v>#N/A</v>
      </c>
      <c r="Y60" s="314" t="e">
        <v>#N/A</v>
      </c>
      <c r="Z60" s="314" t="e">
        <v>#N/A</v>
      </c>
      <c r="AA60" s="314" t="e">
        <v>#N/A</v>
      </c>
      <c r="AB60" s="314" t="e">
        <v>#N/A</v>
      </c>
      <c r="AC60" s="314" t="e">
        <v>#N/A</v>
      </c>
      <c r="AD60" s="314" t="e">
        <v>#N/A</v>
      </c>
      <c r="AE60" s="314" t="e">
        <v>#N/A</v>
      </c>
      <c r="AF60" s="314" t="e">
        <v>#N/A</v>
      </c>
      <c r="AG60" s="314" t="e">
        <v>#N/A</v>
      </c>
      <c r="AH60" s="314" t="e">
        <v>#N/A</v>
      </c>
      <c r="AI60" s="314" t="e">
        <v>#N/A</v>
      </c>
      <c r="AJ60" s="314" t="e">
        <v>#N/A</v>
      </c>
      <c r="AK60" s="314" t="e">
        <v>#N/A</v>
      </c>
      <c r="AL60" s="314" t="e">
        <v>#N/A</v>
      </c>
      <c r="AM60" s="314" t="e">
        <v>#N/A</v>
      </c>
      <c r="AN60" s="314" t="e">
        <v>#N/A</v>
      </c>
      <c r="AO60" s="314" t="e">
        <v>#N/A</v>
      </c>
      <c r="AP60" s="314" t="e">
        <v>#N/A</v>
      </c>
    </row>
    <row r="61" spans="1:42">
      <c r="A61" s="547">
        <f t="shared" si="0"/>
        <v>1990</v>
      </c>
      <c r="B61" s="578">
        <v>33207</v>
      </c>
      <c r="C61" s="314">
        <v>37923</v>
      </c>
      <c r="D61" s="314">
        <v>81092</v>
      </c>
      <c r="E61" s="314">
        <v>126186</v>
      </c>
      <c r="F61" s="314" t="e">
        <v>#N/A</v>
      </c>
      <c r="G61" s="314" t="e">
        <v>#N/A</v>
      </c>
      <c r="H61" s="314" t="e">
        <v>#N/A</v>
      </c>
      <c r="I61" s="314" t="e">
        <v>#N/A</v>
      </c>
      <c r="J61" s="314" t="e">
        <v>#N/A</v>
      </c>
      <c r="K61" s="314" t="e">
        <v>#N/A</v>
      </c>
      <c r="L61" s="314" t="e">
        <v>#N/A</v>
      </c>
      <c r="M61" s="314" t="e">
        <v>#N/A</v>
      </c>
      <c r="N61" s="314" t="e">
        <v>#N/A</v>
      </c>
      <c r="O61" s="314" t="e">
        <v>#N/A</v>
      </c>
      <c r="P61" s="314" t="e">
        <v>#N/A</v>
      </c>
      <c r="Q61" s="314" t="e">
        <v>#N/A</v>
      </c>
      <c r="R61" s="314" t="e">
        <v>#N/A</v>
      </c>
      <c r="S61" s="314" t="e">
        <v>#N/A</v>
      </c>
      <c r="T61" s="314" t="e">
        <v>#N/A</v>
      </c>
      <c r="U61" s="314" t="e">
        <v>#N/A</v>
      </c>
      <c r="V61" s="314" t="e">
        <v>#N/A</v>
      </c>
      <c r="W61" s="314" t="e">
        <v>#N/A</v>
      </c>
      <c r="X61" s="314" t="e">
        <v>#N/A</v>
      </c>
      <c r="Y61" s="314" t="e">
        <v>#N/A</v>
      </c>
      <c r="Z61" s="314" t="e">
        <v>#N/A</v>
      </c>
      <c r="AA61" s="314" t="e">
        <v>#N/A</v>
      </c>
      <c r="AB61" s="314" t="e">
        <v>#N/A</v>
      </c>
      <c r="AC61" s="314" t="e">
        <v>#N/A</v>
      </c>
      <c r="AD61" s="314" t="e">
        <v>#N/A</v>
      </c>
      <c r="AE61" s="314" t="e">
        <v>#N/A</v>
      </c>
      <c r="AF61" s="314" t="e">
        <v>#N/A</v>
      </c>
      <c r="AG61" s="314" t="e">
        <v>#N/A</v>
      </c>
      <c r="AH61" s="314" t="e">
        <v>#N/A</v>
      </c>
      <c r="AI61" s="314" t="e">
        <v>#N/A</v>
      </c>
      <c r="AJ61" s="314" t="e">
        <v>#N/A</v>
      </c>
      <c r="AK61" s="314" t="e">
        <v>#N/A</v>
      </c>
      <c r="AL61" s="314" t="e">
        <v>#N/A</v>
      </c>
      <c r="AM61" s="314" t="e">
        <v>#N/A</v>
      </c>
      <c r="AN61" s="314" t="e">
        <v>#N/A</v>
      </c>
      <c r="AO61" s="314" t="e">
        <v>#N/A</v>
      </c>
      <c r="AP61" s="314" t="e">
        <v>#N/A</v>
      </c>
    </row>
    <row r="62" spans="1:42">
      <c r="A62" s="547">
        <f t="shared" si="0"/>
        <v>1990</v>
      </c>
      <c r="B62" s="578">
        <v>33238</v>
      </c>
      <c r="C62" s="314">
        <v>37324</v>
      </c>
      <c r="D62" s="314">
        <v>11222</v>
      </c>
      <c r="E62" s="314">
        <v>84990</v>
      </c>
      <c r="F62" s="314" t="e">
        <v>#N/A</v>
      </c>
      <c r="G62" s="314" t="e">
        <v>#N/A</v>
      </c>
      <c r="H62" s="314" t="e">
        <v>#N/A</v>
      </c>
      <c r="I62" s="314" t="e">
        <v>#N/A</v>
      </c>
      <c r="J62" s="314" t="e">
        <v>#N/A</v>
      </c>
      <c r="K62" s="314" t="e">
        <v>#N/A</v>
      </c>
      <c r="L62" s="314" t="e">
        <v>#N/A</v>
      </c>
      <c r="M62" s="314" t="e">
        <v>#N/A</v>
      </c>
      <c r="N62" s="314" t="e">
        <v>#N/A</v>
      </c>
      <c r="O62" s="314" t="e">
        <v>#N/A</v>
      </c>
      <c r="P62" s="314" t="e">
        <v>#N/A</v>
      </c>
      <c r="Q62" s="314" t="e">
        <v>#N/A</v>
      </c>
      <c r="R62" s="314" t="e">
        <v>#N/A</v>
      </c>
      <c r="S62" s="314" t="e">
        <v>#N/A</v>
      </c>
      <c r="T62" s="314" t="e">
        <v>#N/A</v>
      </c>
      <c r="U62" s="314" t="e">
        <v>#N/A</v>
      </c>
      <c r="V62" s="314" t="e">
        <v>#N/A</v>
      </c>
      <c r="W62" s="314" t="e">
        <v>#N/A</v>
      </c>
      <c r="X62" s="314" t="e">
        <v>#N/A</v>
      </c>
      <c r="Y62" s="314" t="e">
        <v>#N/A</v>
      </c>
      <c r="Z62" s="314" t="e">
        <v>#N/A</v>
      </c>
      <c r="AA62" s="314" t="e">
        <v>#N/A</v>
      </c>
      <c r="AB62" s="314" t="e">
        <v>#N/A</v>
      </c>
      <c r="AC62" s="314" t="e">
        <v>#N/A</v>
      </c>
      <c r="AD62" s="314" t="e">
        <v>#N/A</v>
      </c>
      <c r="AE62" s="314" t="e">
        <v>#N/A</v>
      </c>
      <c r="AF62" s="314" t="e">
        <v>#N/A</v>
      </c>
      <c r="AG62" s="314" t="e">
        <v>#N/A</v>
      </c>
      <c r="AH62" s="314" t="e">
        <v>#N/A</v>
      </c>
      <c r="AI62" s="314" t="e">
        <v>#N/A</v>
      </c>
      <c r="AJ62" s="314" t="e">
        <v>#N/A</v>
      </c>
      <c r="AK62" s="314" t="e">
        <v>#N/A</v>
      </c>
      <c r="AL62" s="314" t="e">
        <v>#N/A</v>
      </c>
      <c r="AM62" s="314" t="e">
        <v>#N/A</v>
      </c>
      <c r="AN62" s="314" t="e">
        <v>#N/A</v>
      </c>
      <c r="AO62" s="314" t="e">
        <v>#N/A</v>
      </c>
      <c r="AP62" s="314" t="e">
        <v>#N/A</v>
      </c>
    </row>
    <row r="63" spans="1:42">
      <c r="A63" s="547">
        <f t="shared" si="0"/>
        <v>1991</v>
      </c>
      <c r="B63" s="578">
        <v>33269</v>
      </c>
      <c r="C63" s="314">
        <v>52531</v>
      </c>
      <c r="D63" s="314">
        <v>26189</v>
      </c>
      <c r="E63" s="314">
        <v>121440</v>
      </c>
      <c r="F63" s="314" t="e">
        <v>#N/A</v>
      </c>
      <c r="G63" s="314" t="e">
        <v>#N/A</v>
      </c>
      <c r="H63" s="314" t="e">
        <v>#N/A</v>
      </c>
      <c r="I63" s="314" t="e">
        <v>#N/A</v>
      </c>
      <c r="J63" s="314" t="e">
        <v>#N/A</v>
      </c>
      <c r="K63" s="314" t="e">
        <v>#N/A</v>
      </c>
      <c r="L63" s="314" t="e">
        <v>#N/A</v>
      </c>
      <c r="M63" s="314" t="e">
        <v>#N/A</v>
      </c>
      <c r="N63" s="314" t="e">
        <v>#N/A</v>
      </c>
      <c r="O63" s="314" t="e">
        <v>#N/A</v>
      </c>
      <c r="P63" s="314" t="e">
        <v>#N/A</v>
      </c>
      <c r="Q63" s="314" t="e">
        <v>#N/A</v>
      </c>
      <c r="R63" s="314" t="e">
        <v>#N/A</v>
      </c>
      <c r="S63" s="314" t="e">
        <v>#N/A</v>
      </c>
      <c r="T63" s="314" t="e">
        <v>#N/A</v>
      </c>
      <c r="U63" s="314" t="e">
        <v>#N/A</v>
      </c>
      <c r="V63" s="314" t="e">
        <v>#N/A</v>
      </c>
      <c r="W63" s="314" t="e">
        <v>#N/A</v>
      </c>
      <c r="X63" s="314" t="e">
        <v>#N/A</v>
      </c>
      <c r="Y63" s="314" t="e">
        <v>#N/A</v>
      </c>
      <c r="Z63" s="314" t="e">
        <v>#N/A</v>
      </c>
      <c r="AA63" s="314" t="e">
        <v>#N/A</v>
      </c>
      <c r="AB63" s="314" t="e">
        <v>#N/A</v>
      </c>
      <c r="AC63" s="314" t="e">
        <v>#N/A</v>
      </c>
      <c r="AD63" s="314" t="e">
        <v>#N/A</v>
      </c>
      <c r="AE63" s="314" t="e">
        <v>#N/A</v>
      </c>
      <c r="AF63" s="314" t="e">
        <v>#N/A</v>
      </c>
      <c r="AG63" s="314" t="e">
        <v>#N/A</v>
      </c>
      <c r="AH63" s="314" t="e">
        <v>#N/A</v>
      </c>
      <c r="AI63" s="314" t="e">
        <v>#N/A</v>
      </c>
      <c r="AJ63" s="314" t="e">
        <v>#N/A</v>
      </c>
      <c r="AK63" s="314" t="e">
        <v>#N/A</v>
      </c>
      <c r="AL63" s="314" t="e">
        <v>#N/A</v>
      </c>
      <c r="AM63" s="314" t="e">
        <v>#N/A</v>
      </c>
      <c r="AN63" s="314" t="e">
        <v>#N/A</v>
      </c>
      <c r="AO63" s="314" t="e">
        <v>#N/A</v>
      </c>
      <c r="AP63" s="314" t="e">
        <v>#N/A</v>
      </c>
    </row>
    <row r="64" spans="1:42">
      <c r="A64" s="547">
        <f t="shared" si="0"/>
        <v>1991</v>
      </c>
      <c r="B64" s="578">
        <v>33297</v>
      </c>
      <c r="C64" s="314">
        <v>93878</v>
      </c>
      <c r="D64" s="314">
        <v>40280</v>
      </c>
      <c r="E64" s="314">
        <v>84595</v>
      </c>
      <c r="F64" s="314" t="e">
        <v>#N/A</v>
      </c>
      <c r="G64" s="314" t="e">
        <v>#N/A</v>
      </c>
      <c r="H64" s="314" t="e">
        <v>#N/A</v>
      </c>
      <c r="I64" s="314" t="e">
        <v>#N/A</v>
      </c>
      <c r="J64" s="314" t="e">
        <v>#N/A</v>
      </c>
      <c r="K64" s="314" t="e">
        <v>#N/A</v>
      </c>
      <c r="L64" s="314" t="e">
        <v>#N/A</v>
      </c>
      <c r="M64" s="314" t="e">
        <v>#N/A</v>
      </c>
      <c r="N64" s="314" t="e">
        <v>#N/A</v>
      </c>
      <c r="O64" s="314" t="e">
        <v>#N/A</v>
      </c>
      <c r="P64" s="314" t="e">
        <v>#N/A</v>
      </c>
      <c r="Q64" s="314" t="e">
        <v>#N/A</v>
      </c>
      <c r="R64" s="314" t="e">
        <v>#N/A</v>
      </c>
      <c r="S64" s="314" t="e">
        <v>#N/A</v>
      </c>
      <c r="T64" s="314" t="e">
        <v>#N/A</v>
      </c>
      <c r="U64" s="314" t="e">
        <v>#N/A</v>
      </c>
      <c r="V64" s="314" t="e">
        <v>#N/A</v>
      </c>
      <c r="W64" s="314" t="e">
        <v>#N/A</v>
      </c>
      <c r="X64" s="314" t="e">
        <v>#N/A</v>
      </c>
      <c r="Y64" s="314" t="e">
        <v>#N/A</v>
      </c>
      <c r="Z64" s="314" t="e">
        <v>#N/A</v>
      </c>
      <c r="AA64" s="314" t="e">
        <v>#N/A</v>
      </c>
      <c r="AB64" s="314" t="e">
        <v>#N/A</v>
      </c>
      <c r="AC64" s="314" t="e">
        <v>#N/A</v>
      </c>
      <c r="AD64" s="314" t="e">
        <v>#N/A</v>
      </c>
      <c r="AE64" s="314" t="e">
        <v>#N/A</v>
      </c>
      <c r="AF64" s="314" t="e">
        <v>#N/A</v>
      </c>
      <c r="AG64" s="314" t="e">
        <v>#N/A</v>
      </c>
      <c r="AH64" s="314" t="e">
        <v>#N/A</v>
      </c>
      <c r="AI64" s="314" t="e">
        <v>#N/A</v>
      </c>
      <c r="AJ64" s="314" t="e">
        <v>#N/A</v>
      </c>
      <c r="AK64" s="314" t="e">
        <v>#N/A</v>
      </c>
      <c r="AL64" s="314" t="e">
        <v>#N/A</v>
      </c>
      <c r="AM64" s="314" t="e">
        <v>#N/A</v>
      </c>
      <c r="AN64" s="314" t="e">
        <v>#N/A</v>
      </c>
      <c r="AO64" s="314" t="e">
        <v>#N/A</v>
      </c>
      <c r="AP64" s="314" t="e">
        <v>#N/A</v>
      </c>
    </row>
    <row r="65" spans="1:42">
      <c r="A65" s="547">
        <f t="shared" si="0"/>
        <v>1991</v>
      </c>
      <c r="B65" s="578">
        <v>33328</v>
      </c>
      <c r="C65" s="314">
        <v>37984</v>
      </c>
      <c r="D65" s="314">
        <v>25408</v>
      </c>
      <c r="E65" s="314">
        <v>87452</v>
      </c>
      <c r="F65" s="314" t="e">
        <v>#N/A</v>
      </c>
      <c r="G65" s="314" t="e">
        <v>#N/A</v>
      </c>
      <c r="H65" s="314" t="e">
        <v>#N/A</v>
      </c>
      <c r="I65" s="314" t="e">
        <v>#N/A</v>
      </c>
      <c r="J65" s="314" t="e">
        <v>#N/A</v>
      </c>
      <c r="K65" s="314" t="e">
        <v>#N/A</v>
      </c>
      <c r="L65" s="314" t="e">
        <v>#N/A</v>
      </c>
      <c r="M65" s="314" t="e">
        <v>#N/A</v>
      </c>
      <c r="N65" s="314" t="e">
        <v>#N/A</v>
      </c>
      <c r="O65" s="314" t="e">
        <v>#N/A</v>
      </c>
      <c r="P65" s="314" t="e">
        <v>#N/A</v>
      </c>
      <c r="Q65" s="314" t="e">
        <v>#N/A</v>
      </c>
      <c r="R65" s="314" t="e">
        <v>#N/A</v>
      </c>
      <c r="S65" s="314" t="e">
        <v>#N/A</v>
      </c>
      <c r="T65" s="314" t="e">
        <v>#N/A</v>
      </c>
      <c r="U65" s="314" t="e">
        <v>#N/A</v>
      </c>
      <c r="V65" s="314" t="e">
        <v>#N/A</v>
      </c>
      <c r="W65" s="314" t="e">
        <v>#N/A</v>
      </c>
      <c r="X65" s="314" t="e">
        <v>#N/A</v>
      </c>
      <c r="Y65" s="314" t="e">
        <v>#N/A</v>
      </c>
      <c r="Z65" s="314" t="e">
        <v>#N/A</v>
      </c>
      <c r="AA65" s="314" t="e">
        <v>#N/A</v>
      </c>
      <c r="AB65" s="314" t="e">
        <v>#N/A</v>
      </c>
      <c r="AC65" s="314" t="e">
        <v>#N/A</v>
      </c>
      <c r="AD65" s="314" t="e">
        <v>#N/A</v>
      </c>
      <c r="AE65" s="314" t="e">
        <v>#N/A</v>
      </c>
      <c r="AF65" s="314" t="e">
        <v>#N/A</v>
      </c>
      <c r="AG65" s="314" t="e">
        <v>#N/A</v>
      </c>
      <c r="AH65" s="314" t="e">
        <v>#N/A</v>
      </c>
      <c r="AI65" s="314" t="e">
        <v>#N/A</v>
      </c>
      <c r="AJ65" s="314" t="e">
        <v>#N/A</v>
      </c>
      <c r="AK65" s="314" t="e">
        <v>#N/A</v>
      </c>
      <c r="AL65" s="314" t="e">
        <v>#N/A</v>
      </c>
      <c r="AM65" s="314" t="e">
        <v>#N/A</v>
      </c>
      <c r="AN65" s="314" t="e">
        <v>#N/A</v>
      </c>
      <c r="AO65" s="314" t="e">
        <v>#N/A</v>
      </c>
      <c r="AP65" s="314" t="e">
        <v>#N/A</v>
      </c>
    </row>
    <row r="66" spans="1:42">
      <c r="A66" s="547">
        <f t="shared" si="0"/>
        <v>1991</v>
      </c>
      <c r="B66" s="578">
        <v>33358</v>
      </c>
      <c r="C66" s="314">
        <v>54722</v>
      </c>
      <c r="D66" s="314">
        <v>30404</v>
      </c>
      <c r="E66" s="314">
        <v>55482</v>
      </c>
      <c r="F66" s="314" t="e">
        <v>#N/A</v>
      </c>
      <c r="G66" s="314" t="e">
        <v>#N/A</v>
      </c>
      <c r="H66" s="314" t="e">
        <v>#N/A</v>
      </c>
      <c r="I66" s="314" t="e">
        <v>#N/A</v>
      </c>
      <c r="J66" s="314" t="e">
        <v>#N/A</v>
      </c>
      <c r="K66" s="314" t="e">
        <v>#N/A</v>
      </c>
      <c r="L66" s="314" t="e">
        <v>#N/A</v>
      </c>
      <c r="M66" s="314" t="e">
        <v>#N/A</v>
      </c>
      <c r="N66" s="314" t="e">
        <v>#N/A</v>
      </c>
      <c r="O66" s="314" t="e">
        <v>#N/A</v>
      </c>
      <c r="P66" s="314" t="e">
        <v>#N/A</v>
      </c>
      <c r="Q66" s="314" t="e">
        <v>#N/A</v>
      </c>
      <c r="R66" s="314" t="e">
        <v>#N/A</v>
      </c>
      <c r="S66" s="314" t="e">
        <v>#N/A</v>
      </c>
      <c r="T66" s="314" t="e">
        <v>#N/A</v>
      </c>
      <c r="U66" s="314" t="e">
        <v>#N/A</v>
      </c>
      <c r="V66" s="314" t="e">
        <v>#N/A</v>
      </c>
      <c r="W66" s="314" t="e">
        <v>#N/A</v>
      </c>
      <c r="X66" s="314" t="e">
        <v>#N/A</v>
      </c>
      <c r="Y66" s="314" t="e">
        <v>#N/A</v>
      </c>
      <c r="Z66" s="314" t="e">
        <v>#N/A</v>
      </c>
      <c r="AA66" s="314" t="e">
        <v>#N/A</v>
      </c>
      <c r="AB66" s="314" t="e">
        <v>#N/A</v>
      </c>
      <c r="AC66" s="314" t="e">
        <v>#N/A</v>
      </c>
      <c r="AD66" s="314" t="e">
        <v>#N/A</v>
      </c>
      <c r="AE66" s="314" t="e">
        <v>#N/A</v>
      </c>
      <c r="AF66" s="314" t="e">
        <v>#N/A</v>
      </c>
      <c r="AG66" s="314" t="e">
        <v>#N/A</v>
      </c>
      <c r="AH66" s="314" t="e">
        <v>#N/A</v>
      </c>
      <c r="AI66" s="314" t="e">
        <v>#N/A</v>
      </c>
      <c r="AJ66" s="314" t="e">
        <v>#N/A</v>
      </c>
      <c r="AK66" s="314" t="e">
        <v>#N/A</v>
      </c>
      <c r="AL66" s="314" t="e">
        <v>#N/A</v>
      </c>
      <c r="AM66" s="314" t="e">
        <v>#N/A</v>
      </c>
      <c r="AN66" s="314" t="e">
        <v>#N/A</v>
      </c>
      <c r="AO66" s="314" t="e">
        <v>#N/A</v>
      </c>
      <c r="AP66" s="314" t="e">
        <v>#N/A</v>
      </c>
    </row>
    <row r="67" spans="1:42">
      <c r="A67" s="547">
        <f t="shared" si="0"/>
        <v>1991</v>
      </c>
      <c r="B67" s="578">
        <v>33389</v>
      </c>
      <c r="C67" s="314">
        <v>38884</v>
      </c>
      <c r="D67" s="314">
        <v>48866</v>
      </c>
      <c r="E67" s="314">
        <v>179610</v>
      </c>
      <c r="F67" s="314" t="e">
        <v>#N/A</v>
      </c>
      <c r="G67" s="314" t="e">
        <v>#N/A</v>
      </c>
      <c r="H67" s="314" t="e">
        <v>#N/A</v>
      </c>
      <c r="I67" s="314" t="e">
        <v>#N/A</v>
      </c>
      <c r="J67" s="314" t="e">
        <v>#N/A</v>
      </c>
      <c r="K67" s="314" t="e">
        <v>#N/A</v>
      </c>
      <c r="L67" s="314" t="e">
        <v>#N/A</v>
      </c>
      <c r="M67" s="314" t="e">
        <v>#N/A</v>
      </c>
      <c r="N67" s="314" t="e">
        <v>#N/A</v>
      </c>
      <c r="O67" s="314" t="e">
        <v>#N/A</v>
      </c>
      <c r="P67" s="314" t="e">
        <v>#N/A</v>
      </c>
      <c r="Q67" s="314" t="e">
        <v>#N/A</v>
      </c>
      <c r="R67" s="314" t="e">
        <v>#N/A</v>
      </c>
      <c r="S67" s="314" t="e">
        <v>#N/A</v>
      </c>
      <c r="T67" s="314" t="e">
        <v>#N/A</v>
      </c>
      <c r="U67" s="314" t="e">
        <v>#N/A</v>
      </c>
      <c r="V67" s="314" t="e">
        <v>#N/A</v>
      </c>
      <c r="W67" s="314" t="e">
        <v>#N/A</v>
      </c>
      <c r="X67" s="314" t="e">
        <v>#N/A</v>
      </c>
      <c r="Y67" s="314" t="e">
        <v>#N/A</v>
      </c>
      <c r="Z67" s="314" t="e">
        <v>#N/A</v>
      </c>
      <c r="AA67" s="314" t="e">
        <v>#N/A</v>
      </c>
      <c r="AB67" s="314" t="e">
        <v>#N/A</v>
      </c>
      <c r="AC67" s="314" t="e">
        <v>#N/A</v>
      </c>
      <c r="AD67" s="314" t="e">
        <v>#N/A</v>
      </c>
      <c r="AE67" s="314" t="e">
        <v>#N/A</v>
      </c>
      <c r="AF67" s="314" t="e">
        <v>#N/A</v>
      </c>
      <c r="AG67" s="314" t="e">
        <v>#N/A</v>
      </c>
      <c r="AH67" s="314" t="e">
        <v>#N/A</v>
      </c>
      <c r="AI67" s="314" t="e">
        <v>#N/A</v>
      </c>
      <c r="AJ67" s="314" t="e">
        <v>#N/A</v>
      </c>
      <c r="AK67" s="314" t="e">
        <v>#N/A</v>
      </c>
      <c r="AL67" s="314" t="e">
        <v>#N/A</v>
      </c>
      <c r="AM67" s="314" t="e">
        <v>#N/A</v>
      </c>
      <c r="AN67" s="314" t="e">
        <v>#N/A</v>
      </c>
      <c r="AO67" s="314" t="e">
        <v>#N/A</v>
      </c>
      <c r="AP67" s="314" t="e">
        <v>#N/A</v>
      </c>
    </row>
    <row r="68" spans="1:42">
      <c r="A68" s="547">
        <f t="shared" ref="A68:A131" si="1">YEAR($B68)</f>
        <v>1991</v>
      </c>
      <c r="B68" s="578">
        <v>33419</v>
      </c>
      <c r="C68" s="314">
        <v>49901</v>
      </c>
      <c r="D68" s="314">
        <v>19548</v>
      </c>
      <c r="E68" s="314">
        <v>74796</v>
      </c>
      <c r="F68" s="314" t="e">
        <v>#N/A</v>
      </c>
      <c r="G68" s="314" t="e">
        <v>#N/A</v>
      </c>
      <c r="H68" s="314" t="e">
        <v>#N/A</v>
      </c>
      <c r="I68" s="314" t="e">
        <v>#N/A</v>
      </c>
      <c r="J68" s="314" t="e">
        <v>#N/A</v>
      </c>
      <c r="K68" s="314" t="e">
        <v>#N/A</v>
      </c>
      <c r="L68" s="314" t="e">
        <v>#N/A</v>
      </c>
      <c r="M68" s="314" t="e">
        <v>#N/A</v>
      </c>
      <c r="N68" s="314" t="e">
        <v>#N/A</v>
      </c>
      <c r="O68" s="314" t="e">
        <v>#N/A</v>
      </c>
      <c r="P68" s="314" t="e">
        <v>#N/A</v>
      </c>
      <c r="Q68" s="314" t="e">
        <v>#N/A</v>
      </c>
      <c r="R68" s="314" t="e">
        <v>#N/A</v>
      </c>
      <c r="S68" s="314" t="e">
        <v>#N/A</v>
      </c>
      <c r="T68" s="314" t="e">
        <v>#N/A</v>
      </c>
      <c r="U68" s="314" t="e">
        <v>#N/A</v>
      </c>
      <c r="V68" s="314" t="e">
        <v>#N/A</v>
      </c>
      <c r="W68" s="314" t="e">
        <v>#N/A</v>
      </c>
      <c r="X68" s="314" t="e">
        <v>#N/A</v>
      </c>
      <c r="Y68" s="314" t="e">
        <v>#N/A</v>
      </c>
      <c r="Z68" s="314" t="e">
        <v>#N/A</v>
      </c>
      <c r="AA68" s="314" t="e">
        <v>#N/A</v>
      </c>
      <c r="AB68" s="314" t="e">
        <v>#N/A</v>
      </c>
      <c r="AC68" s="314" t="e">
        <v>#N/A</v>
      </c>
      <c r="AD68" s="314" t="e">
        <v>#N/A</v>
      </c>
      <c r="AE68" s="314" t="e">
        <v>#N/A</v>
      </c>
      <c r="AF68" s="314" t="e">
        <v>#N/A</v>
      </c>
      <c r="AG68" s="314" t="e">
        <v>#N/A</v>
      </c>
      <c r="AH68" s="314" t="e">
        <v>#N/A</v>
      </c>
      <c r="AI68" s="314" t="e">
        <v>#N/A</v>
      </c>
      <c r="AJ68" s="314" t="e">
        <v>#N/A</v>
      </c>
      <c r="AK68" s="314" t="e">
        <v>#N/A</v>
      </c>
      <c r="AL68" s="314" t="e">
        <v>#N/A</v>
      </c>
      <c r="AM68" s="314" t="e">
        <v>#N/A</v>
      </c>
      <c r="AN68" s="314" t="e">
        <v>#N/A</v>
      </c>
      <c r="AO68" s="314" t="e">
        <v>#N/A</v>
      </c>
      <c r="AP68" s="314" t="e">
        <v>#N/A</v>
      </c>
    </row>
    <row r="69" spans="1:42">
      <c r="A69" s="547">
        <f t="shared" si="1"/>
        <v>1991</v>
      </c>
      <c r="B69" s="578">
        <v>33450</v>
      </c>
      <c r="C69" s="314">
        <v>61419</v>
      </c>
      <c r="D69" s="314">
        <v>25851</v>
      </c>
      <c r="E69" s="314">
        <v>103987</v>
      </c>
      <c r="F69" s="314" t="e">
        <v>#N/A</v>
      </c>
      <c r="G69" s="314" t="e">
        <v>#N/A</v>
      </c>
      <c r="H69" s="314" t="e">
        <v>#N/A</v>
      </c>
      <c r="I69" s="314" t="e">
        <v>#N/A</v>
      </c>
      <c r="J69" s="314" t="e">
        <v>#N/A</v>
      </c>
      <c r="K69" s="314" t="e">
        <v>#N/A</v>
      </c>
      <c r="L69" s="314" t="e">
        <v>#N/A</v>
      </c>
      <c r="M69" s="314" t="e">
        <v>#N/A</v>
      </c>
      <c r="N69" s="314" t="e">
        <v>#N/A</v>
      </c>
      <c r="O69" s="314" t="e">
        <v>#N/A</v>
      </c>
      <c r="P69" s="314" t="e">
        <v>#N/A</v>
      </c>
      <c r="Q69" s="314" t="e">
        <v>#N/A</v>
      </c>
      <c r="R69" s="314" t="e">
        <v>#N/A</v>
      </c>
      <c r="S69" s="314" t="e">
        <v>#N/A</v>
      </c>
      <c r="T69" s="314" t="e">
        <v>#N/A</v>
      </c>
      <c r="U69" s="314" t="e">
        <v>#N/A</v>
      </c>
      <c r="V69" s="314" t="e">
        <v>#N/A</v>
      </c>
      <c r="W69" s="314" t="e">
        <v>#N/A</v>
      </c>
      <c r="X69" s="314" t="e">
        <v>#N/A</v>
      </c>
      <c r="Y69" s="314" t="e">
        <v>#N/A</v>
      </c>
      <c r="Z69" s="314" t="e">
        <v>#N/A</v>
      </c>
      <c r="AA69" s="314" t="e">
        <v>#N/A</v>
      </c>
      <c r="AB69" s="314" t="e">
        <v>#N/A</v>
      </c>
      <c r="AC69" s="314" t="e">
        <v>#N/A</v>
      </c>
      <c r="AD69" s="314" t="e">
        <v>#N/A</v>
      </c>
      <c r="AE69" s="314" t="e">
        <v>#N/A</v>
      </c>
      <c r="AF69" s="314" t="e">
        <v>#N/A</v>
      </c>
      <c r="AG69" s="314" t="e">
        <v>#N/A</v>
      </c>
      <c r="AH69" s="314" t="e">
        <v>#N/A</v>
      </c>
      <c r="AI69" s="314" t="e">
        <v>#N/A</v>
      </c>
      <c r="AJ69" s="314" t="e">
        <v>#N/A</v>
      </c>
      <c r="AK69" s="314" t="e">
        <v>#N/A</v>
      </c>
      <c r="AL69" s="314" t="e">
        <v>#N/A</v>
      </c>
      <c r="AM69" s="314" t="e">
        <v>#N/A</v>
      </c>
      <c r="AN69" s="314" t="e">
        <v>#N/A</v>
      </c>
      <c r="AO69" s="314" t="e">
        <v>#N/A</v>
      </c>
      <c r="AP69" s="314" t="e">
        <v>#N/A</v>
      </c>
    </row>
    <row r="70" spans="1:42">
      <c r="A70" s="547">
        <f t="shared" si="1"/>
        <v>1991</v>
      </c>
      <c r="B70" s="578">
        <v>33481</v>
      </c>
      <c r="C70" s="314">
        <v>63112</v>
      </c>
      <c r="D70" s="314">
        <v>20960</v>
      </c>
      <c r="E70" s="314">
        <v>103428</v>
      </c>
      <c r="F70" s="314" t="e">
        <v>#N/A</v>
      </c>
      <c r="G70" s="314" t="e">
        <v>#N/A</v>
      </c>
      <c r="H70" s="314" t="e">
        <v>#N/A</v>
      </c>
      <c r="I70" s="314" t="e">
        <v>#N/A</v>
      </c>
      <c r="J70" s="314" t="e">
        <v>#N/A</v>
      </c>
      <c r="K70" s="314" t="e">
        <v>#N/A</v>
      </c>
      <c r="L70" s="314" t="e">
        <v>#N/A</v>
      </c>
      <c r="M70" s="314" t="e">
        <v>#N/A</v>
      </c>
      <c r="N70" s="314" t="e">
        <v>#N/A</v>
      </c>
      <c r="O70" s="314" t="e">
        <v>#N/A</v>
      </c>
      <c r="P70" s="314" t="e">
        <v>#N/A</v>
      </c>
      <c r="Q70" s="314" t="e">
        <v>#N/A</v>
      </c>
      <c r="R70" s="314" t="e">
        <v>#N/A</v>
      </c>
      <c r="S70" s="314" t="e">
        <v>#N/A</v>
      </c>
      <c r="T70" s="314" t="e">
        <v>#N/A</v>
      </c>
      <c r="U70" s="314" t="e">
        <v>#N/A</v>
      </c>
      <c r="V70" s="314" t="e">
        <v>#N/A</v>
      </c>
      <c r="W70" s="314" t="e">
        <v>#N/A</v>
      </c>
      <c r="X70" s="314" t="e">
        <v>#N/A</v>
      </c>
      <c r="Y70" s="314" t="e">
        <v>#N/A</v>
      </c>
      <c r="Z70" s="314" t="e">
        <v>#N/A</v>
      </c>
      <c r="AA70" s="314" t="e">
        <v>#N/A</v>
      </c>
      <c r="AB70" s="314" t="e">
        <v>#N/A</v>
      </c>
      <c r="AC70" s="314" t="e">
        <v>#N/A</v>
      </c>
      <c r="AD70" s="314" t="e">
        <v>#N/A</v>
      </c>
      <c r="AE70" s="314" t="e">
        <v>#N/A</v>
      </c>
      <c r="AF70" s="314" t="e">
        <v>#N/A</v>
      </c>
      <c r="AG70" s="314" t="e">
        <v>#N/A</v>
      </c>
      <c r="AH70" s="314" t="e">
        <v>#N/A</v>
      </c>
      <c r="AI70" s="314" t="e">
        <v>#N/A</v>
      </c>
      <c r="AJ70" s="314" t="e">
        <v>#N/A</v>
      </c>
      <c r="AK70" s="314" t="e">
        <v>#N/A</v>
      </c>
      <c r="AL70" s="314" t="e">
        <v>#N/A</v>
      </c>
      <c r="AM70" s="314" t="e">
        <v>#N/A</v>
      </c>
      <c r="AN70" s="314" t="e">
        <v>#N/A</v>
      </c>
      <c r="AO70" s="314" t="e">
        <v>#N/A</v>
      </c>
      <c r="AP70" s="314" t="e">
        <v>#N/A</v>
      </c>
    </row>
    <row r="71" spans="1:42">
      <c r="A71" s="547">
        <f t="shared" si="1"/>
        <v>1991</v>
      </c>
      <c r="B71" s="578">
        <v>33511</v>
      </c>
      <c r="C71" s="314">
        <v>69993</v>
      </c>
      <c r="D71" s="314">
        <v>48528</v>
      </c>
      <c r="E71" s="314">
        <v>106518</v>
      </c>
      <c r="F71" s="314" t="e">
        <v>#N/A</v>
      </c>
      <c r="G71" s="314" t="e">
        <v>#N/A</v>
      </c>
      <c r="H71" s="314" t="e">
        <v>#N/A</v>
      </c>
      <c r="I71" s="314" t="e">
        <v>#N/A</v>
      </c>
      <c r="J71" s="314" t="e">
        <v>#N/A</v>
      </c>
      <c r="K71" s="314" t="e">
        <v>#N/A</v>
      </c>
      <c r="L71" s="314" t="e">
        <v>#N/A</v>
      </c>
      <c r="M71" s="314" t="e">
        <v>#N/A</v>
      </c>
      <c r="N71" s="314" t="e">
        <v>#N/A</v>
      </c>
      <c r="O71" s="314" t="e">
        <v>#N/A</v>
      </c>
      <c r="P71" s="314" t="e">
        <v>#N/A</v>
      </c>
      <c r="Q71" s="314" t="e">
        <v>#N/A</v>
      </c>
      <c r="R71" s="314" t="e">
        <v>#N/A</v>
      </c>
      <c r="S71" s="314" t="e">
        <v>#N/A</v>
      </c>
      <c r="T71" s="314" t="e">
        <v>#N/A</v>
      </c>
      <c r="U71" s="314" t="e">
        <v>#N/A</v>
      </c>
      <c r="V71" s="314" t="e">
        <v>#N/A</v>
      </c>
      <c r="W71" s="314" t="e">
        <v>#N/A</v>
      </c>
      <c r="X71" s="314" t="e">
        <v>#N/A</v>
      </c>
      <c r="Y71" s="314" t="e">
        <v>#N/A</v>
      </c>
      <c r="Z71" s="314" t="e">
        <v>#N/A</v>
      </c>
      <c r="AA71" s="314" t="e">
        <v>#N/A</v>
      </c>
      <c r="AB71" s="314" t="e">
        <v>#N/A</v>
      </c>
      <c r="AC71" s="314" t="e">
        <v>#N/A</v>
      </c>
      <c r="AD71" s="314" t="e">
        <v>#N/A</v>
      </c>
      <c r="AE71" s="314" t="e">
        <v>#N/A</v>
      </c>
      <c r="AF71" s="314" t="e">
        <v>#N/A</v>
      </c>
      <c r="AG71" s="314" t="e">
        <v>#N/A</v>
      </c>
      <c r="AH71" s="314" t="e">
        <v>#N/A</v>
      </c>
      <c r="AI71" s="314" t="e">
        <v>#N/A</v>
      </c>
      <c r="AJ71" s="314" t="e">
        <v>#N/A</v>
      </c>
      <c r="AK71" s="314" t="e">
        <v>#N/A</v>
      </c>
      <c r="AL71" s="314" t="e">
        <v>#N/A</v>
      </c>
      <c r="AM71" s="314" t="e">
        <v>#N/A</v>
      </c>
      <c r="AN71" s="314" t="e">
        <v>#N/A</v>
      </c>
      <c r="AO71" s="314" t="e">
        <v>#N/A</v>
      </c>
      <c r="AP71" s="314" t="e">
        <v>#N/A</v>
      </c>
    </row>
    <row r="72" spans="1:42">
      <c r="A72" s="547">
        <f t="shared" si="1"/>
        <v>1991</v>
      </c>
      <c r="B72" s="578">
        <v>33542</v>
      </c>
      <c r="C72" s="314">
        <v>63129</v>
      </c>
      <c r="D72" s="314">
        <v>31403</v>
      </c>
      <c r="E72" s="314">
        <v>77573</v>
      </c>
      <c r="F72" s="314" t="e">
        <v>#N/A</v>
      </c>
      <c r="G72" s="314" t="e">
        <v>#N/A</v>
      </c>
      <c r="H72" s="314" t="e">
        <v>#N/A</v>
      </c>
      <c r="I72" s="314" t="e">
        <v>#N/A</v>
      </c>
      <c r="J72" s="314" t="e">
        <v>#N/A</v>
      </c>
      <c r="K72" s="314" t="e">
        <v>#N/A</v>
      </c>
      <c r="L72" s="314" t="e">
        <v>#N/A</v>
      </c>
      <c r="M72" s="314" t="e">
        <v>#N/A</v>
      </c>
      <c r="N72" s="314" t="e">
        <v>#N/A</v>
      </c>
      <c r="O72" s="314" t="e">
        <v>#N/A</v>
      </c>
      <c r="P72" s="314" t="e">
        <v>#N/A</v>
      </c>
      <c r="Q72" s="314" t="e">
        <v>#N/A</v>
      </c>
      <c r="R72" s="314" t="e">
        <v>#N/A</v>
      </c>
      <c r="S72" s="314" t="e">
        <v>#N/A</v>
      </c>
      <c r="T72" s="314" t="e">
        <v>#N/A</v>
      </c>
      <c r="U72" s="314" t="e">
        <v>#N/A</v>
      </c>
      <c r="V72" s="314" t="e">
        <v>#N/A</v>
      </c>
      <c r="W72" s="314" t="e">
        <v>#N/A</v>
      </c>
      <c r="X72" s="314" t="e">
        <v>#N/A</v>
      </c>
      <c r="Y72" s="314" t="e">
        <v>#N/A</v>
      </c>
      <c r="Z72" s="314" t="e">
        <v>#N/A</v>
      </c>
      <c r="AA72" s="314" t="e">
        <v>#N/A</v>
      </c>
      <c r="AB72" s="314" t="e">
        <v>#N/A</v>
      </c>
      <c r="AC72" s="314" t="e">
        <v>#N/A</v>
      </c>
      <c r="AD72" s="314" t="e">
        <v>#N/A</v>
      </c>
      <c r="AE72" s="314" t="e">
        <v>#N/A</v>
      </c>
      <c r="AF72" s="314" t="e">
        <v>#N/A</v>
      </c>
      <c r="AG72" s="314" t="e">
        <v>#N/A</v>
      </c>
      <c r="AH72" s="314" t="e">
        <v>#N/A</v>
      </c>
      <c r="AI72" s="314" t="e">
        <v>#N/A</v>
      </c>
      <c r="AJ72" s="314" t="e">
        <v>#N/A</v>
      </c>
      <c r="AK72" s="314" t="e">
        <v>#N/A</v>
      </c>
      <c r="AL72" s="314" t="e">
        <v>#N/A</v>
      </c>
      <c r="AM72" s="314" t="e">
        <v>#N/A</v>
      </c>
      <c r="AN72" s="314" t="e">
        <v>#N/A</v>
      </c>
      <c r="AO72" s="314" t="e">
        <v>#N/A</v>
      </c>
      <c r="AP72" s="314" t="e">
        <v>#N/A</v>
      </c>
    </row>
    <row r="73" spans="1:42">
      <c r="A73" s="547">
        <f t="shared" si="1"/>
        <v>1991</v>
      </c>
      <c r="B73" s="578">
        <v>33572</v>
      </c>
      <c r="C73" s="314">
        <v>68782</v>
      </c>
      <c r="D73" s="314">
        <v>40639</v>
      </c>
      <c r="E73" s="314">
        <v>157372</v>
      </c>
      <c r="F73" s="314" t="e">
        <v>#N/A</v>
      </c>
      <c r="G73" s="314" t="e">
        <v>#N/A</v>
      </c>
      <c r="H73" s="314" t="e">
        <v>#N/A</v>
      </c>
      <c r="I73" s="314" t="e">
        <v>#N/A</v>
      </c>
      <c r="J73" s="314" t="e">
        <v>#N/A</v>
      </c>
      <c r="K73" s="314" t="e">
        <v>#N/A</v>
      </c>
      <c r="L73" s="314" t="e">
        <v>#N/A</v>
      </c>
      <c r="M73" s="314" t="e">
        <v>#N/A</v>
      </c>
      <c r="N73" s="314" t="e">
        <v>#N/A</v>
      </c>
      <c r="O73" s="314" t="e">
        <v>#N/A</v>
      </c>
      <c r="P73" s="314" t="e">
        <v>#N/A</v>
      </c>
      <c r="Q73" s="314" t="e">
        <v>#N/A</v>
      </c>
      <c r="R73" s="314" t="e">
        <v>#N/A</v>
      </c>
      <c r="S73" s="314" t="e">
        <v>#N/A</v>
      </c>
      <c r="T73" s="314" t="e">
        <v>#N/A</v>
      </c>
      <c r="U73" s="314" t="e">
        <v>#N/A</v>
      </c>
      <c r="V73" s="314" t="e">
        <v>#N/A</v>
      </c>
      <c r="W73" s="314" t="e">
        <v>#N/A</v>
      </c>
      <c r="X73" s="314" t="e">
        <v>#N/A</v>
      </c>
      <c r="Y73" s="314" t="e">
        <v>#N/A</v>
      </c>
      <c r="Z73" s="314" t="e">
        <v>#N/A</v>
      </c>
      <c r="AA73" s="314" t="e">
        <v>#N/A</v>
      </c>
      <c r="AB73" s="314" t="e">
        <v>#N/A</v>
      </c>
      <c r="AC73" s="314" t="e">
        <v>#N/A</v>
      </c>
      <c r="AD73" s="314" t="e">
        <v>#N/A</v>
      </c>
      <c r="AE73" s="314" t="e">
        <v>#N/A</v>
      </c>
      <c r="AF73" s="314" t="e">
        <v>#N/A</v>
      </c>
      <c r="AG73" s="314" t="e">
        <v>#N/A</v>
      </c>
      <c r="AH73" s="314" t="e">
        <v>#N/A</v>
      </c>
      <c r="AI73" s="314" t="e">
        <v>#N/A</v>
      </c>
      <c r="AJ73" s="314" t="e">
        <v>#N/A</v>
      </c>
      <c r="AK73" s="314" t="e">
        <v>#N/A</v>
      </c>
      <c r="AL73" s="314" t="e">
        <v>#N/A</v>
      </c>
      <c r="AM73" s="314" t="e">
        <v>#N/A</v>
      </c>
      <c r="AN73" s="314" t="e">
        <v>#N/A</v>
      </c>
      <c r="AO73" s="314" t="e">
        <v>#N/A</v>
      </c>
      <c r="AP73" s="314" t="e">
        <v>#N/A</v>
      </c>
    </row>
    <row r="74" spans="1:42">
      <c r="A74" s="547">
        <f t="shared" si="1"/>
        <v>1991</v>
      </c>
      <c r="B74" s="578">
        <v>33603</v>
      </c>
      <c r="C74" s="314">
        <v>63547</v>
      </c>
      <c r="D74" s="314">
        <v>14258</v>
      </c>
      <c r="E74" s="314">
        <v>112464</v>
      </c>
      <c r="F74" s="314" t="e">
        <v>#N/A</v>
      </c>
      <c r="G74" s="314" t="e">
        <v>#N/A</v>
      </c>
      <c r="H74" s="314" t="e">
        <v>#N/A</v>
      </c>
      <c r="I74" s="314" t="e">
        <v>#N/A</v>
      </c>
      <c r="J74" s="314" t="e">
        <v>#N/A</v>
      </c>
      <c r="K74" s="314" t="e">
        <v>#N/A</v>
      </c>
      <c r="L74" s="314" t="e">
        <v>#N/A</v>
      </c>
      <c r="M74" s="314" t="e">
        <v>#N/A</v>
      </c>
      <c r="N74" s="314" t="e">
        <v>#N/A</v>
      </c>
      <c r="O74" s="314" t="e">
        <v>#N/A</v>
      </c>
      <c r="P74" s="314" t="e">
        <v>#N/A</v>
      </c>
      <c r="Q74" s="314" t="e">
        <v>#N/A</v>
      </c>
      <c r="R74" s="314" t="e">
        <v>#N/A</v>
      </c>
      <c r="S74" s="314" t="e">
        <v>#N/A</v>
      </c>
      <c r="T74" s="314" t="e">
        <v>#N/A</v>
      </c>
      <c r="U74" s="314" t="e">
        <v>#N/A</v>
      </c>
      <c r="V74" s="314" t="e">
        <v>#N/A</v>
      </c>
      <c r="W74" s="314" t="e">
        <v>#N/A</v>
      </c>
      <c r="X74" s="314" t="e">
        <v>#N/A</v>
      </c>
      <c r="Y74" s="314" t="e">
        <v>#N/A</v>
      </c>
      <c r="Z74" s="314" t="e">
        <v>#N/A</v>
      </c>
      <c r="AA74" s="314" t="e">
        <v>#N/A</v>
      </c>
      <c r="AB74" s="314" t="e">
        <v>#N/A</v>
      </c>
      <c r="AC74" s="314" t="e">
        <v>#N/A</v>
      </c>
      <c r="AD74" s="314" t="e">
        <v>#N/A</v>
      </c>
      <c r="AE74" s="314" t="e">
        <v>#N/A</v>
      </c>
      <c r="AF74" s="314" t="e">
        <v>#N/A</v>
      </c>
      <c r="AG74" s="314" t="e">
        <v>#N/A</v>
      </c>
      <c r="AH74" s="314" t="e">
        <v>#N/A</v>
      </c>
      <c r="AI74" s="314" t="e">
        <v>#N/A</v>
      </c>
      <c r="AJ74" s="314" t="e">
        <v>#N/A</v>
      </c>
      <c r="AK74" s="314" t="e">
        <v>#N/A</v>
      </c>
      <c r="AL74" s="314" t="e">
        <v>#N/A</v>
      </c>
      <c r="AM74" s="314" t="e">
        <v>#N/A</v>
      </c>
      <c r="AN74" s="314" t="e">
        <v>#N/A</v>
      </c>
      <c r="AO74" s="314" t="e">
        <v>#N/A</v>
      </c>
      <c r="AP74" s="314" t="e">
        <v>#N/A</v>
      </c>
    </row>
    <row r="75" spans="1:42">
      <c r="A75" s="547">
        <f t="shared" si="1"/>
        <v>1992</v>
      </c>
      <c r="B75" s="578">
        <v>33634</v>
      </c>
      <c r="C75" s="314">
        <v>81076</v>
      </c>
      <c r="D75" s="314">
        <v>23180</v>
      </c>
      <c r="E75" s="314">
        <v>114098</v>
      </c>
      <c r="F75" s="314" t="e">
        <v>#N/A</v>
      </c>
      <c r="G75" s="314" t="e">
        <v>#N/A</v>
      </c>
      <c r="H75" s="314" t="e">
        <v>#N/A</v>
      </c>
      <c r="I75" s="314" t="e">
        <v>#N/A</v>
      </c>
      <c r="J75" s="314" t="e">
        <v>#N/A</v>
      </c>
      <c r="K75" s="314" t="e">
        <v>#N/A</v>
      </c>
      <c r="L75" s="314" t="e">
        <v>#N/A</v>
      </c>
      <c r="M75" s="314" t="e">
        <v>#N/A</v>
      </c>
      <c r="N75" s="314" t="e">
        <v>#N/A</v>
      </c>
      <c r="O75" s="314" t="e">
        <v>#N/A</v>
      </c>
      <c r="P75" s="314" t="e">
        <v>#N/A</v>
      </c>
      <c r="Q75" s="314" t="e">
        <v>#N/A</v>
      </c>
      <c r="R75" s="314" t="e">
        <v>#N/A</v>
      </c>
      <c r="S75" s="314" t="e">
        <v>#N/A</v>
      </c>
      <c r="T75" s="314" t="e">
        <v>#N/A</v>
      </c>
      <c r="U75" s="314" t="e">
        <v>#N/A</v>
      </c>
      <c r="V75" s="314" t="e">
        <v>#N/A</v>
      </c>
      <c r="W75" s="314" t="e">
        <v>#N/A</v>
      </c>
      <c r="X75" s="314" t="e">
        <v>#N/A</v>
      </c>
      <c r="Y75" s="314" t="e">
        <v>#N/A</v>
      </c>
      <c r="Z75" s="314" t="e">
        <v>#N/A</v>
      </c>
      <c r="AA75" s="314" t="e">
        <v>#N/A</v>
      </c>
      <c r="AB75" s="314" t="e">
        <v>#N/A</v>
      </c>
      <c r="AC75" s="314" t="e">
        <v>#N/A</v>
      </c>
      <c r="AD75" s="314" t="e">
        <v>#N/A</v>
      </c>
      <c r="AE75" s="314" t="e">
        <v>#N/A</v>
      </c>
      <c r="AF75" s="314" t="e">
        <v>#N/A</v>
      </c>
      <c r="AG75" s="314" t="e">
        <v>#N/A</v>
      </c>
      <c r="AH75" s="314" t="e">
        <v>#N/A</v>
      </c>
      <c r="AI75" s="314" t="e">
        <v>#N/A</v>
      </c>
      <c r="AJ75" s="314" t="e">
        <v>#N/A</v>
      </c>
      <c r="AK75" s="314" t="e">
        <v>#N/A</v>
      </c>
      <c r="AL75" s="314" t="e">
        <v>#N/A</v>
      </c>
      <c r="AM75" s="314" t="e">
        <v>#N/A</v>
      </c>
      <c r="AN75" s="314" t="e">
        <v>#N/A</v>
      </c>
      <c r="AO75" s="314" t="e">
        <v>#N/A</v>
      </c>
      <c r="AP75" s="314" t="e">
        <v>#N/A</v>
      </c>
    </row>
    <row r="76" spans="1:42">
      <c r="A76" s="547">
        <f t="shared" si="1"/>
        <v>1992</v>
      </c>
      <c r="B76" s="578">
        <v>33663</v>
      </c>
      <c r="C76" s="314">
        <v>36680</v>
      </c>
      <c r="D76" s="314">
        <v>29143</v>
      </c>
      <c r="E76" s="314">
        <v>66697</v>
      </c>
      <c r="F76" s="314" t="e">
        <v>#N/A</v>
      </c>
      <c r="G76" s="314" t="e">
        <v>#N/A</v>
      </c>
      <c r="H76" s="314" t="e">
        <v>#N/A</v>
      </c>
      <c r="I76" s="314" t="e">
        <v>#N/A</v>
      </c>
      <c r="J76" s="314" t="e">
        <v>#N/A</v>
      </c>
      <c r="K76" s="314" t="e">
        <v>#N/A</v>
      </c>
      <c r="L76" s="314" t="e">
        <v>#N/A</v>
      </c>
      <c r="M76" s="314" t="e">
        <v>#N/A</v>
      </c>
      <c r="N76" s="314" t="e">
        <v>#N/A</v>
      </c>
      <c r="O76" s="314" t="e">
        <v>#N/A</v>
      </c>
      <c r="P76" s="314" t="e">
        <v>#N/A</v>
      </c>
      <c r="Q76" s="314" t="e">
        <v>#N/A</v>
      </c>
      <c r="R76" s="314" t="e">
        <v>#N/A</v>
      </c>
      <c r="S76" s="314" t="e">
        <v>#N/A</v>
      </c>
      <c r="T76" s="314" t="e">
        <v>#N/A</v>
      </c>
      <c r="U76" s="314" t="e">
        <v>#N/A</v>
      </c>
      <c r="V76" s="314" t="e">
        <v>#N/A</v>
      </c>
      <c r="W76" s="314" t="e">
        <v>#N/A</v>
      </c>
      <c r="X76" s="314" t="e">
        <v>#N/A</v>
      </c>
      <c r="Y76" s="314" t="e">
        <v>#N/A</v>
      </c>
      <c r="Z76" s="314" t="e">
        <v>#N/A</v>
      </c>
      <c r="AA76" s="314" t="e">
        <v>#N/A</v>
      </c>
      <c r="AB76" s="314" t="e">
        <v>#N/A</v>
      </c>
      <c r="AC76" s="314" t="e">
        <v>#N/A</v>
      </c>
      <c r="AD76" s="314" t="e">
        <v>#N/A</v>
      </c>
      <c r="AE76" s="314" t="e">
        <v>#N/A</v>
      </c>
      <c r="AF76" s="314" t="e">
        <v>#N/A</v>
      </c>
      <c r="AG76" s="314" t="e">
        <v>#N/A</v>
      </c>
      <c r="AH76" s="314" t="e">
        <v>#N/A</v>
      </c>
      <c r="AI76" s="314" t="e">
        <v>#N/A</v>
      </c>
      <c r="AJ76" s="314" t="e">
        <v>#N/A</v>
      </c>
      <c r="AK76" s="314" t="e">
        <v>#N/A</v>
      </c>
      <c r="AL76" s="314" t="e">
        <v>#N/A</v>
      </c>
      <c r="AM76" s="314" t="e">
        <v>#N/A</v>
      </c>
      <c r="AN76" s="314" t="e">
        <v>#N/A</v>
      </c>
      <c r="AO76" s="314" t="e">
        <v>#N/A</v>
      </c>
      <c r="AP76" s="314" t="e">
        <v>#N/A</v>
      </c>
    </row>
    <row r="77" spans="1:42">
      <c r="A77" s="547">
        <f t="shared" si="1"/>
        <v>1992</v>
      </c>
      <c r="B77" s="578">
        <v>33694</v>
      </c>
      <c r="C77" s="314">
        <v>77059</v>
      </c>
      <c r="D77" s="314">
        <v>77961</v>
      </c>
      <c r="E77" s="314">
        <v>139438</v>
      </c>
      <c r="F77" s="314" t="e">
        <v>#N/A</v>
      </c>
      <c r="G77" s="314" t="e">
        <v>#N/A</v>
      </c>
      <c r="H77" s="314" t="e">
        <v>#N/A</v>
      </c>
      <c r="I77" s="314" t="e">
        <v>#N/A</v>
      </c>
      <c r="J77" s="314" t="e">
        <v>#N/A</v>
      </c>
      <c r="K77" s="314" t="e">
        <v>#N/A</v>
      </c>
      <c r="L77" s="314" t="e">
        <v>#N/A</v>
      </c>
      <c r="M77" s="314" t="e">
        <v>#N/A</v>
      </c>
      <c r="N77" s="314" t="e">
        <v>#N/A</v>
      </c>
      <c r="O77" s="314" t="e">
        <v>#N/A</v>
      </c>
      <c r="P77" s="314" t="e">
        <v>#N/A</v>
      </c>
      <c r="Q77" s="314" t="e">
        <v>#N/A</v>
      </c>
      <c r="R77" s="314" t="e">
        <v>#N/A</v>
      </c>
      <c r="S77" s="314" t="e">
        <v>#N/A</v>
      </c>
      <c r="T77" s="314" t="e">
        <v>#N/A</v>
      </c>
      <c r="U77" s="314" t="e">
        <v>#N/A</v>
      </c>
      <c r="V77" s="314" t="e">
        <v>#N/A</v>
      </c>
      <c r="W77" s="314" t="e">
        <v>#N/A</v>
      </c>
      <c r="X77" s="314" t="e">
        <v>#N/A</v>
      </c>
      <c r="Y77" s="314" t="e">
        <v>#N/A</v>
      </c>
      <c r="Z77" s="314" t="e">
        <v>#N/A</v>
      </c>
      <c r="AA77" s="314" t="e">
        <v>#N/A</v>
      </c>
      <c r="AB77" s="314" t="e">
        <v>#N/A</v>
      </c>
      <c r="AC77" s="314" t="e">
        <v>#N/A</v>
      </c>
      <c r="AD77" s="314" t="e">
        <v>#N/A</v>
      </c>
      <c r="AE77" s="314" t="e">
        <v>#N/A</v>
      </c>
      <c r="AF77" s="314" t="e">
        <v>#N/A</v>
      </c>
      <c r="AG77" s="314" t="e">
        <v>#N/A</v>
      </c>
      <c r="AH77" s="314" t="e">
        <v>#N/A</v>
      </c>
      <c r="AI77" s="314" t="e">
        <v>#N/A</v>
      </c>
      <c r="AJ77" s="314" t="e">
        <v>#N/A</v>
      </c>
      <c r="AK77" s="314" t="e">
        <v>#N/A</v>
      </c>
      <c r="AL77" s="314" t="e">
        <v>#N/A</v>
      </c>
      <c r="AM77" s="314" t="e">
        <v>#N/A</v>
      </c>
      <c r="AN77" s="314" t="e">
        <v>#N/A</v>
      </c>
      <c r="AO77" s="314" t="e">
        <v>#N/A</v>
      </c>
      <c r="AP77" s="314" t="e">
        <v>#N/A</v>
      </c>
    </row>
    <row r="78" spans="1:42">
      <c r="A78" s="547">
        <f t="shared" si="1"/>
        <v>1992</v>
      </c>
      <c r="B78" s="578">
        <v>33724</v>
      </c>
      <c r="C78" s="314">
        <v>47397</v>
      </c>
      <c r="D78" s="314">
        <v>15484</v>
      </c>
      <c r="E78" s="314">
        <v>61038</v>
      </c>
      <c r="F78" s="314" t="e">
        <v>#N/A</v>
      </c>
      <c r="G78" s="314" t="e">
        <v>#N/A</v>
      </c>
      <c r="H78" s="314" t="e">
        <v>#N/A</v>
      </c>
      <c r="I78" s="314" t="e">
        <v>#N/A</v>
      </c>
      <c r="J78" s="314" t="e">
        <v>#N/A</v>
      </c>
      <c r="K78" s="314" t="e">
        <v>#N/A</v>
      </c>
      <c r="L78" s="314" t="e">
        <v>#N/A</v>
      </c>
      <c r="M78" s="314" t="e">
        <v>#N/A</v>
      </c>
      <c r="N78" s="314" t="e">
        <v>#N/A</v>
      </c>
      <c r="O78" s="314" t="e">
        <v>#N/A</v>
      </c>
      <c r="P78" s="314" t="e">
        <v>#N/A</v>
      </c>
      <c r="Q78" s="314" t="e">
        <v>#N/A</v>
      </c>
      <c r="R78" s="314" t="e">
        <v>#N/A</v>
      </c>
      <c r="S78" s="314" t="e">
        <v>#N/A</v>
      </c>
      <c r="T78" s="314" t="e">
        <v>#N/A</v>
      </c>
      <c r="U78" s="314" t="e">
        <v>#N/A</v>
      </c>
      <c r="V78" s="314" t="e">
        <v>#N/A</v>
      </c>
      <c r="W78" s="314" t="e">
        <v>#N/A</v>
      </c>
      <c r="X78" s="314" t="e">
        <v>#N/A</v>
      </c>
      <c r="Y78" s="314" t="e">
        <v>#N/A</v>
      </c>
      <c r="Z78" s="314" t="e">
        <v>#N/A</v>
      </c>
      <c r="AA78" s="314" t="e">
        <v>#N/A</v>
      </c>
      <c r="AB78" s="314" t="e">
        <v>#N/A</v>
      </c>
      <c r="AC78" s="314" t="e">
        <v>#N/A</v>
      </c>
      <c r="AD78" s="314" t="e">
        <v>#N/A</v>
      </c>
      <c r="AE78" s="314" t="e">
        <v>#N/A</v>
      </c>
      <c r="AF78" s="314" t="e">
        <v>#N/A</v>
      </c>
      <c r="AG78" s="314" t="e">
        <v>#N/A</v>
      </c>
      <c r="AH78" s="314" t="e">
        <v>#N/A</v>
      </c>
      <c r="AI78" s="314" t="e">
        <v>#N/A</v>
      </c>
      <c r="AJ78" s="314" t="e">
        <v>#N/A</v>
      </c>
      <c r="AK78" s="314" t="e">
        <v>#N/A</v>
      </c>
      <c r="AL78" s="314" t="e">
        <v>#N/A</v>
      </c>
      <c r="AM78" s="314" t="e">
        <v>#N/A</v>
      </c>
      <c r="AN78" s="314" t="e">
        <v>#N/A</v>
      </c>
      <c r="AO78" s="314" t="e">
        <v>#N/A</v>
      </c>
      <c r="AP78" s="314" t="e">
        <v>#N/A</v>
      </c>
    </row>
    <row r="79" spans="1:42">
      <c r="A79" s="547">
        <f t="shared" si="1"/>
        <v>1992</v>
      </c>
      <c r="B79" s="578">
        <v>33755</v>
      </c>
      <c r="C79" s="314">
        <v>142310</v>
      </c>
      <c r="D79" s="314">
        <v>45199</v>
      </c>
      <c r="E79" s="314">
        <v>87618</v>
      </c>
      <c r="F79" s="314" t="e">
        <v>#N/A</v>
      </c>
      <c r="G79" s="314" t="e">
        <v>#N/A</v>
      </c>
      <c r="H79" s="314" t="e">
        <v>#N/A</v>
      </c>
      <c r="I79" s="314" t="e">
        <v>#N/A</v>
      </c>
      <c r="J79" s="314" t="e">
        <v>#N/A</v>
      </c>
      <c r="K79" s="314" t="e">
        <v>#N/A</v>
      </c>
      <c r="L79" s="314" t="e">
        <v>#N/A</v>
      </c>
      <c r="M79" s="314" t="e">
        <v>#N/A</v>
      </c>
      <c r="N79" s="314" t="e">
        <v>#N/A</v>
      </c>
      <c r="O79" s="314" t="e">
        <v>#N/A</v>
      </c>
      <c r="P79" s="314" t="e">
        <v>#N/A</v>
      </c>
      <c r="Q79" s="314" t="e">
        <v>#N/A</v>
      </c>
      <c r="R79" s="314" t="e">
        <v>#N/A</v>
      </c>
      <c r="S79" s="314" t="e">
        <v>#N/A</v>
      </c>
      <c r="T79" s="314" t="e">
        <v>#N/A</v>
      </c>
      <c r="U79" s="314" t="e">
        <v>#N/A</v>
      </c>
      <c r="V79" s="314" t="e">
        <v>#N/A</v>
      </c>
      <c r="W79" s="314" t="e">
        <v>#N/A</v>
      </c>
      <c r="X79" s="314" t="e">
        <v>#N/A</v>
      </c>
      <c r="Y79" s="314" t="e">
        <v>#N/A</v>
      </c>
      <c r="Z79" s="314" t="e">
        <v>#N/A</v>
      </c>
      <c r="AA79" s="314" t="e">
        <v>#N/A</v>
      </c>
      <c r="AB79" s="314" t="e">
        <v>#N/A</v>
      </c>
      <c r="AC79" s="314" t="e">
        <v>#N/A</v>
      </c>
      <c r="AD79" s="314" t="e">
        <v>#N/A</v>
      </c>
      <c r="AE79" s="314" t="e">
        <v>#N/A</v>
      </c>
      <c r="AF79" s="314" t="e">
        <v>#N/A</v>
      </c>
      <c r="AG79" s="314" t="e">
        <v>#N/A</v>
      </c>
      <c r="AH79" s="314" t="e">
        <v>#N/A</v>
      </c>
      <c r="AI79" s="314" t="e">
        <v>#N/A</v>
      </c>
      <c r="AJ79" s="314" t="e">
        <v>#N/A</v>
      </c>
      <c r="AK79" s="314" t="e">
        <v>#N/A</v>
      </c>
      <c r="AL79" s="314" t="e">
        <v>#N/A</v>
      </c>
      <c r="AM79" s="314" t="e">
        <v>#N/A</v>
      </c>
      <c r="AN79" s="314" t="e">
        <v>#N/A</v>
      </c>
      <c r="AO79" s="314" t="e">
        <v>#N/A</v>
      </c>
      <c r="AP79" s="314" t="e">
        <v>#N/A</v>
      </c>
    </row>
    <row r="80" spans="1:42">
      <c r="A80" s="547">
        <f t="shared" si="1"/>
        <v>1992</v>
      </c>
      <c r="B80" s="578">
        <v>33785</v>
      </c>
      <c r="C80" s="314">
        <v>135821</v>
      </c>
      <c r="D80" s="314">
        <v>31754</v>
      </c>
      <c r="E80" s="314">
        <v>134134</v>
      </c>
      <c r="F80" s="314" t="e">
        <v>#N/A</v>
      </c>
      <c r="G80" s="314" t="e">
        <v>#N/A</v>
      </c>
      <c r="H80" s="314" t="e">
        <v>#N/A</v>
      </c>
      <c r="I80" s="314" t="e">
        <v>#N/A</v>
      </c>
      <c r="J80" s="314" t="e">
        <v>#N/A</v>
      </c>
      <c r="K80" s="314" t="e">
        <v>#N/A</v>
      </c>
      <c r="L80" s="314" t="e">
        <v>#N/A</v>
      </c>
      <c r="M80" s="314" t="e">
        <v>#N/A</v>
      </c>
      <c r="N80" s="314" t="e">
        <v>#N/A</v>
      </c>
      <c r="O80" s="314" t="e">
        <v>#N/A</v>
      </c>
      <c r="P80" s="314" t="e">
        <v>#N/A</v>
      </c>
      <c r="Q80" s="314" t="e">
        <v>#N/A</v>
      </c>
      <c r="R80" s="314" t="e">
        <v>#N/A</v>
      </c>
      <c r="S80" s="314" t="e">
        <v>#N/A</v>
      </c>
      <c r="T80" s="314" t="e">
        <v>#N/A</v>
      </c>
      <c r="U80" s="314" t="e">
        <v>#N/A</v>
      </c>
      <c r="V80" s="314" t="e">
        <v>#N/A</v>
      </c>
      <c r="W80" s="314" t="e">
        <v>#N/A</v>
      </c>
      <c r="X80" s="314" t="e">
        <v>#N/A</v>
      </c>
      <c r="Y80" s="314" t="e">
        <v>#N/A</v>
      </c>
      <c r="Z80" s="314" t="e">
        <v>#N/A</v>
      </c>
      <c r="AA80" s="314" t="e">
        <v>#N/A</v>
      </c>
      <c r="AB80" s="314" t="e">
        <v>#N/A</v>
      </c>
      <c r="AC80" s="314" t="e">
        <v>#N/A</v>
      </c>
      <c r="AD80" s="314" t="e">
        <v>#N/A</v>
      </c>
      <c r="AE80" s="314" t="e">
        <v>#N/A</v>
      </c>
      <c r="AF80" s="314" t="e">
        <v>#N/A</v>
      </c>
      <c r="AG80" s="314" t="e">
        <v>#N/A</v>
      </c>
      <c r="AH80" s="314" t="e">
        <v>#N/A</v>
      </c>
      <c r="AI80" s="314" t="e">
        <v>#N/A</v>
      </c>
      <c r="AJ80" s="314" t="e">
        <v>#N/A</v>
      </c>
      <c r="AK80" s="314" t="e">
        <v>#N/A</v>
      </c>
      <c r="AL80" s="314" t="e">
        <v>#N/A</v>
      </c>
      <c r="AM80" s="314" t="e">
        <v>#N/A</v>
      </c>
      <c r="AN80" s="314" t="e">
        <v>#N/A</v>
      </c>
      <c r="AO80" s="314" t="e">
        <v>#N/A</v>
      </c>
      <c r="AP80" s="314" t="e">
        <v>#N/A</v>
      </c>
    </row>
    <row r="81" spans="1:42">
      <c r="A81" s="547">
        <f t="shared" si="1"/>
        <v>1992</v>
      </c>
      <c r="B81" s="578">
        <v>33816</v>
      </c>
      <c r="C81" s="314">
        <v>56254</v>
      </c>
      <c r="D81" s="314">
        <v>32832</v>
      </c>
      <c r="E81" s="314">
        <v>91280</v>
      </c>
      <c r="F81" s="314" t="e">
        <v>#N/A</v>
      </c>
      <c r="G81" s="314" t="e">
        <v>#N/A</v>
      </c>
      <c r="H81" s="314" t="e">
        <v>#N/A</v>
      </c>
      <c r="I81" s="314" t="e">
        <v>#N/A</v>
      </c>
      <c r="J81" s="314" t="e">
        <v>#N/A</v>
      </c>
      <c r="K81" s="314" t="e">
        <v>#N/A</v>
      </c>
      <c r="L81" s="314" t="e">
        <v>#N/A</v>
      </c>
      <c r="M81" s="314" t="e">
        <v>#N/A</v>
      </c>
      <c r="N81" s="314" t="e">
        <v>#N/A</v>
      </c>
      <c r="O81" s="314" t="e">
        <v>#N/A</v>
      </c>
      <c r="P81" s="314" t="e">
        <v>#N/A</v>
      </c>
      <c r="Q81" s="314" t="e">
        <v>#N/A</v>
      </c>
      <c r="R81" s="314" t="e">
        <v>#N/A</v>
      </c>
      <c r="S81" s="314" t="e">
        <v>#N/A</v>
      </c>
      <c r="T81" s="314" t="e">
        <v>#N/A</v>
      </c>
      <c r="U81" s="314" t="e">
        <v>#N/A</v>
      </c>
      <c r="V81" s="314" t="e">
        <v>#N/A</v>
      </c>
      <c r="W81" s="314" t="e">
        <v>#N/A</v>
      </c>
      <c r="X81" s="314" t="e">
        <v>#N/A</v>
      </c>
      <c r="Y81" s="314" t="e">
        <v>#N/A</v>
      </c>
      <c r="Z81" s="314" t="e">
        <v>#N/A</v>
      </c>
      <c r="AA81" s="314" t="e">
        <v>#N/A</v>
      </c>
      <c r="AB81" s="314" t="e">
        <v>#N/A</v>
      </c>
      <c r="AC81" s="314" t="e">
        <v>#N/A</v>
      </c>
      <c r="AD81" s="314" t="e">
        <v>#N/A</v>
      </c>
      <c r="AE81" s="314" t="e">
        <v>#N/A</v>
      </c>
      <c r="AF81" s="314" t="e">
        <v>#N/A</v>
      </c>
      <c r="AG81" s="314" t="e">
        <v>#N/A</v>
      </c>
      <c r="AH81" s="314" t="e">
        <v>#N/A</v>
      </c>
      <c r="AI81" s="314" t="e">
        <v>#N/A</v>
      </c>
      <c r="AJ81" s="314" t="e">
        <v>#N/A</v>
      </c>
      <c r="AK81" s="314" t="e">
        <v>#N/A</v>
      </c>
      <c r="AL81" s="314" t="e">
        <v>#N/A</v>
      </c>
      <c r="AM81" s="314" t="e">
        <v>#N/A</v>
      </c>
      <c r="AN81" s="314" t="e">
        <v>#N/A</v>
      </c>
      <c r="AO81" s="314" t="e">
        <v>#N/A</v>
      </c>
      <c r="AP81" s="314" t="e">
        <v>#N/A</v>
      </c>
    </row>
    <row r="82" spans="1:42">
      <c r="A82" s="547">
        <f t="shared" si="1"/>
        <v>1992</v>
      </c>
      <c r="B82" s="578">
        <v>33847</v>
      </c>
      <c r="C82" s="314">
        <v>14762</v>
      </c>
      <c r="D82" s="314">
        <v>69148</v>
      </c>
      <c r="E82" s="314">
        <v>63604</v>
      </c>
      <c r="F82" s="314" t="e">
        <v>#N/A</v>
      </c>
      <c r="G82" s="314" t="e">
        <v>#N/A</v>
      </c>
      <c r="H82" s="314" t="e">
        <v>#N/A</v>
      </c>
      <c r="I82" s="314" t="e">
        <v>#N/A</v>
      </c>
      <c r="J82" s="314" t="e">
        <v>#N/A</v>
      </c>
      <c r="K82" s="314" t="e">
        <v>#N/A</v>
      </c>
      <c r="L82" s="314" t="e">
        <v>#N/A</v>
      </c>
      <c r="M82" s="314" t="e">
        <v>#N/A</v>
      </c>
      <c r="N82" s="314" t="e">
        <v>#N/A</v>
      </c>
      <c r="O82" s="314" t="e">
        <v>#N/A</v>
      </c>
      <c r="P82" s="314" t="e">
        <v>#N/A</v>
      </c>
      <c r="Q82" s="314" t="e">
        <v>#N/A</v>
      </c>
      <c r="R82" s="314" t="e">
        <v>#N/A</v>
      </c>
      <c r="S82" s="314" t="e">
        <v>#N/A</v>
      </c>
      <c r="T82" s="314" t="e">
        <v>#N/A</v>
      </c>
      <c r="U82" s="314" t="e">
        <v>#N/A</v>
      </c>
      <c r="V82" s="314" t="e">
        <v>#N/A</v>
      </c>
      <c r="W82" s="314" t="e">
        <v>#N/A</v>
      </c>
      <c r="X82" s="314" t="e">
        <v>#N/A</v>
      </c>
      <c r="Y82" s="314" t="e">
        <v>#N/A</v>
      </c>
      <c r="Z82" s="314" t="e">
        <v>#N/A</v>
      </c>
      <c r="AA82" s="314" t="e">
        <v>#N/A</v>
      </c>
      <c r="AB82" s="314" t="e">
        <v>#N/A</v>
      </c>
      <c r="AC82" s="314" t="e">
        <v>#N/A</v>
      </c>
      <c r="AD82" s="314" t="e">
        <v>#N/A</v>
      </c>
      <c r="AE82" s="314" t="e">
        <v>#N/A</v>
      </c>
      <c r="AF82" s="314" t="e">
        <v>#N/A</v>
      </c>
      <c r="AG82" s="314" t="e">
        <v>#N/A</v>
      </c>
      <c r="AH82" s="314" t="e">
        <v>#N/A</v>
      </c>
      <c r="AI82" s="314" t="e">
        <v>#N/A</v>
      </c>
      <c r="AJ82" s="314" t="e">
        <v>#N/A</v>
      </c>
      <c r="AK82" s="314" t="e">
        <v>#N/A</v>
      </c>
      <c r="AL82" s="314" t="e">
        <v>#N/A</v>
      </c>
      <c r="AM82" s="314" t="e">
        <v>#N/A</v>
      </c>
      <c r="AN82" s="314" t="e">
        <v>#N/A</v>
      </c>
      <c r="AO82" s="314" t="e">
        <v>#N/A</v>
      </c>
      <c r="AP82" s="314" t="e">
        <v>#N/A</v>
      </c>
    </row>
    <row r="83" spans="1:42">
      <c r="A83" s="547">
        <f t="shared" si="1"/>
        <v>1992</v>
      </c>
      <c r="B83" s="578">
        <v>33877</v>
      </c>
      <c r="C83" s="314">
        <v>36128</v>
      </c>
      <c r="D83" s="314">
        <v>77760</v>
      </c>
      <c r="E83" s="314">
        <v>102222</v>
      </c>
      <c r="F83" s="314" t="e">
        <v>#N/A</v>
      </c>
      <c r="G83" s="314" t="e">
        <v>#N/A</v>
      </c>
      <c r="H83" s="314" t="e">
        <v>#N/A</v>
      </c>
      <c r="I83" s="314" t="e">
        <v>#N/A</v>
      </c>
      <c r="J83" s="314" t="e">
        <v>#N/A</v>
      </c>
      <c r="K83" s="314" t="e">
        <v>#N/A</v>
      </c>
      <c r="L83" s="314" t="e">
        <v>#N/A</v>
      </c>
      <c r="M83" s="314" t="e">
        <v>#N/A</v>
      </c>
      <c r="N83" s="314" t="e">
        <v>#N/A</v>
      </c>
      <c r="O83" s="314" t="e">
        <v>#N/A</v>
      </c>
      <c r="P83" s="314" t="e">
        <v>#N/A</v>
      </c>
      <c r="Q83" s="314" t="e">
        <v>#N/A</v>
      </c>
      <c r="R83" s="314" t="e">
        <v>#N/A</v>
      </c>
      <c r="S83" s="314" t="e">
        <v>#N/A</v>
      </c>
      <c r="T83" s="314" t="e">
        <v>#N/A</v>
      </c>
      <c r="U83" s="314" t="e">
        <v>#N/A</v>
      </c>
      <c r="V83" s="314" t="e">
        <v>#N/A</v>
      </c>
      <c r="W83" s="314" t="e">
        <v>#N/A</v>
      </c>
      <c r="X83" s="314" t="e">
        <v>#N/A</v>
      </c>
      <c r="Y83" s="314" t="e">
        <v>#N/A</v>
      </c>
      <c r="Z83" s="314" t="e">
        <v>#N/A</v>
      </c>
      <c r="AA83" s="314" t="e">
        <v>#N/A</v>
      </c>
      <c r="AB83" s="314" t="e">
        <v>#N/A</v>
      </c>
      <c r="AC83" s="314" t="e">
        <v>#N/A</v>
      </c>
      <c r="AD83" s="314" t="e">
        <v>#N/A</v>
      </c>
      <c r="AE83" s="314" t="e">
        <v>#N/A</v>
      </c>
      <c r="AF83" s="314" t="e">
        <v>#N/A</v>
      </c>
      <c r="AG83" s="314" t="e">
        <v>#N/A</v>
      </c>
      <c r="AH83" s="314" t="e">
        <v>#N/A</v>
      </c>
      <c r="AI83" s="314" t="e">
        <v>#N/A</v>
      </c>
      <c r="AJ83" s="314" t="e">
        <v>#N/A</v>
      </c>
      <c r="AK83" s="314" t="e">
        <v>#N/A</v>
      </c>
      <c r="AL83" s="314" t="e">
        <v>#N/A</v>
      </c>
      <c r="AM83" s="314" t="e">
        <v>#N/A</v>
      </c>
      <c r="AN83" s="314" t="e">
        <v>#N/A</v>
      </c>
      <c r="AO83" s="314" t="e">
        <v>#N/A</v>
      </c>
      <c r="AP83" s="314" t="e">
        <v>#N/A</v>
      </c>
    </row>
    <row r="84" spans="1:42">
      <c r="A84" s="547">
        <f t="shared" si="1"/>
        <v>1992</v>
      </c>
      <c r="B84" s="578">
        <v>33908</v>
      </c>
      <c r="C84" s="314">
        <v>89391</v>
      </c>
      <c r="D84" s="314">
        <v>11303</v>
      </c>
      <c r="E84" s="314">
        <v>38835</v>
      </c>
      <c r="F84" s="314" t="e">
        <v>#N/A</v>
      </c>
      <c r="G84" s="314" t="e">
        <v>#N/A</v>
      </c>
      <c r="H84" s="314" t="e">
        <v>#N/A</v>
      </c>
      <c r="I84" s="314" t="e">
        <v>#N/A</v>
      </c>
      <c r="J84" s="314" t="e">
        <v>#N/A</v>
      </c>
      <c r="K84" s="314" t="e">
        <v>#N/A</v>
      </c>
      <c r="L84" s="314" t="e">
        <v>#N/A</v>
      </c>
      <c r="M84" s="314" t="e">
        <v>#N/A</v>
      </c>
      <c r="N84" s="314" t="e">
        <v>#N/A</v>
      </c>
      <c r="O84" s="314" t="e">
        <v>#N/A</v>
      </c>
      <c r="P84" s="314" t="e">
        <v>#N/A</v>
      </c>
      <c r="Q84" s="314" t="e">
        <v>#N/A</v>
      </c>
      <c r="R84" s="314" t="e">
        <v>#N/A</v>
      </c>
      <c r="S84" s="314" t="e">
        <v>#N/A</v>
      </c>
      <c r="T84" s="314" t="e">
        <v>#N/A</v>
      </c>
      <c r="U84" s="314" t="e">
        <v>#N/A</v>
      </c>
      <c r="V84" s="314" t="e">
        <v>#N/A</v>
      </c>
      <c r="W84" s="314" t="e">
        <v>#N/A</v>
      </c>
      <c r="X84" s="314" t="e">
        <v>#N/A</v>
      </c>
      <c r="Y84" s="314" t="e">
        <v>#N/A</v>
      </c>
      <c r="Z84" s="314" t="e">
        <v>#N/A</v>
      </c>
      <c r="AA84" s="314" t="e">
        <v>#N/A</v>
      </c>
      <c r="AB84" s="314" t="e">
        <v>#N/A</v>
      </c>
      <c r="AC84" s="314" t="e">
        <v>#N/A</v>
      </c>
      <c r="AD84" s="314" t="e">
        <v>#N/A</v>
      </c>
      <c r="AE84" s="314" t="e">
        <v>#N/A</v>
      </c>
      <c r="AF84" s="314" t="e">
        <v>#N/A</v>
      </c>
      <c r="AG84" s="314" t="e">
        <v>#N/A</v>
      </c>
      <c r="AH84" s="314" t="e">
        <v>#N/A</v>
      </c>
      <c r="AI84" s="314" t="e">
        <v>#N/A</v>
      </c>
      <c r="AJ84" s="314" t="e">
        <v>#N/A</v>
      </c>
      <c r="AK84" s="314" t="e">
        <v>#N/A</v>
      </c>
      <c r="AL84" s="314" t="e">
        <v>#N/A</v>
      </c>
      <c r="AM84" s="314" t="e">
        <v>#N/A</v>
      </c>
      <c r="AN84" s="314" t="e">
        <v>#N/A</v>
      </c>
      <c r="AO84" s="314" t="e">
        <v>#N/A</v>
      </c>
      <c r="AP84" s="314" t="e">
        <v>#N/A</v>
      </c>
    </row>
    <row r="85" spans="1:42">
      <c r="A85" s="547">
        <f t="shared" si="1"/>
        <v>1992</v>
      </c>
      <c r="B85" s="578">
        <v>33938</v>
      </c>
      <c r="C85" s="314">
        <v>26541</v>
      </c>
      <c r="D85" s="314">
        <v>41132</v>
      </c>
      <c r="E85" s="314">
        <v>49148</v>
      </c>
      <c r="F85" s="314" t="e">
        <v>#N/A</v>
      </c>
      <c r="G85" s="314" t="e">
        <v>#N/A</v>
      </c>
      <c r="H85" s="314" t="e">
        <v>#N/A</v>
      </c>
      <c r="I85" s="314" t="e">
        <v>#N/A</v>
      </c>
      <c r="J85" s="314" t="e">
        <v>#N/A</v>
      </c>
      <c r="K85" s="314" t="e">
        <v>#N/A</v>
      </c>
      <c r="L85" s="314" t="e">
        <v>#N/A</v>
      </c>
      <c r="M85" s="314" t="e">
        <v>#N/A</v>
      </c>
      <c r="N85" s="314" t="e">
        <v>#N/A</v>
      </c>
      <c r="O85" s="314" t="e">
        <v>#N/A</v>
      </c>
      <c r="P85" s="314" t="e">
        <v>#N/A</v>
      </c>
      <c r="Q85" s="314" t="e">
        <v>#N/A</v>
      </c>
      <c r="R85" s="314" t="e">
        <v>#N/A</v>
      </c>
      <c r="S85" s="314" t="e">
        <v>#N/A</v>
      </c>
      <c r="T85" s="314" t="e">
        <v>#N/A</v>
      </c>
      <c r="U85" s="314" t="e">
        <v>#N/A</v>
      </c>
      <c r="V85" s="314" t="e">
        <v>#N/A</v>
      </c>
      <c r="W85" s="314" t="e">
        <v>#N/A</v>
      </c>
      <c r="X85" s="314" t="e">
        <v>#N/A</v>
      </c>
      <c r="Y85" s="314" t="e">
        <v>#N/A</v>
      </c>
      <c r="Z85" s="314" t="e">
        <v>#N/A</v>
      </c>
      <c r="AA85" s="314" t="e">
        <v>#N/A</v>
      </c>
      <c r="AB85" s="314" t="e">
        <v>#N/A</v>
      </c>
      <c r="AC85" s="314" t="e">
        <v>#N/A</v>
      </c>
      <c r="AD85" s="314" t="e">
        <v>#N/A</v>
      </c>
      <c r="AE85" s="314" t="e">
        <v>#N/A</v>
      </c>
      <c r="AF85" s="314" t="e">
        <v>#N/A</v>
      </c>
      <c r="AG85" s="314" t="e">
        <v>#N/A</v>
      </c>
      <c r="AH85" s="314" t="e">
        <v>#N/A</v>
      </c>
      <c r="AI85" s="314" t="e">
        <v>#N/A</v>
      </c>
      <c r="AJ85" s="314" t="e">
        <v>#N/A</v>
      </c>
      <c r="AK85" s="314" t="e">
        <v>#N/A</v>
      </c>
      <c r="AL85" s="314" t="e">
        <v>#N/A</v>
      </c>
      <c r="AM85" s="314" t="e">
        <v>#N/A</v>
      </c>
      <c r="AN85" s="314" t="e">
        <v>#N/A</v>
      </c>
      <c r="AO85" s="314" t="e">
        <v>#N/A</v>
      </c>
      <c r="AP85" s="314" t="e">
        <v>#N/A</v>
      </c>
    </row>
    <row r="86" spans="1:42">
      <c r="A86" s="547">
        <f t="shared" si="1"/>
        <v>1992</v>
      </c>
      <c r="B86" s="578">
        <v>33969</v>
      </c>
      <c r="C86" s="314">
        <v>16548</v>
      </c>
      <c r="D86" s="314">
        <v>17767</v>
      </c>
      <c r="E86" s="314">
        <v>44188</v>
      </c>
      <c r="F86" s="314" t="e">
        <v>#N/A</v>
      </c>
      <c r="G86" s="314" t="e">
        <v>#N/A</v>
      </c>
      <c r="H86" s="314" t="e">
        <v>#N/A</v>
      </c>
      <c r="I86" s="314" t="e">
        <v>#N/A</v>
      </c>
      <c r="J86" s="314" t="e">
        <v>#N/A</v>
      </c>
      <c r="K86" s="314" t="e">
        <v>#N/A</v>
      </c>
      <c r="L86" s="314" t="e">
        <v>#N/A</v>
      </c>
      <c r="M86" s="314" t="e">
        <v>#N/A</v>
      </c>
      <c r="N86" s="314" t="e">
        <v>#N/A</v>
      </c>
      <c r="O86" s="314" t="e">
        <v>#N/A</v>
      </c>
      <c r="P86" s="314" t="e">
        <v>#N/A</v>
      </c>
      <c r="Q86" s="314" t="e">
        <v>#N/A</v>
      </c>
      <c r="R86" s="314" t="e">
        <v>#N/A</v>
      </c>
      <c r="S86" s="314" t="e">
        <v>#N/A</v>
      </c>
      <c r="T86" s="314" t="e">
        <v>#N/A</v>
      </c>
      <c r="U86" s="314" t="e">
        <v>#N/A</v>
      </c>
      <c r="V86" s="314" t="e">
        <v>#N/A</v>
      </c>
      <c r="W86" s="314" t="e">
        <v>#N/A</v>
      </c>
      <c r="X86" s="314" t="e">
        <v>#N/A</v>
      </c>
      <c r="Y86" s="314" t="e">
        <v>#N/A</v>
      </c>
      <c r="Z86" s="314" t="e">
        <v>#N/A</v>
      </c>
      <c r="AA86" s="314" t="e">
        <v>#N/A</v>
      </c>
      <c r="AB86" s="314" t="e">
        <v>#N/A</v>
      </c>
      <c r="AC86" s="314" t="e">
        <v>#N/A</v>
      </c>
      <c r="AD86" s="314" t="e">
        <v>#N/A</v>
      </c>
      <c r="AE86" s="314" t="e">
        <v>#N/A</v>
      </c>
      <c r="AF86" s="314" t="e">
        <v>#N/A</v>
      </c>
      <c r="AG86" s="314" t="e">
        <v>#N/A</v>
      </c>
      <c r="AH86" s="314" t="e">
        <v>#N/A</v>
      </c>
      <c r="AI86" s="314" t="e">
        <v>#N/A</v>
      </c>
      <c r="AJ86" s="314" t="e">
        <v>#N/A</v>
      </c>
      <c r="AK86" s="314" t="e">
        <v>#N/A</v>
      </c>
      <c r="AL86" s="314" t="e">
        <v>#N/A</v>
      </c>
      <c r="AM86" s="314" t="e">
        <v>#N/A</v>
      </c>
      <c r="AN86" s="314" t="e">
        <v>#N/A</v>
      </c>
      <c r="AO86" s="314" t="e">
        <v>#N/A</v>
      </c>
      <c r="AP86" s="314" t="e">
        <v>#N/A</v>
      </c>
    </row>
    <row r="87" spans="1:42">
      <c r="A87" s="547">
        <f t="shared" si="1"/>
        <v>1993</v>
      </c>
      <c r="B87" s="578">
        <v>34000</v>
      </c>
      <c r="C87" s="314">
        <v>14167</v>
      </c>
      <c r="D87" s="314">
        <v>57415</v>
      </c>
      <c r="E87" s="314">
        <v>41179</v>
      </c>
      <c r="F87" s="314">
        <v>32094</v>
      </c>
      <c r="G87" s="314">
        <v>1341</v>
      </c>
      <c r="H87" s="314">
        <v>2602</v>
      </c>
      <c r="I87" s="314">
        <v>9293</v>
      </c>
      <c r="J87" s="314">
        <v>5220</v>
      </c>
      <c r="K87" s="314">
        <v>0</v>
      </c>
      <c r="L87" s="314">
        <v>173</v>
      </c>
      <c r="M87" s="314">
        <v>3355</v>
      </c>
      <c r="N87" s="314">
        <v>219</v>
      </c>
      <c r="O87" s="314">
        <v>0</v>
      </c>
      <c r="P87" s="314">
        <v>0</v>
      </c>
      <c r="Q87" s="314">
        <v>0</v>
      </c>
      <c r="R87" s="314" t="e">
        <v>#N/A</v>
      </c>
      <c r="S87" s="314">
        <v>75</v>
      </c>
      <c r="T87" s="314">
        <v>787</v>
      </c>
      <c r="U87" s="314">
        <v>0</v>
      </c>
      <c r="V87" s="314" t="e">
        <v>#N/A</v>
      </c>
      <c r="W87" s="314">
        <v>249</v>
      </c>
      <c r="X87" s="314">
        <v>25610</v>
      </c>
      <c r="Y87" s="314">
        <v>6406</v>
      </c>
      <c r="Z87" s="314">
        <v>10566</v>
      </c>
      <c r="AA87" s="314">
        <v>0</v>
      </c>
      <c r="AB87" s="314">
        <v>1876</v>
      </c>
      <c r="AC87" s="314">
        <v>0</v>
      </c>
      <c r="AD87" s="314">
        <v>2812</v>
      </c>
      <c r="AE87" s="314">
        <v>11175</v>
      </c>
      <c r="AF87" s="314">
        <v>24510</v>
      </c>
      <c r="AG87" s="314">
        <v>20797</v>
      </c>
      <c r="AH87" s="314">
        <v>7504</v>
      </c>
      <c r="AI87" s="314">
        <v>1327</v>
      </c>
      <c r="AJ87" s="314">
        <v>1857</v>
      </c>
      <c r="AK87" s="314">
        <v>1328</v>
      </c>
      <c r="AL87" s="314" t="e">
        <v>#N/A</v>
      </c>
      <c r="AM87" s="314">
        <v>0</v>
      </c>
      <c r="AN87" s="314">
        <v>0</v>
      </c>
      <c r="AO87" s="314">
        <v>0</v>
      </c>
      <c r="AP87" s="314">
        <v>5773</v>
      </c>
    </row>
    <row r="88" spans="1:42">
      <c r="A88" s="547">
        <f t="shared" si="1"/>
        <v>1993</v>
      </c>
      <c r="B88" s="578">
        <v>34028</v>
      </c>
      <c r="C88" s="314">
        <v>82834</v>
      </c>
      <c r="D88" s="314">
        <v>28342</v>
      </c>
      <c r="E88" s="314">
        <v>76859</v>
      </c>
      <c r="F88" s="314">
        <v>24335</v>
      </c>
      <c r="G88" s="314">
        <v>992</v>
      </c>
      <c r="H88" s="314">
        <v>4563</v>
      </c>
      <c r="I88" s="314">
        <v>13577</v>
      </c>
      <c r="J88" s="314">
        <v>5433</v>
      </c>
      <c r="K88" s="314">
        <v>0</v>
      </c>
      <c r="L88" s="314">
        <v>0</v>
      </c>
      <c r="M88" s="314">
        <v>6761</v>
      </c>
      <c r="N88" s="314">
        <v>666</v>
      </c>
      <c r="O88" s="314">
        <v>0</v>
      </c>
      <c r="P88" s="314">
        <v>0</v>
      </c>
      <c r="Q88" s="314">
        <v>0</v>
      </c>
      <c r="R88" s="314">
        <v>30</v>
      </c>
      <c r="S88" s="314">
        <v>32</v>
      </c>
      <c r="T88" s="314">
        <v>138</v>
      </c>
      <c r="U88" s="314">
        <v>340</v>
      </c>
      <c r="V88" s="314">
        <v>2399</v>
      </c>
      <c r="W88" s="314">
        <v>14669</v>
      </c>
      <c r="X88" s="314">
        <v>9598</v>
      </c>
      <c r="Y88" s="314">
        <v>14108</v>
      </c>
      <c r="Z88" s="314">
        <v>906</v>
      </c>
      <c r="AA88" s="314">
        <v>0</v>
      </c>
      <c r="AB88" s="314">
        <v>1346</v>
      </c>
      <c r="AC88" s="314">
        <v>2104</v>
      </c>
      <c r="AD88" s="314">
        <v>4704</v>
      </c>
      <c r="AE88" s="314">
        <v>66288</v>
      </c>
      <c r="AF88" s="314">
        <v>11921</v>
      </c>
      <c r="AG88" s="314">
        <v>39969</v>
      </c>
      <c r="AH88" s="314">
        <v>9614</v>
      </c>
      <c r="AI88" s="314">
        <v>0</v>
      </c>
      <c r="AJ88" s="314">
        <v>776</v>
      </c>
      <c r="AK88" s="314">
        <v>0</v>
      </c>
      <c r="AL88" s="314">
        <v>583</v>
      </c>
      <c r="AM88" s="314">
        <v>853</v>
      </c>
      <c r="AN88" s="314">
        <v>0</v>
      </c>
      <c r="AO88" s="314">
        <v>0</v>
      </c>
      <c r="AP88" s="314">
        <v>0</v>
      </c>
    </row>
    <row r="89" spans="1:42">
      <c r="A89" s="547">
        <f t="shared" si="1"/>
        <v>1993</v>
      </c>
      <c r="B89" s="578">
        <v>34059</v>
      </c>
      <c r="C89" s="314">
        <v>74659</v>
      </c>
      <c r="D89" s="314">
        <v>35402</v>
      </c>
      <c r="E89" s="314">
        <v>63961</v>
      </c>
      <c r="F89" s="314">
        <v>28386</v>
      </c>
      <c r="G89" s="314">
        <v>7612</v>
      </c>
      <c r="H89" s="314">
        <v>4658</v>
      </c>
      <c r="I89" s="314">
        <v>12822</v>
      </c>
      <c r="J89" s="314">
        <v>5125</v>
      </c>
      <c r="K89" s="314">
        <v>4610</v>
      </c>
      <c r="L89" s="314">
        <v>3231</v>
      </c>
      <c r="M89" s="314">
        <v>1802</v>
      </c>
      <c r="N89" s="314">
        <v>904</v>
      </c>
      <c r="O89" s="314">
        <v>0</v>
      </c>
      <c r="P89" s="314">
        <v>117</v>
      </c>
      <c r="Q89" s="314">
        <v>0</v>
      </c>
      <c r="R89" s="314">
        <v>0</v>
      </c>
      <c r="S89" s="314">
        <v>0</v>
      </c>
      <c r="T89" s="314">
        <v>309</v>
      </c>
      <c r="U89" s="314">
        <v>823</v>
      </c>
      <c r="V89" s="314">
        <v>644</v>
      </c>
      <c r="W89" s="314">
        <v>1759</v>
      </c>
      <c r="X89" s="314">
        <v>8264</v>
      </c>
      <c r="Y89" s="314">
        <v>1071</v>
      </c>
      <c r="Z89" s="314">
        <v>16653</v>
      </c>
      <c r="AA89" s="314">
        <v>0</v>
      </c>
      <c r="AB89" s="314">
        <v>454</v>
      </c>
      <c r="AC89" s="314">
        <v>2691</v>
      </c>
      <c r="AD89" s="314">
        <v>2135</v>
      </c>
      <c r="AE89" s="314">
        <v>60678</v>
      </c>
      <c r="AF89" s="314">
        <v>16645</v>
      </c>
      <c r="AG89" s="314">
        <v>44535</v>
      </c>
      <c r="AH89" s="314">
        <v>2813</v>
      </c>
      <c r="AI89" s="314">
        <v>0</v>
      </c>
      <c r="AJ89" s="314">
        <v>1724</v>
      </c>
      <c r="AK89" s="314">
        <v>217</v>
      </c>
      <c r="AL89" s="314">
        <v>0</v>
      </c>
      <c r="AM89" s="314">
        <v>0</v>
      </c>
      <c r="AN89" s="314">
        <v>0</v>
      </c>
      <c r="AO89" s="314">
        <v>0</v>
      </c>
      <c r="AP89" s="314">
        <v>112</v>
      </c>
    </row>
    <row r="90" spans="1:42">
      <c r="A90" s="547">
        <f t="shared" si="1"/>
        <v>1993</v>
      </c>
      <c r="B90" s="578">
        <v>34089</v>
      </c>
      <c r="C90" s="314">
        <v>116589</v>
      </c>
      <c r="D90" s="314">
        <v>12196</v>
      </c>
      <c r="E90" s="314">
        <v>53619</v>
      </c>
      <c r="F90" s="314">
        <v>49457</v>
      </c>
      <c r="G90" s="314">
        <v>690</v>
      </c>
      <c r="H90" s="314">
        <v>339</v>
      </c>
      <c r="I90" s="314">
        <v>10980</v>
      </c>
      <c r="J90" s="314">
        <v>3410</v>
      </c>
      <c r="K90" s="314">
        <v>4509</v>
      </c>
      <c r="L90" s="314">
        <v>0</v>
      </c>
      <c r="M90" s="314">
        <v>326</v>
      </c>
      <c r="N90" s="314">
        <v>603</v>
      </c>
      <c r="O90" s="314">
        <v>0</v>
      </c>
      <c r="P90" s="314">
        <v>177</v>
      </c>
      <c r="Q90" s="314">
        <v>0</v>
      </c>
      <c r="R90" s="314">
        <v>0</v>
      </c>
      <c r="S90" s="314">
        <v>0</v>
      </c>
      <c r="T90" s="314">
        <v>217</v>
      </c>
      <c r="U90" s="314">
        <v>170</v>
      </c>
      <c r="V90" s="314">
        <v>174</v>
      </c>
      <c r="W90" s="314">
        <v>60641</v>
      </c>
      <c r="X90" s="314">
        <v>1443</v>
      </c>
      <c r="Y90" s="314">
        <v>7580</v>
      </c>
      <c r="Z90" s="314">
        <v>11399</v>
      </c>
      <c r="AA90" s="314">
        <v>0</v>
      </c>
      <c r="AB90" s="314">
        <v>488</v>
      </c>
      <c r="AC90" s="314">
        <v>0</v>
      </c>
      <c r="AD90" s="314">
        <v>0</v>
      </c>
      <c r="AE90" s="314">
        <v>48340</v>
      </c>
      <c r="AF90" s="314">
        <v>8982</v>
      </c>
      <c r="AG90" s="314">
        <v>34563</v>
      </c>
      <c r="AH90" s="314">
        <v>31286</v>
      </c>
      <c r="AI90" s="314">
        <v>0</v>
      </c>
      <c r="AJ90" s="314">
        <v>550</v>
      </c>
      <c r="AK90" s="314">
        <v>0</v>
      </c>
      <c r="AL90" s="314">
        <v>1686</v>
      </c>
      <c r="AM90" s="314">
        <v>2409</v>
      </c>
      <c r="AN90" s="314">
        <v>0</v>
      </c>
      <c r="AO90" s="314">
        <v>0</v>
      </c>
      <c r="AP90" s="314">
        <v>899</v>
      </c>
    </row>
    <row r="91" spans="1:42">
      <c r="A91" s="547">
        <f t="shared" si="1"/>
        <v>1993</v>
      </c>
      <c r="B91" s="578">
        <v>34120</v>
      </c>
      <c r="C91" s="314">
        <v>20847</v>
      </c>
      <c r="D91" s="314">
        <v>18598</v>
      </c>
      <c r="E91" s="314">
        <v>61370</v>
      </c>
      <c r="F91" s="314">
        <v>18470</v>
      </c>
      <c r="G91" s="314">
        <v>185</v>
      </c>
      <c r="H91" s="314">
        <v>851</v>
      </c>
      <c r="I91" s="314">
        <v>11183</v>
      </c>
      <c r="J91" s="314">
        <v>7580</v>
      </c>
      <c r="K91" s="314">
        <v>0</v>
      </c>
      <c r="L91" s="314">
        <v>1578</v>
      </c>
      <c r="M91" s="314">
        <v>0</v>
      </c>
      <c r="N91" s="314">
        <v>413</v>
      </c>
      <c r="O91" s="314">
        <v>0</v>
      </c>
      <c r="P91" s="314">
        <v>0</v>
      </c>
      <c r="Q91" s="314">
        <v>5686</v>
      </c>
      <c r="R91" s="314">
        <v>0</v>
      </c>
      <c r="S91" s="314">
        <v>0</v>
      </c>
      <c r="T91" s="314">
        <v>7865</v>
      </c>
      <c r="U91" s="314">
        <v>263</v>
      </c>
      <c r="V91" s="314">
        <v>373</v>
      </c>
      <c r="W91" s="314">
        <v>6557</v>
      </c>
      <c r="X91" s="314">
        <v>2859</v>
      </c>
      <c r="Y91" s="314">
        <v>9944</v>
      </c>
      <c r="Z91" s="314">
        <v>2707</v>
      </c>
      <c r="AA91" s="314">
        <v>0</v>
      </c>
      <c r="AB91" s="314">
        <v>2610</v>
      </c>
      <c r="AC91" s="314">
        <v>124</v>
      </c>
      <c r="AD91" s="314">
        <v>796</v>
      </c>
      <c r="AE91" s="314">
        <v>13927</v>
      </c>
      <c r="AF91" s="314">
        <v>2835</v>
      </c>
      <c r="AG91" s="314">
        <v>32961</v>
      </c>
      <c r="AH91" s="314">
        <v>6476</v>
      </c>
      <c r="AI91" s="314">
        <v>0</v>
      </c>
      <c r="AJ91" s="314">
        <v>0</v>
      </c>
      <c r="AK91" s="314">
        <v>1209</v>
      </c>
      <c r="AL91" s="314">
        <v>125</v>
      </c>
      <c r="AM91" s="314">
        <v>178</v>
      </c>
      <c r="AN91" s="314">
        <v>0</v>
      </c>
      <c r="AO91" s="314">
        <v>0</v>
      </c>
      <c r="AP91" s="314">
        <v>0</v>
      </c>
    </row>
    <row r="92" spans="1:42">
      <c r="A92" s="547">
        <f t="shared" si="1"/>
        <v>1993</v>
      </c>
      <c r="B92" s="578">
        <v>34150</v>
      </c>
      <c r="C92" s="314">
        <v>70563</v>
      </c>
      <c r="D92" s="314">
        <v>14128</v>
      </c>
      <c r="E92" s="314">
        <v>69989</v>
      </c>
      <c r="F92" s="314">
        <v>47362</v>
      </c>
      <c r="G92" s="314">
        <v>2147</v>
      </c>
      <c r="H92" s="314">
        <v>0</v>
      </c>
      <c r="I92" s="314">
        <v>11582</v>
      </c>
      <c r="J92" s="314">
        <v>17541</v>
      </c>
      <c r="K92" s="314">
        <v>1226</v>
      </c>
      <c r="L92" s="314">
        <v>185</v>
      </c>
      <c r="M92" s="314">
        <v>499</v>
      </c>
      <c r="N92" s="314">
        <v>1281</v>
      </c>
      <c r="O92" s="314">
        <v>0</v>
      </c>
      <c r="P92" s="314">
        <v>0</v>
      </c>
      <c r="Q92" s="314">
        <v>0</v>
      </c>
      <c r="R92" s="314">
        <v>0</v>
      </c>
      <c r="S92" s="314">
        <v>326</v>
      </c>
      <c r="T92" s="314">
        <v>170</v>
      </c>
      <c r="U92" s="314">
        <v>120</v>
      </c>
      <c r="V92" s="314">
        <v>1165</v>
      </c>
      <c r="W92" s="314">
        <v>3286</v>
      </c>
      <c r="X92" s="314">
        <v>8460</v>
      </c>
      <c r="Y92" s="314">
        <v>23545</v>
      </c>
      <c r="Z92" s="314">
        <v>12343</v>
      </c>
      <c r="AA92" s="314">
        <v>0</v>
      </c>
      <c r="AB92" s="314">
        <v>735</v>
      </c>
      <c r="AC92" s="314">
        <v>0</v>
      </c>
      <c r="AD92" s="314">
        <v>165</v>
      </c>
      <c r="AE92" s="314">
        <v>63578</v>
      </c>
      <c r="AF92" s="314">
        <v>3865</v>
      </c>
      <c r="AG92" s="314">
        <v>30031</v>
      </c>
      <c r="AH92" s="314">
        <v>14114</v>
      </c>
      <c r="AI92" s="314">
        <v>0</v>
      </c>
      <c r="AJ92" s="314">
        <v>373</v>
      </c>
      <c r="AK92" s="314">
        <v>0</v>
      </c>
      <c r="AL92" s="314">
        <v>753</v>
      </c>
      <c r="AM92" s="314">
        <v>0</v>
      </c>
      <c r="AN92" s="314">
        <v>340</v>
      </c>
      <c r="AO92" s="314">
        <v>4212</v>
      </c>
      <c r="AP92" s="314">
        <v>0</v>
      </c>
    </row>
    <row r="93" spans="1:42">
      <c r="A93" s="547">
        <f t="shared" si="1"/>
        <v>1993</v>
      </c>
      <c r="B93" s="578">
        <v>34181</v>
      </c>
      <c r="C93" s="314">
        <v>36910</v>
      </c>
      <c r="D93" s="314">
        <v>18746</v>
      </c>
      <c r="E93" s="314">
        <v>60592</v>
      </c>
      <c r="F93" s="314">
        <v>34778</v>
      </c>
      <c r="G93" s="314">
        <v>1299</v>
      </c>
      <c r="H93" s="314">
        <v>328</v>
      </c>
      <c r="I93" s="314">
        <v>4619</v>
      </c>
      <c r="J93" s="314">
        <v>16688</v>
      </c>
      <c r="K93" s="314">
        <v>263</v>
      </c>
      <c r="L93" s="314">
        <v>10640</v>
      </c>
      <c r="M93" s="314">
        <v>768</v>
      </c>
      <c r="N93" s="314">
        <v>636</v>
      </c>
      <c r="O93" s="314">
        <v>0</v>
      </c>
      <c r="P93" s="314">
        <v>158</v>
      </c>
      <c r="Q93" s="314">
        <v>923</v>
      </c>
      <c r="R93" s="314">
        <v>1266</v>
      </c>
      <c r="S93" s="314">
        <v>0</v>
      </c>
      <c r="T93" s="314">
        <v>376</v>
      </c>
      <c r="U93" s="314">
        <v>509</v>
      </c>
      <c r="V93" s="314">
        <v>245</v>
      </c>
      <c r="W93" s="314">
        <v>18261</v>
      </c>
      <c r="X93" s="314">
        <v>1012</v>
      </c>
      <c r="Y93" s="314">
        <v>21532</v>
      </c>
      <c r="Z93" s="314">
        <v>8844</v>
      </c>
      <c r="AA93" s="314">
        <v>256</v>
      </c>
      <c r="AB93" s="314">
        <v>32</v>
      </c>
      <c r="AC93" s="314">
        <v>6283</v>
      </c>
      <c r="AD93" s="314">
        <v>353</v>
      </c>
      <c r="AE93" s="314">
        <v>16513</v>
      </c>
      <c r="AF93" s="314">
        <v>6200</v>
      </c>
      <c r="AG93" s="314">
        <v>24727</v>
      </c>
      <c r="AH93" s="314">
        <v>6123</v>
      </c>
      <c r="AI93" s="314">
        <v>0</v>
      </c>
      <c r="AJ93" s="314">
        <v>0</v>
      </c>
      <c r="AK93" s="314">
        <v>1231</v>
      </c>
      <c r="AL93" s="314">
        <v>623</v>
      </c>
      <c r="AM93" s="314">
        <v>318</v>
      </c>
      <c r="AN93" s="314">
        <v>0</v>
      </c>
      <c r="AO93" s="314">
        <v>0</v>
      </c>
      <c r="AP93" s="314">
        <v>0</v>
      </c>
    </row>
    <row r="94" spans="1:42">
      <c r="A94" s="547">
        <f t="shared" si="1"/>
        <v>1993</v>
      </c>
      <c r="B94" s="578">
        <v>34212</v>
      </c>
      <c r="C94" s="314">
        <v>499110</v>
      </c>
      <c r="D94" s="314">
        <v>30228</v>
      </c>
      <c r="E94" s="314">
        <v>47837</v>
      </c>
      <c r="F94" s="314">
        <v>16229</v>
      </c>
      <c r="G94" s="314">
        <v>112933</v>
      </c>
      <c r="H94" s="314">
        <v>8395</v>
      </c>
      <c r="I94" s="314">
        <v>10302</v>
      </c>
      <c r="J94" s="314">
        <v>9807</v>
      </c>
      <c r="K94" s="314">
        <v>0</v>
      </c>
      <c r="L94" s="314">
        <v>2380</v>
      </c>
      <c r="M94" s="314">
        <v>272</v>
      </c>
      <c r="N94" s="314">
        <v>1180</v>
      </c>
      <c r="O94" s="314">
        <v>0</v>
      </c>
      <c r="P94" s="314">
        <v>246</v>
      </c>
      <c r="Q94" s="314">
        <v>0</v>
      </c>
      <c r="R94" s="314">
        <v>0</v>
      </c>
      <c r="S94" s="314">
        <v>300</v>
      </c>
      <c r="T94" s="314">
        <v>466</v>
      </c>
      <c r="U94" s="314">
        <v>0</v>
      </c>
      <c r="V94" s="314">
        <v>0</v>
      </c>
      <c r="W94" s="314">
        <v>0</v>
      </c>
      <c r="X94" s="314">
        <v>643</v>
      </c>
      <c r="Y94" s="314">
        <v>7088</v>
      </c>
      <c r="Z94" s="314">
        <v>1373</v>
      </c>
      <c r="AA94" s="314">
        <v>0</v>
      </c>
      <c r="AB94" s="314">
        <v>482</v>
      </c>
      <c r="AC94" s="314">
        <v>1466</v>
      </c>
      <c r="AD94" s="314">
        <v>0</v>
      </c>
      <c r="AE94" s="314">
        <v>381784</v>
      </c>
      <c r="AF94" s="314">
        <v>17616</v>
      </c>
      <c r="AG94" s="314">
        <v>22296</v>
      </c>
      <c r="AH94" s="314">
        <v>2633</v>
      </c>
      <c r="AI94" s="314">
        <v>3569</v>
      </c>
      <c r="AJ94" s="314">
        <v>0</v>
      </c>
      <c r="AK94" s="314">
        <v>617</v>
      </c>
      <c r="AL94" s="314">
        <v>570</v>
      </c>
      <c r="AM94" s="314">
        <v>524</v>
      </c>
      <c r="AN94" s="314">
        <v>0</v>
      </c>
      <c r="AO94" s="314">
        <v>5796</v>
      </c>
      <c r="AP94" s="314">
        <v>666</v>
      </c>
    </row>
    <row r="95" spans="1:42">
      <c r="A95" s="547">
        <f t="shared" si="1"/>
        <v>1993</v>
      </c>
      <c r="B95" s="578">
        <v>34242</v>
      </c>
      <c r="C95" s="314">
        <v>49550</v>
      </c>
      <c r="D95" s="314">
        <v>35655</v>
      </c>
      <c r="E95" s="314">
        <v>34764</v>
      </c>
      <c r="F95" s="314">
        <v>24574</v>
      </c>
      <c r="G95" s="314">
        <v>10266</v>
      </c>
      <c r="H95" s="314">
        <v>6150</v>
      </c>
      <c r="I95" s="314">
        <v>4351</v>
      </c>
      <c r="J95" s="314">
        <v>7633</v>
      </c>
      <c r="K95" s="314">
        <v>0</v>
      </c>
      <c r="L95" s="314">
        <v>53</v>
      </c>
      <c r="M95" s="314">
        <v>0</v>
      </c>
      <c r="N95" s="314">
        <v>630</v>
      </c>
      <c r="O95" s="314">
        <v>0</v>
      </c>
      <c r="P95" s="314">
        <v>0</v>
      </c>
      <c r="Q95" s="314">
        <v>270</v>
      </c>
      <c r="R95" s="314">
        <v>0</v>
      </c>
      <c r="S95" s="314">
        <v>18841</v>
      </c>
      <c r="T95" s="314">
        <v>0</v>
      </c>
      <c r="U95" s="314">
        <v>484</v>
      </c>
      <c r="V95" s="314">
        <v>1994</v>
      </c>
      <c r="W95" s="314">
        <v>1200</v>
      </c>
      <c r="X95" s="314">
        <v>23480</v>
      </c>
      <c r="Y95" s="314">
        <v>7844</v>
      </c>
      <c r="Z95" s="314">
        <v>5240</v>
      </c>
      <c r="AA95" s="314">
        <v>0</v>
      </c>
      <c r="AB95" s="314">
        <v>427</v>
      </c>
      <c r="AC95" s="314">
        <v>230</v>
      </c>
      <c r="AD95" s="314">
        <v>0</v>
      </c>
      <c r="AE95" s="314">
        <v>16296</v>
      </c>
      <c r="AF95" s="314">
        <v>4797</v>
      </c>
      <c r="AG95" s="314">
        <v>19869</v>
      </c>
      <c r="AH95" s="314">
        <v>9009</v>
      </c>
      <c r="AI95" s="314">
        <v>0</v>
      </c>
      <c r="AJ95" s="314">
        <v>748</v>
      </c>
      <c r="AK95" s="314">
        <v>1716</v>
      </c>
      <c r="AL95" s="314">
        <v>0</v>
      </c>
      <c r="AM95" s="314">
        <v>2947</v>
      </c>
      <c r="AN95" s="314">
        <v>0</v>
      </c>
      <c r="AO95" s="314">
        <v>0</v>
      </c>
      <c r="AP95" s="314">
        <v>68</v>
      </c>
    </row>
    <row r="96" spans="1:42">
      <c r="A96" s="547">
        <f t="shared" si="1"/>
        <v>1993</v>
      </c>
      <c r="B96" s="578">
        <v>34273</v>
      </c>
      <c r="C96" s="314">
        <v>31631</v>
      </c>
      <c r="D96" s="314">
        <v>48947</v>
      </c>
      <c r="E96" s="314">
        <v>75424</v>
      </c>
      <c r="F96" s="314">
        <v>24200</v>
      </c>
      <c r="G96" s="314">
        <v>8564</v>
      </c>
      <c r="H96" s="314">
        <v>3378</v>
      </c>
      <c r="I96" s="314">
        <v>26809</v>
      </c>
      <c r="J96" s="314">
        <v>16707</v>
      </c>
      <c r="K96" s="314">
        <v>1061</v>
      </c>
      <c r="L96" s="314">
        <v>0</v>
      </c>
      <c r="M96" s="314">
        <v>2966</v>
      </c>
      <c r="N96" s="314">
        <v>665</v>
      </c>
      <c r="O96" s="314">
        <v>0</v>
      </c>
      <c r="P96" s="314">
        <v>0</v>
      </c>
      <c r="Q96" s="314">
        <v>1345</v>
      </c>
      <c r="R96" s="314">
        <v>0</v>
      </c>
      <c r="S96" s="314">
        <v>1430</v>
      </c>
      <c r="T96" s="314">
        <v>367</v>
      </c>
      <c r="U96" s="314">
        <v>84</v>
      </c>
      <c r="V96" s="314">
        <v>0</v>
      </c>
      <c r="W96" s="314">
        <v>1886</v>
      </c>
      <c r="X96" s="314">
        <v>6719</v>
      </c>
      <c r="Y96" s="314">
        <v>18785</v>
      </c>
      <c r="Z96" s="314">
        <v>882</v>
      </c>
      <c r="AA96" s="314">
        <v>0</v>
      </c>
      <c r="AB96" s="314">
        <v>520</v>
      </c>
      <c r="AC96" s="314">
        <v>0</v>
      </c>
      <c r="AD96" s="314">
        <v>1216</v>
      </c>
      <c r="AE96" s="314">
        <v>18584</v>
      </c>
      <c r="AF96" s="314">
        <v>34213</v>
      </c>
      <c r="AG96" s="314">
        <v>23930</v>
      </c>
      <c r="AH96" s="314">
        <v>4730</v>
      </c>
      <c r="AI96" s="314">
        <v>0</v>
      </c>
      <c r="AJ96" s="314">
        <v>0</v>
      </c>
      <c r="AK96" s="314">
        <v>0</v>
      </c>
      <c r="AL96" s="314">
        <v>0</v>
      </c>
      <c r="AM96" s="314">
        <v>106</v>
      </c>
      <c r="AN96" s="314">
        <v>3750</v>
      </c>
      <c r="AO96" s="314">
        <v>1505</v>
      </c>
      <c r="AP96" s="314">
        <v>0</v>
      </c>
    </row>
    <row r="97" spans="1:42">
      <c r="A97" s="547">
        <f t="shared" si="1"/>
        <v>1993</v>
      </c>
      <c r="B97" s="578">
        <v>34303</v>
      </c>
      <c r="C97" s="314">
        <v>17642</v>
      </c>
      <c r="D97" s="314">
        <v>11954</v>
      </c>
      <c r="E97" s="314">
        <v>38655</v>
      </c>
      <c r="F97" s="314">
        <v>23114</v>
      </c>
      <c r="G97" s="314">
        <v>525</v>
      </c>
      <c r="H97" s="314">
        <v>2956</v>
      </c>
      <c r="I97" s="314">
        <v>5855</v>
      </c>
      <c r="J97" s="314">
        <v>10149</v>
      </c>
      <c r="K97" s="314">
        <v>0</v>
      </c>
      <c r="L97" s="314">
        <v>828</v>
      </c>
      <c r="M97" s="314">
        <v>2820</v>
      </c>
      <c r="N97" s="314">
        <v>1558</v>
      </c>
      <c r="O97" s="314">
        <v>0</v>
      </c>
      <c r="P97" s="314">
        <v>867</v>
      </c>
      <c r="Q97" s="314">
        <v>0</v>
      </c>
      <c r="R97" s="314">
        <v>0</v>
      </c>
      <c r="S97" s="314">
        <v>4361</v>
      </c>
      <c r="T97" s="314">
        <v>0</v>
      </c>
      <c r="U97" s="314">
        <v>0</v>
      </c>
      <c r="V97" s="314">
        <v>1935</v>
      </c>
      <c r="W97" s="314">
        <v>758</v>
      </c>
      <c r="X97" s="314">
        <v>0</v>
      </c>
      <c r="Y97" s="314">
        <v>10113</v>
      </c>
      <c r="Z97" s="314">
        <v>96</v>
      </c>
      <c r="AA97" s="314">
        <v>0</v>
      </c>
      <c r="AB97" s="314">
        <v>219</v>
      </c>
      <c r="AC97" s="314">
        <v>0</v>
      </c>
      <c r="AD97" s="314">
        <v>1012</v>
      </c>
      <c r="AE97" s="314">
        <v>11315</v>
      </c>
      <c r="AF97" s="314">
        <v>4983</v>
      </c>
      <c r="AG97" s="314">
        <v>16345</v>
      </c>
      <c r="AH97" s="314">
        <v>6868</v>
      </c>
      <c r="AI97" s="314">
        <v>94</v>
      </c>
      <c r="AJ97" s="314">
        <v>2101</v>
      </c>
      <c r="AK97" s="314">
        <v>2247</v>
      </c>
      <c r="AL97" s="314">
        <v>1496</v>
      </c>
      <c r="AM97" s="314">
        <v>589</v>
      </c>
      <c r="AN97" s="314">
        <v>0</v>
      </c>
      <c r="AO97" s="314">
        <v>1275</v>
      </c>
      <c r="AP97" s="314">
        <v>0</v>
      </c>
    </row>
    <row r="98" spans="1:42">
      <c r="A98" s="547">
        <f t="shared" si="1"/>
        <v>1993</v>
      </c>
      <c r="B98" s="578">
        <v>34334</v>
      </c>
      <c r="C98" s="314">
        <v>21302</v>
      </c>
      <c r="D98" s="314">
        <v>97647</v>
      </c>
      <c r="E98" s="314">
        <v>38039</v>
      </c>
      <c r="F98" s="314">
        <v>11431</v>
      </c>
      <c r="G98" s="314">
        <v>2443</v>
      </c>
      <c r="H98" s="314">
        <v>2609</v>
      </c>
      <c r="I98" s="314">
        <v>12242</v>
      </c>
      <c r="J98" s="314">
        <v>4131</v>
      </c>
      <c r="K98" s="314">
        <v>191</v>
      </c>
      <c r="L98" s="314">
        <v>587</v>
      </c>
      <c r="M98" s="314">
        <v>0</v>
      </c>
      <c r="N98" s="314">
        <v>0</v>
      </c>
      <c r="O98" s="314">
        <v>0</v>
      </c>
      <c r="P98" s="314">
        <v>0</v>
      </c>
      <c r="Q98" s="314">
        <v>907</v>
      </c>
      <c r="R98" s="314">
        <v>0</v>
      </c>
      <c r="S98" s="314">
        <v>708</v>
      </c>
      <c r="T98" s="314">
        <v>2928</v>
      </c>
      <c r="U98" s="314">
        <v>21</v>
      </c>
      <c r="V98" s="314">
        <v>8</v>
      </c>
      <c r="W98" s="314">
        <v>5498</v>
      </c>
      <c r="X98" s="314">
        <v>16925</v>
      </c>
      <c r="Y98" s="314">
        <v>600</v>
      </c>
      <c r="Z98" s="314">
        <v>4551</v>
      </c>
      <c r="AA98" s="314">
        <v>0</v>
      </c>
      <c r="AB98" s="314">
        <v>600</v>
      </c>
      <c r="AC98" s="314">
        <v>446</v>
      </c>
      <c r="AD98" s="314">
        <v>405</v>
      </c>
      <c r="AE98" s="314">
        <v>11836</v>
      </c>
      <c r="AF98" s="314">
        <v>70882</v>
      </c>
      <c r="AG98" s="314">
        <v>19527</v>
      </c>
      <c r="AH98" s="314">
        <v>874</v>
      </c>
      <c r="AI98" s="314">
        <v>166</v>
      </c>
      <c r="AJ98" s="314">
        <v>3116</v>
      </c>
      <c r="AK98" s="314">
        <v>0</v>
      </c>
      <c r="AL98" s="314">
        <v>1462</v>
      </c>
      <c r="AM98" s="314">
        <v>460</v>
      </c>
      <c r="AN98" s="314">
        <v>0</v>
      </c>
      <c r="AO98" s="314">
        <v>4296</v>
      </c>
      <c r="AP98" s="314">
        <v>0</v>
      </c>
    </row>
    <row r="99" spans="1:42">
      <c r="A99" s="547">
        <f t="shared" si="1"/>
        <v>1994</v>
      </c>
      <c r="B99" s="578">
        <v>34365</v>
      </c>
      <c r="C99" s="314">
        <v>31150</v>
      </c>
      <c r="D99" s="314">
        <v>14276</v>
      </c>
      <c r="E99" s="314">
        <v>25631</v>
      </c>
      <c r="F99" s="314">
        <v>14526</v>
      </c>
      <c r="G99" s="314">
        <v>2548</v>
      </c>
      <c r="H99" s="314">
        <v>1279</v>
      </c>
      <c r="I99" s="314">
        <v>858</v>
      </c>
      <c r="J99" s="314">
        <v>10872</v>
      </c>
      <c r="K99" s="314">
        <v>0</v>
      </c>
      <c r="L99" s="314">
        <v>0</v>
      </c>
      <c r="M99" s="314">
        <v>2177</v>
      </c>
      <c r="N99" s="314">
        <v>318</v>
      </c>
      <c r="O99" s="314">
        <v>70</v>
      </c>
      <c r="P99" s="314">
        <v>0</v>
      </c>
      <c r="Q99" s="314">
        <v>0</v>
      </c>
      <c r="R99" s="314">
        <v>0</v>
      </c>
      <c r="S99" s="314">
        <v>57</v>
      </c>
      <c r="T99" s="314">
        <v>0</v>
      </c>
      <c r="U99" s="314">
        <v>0</v>
      </c>
      <c r="V99" s="314">
        <v>0</v>
      </c>
      <c r="W99" s="314">
        <v>2326</v>
      </c>
      <c r="X99" s="314">
        <v>3705</v>
      </c>
      <c r="Y99" s="314">
        <v>5439</v>
      </c>
      <c r="Z99" s="314">
        <v>1243</v>
      </c>
      <c r="AA99" s="314">
        <v>0</v>
      </c>
      <c r="AB99" s="314">
        <v>0</v>
      </c>
      <c r="AC99" s="314">
        <v>0</v>
      </c>
      <c r="AD99" s="314">
        <v>200</v>
      </c>
      <c r="AE99" s="314">
        <v>25535</v>
      </c>
      <c r="AF99" s="314">
        <v>9292</v>
      </c>
      <c r="AG99" s="314">
        <v>16097</v>
      </c>
      <c r="AH99" s="314">
        <v>1411</v>
      </c>
      <c r="AI99" s="314">
        <v>324</v>
      </c>
      <c r="AJ99" s="314">
        <v>0</v>
      </c>
      <c r="AK99" s="314">
        <v>0</v>
      </c>
      <c r="AL99" s="314">
        <v>0</v>
      </c>
      <c r="AM99" s="314">
        <v>290</v>
      </c>
      <c r="AN99" s="314">
        <v>0</v>
      </c>
      <c r="AO99" s="314">
        <v>1060</v>
      </c>
      <c r="AP99" s="314">
        <v>482</v>
      </c>
    </row>
    <row r="100" spans="1:42">
      <c r="A100" s="547">
        <f t="shared" si="1"/>
        <v>1994</v>
      </c>
      <c r="B100" s="578">
        <v>34393</v>
      </c>
      <c r="C100" s="314">
        <v>28886</v>
      </c>
      <c r="D100" s="314">
        <v>26936</v>
      </c>
      <c r="E100" s="314">
        <v>58799</v>
      </c>
      <c r="F100" s="314">
        <v>30952</v>
      </c>
      <c r="G100" s="314">
        <v>3631</v>
      </c>
      <c r="H100" s="314">
        <v>837</v>
      </c>
      <c r="I100" s="314">
        <v>19620</v>
      </c>
      <c r="J100" s="314">
        <v>10536</v>
      </c>
      <c r="K100" s="314">
        <v>0</v>
      </c>
      <c r="L100" s="314">
        <v>0</v>
      </c>
      <c r="M100" s="314">
        <v>5288</v>
      </c>
      <c r="N100" s="314">
        <v>565</v>
      </c>
      <c r="O100" s="314">
        <v>0</v>
      </c>
      <c r="P100" s="314">
        <v>1087</v>
      </c>
      <c r="Q100" s="314">
        <v>679</v>
      </c>
      <c r="R100" s="314">
        <v>0</v>
      </c>
      <c r="S100" s="314">
        <v>0</v>
      </c>
      <c r="T100" s="314">
        <v>0</v>
      </c>
      <c r="U100" s="314">
        <v>408</v>
      </c>
      <c r="V100" s="314">
        <v>0</v>
      </c>
      <c r="W100" s="314">
        <v>2111</v>
      </c>
      <c r="X100" s="314">
        <v>10017</v>
      </c>
      <c r="Y100" s="314">
        <v>11301</v>
      </c>
      <c r="Z100" s="314">
        <v>5570</v>
      </c>
      <c r="AA100" s="314">
        <v>0</v>
      </c>
      <c r="AB100" s="314">
        <v>11474</v>
      </c>
      <c r="AC100" s="314">
        <v>607</v>
      </c>
      <c r="AD100" s="314">
        <v>0</v>
      </c>
      <c r="AE100" s="314">
        <v>23144</v>
      </c>
      <c r="AF100" s="314">
        <v>3521</v>
      </c>
      <c r="AG100" s="314">
        <v>20896</v>
      </c>
      <c r="AH100" s="314">
        <v>14153</v>
      </c>
      <c r="AI100" s="314">
        <v>0</v>
      </c>
      <c r="AJ100" s="314">
        <v>0</v>
      </c>
      <c r="AK100" s="314">
        <v>0</v>
      </c>
      <c r="AL100" s="314">
        <v>0</v>
      </c>
      <c r="AM100" s="314">
        <v>0</v>
      </c>
      <c r="AN100" s="314">
        <v>0</v>
      </c>
      <c r="AO100" s="314">
        <v>0</v>
      </c>
      <c r="AP100" s="314">
        <v>128</v>
      </c>
    </row>
    <row r="101" spans="1:42">
      <c r="A101" s="547">
        <f t="shared" si="1"/>
        <v>1994</v>
      </c>
      <c r="B101" s="578">
        <v>34424</v>
      </c>
      <c r="C101" s="314">
        <v>105358</v>
      </c>
      <c r="D101" s="314">
        <v>38155</v>
      </c>
      <c r="E101" s="314">
        <v>80127</v>
      </c>
      <c r="F101" s="314">
        <v>25634</v>
      </c>
      <c r="G101" s="314">
        <v>37847</v>
      </c>
      <c r="H101" s="314">
        <v>11263</v>
      </c>
      <c r="I101" s="314">
        <v>37589</v>
      </c>
      <c r="J101" s="314">
        <v>10143</v>
      </c>
      <c r="K101" s="314">
        <v>0</v>
      </c>
      <c r="L101" s="314">
        <v>1560</v>
      </c>
      <c r="M101" s="314">
        <v>557</v>
      </c>
      <c r="N101" s="314">
        <v>386</v>
      </c>
      <c r="O101" s="314">
        <v>0</v>
      </c>
      <c r="P101" s="314">
        <v>0</v>
      </c>
      <c r="Q101" s="314">
        <v>0</v>
      </c>
      <c r="R101" s="314">
        <v>0</v>
      </c>
      <c r="S101" s="314">
        <v>930</v>
      </c>
      <c r="T101" s="314">
        <v>617</v>
      </c>
      <c r="U101" s="314">
        <v>0</v>
      </c>
      <c r="V101" s="314">
        <v>0</v>
      </c>
      <c r="W101" s="314">
        <v>21053</v>
      </c>
      <c r="X101" s="314">
        <v>22294</v>
      </c>
      <c r="Y101" s="314">
        <v>30633</v>
      </c>
      <c r="Z101" s="314">
        <v>7666</v>
      </c>
      <c r="AA101" s="314">
        <v>0</v>
      </c>
      <c r="AB101" s="314">
        <v>0</v>
      </c>
      <c r="AC101" s="314">
        <v>0</v>
      </c>
      <c r="AD101" s="314">
        <v>1040</v>
      </c>
      <c r="AE101" s="314">
        <v>45448</v>
      </c>
      <c r="AF101" s="314">
        <v>2421</v>
      </c>
      <c r="AG101" s="314">
        <v>11348</v>
      </c>
      <c r="AH101" s="314">
        <v>5651</v>
      </c>
      <c r="AI101" s="314">
        <v>0</v>
      </c>
      <c r="AJ101" s="314">
        <v>0</v>
      </c>
      <c r="AK101" s="314">
        <v>0</v>
      </c>
      <c r="AL101" s="314">
        <v>244</v>
      </c>
      <c r="AM101" s="314">
        <v>80</v>
      </c>
      <c r="AN101" s="314">
        <v>0</v>
      </c>
      <c r="AO101" s="314">
        <v>0</v>
      </c>
      <c r="AP101" s="314">
        <v>504</v>
      </c>
    </row>
    <row r="102" spans="1:42">
      <c r="A102" s="547">
        <f t="shared" si="1"/>
        <v>1994</v>
      </c>
      <c r="B102" s="578">
        <v>34454</v>
      </c>
      <c r="C102" s="314">
        <v>32653</v>
      </c>
      <c r="D102" s="314">
        <v>6913</v>
      </c>
      <c r="E102" s="314">
        <v>32651</v>
      </c>
      <c r="F102" s="314">
        <v>38290</v>
      </c>
      <c r="G102" s="314">
        <v>387</v>
      </c>
      <c r="H102" s="314">
        <v>779</v>
      </c>
      <c r="I102" s="314">
        <v>5820</v>
      </c>
      <c r="J102" s="314">
        <v>4731</v>
      </c>
      <c r="K102" s="314">
        <v>22297</v>
      </c>
      <c r="L102" s="314">
        <v>0</v>
      </c>
      <c r="M102" s="314">
        <v>0</v>
      </c>
      <c r="N102" s="314">
        <v>1500</v>
      </c>
      <c r="O102" s="314">
        <v>0</v>
      </c>
      <c r="P102" s="314">
        <v>0</v>
      </c>
      <c r="Q102" s="314">
        <v>5923</v>
      </c>
      <c r="R102" s="314">
        <v>320</v>
      </c>
      <c r="S102" s="314">
        <v>0</v>
      </c>
      <c r="T102" s="314">
        <v>0</v>
      </c>
      <c r="U102" s="314">
        <v>0</v>
      </c>
      <c r="V102" s="314">
        <v>2437</v>
      </c>
      <c r="W102" s="314">
        <v>3476</v>
      </c>
      <c r="X102" s="314">
        <v>5974</v>
      </c>
      <c r="Y102" s="314">
        <v>6520</v>
      </c>
      <c r="Z102" s="314">
        <v>4221</v>
      </c>
      <c r="AA102" s="314">
        <v>0</v>
      </c>
      <c r="AB102" s="314">
        <v>160</v>
      </c>
      <c r="AC102" s="314">
        <v>0</v>
      </c>
      <c r="AD102" s="314">
        <v>382</v>
      </c>
      <c r="AE102" s="314">
        <v>6493</v>
      </c>
      <c r="AF102" s="314">
        <v>0</v>
      </c>
      <c r="AG102" s="314">
        <v>14388</v>
      </c>
      <c r="AH102" s="314">
        <v>24699</v>
      </c>
      <c r="AI102" s="314">
        <v>0</v>
      </c>
      <c r="AJ102" s="314">
        <v>0</v>
      </c>
      <c r="AK102" s="314">
        <v>0</v>
      </c>
      <c r="AL102" s="314">
        <v>0</v>
      </c>
      <c r="AM102" s="314">
        <v>0</v>
      </c>
      <c r="AN102" s="314">
        <v>0</v>
      </c>
      <c r="AO102" s="314">
        <v>0</v>
      </c>
      <c r="AP102" s="314">
        <v>0</v>
      </c>
    </row>
    <row r="103" spans="1:42">
      <c r="A103" s="547">
        <f t="shared" si="1"/>
        <v>1994</v>
      </c>
      <c r="B103" s="578">
        <v>34485</v>
      </c>
      <c r="C103" s="314">
        <v>27365</v>
      </c>
      <c r="D103" s="314">
        <v>35906</v>
      </c>
      <c r="E103" s="314">
        <v>41154</v>
      </c>
      <c r="F103" s="314">
        <v>46933</v>
      </c>
      <c r="G103" s="314">
        <v>3252</v>
      </c>
      <c r="H103" s="314">
        <v>5514</v>
      </c>
      <c r="I103" s="314">
        <v>4653</v>
      </c>
      <c r="J103" s="314">
        <v>12425</v>
      </c>
      <c r="K103" s="314">
        <v>0</v>
      </c>
      <c r="L103" s="314">
        <v>5596</v>
      </c>
      <c r="M103" s="314">
        <v>856</v>
      </c>
      <c r="N103" s="314">
        <v>1896</v>
      </c>
      <c r="O103" s="314">
        <v>0</v>
      </c>
      <c r="P103" s="314">
        <v>0</v>
      </c>
      <c r="Q103" s="314">
        <v>793</v>
      </c>
      <c r="R103" s="314">
        <v>0</v>
      </c>
      <c r="S103" s="314">
        <v>47</v>
      </c>
      <c r="T103" s="314">
        <v>0</v>
      </c>
      <c r="U103" s="314">
        <v>250</v>
      </c>
      <c r="V103" s="314">
        <v>1759</v>
      </c>
      <c r="W103" s="314">
        <v>0</v>
      </c>
      <c r="X103" s="314">
        <v>1135</v>
      </c>
      <c r="Y103" s="314">
        <v>11016</v>
      </c>
      <c r="Z103" s="314">
        <v>1879</v>
      </c>
      <c r="AA103" s="314">
        <v>201</v>
      </c>
      <c r="AB103" s="314">
        <v>1669</v>
      </c>
      <c r="AC103" s="314">
        <v>0</v>
      </c>
      <c r="AD103" s="314">
        <v>0</v>
      </c>
      <c r="AE103" s="314">
        <v>23865</v>
      </c>
      <c r="AF103" s="314">
        <v>21992</v>
      </c>
      <c r="AG103" s="314">
        <v>20633</v>
      </c>
      <c r="AH103" s="314">
        <v>27723</v>
      </c>
      <c r="AI103" s="314">
        <v>0</v>
      </c>
      <c r="AJ103" s="314">
        <v>0</v>
      </c>
      <c r="AK103" s="314">
        <v>2953</v>
      </c>
      <c r="AL103" s="314">
        <v>1251</v>
      </c>
      <c r="AM103" s="314">
        <v>0</v>
      </c>
      <c r="AN103" s="314">
        <v>0</v>
      </c>
      <c r="AO103" s="314">
        <v>0</v>
      </c>
      <c r="AP103" s="314">
        <v>0</v>
      </c>
    </row>
    <row r="104" spans="1:42">
      <c r="A104" s="547">
        <f t="shared" si="1"/>
        <v>1994</v>
      </c>
      <c r="B104" s="578">
        <v>34515</v>
      </c>
      <c r="C104" s="314">
        <v>25958</v>
      </c>
      <c r="D104" s="314">
        <v>56988</v>
      </c>
      <c r="E104" s="314">
        <v>34099</v>
      </c>
      <c r="F104" s="314">
        <v>34578</v>
      </c>
      <c r="G104" s="314">
        <v>2697</v>
      </c>
      <c r="H104" s="314">
        <v>4852</v>
      </c>
      <c r="I104" s="314">
        <v>11657</v>
      </c>
      <c r="J104" s="314">
        <v>12073</v>
      </c>
      <c r="K104" s="314">
        <v>3946</v>
      </c>
      <c r="L104" s="314">
        <v>0</v>
      </c>
      <c r="M104" s="314">
        <v>141</v>
      </c>
      <c r="N104" s="314">
        <v>4972</v>
      </c>
      <c r="O104" s="314">
        <v>0</v>
      </c>
      <c r="P104" s="314">
        <v>680</v>
      </c>
      <c r="Q104" s="314">
        <v>0</v>
      </c>
      <c r="R104" s="314">
        <v>0</v>
      </c>
      <c r="S104" s="314">
        <v>0</v>
      </c>
      <c r="T104" s="314">
        <v>535</v>
      </c>
      <c r="U104" s="314">
        <v>1230</v>
      </c>
      <c r="V104" s="314">
        <v>2386</v>
      </c>
      <c r="W104" s="314">
        <v>0</v>
      </c>
      <c r="X104" s="314">
        <v>30024</v>
      </c>
      <c r="Y104" s="314">
        <v>6747</v>
      </c>
      <c r="Z104" s="314">
        <v>1887</v>
      </c>
      <c r="AA104" s="314">
        <v>280</v>
      </c>
      <c r="AB104" s="314">
        <v>12711</v>
      </c>
      <c r="AC104" s="314">
        <v>0</v>
      </c>
      <c r="AD104" s="314">
        <v>0</v>
      </c>
      <c r="AE104" s="314">
        <v>14067</v>
      </c>
      <c r="AF104" s="314">
        <v>8186</v>
      </c>
      <c r="AG104" s="314">
        <v>11686</v>
      </c>
      <c r="AH104" s="314">
        <v>12619</v>
      </c>
      <c r="AI104" s="314">
        <v>4968</v>
      </c>
      <c r="AJ104" s="314">
        <v>0</v>
      </c>
      <c r="AK104" s="314">
        <v>2108</v>
      </c>
      <c r="AL104" s="314">
        <v>623</v>
      </c>
      <c r="AM104" s="314">
        <v>0</v>
      </c>
      <c r="AN104" s="314">
        <v>0</v>
      </c>
      <c r="AO104" s="314">
        <v>530</v>
      </c>
      <c r="AP104" s="314">
        <v>18</v>
      </c>
    </row>
    <row r="105" spans="1:42">
      <c r="A105" s="547">
        <f t="shared" si="1"/>
        <v>1994</v>
      </c>
      <c r="B105" s="578">
        <v>34546</v>
      </c>
      <c r="C105" s="314">
        <v>24967</v>
      </c>
      <c r="D105" s="314">
        <v>25100</v>
      </c>
      <c r="E105" s="314">
        <v>48865</v>
      </c>
      <c r="F105" s="314">
        <v>34081</v>
      </c>
      <c r="G105" s="314">
        <v>0</v>
      </c>
      <c r="H105" s="314">
        <v>11089</v>
      </c>
      <c r="I105" s="314">
        <v>3074</v>
      </c>
      <c r="J105" s="314">
        <v>9503</v>
      </c>
      <c r="K105" s="314">
        <v>0</v>
      </c>
      <c r="L105" s="314">
        <v>0</v>
      </c>
      <c r="M105" s="314">
        <v>320</v>
      </c>
      <c r="N105" s="314">
        <v>1184</v>
      </c>
      <c r="O105" s="314">
        <v>0</v>
      </c>
      <c r="P105" s="314">
        <v>745</v>
      </c>
      <c r="Q105" s="314">
        <v>510</v>
      </c>
      <c r="R105" s="314">
        <v>0</v>
      </c>
      <c r="S105" s="314">
        <v>0</v>
      </c>
      <c r="T105" s="314">
        <v>370</v>
      </c>
      <c r="U105" s="314">
        <v>537</v>
      </c>
      <c r="V105" s="314">
        <v>1908</v>
      </c>
      <c r="W105" s="314">
        <v>1891</v>
      </c>
      <c r="X105" s="314">
        <v>1322</v>
      </c>
      <c r="Y105" s="314">
        <v>18960</v>
      </c>
      <c r="Z105" s="314">
        <v>4423</v>
      </c>
      <c r="AA105" s="314">
        <v>290</v>
      </c>
      <c r="AB105" s="314">
        <v>4909</v>
      </c>
      <c r="AC105" s="314">
        <v>0</v>
      </c>
      <c r="AD105" s="314">
        <v>1629</v>
      </c>
      <c r="AE105" s="314">
        <v>22786</v>
      </c>
      <c r="AF105" s="314">
        <v>5676</v>
      </c>
      <c r="AG105" s="314">
        <v>21625</v>
      </c>
      <c r="AH105" s="314">
        <v>7748</v>
      </c>
      <c r="AI105" s="314">
        <v>0</v>
      </c>
      <c r="AJ105" s="314">
        <v>989</v>
      </c>
      <c r="AK105" s="314">
        <v>1371</v>
      </c>
      <c r="AL105" s="314">
        <v>6659</v>
      </c>
      <c r="AM105" s="314">
        <v>0</v>
      </c>
      <c r="AN105" s="314">
        <v>0</v>
      </c>
      <c r="AO105" s="314">
        <v>2468</v>
      </c>
      <c r="AP105" s="314">
        <v>1027</v>
      </c>
    </row>
    <row r="106" spans="1:42">
      <c r="A106" s="547">
        <f t="shared" si="1"/>
        <v>1994</v>
      </c>
      <c r="B106" s="578">
        <v>34577</v>
      </c>
      <c r="C106" s="314">
        <v>48502</v>
      </c>
      <c r="D106" s="314">
        <v>14624</v>
      </c>
      <c r="E106" s="314">
        <v>29451</v>
      </c>
      <c r="F106" s="314">
        <v>31772</v>
      </c>
      <c r="G106" s="314">
        <v>7214</v>
      </c>
      <c r="H106" s="314">
        <v>3535</v>
      </c>
      <c r="I106" s="314">
        <v>6381</v>
      </c>
      <c r="J106" s="314">
        <v>11487</v>
      </c>
      <c r="K106" s="314">
        <v>0</v>
      </c>
      <c r="L106" s="314">
        <v>195</v>
      </c>
      <c r="M106" s="314">
        <v>1531</v>
      </c>
      <c r="N106" s="314">
        <v>590</v>
      </c>
      <c r="O106" s="314">
        <v>0</v>
      </c>
      <c r="P106" s="314">
        <v>2353</v>
      </c>
      <c r="Q106" s="314">
        <v>0</v>
      </c>
      <c r="R106" s="314">
        <v>165</v>
      </c>
      <c r="S106" s="314">
        <v>240</v>
      </c>
      <c r="T106" s="314">
        <v>0</v>
      </c>
      <c r="U106" s="314">
        <v>0</v>
      </c>
      <c r="V106" s="314">
        <v>0</v>
      </c>
      <c r="W106" s="314">
        <v>178</v>
      </c>
      <c r="X106" s="314">
        <v>3216</v>
      </c>
      <c r="Y106" s="314">
        <v>12816</v>
      </c>
      <c r="Z106" s="314">
        <v>1181</v>
      </c>
      <c r="AA106" s="314">
        <v>0</v>
      </c>
      <c r="AB106" s="314">
        <v>0</v>
      </c>
      <c r="AC106" s="314">
        <v>0</v>
      </c>
      <c r="AD106" s="314">
        <v>142</v>
      </c>
      <c r="AE106" s="314">
        <v>39738</v>
      </c>
      <c r="AF106" s="314">
        <v>3608</v>
      </c>
      <c r="AG106" s="314">
        <v>8723</v>
      </c>
      <c r="AH106" s="314">
        <v>15598</v>
      </c>
      <c r="AI106" s="314">
        <v>0</v>
      </c>
      <c r="AJ106" s="314">
        <v>1367</v>
      </c>
      <c r="AK106" s="314">
        <v>0</v>
      </c>
      <c r="AL106" s="314">
        <v>1864</v>
      </c>
      <c r="AM106" s="314">
        <v>1132</v>
      </c>
      <c r="AN106" s="314">
        <v>350</v>
      </c>
      <c r="AO106" s="314">
        <v>0</v>
      </c>
      <c r="AP106" s="314">
        <v>745</v>
      </c>
    </row>
    <row r="107" spans="1:42">
      <c r="A107" s="547">
        <f t="shared" si="1"/>
        <v>1994</v>
      </c>
      <c r="B107" s="578">
        <v>34607</v>
      </c>
      <c r="C107" s="314">
        <v>7870</v>
      </c>
      <c r="D107" s="314">
        <v>7907</v>
      </c>
      <c r="E107" s="314">
        <v>50614</v>
      </c>
      <c r="F107" s="314">
        <v>21425</v>
      </c>
      <c r="G107" s="314">
        <v>3681</v>
      </c>
      <c r="H107" s="314">
        <v>1640</v>
      </c>
      <c r="I107" s="314">
        <v>19628</v>
      </c>
      <c r="J107" s="314">
        <v>13409</v>
      </c>
      <c r="K107" s="314">
        <v>1053</v>
      </c>
      <c r="L107" s="314">
        <v>204</v>
      </c>
      <c r="M107" s="314">
        <v>0</v>
      </c>
      <c r="N107" s="314">
        <v>54</v>
      </c>
      <c r="O107" s="314">
        <v>0</v>
      </c>
      <c r="P107" s="314">
        <v>0</v>
      </c>
      <c r="Q107" s="314">
        <v>1020</v>
      </c>
      <c r="R107" s="314">
        <v>0</v>
      </c>
      <c r="S107" s="314">
        <v>0</v>
      </c>
      <c r="T107" s="314">
        <v>0</v>
      </c>
      <c r="U107" s="314">
        <v>2721</v>
      </c>
      <c r="V107" s="314">
        <v>327</v>
      </c>
      <c r="W107" s="314">
        <v>0</v>
      </c>
      <c r="X107" s="314">
        <v>1292</v>
      </c>
      <c r="Y107" s="314">
        <v>10290</v>
      </c>
      <c r="Z107" s="314">
        <v>1317</v>
      </c>
      <c r="AA107" s="314">
        <v>485</v>
      </c>
      <c r="AB107" s="314">
        <v>0</v>
      </c>
      <c r="AC107" s="314">
        <v>0</v>
      </c>
      <c r="AD107" s="314">
        <v>216</v>
      </c>
      <c r="AE107" s="314">
        <v>2417</v>
      </c>
      <c r="AF107" s="314">
        <v>3983</v>
      </c>
      <c r="AG107" s="314">
        <v>16631</v>
      </c>
      <c r="AH107" s="314">
        <v>5445</v>
      </c>
      <c r="AI107" s="314">
        <v>234</v>
      </c>
      <c r="AJ107" s="314">
        <v>0</v>
      </c>
      <c r="AK107" s="314">
        <v>324</v>
      </c>
      <c r="AL107" s="314">
        <v>621</v>
      </c>
      <c r="AM107" s="314">
        <v>0</v>
      </c>
      <c r="AN107" s="314">
        <v>788</v>
      </c>
      <c r="AO107" s="314">
        <v>0</v>
      </c>
      <c r="AP107" s="314">
        <v>36</v>
      </c>
    </row>
    <row r="108" spans="1:42">
      <c r="A108" s="547">
        <f t="shared" si="1"/>
        <v>1994</v>
      </c>
      <c r="B108" s="578">
        <v>34638</v>
      </c>
      <c r="C108" s="314">
        <v>33880</v>
      </c>
      <c r="D108" s="314">
        <v>13884</v>
      </c>
      <c r="E108" s="314">
        <v>57406</v>
      </c>
      <c r="F108" s="314">
        <v>21520</v>
      </c>
      <c r="G108" s="314">
        <v>9949</v>
      </c>
      <c r="H108" s="314">
        <v>3149</v>
      </c>
      <c r="I108" s="314">
        <v>22751</v>
      </c>
      <c r="J108" s="314">
        <v>9511</v>
      </c>
      <c r="K108" s="314">
        <v>195</v>
      </c>
      <c r="L108" s="314">
        <v>0</v>
      </c>
      <c r="M108" s="314">
        <v>3292</v>
      </c>
      <c r="N108" s="314">
        <v>956</v>
      </c>
      <c r="O108" s="314">
        <v>0</v>
      </c>
      <c r="P108" s="314">
        <v>964</v>
      </c>
      <c r="Q108" s="314">
        <v>0</v>
      </c>
      <c r="R108" s="314">
        <v>0</v>
      </c>
      <c r="S108" s="314">
        <v>13045</v>
      </c>
      <c r="T108" s="314">
        <v>2101</v>
      </c>
      <c r="U108" s="314">
        <v>3166</v>
      </c>
      <c r="V108" s="314">
        <v>689</v>
      </c>
      <c r="W108" s="314">
        <v>1955</v>
      </c>
      <c r="X108" s="314">
        <v>2474</v>
      </c>
      <c r="Y108" s="314">
        <v>7079</v>
      </c>
      <c r="Z108" s="314">
        <v>939</v>
      </c>
      <c r="AA108" s="314">
        <v>0</v>
      </c>
      <c r="AB108" s="314">
        <v>499</v>
      </c>
      <c r="AC108" s="314">
        <v>3106</v>
      </c>
      <c r="AD108" s="314">
        <v>0</v>
      </c>
      <c r="AE108" s="314">
        <v>7883</v>
      </c>
      <c r="AF108" s="314">
        <v>3497</v>
      </c>
      <c r="AG108" s="314">
        <v>17700</v>
      </c>
      <c r="AH108" s="314">
        <v>8516</v>
      </c>
      <c r="AI108" s="314">
        <v>853</v>
      </c>
      <c r="AJ108" s="314">
        <v>1036</v>
      </c>
      <c r="AK108" s="314">
        <v>312</v>
      </c>
      <c r="AL108" s="314">
        <v>909</v>
      </c>
      <c r="AM108" s="314">
        <v>0</v>
      </c>
      <c r="AN108" s="314">
        <v>164</v>
      </c>
      <c r="AO108" s="314">
        <v>0</v>
      </c>
      <c r="AP108" s="314">
        <v>0</v>
      </c>
    </row>
    <row r="109" spans="1:42">
      <c r="A109" s="547">
        <f t="shared" si="1"/>
        <v>1994</v>
      </c>
      <c r="B109" s="578">
        <v>34668</v>
      </c>
      <c r="C109" s="314">
        <v>40974</v>
      </c>
      <c r="D109" s="314">
        <v>34246</v>
      </c>
      <c r="E109" s="314">
        <v>68798</v>
      </c>
      <c r="F109" s="314">
        <v>31919</v>
      </c>
      <c r="G109" s="314">
        <v>19847</v>
      </c>
      <c r="H109" s="314">
        <v>7996</v>
      </c>
      <c r="I109" s="314">
        <v>30279</v>
      </c>
      <c r="J109" s="314">
        <v>9869</v>
      </c>
      <c r="K109" s="314">
        <v>1892</v>
      </c>
      <c r="L109" s="314">
        <v>0</v>
      </c>
      <c r="M109" s="314">
        <v>410</v>
      </c>
      <c r="N109" s="314">
        <v>1559</v>
      </c>
      <c r="O109" s="314">
        <v>0</v>
      </c>
      <c r="P109" s="314">
        <v>549</v>
      </c>
      <c r="Q109" s="314">
        <v>0</v>
      </c>
      <c r="R109" s="314">
        <v>118</v>
      </c>
      <c r="S109" s="314">
        <v>0</v>
      </c>
      <c r="T109" s="314">
        <v>249</v>
      </c>
      <c r="U109" s="314">
        <v>1523</v>
      </c>
      <c r="V109" s="314">
        <v>996</v>
      </c>
      <c r="W109" s="314">
        <v>3205</v>
      </c>
      <c r="X109" s="314">
        <v>5495</v>
      </c>
      <c r="Y109" s="314">
        <v>18277</v>
      </c>
      <c r="Z109" s="314">
        <v>3118</v>
      </c>
      <c r="AA109" s="314">
        <v>0</v>
      </c>
      <c r="AB109" s="314">
        <v>0</v>
      </c>
      <c r="AC109" s="314">
        <v>0</v>
      </c>
      <c r="AD109" s="314">
        <v>0</v>
      </c>
      <c r="AE109" s="314">
        <v>16030</v>
      </c>
      <c r="AF109" s="314">
        <v>17140</v>
      </c>
      <c r="AG109" s="314">
        <v>18309</v>
      </c>
      <c r="AH109" s="314">
        <v>6484</v>
      </c>
      <c r="AI109" s="314">
        <v>0</v>
      </c>
      <c r="AJ109" s="314">
        <v>2617</v>
      </c>
      <c r="AK109" s="314">
        <v>0</v>
      </c>
      <c r="AL109" s="314">
        <v>8675</v>
      </c>
      <c r="AM109" s="314">
        <v>0</v>
      </c>
      <c r="AN109" s="314">
        <v>200</v>
      </c>
      <c r="AO109" s="314">
        <v>0</v>
      </c>
      <c r="AP109" s="314">
        <v>1100</v>
      </c>
    </row>
    <row r="110" spans="1:42">
      <c r="A110" s="547">
        <f t="shared" si="1"/>
        <v>1994</v>
      </c>
      <c r="B110" s="578">
        <v>34699</v>
      </c>
      <c r="C110" s="314">
        <v>27271</v>
      </c>
      <c r="D110" s="314">
        <v>37614</v>
      </c>
      <c r="E110" s="314">
        <v>45291</v>
      </c>
      <c r="F110" s="314">
        <v>29929</v>
      </c>
      <c r="G110" s="314">
        <v>19717</v>
      </c>
      <c r="H110" s="314">
        <v>6562</v>
      </c>
      <c r="I110" s="314">
        <v>5666</v>
      </c>
      <c r="J110" s="314">
        <v>17364</v>
      </c>
      <c r="K110" s="314">
        <v>0</v>
      </c>
      <c r="L110" s="314">
        <v>18324</v>
      </c>
      <c r="M110" s="314">
        <v>0</v>
      </c>
      <c r="N110" s="314">
        <v>641</v>
      </c>
      <c r="O110" s="314">
        <v>0</v>
      </c>
      <c r="P110" s="314">
        <v>93</v>
      </c>
      <c r="Q110" s="314">
        <v>0</v>
      </c>
      <c r="R110" s="314">
        <v>196</v>
      </c>
      <c r="S110" s="314">
        <v>0</v>
      </c>
      <c r="T110" s="314">
        <v>335</v>
      </c>
      <c r="U110" s="314">
        <v>1641</v>
      </c>
      <c r="V110" s="314">
        <v>550</v>
      </c>
      <c r="W110" s="314">
        <v>0</v>
      </c>
      <c r="X110" s="314">
        <v>2116</v>
      </c>
      <c r="Y110" s="314">
        <v>9620</v>
      </c>
      <c r="Z110" s="314">
        <v>3436</v>
      </c>
      <c r="AA110" s="314">
        <v>0</v>
      </c>
      <c r="AB110" s="314">
        <v>375</v>
      </c>
      <c r="AC110" s="314">
        <v>0</v>
      </c>
      <c r="AD110" s="314">
        <v>193</v>
      </c>
      <c r="AE110" s="314">
        <v>7467</v>
      </c>
      <c r="AF110" s="314">
        <v>8118</v>
      </c>
      <c r="AG110" s="314">
        <v>28364</v>
      </c>
      <c r="AH110" s="314">
        <v>4714</v>
      </c>
      <c r="AI110" s="314">
        <v>87</v>
      </c>
      <c r="AJ110" s="314">
        <v>304</v>
      </c>
      <c r="AK110" s="314">
        <v>0</v>
      </c>
      <c r="AL110" s="314">
        <v>2522</v>
      </c>
      <c r="AM110" s="314">
        <v>0</v>
      </c>
      <c r="AN110" s="314">
        <v>1387</v>
      </c>
      <c r="AO110" s="314">
        <v>0</v>
      </c>
      <c r="AP110" s="314">
        <v>313</v>
      </c>
    </row>
    <row r="111" spans="1:42">
      <c r="A111" s="547">
        <f t="shared" si="1"/>
        <v>1995</v>
      </c>
      <c r="B111" s="578">
        <v>34730</v>
      </c>
      <c r="C111" s="314">
        <v>37344</v>
      </c>
      <c r="D111" s="314">
        <v>21972</v>
      </c>
      <c r="E111" s="314">
        <v>46975</v>
      </c>
      <c r="F111" s="314">
        <v>28612</v>
      </c>
      <c r="G111" s="314">
        <v>438</v>
      </c>
      <c r="H111" s="314">
        <v>5363</v>
      </c>
      <c r="I111" s="314">
        <v>14964</v>
      </c>
      <c r="J111" s="314">
        <v>16521</v>
      </c>
      <c r="K111" s="314">
        <v>0</v>
      </c>
      <c r="L111" s="314">
        <v>1370</v>
      </c>
      <c r="M111" s="314">
        <v>0</v>
      </c>
      <c r="N111" s="314">
        <v>325</v>
      </c>
      <c r="O111" s="314">
        <v>0</v>
      </c>
      <c r="P111" s="314">
        <v>0</v>
      </c>
      <c r="Q111" s="314">
        <v>470</v>
      </c>
      <c r="R111" s="314">
        <v>163</v>
      </c>
      <c r="S111" s="314">
        <v>961</v>
      </c>
      <c r="T111" s="314">
        <v>1723</v>
      </c>
      <c r="U111" s="314">
        <v>193</v>
      </c>
      <c r="V111" s="314">
        <v>1722</v>
      </c>
      <c r="W111" s="314">
        <v>17196</v>
      </c>
      <c r="X111" s="314">
        <v>3306</v>
      </c>
      <c r="Y111" s="314">
        <v>9459</v>
      </c>
      <c r="Z111" s="314">
        <v>4197</v>
      </c>
      <c r="AA111" s="314">
        <v>0</v>
      </c>
      <c r="AB111" s="314">
        <v>0</v>
      </c>
      <c r="AC111" s="314">
        <v>0</v>
      </c>
      <c r="AD111" s="314">
        <v>4000</v>
      </c>
      <c r="AE111" s="314">
        <v>18749</v>
      </c>
      <c r="AF111" s="314">
        <v>3404</v>
      </c>
      <c r="AG111" s="314">
        <v>21555</v>
      </c>
      <c r="AH111" s="314">
        <v>1684</v>
      </c>
      <c r="AI111" s="314">
        <v>0</v>
      </c>
      <c r="AJ111" s="314">
        <v>5396</v>
      </c>
      <c r="AK111" s="314">
        <v>0</v>
      </c>
      <c r="AL111" s="314">
        <v>0</v>
      </c>
      <c r="AM111" s="314">
        <v>0</v>
      </c>
      <c r="AN111" s="314">
        <v>1410</v>
      </c>
      <c r="AO111" s="314">
        <v>334</v>
      </c>
      <c r="AP111" s="314">
        <v>0</v>
      </c>
    </row>
    <row r="112" spans="1:42">
      <c r="A112" s="547">
        <f t="shared" si="1"/>
        <v>1995</v>
      </c>
      <c r="B112" s="578">
        <v>34758</v>
      </c>
      <c r="C112" s="314">
        <v>16490</v>
      </c>
      <c r="D112" s="314">
        <v>32584</v>
      </c>
      <c r="E112" s="314">
        <v>36637</v>
      </c>
      <c r="F112" s="314">
        <v>33918</v>
      </c>
      <c r="G112" s="314">
        <v>2242</v>
      </c>
      <c r="H112" s="314">
        <v>10185</v>
      </c>
      <c r="I112" s="314">
        <v>5364</v>
      </c>
      <c r="J112" s="314">
        <v>11378</v>
      </c>
      <c r="K112" s="314">
        <v>41</v>
      </c>
      <c r="L112" s="314">
        <v>924</v>
      </c>
      <c r="M112" s="314">
        <v>2858</v>
      </c>
      <c r="N112" s="314">
        <v>0</v>
      </c>
      <c r="O112" s="314">
        <v>167</v>
      </c>
      <c r="P112" s="314">
        <v>78</v>
      </c>
      <c r="Q112" s="314">
        <v>0</v>
      </c>
      <c r="R112" s="314">
        <v>491</v>
      </c>
      <c r="S112" s="314">
        <v>0</v>
      </c>
      <c r="T112" s="314">
        <v>1703</v>
      </c>
      <c r="U112" s="314">
        <v>360</v>
      </c>
      <c r="V112" s="314">
        <v>0</v>
      </c>
      <c r="W112" s="314">
        <v>5488</v>
      </c>
      <c r="X112" s="314">
        <v>8436</v>
      </c>
      <c r="Y112" s="314">
        <v>12042</v>
      </c>
      <c r="Z112" s="314">
        <v>15173</v>
      </c>
      <c r="AA112" s="314">
        <v>905</v>
      </c>
      <c r="AB112" s="314">
        <v>9219</v>
      </c>
      <c r="AC112" s="314">
        <v>0</v>
      </c>
      <c r="AD112" s="314">
        <v>0</v>
      </c>
      <c r="AE112" s="314">
        <v>6984</v>
      </c>
      <c r="AF112" s="314">
        <v>330</v>
      </c>
      <c r="AG112" s="314">
        <v>15113</v>
      </c>
      <c r="AH112" s="314">
        <v>6876</v>
      </c>
      <c r="AI112" s="314">
        <v>119</v>
      </c>
      <c r="AJ112" s="314">
        <v>975</v>
      </c>
      <c r="AK112" s="314">
        <v>900</v>
      </c>
      <c r="AL112" s="314">
        <v>0</v>
      </c>
      <c r="AM112" s="314">
        <v>544</v>
      </c>
      <c r="AN112" s="314">
        <v>734</v>
      </c>
      <c r="AO112" s="314">
        <v>0</v>
      </c>
      <c r="AP112" s="314">
        <v>0</v>
      </c>
    </row>
    <row r="113" spans="1:42">
      <c r="A113" s="547">
        <f t="shared" si="1"/>
        <v>1995</v>
      </c>
      <c r="B113" s="578">
        <v>34789</v>
      </c>
      <c r="C113" s="314">
        <v>55938</v>
      </c>
      <c r="D113" s="314">
        <v>23162</v>
      </c>
      <c r="E113" s="314">
        <v>61088</v>
      </c>
      <c r="F113" s="314">
        <v>28676</v>
      </c>
      <c r="G113" s="314">
        <v>43689</v>
      </c>
      <c r="H113" s="314">
        <v>2990</v>
      </c>
      <c r="I113" s="314">
        <v>4553</v>
      </c>
      <c r="J113" s="314">
        <v>14720</v>
      </c>
      <c r="K113" s="314">
        <v>479</v>
      </c>
      <c r="L113" s="314">
        <v>860</v>
      </c>
      <c r="M113" s="314">
        <v>649</v>
      </c>
      <c r="N113" s="314">
        <v>483</v>
      </c>
      <c r="O113" s="314">
        <v>0</v>
      </c>
      <c r="P113" s="314">
        <v>268</v>
      </c>
      <c r="Q113" s="314">
        <v>163</v>
      </c>
      <c r="R113" s="314">
        <v>0</v>
      </c>
      <c r="S113" s="314">
        <v>0</v>
      </c>
      <c r="T113" s="314">
        <v>0</v>
      </c>
      <c r="U113" s="314">
        <v>1090</v>
      </c>
      <c r="V113" s="314">
        <v>967</v>
      </c>
      <c r="W113" s="314">
        <v>5210</v>
      </c>
      <c r="X113" s="314">
        <v>16372</v>
      </c>
      <c r="Y113" s="314">
        <v>17507</v>
      </c>
      <c r="Z113" s="314">
        <v>1631</v>
      </c>
      <c r="AA113" s="314">
        <v>508</v>
      </c>
      <c r="AB113" s="314">
        <v>570</v>
      </c>
      <c r="AC113" s="314">
        <v>450</v>
      </c>
      <c r="AD113" s="314">
        <v>243</v>
      </c>
      <c r="AE113" s="314">
        <v>5999</v>
      </c>
      <c r="AF113" s="314">
        <v>2102</v>
      </c>
      <c r="AG113" s="314">
        <v>33799</v>
      </c>
      <c r="AH113" s="314">
        <v>8425</v>
      </c>
      <c r="AI113" s="314">
        <v>0</v>
      </c>
      <c r="AJ113" s="314">
        <v>0</v>
      </c>
      <c r="AK113" s="314">
        <v>2877</v>
      </c>
      <c r="AL113" s="314">
        <v>2207</v>
      </c>
      <c r="AM113" s="314">
        <v>53</v>
      </c>
      <c r="AN113" s="314">
        <v>0</v>
      </c>
      <c r="AO113" s="314">
        <v>0</v>
      </c>
      <c r="AP113" s="314">
        <v>0</v>
      </c>
    </row>
    <row r="114" spans="1:42">
      <c r="A114" s="547">
        <f t="shared" si="1"/>
        <v>1995</v>
      </c>
      <c r="B114" s="578">
        <v>34819</v>
      </c>
      <c r="C114" s="314">
        <v>17444</v>
      </c>
      <c r="D114" s="314">
        <v>13230</v>
      </c>
      <c r="E114" s="314">
        <v>63669</v>
      </c>
      <c r="F114" s="314">
        <v>17051</v>
      </c>
      <c r="G114" s="314">
        <v>991</v>
      </c>
      <c r="H114" s="314">
        <v>4544</v>
      </c>
      <c r="I114" s="314">
        <v>5396</v>
      </c>
      <c r="J114" s="314">
        <v>9056</v>
      </c>
      <c r="K114" s="314">
        <v>192</v>
      </c>
      <c r="L114" s="314">
        <v>1040</v>
      </c>
      <c r="M114" s="314">
        <v>905</v>
      </c>
      <c r="N114" s="314">
        <v>46</v>
      </c>
      <c r="O114" s="314">
        <v>0</v>
      </c>
      <c r="P114" s="314">
        <v>81</v>
      </c>
      <c r="Q114" s="314">
        <v>0</v>
      </c>
      <c r="R114" s="314">
        <v>683</v>
      </c>
      <c r="S114" s="314">
        <v>1407</v>
      </c>
      <c r="T114" s="314">
        <v>0</v>
      </c>
      <c r="U114" s="314">
        <v>646</v>
      </c>
      <c r="V114" s="314">
        <v>39</v>
      </c>
      <c r="W114" s="314">
        <v>3755</v>
      </c>
      <c r="X114" s="314">
        <v>6325</v>
      </c>
      <c r="Y114" s="314">
        <v>24909</v>
      </c>
      <c r="Z114" s="314">
        <v>3571</v>
      </c>
      <c r="AA114" s="314">
        <v>0</v>
      </c>
      <c r="AB114" s="314">
        <v>32</v>
      </c>
      <c r="AC114" s="314">
        <v>0</v>
      </c>
      <c r="AD114" s="314">
        <v>1105</v>
      </c>
      <c r="AE114" s="314">
        <v>7913</v>
      </c>
      <c r="AF114" s="314">
        <v>788</v>
      </c>
      <c r="AG114" s="314">
        <v>30509</v>
      </c>
      <c r="AH114" s="314">
        <v>2551</v>
      </c>
      <c r="AI114" s="314">
        <v>3186</v>
      </c>
      <c r="AJ114" s="314">
        <v>0</v>
      </c>
      <c r="AK114" s="314">
        <v>1304</v>
      </c>
      <c r="AL114" s="314">
        <v>0</v>
      </c>
      <c r="AM114" s="314">
        <v>0</v>
      </c>
      <c r="AN114" s="314">
        <v>420</v>
      </c>
      <c r="AO114" s="314">
        <v>0</v>
      </c>
      <c r="AP114" s="314">
        <v>0</v>
      </c>
    </row>
    <row r="115" spans="1:42">
      <c r="A115" s="547">
        <f t="shared" si="1"/>
        <v>1995</v>
      </c>
      <c r="B115" s="578">
        <v>34850</v>
      </c>
      <c r="C115" s="314">
        <v>26746</v>
      </c>
      <c r="D115" s="314">
        <v>22939</v>
      </c>
      <c r="E115" s="314">
        <v>56560</v>
      </c>
      <c r="F115" s="314">
        <v>22726</v>
      </c>
      <c r="G115" s="314">
        <v>4645</v>
      </c>
      <c r="H115" s="314">
        <v>4867</v>
      </c>
      <c r="I115" s="314">
        <v>10310</v>
      </c>
      <c r="J115" s="314">
        <v>8847</v>
      </c>
      <c r="K115" s="314">
        <v>0</v>
      </c>
      <c r="L115" s="314">
        <v>394</v>
      </c>
      <c r="M115" s="314">
        <v>7273</v>
      </c>
      <c r="N115" s="314">
        <v>2647</v>
      </c>
      <c r="O115" s="314">
        <v>0</v>
      </c>
      <c r="P115" s="314">
        <v>899</v>
      </c>
      <c r="Q115" s="314">
        <v>866</v>
      </c>
      <c r="R115" s="314">
        <v>0</v>
      </c>
      <c r="S115" s="314">
        <v>0</v>
      </c>
      <c r="T115" s="314">
        <v>193</v>
      </c>
      <c r="U115" s="314">
        <v>229</v>
      </c>
      <c r="V115" s="314">
        <v>672</v>
      </c>
      <c r="W115" s="314">
        <v>1229</v>
      </c>
      <c r="X115" s="314">
        <v>1442</v>
      </c>
      <c r="Y115" s="314">
        <v>15815</v>
      </c>
      <c r="Z115" s="314">
        <v>2916</v>
      </c>
      <c r="AA115" s="314">
        <v>0</v>
      </c>
      <c r="AB115" s="314">
        <v>5182</v>
      </c>
      <c r="AC115" s="314">
        <v>1697</v>
      </c>
      <c r="AD115" s="314">
        <v>3912</v>
      </c>
      <c r="AE115" s="314">
        <v>20773</v>
      </c>
      <c r="AF115" s="314">
        <v>9457</v>
      </c>
      <c r="AG115" s="314">
        <v>17623</v>
      </c>
      <c r="AH115" s="314">
        <v>2126</v>
      </c>
      <c r="AI115" s="314">
        <v>0</v>
      </c>
      <c r="AJ115" s="314">
        <v>0</v>
      </c>
      <c r="AK115" s="314">
        <v>2023</v>
      </c>
      <c r="AL115" s="314">
        <v>1417</v>
      </c>
      <c r="AM115" s="314">
        <v>99</v>
      </c>
      <c r="AN115" s="314">
        <v>505</v>
      </c>
      <c r="AO115" s="314">
        <v>724</v>
      </c>
      <c r="AP115" s="314">
        <v>189</v>
      </c>
    </row>
    <row r="116" spans="1:42">
      <c r="A116" s="547">
        <f t="shared" si="1"/>
        <v>1995</v>
      </c>
      <c r="B116" s="578">
        <v>34880</v>
      </c>
      <c r="C116" s="314">
        <v>33332</v>
      </c>
      <c r="D116" s="314">
        <v>50207</v>
      </c>
      <c r="E116" s="314">
        <v>80822</v>
      </c>
      <c r="F116" s="314">
        <v>28902</v>
      </c>
      <c r="G116" s="314">
        <v>953</v>
      </c>
      <c r="H116" s="314">
        <v>7259</v>
      </c>
      <c r="I116" s="314">
        <v>6512</v>
      </c>
      <c r="J116" s="314">
        <v>14352</v>
      </c>
      <c r="K116" s="314">
        <v>945</v>
      </c>
      <c r="L116" s="314">
        <v>8294</v>
      </c>
      <c r="M116" s="314">
        <v>1092</v>
      </c>
      <c r="N116" s="314">
        <v>2558</v>
      </c>
      <c r="O116" s="314">
        <v>0</v>
      </c>
      <c r="P116" s="314">
        <v>0</v>
      </c>
      <c r="Q116" s="314">
        <v>0</v>
      </c>
      <c r="R116" s="314">
        <v>0</v>
      </c>
      <c r="S116" s="314">
        <v>1583</v>
      </c>
      <c r="T116" s="314">
        <v>615</v>
      </c>
      <c r="U116" s="314">
        <v>3724</v>
      </c>
      <c r="V116" s="314">
        <v>1517</v>
      </c>
      <c r="W116" s="314">
        <v>160</v>
      </c>
      <c r="X116" s="314">
        <v>17554</v>
      </c>
      <c r="Y116" s="314">
        <v>9002</v>
      </c>
      <c r="Z116" s="314">
        <v>3422</v>
      </c>
      <c r="AA116" s="314">
        <v>2183</v>
      </c>
      <c r="AB116" s="314">
        <v>0</v>
      </c>
      <c r="AC116" s="314">
        <v>0</v>
      </c>
      <c r="AD116" s="314">
        <v>1242</v>
      </c>
      <c r="AE116" s="314">
        <v>27508</v>
      </c>
      <c r="AF116" s="314">
        <v>15541</v>
      </c>
      <c r="AG116" s="314">
        <v>53574</v>
      </c>
      <c r="AH116" s="314">
        <v>4430</v>
      </c>
      <c r="AI116" s="314">
        <v>0</v>
      </c>
      <c r="AJ116" s="314">
        <v>304</v>
      </c>
      <c r="AK116" s="314">
        <v>6750</v>
      </c>
      <c r="AL116" s="314">
        <v>1147</v>
      </c>
      <c r="AM116" s="314">
        <v>0</v>
      </c>
      <c r="AN116" s="314">
        <v>640</v>
      </c>
      <c r="AO116" s="314">
        <v>168</v>
      </c>
      <c r="AP116" s="314">
        <v>234</v>
      </c>
    </row>
    <row r="117" spans="1:42">
      <c r="A117" s="547">
        <f t="shared" si="1"/>
        <v>1995</v>
      </c>
      <c r="B117" s="578">
        <v>34911</v>
      </c>
      <c r="C117" s="314">
        <v>6790</v>
      </c>
      <c r="D117" s="314">
        <v>35870</v>
      </c>
      <c r="E117" s="314">
        <v>31053</v>
      </c>
      <c r="F117" s="314">
        <v>33031</v>
      </c>
      <c r="G117" s="314">
        <v>1903</v>
      </c>
      <c r="H117" s="314">
        <v>663</v>
      </c>
      <c r="I117" s="314">
        <v>885</v>
      </c>
      <c r="J117" s="314">
        <v>15625</v>
      </c>
      <c r="K117" s="314">
        <v>0</v>
      </c>
      <c r="L117" s="314">
        <v>267</v>
      </c>
      <c r="M117" s="314">
        <v>1570</v>
      </c>
      <c r="N117" s="314">
        <v>966</v>
      </c>
      <c r="O117" s="314">
        <v>0</v>
      </c>
      <c r="P117" s="314">
        <v>0</v>
      </c>
      <c r="Q117" s="314">
        <v>0</v>
      </c>
      <c r="R117" s="314">
        <v>12</v>
      </c>
      <c r="S117" s="314">
        <v>0</v>
      </c>
      <c r="T117" s="314">
        <v>349</v>
      </c>
      <c r="U117" s="314">
        <v>0</v>
      </c>
      <c r="V117" s="314">
        <v>205</v>
      </c>
      <c r="W117" s="314">
        <v>1271</v>
      </c>
      <c r="X117" s="314">
        <v>12811</v>
      </c>
      <c r="Y117" s="314">
        <v>6377</v>
      </c>
      <c r="Z117" s="314">
        <v>1153</v>
      </c>
      <c r="AA117" s="314">
        <v>0</v>
      </c>
      <c r="AB117" s="314">
        <v>533</v>
      </c>
      <c r="AC117" s="314">
        <v>0</v>
      </c>
      <c r="AD117" s="314">
        <v>2216</v>
      </c>
      <c r="AE117" s="314">
        <v>2041</v>
      </c>
      <c r="AF117" s="314">
        <v>7441</v>
      </c>
      <c r="AG117" s="314">
        <v>20522</v>
      </c>
      <c r="AH117" s="314">
        <v>10521</v>
      </c>
      <c r="AI117" s="314">
        <v>1575</v>
      </c>
      <c r="AJ117" s="314">
        <v>13475</v>
      </c>
      <c r="AK117" s="314">
        <v>988</v>
      </c>
      <c r="AL117" s="314">
        <v>2220</v>
      </c>
      <c r="AM117" s="314">
        <v>0</v>
      </c>
      <c r="AN117" s="314">
        <v>331</v>
      </c>
      <c r="AO117" s="314">
        <v>711</v>
      </c>
      <c r="AP117" s="314">
        <v>113</v>
      </c>
    </row>
    <row r="118" spans="1:42">
      <c r="A118" s="547">
        <f t="shared" si="1"/>
        <v>1995</v>
      </c>
      <c r="B118" s="578">
        <v>34942</v>
      </c>
      <c r="C118" s="314">
        <v>42032</v>
      </c>
      <c r="D118" s="314">
        <v>31249</v>
      </c>
      <c r="E118" s="314">
        <v>66105</v>
      </c>
      <c r="F118" s="314">
        <v>15658</v>
      </c>
      <c r="G118" s="314">
        <v>1935</v>
      </c>
      <c r="H118" s="314">
        <v>1126</v>
      </c>
      <c r="I118" s="314">
        <v>2239</v>
      </c>
      <c r="J118" s="314">
        <v>3476</v>
      </c>
      <c r="K118" s="314">
        <v>24</v>
      </c>
      <c r="L118" s="314">
        <v>2433</v>
      </c>
      <c r="M118" s="314">
        <v>805</v>
      </c>
      <c r="N118" s="314">
        <v>593</v>
      </c>
      <c r="O118" s="314">
        <v>0</v>
      </c>
      <c r="P118" s="314">
        <v>0</v>
      </c>
      <c r="Q118" s="314">
        <v>0</v>
      </c>
      <c r="R118" s="314">
        <v>0</v>
      </c>
      <c r="S118" s="314">
        <v>0</v>
      </c>
      <c r="T118" s="314">
        <v>5427</v>
      </c>
      <c r="U118" s="314">
        <v>1953</v>
      </c>
      <c r="V118" s="314">
        <v>435</v>
      </c>
      <c r="W118" s="314">
        <v>262</v>
      </c>
      <c r="X118" s="314">
        <v>11298</v>
      </c>
      <c r="Y118" s="314">
        <v>8536</v>
      </c>
      <c r="Z118" s="314">
        <v>7144</v>
      </c>
      <c r="AA118" s="314">
        <v>915</v>
      </c>
      <c r="AB118" s="314">
        <v>100</v>
      </c>
      <c r="AC118" s="314">
        <v>0</v>
      </c>
      <c r="AD118" s="314">
        <v>0</v>
      </c>
      <c r="AE118" s="314">
        <v>38493</v>
      </c>
      <c r="AF118" s="314">
        <v>10707</v>
      </c>
      <c r="AG118" s="314">
        <v>47245</v>
      </c>
      <c r="AH118" s="314">
        <v>3513</v>
      </c>
      <c r="AI118" s="314">
        <v>403</v>
      </c>
      <c r="AJ118" s="314">
        <v>158</v>
      </c>
      <c r="AK118" s="314">
        <v>2828</v>
      </c>
      <c r="AL118" s="314">
        <v>497</v>
      </c>
      <c r="AM118" s="314">
        <v>0</v>
      </c>
      <c r="AN118" s="314">
        <v>0</v>
      </c>
      <c r="AO118" s="314">
        <v>2499</v>
      </c>
      <c r="AP118" s="314">
        <v>0</v>
      </c>
    </row>
    <row r="119" spans="1:42">
      <c r="A119" s="547">
        <f t="shared" si="1"/>
        <v>1995</v>
      </c>
      <c r="B119" s="578">
        <v>34972</v>
      </c>
      <c r="C119" s="314">
        <v>38197</v>
      </c>
      <c r="D119" s="314">
        <v>44066</v>
      </c>
      <c r="E119" s="314">
        <v>55396</v>
      </c>
      <c r="F119" s="314">
        <v>29059</v>
      </c>
      <c r="G119" s="314">
        <v>4019</v>
      </c>
      <c r="H119" s="314">
        <v>10404</v>
      </c>
      <c r="I119" s="314">
        <v>14814</v>
      </c>
      <c r="J119" s="314">
        <v>14659</v>
      </c>
      <c r="K119" s="314">
        <v>0</v>
      </c>
      <c r="L119" s="314">
        <v>1500</v>
      </c>
      <c r="M119" s="314">
        <v>558</v>
      </c>
      <c r="N119" s="314">
        <v>1937</v>
      </c>
      <c r="O119" s="314">
        <v>0</v>
      </c>
      <c r="P119" s="314">
        <v>0</v>
      </c>
      <c r="Q119" s="314">
        <v>660</v>
      </c>
      <c r="R119" s="314">
        <v>601</v>
      </c>
      <c r="S119" s="314">
        <v>9526</v>
      </c>
      <c r="T119" s="314">
        <v>919</v>
      </c>
      <c r="U119" s="314">
        <v>0</v>
      </c>
      <c r="V119" s="314">
        <v>0</v>
      </c>
      <c r="W119" s="314">
        <v>6260</v>
      </c>
      <c r="X119" s="314">
        <v>2310</v>
      </c>
      <c r="Y119" s="314">
        <v>30631</v>
      </c>
      <c r="Z119" s="314">
        <v>3772</v>
      </c>
      <c r="AA119" s="314">
        <v>0</v>
      </c>
      <c r="AB119" s="314">
        <v>13539</v>
      </c>
      <c r="AC119" s="314">
        <v>0</v>
      </c>
      <c r="AD119" s="314">
        <v>1117</v>
      </c>
      <c r="AE119" s="314">
        <v>15494</v>
      </c>
      <c r="AF119" s="314">
        <v>7969</v>
      </c>
      <c r="AG119" s="314">
        <v>4930</v>
      </c>
      <c r="AH119" s="314">
        <v>6234</v>
      </c>
      <c r="AI119" s="314">
        <v>2875</v>
      </c>
      <c r="AJ119" s="314">
        <v>4087</v>
      </c>
      <c r="AK119" s="314">
        <v>2895</v>
      </c>
      <c r="AL119" s="314">
        <v>739</v>
      </c>
      <c r="AM119" s="314">
        <v>23</v>
      </c>
      <c r="AN119" s="314">
        <v>3338</v>
      </c>
      <c r="AO119" s="314">
        <v>908</v>
      </c>
      <c r="AP119" s="314">
        <v>0</v>
      </c>
    </row>
    <row r="120" spans="1:42">
      <c r="A120" s="547">
        <f t="shared" si="1"/>
        <v>1995</v>
      </c>
      <c r="B120" s="578">
        <v>35003</v>
      </c>
      <c r="C120" s="314">
        <v>32379</v>
      </c>
      <c r="D120" s="314">
        <v>25790</v>
      </c>
      <c r="E120" s="314">
        <v>80132</v>
      </c>
      <c r="F120" s="314">
        <v>24579</v>
      </c>
      <c r="G120" s="314">
        <v>7068</v>
      </c>
      <c r="H120" s="314">
        <v>3014</v>
      </c>
      <c r="I120" s="314">
        <v>13173</v>
      </c>
      <c r="J120" s="314">
        <v>17405</v>
      </c>
      <c r="K120" s="314">
        <v>5611</v>
      </c>
      <c r="L120" s="314">
        <v>1223</v>
      </c>
      <c r="M120" s="314">
        <v>11443</v>
      </c>
      <c r="N120" s="314">
        <v>1489</v>
      </c>
      <c r="O120" s="314">
        <v>0</v>
      </c>
      <c r="P120" s="314">
        <v>176</v>
      </c>
      <c r="Q120" s="314">
        <v>0</v>
      </c>
      <c r="R120" s="314">
        <v>0</v>
      </c>
      <c r="S120" s="314">
        <v>0</v>
      </c>
      <c r="T120" s="314">
        <v>0</v>
      </c>
      <c r="U120" s="314">
        <v>1122</v>
      </c>
      <c r="V120" s="314">
        <v>652</v>
      </c>
      <c r="W120" s="314">
        <v>3410</v>
      </c>
      <c r="X120" s="314">
        <v>10747</v>
      </c>
      <c r="Y120" s="314">
        <v>35265</v>
      </c>
      <c r="Z120" s="314">
        <v>2253</v>
      </c>
      <c r="AA120" s="314">
        <v>240</v>
      </c>
      <c r="AB120" s="314">
        <v>3679</v>
      </c>
      <c r="AC120" s="314">
        <v>613</v>
      </c>
      <c r="AD120" s="314">
        <v>621</v>
      </c>
      <c r="AE120" s="314">
        <v>13208</v>
      </c>
      <c r="AF120" s="314">
        <v>2293</v>
      </c>
      <c r="AG120" s="314">
        <v>13322</v>
      </c>
      <c r="AH120" s="314">
        <v>1590</v>
      </c>
      <c r="AI120" s="314">
        <v>324</v>
      </c>
      <c r="AJ120" s="314">
        <v>4658</v>
      </c>
      <c r="AK120" s="314">
        <v>0</v>
      </c>
      <c r="AL120" s="314">
        <v>249</v>
      </c>
      <c r="AM120" s="314">
        <v>2518</v>
      </c>
      <c r="AN120" s="314">
        <v>0</v>
      </c>
      <c r="AO120" s="314">
        <v>5194</v>
      </c>
      <c r="AP120" s="314">
        <v>320</v>
      </c>
    </row>
    <row r="121" spans="1:42">
      <c r="A121" s="547">
        <f t="shared" si="1"/>
        <v>1995</v>
      </c>
      <c r="B121" s="578">
        <v>35033</v>
      </c>
      <c r="C121" s="314">
        <v>6361</v>
      </c>
      <c r="D121" s="314">
        <v>42003</v>
      </c>
      <c r="E121" s="314">
        <v>129912</v>
      </c>
      <c r="F121" s="314">
        <v>23521</v>
      </c>
      <c r="G121" s="314">
        <v>1453</v>
      </c>
      <c r="H121" s="314">
        <v>5175</v>
      </c>
      <c r="I121" s="314">
        <v>14468</v>
      </c>
      <c r="J121" s="314">
        <v>15523</v>
      </c>
      <c r="K121" s="314">
        <v>1672</v>
      </c>
      <c r="L121" s="314">
        <v>3340</v>
      </c>
      <c r="M121" s="314">
        <v>3607</v>
      </c>
      <c r="N121" s="314">
        <v>1666</v>
      </c>
      <c r="O121" s="314">
        <v>0</v>
      </c>
      <c r="P121" s="314">
        <v>0</v>
      </c>
      <c r="Q121" s="314">
        <v>616</v>
      </c>
      <c r="R121" s="314">
        <v>213</v>
      </c>
      <c r="S121" s="314">
        <v>301</v>
      </c>
      <c r="T121" s="314">
        <v>0</v>
      </c>
      <c r="U121" s="314">
        <v>766</v>
      </c>
      <c r="V121" s="314">
        <v>649</v>
      </c>
      <c r="W121" s="314">
        <v>174</v>
      </c>
      <c r="X121" s="314">
        <v>3843</v>
      </c>
      <c r="Y121" s="314">
        <v>13762</v>
      </c>
      <c r="Z121" s="314">
        <v>2536</v>
      </c>
      <c r="AA121" s="314">
        <v>0</v>
      </c>
      <c r="AB121" s="314">
        <v>424</v>
      </c>
      <c r="AC121" s="314">
        <v>850</v>
      </c>
      <c r="AD121" s="314">
        <v>360</v>
      </c>
      <c r="AE121" s="314">
        <v>2482</v>
      </c>
      <c r="AF121" s="314">
        <v>8694</v>
      </c>
      <c r="AG121" s="314">
        <v>95431</v>
      </c>
      <c r="AH121" s="314">
        <v>1089</v>
      </c>
      <c r="AI121" s="314">
        <v>279</v>
      </c>
      <c r="AJ121" s="314">
        <v>16702</v>
      </c>
      <c r="AK121" s="314">
        <v>412</v>
      </c>
      <c r="AL121" s="314">
        <v>1341</v>
      </c>
      <c r="AM121" s="314">
        <v>0</v>
      </c>
      <c r="AN121" s="314">
        <v>3825</v>
      </c>
      <c r="AO121" s="314">
        <v>0</v>
      </c>
      <c r="AP121" s="314">
        <v>144</v>
      </c>
    </row>
    <row r="122" spans="1:42">
      <c r="A122" s="547">
        <f t="shared" si="1"/>
        <v>1995</v>
      </c>
      <c r="B122" s="578">
        <v>35064</v>
      </c>
      <c r="C122" s="314">
        <v>26425</v>
      </c>
      <c r="D122" s="314">
        <v>23014</v>
      </c>
      <c r="E122" s="314">
        <v>79205</v>
      </c>
      <c r="F122" s="314">
        <v>39598</v>
      </c>
      <c r="G122" s="314">
        <v>10647</v>
      </c>
      <c r="H122" s="314">
        <v>11332</v>
      </c>
      <c r="I122" s="314">
        <v>48366</v>
      </c>
      <c r="J122" s="314">
        <v>23057</v>
      </c>
      <c r="K122" s="314">
        <v>264</v>
      </c>
      <c r="L122" s="314">
        <v>4752</v>
      </c>
      <c r="M122" s="314">
        <v>2514</v>
      </c>
      <c r="N122" s="314">
        <v>3239</v>
      </c>
      <c r="O122" s="314">
        <v>0</v>
      </c>
      <c r="P122" s="314">
        <v>764</v>
      </c>
      <c r="Q122" s="314">
        <v>1934</v>
      </c>
      <c r="R122" s="314">
        <v>0</v>
      </c>
      <c r="S122" s="314">
        <v>504</v>
      </c>
      <c r="T122" s="314">
        <v>777</v>
      </c>
      <c r="U122" s="314">
        <v>5049</v>
      </c>
      <c r="V122" s="314">
        <v>934</v>
      </c>
      <c r="W122" s="314">
        <v>1732</v>
      </c>
      <c r="X122" s="314">
        <v>1083</v>
      </c>
      <c r="Y122" s="314">
        <v>3329</v>
      </c>
      <c r="Z122" s="314">
        <v>3785</v>
      </c>
      <c r="AA122" s="314">
        <v>0</v>
      </c>
      <c r="AB122" s="314">
        <v>660</v>
      </c>
      <c r="AC122" s="314">
        <v>0</v>
      </c>
      <c r="AD122" s="314">
        <v>1181</v>
      </c>
      <c r="AE122" s="314">
        <v>12998</v>
      </c>
      <c r="AF122" s="314">
        <v>245</v>
      </c>
      <c r="AG122" s="314">
        <v>15157</v>
      </c>
      <c r="AH122" s="314">
        <v>7027</v>
      </c>
      <c r="AI122" s="314">
        <v>0</v>
      </c>
      <c r="AJ122" s="314">
        <v>3155</v>
      </c>
      <c r="AK122" s="314">
        <v>0</v>
      </c>
      <c r="AL122" s="314">
        <v>0</v>
      </c>
      <c r="AM122" s="314">
        <v>280</v>
      </c>
      <c r="AN122" s="314">
        <v>246</v>
      </c>
      <c r="AO122" s="314">
        <v>2856</v>
      </c>
      <c r="AP122" s="314">
        <v>375</v>
      </c>
    </row>
    <row r="123" spans="1:42">
      <c r="A123" s="547">
        <f t="shared" si="1"/>
        <v>1996</v>
      </c>
      <c r="B123" s="578">
        <v>35095</v>
      </c>
      <c r="C123" s="314">
        <v>18794</v>
      </c>
      <c r="D123" s="314">
        <v>32060</v>
      </c>
      <c r="E123" s="314">
        <v>47068</v>
      </c>
      <c r="F123" s="314">
        <v>27445</v>
      </c>
      <c r="G123" s="314">
        <v>8939</v>
      </c>
      <c r="H123" s="314">
        <v>11505</v>
      </c>
      <c r="I123" s="314">
        <v>8850</v>
      </c>
      <c r="J123" s="314">
        <v>12955</v>
      </c>
      <c r="K123" s="314">
        <v>0</v>
      </c>
      <c r="L123" s="314">
        <v>3681</v>
      </c>
      <c r="M123" s="314">
        <v>815</v>
      </c>
      <c r="N123" s="314">
        <v>918</v>
      </c>
      <c r="O123" s="314">
        <v>0</v>
      </c>
      <c r="P123" s="314">
        <v>0</v>
      </c>
      <c r="Q123" s="314">
        <v>0</v>
      </c>
      <c r="R123" s="314">
        <v>2741</v>
      </c>
      <c r="S123" s="314">
        <v>1161</v>
      </c>
      <c r="T123" s="314">
        <v>635</v>
      </c>
      <c r="U123" s="314">
        <v>4960</v>
      </c>
      <c r="V123" s="314">
        <v>2185</v>
      </c>
      <c r="W123" s="314">
        <v>3051</v>
      </c>
      <c r="X123" s="314">
        <v>0</v>
      </c>
      <c r="Y123" s="314">
        <v>11986</v>
      </c>
      <c r="Z123" s="314">
        <v>2342</v>
      </c>
      <c r="AA123" s="314">
        <v>0</v>
      </c>
      <c r="AB123" s="314">
        <v>10938</v>
      </c>
      <c r="AC123" s="314">
        <v>49</v>
      </c>
      <c r="AD123" s="314">
        <v>300</v>
      </c>
      <c r="AE123" s="314">
        <v>3065</v>
      </c>
      <c r="AF123" s="314">
        <v>4629</v>
      </c>
      <c r="AG123" s="314">
        <v>16476</v>
      </c>
      <c r="AH123" s="314">
        <v>5173</v>
      </c>
      <c r="AI123" s="314">
        <v>2578</v>
      </c>
      <c r="AJ123" s="314">
        <v>672</v>
      </c>
      <c r="AK123" s="314">
        <v>2842</v>
      </c>
      <c r="AL123" s="314">
        <v>761</v>
      </c>
      <c r="AM123" s="314">
        <v>0</v>
      </c>
      <c r="AN123" s="314">
        <v>0</v>
      </c>
      <c r="AO123" s="314">
        <v>1090</v>
      </c>
      <c r="AP123" s="314">
        <v>70</v>
      </c>
    </row>
    <row r="124" spans="1:42">
      <c r="A124" s="547">
        <f t="shared" si="1"/>
        <v>1996</v>
      </c>
      <c r="B124" s="578">
        <v>35124</v>
      </c>
      <c r="C124" s="314">
        <v>35883</v>
      </c>
      <c r="D124" s="314">
        <v>39585</v>
      </c>
      <c r="E124" s="314">
        <v>60099</v>
      </c>
      <c r="F124" s="314">
        <v>14334</v>
      </c>
      <c r="G124" s="314">
        <v>2811</v>
      </c>
      <c r="H124" s="314">
        <v>3061</v>
      </c>
      <c r="I124" s="314">
        <v>17157</v>
      </c>
      <c r="J124" s="314">
        <v>5800</v>
      </c>
      <c r="K124" s="314">
        <v>2746</v>
      </c>
      <c r="L124" s="314">
        <v>2040</v>
      </c>
      <c r="M124" s="314">
        <v>2147</v>
      </c>
      <c r="N124" s="314">
        <v>830</v>
      </c>
      <c r="O124" s="314">
        <v>3049</v>
      </c>
      <c r="P124" s="314">
        <v>0</v>
      </c>
      <c r="Q124" s="314">
        <v>1473</v>
      </c>
      <c r="R124" s="314">
        <v>1795</v>
      </c>
      <c r="S124" s="314">
        <v>786</v>
      </c>
      <c r="T124" s="314">
        <v>3017</v>
      </c>
      <c r="U124" s="314">
        <v>272</v>
      </c>
      <c r="V124" s="314">
        <v>217</v>
      </c>
      <c r="W124" s="314">
        <v>3753</v>
      </c>
      <c r="X124" s="314">
        <v>24285</v>
      </c>
      <c r="Y124" s="314">
        <v>13807</v>
      </c>
      <c r="Z124" s="314">
        <v>1522</v>
      </c>
      <c r="AA124" s="314">
        <v>628</v>
      </c>
      <c r="AB124" s="314">
        <v>1268</v>
      </c>
      <c r="AC124" s="314">
        <v>0</v>
      </c>
      <c r="AD124" s="314">
        <v>0</v>
      </c>
      <c r="AE124" s="314">
        <v>20699</v>
      </c>
      <c r="AF124" s="314">
        <v>5149</v>
      </c>
      <c r="AG124" s="314">
        <v>24046</v>
      </c>
      <c r="AH124" s="314">
        <v>2479</v>
      </c>
      <c r="AI124" s="314">
        <v>1411</v>
      </c>
      <c r="AJ124" s="314">
        <v>765</v>
      </c>
      <c r="AK124" s="314">
        <v>1197</v>
      </c>
      <c r="AL124" s="314">
        <v>1558</v>
      </c>
      <c r="AM124" s="314">
        <v>0</v>
      </c>
      <c r="AN124" s="314">
        <v>0</v>
      </c>
      <c r="AO124" s="314">
        <v>0</v>
      </c>
      <c r="AP124" s="314">
        <v>133</v>
      </c>
    </row>
    <row r="125" spans="1:42">
      <c r="A125" s="547">
        <f t="shared" si="1"/>
        <v>1996</v>
      </c>
      <c r="B125" s="578">
        <v>35155</v>
      </c>
      <c r="C125" s="314">
        <v>28671</v>
      </c>
      <c r="D125" s="314">
        <v>20323</v>
      </c>
      <c r="E125" s="314">
        <v>57686</v>
      </c>
      <c r="F125" s="314">
        <v>16459</v>
      </c>
      <c r="G125" s="314">
        <v>767</v>
      </c>
      <c r="H125" s="314">
        <v>5481</v>
      </c>
      <c r="I125" s="314">
        <v>13061</v>
      </c>
      <c r="J125" s="314">
        <v>11509</v>
      </c>
      <c r="K125" s="314">
        <v>0</v>
      </c>
      <c r="L125" s="314">
        <v>1376</v>
      </c>
      <c r="M125" s="314">
        <v>544</v>
      </c>
      <c r="N125" s="314">
        <v>754</v>
      </c>
      <c r="O125" s="314">
        <v>0</v>
      </c>
      <c r="P125" s="314">
        <v>167</v>
      </c>
      <c r="Q125" s="314">
        <v>1790</v>
      </c>
      <c r="R125" s="314">
        <v>0</v>
      </c>
      <c r="S125" s="314">
        <v>787</v>
      </c>
      <c r="T125" s="314">
        <v>0</v>
      </c>
      <c r="U125" s="314">
        <v>3976</v>
      </c>
      <c r="V125" s="314">
        <v>0</v>
      </c>
      <c r="W125" s="314">
        <v>8515</v>
      </c>
      <c r="X125" s="314">
        <v>3440</v>
      </c>
      <c r="Y125" s="314">
        <v>12187</v>
      </c>
      <c r="Z125" s="314">
        <v>0</v>
      </c>
      <c r="AA125" s="314">
        <v>67</v>
      </c>
      <c r="AB125" s="314">
        <v>900</v>
      </c>
      <c r="AC125" s="314">
        <v>2629</v>
      </c>
      <c r="AD125" s="314">
        <v>789</v>
      </c>
      <c r="AE125" s="314">
        <v>18535</v>
      </c>
      <c r="AF125" s="314">
        <v>6955</v>
      </c>
      <c r="AG125" s="314">
        <v>21042</v>
      </c>
      <c r="AH125" s="314">
        <v>3276</v>
      </c>
      <c r="AI125" s="314">
        <v>0</v>
      </c>
      <c r="AJ125" s="314">
        <v>1885</v>
      </c>
      <c r="AK125" s="314">
        <v>1992</v>
      </c>
      <c r="AL125" s="314">
        <v>0</v>
      </c>
      <c r="AM125" s="314">
        <v>0</v>
      </c>
      <c r="AN125" s="314">
        <v>119</v>
      </c>
      <c r="AO125" s="314">
        <v>465</v>
      </c>
      <c r="AP125" s="314">
        <v>131</v>
      </c>
    </row>
    <row r="126" spans="1:42">
      <c r="A126" s="547">
        <f t="shared" si="1"/>
        <v>1996</v>
      </c>
      <c r="B126" s="578">
        <v>35185</v>
      </c>
      <c r="C126" s="314">
        <v>95872</v>
      </c>
      <c r="D126" s="314">
        <v>28366</v>
      </c>
      <c r="E126" s="314">
        <v>107167</v>
      </c>
      <c r="F126" s="314">
        <v>57985</v>
      </c>
      <c r="G126" s="314">
        <v>480</v>
      </c>
      <c r="H126" s="314">
        <v>4136</v>
      </c>
      <c r="I126" s="314">
        <v>10088</v>
      </c>
      <c r="J126" s="314">
        <v>27152</v>
      </c>
      <c r="K126" s="314">
        <v>280</v>
      </c>
      <c r="L126" s="314">
        <v>1140</v>
      </c>
      <c r="M126" s="314">
        <v>2063</v>
      </c>
      <c r="N126" s="314">
        <v>2892</v>
      </c>
      <c r="O126" s="314">
        <v>0</v>
      </c>
      <c r="P126" s="314">
        <v>2602</v>
      </c>
      <c r="Q126" s="314">
        <v>0</v>
      </c>
      <c r="R126" s="314">
        <v>568</v>
      </c>
      <c r="S126" s="314">
        <v>2609</v>
      </c>
      <c r="T126" s="314">
        <v>5217</v>
      </c>
      <c r="U126" s="314">
        <v>2229</v>
      </c>
      <c r="V126" s="314">
        <v>0</v>
      </c>
      <c r="W126" s="314">
        <v>10831</v>
      </c>
      <c r="X126" s="314">
        <v>6664</v>
      </c>
      <c r="Y126" s="314">
        <v>25455</v>
      </c>
      <c r="Z126" s="314">
        <v>2196</v>
      </c>
      <c r="AA126" s="314">
        <v>708</v>
      </c>
      <c r="AB126" s="314">
        <v>3827</v>
      </c>
      <c r="AC126" s="314">
        <v>0</v>
      </c>
      <c r="AD126" s="314">
        <v>10190</v>
      </c>
      <c r="AE126" s="314">
        <v>80743</v>
      </c>
      <c r="AF126" s="314">
        <v>4780</v>
      </c>
      <c r="AG126" s="314">
        <v>67332</v>
      </c>
      <c r="AH126" s="314">
        <v>13151</v>
      </c>
      <c r="AI126" s="314">
        <v>221</v>
      </c>
      <c r="AJ126" s="314">
        <v>0</v>
      </c>
      <c r="AK126" s="314">
        <v>0</v>
      </c>
      <c r="AL126" s="314">
        <v>1836</v>
      </c>
      <c r="AM126" s="314">
        <v>0</v>
      </c>
      <c r="AN126" s="314">
        <v>0</v>
      </c>
      <c r="AO126" s="314">
        <v>0</v>
      </c>
      <c r="AP126" s="314">
        <v>0</v>
      </c>
    </row>
    <row r="127" spans="1:42">
      <c r="A127" s="547">
        <f t="shared" si="1"/>
        <v>1996</v>
      </c>
      <c r="B127" s="578">
        <v>35216</v>
      </c>
      <c r="C127" s="314">
        <v>31374</v>
      </c>
      <c r="D127" s="314">
        <v>22902</v>
      </c>
      <c r="E127" s="314">
        <v>100060</v>
      </c>
      <c r="F127" s="314">
        <v>50174</v>
      </c>
      <c r="G127" s="314">
        <v>1145</v>
      </c>
      <c r="H127" s="314">
        <v>4992</v>
      </c>
      <c r="I127" s="314">
        <v>17141</v>
      </c>
      <c r="J127" s="314">
        <v>28344</v>
      </c>
      <c r="K127" s="314">
        <v>462</v>
      </c>
      <c r="L127" s="314">
        <v>2126</v>
      </c>
      <c r="M127" s="314">
        <v>883</v>
      </c>
      <c r="N127" s="314">
        <v>1990</v>
      </c>
      <c r="O127" s="314">
        <v>0</v>
      </c>
      <c r="P127" s="314">
        <v>3087</v>
      </c>
      <c r="Q127" s="314">
        <v>90</v>
      </c>
      <c r="R127" s="314">
        <v>1183</v>
      </c>
      <c r="S127" s="314">
        <v>0</v>
      </c>
      <c r="T127" s="314">
        <v>1465</v>
      </c>
      <c r="U127" s="314">
        <v>20142</v>
      </c>
      <c r="V127" s="314">
        <v>0</v>
      </c>
      <c r="W127" s="314">
        <v>1384</v>
      </c>
      <c r="X127" s="314">
        <v>6164</v>
      </c>
      <c r="Y127" s="314">
        <v>9304</v>
      </c>
      <c r="Z127" s="314">
        <v>2538</v>
      </c>
      <c r="AA127" s="314">
        <v>7791</v>
      </c>
      <c r="AB127" s="314">
        <v>0</v>
      </c>
      <c r="AC127" s="314">
        <v>0</v>
      </c>
      <c r="AD127" s="314">
        <v>3349</v>
      </c>
      <c r="AE127" s="314">
        <v>20592</v>
      </c>
      <c r="AF127" s="314">
        <v>4306</v>
      </c>
      <c r="AG127" s="314">
        <v>51668</v>
      </c>
      <c r="AH127" s="314">
        <v>10980</v>
      </c>
      <c r="AI127" s="314">
        <v>0</v>
      </c>
      <c r="AJ127" s="314">
        <v>762</v>
      </c>
      <c r="AK127" s="314">
        <v>632</v>
      </c>
      <c r="AL127" s="314">
        <v>1790</v>
      </c>
      <c r="AM127" s="314">
        <v>0</v>
      </c>
      <c r="AN127" s="314">
        <v>0</v>
      </c>
      <c r="AO127" s="314">
        <v>200</v>
      </c>
      <c r="AP127" s="314">
        <v>0</v>
      </c>
    </row>
    <row r="128" spans="1:42">
      <c r="A128" s="547">
        <f t="shared" si="1"/>
        <v>1996</v>
      </c>
      <c r="B128" s="578">
        <v>35246</v>
      </c>
      <c r="C128" s="314">
        <v>32544</v>
      </c>
      <c r="D128" s="314">
        <v>15643</v>
      </c>
      <c r="E128" s="314">
        <v>37408</v>
      </c>
      <c r="F128" s="314">
        <v>19700</v>
      </c>
      <c r="G128" s="314">
        <v>5062</v>
      </c>
      <c r="H128" s="314">
        <v>443</v>
      </c>
      <c r="I128" s="314">
        <v>9797</v>
      </c>
      <c r="J128" s="314">
        <v>4986</v>
      </c>
      <c r="K128" s="314">
        <v>998</v>
      </c>
      <c r="L128" s="314">
        <v>846</v>
      </c>
      <c r="M128" s="314">
        <v>1778</v>
      </c>
      <c r="N128" s="314">
        <v>313</v>
      </c>
      <c r="O128" s="314">
        <v>0</v>
      </c>
      <c r="P128" s="314">
        <v>0</v>
      </c>
      <c r="Q128" s="314">
        <v>653</v>
      </c>
      <c r="R128" s="314">
        <v>979</v>
      </c>
      <c r="S128" s="314">
        <v>100</v>
      </c>
      <c r="T128" s="314">
        <v>1563</v>
      </c>
      <c r="U128" s="314">
        <v>0</v>
      </c>
      <c r="V128" s="314">
        <v>0</v>
      </c>
      <c r="W128" s="314">
        <v>2100</v>
      </c>
      <c r="X128" s="314">
        <v>8766</v>
      </c>
      <c r="Y128" s="314">
        <v>14781</v>
      </c>
      <c r="Z128" s="314">
        <v>3956</v>
      </c>
      <c r="AA128" s="314">
        <v>2280</v>
      </c>
      <c r="AB128" s="314">
        <v>402</v>
      </c>
      <c r="AC128" s="314">
        <v>333</v>
      </c>
      <c r="AD128" s="314">
        <v>2259</v>
      </c>
      <c r="AE128" s="314">
        <v>8760</v>
      </c>
      <c r="AF128" s="314">
        <v>2750</v>
      </c>
      <c r="AG128" s="314">
        <v>6255</v>
      </c>
      <c r="AH128" s="314">
        <v>396</v>
      </c>
      <c r="AI128" s="314">
        <v>11632</v>
      </c>
      <c r="AJ128" s="314">
        <v>873</v>
      </c>
      <c r="AK128" s="314">
        <v>1546</v>
      </c>
      <c r="AL128" s="314">
        <v>6811</v>
      </c>
      <c r="AM128" s="314">
        <v>1612</v>
      </c>
      <c r="AN128" s="314">
        <v>0</v>
      </c>
      <c r="AO128" s="314">
        <v>2265</v>
      </c>
      <c r="AP128" s="314">
        <v>0</v>
      </c>
    </row>
    <row r="129" spans="1:42">
      <c r="A129" s="547">
        <f t="shared" si="1"/>
        <v>1996</v>
      </c>
      <c r="B129" s="578">
        <v>35277</v>
      </c>
      <c r="C129" s="314">
        <v>29397</v>
      </c>
      <c r="D129" s="314">
        <v>71821</v>
      </c>
      <c r="E129" s="314">
        <v>123331</v>
      </c>
      <c r="F129" s="314">
        <v>33080</v>
      </c>
      <c r="G129" s="314">
        <v>2281</v>
      </c>
      <c r="H129" s="314">
        <v>2198</v>
      </c>
      <c r="I129" s="314">
        <v>19995</v>
      </c>
      <c r="J129" s="314">
        <v>9749</v>
      </c>
      <c r="K129" s="314">
        <v>1790</v>
      </c>
      <c r="L129" s="314">
        <v>2605</v>
      </c>
      <c r="M129" s="314">
        <v>3413</v>
      </c>
      <c r="N129" s="314">
        <v>1592</v>
      </c>
      <c r="O129" s="314">
        <v>0</v>
      </c>
      <c r="P129" s="314">
        <v>0</v>
      </c>
      <c r="Q129" s="314">
        <v>0</v>
      </c>
      <c r="R129" s="314">
        <v>0</v>
      </c>
      <c r="S129" s="314">
        <v>0</v>
      </c>
      <c r="T129" s="314">
        <v>1220</v>
      </c>
      <c r="U129" s="314">
        <v>16085</v>
      </c>
      <c r="V129" s="314">
        <v>643</v>
      </c>
      <c r="W129" s="314">
        <v>7193</v>
      </c>
      <c r="X129" s="314">
        <v>391</v>
      </c>
      <c r="Y129" s="314">
        <v>38878</v>
      </c>
      <c r="Z129" s="314">
        <v>10852</v>
      </c>
      <c r="AA129" s="314">
        <v>2130</v>
      </c>
      <c r="AB129" s="314">
        <v>685</v>
      </c>
      <c r="AC129" s="314">
        <v>1773</v>
      </c>
      <c r="AD129" s="314">
        <v>308</v>
      </c>
      <c r="AE129" s="314">
        <v>14797</v>
      </c>
      <c r="AF129" s="314">
        <v>61808</v>
      </c>
      <c r="AG129" s="314">
        <v>39942</v>
      </c>
      <c r="AH129" s="314">
        <v>7668</v>
      </c>
      <c r="AI129" s="314">
        <v>1206</v>
      </c>
      <c r="AJ129" s="314">
        <v>2914</v>
      </c>
      <c r="AK129" s="314">
        <v>0</v>
      </c>
      <c r="AL129" s="314">
        <v>2268</v>
      </c>
      <c r="AM129" s="314">
        <v>0</v>
      </c>
      <c r="AN129" s="314">
        <v>0</v>
      </c>
      <c r="AO129" s="314">
        <v>3245</v>
      </c>
      <c r="AP129" s="314">
        <v>0</v>
      </c>
    </row>
    <row r="130" spans="1:42">
      <c r="A130" s="547">
        <f t="shared" si="1"/>
        <v>1996</v>
      </c>
      <c r="B130" s="578">
        <v>35308</v>
      </c>
      <c r="C130" s="314">
        <v>44840</v>
      </c>
      <c r="D130" s="314">
        <v>43115</v>
      </c>
      <c r="E130" s="314">
        <v>35769</v>
      </c>
      <c r="F130" s="314">
        <v>16251</v>
      </c>
      <c r="G130" s="314">
        <v>2573</v>
      </c>
      <c r="H130" s="314">
        <v>3978</v>
      </c>
      <c r="I130" s="314">
        <v>13863</v>
      </c>
      <c r="J130" s="314">
        <v>7182</v>
      </c>
      <c r="K130" s="314">
        <v>1938</v>
      </c>
      <c r="L130" s="314">
        <v>1206</v>
      </c>
      <c r="M130" s="314">
        <v>3978</v>
      </c>
      <c r="N130" s="314">
        <v>1010</v>
      </c>
      <c r="O130" s="314">
        <v>0</v>
      </c>
      <c r="P130" s="314">
        <v>0</v>
      </c>
      <c r="Q130" s="314">
        <v>0</v>
      </c>
      <c r="R130" s="314">
        <v>0</v>
      </c>
      <c r="S130" s="314">
        <v>4657</v>
      </c>
      <c r="T130" s="314">
        <v>1539</v>
      </c>
      <c r="U130" s="314">
        <v>0</v>
      </c>
      <c r="V130" s="314">
        <v>795</v>
      </c>
      <c r="W130" s="314">
        <v>8210</v>
      </c>
      <c r="X130" s="314">
        <v>10999</v>
      </c>
      <c r="Y130" s="314">
        <v>3704</v>
      </c>
      <c r="Z130" s="314">
        <v>2248</v>
      </c>
      <c r="AA130" s="314">
        <v>0</v>
      </c>
      <c r="AB130" s="314">
        <v>2084</v>
      </c>
      <c r="AC130" s="314">
        <v>0</v>
      </c>
      <c r="AD130" s="314">
        <v>501</v>
      </c>
      <c r="AE130" s="314">
        <v>24751</v>
      </c>
      <c r="AF130" s="314">
        <v>19093</v>
      </c>
      <c r="AG130" s="314">
        <v>10119</v>
      </c>
      <c r="AH130" s="314">
        <v>782</v>
      </c>
      <c r="AI130" s="314">
        <v>1657</v>
      </c>
      <c r="AJ130" s="314">
        <v>1530</v>
      </c>
      <c r="AK130" s="314">
        <v>4105</v>
      </c>
      <c r="AL130" s="314">
        <v>3733</v>
      </c>
      <c r="AM130" s="314">
        <v>1054</v>
      </c>
      <c r="AN130" s="314">
        <v>2686</v>
      </c>
      <c r="AO130" s="314">
        <v>0</v>
      </c>
      <c r="AP130" s="314">
        <v>0</v>
      </c>
    </row>
    <row r="131" spans="1:42">
      <c r="A131" s="547">
        <f t="shared" si="1"/>
        <v>1996</v>
      </c>
      <c r="B131" s="578">
        <v>35338</v>
      </c>
      <c r="C131" s="314">
        <v>66490</v>
      </c>
      <c r="D131" s="314">
        <v>30801</v>
      </c>
      <c r="E131" s="314">
        <v>72522</v>
      </c>
      <c r="F131" s="314">
        <v>41698</v>
      </c>
      <c r="G131" s="314">
        <v>1110</v>
      </c>
      <c r="H131" s="314">
        <v>21357</v>
      </c>
      <c r="I131" s="314">
        <v>16051</v>
      </c>
      <c r="J131" s="314">
        <v>14001</v>
      </c>
      <c r="K131" s="314">
        <v>97</v>
      </c>
      <c r="L131" s="314">
        <v>0</v>
      </c>
      <c r="M131" s="314">
        <v>0</v>
      </c>
      <c r="N131" s="314">
        <v>3829</v>
      </c>
      <c r="O131" s="314">
        <v>0</v>
      </c>
      <c r="P131" s="314">
        <v>2109</v>
      </c>
      <c r="Q131" s="314">
        <v>641</v>
      </c>
      <c r="R131" s="314">
        <v>0</v>
      </c>
      <c r="S131" s="314">
        <v>1264</v>
      </c>
      <c r="T131" s="314">
        <v>52</v>
      </c>
      <c r="U131" s="314">
        <v>5604</v>
      </c>
      <c r="V131" s="314">
        <v>1559</v>
      </c>
      <c r="W131" s="314">
        <v>0</v>
      </c>
      <c r="X131" s="314">
        <v>1422</v>
      </c>
      <c r="Y131" s="314">
        <v>28699</v>
      </c>
      <c r="Z131" s="314">
        <v>6228</v>
      </c>
      <c r="AA131" s="314">
        <v>0</v>
      </c>
      <c r="AB131" s="314">
        <v>0</v>
      </c>
      <c r="AC131" s="314">
        <v>2702</v>
      </c>
      <c r="AD131" s="314">
        <v>2446</v>
      </c>
      <c r="AE131" s="314">
        <v>63406</v>
      </c>
      <c r="AF131" s="314">
        <v>477</v>
      </c>
      <c r="AG131" s="314">
        <v>11724</v>
      </c>
      <c r="AH131" s="314">
        <v>10913</v>
      </c>
      <c r="AI131" s="314">
        <v>613</v>
      </c>
      <c r="AJ131" s="314">
        <v>1430</v>
      </c>
      <c r="AK131" s="314">
        <v>3389</v>
      </c>
      <c r="AL131" s="314">
        <v>2006</v>
      </c>
      <c r="AM131" s="314">
        <v>0</v>
      </c>
      <c r="AN131" s="314">
        <v>3954</v>
      </c>
      <c r="AO131" s="314">
        <v>3712</v>
      </c>
      <c r="AP131" s="314">
        <v>716</v>
      </c>
    </row>
    <row r="132" spans="1:42">
      <c r="A132" s="547">
        <f t="shared" ref="A132:A195" si="2">YEAR($B132)</f>
        <v>1996</v>
      </c>
      <c r="B132" s="578">
        <v>35369</v>
      </c>
      <c r="C132" s="314">
        <v>53963</v>
      </c>
      <c r="D132" s="314">
        <v>70949</v>
      </c>
      <c r="E132" s="314">
        <v>90782</v>
      </c>
      <c r="F132" s="314">
        <v>21478</v>
      </c>
      <c r="G132" s="314">
        <v>9434</v>
      </c>
      <c r="H132" s="314">
        <v>363</v>
      </c>
      <c r="I132" s="314">
        <v>14445</v>
      </c>
      <c r="J132" s="314">
        <v>11399</v>
      </c>
      <c r="K132" s="314">
        <v>2138</v>
      </c>
      <c r="L132" s="314">
        <v>1710</v>
      </c>
      <c r="M132" s="314">
        <v>4412</v>
      </c>
      <c r="N132" s="314">
        <v>763</v>
      </c>
      <c r="O132" s="314">
        <v>6252</v>
      </c>
      <c r="P132" s="314">
        <v>93</v>
      </c>
      <c r="Q132" s="314">
        <v>0</v>
      </c>
      <c r="R132" s="314">
        <v>0</v>
      </c>
      <c r="S132" s="314">
        <v>550</v>
      </c>
      <c r="T132" s="314">
        <v>1110</v>
      </c>
      <c r="U132" s="314">
        <v>300</v>
      </c>
      <c r="V132" s="314">
        <v>1106</v>
      </c>
      <c r="W132" s="314">
        <v>2365</v>
      </c>
      <c r="X132" s="314">
        <v>43100</v>
      </c>
      <c r="Y132" s="314">
        <v>29930</v>
      </c>
      <c r="Z132" s="314">
        <v>1846</v>
      </c>
      <c r="AA132" s="314">
        <v>1330</v>
      </c>
      <c r="AB132" s="314">
        <v>5222</v>
      </c>
      <c r="AC132" s="314">
        <v>10126</v>
      </c>
      <c r="AD132" s="314">
        <v>282</v>
      </c>
      <c r="AE132" s="314">
        <v>31555</v>
      </c>
      <c r="AF132" s="314">
        <v>4099</v>
      </c>
      <c r="AG132" s="314">
        <v>29413</v>
      </c>
      <c r="AH132" s="314">
        <v>5820</v>
      </c>
      <c r="AI132" s="314">
        <v>42</v>
      </c>
      <c r="AJ132" s="314">
        <v>1069</v>
      </c>
      <c r="AK132" s="314">
        <v>1430</v>
      </c>
      <c r="AL132" s="314">
        <v>241</v>
      </c>
      <c r="AM132" s="314">
        <v>297</v>
      </c>
      <c r="AN132" s="314">
        <v>14183</v>
      </c>
      <c r="AO132" s="314">
        <v>726</v>
      </c>
      <c r="AP132" s="314">
        <v>21</v>
      </c>
    </row>
    <row r="133" spans="1:42">
      <c r="A133" s="547">
        <f t="shared" si="2"/>
        <v>1996</v>
      </c>
      <c r="B133" s="578">
        <v>35399</v>
      </c>
      <c r="C133" s="314">
        <v>57861</v>
      </c>
      <c r="D133" s="314">
        <v>78660</v>
      </c>
      <c r="E133" s="314">
        <v>84783</v>
      </c>
      <c r="F133" s="314">
        <v>42795</v>
      </c>
      <c r="G133" s="314">
        <v>10803</v>
      </c>
      <c r="H133" s="314">
        <v>1851</v>
      </c>
      <c r="I133" s="314">
        <v>27533</v>
      </c>
      <c r="J133" s="314">
        <v>21047</v>
      </c>
      <c r="K133" s="314">
        <v>0</v>
      </c>
      <c r="L133" s="314">
        <v>12093</v>
      </c>
      <c r="M133" s="314">
        <v>2651</v>
      </c>
      <c r="N133" s="314">
        <v>1211</v>
      </c>
      <c r="O133" s="314">
        <v>0</v>
      </c>
      <c r="P133" s="314">
        <v>275</v>
      </c>
      <c r="Q133" s="314">
        <v>2799</v>
      </c>
      <c r="R133" s="314">
        <v>505</v>
      </c>
      <c r="S133" s="314">
        <v>0</v>
      </c>
      <c r="T133" s="314">
        <v>300</v>
      </c>
      <c r="U133" s="314">
        <v>0</v>
      </c>
      <c r="V133" s="314">
        <v>446</v>
      </c>
      <c r="W133" s="314">
        <v>5332</v>
      </c>
      <c r="X133" s="314">
        <v>56571</v>
      </c>
      <c r="Y133" s="314">
        <v>47993</v>
      </c>
      <c r="Z133" s="314">
        <v>7029</v>
      </c>
      <c r="AA133" s="314">
        <v>2253</v>
      </c>
      <c r="AB133" s="314">
        <v>0</v>
      </c>
      <c r="AC133" s="314">
        <v>0</v>
      </c>
      <c r="AD133" s="314">
        <v>0</v>
      </c>
      <c r="AE133" s="314">
        <v>36528</v>
      </c>
      <c r="AF133" s="314">
        <v>1227</v>
      </c>
      <c r="AG133" s="314">
        <v>3118</v>
      </c>
      <c r="AH133" s="314">
        <v>5447</v>
      </c>
      <c r="AI133" s="314">
        <v>1535</v>
      </c>
      <c r="AJ133" s="314">
        <v>6343</v>
      </c>
      <c r="AK133" s="314">
        <v>689</v>
      </c>
      <c r="AL133" s="314">
        <v>6146</v>
      </c>
      <c r="AM133" s="314">
        <v>1410</v>
      </c>
      <c r="AN133" s="314">
        <v>0</v>
      </c>
      <c r="AO133" s="314">
        <v>0</v>
      </c>
      <c r="AP133" s="314">
        <v>964</v>
      </c>
    </row>
    <row r="134" spans="1:42">
      <c r="A134" s="547">
        <f t="shared" si="2"/>
        <v>1996</v>
      </c>
      <c r="B134" s="578">
        <v>35430</v>
      </c>
      <c r="C134" s="314">
        <v>43061</v>
      </c>
      <c r="D134" s="314">
        <v>37794</v>
      </c>
      <c r="E134" s="314">
        <v>70856</v>
      </c>
      <c r="F134" s="314">
        <v>75632</v>
      </c>
      <c r="G134" s="314">
        <v>2798</v>
      </c>
      <c r="H134" s="314">
        <v>17298</v>
      </c>
      <c r="I134" s="314">
        <v>12197</v>
      </c>
      <c r="J134" s="314">
        <v>4127</v>
      </c>
      <c r="K134" s="314">
        <v>0</v>
      </c>
      <c r="L134" s="314">
        <v>2620</v>
      </c>
      <c r="M134" s="314">
        <v>6622</v>
      </c>
      <c r="N134" s="314">
        <v>918</v>
      </c>
      <c r="O134" s="314">
        <v>0</v>
      </c>
      <c r="P134" s="314">
        <v>0</v>
      </c>
      <c r="Q134" s="314">
        <v>0</v>
      </c>
      <c r="R134" s="314">
        <v>0</v>
      </c>
      <c r="S134" s="314">
        <v>6116</v>
      </c>
      <c r="T134" s="314">
        <v>9448</v>
      </c>
      <c r="U134" s="314">
        <v>1311</v>
      </c>
      <c r="V134" s="314">
        <v>1063</v>
      </c>
      <c r="W134" s="314">
        <v>1105</v>
      </c>
      <c r="X134" s="314">
        <v>1154</v>
      </c>
      <c r="Y134" s="314">
        <v>12296</v>
      </c>
      <c r="Z134" s="314">
        <v>5923</v>
      </c>
      <c r="AA134" s="314">
        <v>0</v>
      </c>
      <c r="AB134" s="314">
        <v>0</v>
      </c>
      <c r="AC134" s="314">
        <v>0</v>
      </c>
      <c r="AD134" s="314">
        <v>4239</v>
      </c>
      <c r="AE134" s="314">
        <v>33042</v>
      </c>
      <c r="AF134" s="314">
        <v>7274</v>
      </c>
      <c r="AG134" s="314">
        <v>38180</v>
      </c>
      <c r="AH134" s="314">
        <v>59017</v>
      </c>
      <c r="AI134" s="314">
        <v>0</v>
      </c>
      <c r="AJ134" s="314">
        <v>0</v>
      </c>
      <c r="AK134" s="314">
        <v>0</v>
      </c>
      <c r="AL134" s="314">
        <v>105</v>
      </c>
      <c r="AM134" s="314">
        <v>0</v>
      </c>
      <c r="AN134" s="314">
        <v>0</v>
      </c>
      <c r="AO134" s="314">
        <v>250</v>
      </c>
      <c r="AP134" s="314">
        <v>240</v>
      </c>
    </row>
    <row r="135" spans="1:42">
      <c r="A135" s="547">
        <f t="shared" si="2"/>
        <v>1997</v>
      </c>
      <c r="B135" s="578">
        <v>35461</v>
      </c>
      <c r="C135" s="314">
        <v>88399</v>
      </c>
      <c r="D135" s="314">
        <v>29247</v>
      </c>
      <c r="E135" s="314">
        <v>69350</v>
      </c>
      <c r="F135" s="314">
        <v>20479</v>
      </c>
      <c r="G135" s="314">
        <v>3247</v>
      </c>
      <c r="H135" s="314">
        <v>1342</v>
      </c>
      <c r="I135" s="314">
        <v>16061</v>
      </c>
      <c r="J135" s="314">
        <v>4345</v>
      </c>
      <c r="K135" s="314">
        <v>0</v>
      </c>
      <c r="L135" s="314">
        <v>1713</v>
      </c>
      <c r="M135" s="314">
        <v>980</v>
      </c>
      <c r="N135" s="314">
        <v>146</v>
      </c>
      <c r="O135" s="314">
        <v>0</v>
      </c>
      <c r="P135" s="314">
        <v>0</v>
      </c>
      <c r="Q135" s="314">
        <v>0</v>
      </c>
      <c r="R135" s="314">
        <v>0</v>
      </c>
      <c r="S135" s="314">
        <v>4441</v>
      </c>
      <c r="T135" s="314">
        <v>274</v>
      </c>
      <c r="U135" s="314">
        <v>2123</v>
      </c>
      <c r="V135" s="314">
        <v>1452</v>
      </c>
      <c r="W135" s="314">
        <v>5083</v>
      </c>
      <c r="X135" s="314">
        <v>2338</v>
      </c>
      <c r="Y135" s="314">
        <v>36344</v>
      </c>
      <c r="Z135" s="314">
        <v>6715</v>
      </c>
      <c r="AA135" s="314">
        <v>0</v>
      </c>
      <c r="AB135" s="314">
        <v>0</v>
      </c>
      <c r="AC135" s="314">
        <v>480</v>
      </c>
      <c r="AD135" s="314">
        <v>308</v>
      </c>
      <c r="AE135" s="314">
        <v>75628</v>
      </c>
      <c r="AF135" s="314">
        <v>19398</v>
      </c>
      <c r="AG135" s="314">
        <v>10556</v>
      </c>
      <c r="AH135" s="314">
        <v>5436</v>
      </c>
      <c r="AI135" s="314">
        <v>0</v>
      </c>
      <c r="AJ135" s="314">
        <v>3899</v>
      </c>
      <c r="AK135" s="314">
        <v>1115</v>
      </c>
      <c r="AL135" s="314">
        <v>1000</v>
      </c>
      <c r="AM135" s="314">
        <v>0</v>
      </c>
      <c r="AN135" s="314">
        <v>283</v>
      </c>
      <c r="AO135" s="314">
        <v>1691</v>
      </c>
      <c r="AP135" s="314">
        <v>1077</v>
      </c>
    </row>
    <row r="136" spans="1:42">
      <c r="A136" s="547">
        <f t="shared" si="2"/>
        <v>1997</v>
      </c>
      <c r="B136" s="578">
        <v>35489</v>
      </c>
      <c r="C136" s="314">
        <v>37880</v>
      </c>
      <c r="D136" s="314">
        <v>30866</v>
      </c>
      <c r="E136" s="314">
        <v>57348</v>
      </c>
      <c r="F136" s="314">
        <v>23889</v>
      </c>
      <c r="G136" s="314">
        <v>4025</v>
      </c>
      <c r="H136" s="314">
        <v>12684</v>
      </c>
      <c r="I136" s="314">
        <v>8609</v>
      </c>
      <c r="J136" s="314">
        <v>11964</v>
      </c>
      <c r="K136" s="314">
        <v>913</v>
      </c>
      <c r="L136" s="314">
        <v>1163</v>
      </c>
      <c r="M136" s="314">
        <v>144</v>
      </c>
      <c r="N136" s="314">
        <v>947</v>
      </c>
      <c r="O136" s="314">
        <v>0</v>
      </c>
      <c r="P136" s="314">
        <v>0</v>
      </c>
      <c r="Q136" s="314">
        <v>1166</v>
      </c>
      <c r="R136" s="314">
        <v>0</v>
      </c>
      <c r="S136" s="314">
        <v>901</v>
      </c>
      <c r="T136" s="314">
        <v>2765</v>
      </c>
      <c r="U136" s="314">
        <v>68</v>
      </c>
      <c r="V136" s="314">
        <v>641</v>
      </c>
      <c r="W136" s="314">
        <v>1736</v>
      </c>
      <c r="X136" s="314">
        <v>9726</v>
      </c>
      <c r="Y136" s="314">
        <v>14673</v>
      </c>
      <c r="Z136" s="314">
        <v>263</v>
      </c>
      <c r="AA136" s="314">
        <v>0</v>
      </c>
      <c r="AB136" s="314">
        <v>0</v>
      </c>
      <c r="AC136" s="314">
        <v>0</v>
      </c>
      <c r="AD136" s="314">
        <v>957</v>
      </c>
      <c r="AE136" s="314">
        <v>28836</v>
      </c>
      <c r="AF136" s="314">
        <v>4528</v>
      </c>
      <c r="AG136" s="314">
        <v>28358</v>
      </c>
      <c r="AH136" s="314">
        <v>8243</v>
      </c>
      <c r="AI136" s="314">
        <v>480</v>
      </c>
      <c r="AJ136" s="314">
        <v>0</v>
      </c>
      <c r="AK136" s="314">
        <v>2936</v>
      </c>
      <c r="AL136" s="314">
        <v>736</v>
      </c>
      <c r="AM136" s="314">
        <v>989</v>
      </c>
      <c r="AN136" s="314">
        <v>0</v>
      </c>
      <c r="AO136" s="314">
        <v>1394</v>
      </c>
      <c r="AP136" s="314">
        <v>138</v>
      </c>
    </row>
    <row r="137" spans="1:42">
      <c r="A137" s="547">
        <f t="shared" si="2"/>
        <v>1997</v>
      </c>
      <c r="B137" s="578">
        <v>35520</v>
      </c>
      <c r="C137" s="314">
        <v>95317</v>
      </c>
      <c r="D137" s="314">
        <v>22487</v>
      </c>
      <c r="E137" s="314">
        <v>120566</v>
      </c>
      <c r="F137" s="314">
        <v>22272</v>
      </c>
      <c r="G137" s="314">
        <v>1184</v>
      </c>
      <c r="H137" s="314">
        <v>926</v>
      </c>
      <c r="I137" s="314">
        <v>28125</v>
      </c>
      <c r="J137" s="314">
        <v>13898</v>
      </c>
      <c r="K137" s="314">
        <v>366</v>
      </c>
      <c r="L137" s="314">
        <v>3384</v>
      </c>
      <c r="M137" s="314">
        <v>6624</v>
      </c>
      <c r="N137" s="314">
        <v>469</v>
      </c>
      <c r="O137" s="314">
        <v>1643</v>
      </c>
      <c r="P137" s="314">
        <v>0</v>
      </c>
      <c r="Q137" s="314">
        <v>0</v>
      </c>
      <c r="R137" s="314">
        <v>0</v>
      </c>
      <c r="S137" s="314">
        <v>0</v>
      </c>
      <c r="T137" s="314">
        <v>2077</v>
      </c>
      <c r="U137" s="314">
        <v>0</v>
      </c>
      <c r="V137" s="314">
        <v>1228</v>
      </c>
      <c r="W137" s="314">
        <v>1858</v>
      </c>
      <c r="X137" s="314">
        <v>3393</v>
      </c>
      <c r="Y137" s="314">
        <v>53722</v>
      </c>
      <c r="Z137" s="314">
        <v>3112</v>
      </c>
      <c r="AA137" s="314">
        <v>514</v>
      </c>
      <c r="AB137" s="314">
        <v>1045</v>
      </c>
      <c r="AC137" s="314">
        <v>86</v>
      </c>
      <c r="AD137" s="314">
        <v>386</v>
      </c>
      <c r="AE137" s="314">
        <v>85550</v>
      </c>
      <c r="AF137" s="314">
        <v>10809</v>
      </c>
      <c r="AG137" s="314">
        <v>31764</v>
      </c>
      <c r="AH137" s="314">
        <v>1599</v>
      </c>
      <c r="AI137" s="314">
        <v>4202</v>
      </c>
      <c r="AJ137" s="314">
        <v>555</v>
      </c>
      <c r="AK137" s="314">
        <v>0</v>
      </c>
      <c r="AL137" s="314">
        <v>1125</v>
      </c>
      <c r="AM137" s="314">
        <v>0</v>
      </c>
      <c r="AN137" s="314">
        <v>298</v>
      </c>
      <c r="AO137" s="314">
        <v>245</v>
      </c>
      <c r="AP137" s="314">
        <v>455</v>
      </c>
    </row>
    <row r="138" spans="1:42">
      <c r="A138" s="547">
        <f t="shared" si="2"/>
        <v>1997</v>
      </c>
      <c r="B138" s="578">
        <v>35550</v>
      </c>
      <c r="C138" s="314">
        <v>77402</v>
      </c>
      <c r="D138" s="314">
        <v>65333</v>
      </c>
      <c r="E138" s="314">
        <v>104500</v>
      </c>
      <c r="F138" s="314">
        <v>43185</v>
      </c>
      <c r="G138" s="314">
        <v>13189</v>
      </c>
      <c r="H138" s="314">
        <v>2285</v>
      </c>
      <c r="I138" s="314">
        <v>10342</v>
      </c>
      <c r="J138" s="314">
        <v>17283</v>
      </c>
      <c r="K138" s="314">
        <v>491</v>
      </c>
      <c r="L138" s="314">
        <v>418</v>
      </c>
      <c r="M138" s="314">
        <v>645</v>
      </c>
      <c r="N138" s="314">
        <v>1363</v>
      </c>
      <c r="O138" s="314">
        <v>0</v>
      </c>
      <c r="P138" s="314">
        <v>0</v>
      </c>
      <c r="Q138" s="314">
        <v>2696</v>
      </c>
      <c r="R138" s="314">
        <v>2894</v>
      </c>
      <c r="S138" s="314">
        <v>3166</v>
      </c>
      <c r="T138" s="314">
        <v>4921</v>
      </c>
      <c r="U138" s="314">
        <v>3774</v>
      </c>
      <c r="V138" s="314">
        <v>151</v>
      </c>
      <c r="W138" s="314">
        <v>0</v>
      </c>
      <c r="X138" s="314">
        <v>11114</v>
      </c>
      <c r="Y138" s="314">
        <v>30312</v>
      </c>
      <c r="Z138" s="314">
        <v>6478</v>
      </c>
      <c r="AA138" s="314">
        <v>2383</v>
      </c>
      <c r="AB138" s="314">
        <v>0</v>
      </c>
      <c r="AC138" s="314">
        <v>491</v>
      </c>
      <c r="AD138" s="314">
        <v>1512</v>
      </c>
      <c r="AE138" s="314">
        <v>58173</v>
      </c>
      <c r="AF138" s="314">
        <v>43255</v>
      </c>
      <c r="AG138" s="314">
        <v>49819</v>
      </c>
      <c r="AH138" s="314">
        <v>8677</v>
      </c>
      <c r="AI138" s="314">
        <v>0</v>
      </c>
      <c r="AJ138" s="314">
        <v>430</v>
      </c>
      <c r="AK138" s="314">
        <v>2896</v>
      </c>
      <c r="AL138" s="314">
        <v>4827</v>
      </c>
      <c r="AM138" s="314">
        <v>0</v>
      </c>
      <c r="AN138" s="314">
        <v>2910</v>
      </c>
      <c r="AO138" s="314">
        <v>3525</v>
      </c>
      <c r="AP138" s="314">
        <v>0</v>
      </c>
    </row>
    <row r="139" spans="1:42">
      <c r="A139" s="547">
        <f t="shared" si="2"/>
        <v>1997</v>
      </c>
      <c r="B139" s="578">
        <v>35581</v>
      </c>
      <c r="C139" s="314">
        <v>26321</v>
      </c>
      <c r="D139" s="314">
        <v>44943</v>
      </c>
      <c r="E139" s="314">
        <v>103280</v>
      </c>
      <c r="F139" s="314">
        <v>19021</v>
      </c>
      <c r="G139" s="314">
        <v>5392</v>
      </c>
      <c r="H139" s="314">
        <v>18100</v>
      </c>
      <c r="I139" s="314">
        <v>31034</v>
      </c>
      <c r="J139" s="314">
        <v>10029</v>
      </c>
      <c r="K139" s="314">
        <v>0</v>
      </c>
      <c r="L139" s="314">
        <v>1138</v>
      </c>
      <c r="M139" s="314">
        <v>1223</v>
      </c>
      <c r="N139" s="314">
        <v>1248</v>
      </c>
      <c r="O139" s="314">
        <v>0</v>
      </c>
      <c r="P139" s="314">
        <v>0</v>
      </c>
      <c r="Q139" s="314">
        <v>0</v>
      </c>
      <c r="R139" s="314">
        <v>0</v>
      </c>
      <c r="S139" s="314">
        <v>1738</v>
      </c>
      <c r="T139" s="314">
        <v>0</v>
      </c>
      <c r="U139" s="314">
        <v>0</v>
      </c>
      <c r="V139" s="314">
        <v>421</v>
      </c>
      <c r="W139" s="314">
        <v>7359</v>
      </c>
      <c r="X139" s="314">
        <v>1304</v>
      </c>
      <c r="Y139" s="314">
        <v>22037</v>
      </c>
      <c r="Z139" s="314">
        <v>4564</v>
      </c>
      <c r="AA139" s="314">
        <v>1698</v>
      </c>
      <c r="AB139" s="314">
        <v>3439</v>
      </c>
      <c r="AC139" s="314">
        <v>0</v>
      </c>
      <c r="AD139" s="314">
        <v>1272</v>
      </c>
      <c r="AE139" s="314">
        <v>376</v>
      </c>
      <c r="AF139" s="314">
        <v>8112</v>
      </c>
      <c r="AG139" s="314">
        <v>46902</v>
      </c>
      <c r="AH139" s="314">
        <v>1487</v>
      </c>
      <c r="AI139" s="314">
        <v>8613</v>
      </c>
      <c r="AJ139" s="314">
        <v>12572</v>
      </c>
      <c r="AK139" s="314">
        <v>1350</v>
      </c>
      <c r="AL139" s="314">
        <v>0</v>
      </c>
      <c r="AM139" s="314">
        <v>1145</v>
      </c>
      <c r="AN139" s="314">
        <v>278</v>
      </c>
      <c r="AO139" s="314">
        <v>734</v>
      </c>
      <c r="AP139" s="314">
        <v>0</v>
      </c>
    </row>
    <row r="140" spans="1:42">
      <c r="A140" s="547">
        <f t="shared" si="2"/>
        <v>1997</v>
      </c>
      <c r="B140" s="578">
        <v>35611</v>
      </c>
      <c r="C140" s="314">
        <v>39522</v>
      </c>
      <c r="D140" s="314">
        <v>38203</v>
      </c>
      <c r="E140" s="314">
        <v>51044</v>
      </c>
      <c r="F140" s="314">
        <v>35526</v>
      </c>
      <c r="G140" s="314">
        <v>17504</v>
      </c>
      <c r="H140" s="314">
        <v>12802</v>
      </c>
      <c r="I140" s="314">
        <v>18503</v>
      </c>
      <c r="J140" s="314">
        <v>15549</v>
      </c>
      <c r="K140" s="314">
        <v>2188</v>
      </c>
      <c r="L140" s="314">
        <v>1372</v>
      </c>
      <c r="M140" s="314">
        <v>700</v>
      </c>
      <c r="N140" s="314">
        <v>1140</v>
      </c>
      <c r="O140" s="314">
        <v>0</v>
      </c>
      <c r="P140" s="314">
        <v>519</v>
      </c>
      <c r="Q140" s="314">
        <v>634</v>
      </c>
      <c r="R140" s="314">
        <v>332</v>
      </c>
      <c r="S140" s="314">
        <v>3182</v>
      </c>
      <c r="T140" s="314">
        <v>13161</v>
      </c>
      <c r="U140" s="314">
        <v>2341</v>
      </c>
      <c r="V140" s="314">
        <v>0</v>
      </c>
      <c r="W140" s="314">
        <v>6530</v>
      </c>
      <c r="X140" s="314">
        <v>5175</v>
      </c>
      <c r="Y140" s="314">
        <v>17488</v>
      </c>
      <c r="Z140" s="314">
        <v>13048</v>
      </c>
      <c r="AA140" s="314">
        <v>0</v>
      </c>
      <c r="AB140" s="314">
        <v>632</v>
      </c>
      <c r="AC140" s="314">
        <v>0</v>
      </c>
      <c r="AD140" s="314">
        <v>621</v>
      </c>
      <c r="AE140" s="314">
        <v>6334</v>
      </c>
      <c r="AF140" s="314">
        <v>1524</v>
      </c>
      <c r="AG140" s="314">
        <v>11378</v>
      </c>
      <c r="AH140" s="314">
        <v>4540</v>
      </c>
      <c r="AI140" s="314">
        <v>3784</v>
      </c>
      <c r="AJ140" s="314">
        <v>755</v>
      </c>
      <c r="AK140" s="314">
        <v>0</v>
      </c>
      <c r="AL140" s="314">
        <v>296</v>
      </c>
      <c r="AM140" s="314">
        <v>0</v>
      </c>
      <c r="AN140" s="314">
        <v>2263</v>
      </c>
      <c r="AO140" s="314">
        <v>0</v>
      </c>
      <c r="AP140" s="314">
        <v>0</v>
      </c>
    </row>
    <row r="141" spans="1:42">
      <c r="A141" s="547">
        <f t="shared" si="2"/>
        <v>1997</v>
      </c>
      <c r="B141" s="578">
        <v>35642</v>
      </c>
      <c r="C141" s="314">
        <v>64850</v>
      </c>
      <c r="D141" s="314">
        <v>34761</v>
      </c>
      <c r="E141" s="314">
        <v>74288</v>
      </c>
      <c r="F141" s="314">
        <v>41997</v>
      </c>
      <c r="G141" s="314">
        <v>17657</v>
      </c>
      <c r="H141" s="314">
        <v>339</v>
      </c>
      <c r="I141" s="314">
        <v>13827</v>
      </c>
      <c r="J141" s="314">
        <v>10991</v>
      </c>
      <c r="K141" s="314">
        <v>0</v>
      </c>
      <c r="L141" s="314">
        <v>744</v>
      </c>
      <c r="M141" s="314">
        <v>7838</v>
      </c>
      <c r="N141" s="314">
        <v>404</v>
      </c>
      <c r="O141" s="314">
        <v>889</v>
      </c>
      <c r="P141" s="314">
        <v>0</v>
      </c>
      <c r="Q141" s="314">
        <v>0</v>
      </c>
      <c r="R141" s="314">
        <v>506</v>
      </c>
      <c r="S141" s="314">
        <v>0</v>
      </c>
      <c r="T141" s="314">
        <v>0</v>
      </c>
      <c r="U141" s="314">
        <v>150</v>
      </c>
      <c r="V141" s="314">
        <v>2148</v>
      </c>
      <c r="W141" s="314">
        <v>1929</v>
      </c>
      <c r="X141" s="314">
        <v>2163</v>
      </c>
      <c r="Y141" s="314">
        <v>31758</v>
      </c>
      <c r="Z141" s="314">
        <v>3669</v>
      </c>
      <c r="AA141" s="314">
        <v>396</v>
      </c>
      <c r="AB141" s="314">
        <v>14342</v>
      </c>
      <c r="AC141" s="314">
        <v>160</v>
      </c>
      <c r="AD141" s="314">
        <v>1789</v>
      </c>
      <c r="AE141" s="314">
        <v>33205</v>
      </c>
      <c r="AF141" s="314">
        <v>15454</v>
      </c>
      <c r="AG141" s="314">
        <v>18882</v>
      </c>
      <c r="AH141" s="314">
        <v>15698</v>
      </c>
      <c r="AI141" s="314">
        <v>10092</v>
      </c>
      <c r="AJ141" s="314">
        <v>1209</v>
      </c>
      <c r="AK141" s="314">
        <v>0</v>
      </c>
      <c r="AL141" s="314">
        <v>6119</v>
      </c>
      <c r="AM141" s="314">
        <v>682</v>
      </c>
      <c r="AN141" s="314">
        <v>510</v>
      </c>
      <c r="AO141" s="314">
        <v>1673</v>
      </c>
      <c r="AP141" s="314">
        <v>673</v>
      </c>
    </row>
    <row r="142" spans="1:42">
      <c r="A142" s="547">
        <f t="shared" si="2"/>
        <v>1997</v>
      </c>
      <c r="B142" s="578">
        <v>35673</v>
      </c>
      <c r="C142" s="314">
        <v>26049</v>
      </c>
      <c r="D142" s="314">
        <v>52884</v>
      </c>
      <c r="E142" s="314">
        <v>99365</v>
      </c>
      <c r="F142" s="314">
        <v>47570</v>
      </c>
      <c r="G142" s="314">
        <v>3798</v>
      </c>
      <c r="H142" s="314">
        <v>560</v>
      </c>
      <c r="I142" s="314">
        <v>34483</v>
      </c>
      <c r="J142" s="314">
        <v>23266</v>
      </c>
      <c r="K142" s="314">
        <v>5990</v>
      </c>
      <c r="L142" s="314">
        <v>1294</v>
      </c>
      <c r="M142" s="314">
        <v>12862</v>
      </c>
      <c r="N142" s="314">
        <v>2256</v>
      </c>
      <c r="O142" s="314">
        <v>539</v>
      </c>
      <c r="P142" s="314">
        <v>0</v>
      </c>
      <c r="Q142" s="314">
        <v>1237</v>
      </c>
      <c r="R142" s="314">
        <v>3545</v>
      </c>
      <c r="S142" s="314">
        <v>1140</v>
      </c>
      <c r="T142" s="314">
        <v>3262</v>
      </c>
      <c r="U142" s="314">
        <v>2641</v>
      </c>
      <c r="V142" s="314">
        <v>0</v>
      </c>
      <c r="W142" s="314">
        <v>1472</v>
      </c>
      <c r="X142" s="314">
        <v>16962</v>
      </c>
      <c r="Y142" s="314">
        <v>23953</v>
      </c>
      <c r="Z142" s="314">
        <v>1163</v>
      </c>
      <c r="AA142" s="314">
        <v>303</v>
      </c>
      <c r="AB142" s="314">
        <v>1350</v>
      </c>
      <c r="AC142" s="314">
        <v>5444</v>
      </c>
      <c r="AD142" s="314">
        <v>2061</v>
      </c>
      <c r="AE142" s="314">
        <v>9946</v>
      </c>
      <c r="AF142" s="314">
        <v>3611</v>
      </c>
      <c r="AG142" s="314">
        <v>18401</v>
      </c>
      <c r="AH142" s="314">
        <v>13063</v>
      </c>
      <c r="AI142" s="314">
        <v>1887</v>
      </c>
      <c r="AJ142" s="314">
        <v>0</v>
      </c>
      <c r="AK142" s="314">
        <v>344</v>
      </c>
      <c r="AL142" s="314">
        <v>945</v>
      </c>
      <c r="AM142" s="314">
        <v>974</v>
      </c>
      <c r="AN142" s="314">
        <v>25845</v>
      </c>
      <c r="AO142" s="314">
        <v>0</v>
      </c>
      <c r="AP142" s="314">
        <v>1271</v>
      </c>
    </row>
    <row r="143" spans="1:42">
      <c r="A143" s="547">
        <f t="shared" si="2"/>
        <v>1997</v>
      </c>
      <c r="B143" s="578">
        <v>35703</v>
      </c>
      <c r="C143" s="314">
        <v>31275</v>
      </c>
      <c r="D143" s="314">
        <v>28441</v>
      </c>
      <c r="E143" s="314">
        <v>116604</v>
      </c>
      <c r="F143" s="314">
        <v>26284</v>
      </c>
      <c r="G143" s="314">
        <v>3831</v>
      </c>
      <c r="H143" s="314">
        <v>2214</v>
      </c>
      <c r="I143" s="314">
        <v>36033</v>
      </c>
      <c r="J143" s="314">
        <v>11712</v>
      </c>
      <c r="K143" s="314">
        <v>1792</v>
      </c>
      <c r="L143" s="314">
        <v>2822</v>
      </c>
      <c r="M143" s="314">
        <v>5256</v>
      </c>
      <c r="N143" s="314">
        <v>209</v>
      </c>
      <c r="O143" s="314">
        <v>0</v>
      </c>
      <c r="P143" s="314">
        <v>624</v>
      </c>
      <c r="Q143" s="314">
        <v>197</v>
      </c>
      <c r="R143" s="314">
        <v>0</v>
      </c>
      <c r="S143" s="314">
        <v>2888</v>
      </c>
      <c r="T143" s="314">
        <v>249</v>
      </c>
      <c r="U143" s="314">
        <v>2939</v>
      </c>
      <c r="V143" s="314">
        <v>1453</v>
      </c>
      <c r="W143" s="314">
        <v>12396</v>
      </c>
      <c r="X143" s="314">
        <v>6591</v>
      </c>
      <c r="Y143" s="314">
        <v>44857</v>
      </c>
      <c r="Z143" s="314">
        <v>1188</v>
      </c>
      <c r="AA143" s="314">
        <v>150</v>
      </c>
      <c r="AB143" s="314">
        <v>0</v>
      </c>
      <c r="AC143" s="314">
        <v>2548</v>
      </c>
      <c r="AD143" s="314">
        <v>1231</v>
      </c>
      <c r="AE143" s="314">
        <v>10218</v>
      </c>
      <c r="AF143" s="314">
        <v>14278</v>
      </c>
      <c r="AG143" s="314">
        <v>22246</v>
      </c>
      <c r="AH143" s="314">
        <v>4079</v>
      </c>
      <c r="AI143" s="314">
        <v>0</v>
      </c>
      <c r="AJ143" s="314">
        <v>716</v>
      </c>
      <c r="AK143" s="314">
        <v>2528</v>
      </c>
      <c r="AL143" s="314">
        <v>5697</v>
      </c>
      <c r="AM143" s="314">
        <v>0</v>
      </c>
      <c r="AN143" s="314">
        <v>947</v>
      </c>
      <c r="AO143" s="314">
        <v>0</v>
      </c>
      <c r="AP143" s="314">
        <v>715</v>
      </c>
    </row>
    <row r="144" spans="1:42">
      <c r="A144" s="547">
        <f t="shared" si="2"/>
        <v>1997</v>
      </c>
      <c r="B144" s="578">
        <v>35734</v>
      </c>
      <c r="C144" s="314">
        <v>36407</v>
      </c>
      <c r="D144" s="314">
        <v>60891</v>
      </c>
      <c r="E144" s="314">
        <v>94821</v>
      </c>
      <c r="F144" s="314">
        <v>59742</v>
      </c>
      <c r="G144" s="314">
        <v>2808</v>
      </c>
      <c r="H144" s="314">
        <v>7117</v>
      </c>
      <c r="I144" s="314">
        <v>29171</v>
      </c>
      <c r="J144" s="314">
        <v>9093</v>
      </c>
      <c r="K144" s="314">
        <v>0</v>
      </c>
      <c r="L144" s="314">
        <v>9161</v>
      </c>
      <c r="M144" s="314">
        <v>967</v>
      </c>
      <c r="N144" s="314">
        <v>157</v>
      </c>
      <c r="O144" s="314">
        <v>0</v>
      </c>
      <c r="P144" s="314">
        <v>1760</v>
      </c>
      <c r="Q144" s="314">
        <v>1889</v>
      </c>
      <c r="R144" s="314">
        <v>132</v>
      </c>
      <c r="S144" s="314">
        <v>197</v>
      </c>
      <c r="T144" s="314">
        <v>868</v>
      </c>
      <c r="U144" s="314">
        <v>0</v>
      </c>
      <c r="V144" s="314">
        <v>2740</v>
      </c>
      <c r="W144" s="314">
        <v>5625</v>
      </c>
      <c r="X144" s="314">
        <v>4998</v>
      </c>
      <c r="Y144" s="314">
        <v>29727</v>
      </c>
      <c r="Z144" s="314">
        <v>6244</v>
      </c>
      <c r="AA144" s="314">
        <v>342</v>
      </c>
      <c r="AB144" s="314">
        <v>28473</v>
      </c>
      <c r="AC144" s="314">
        <v>171</v>
      </c>
      <c r="AD144" s="314">
        <v>2999</v>
      </c>
      <c r="AE144" s="314">
        <v>27129</v>
      </c>
      <c r="AF144" s="314">
        <v>3882</v>
      </c>
      <c r="AG144" s="314">
        <v>24329</v>
      </c>
      <c r="AH144" s="314">
        <v>33619</v>
      </c>
      <c r="AI144" s="314">
        <v>106</v>
      </c>
      <c r="AJ144" s="314">
        <v>772</v>
      </c>
      <c r="AK144" s="314">
        <v>8567</v>
      </c>
      <c r="AL144" s="314">
        <v>3451</v>
      </c>
      <c r="AM144" s="314">
        <v>200</v>
      </c>
      <c r="AN144" s="314">
        <v>3860</v>
      </c>
      <c r="AO144" s="314">
        <v>0</v>
      </c>
      <c r="AP144" s="314">
        <v>1307</v>
      </c>
    </row>
    <row r="145" spans="1:42">
      <c r="A145" s="547">
        <f t="shared" si="2"/>
        <v>1997</v>
      </c>
      <c r="B145" s="578">
        <v>35764</v>
      </c>
      <c r="C145" s="314">
        <v>40766</v>
      </c>
      <c r="D145" s="314">
        <v>79657</v>
      </c>
      <c r="E145" s="314">
        <v>92620</v>
      </c>
      <c r="F145" s="314">
        <v>43951</v>
      </c>
      <c r="G145" s="314">
        <v>2794</v>
      </c>
      <c r="H145" s="314">
        <v>9325</v>
      </c>
      <c r="I145" s="314">
        <v>24967</v>
      </c>
      <c r="J145" s="314">
        <v>23241</v>
      </c>
      <c r="K145" s="314">
        <v>830</v>
      </c>
      <c r="L145" s="314">
        <v>16085</v>
      </c>
      <c r="M145" s="314">
        <v>3237</v>
      </c>
      <c r="N145" s="314">
        <v>4769</v>
      </c>
      <c r="O145" s="314">
        <v>0</v>
      </c>
      <c r="P145" s="314">
        <v>0</v>
      </c>
      <c r="Q145" s="314">
        <v>4175</v>
      </c>
      <c r="R145" s="314">
        <v>0</v>
      </c>
      <c r="S145" s="314">
        <v>919</v>
      </c>
      <c r="T145" s="314">
        <v>6754</v>
      </c>
      <c r="U145" s="314">
        <v>1517</v>
      </c>
      <c r="V145" s="314">
        <v>2331</v>
      </c>
      <c r="W145" s="314">
        <v>5864</v>
      </c>
      <c r="X145" s="314">
        <v>19592</v>
      </c>
      <c r="Y145" s="314">
        <v>21542</v>
      </c>
      <c r="Z145" s="314">
        <v>5150</v>
      </c>
      <c r="AA145" s="314">
        <v>1099</v>
      </c>
      <c r="AB145" s="314">
        <v>2834</v>
      </c>
      <c r="AC145" s="314">
        <v>0</v>
      </c>
      <c r="AD145" s="314">
        <v>253</v>
      </c>
      <c r="AE145" s="314">
        <v>20502</v>
      </c>
      <c r="AF145" s="314">
        <v>23867</v>
      </c>
      <c r="AG145" s="314">
        <v>32889</v>
      </c>
      <c r="AH145" s="314">
        <v>6441</v>
      </c>
      <c r="AI145" s="314">
        <v>8140</v>
      </c>
      <c r="AJ145" s="314">
        <v>0</v>
      </c>
      <c r="AK145" s="314">
        <v>4293</v>
      </c>
      <c r="AL145" s="314">
        <v>1693</v>
      </c>
      <c r="AM145" s="314">
        <v>618</v>
      </c>
      <c r="AN145" s="314">
        <v>1200</v>
      </c>
      <c r="AO145" s="314">
        <v>0</v>
      </c>
      <c r="AP145" s="314">
        <v>73</v>
      </c>
    </row>
    <row r="146" spans="1:42">
      <c r="A146" s="547">
        <f t="shared" si="2"/>
        <v>1997</v>
      </c>
      <c r="B146" s="578">
        <v>35795</v>
      </c>
      <c r="C146" s="314">
        <v>91756</v>
      </c>
      <c r="D146" s="314">
        <v>83483</v>
      </c>
      <c r="E146" s="314">
        <v>45943</v>
      </c>
      <c r="F146" s="314">
        <v>26112</v>
      </c>
      <c r="G146" s="314">
        <v>1305</v>
      </c>
      <c r="H146" s="314">
        <v>2511</v>
      </c>
      <c r="I146" s="314">
        <v>15913</v>
      </c>
      <c r="J146" s="314">
        <v>9444</v>
      </c>
      <c r="K146" s="314">
        <v>4562</v>
      </c>
      <c r="L146" s="314">
        <v>0</v>
      </c>
      <c r="M146" s="314">
        <v>1485</v>
      </c>
      <c r="N146" s="314">
        <v>3633</v>
      </c>
      <c r="O146" s="314">
        <v>0</v>
      </c>
      <c r="P146" s="314">
        <v>2732</v>
      </c>
      <c r="Q146" s="314">
        <v>509</v>
      </c>
      <c r="R146" s="314">
        <v>0</v>
      </c>
      <c r="S146" s="314">
        <v>5213</v>
      </c>
      <c r="T146" s="314">
        <v>275</v>
      </c>
      <c r="U146" s="314">
        <v>635</v>
      </c>
      <c r="V146" s="314">
        <v>1218</v>
      </c>
      <c r="W146" s="314">
        <v>2744</v>
      </c>
      <c r="X146" s="314">
        <v>200</v>
      </c>
      <c r="Y146" s="314">
        <v>12438</v>
      </c>
      <c r="Z146" s="314">
        <v>2675</v>
      </c>
      <c r="AA146" s="314">
        <v>63</v>
      </c>
      <c r="AB146" s="314">
        <v>505</v>
      </c>
      <c r="AC146" s="314">
        <v>2993</v>
      </c>
      <c r="AD146" s="314">
        <v>1363</v>
      </c>
      <c r="AE146" s="314">
        <v>71940</v>
      </c>
      <c r="AF146" s="314">
        <v>77121</v>
      </c>
      <c r="AG146" s="314">
        <v>10070</v>
      </c>
      <c r="AH146" s="314">
        <v>5801</v>
      </c>
      <c r="AI146" s="314">
        <v>5929</v>
      </c>
      <c r="AJ146" s="314">
        <v>139</v>
      </c>
      <c r="AK146" s="314">
        <v>1900</v>
      </c>
      <c r="AL146" s="314">
        <v>1978</v>
      </c>
      <c r="AM146" s="314">
        <v>0</v>
      </c>
      <c r="AN146" s="314">
        <v>0</v>
      </c>
      <c r="AO146" s="314">
        <v>0</v>
      </c>
      <c r="AP146" s="314">
        <v>0</v>
      </c>
    </row>
    <row r="147" spans="1:42">
      <c r="A147" s="547">
        <f t="shared" si="2"/>
        <v>1998</v>
      </c>
      <c r="B147" s="578">
        <v>35826</v>
      </c>
      <c r="C147" s="314">
        <v>5515</v>
      </c>
      <c r="D147" s="314">
        <v>45839</v>
      </c>
      <c r="E147" s="314">
        <v>53529</v>
      </c>
      <c r="F147" s="314">
        <v>23441</v>
      </c>
      <c r="G147" s="314">
        <v>267</v>
      </c>
      <c r="H147" s="314">
        <v>12322</v>
      </c>
      <c r="I147" s="314">
        <v>4516</v>
      </c>
      <c r="J147" s="314">
        <v>8266</v>
      </c>
      <c r="K147" s="314">
        <v>0</v>
      </c>
      <c r="L147" s="314">
        <v>1274</v>
      </c>
      <c r="M147" s="314">
        <v>975</v>
      </c>
      <c r="N147" s="314">
        <v>38</v>
      </c>
      <c r="O147" s="314">
        <v>0</v>
      </c>
      <c r="P147" s="314">
        <v>500</v>
      </c>
      <c r="Q147" s="314">
        <v>71</v>
      </c>
      <c r="R147" s="314">
        <v>0</v>
      </c>
      <c r="S147" s="314">
        <v>0</v>
      </c>
      <c r="T147" s="314">
        <v>0</v>
      </c>
      <c r="U147" s="314">
        <v>0</v>
      </c>
      <c r="V147" s="314">
        <v>0</v>
      </c>
      <c r="W147" s="314">
        <v>5048</v>
      </c>
      <c r="X147" s="314">
        <v>3248</v>
      </c>
      <c r="Y147" s="314">
        <v>6509</v>
      </c>
      <c r="Z147" s="314">
        <v>376</v>
      </c>
      <c r="AA147" s="314">
        <v>100</v>
      </c>
      <c r="AB147" s="314">
        <v>228</v>
      </c>
      <c r="AC147" s="314">
        <v>94</v>
      </c>
      <c r="AD147" s="314">
        <v>5943</v>
      </c>
      <c r="AE147" s="314">
        <v>100</v>
      </c>
      <c r="AF147" s="314">
        <v>24614</v>
      </c>
      <c r="AG147" s="314">
        <v>40585</v>
      </c>
      <c r="AH147" s="314">
        <v>7853</v>
      </c>
      <c r="AI147" s="314">
        <v>0</v>
      </c>
      <c r="AJ147" s="314">
        <v>3195</v>
      </c>
      <c r="AK147" s="314">
        <v>779</v>
      </c>
      <c r="AL147" s="314">
        <v>589</v>
      </c>
      <c r="AM147" s="314">
        <v>0</v>
      </c>
      <c r="AN147" s="314">
        <v>458</v>
      </c>
      <c r="AO147" s="314">
        <v>0</v>
      </c>
      <c r="AP147" s="314">
        <v>376</v>
      </c>
    </row>
    <row r="148" spans="1:42">
      <c r="A148" s="547">
        <f t="shared" si="2"/>
        <v>1998</v>
      </c>
      <c r="B148" s="578">
        <v>35854</v>
      </c>
      <c r="C148" s="314">
        <v>109959</v>
      </c>
      <c r="D148" s="314">
        <v>41161</v>
      </c>
      <c r="E148" s="314">
        <v>76204</v>
      </c>
      <c r="F148" s="314">
        <v>30006</v>
      </c>
      <c r="G148" s="314">
        <v>19784</v>
      </c>
      <c r="H148" s="314">
        <v>14062</v>
      </c>
      <c r="I148" s="314">
        <v>3527</v>
      </c>
      <c r="J148" s="314">
        <v>14812</v>
      </c>
      <c r="K148" s="314">
        <v>838</v>
      </c>
      <c r="L148" s="314">
        <v>1657</v>
      </c>
      <c r="M148" s="314">
        <v>0</v>
      </c>
      <c r="N148" s="314">
        <v>315</v>
      </c>
      <c r="O148" s="314">
        <v>0</v>
      </c>
      <c r="P148" s="314">
        <v>431</v>
      </c>
      <c r="Q148" s="314">
        <v>0</v>
      </c>
      <c r="R148" s="314">
        <v>1956</v>
      </c>
      <c r="S148" s="314">
        <v>2188</v>
      </c>
      <c r="T148" s="314">
        <v>1614</v>
      </c>
      <c r="U148" s="314">
        <v>0</v>
      </c>
      <c r="V148" s="314">
        <v>0</v>
      </c>
      <c r="W148" s="314">
        <v>28404</v>
      </c>
      <c r="X148" s="314">
        <v>4358</v>
      </c>
      <c r="Y148" s="314">
        <v>11262</v>
      </c>
      <c r="Z148" s="314">
        <v>3460</v>
      </c>
      <c r="AA148" s="314">
        <v>94</v>
      </c>
      <c r="AB148" s="314">
        <v>1858</v>
      </c>
      <c r="AC148" s="314">
        <v>159</v>
      </c>
      <c r="AD148" s="314">
        <v>522</v>
      </c>
      <c r="AE148" s="314">
        <v>52784</v>
      </c>
      <c r="AF148" s="314">
        <v>11713</v>
      </c>
      <c r="AG148" s="314">
        <v>60819</v>
      </c>
      <c r="AH148" s="314">
        <v>7479</v>
      </c>
      <c r="AI148" s="314">
        <v>5867</v>
      </c>
      <c r="AJ148" s="314">
        <v>4899</v>
      </c>
      <c r="AK148" s="314">
        <v>437</v>
      </c>
      <c r="AL148" s="314">
        <v>1422</v>
      </c>
      <c r="AM148" s="314">
        <v>0</v>
      </c>
      <c r="AN148" s="314">
        <v>569</v>
      </c>
      <c r="AO148" s="314">
        <v>0</v>
      </c>
      <c r="AP148" s="314">
        <v>40</v>
      </c>
    </row>
    <row r="149" spans="1:42">
      <c r="A149" s="547">
        <f t="shared" si="2"/>
        <v>1998</v>
      </c>
      <c r="B149" s="578">
        <v>35885</v>
      </c>
      <c r="C149" s="314">
        <v>36471</v>
      </c>
      <c r="D149" s="314">
        <v>21102</v>
      </c>
      <c r="E149" s="314">
        <v>61384</v>
      </c>
      <c r="F149" s="314">
        <v>28513</v>
      </c>
      <c r="G149" s="314">
        <v>542</v>
      </c>
      <c r="H149" s="314">
        <v>1792</v>
      </c>
      <c r="I149" s="314">
        <v>32033</v>
      </c>
      <c r="J149" s="314">
        <v>12487</v>
      </c>
      <c r="K149" s="314">
        <v>42</v>
      </c>
      <c r="L149" s="314">
        <v>0</v>
      </c>
      <c r="M149" s="314">
        <v>1983</v>
      </c>
      <c r="N149" s="314">
        <v>1184</v>
      </c>
      <c r="O149" s="314">
        <v>0</v>
      </c>
      <c r="P149" s="314">
        <v>0</v>
      </c>
      <c r="Q149" s="314">
        <v>973</v>
      </c>
      <c r="R149" s="314">
        <v>140</v>
      </c>
      <c r="S149" s="314">
        <v>6496</v>
      </c>
      <c r="T149" s="314">
        <v>4000</v>
      </c>
      <c r="U149" s="314">
        <v>0</v>
      </c>
      <c r="V149" s="314">
        <v>0</v>
      </c>
      <c r="W149" s="314">
        <v>2122</v>
      </c>
      <c r="X149" s="314">
        <v>3062</v>
      </c>
      <c r="Y149" s="314">
        <v>17453</v>
      </c>
      <c r="Z149" s="314">
        <v>1459</v>
      </c>
      <c r="AA149" s="314">
        <v>346</v>
      </c>
      <c r="AB149" s="314">
        <v>2336</v>
      </c>
      <c r="AC149" s="314">
        <v>304</v>
      </c>
      <c r="AD149" s="314">
        <v>2720</v>
      </c>
      <c r="AE149" s="314">
        <v>25815</v>
      </c>
      <c r="AF149" s="314">
        <v>6146</v>
      </c>
      <c r="AG149" s="314">
        <v>6889</v>
      </c>
      <c r="AH149" s="314">
        <v>4698</v>
      </c>
      <c r="AI149" s="314">
        <v>0</v>
      </c>
      <c r="AJ149" s="314">
        <v>981</v>
      </c>
      <c r="AK149" s="314">
        <v>1319</v>
      </c>
      <c r="AL149" s="314">
        <v>5645</v>
      </c>
      <c r="AM149" s="314">
        <v>1108</v>
      </c>
      <c r="AN149" s="314">
        <v>2785</v>
      </c>
      <c r="AO149" s="314">
        <v>430</v>
      </c>
      <c r="AP149" s="314">
        <v>180</v>
      </c>
    </row>
    <row r="150" spans="1:42">
      <c r="A150" s="547">
        <f t="shared" si="2"/>
        <v>1998</v>
      </c>
      <c r="B150" s="578">
        <v>35915</v>
      </c>
      <c r="C150" s="314">
        <v>63012</v>
      </c>
      <c r="D150" s="314">
        <v>64694</v>
      </c>
      <c r="E150" s="314">
        <v>44741</v>
      </c>
      <c r="F150" s="314">
        <v>24900</v>
      </c>
      <c r="G150" s="314">
        <v>1003</v>
      </c>
      <c r="H150" s="314">
        <v>3029</v>
      </c>
      <c r="I150" s="314">
        <v>27242</v>
      </c>
      <c r="J150" s="314">
        <v>10297</v>
      </c>
      <c r="K150" s="314">
        <v>941</v>
      </c>
      <c r="L150" s="314">
        <v>3487</v>
      </c>
      <c r="M150" s="314">
        <v>2354</v>
      </c>
      <c r="N150" s="314">
        <v>237</v>
      </c>
      <c r="O150" s="314">
        <v>0</v>
      </c>
      <c r="P150" s="314">
        <v>0</v>
      </c>
      <c r="Q150" s="314">
        <v>0</v>
      </c>
      <c r="R150" s="314">
        <v>0</v>
      </c>
      <c r="S150" s="314">
        <v>1716</v>
      </c>
      <c r="T150" s="314">
        <v>15030</v>
      </c>
      <c r="U150" s="314">
        <v>0</v>
      </c>
      <c r="V150" s="314">
        <v>102</v>
      </c>
      <c r="W150" s="314">
        <v>7860</v>
      </c>
      <c r="X150" s="314">
        <v>7740</v>
      </c>
      <c r="Y150" s="314">
        <v>3113</v>
      </c>
      <c r="Z150" s="314">
        <v>2547</v>
      </c>
      <c r="AA150" s="314">
        <v>99</v>
      </c>
      <c r="AB150" s="314">
        <v>801</v>
      </c>
      <c r="AC150" s="314">
        <v>0</v>
      </c>
      <c r="AD150" s="314">
        <v>0</v>
      </c>
      <c r="AE150" s="314">
        <v>49146</v>
      </c>
      <c r="AF150" s="314">
        <v>32853</v>
      </c>
      <c r="AG150" s="314">
        <v>8340</v>
      </c>
      <c r="AH150" s="314">
        <v>3065</v>
      </c>
      <c r="AI150" s="314">
        <v>2247</v>
      </c>
      <c r="AJ150" s="314">
        <v>1754</v>
      </c>
      <c r="AK150" s="314">
        <v>3692</v>
      </c>
      <c r="AL150" s="314">
        <v>8652</v>
      </c>
      <c r="AM150" s="314">
        <v>0</v>
      </c>
      <c r="AN150" s="314">
        <v>0</v>
      </c>
      <c r="AO150" s="314">
        <v>0</v>
      </c>
      <c r="AP150" s="314">
        <v>0</v>
      </c>
    </row>
    <row r="151" spans="1:42">
      <c r="A151" s="547">
        <f t="shared" si="2"/>
        <v>1998</v>
      </c>
      <c r="B151" s="578">
        <v>35946</v>
      </c>
      <c r="C151" s="314">
        <v>29715</v>
      </c>
      <c r="D151" s="314">
        <v>22744</v>
      </c>
      <c r="E151" s="314">
        <v>50250</v>
      </c>
      <c r="F151" s="314">
        <v>36033</v>
      </c>
      <c r="G151" s="314">
        <v>0</v>
      </c>
      <c r="H151" s="314">
        <v>11514</v>
      </c>
      <c r="I151" s="314">
        <v>18279</v>
      </c>
      <c r="J151" s="314">
        <v>7630</v>
      </c>
      <c r="K151" s="314">
        <v>918</v>
      </c>
      <c r="L151" s="314">
        <v>2693</v>
      </c>
      <c r="M151" s="314">
        <v>1674</v>
      </c>
      <c r="N151" s="314">
        <v>2682</v>
      </c>
      <c r="O151" s="314">
        <v>729</v>
      </c>
      <c r="P151" s="314">
        <v>69</v>
      </c>
      <c r="Q151" s="314">
        <v>230</v>
      </c>
      <c r="R151" s="314">
        <v>644</v>
      </c>
      <c r="S151" s="314">
        <v>763</v>
      </c>
      <c r="T151" s="314">
        <v>1208</v>
      </c>
      <c r="U151" s="314">
        <v>1244</v>
      </c>
      <c r="V151" s="314">
        <v>2285</v>
      </c>
      <c r="W151" s="314">
        <v>1344</v>
      </c>
      <c r="X151" s="314">
        <v>4913</v>
      </c>
      <c r="Y151" s="314">
        <v>8399</v>
      </c>
      <c r="Z151" s="314">
        <v>1514</v>
      </c>
      <c r="AA151" s="314">
        <v>3171</v>
      </c>
      <c r="AB151" s="314">
        <v>603</v>
      </c>
      <c r="AC151" s="314">
        <v>121</v>
      </c>
      <c r="AD151" s="314">
        <v>754</v>
      </c>
      <c r="AE151" s="314">
        <v>22335</v>
      </c>
      <c r="AF151" s="314">
        <v>1082</v>
      </c>
      <c r="AG151" s="314">
        <v>14602</v>
      </c>
      <c r="AH151" s="314">
        <v>14671</v>
      </c>
      <c r="AI151" s="314">
        <v>455</v>
      </c>
      <c r="AJ151" s="314">
        <v>0</v>
      </c>
      <c r="AK151" s="314">
        <v>4499</v>
      </c>
      <c r="AL151" s="314">
        <v>5715</v>
      </c>
      <c r="AM151" s="314">
        <v>0</v>
      </c>
      <c r="AN151" s="314">
        <v>662</v>
      </c>
      <c r="AO151" s="314">
        <v>1202</v>
      </c>
      <c r="AP151" s="314">
        <v>138</v>
      </c>
    </row>
    <row r="152" spans="1:42">
      <c r="A152" s="547">
        <f t="shared" si="2"/>
        <v>1998</v>
      </c>
      <c r="B152" s="578">
        <v>35976</v>
      </c>
      <c r="C152" s="314">
        <v>88731</v>
      </c>
      <c r="D152" s="314">
        <v>32730</v>
      </c>
      <c r="E152" s="314">
        <v>74716</v>
      </c>
      <c r="F152" s="314">
        <v>28297</v>
      </c>
      <c r="G152" s="314">
        <v>19032</v>
      </c>
      <c r="H152" s="314">
        <v>1377</v>
      </c>
      <c r="I152" s="314">
        <v>25064</v>
      </c>
      <c r="J152" s="314">
        <v>6783</v>
      </c>
      <c r="K152" s="314">
        <v>870</v>
      </c>
      <c r="L152" s="314">
        <v>3330</v>
      </c>
      <c r="M152" s="314">
        <v>638</v>
      </c>
      <c r="N152" s="314">
        <v>4423</v>
      </c>
      <c r="O152" s="314">
        <v>0</v>
      </c>
      <c r="P152" s="314">
        <v>1832</v>
      </c>
      <c r="Q152" s="314">
        <v>619</v>
      </c>
      <c r="R152" s="314">
        <v>158</v>
      </c>
      <c r="S152" s="314">
        <v>0</v>
      </c>
      <c r="T152" s="314">
        <v>0</v>
      </c>
      <c r="U152" s="314">
        <v>2952</v>
      </c>
      <c r="V152" s="314">
        <v>117</v>
      </c>
      <c r="W152" s="314">
        <v>2759</v>
      </c>
      <c r="X152" s="314">
        <v>2446</v>
      </c>
      <c r="Y152" s="314">
        <v>16925</v>
      </c>
      <c r="Z152" s="314">
        <v>1993</v>
      </c>
      <c r="AA152" s="314">
        <v>141</v>
      </c>
      <c r="AB152" s="314">
        <v>12173</v>
      </c>
      <c r="AC152" s="314">
        <v>0</v>
      </c>
      <c r="AD152" s="314">
        <v>1343</v>
      </c>
      <c r="AE152" s="314">
        <v>60127</v>
      </c>
      <c r="AF152" s="314">
        <v>10372</v>
      </c>
      <c r="AG152" s="314">
        <v>23222</v>
      </c>
      <c r="AH152" s="314">
        <v>11791</v>
      </c>
      <c r="AI152" s="314">
        <v>155</v>
      </c>
      <c r="AJ152" s="314">
        <v>1200</v>
      </c>
      <c r="AK152" s="314">
        <v>5296</v>
      </c>
      <c r="AL152" s="314">
        <v>1611</v>
      </c>
      <c r="AM152" s="314">
        <v>5647</v>
      </c>
      <c r="AN152" s="314">
        <v>0</v>
      </c>
      <c r="AO152" s="314">
        <v>0</v>
      </c>
      <c r="AP152" s="314">
        <v>78</v>
      </c>
    </row>
    <row r="153" spans="1:42">
      <c r="A153" s="547">
        <f t="shared" si="2"/>
        <v>1998</v>
      </c>
      <c r="B153" s="578">
        <v>36007</v>
      </c>
      <c r="C153" s="314">
        <v>76459</v>
      </c>
      <c r="D153" s="314">
        <v>20675</v>
      </c>
      <c r="E153" s="314">
        <v>65195</v>
      </c>
      <c r="F153" s="314">
        <v>26126</v>
      </c>
      <c r="G153" s="314">
        <v>22957</v>
      </c>
      <c r="H153" s="314">
        <v>3634</v>
      </c>
      <c r="I153" s="314">
        <v>23551</v>
      </c>
      <c r="J153" s="314">
        <v>13569</v>
      </c>
      <c r="K153" s="314">
        <v>1150</v>
      </c>
      <c r="L153" s="314">
        <v>170</v>
      </c>
      <c r="M153" s="314">
        <v>4477</v>
      </c>
      <c r="N153" s="314">
        <v>895</v>
      </c>
      <c r="O153" s="314">
        <v>200</v>
      </c>
      <c r="P153" s="314">
        <v>0</v>
      </c>
      <c r="Q153" s="314">
        <v>0</v>
      </c>
      <c r="R153" s="314">
        <v>0</v>
      </c>
      <c r="S153" s="314">
        <v>0</v>
      </c>
      <c r="T153" s="314">
        <v>4675</v>
      </c>
      <c r="U153" s="314">
        <v>8969</v>
      </c>
      <c r="V153" s="314">
        <v>1602</v>
      </c>
      <c r="W153" s="314">
        <v>12025</v>
      </c>
      <c r="X153" s="314">
        <v>5465</v>
      </c>
      <c r="Y153" s="314">
        <v>10262</v>
      </c>
      <c r="Z153" s="314">
        <v>2737</v>
      </c>
      <c r="AA153" s="314">
        <v>470</v>
      </c>
      <c r="AB153" s="314">
        <v>541</v>
      </c>
      <c r="AC153" s="314">
        <v>871</v>
      </c>
      <c r="AD153" s="314">
        <v>767</v>
      </c>
      <c r="AE153" s="314">
        <v>23167</v>
      </c>
      <c r="AF153" s="314">
        <v>2636</v>
      </c>
      <c r="AG153" s="314">
        <v>15190</v>
      </c>
      <c r="AH153" s="314">
        <v>4154</v>
      </c>
      <c r="AI153" s="314">
        <v>16490</v>
      </c>
      <c r="AJ153" s="314">
        <v>3554</v>
      </c>
      <c r="AK153" s="314">
        <v>0</v>
      </c>
      <c r="AL153" s="314">
        <v>2402</v>
      </c>
      <c r="AM153" s="314">
        <v>0</v>
      </c>
      <c r="AN153" s="314">
        <v>0</v>
      </c>
      <c r="AO153" s="314">
        <v>1875</v>
      </c>
      <c r="AP153" s="314">
        <v>0</v>
      </c>
    </row>
    <row r="154" spans="1:42">
      <c r="A154" s="547">
        <f t="shared" si="2"/>
        <v>1998</v>
      </c>
      <c r="B154" s="578">
        <v>36038</v>
      </c>
      <c r="C154" s="314">
        <v>43525</v>
      </c>
      <c r="D154" s="314">
        <v>45607</v>
      </c>
      <c r="E154" s="314">
        <v>111585</v>
      </c>
      <c r="F154" s="314">
        <v>20266</v>
      </c>
      <c r="G154" s="314">
        <v>12640</v>
      </c>
      <c r="H154" s="314">
        <v>743</v>
      </c>
      <c r="I154" s="314">
        <v>27211</v>
      </c>
      <c r="J154" s="314">
        <v>8690</v>
      </c>
      <c r="K154" s="314">
        <v>941</v>
      </c>
      <c r="L154" s="314">
        <v>3713</v>
      </c>
      <c r="M154" s="314">
        <v>3120</v>
      </c>
      <c r="N154" s="314">
        <v>1768</v>
      </c>
      <c r="O154" s="314">
        <v>0</v>
      </c>
      <c r="P154" s="314">
        <v>996</v>
      </c>
      <c r="Q154" s="314">
        <v>12000</v>
      </c>
      <c r="R154" s="314">
        <v>0</v>
      </c>
      <c r="S154" s="314">
        <v>69</v>
      </c>
      <c r="T154" s="314">
        <v>430</v>
      </c>
      <c r="U154" s="314">
        <v>334</v>
      </c>
      <c r="V154" s="314">
        <v>761</v>
      </c>
      <c r="W154" s="314">
        <v>3920</v>
      </c>
      <c r="X154" s="314">
        <v>2780</v>
      </c>
      <c r="Y154" s="314">
        <v>38180</v>
      </c>
      <c r="Z154" s="314">
        <v>4128</v>
      </c>
      <c r="AA154" s="314">
        <v>216</v>
      </c>
      <c r="AB154" s="314">
        <v>18983</v>
      </c>
      <c r="AC154" s="314">
        <v>3359</v>
      </c>
      <c r="AD154" s="314">
        <v>2284</v>
      </c>
      <c r="AE154" s="314">
        <v>23687</v>
      </c>
      <c r="AF154" s="314">
        <v>13448</v>
      </c>
      <c r="AG154" s="314">
        <v>25217</v>
      </c>
      <c r="AH154" s="314">
        <v>1297</v>
      </c>
      <c r="AI154" s="314">
        <v>487</v>
      </c>
      <c r="AJ154" s="314">
        <v>1321</v>
      </c>
      <c r="AK154" s="314">
        <v>1890</v>
      </c>
      <c r="AL154" s="314">
        <v>1338</v>
      </c>
      <c r="AM154" s="314">
        <v>1565</v>
      </c>
      <c r="AN154" s="314">
        <v>3193</v>
      </c>
      <c r="AO154" s="314">
        <v>274</v>
      </c>
      <c r="AP154" s="314">
        <v>0</v>
      </c>
    </row>
    <row r="155" spans="1:42">
      <c r="A155" s="547">
        <f t="shared" si="2"/>
        <v>1998</v>
      </c>
      <c r="B155" s="578">
        <v>36068</v>
      </c>
      <c r="C155" s="314">
        <v>43052</v>
      </c>
      <c r="D155" s="314">
        <v>96319</v>
      </c>
      <c r="E155" s="314">
        <v>90899</v>
      </c>
      <c r="F155" s="314">
        <v>104475</v>
      </c>
      <c r="G155" s="314">
        <v>5875</v>
      </c>
      <c r="H155" s="314">
        <v>0</v>
      </c>
      <c r="I155" s="314">
        <v>15252</v>
      </c>
      <c r="J155" s="314">
        <v>17195</v>
      </c>
      <c r="K155" s="314">
        <v>10142</v>
      </c>
      <c r="L155" s="314">
        <v>6390</v>
      </c>
      <c r="M155" s="314">
        <v>447</v>
      </c>
      <c r="N155" s="314">
        <v>790</v>
      </c>
      <c r="O155" s="314">
        <v>0</v>
      </c>
      <c r="P155" s="314">
        <v>0</v>
      </c>
      <c r="Q155" s="314">
        <v>0</v>
      </c>
      <c r="R155" s="314">
        <v>100</v>
      </c>
      <c r="S155" s="314">
        <v>240</v>
      </c>
      <c r="T155" s="314">
        <v>1953</v>
      </c>
      <c r="U155" s="314">
        <v>329</v>
      </c>
      <c r="V155" s="314">
        <v>0</v>
      </c>
      <c r="W155" s="314">
        <v>2044</v>
      </c>
      <c r="X155" s="314">
        <v>27317</v>
      </c>
      <c r="Y155" s="314">
        <v>60527</v>
      </c>
      <c r="Z155" s="314">
        <v>579</v>
      </c>
      <c r="AA155" s="314">
        <v>2196</v>
      </c>
      <c r="AB155" s="314">
        <v>10959</v>
      </c>
      <c r="AC155" s="314">
        <v>439</v>
      </c>
      <c r="AD155" s="314">
        <v>974</v>
      </c>
      <c r="AE155" s="314">
        <v>21755</v>
      </c>
      <c r="AF155" s="314">
        <v>1951</v>
      </c>
      <c r="AG155" s="314">
        <v>12654</v>
      </c>
      <c r="AH155" s="314">
        <v>84768</v>
      </c>
      <c r="AI155" s="314">
        <v>800</v>
      </c>
      <c r="AJ155" s="314">
        <v>44945</v>
      </c>
      <c r="AK155" s="314">
        <v>849</v>
      </c>
      <c r="AL155" s="314">
        <v>0</v>
      </c>
      <c r="AM155" s="314">
        <v>0</v>
      </c>
      <c r="AN155" s="314">
        <v>2804</v>
      </c>
      <c r="AO155" s="314">
        <v>402</v>
      </c>
      <c r="AP155" s="314">
        <v>69</v>
      </c>
    </row>
    <row r="156" spans="1:42">
      <c r="A156" s="547">
        <f t="shared" si="2"/>
        <v>1998</v>
      </c>
      <c r="B156" s="578">
        <v>36099</v>
      </c>
      <c r="C156" s="314">
        <v>50707</v>
      </c>
      <c r="D156" s="314">
        <v>124354</v>
      </c>
      <c r="E156" s="314">
        <v>123099</v>
      </c>
      <c r="F156" s="314">
        <v>60386</v>
      </c>
      <c r="G156" s="314">
        <v>11439</v>
      </c>
      <c r="H156" s="314">
        <v>8985</v>
      </c>
      <c r="I156" s="314">
        <v>31069</v>
      </c>
      <c r="J156" s="314">
        <v>8266</v>
      </c>
      <c r="K156" s="314">
        <v>12342</v>
      </c>
      <c r="L156" s="314">
        <v>574</v>
      </c>
      <c r="M156" s="314">
        <v>8218</v>
      </c>
      <c r="N156" s="314">
        <v>1127</v>
      </c>
      <c r="O156" s="314">
        <v>181</v>
      </c>
      <c r="P156" s="314">
        <v>93</v>
      </c>
      <c r="Q156" s="314">
        <v>530</v>
      </c>
      <c r="R156" s="314">
        <v>2103</v>
      </c>
      <c r="S156" s="314">
        <v>916</v>
      </c>
      <c r="T156" s="314">
        <v>167</v>
      </c>
      <c r="U156" s="314">
        <v>779</v>
      </c>
      <c r="V156" s="314">
        <v>7137</v>
      </c>
      <c r="W156" s="314">
        <v>7587</v>
      </c>
      <c r="X156" s="314">
        <v>10181</v>
      </c>
      <c r="Y156" s="314">
        <v>45441</v>
      </c>
      <c r="Z156" s="314">
        <v>5043</v>
      </c>
      <c r="AA156" s="314">
        <v>644</v>
      </c>
      <c r="AB156" s="314">
        <v>37946</v>
      </c>
      <c r="AC156" s="314">
        <v>8460</v>
      </c>
      <c r="AD156" s="314">
        <v>439</v>
      </c>
      <c r="AE156" s="314">
        <v>9463</v>
      </c>
      <c r="AF156" s="314">
        <v>65816</v>
      </c>
      <c r="AG156" s="314">
        <v>23257</v>
      </c>
      <c r="AH156" s="314">
        <v>35421</v>
      </c>
      <c r="AI156" s="314">
        <v>313</v>
      </c>
      <c r="AJ156" s="314">
        <v>457</v>
      </c>
      <c r="AK156" s="314">
        <v>5345</v>
      </c>
      <c r="AL156" s="314">
        <v>850</v>
      </c>
      <c r="AM156" s="314">
        <v>7822</v>
      </c>
      <c r="AN156" s="314">
        <v>135</v>
      </c>
      <c r="AO156" s="314">
        <v>0</v>
      </c>
      <c r="AP156" s="314">
        <v>0</v>
      </c>
    </row>
    <row r="157" spans="1:42">
      <c r="A157" s="547">
        <f t="shared" si="2"/>
        <v>1998</v>
      </c>
      <c r="B157" s="578">
        <v>36129</v>
      </c>
      <c r="C157" s="314">
        <v>64899</v>
      </c>
      <c r="D157" s="314">
        <v>30937</v>
      </c>
      <c r="E157" s="314">
        <v>47741</v>
      </c>
      <c r="F157" s="314">
        <v>21415</v>
      </c>
      <c r="G157" s="314">
        <v>19319</v>
      </c>
      <c r="H157" s="314">
        <v>8057</v>
      </c>
      <c r="I157" s="314">
        <v>8870</v>
      </c>
      <c r="J157" s="314">
        <v>4768</v>
      </c>
      <c r="K157" s="314">
        <v>777</v>
      </c>
      <c r="L157" s="314">
        <v>0</v>
      </c>
      <c r="M157" s="314">
        <v>12562</v>
      </c>
      <c r="N157" s="314">
        <v>1084</v>
      </c>
      <c r="O157" s="314">
        <v>284</v>
      </c>
      <c r="P157" s="314">
        <v>312</v>
      </c>
      <c r="Q157" s="314">
        <v>0</v>
      </c>
      <c r="R157" s="314">
        <v>0</v>
      </c>
      <c r="S157" s="314">
        <v>236</v>
      </c>
      <c r="T157" s="314">
        <v>12172</v>
      </c>
      <c r="U157" s="314">
        <v>0</v>
      </c>
      <c r="V157" s="314">
        <v>1110</v>
      </c>
      <c r="W157" s="314">
        <v>3022</v>
      </c>
      <c r="X157" s="314">
        <v>2978</v>
      </c>
      <c r="Y157" s="314">
        <v>7014</v>
      </c>
      <c r="Z157" s="314">
        <v>902</v>
      </c>
      <c r="AA157" s="314">
        <v>0</v>
      </c>
      <c r="AB157" s="314">
        <v>800</v>
      </c>
      <c r="AC157" s="314">
        <v>891</v>
      </c>
      <c r="AD157" s="314">
        <v>0</v>
      </c>
      <c r="AE157" s="314">
        <v>38519</v>
      </c>
      <c r="AF157" s="314">
        <v>1511</v>
      </c>
      <c r="AG157" s="314">
        <v>13040</v>
      </c>
      <c r="AH157" s="314">
        <v>11534</v>
      </c>
      <c r="AI157" s="314">
        <v>1415</v>
      </c>
      <c r="AJ157" s="314">
        <v>5107</v>
      </c>
      <c r="AK157" s="314">
        <v>5247</v>
      </c>
      <c r="AL157" s="314">
        <v>2017</v>
      </c>
      <c r="AM157" s="314">
        <v>1327</v>
      </c>
      <c r="AN157" s="314">
        <v>0</v>
      </c>
      <c r="AO157" s="314">
        <v>117</v>
      </c>
      <c r="AP157" s="314">
        <v>0</v>
      </c>
    </row>
    <row r="158" spans="1:42">
      <c r="A158" s="547">
        <f t="shared" si="2"/>
        <v>1998</v>
      </c>
      <c r="B158" s="578">
        <v>36160</v>
      </c>
      <c r="C158" s="314">
        <v>47531</v>
      </c>
      <c r="D158" s="314">
        <v>29916</v>
      </c>
      <c r="E158" s="314">
        <v>46169</v>
      </c>
      <c r="F158" s="314">
        <v>24437</v>
      </c>
      <c r="G158" s="314">
        <v>5656</v>
      </c>
      <c r="H158" s="314">
        <v>54</v>
      </c>
      <c r="I158" s="314">
        <v>19020</v>
      </c>
      <c r="J158" s="314">
        <v>1758</v>
      </c>
      <c r="K158" s="314">
        <v>11795</v>
      </c>
      <c r="L158" s="314">
        <v>9694</v>
      </c>
      <c r="M158" s="314">
        <v>4870</v>
      </c>
      <c r="N158" s="314">
        <v>8120</v>
      </c>
      <c r="O158" s="314">
        <v>0</v>
      </c>
      <c r="P158" s="314">
        <v>1764</v>
      </c>
      <c r="Q158" s="314">
        <v>702</v>
      </c>
      <c r="R158" s="314">
        <v>1063</v>
      </c>
      <c r="S158" s="314">
        <v>6634</v>
      </c>
      <c r="T158" s="314">
        <v>1314</v>
      </c>
      <c r="U158" s="314">
        <v>0</v>
      </c>
      <c r="V158" s="314">
        <v>6960</v>
      </c>
      <c r="W158" s="314">
        <v>45</v>
      </c>
      <c r="X158" s="314">
        <v>438</v>
      </c>
      <c r="Y158" s="314">
        <v>15251</v>
      </c>
      <c r="Z158" s="314">
        <v>101</v>
      </c>
      <c r="AA158" s="314">
        <v>0</v>
      </c>
      <c r="AB158" s="314">
        <v>1315</v>
      </c>
      <c r="AC158" s="314">
        <v>2156</v>
      </c>
      <c r="AD158" s="314">
        <v>680</v>
      </c>
      <c r="AE158" s="314">
        <v>23307</v>
      </c>
      <c r="AF158" s="314">
        <v>13351</v>
      </c>
      <c r="AG158" s="314">
        <v>3810</v>
      </c>
      <c r="AH158" s="314">
        <v>3636</v>
      </c>
      <c r="AI158" s="314">
        <v>0</v>
      </c>
      <c r="AJ158" s="314">
        <v>1926</v>
      </c>
      <c r="AK158" s="314">
        <v>0</v>
      </c>
      <c r="AL158" s="314">
        <v>1791</v>
      </c>
      <c r="AM158" s="314">
        <v>94</v>
      </c>
      <c r="AN158" s="314">
        <v>60</v>
      </c>
      <c r="AO158" s="314">
        <v>360</v>
      </c>
      <c r="AP158" s="314">
        <v>328</v>
      </c>
    </row>
    <row r="159" spans="1:42">
      <c r="A159" s="547">
        <f t="shared" si="2"/>
        <v>1999</v>
      </c>
      <c r="B159" s="578">
        <v>36191</v>
      </c>
      <c r="C159" s="314">
        <v>61153</v>
      </c>
      <c r="D159" s="314">
        <v>23854</v>
      </c>
      <c r="E159" s="314">
        <v>47820</v>
      </c>
      <c r="F159" s="314">
        <v>40903</v>
      </c>
      <c r="G159" s="314">
        <v>28963</v>
      </c>
      <c r="H159" s="314">
        <v>7007</v>
      </c>
      <c r="I159" s="314">
        <v>13240</v>
      </c>
      <c r="J159" s="314">
        <v>10059</v>
      </c>
      <c r="K159" s="314">
        <v>17</v>
      </c>
      <c r="L159" s="314">
        <v>5886</v>
      </c>
      <c r="M159" s="314">
        <v>4243</v>
      </c>
      <c r="N159" s="314">
        <v>9566</v>
      </c>
      <c r="O159" s="314">
        <v>0</v>
      </c>
      <c r="P159" s="314">
        <v>760</v>
      </c>
      <c r="Q159" s="314">
        <v>0</v>
      </c>
      <c r="R159" s="314">
        <v>394</v>
      </c>
      <c r="S159" s="314">
        <v>1308</v>
      </c>
      <c r="T159" s="314">
        <v>0</v>
      </c>
      <c r="U159" s="314">
        <v>160</v>
      </c>
      <c r="V159" s="314">
        <v>2226</v>
      </c>
      <c r="W159" s="314">
        <v>12538</v>
      </c>
      <c r="X159" s="314">
        <v>4798</v>
      </c>
      <c r="Y159" s="314">
        <v>10428</v>
      </c>
      <c r="Z159" s="314">
        <v>1421</v>
      </c>
      <c r="AA159" s="314">
        <v>341</v>
      </c>
      <c r="AB159" s="314">
        <v>423</v>
      </c>
      <c r="AC159" s="314">
        <v>874</v>
      </c>
      <c r="AD159" s="314">
        <v>4054</v>
      </c>
      <c r="AE159" s="314">
        <v>13604</v>
      </c>
      <c r="AF159" s="314">
        <v>3602</v>
      </c>
      <c r="AG159" s="314">
        <v>18875</v>
      </c>
      <c r="AH159" s="314">
        <v>6648</v>
      </c>
      <c r="AI159" s="314">
        <v>4207</v>
      </c>
      <c r="AJ159" s="314">
        <v>1378</v>
      </c>
      <c r="AK159" s="314">
        <v>0</v>
      </c>
      <c r="AL159" s="314">
        <v>6435</v>
      </c>
      <c r="AM159" s="314">
        <v>175</v>
      </c>
      <c r="AN159" s="314">
        <v>0</v>
      </c>
      <c r="AO159" s="314">
        <v>0</v>
      </c>
      <c r="AP159" s="314">
        <v>100</v>
      </c>
    </row>
    <row r="160" spans="1:42">
      <c r="A160" s="547">
        <f t="shared" si="2"/>
        <v>1999</v>
      </c>
      <c r="B160" s="578">
        <v>36219</v>
      </c>
      <c r="C160" s="314">
        <v>39621</v>
      </c>
      <c r="D160" s="314">
        <v>26712</v>
      </c>
      <c r="E160" s="314">
        <v>70481</v>
      </c>
      <c r="F160" s="314">
        <v>37577</v>
      </c>
      <c r="G160" s="314">
        <v>19815</v>
      </c>
      <c r="H160" s="314">
        <v>12401</v>
      </c>
      <c r="I160" s="314">
        <v>25865</v>
      </c>
      <c r="J160" s="314">
        <v>10800</v>
      </c>
      <c r="K160" s="314">
        <v>950</v>
      </c>
      <c r="L160" s="314">
        <v>1782</v>
      </c>
      <c r="M160" s="314">
        <v>4604</v>
      </c>
      <c r="N160" s="314">
        <v>729</v>
      </c>
      <c r="O160" s="314">
        <v>0</v>
      </c>
      <c r="P160" s="314">
        <v>0</v>
      </c>
      <c r="Q160" s="314">
        <v>1651</v>
      </c>
      <c r="R160" s="314">
        <v>2460</v>
      </c>
      <c r="S160" s="314">
        <v>0</v>
      </c>
      <c r="T160" s="314">
        <v>302</v>
      </c>
      <c r="U160" s="314">
        <v>0</v>
      </c>
      <c r="V160" s="314">
        <v>528</v>
      </c>
      <c r="W160" s="314">
        <v>3030</v>
      </c>
      <c r="X160" s="314">
        <v>6249</v>
      </c>
      <c r="Y160" s="314">
        <v>28289</v>
      </c>
      <c r="Z160" s="314">
        <v>10945</v>
      </c>
      <c r="AA160" s="314">
        <v>1954</v>
      </c>
      <c r="AB160" s="314">
        <v>2770</v>
      </c>
      <c r="AC160" s="314">
        <v>960</v>
      </c>
      <c r="AD160" s="314">
        <v>0</v>
      </c>
      <c r="AE160" s="314">
        <v>13701</v>
      </c>
      <c r="AF160" s="314">
        <v>1833</v>
      </c>
      <c r="AG160" s="314">
        <v>4240</v>
      </c>
      <c r="AH160" s="314">
        <v>10887</v>
      </c>
      <c r="AI160" s="314">
        <v>171</v>
      </c>
      <c r="AJ160" s="314">
        <v>826</v>
      </c>
      <c r="AK160" s="314">
        <v>4872</v>
      </c>
      <c r="AL160" s="314">
        <v>1228</v>
      </c>
      <c r="AM160" s="314">
        <v>0</v>
      </c>
      <c r="AN160" s="314">
        <v>549</v>
      </c>
      <c r="AO160" s="314">
        <v>0</v>
      </c>
      <c r="AP160" s="314">
        <v>0</v>
      </c>
    </row>
    <row r="161" spans="1:42">
      <c r="A161" s="547">
        <f t="shared" si="2"/>
        <v>1999</v>
      </c>
      <c r="B161" s="578">
        <v>36250</v>
      </c>
      <c r="C161" s="314">
        <v>55883</v>
      </c>
      <c r="D161" s="314">
        <v>45508</v>
      </c>
      <c r="E161" s="314">
        <v>69599</v>
      </c>
      <c r="F161" s="314">
        <v>16753</v>
      </c>
      <c r="G161" s="314">
        <v>20603</v>
      </c>
      <c r="H161" s="314">
        <v>3418</v>
      </c>
      <c r="I161" s="314">
        <v>39437</v>
      </c>
      <c r="J161" s="314">
        <v>2893</v>
      </c>
      <c r="K161" s="314">
        <v>177</v>
      </c>
      <c r="L161" s="314">
        <v>160</v>
      </c>
      <c r="M161" s="314">
        <v>1397</v>
      </c>
      <c r="N161" s="314">
        <v>0</v>
      </c>
      <c r="O161" s="314">
        <v>0</v>
      </c>
      <c r="P161" s="314">
        <v>330</v>
      </c>
      <c r="Q161" s="314">
        <v>0</v>
      </c>
      <c r="R161" s="314">
        <v>0</v>
      </c>
      <c r="S161" s="314">
        <v>1258</v>
      </c>
      <c r="T161" s="314">
        <v>0</v>
      </c>
      <c r="U161" s="314">
        <v>0</v>
      </c>
      <c r="V161" s="314">
        <v>1307</v>
      </c>
      <c r="W161" s="314">
        <v>5208</v>
      </c>
      <c r="X161" s="314">
        <v>7099</v>
      </c>
      <c r="Y161" s="314">
        <v>10421</v>
      </c>
      <c r="Z161" s="314">
        <v>3088</v>
      </c>
      <c r="AA161" s="314">
        <v>1860</v>
      </c>
      <c r="AB161" s="314">
        <v>150</v>
      </c>
      <c r="AC161" s="314">
        <v>0</v>
      </c>
      <c r="AD161" s="314">
        <v>1451</v>
      </c>
      <c r="AE161" s="314">
        <v>26777</v>
      </c>
      <c r="AF161" s="314">
        <v>25044</v>
      </c>
      <c r="AG161" s="314">
        <v>18344</v>
      </c>
      <c r="AH161" s="314">
        <v>7919</v>
      </c>
      <c r="AI161" s="314">
        <v>0</v>
      </c>
      <c r="AJ161" s="314">
        <v>8992</v>
      </c>
      <c r="AK161" s="314">
        <v>0</v>
      </c>
      <c r="AL161" s="314">
        <v>0</v>
      </c>
      <c r="AM161" s="314">
        <v>0</v>
      </c>
      <c r="AN161" s="314">
        <v>315</v>
      </c>
      <c r="AO161" s="314">
        <v>0</v>
      </c>
      <c r="AP161" s="314">
        <v>95</v>
      </c>
    </row>
    <row r="162" spans="1:42">
      <c r="A162" s="547">
        <f t="shared" si="2"/>
        <v>1999</v>
      </c>
      <c r="B162" s="578">
        <v>36280</v>
      </c>
      <c r="C162" s="314">
        <v>44347</v>
      </c>
      <c r="D162" s="314">
        <v>19694</v>
      </c>
      <c r="E162" s="314">
        <v>38886</v>
      </c>
      <c r="F162" s="314">
        <v>31189</v>
      </c>
      <c r="G162" s="314">
        <v>6507</v>
      </c>
      <c r="H162" s="314">
        <v>8229</v>
      </c>
      <c r="I162" s="314">
        <v>30142</v>
      </c>
      <c r="J162" s="314">
        <v>10498</v>
      </c>
      <c r="K162" s="314">
        <v>494</v>
      </c>
      <c r="L162" s="314">
        <v>5494</v>
      </c>
      <c r="M162" s="314">
        <v>628</v>
      </c>
      <c r="N162" s="314">
        <v>2316</v>
      </c>
      <c r="O162" s="314">
        <v>0</v>
      </c>
      <c r="P162" s="314">
        <v>0</v>
      </c>
      <c r="Q162" s="314">
        <v>1234</v>
      </c>
      <c r="R162" s="314">
        <v>5306</v>
      </c>
      <c r="S162" s="314">
        <v>13420</v>
      </c>
      <c r="T162" s="314">
        <v>0</v>
      </c>
      <c r="U162" s="314">
        <v>505</v>
      </c>
      <c r="V162" s="314">
        <v>532</v>
      </c>
      <c r="W162" s="314">
        <v>21170</v>
      </c>
      <c r="X162" s="314">
        <v>1268</v>
      </c>
      <c r="Y162" s="314">
        <v>1932</v>
      </c>
      <c r="Z162" s="314">
        <v>3320</v>
      </c>
      <c r="AA162" s="314">
        <v>0</v>
      </c>
      <c r="AB162" s="314">
        <v>0</v>
      </c>
      <c r="AC162" s="314">
        <v>0</v>
      </c>
      <c r="AD162" s="314">
        <v>600</v>
      </c>
      <c r="AE162" s="314">
        <v>2223</v>
      </c>
      <c r="AF162" s="314">
        <v>2372</v>
      </c>
      <c r="AG162" s="314">
        <v>4194</v>
      </c>
      <c r="AH162" s="314">
        <v>8439</v>
      </c>
      <c r="AI162" s="314">
        <v>0</v>
      </c>
      <c r="AJ162" s="314">
        <v>1400</v>
      </c>
      <c r="AK162" s="314">
        <v>0</v>
      </c>
      <c r="AL162" s="314">
        <v>0</v>
      </c>
      <c r="AM162" s="314">
        <v>533</v>
      </c>
      <c r="AN162" s="314">
        <v>931</v>
      </c>
      <c r="AO162" s="314">
        <v>251</v>
      </c>
      <c r="AP162" s="314">
        <v>178</v>
      </c>
    </row>
    <row r="163" spans="1:42">
      <c r="A163" s="547">
        <f t="shared" si="2"/>
        <v>1999</v>
      </c>
      <c r="B163" s="578">
        <v>36311</v>
      </c>
      <c r="C163" s="314">
        <v>37690</v>
      </c>
      <c r="D163" s="314">
        <v>15220</v>
      </c>
      <c r="E163" s="314">
        <v>52737</v>
      </c>
      <c r="F163" s="314">
        <v>48091</v>
      </c>
      <c r="G163" s="314">
        <v>5547</v>
      </c>
      <c r="H163" s="314">
        <v>2317</v>
      </c>
      <c r="I163" s="314">
        <v>27173</v>
      </c>
      <c r="J163" s="314">
        <v>20874</v>
      </c>
      <c r="K163" s="314">
        <v>0</v>
      </c>
      <c r="L163" s="314">
        <v>448</v>
      </c>
      <c r="M163" s="314">
        <v>0</v>
      </c>
      <c r="N163" s="314">
        <v>2440</v>
      </c>
      <c r="O163" s="314">
        <v>0</v>
      </c>
      <c r="P163" s="314">
        <v>3060</v>
      </c>
      <c r="Q163" s="314">
        <v>26</v>
      </c>
      <c r="R163" s="314">
        <v>232</v>
      </c>
      <c r="S163" s="314">
        <v>0</v>
      </c>
      <c r="T163" s="314">
        <v>0</v>
      </c>
      <c r="U163" s="314">
        <v>813</v>
      </c>
      <c r="V163" s="314">
        <v>0</v>
      </c>
      <c r="W163" s="314">
        <v>13086</v>
      </c>
      <c r="X163" s="314">
        <v>0</v>
      </c>
      <c r="Y163" s="314">
        <v>13597</v>
      </c>
      <c r="Z163" s="314">
        <v>8406</v>
      </c>
      <c r="AA163" s="314">
        <v>205</v>
      </c>
      <c r="AB163" s="314">
        <v>51</v>
      </c>
      <c r="AC163" s="314">
        <v>598</v>
      </c>
      <c r="AD163" s="314">
        <v>543</v>
      </c>
      <c r="AE163" s="314">
        <v>18852</v>
      </c>
      <c r="AF163" s="314">
        <v>5746</v>
      </c>
      <c r="AG163" s="314">
        <v>7722</v>
      </c>
      <c r="AH163" s="314">
        <v>12018</v>
      </c>
      <c r="AI163" s="314">
        <v>0</v>
      </c>
      <c r="AJ163" s="314">
        <v>0</v>
      </c>
      <c r="AK163" s="314">
        <v>2753</v>
      </c>
      <c r="AL163" s="314">
        <v>3435</v>
      </c>
      <c r="AM163" s="314">
        <v>0</v>
      </c>
      <c r="AN163" s="314">
        <v>3598</v>
      </c>
      <c r="AO163" s="314">
        <v>55</v>
      </c>
      <c r="AP163" s="314">
        <v>143</v>
      </c>
    </row>
    <row r="164" spans="1:42">
      <c r="A164" s="547">
        <f t="shared" si="2"/>
        <v>1999</v>
      </c>
      <c r="B164" s="578">
        <v>36341</v>
      </c>
      <c r="C164" s="314">
        <v>45027</v>
      </c>
      <c r="D164" s="314">
        <v>39718</v>
      </c>
      <c r="E164" s="314">
        <v>60261</v>
      </c>
      <c r="F164" s="314">
        <v>29156</v>
      </c>
      <c r="G164" s="314">
        <v>7526</v>
      </c>
      <c r="H164" s="314">
        <v>6179</v>
      </c>
      <c r="I164" s="314">
        <v>14096</v>
      </c>
      <c r="J164" s="314">
        <v>13980</v>
      </c>
      <c r="K164" s="314">
        <v>1346</v>
      </c>
      <c r="L164" s="314">
        <v>3280</v>
      </c>
      <c r="M164" s="314">
        <v>240</v>
      </c>
      <c r="N164" s="314">
        <v>15</v>
      </c>
      <c r="O164" s="314">
        <v>0</v>
      </c>
      <c r="P164" s="314">
        <v>0</v>
      </c>
      <c r="Q164" s="314">
        <v>0</v>
      </c>
      <c r="R164" s="314">
        <v>79</v>
      </c>
      <c r="S164" s="314">
        <v>0</v>
      </c>
      <c r="T164" s="314">
        <v>9119</v>
      </c>
      <c r="U164" s="314">
        <v>0</v>
      </c>
      <c r="V164" s="314">
        <v>432</v>
      </c>
      <c r="W164" s="314">
        <v>2256</v>
      </c>
      <c r="X164" s="314">
        <v>4554</v>
      </c>
      <c r="Y164" s="314">
        <v>13171</v>
      </c>
      <c r="Z164" s="314">
        <v>5428</v>
      </c>
      <c r="AA164" s="314">
        <v>0</v>
      </c>
      <c r="AB164" s="314">
        <v>250</v>
      </c>
      <c r="AC164" s="314">
        <v>3450</v>
      </c>
      <c r="AD164" s="314">
        <v>1852</v>
      </c>
      <c r="AE164" s="314">
        <v>33365</v>
      </c>
      <c r="AF164" s="314">
        <v>16336</v>
      </c>
      <c r="AG164" s="314">
        <v>24827</v>
      </c>
      <c r="AH164" s="314">
        <v>7370</v>
      </c>
      <c r="AI164" s="314">
        <v>0</v>
      </c>
      <c r="AJ164" s="314">
        <v>0</v>
      </c>
      <c r="AK164" s="314">
        <v>3822</v>
      </c>
      <c r="AL164" s="314">
        <v>0</v>
      </c>
      <c r="AM164" s="314">
        <v>534</v>
      </c>
      <c r="AN164" s="314">
        <v>0</v>
      </c>
      <c r="AO164" s="314">
        <v>655</v>
      </c>
      <c r="AP164" s="314">
        <v>0</v>
      </c>
    </row>
    <row r="165" spans="1:42">
      <c r="A165" s="547">
        <f t="shared" si="2"/>
        <v>1999</v>
      </c>
      <c r="B165" s="578">
        <v>36372</v>
      </c>
      <c r="C165" s="314">
        <v>39467</v>
      </c>
      <c r="D165" s="314">
        <v>44298</v>
      </c>
      <c r="E165" s="314">
        <v>80553</v>
      </c>
      <c r="F165" s="314">
        <v>28070</v>
      </c>
      <c r="G165" s="314">
        <v>10606</v>
      </c>
      <c r="H165" s="314">
        <v>4907</v>
      </c>
      <c r="I165" s="314">
        <v>32246</v>
      </c>
      <c r="J165" s="314">
        <v>6662</v>
      </c>
      <c r="K165" s="314">
        <v>0</v>
      </c>
      <c r="L165" s="314">
        <v>7088</v>
      </c>
      <c r="M165" s="314">
        <v>18306</v>
      </c>
      <c r="N165" s="314">
        <v>5924</v>
      </c>
      <c r="O165" s="314">
        <v>0</v>
      </c>
      <c r="P165" s="314">
        <v>585</v>
      </c>
      <c r="Q165" s="314">
        <v>0</v>
      </c>
      <c r="R165" s="314">
        <v>79</v>
      </c>
      <c r="S165" s="314">
        <v>0</v>
      </c>
      <c r="T165" s="314">
        <v>4559</v>
      </c>
      <c r="U165" s="314">
        <v>0</v>
      </c>
      <c r="V165" s="314">
        <v>282</v>
      </c>
      <c r="W165" s="314">
        <v>1428</v>
      </c>
      <c r="X165" s="314">
        <v>14834</v>
      </c>
      <c r="Y165" s="314">
        <v>7670</v>
      </c>
      <c r="Z165" s="314">
        <v>3649</v>
      </c>
      <c r="AA165" s="314">
        <v>5084</v>
      </c>
      <c r="AB165" s="314">
        <v>4410</v>
      </c>
      <c r="AC165" s="314">
        <v>479</v>
      </c>
      <c r="AD165" s="314">
        <v>1894</v>
      </c>
      <c r="AE165" s="314">
        <v>19475</v>
      </c>
      <c r="AF165" s="314">
        <v>4456</v>
      </c>
      <c r="AG165" s="314">
        <v>20264</v>
      </c>
      <c r="AH165" s="314">
        <v>8329</v>
      </c>
      <c r="AI165" s="314">
        <v>2805</v>
      </c>
      <c r="AJ165" s="314">
        <v>3459</v>
      </c>
      <c r="AK165" s="314">
        <v>1588</v>
      </c>
      <c r="AL165" s="314">
        <v>1251</v>
      </c>
      <c r="AM165" s="314">
        <v>69</v>
      </c>
      <c r="AN165" s="314">
        <v>0</v>
      </c>
      <c r="AO165" s="314">
        <v>0</v>
      </c>
      <c r="AP165" s="314">
        <v>0</v>
      </c>
    </row>
    <row r="166" spans="1:42">
      <c r="A166" s="547">
        <f t="shared" si="2"/>
        <v>1999</v>
      </c>
      <c r="B166" s="578">
        <v>36403</v>
      </c>
      <c r="C166" s="314">
        <v>33649</v>
      </c>
      <c r="D166" s="314">
        <v>23749</v>
      </c>
      <c r="E166" s="314">
        <v>87925</v>
      </c>
      <c r="F166" s="314">
        <v>17735</v>
      </c>
      <c r="G166" s="314">
        <v>6586</v>
      </c>
      <c r="H166" s="314">
        <v>19346</v>
      </c>
      <c r="I166" s="314">
        <v>61411</v>
      </c>
      <c r="J166" s="314">
        <v>10318</v>
      </c>
      <c r="K166" s="314">
        <v>2534</v>
      </c>
      <c r="L166" s="314">
        <v>482</v>
      </c>
      <c r="M166" s="314">
        <v>68</v>
      </c>
      <c r="N166" s="314">
        <v>0</v>
      </c>
      <c r="O166" s="314">
        <v>0</v>
      </c>
      <c r="P166" s="314">
        <v>178</v>
      </c>
      <c r="Q166" s="314">
        <v>2433</v>
      </c>
      <c r="R166" s="314">
        <v>0</v>
      </c>
      <c r="S166" s="314">
        <v>3349</v>
      </c>
      <c r="T166" s="314">
        <v>0</v>
      </c>
      <c r="U166" s="314">
        <v>1507</v>
      </c>
      <c r="V166" s="314">
        <v>323</v>
      </c>
      <c r="W166" s="314">
        <v>2579</v>
      </c>
      <c r="X166" s="314">
        <v>673</v>
      </c>
      <c r="Y166" s="314">
        <v>11132</v>
      </c>
      <c r="Z166" s="314">
        <v>2362</v>
      </c>
      <c r="AA166" s="314">
        <v>1924</v>
      </c>
      <c r="AB166" s="314">
        <v>227</v>
      </c>
      <c r="AC166" s="314">
        <v>0</v>
      </c>
      <c r="AD166" s="314">
        <v>2014</v>
      </c>
      <c r="AE166" s="314">
        <v>16432</v>
      </c>
      <c r="AF166" s="314">
        <v>1059</v>
      </c>
      <c r="AG166" s="314">
        <v>9956</v>
      </c>
      <c r="AH166" s="314">
        <v>1578</v>
      </c>
      <c r="AI166" s="314">
        <v>0</v>
      </c>
      <c r="AJ166" s="314">
        <v>1784</v>
      </c>
      <c r="AK166" s="314">
        <v>1418</v>
      </c>
      <c r="AL166" s="314">
        <v>1140</v>
      </c>
      <c r="AM166" s="314">
        <v>245</v>
      </c>
      <c r="AN166" s="314">
        <v>0</v>
      </c>
      <c r="AO166" s="314">
        <v>0</v>
      </c>
      <c r="AP166" s="314">
        <v>0</v>
      </c>
    </row>
    <row r="167" spans="1:42">
      <c r="A167" s="547">
        <f t="shared" si="2"/>
        <v>1999</v>
      </c>
      <c r="B167" s="578">
        <v>36433</v>
      </c>
      <c r="C167" s="314">
        <v>31714</v>
      </c>
      <c r="D167" s="314">
        <v>11702</v>
      </c>
      <c r="E167" s="314">
        <v>47097</v>
      </c>
      <c r="F167" s="314">
        <v>47067</v>
      </c>
      <c r="G167" s="314">
        <v>16093</v>
      </c>
      <c r="H167" s="314">
        <v>2670</v>
      </c>
      <c r="I167" s="314">
        <v>13787</v>
      </c>
      <c r="J167" s="314">
        <v>14370</v>
      </c>
      <c r="K167" s="314">
        <v>0</v>
      </c>
      <c r="L167" s="314">
        <v>667</v>
      </c>
      <c r="M167" s="314">
        <v>1548</v>
      </c>
      <c r="N167" s="314">
        <v>3015</v>
      </c>
      <c r="O167" s="314">
        <v>0</v>
      </c>
      <c r="P167" s="314">
        <v>0</v>
      </c>
      <c r="Q167" s="314">
        <v>223</v>
      </c>
      <c r="R167" s="314">
        <v>0</v>
      </c>
      <c r="S167" s="314">
        <v>0</v>
      </c>
      <c r="T167" s="314">
        <v>3557</v>
      </c>
      <c r="U167" s="314">
        <v>1082</v>
      </c>
      <c r="V167" s="314">
        <v>2766</v>
      </c>
      <c r="W167" s="314">
        <v>11091</v>
      </c>
      <c r="X167" s="314">
        <v>0</v>
      </c>
      <c r="Y167" s="314">
        <v>5636</v>
      </c>
      <c r="Z167" s="314">
        <v>4500</v>
      </c>
      <c r="AA167" s="314">
        <v>108</v>
      </c>
      <c r="AB167" s="314">
        <v>2575</v>
      </c>
      <c r="AC167" s="314">
        <v>564</v>
      </c>
      <c r="AD167" s="314">
        <v>0</v>
      </c>
      <c r="AE167" s="314">
        <v>4195</v>
      </c>
      <c r="AF167" s="314">
        <v>1744</v>
      </c>
      <c r="AG167" s="314">
        <v>20128</v>
      </c>
      <c r="AH167" s="314">
        <v>14379</v>
      </c>
      <c r="AI167" s="314">
        <v>227</v>
      </c>
      <c r="AJ167" s="314">
        <v>0</v>
      </c>
      <c r="AK167" s="314">
        <v>3427</v>
      </c>
      <c r="AL167" s="314">
        <v>8037</v>
      </c>
      <c r="AM167" s="314">
        <v>0</v>
      </c>
      <c r="AN167" s="314">
        <v>489</v>
      </c>
      <c r="AO167" s="314">
        <v>702</v>
      </c>
      <c r="AP167" s="314">
        <v>0</v>
      </c>
    </row>
    <row r="168" spans="1:42">
      <c r="A168" s="547">
        <f t="shared" si="2"/>
        <v>1999</v>
      </c>
      <c r="B168" s="578">
        <v>36464</v>
      </c>
      <c r="C168" s="314">
        <v>21061</v>
      </c>
      <c r="D168" s="314">
        <v>24049</v>
      </c>
      <c r="E168" s="314">
        <v>95184</v>
      </c>
      <c r="F168" s="314">
        <v>21279</v>
      </c>
      <c r="G168" s="314">
        <v>13983</v>
      </c>
      <c r="H168" s="314">
        <v>5911</v>
      </c>
      <c r="I168" s="314">
        <v>20772</v>
      </c>
      <c r="J168" s="314">
        <v>14486</v>
      </c>
      <c r="K168" s="314">
        <v>0</v>
      </c>
      <c r="L168" s="314">
        <v>3360</v>
      </c>
      <c r="M168" s="314">
        <v>2645</v>
      </c>
      <c r="N168" s="314">
        <v>237</v>
      </c>
      <c r="O168" s="314">
        <v>0</v>
      </c>
      <c r="P168" s="314">
        <v>288</v>
      </c>
      <c r="Q168" s="314">
        <v>0</v>
      </c>
      <c r="R168" s="314">
        <v>0</v>
      </c>
      <c r="S168" s="314">
        <v>0</v>
      </c>
      <c r="T168" s="314">
        <v>816</v>
      </c>
      <c r="U168" s="314">
        <v>0</v>
      </c>
      <c r="V168" s="314">
        <v>360</v>
      </c>
      <c r="W168" s="314">
        <v>584</v>
      </c>
      <c r="X168" s="314">
        <v>8706</v>
      </c>
      <c r="Y168" s="314">
        <v>30851</v>
      </c>
      <c r="Z168" s="314">
        <v>2647</v>
      </c>
      <c r="AA168" s="314">
        <v>99</v>
      </c>
      <c r="AB168" s="314">
        <v>0</v>
      </c>
      <c r="AC168" s="314">
        <v>3103</v>
      </c>
      <c r="AD168" s="314">
        <v>638</v>
      </c>
      <c r="AE168" s="314">
        <v>6358</v>
      </c>
      <c r="AF168" s="314">
        <v>4694</v>
      </c>
      <c r="AG168" s="314">
        <v>37813</v>
      </c>
      <c r="AH168" s="314">
        <v>2776</v>
      </c>
      <c r="AI168" s="314">
        <v>0</v>
      </c>
      <c r="AJ168" s="314">
        <v>274</v>
      </c>
      <c r="AK168" s="314">
        <v>0</v>
      </c>
      <c r="AL168" s="314">
        <v>135</v>
      </c>
      <c r="AM168" s="314">
        <v>37</v>
      </c>
      <c r="AN168" s="314">
        <v>0</v>
      </c>
      <c r="AO168" s="314">
        <v>0</v>
      </c>
      <c r="AP168" s="314">
        <v>0</v>
      </c>
    </row>
    <row r="169" spans="1:42">
      <c r="A169" s="547">
        <f t="shared" si="2"/>
        <v>1999</v>
      </c>
      <c r="B169" s="578">
        <v>36494</v>
      </c>
      <c r="C169" s="314">
        <v>14455</v>
      </c>
      <c r="D169" s="314">
        <v>116039</v>
      </c>
      <c r="E169" s="314">
        <v>99634</v>
      </c>
      <c r="F169" s="314">
        <v>26502</v>
      </c>
      <c r="G169" s="314">
        <v>1012</v>
      </c>
      <c r="H169" s="314">
        <v>1322</v>
      </c>
      <c r="I169" s="314">
        <v>29392</v>
      </c>
      <c r="J169" s="314">
        <v>11271</v>
      </c>
      <c r="K169" s="314">
        <v>0</v>
      </c>
      <c r="L169" s="314">
        <v>4989</v>
      </c>
      <c r="M169" s="314">
        <v>26</v>
      </c>
      <c r="N169" s="314">
        <v>203</v>
      </c>
      <c r="O169" s="314">
        <v>0</v>
      </c>
      <c r="P169" s="314">
        <v>272</v>
      </c>
      <c r="Q169" s="314">
        <v>345</v>
      </c>
      <c r="R169" s="314">
        <v>0</v>
      </c>
      <c r="S169" s="314">
        <v>309</v>
      </c>
      <c r="T169" s="314">
        <v>1470</v>
      </c>
      <c r="U169" s="314">
        <v>0</v>
      </c>
      <c r="V169" s="314">
        <v>1264</v>
      </c>
      <c r="W169" s="314">
        <v>99</v>
      </c>
      <c r="X169" s="314">
        <v>793</v>
      </c>
      <c r="Y169" s="314">
        <v>20865</v>
      </c>
      <c r="Z169" s="314">
        <v>1870</v>
      </c>
      <c r="AA169" s="314">
        <v>348</v>
      </c>
      <c r="AB169" s="314">
        <v>5514</v>
      </c>
      <c r="AC169" s="314">
        <v>1338</v>
      </c>
      <c r="AD169" s="314">
        <v>6385</v>
      </c>
      <c r="AE169" s="314">
        <v>11001</v>
      </c>
      <c r="AF169" s="314">
        <v>41311</v>
      </c>
      <c r="AG169" s="314">
        <v>29486</v>
      </c>
      <c r="AH169" s="314">
        <v>3015</v>
      </c>
      <c r="AI169" s="314">
        <v>1686</v>
      </c>
      <c r="AJ169" s="314">
        <v>58544</v>
      </c>
      <c r="AK169" s="314">
        <v>14625</v>
      </c>
      <c r="AL169" s="314">
        <v>1569</v>
      </c>
      <c r="AM169" s="314">
        <v>0</v>
      </c>
      <c r="AN169" s="314">
        <v>1824</v>
      </c>
      <c r="AO169" s="314">
        <v>3557</v>
      </c>
      <c r="AP169" s="314">
        <v>925</v>
      </c>
    </row>
    <row r="170" spans="1:42">
      <c r="A170" s="547">
        <f t="shared" si="2"/>
        <v>1999</v>
      </c>
      <c r="B170" s="578">
        <v>36525</v>
      </c>
      <c r="C170" s="314">
        <v>12483</v>
      </c>
      <c r="D170" s="314">
        <v>23725</v>
      </c>
      <c r="E170" s="314">
        <v>84517</v>
      </c>
      <c r="F170" s="314">
        <v>6023</v>
      </c>
      <c r="G170" s="314">
        <v>2135</v>
      </c>
      <c r="H170" s="314">
        <v>842</v>
      </c>
      <c r="I170" s="314">
        <v>7833</v>
      </c>
      <c r="J170" s="314">
        <v>1858</v>
      </c>
      <c r="K170" s="314">
        <v>96</v>
      </c>
      <c r="L170" s="314">
        <v>5089</v>
      </c>
      <c r="M170" s="314">
        <v>1025</v>
      </c>
      <c r="N170" s="314">
        <v>285</v>
      </c>
      <c r="O170" s="314">
        <v>0</v>
      </c>
      <c r="P170" s="314">
        <v>0</v>
      </c>
      <c r="Q170" s="314">
        <v>1995</v>
      </c>
      <c r="R170" s="314">
        <v>0</v>
      </c>
      <c r="S170" s="314">
        <v>0</v>
      </c>
      <c r="T170" s="314">
        <v>9073</v>
      </c>
      <c r="U170" s="314">
        <v>220</v>
      </c>
      <c r="V170" s="314">
        <v>0</v>
      </c>
      <c r="W170" s="314">
        <v>2051</v>
      </c>
      <c r="X170" s="314">
        <v>231</v>
      </c>
      <c r="Y170" s="314">
        <v>20399</v>
      </c>
      <c r="Z170" s="314">
        <v>868</v>
      </c>
      <c r="AA170" s="314">
        <v>0</v>
      </c>
      <c r="AB170" s="314">
        <v>472</v>
      </c>
      <c r="AC170" s="314">
        <v>151</v>
      </c>
      <c r="AD170" s="314">
        <v>215</v>
      </c>
      <c r="AE170" s="314">
        <v>8201</v>
      </c>
      <c r="AF170" s="314">
        <v>3208</v>
      </c>
      <c r="AG170" s="314">
        <v>30266</v>
      </c>
      <c r="AH170" s="314">
        <v>2797</v>
      </c>
      <c r="AI170" s="314">
        <v>0</v>
      </c>
      <c r="AJ170" s="314">
        <v>4810</v>
      </c>
      <c r="AK170" s="314">
        <v>22628</v>
      </c>
      <c r="AL170" s="314">
        <v>0</v>
      </c>
      <c r="AM170" s="314">
        <v>0</v>
      </c>
      <c r="AN170" s="314">
        <v>0</v>
      </c>
      <c r="AO170" s="314">
        <v>0</v>
      </c>
      <c r="AP170" s="314">
        <v>0</v>
      </c>
    </row>
    <row r="171" spans="1:42">
      <c r="A171" s="547">
        <f t="shared" si="2"/>
        <v>2000</v>
      </c>
      <c r="B171" s="578">
        <v>36556</v>
      </c>
      <c r="C171" s="314">
        <v>49560</v>
      </c>
      <c r="D171" s="314">
        <v>22214</v>
      </c>
      <c r="E171" s="314">
        <v>55586</v>
      </c>
      <c r="F171" s="314">
        <v>13896</v>
      </c>
      <c r="G171" s="314">
        <v>2201</v>
      </c>
      <c r="H171" s="314">
        <v>2192</v>
      </c>
      <c r="I171" s="314">
        <v>29812</v>
      </c>
      <c r="J171" s="314">
        <v>7157</v>
      </c>
      <c r="K171" s="314">
        <v>121</v>
      </c>
      <c r="L171" s="314">
        <v>0</v>
      </c>
      <c r="M171" s="314">
        <v>2456</v>
      </c>
      <c r="N171" s="314">
        <v>0</v>
      </c>
      <c r="O171" s="314">
        <v>0</v>
      </c>
      <c r="P171" s="314">
        <v>0</v>
      </c>
      <c r="Q171" s="314">
        <v>1375</v>
      </c>
      <c r="R171" s="314">
        <v>0</v>
      </c>
      <c r="S171" s="314">
        <v>0</v>
      </c>
      <c r="T171" s="314">
        <v>284</v>
      </c>
      <c r="U171" s="314">
        <v>22</v>
      </c>
      <c r="V171" s="314">
        <v>347</v>
      </c>
      <c r="W171" s="314">
        <v>17360</v>
      </c>
      <c r="X171" s="314">
        <v>3649</v>
      </c>
      <c r="Y171" s="314">
        <v>12958</v>
      </c>
      <c r="Z171" s="314">
        <v>1984</v>
      </c>
      <c r="AA171" s="314">
        <v>0</v>
      </c>
      <c r="AB171" s="314">
        <v>1495</v>
      </c>
      <c r="AC171" s="314">
        <v>151</v>
      </c>
      <c r="AD171" s="314">
        <v>0</v>
      </c>
      <c r="AE171" s="314">
        <v>23328</v>
      </c>
      <c r="AF171" s="314">
        <v>13754</v>
      </c>
      <c r="AG171" s="314">
        <v>4085</v>
      </c>
      <c r="AH171" s="314">
        <v>4408</v>
      </c>
      <c r="AI171" s="314">
        <v>6550</v>
      </c>
      <c r="AJ171" s="314">
        <v>840</v>
      </c>
      <c r="AK171" s="314">
        <v>4727</v>
      </c>
      <c r="AL171" s="314">
        <v>0</v>
      </c>
      <c r="AM171" s="314">
        <v>0</v>
      </c>
      <c r="AN171" s="314">
        <v>0</v>
      </c>
      <c r="AO171" s="314">
        <v>0</v>
      </c>
      <c r="AP171" s="314">
        <v>0</v>
      </c>
    </row>
    <row r="172" spans="1:42">
      <c r="A172" s="547">
        <f t="shared" si="2"/>
        <v>2000</v>
      </c>
      <c r="B172" s="578">
        <v>36585</v>
      </c>
      <c r="C172" s="314">
        <v>54591</v>
      </c>
      <c r="D172" s="314">
        <v>6317</v>
      </c>
      <c r="E172" s="314">
        <v>86476</v>
      </c>
      <c r="F172" s="314">
        <v>17019</v>
      </c>
      <c r="G172" s="314">
        <v>8200</v>
      </c>
      <c r="H172" s="314">
        <v>1010</v>
      </c>
      <c r="I172" s="314">
        <v>19330</v>
      </c>
      <c r="J172" s="314">
        <v>8600</v>
      </c>
      <c r="K172" s="314">
        <v>0</v>
      </c>
      <c r="L172" s="314">
        <v>1436</v>
      </c>
      <c r="M172" s="314">
        <v>3647</v>
      </c>
      <c r="N172" s="314">
        <v>540</v>
      </c>
      <c r="O172" s="314">
        <v>0</v>
      </c>
      <c r="P172" s="314">
        <v>236</v>
      </c>
      <c r="Q172" s="314">
        <v>0</v>
      </c>
      <c r="R172" s="314">
        <v>0</v>
      </c>
      <c r="S172" s="314">
        <v>1021</v>
      </c>
      <c r="T172" s="314">
        <v>178</v>
      </c>
      <c r="U172" s="314">
        <v>0</v>
      </c>
      <c r="V172" s="314">
        <v>0</v>
      </c>
      <c r="W172" s="314">
        <v>8055</v>
      </c>
      <c r="X172" s="314">
        <v>0</v>
      </c>
      <c r="Y172" s="314">
        <v>28544</v>
      </c>
      <c r="Z172" s="314">
        <v>1102</v>
      </c>
      <c r="AA172" s="314">
        <v>1282</v>
      </c>
      <c r="AB172" s="314">
        <v>0</v>
      </c>
      <c r="AC172" s="314">
        <v>0</v>
      </c>
      <c r="AD172" s="314">
        <v>1778</v>
      </c>
      <c r="AE172" s="314">
        <v>34376</v>
      </c>
      <c r="AF172" s="314">
        <v>3346</v>
      </c>
      <c r="AG172" s="314">
        <v>33604</v>
      </c>
      <c r="AH172" s="314">
        <v>2167</v>
      </c>
      <c r="AI172" s="314">
        <v>821</v>
      </c>
      <c r="AJ172" s="314">
        <v>111</v>
      </c>
      <c r="AK172" s="314">
        <v>198</v>
      </c>
      <c r="AL172" s="314">
        <v>2487</v>
      </c>
      <c r="AM172" s="314">
        <v>836</v>
      </c>
      <c r="AN172" s="314">
        <v>0</v>
      </c>
      <c r="AO172" s="314">
        <v>1153</v>
      </c>
      <c r="AP172" s="314">
        <v>345</v>
      </c>
    </row>
    <row r="173" spans="1:42">
      <c r="A173" s="547">
        <f t="shared" si="2"/>
        <v>2000</v>
      </c>
      <c r="B173" s="578">
        <v>36616</v>
      </c>
      <c r="C173" s="314">
        <v>72714</v>
      </c>
      <c r="D173" s="314">
        <v>14559</v>
      </c>
      <c r="E173" s="314">
        <v>67338</v>
      </c>
      <c r="F173" s="314">
        <v>9536</v>
      </c>
      <c r="G173" s="314">
        <v>33292</v>
      </c>
      <c r="H173" s="314">
        <v>1504</v>
      </c>
      <c r="I173" s="314">
        <v>22387</v>
      </c>
      <c r="J173" s="314">
        <v>6098</v>
      </c>
      <c r="K173" s="314">
        <v>0</v>
      </c>
      <c r="L173" s="314">
        <v>334</v>
      </c>
      <c r="M173" s="314">
        <v>1187</v>
      </c>
      <c r="N173" s="314">
        <v>0</v>
      </c>
      <c r="O173" s="314">
        <v>0</v>
      </c>
      <c r="P173" s="314">
        <v>0</v>
      </c>
      <c r="Q173" s="314">
        <v>270</v>
      </c>
      <c r="R173" s="314">
        <v>0</v>
      </c>
      <c r="S173" s="314">
        <v>1813</v>
      </c>
      <c r="T173" s="314">
        <v>0</v>
      </c>
      <c r="U173" s="314">
        <v>5693</v>
      </c>
      <c r="V173" s="314">
        <v>660</v>
      </c>
      <c r="W173" s="314">
        <v>1654</v>
      </c>
      <c r="X173" s="314">
        <v>1970</v>
      </c>
      <c r="Y173" s="314">
        <v>19050</v>
      </c>
      <c r="Z173" s="314">
        <v>0</v>
      </c>
      <c r="AA173" s="314">
        <v>0</v>
      </c>
      <c r="AB173" s="314">
        <v>0</v>
      </c>
      <c r="AC173" s="314">
        <v>388</v>
      </c>
      <c r="AD173" s="314">
        <v>0</v>
      </c>
      <c r="AE173" s="314">
        <v>35955</v>
      </c>
      <c r="AF173" s="314">
        <v>3555</v>
      </c>
      <c r="AG173" s="314">
        <v>14205</v>
      </c>
      <c r="AH173" s="314">
        <v>807</v>
      </c>
      <c r="AI173" s="314">
        <v>0</v>
      </c>
      <c r="AJ173" s="314">
        <v>0</v>
      </c>
      <c r="AK173" s="314">
        <v>4158</v>
      </c>
      <c r="AL173" s="314">
        <v>1971</v>
      </c>
      <c r="AM173" s="314">
        <v>0</v>
      </c>
      <c r="AN173" s="314">
        <v>7196</v>
      </c>
      <c r="AO173" s="314">
        <v>0</v>
      </c>
      <c r="AP173" s="314">
        <v>0</v>
      </c>
    </row>
    <row r="174" spans="1:42">
      <c r="A174" s="547">
        <f t="shared" si="2"/>
        <v>2000</v>
      </c>
      <c r="B174" s="578">
        <v>36646</v>
      </c>
      <c r="C174" s="314">
        <v>21098</v>
      </c>
      <c r="D174" s="314">
        <v>49455</v>
      </c>
      <c r="E174" s="314">
        <v>77345</v>
      </c>
      <c r="F174" s="314">
        <v>19836</v>
      </c>
      <c r="G174" s="314">
        <v>11199</v>
      </c>
      <c r="H174" s="314">
        <v>7812</v>
      </c>
      <c r="I174" s="314">
        <v>15648</v>
      </c>
      <c r="J174" s="314">
        <v>13372</v>
      </c>
      <c r="K174" s="314">
        <v>0</v>
      </c>
      <c r="L174" s="314">
        <v>21946</v>
      </c>
      <c r="M174" s="314">
        <v>4093</v>
      </c>
      <c r="N174" s="314">
        <v>245</v>
      </c>
      <c r="O174" s="314">
        <v>0</v>
      </c>
      <c r="P174" s="314">
        <v>0</v>
      </c>
      <c r="Q174" s="314">
        <v>0</v>
      </c>
      <c r="R174" s="314">
        <v>272</v>
      </c>
      <c r="S174" s="314">
        <v>145</v>
      </c>
      <c r="T174" s="314">
        <v>12195</v>
      </c>
      <c r="U174" s="314">
        <v>1221</v>
      </c>
      <c r="V174" s="314">
        <v>24</v>
      </c>
      <c r="W174" s="314">
        <v>7253</v>
      </c>
      <c r="X174" s="314">
        <v>1536</v>
      </c>
      <c r="Y174" s="314">
        <v>30563</v>
      </c>
      <c r="Z174" s="314">
        <v>2408</v>
      </c>
      <c r="AA174" s="314">
        <v>0</v>
      </c>
      <c r="AB174" s="314">
        <v>4336</v>
      </c>
      <c r="AC174" s="314">
        <v>0</v>
      </c>
      <c r="AD174" s="314">
        <v>2504</v>
      </c>
      <c r="AE174" s="314">
        <v>2501</v>
      </c>
      <c r="AF174" s="314">
        <v>1630</v>
      </c>
      <c r="AG174" s="314">
        <v>25820</v>
      </c>
      <c r="AH174" s="314">
        <v>1011</v>
      </c>
      <c r="AI174" s="314">
        <v>0</v>
      </c>
      <c r="AJ174" s="314">
        <v>0</v>
      </c>
      <c r="AK174" s="314">
        <v>0</v>
      </c>
      <c r="AL174" s="314">
        <v>0</v>
      </c>
      <c r="AM174" s="314">
        <v>0</v>
      </c>
      <c r="AN174" s="314">
        <v>0</v>
      </c>
      <c r="AO174" s="314">
        <v>0</v>
      </c>
      <c r="AP174" s="314">
        <v>0</v>
      </c>
    </row>
    <row r="175" spans="1:42">
      <c r="A175" s="547">
        <f t="shared" si="2"/>
        <v>2000</v>
      </c>
      <c r="B175" s="578">
        <v>36677</v>
      </c>
      <c r="C175" s="314">
        <v>47035</v>
      </c>
      <c r="D175" s="314">
        <v>148649</v>
      </c>
      <c r="E175" s="314">
        <v>52263</v>
      </c>
      <c r="F175" s="314">
        <v>21955</v>
      </c>
      <c r="G175" s="314">
        <v>1174</v>
      </c>
      <c r="H175" s="314">
        <v>4941</v>
      </c>
      <c r="I175" s="314">
        <v>11509</v>
      </c>
      <c r="J175" s="314">
        <v>6928</v>
      </c>
      <c r="K175" s="314">
        <v>511</v>
      </c>
      <c r="L175" s="314">
        <v>25610</v>
      </c>
      <c r="M175" s="314">
        <v>10718</v>
      </c>
      <c r="N175" s="314">
        <v>2612</v>
      </c>
      <c r="O175" s="314">
        <v>0</v>
      </c>
      <c r="P175" s="314">
        <v>697</v>
      </c>
      <c r="Q175" s="314">
        <v>0</v>
      </c>
      <c r="R175" s="314">
        <v>497</v>
      </c>
      <c r="S175" s="314">
        <v>2145</v>
      </c>
      <c r="T175" s="314">
        <v>715</v>
      </c>
      <c r="U175" s="314">
        <v>723</v>
      </c>
      <c r="V175" s="314">
        <v>3321</v>
      </c>
      <c r="W175" s="314">
        <v>2281</v>
      </c>
      <c r="X175" s="314">
        <v>3116</v>
      </c>
      <c r="Y175" s="314">
        <v>7356</v>
      </c>
      <c r="Z175" s="314">
        <v>2884</v>
      </c>
      <c r="AA175" s="314">
        <v>8160</v>
      </c>
      <c r="AB175" s="314">
        <v>10912</v>
      </c>
      <c r="AC175" s="314">
        <v>0</v>
      </c>
      <c r="AD175" s="314">
        <v>1975</v>
      </c>
      <c r="AE175" s="314">
        <v>32753</v>
      </c>
      <c r="AF175" s="314">
        <v>102184</v>
      </c>
      <c r="AG175" s="314">
        <v>21693</v>
      </c>
      <c r="AH175" s="314">
        <v>3238</v>
      </c>
      <c r="AI175" s="314">
        <v>11</v>
      </c>
      <c r="AJ175" s="314">
        <v>240</v>
      </c>
      <c r="AK175" s="314">
        <v>264</v>
      </c>
      <c r="AL175" s="314">
        <v>500</v>
      </c>
      <c r="AM175" s="314">
        <v>0</v>
      </c>
      <c r="AN175" s="314">
        <v>234</v>
      </c>
      <c r="AO175" s="314">
        <v>0</v>
      </c>
      <c r="AP175" s="314">
        <v>0</v>
      </c>
    </row>
    <row r="176" spans="1:42">
      <c r="A176" s="547">
        <f t="shared" si="2"/>
        <v>2000</v>
      </c>
      <c r="B176" s="578">
        <v>36707</v>
      </c>
      <c r="C176" s="314">
        <v>30804</v>
      </c>
      <c r="D176" s="314">
        <v>31834</v>
      </c>
      <c r="E176" s="314">
        <v>48781</v>
      </c>
      <c r="F176" s="314">
        <v>17456</v>
      </c>
      <c r="G176" s="314">
        <v>0</v>
      </c>
      <c r="H176" s="314">
        <v>6161</v>
      </c>
      <c r="I176" s="314">
        <v>17295</v>
      </c>
      <c r="J176" s="314">
        <v>8433</v>
      </c>
      <c r="K176" s="314">
        <v>0</v>
      </c>
      <c r="L176" s="314">
        <v>599</v>
      </c>
      <c r="M176" s="314">
        <v>183</v>
      </c>
      <c r="N176" s="314">
        <v>471</v>
      </c>
      <c r="O176" s="314">
        <v>0</v>
      </c>
      <c r="P176" s="314">
        <v>8000</v>
      </c>
      <c r="Q176" s="314">
        <v>0</v>
      </c>
      <c r="R176" s="314">
        <v>0</v>
      </c>
      <c r="S176" s="314">
        <v>0</v>
      </c>
      <c r="T176" s="314">
        <v>0</v>
      </c>
      <c r="U176" s="314">
        <v>1386</v>
      </c>
      <c r="V176" s="314">
        <v>0</v>
      </c>
      <c r="W176" s="314">
        <v>193</v>
      </c>
      <c r="X176" s="314">
        <v>6809</v>
      </c>
      <c r="Y176" s="314">
        <v>10063</v>
      </c>
      <c r="Z176" s="314">
        <v>5336</v>
      </c>
      <c r="AA176" s="314">
        <v>0</v>
      </c>
      <c r="AB176" s="314">
        <v>1632</v>
      </c>
      <c r="AC176" s="314">
        <v>0</v>
      </c>
      <c r="AD176" s="314">
        <v>0</v>
      </c>
      <c r="AE176" s="314">
        <v>27097</v>
      </c>
      <c r="AF176" s="314">
        <v>6975</v>
      </c>
      <c r="AG176" s="314">
        <v>17354</v>
      </c>
      <c r="AH176" s="314">
        <v>2819</v>
      </c>
      <c r="AI176" s="314">
        <v>1079</v>
      </c>
      <c r="AJ176" s="314">
        <v>1159</v>
      </c>
      <c r="AK176" s="314">
        <v>0</v>
      </c>
      <c r="AL176" s="314">
        <v>363</v>
      </c>
      <c r="AM176" s="314">
        <v>2435</v>
      </c>
      <c r="AN176" s="314">
        <v>499</v>
      </c>
      <c r="AO176" s="314">
        <v>2500</v>
      </c>
      <c r="AP176" s="314">
        <v>34</v>
      </c>
    </row>
    <row r="177" spans="1:42">
      <c r="A177" s="547">
        <f t="shared" si="2"/>
        <v>2000</v>
      </c>
      <c r="B177" s="578">
        <v>36738</v>
      </c>
      <c r="C177" s="314">
        <v>82064</v>
      </c>
      <c r="D177" s="314">
        <v>68313</v>
      </c>
      <c r="E177" s="314">
        <v>64137</v>
      </c>
      <c r="F177" s="314">
        <v>6346</v>
      </c>
      <c r="G177" s="314">
        <v>13804</v>
      </c>
      <c r="H177" s="314">
        <v>10489</v>
      </c>
      <c r="I177" s="314">
        <v>19830</v>
      </c>
      <c r="J177" s="314">
        <v>1186</v>
      </c>
      <c r="K177" s="314">
        <v>0</v>
      </c>
      <c r="L177" s="314">
        <v>1975</v>
      </c>
      <c r="M177" s="314">
        <v>6473</v>
      </c>
      <c r="N177" s="314">
        <v>243</v>
      </c>
      <c r="O177" s="314">
        <v>0</v>
      </c>
      <c r="P177" s="314">
        <v>0</v>
      </c>
      <c r="Q177" s="314">
        <v>1367</v>
      </c>
      <c r="R177" s="314">
        <v>0</v>
      </c>
      <c r="S177" s="314">
        <v>200</v>
      </c>
      <c r="T177" s="314">
        <v>256</v>
      </c>
      <c r="U177" s="314">
        <v>583</v>
      </c>
      <c r="V177" s="314">
        <v>0</v>
      </c>
      <c r="W177" s="314">
        <v>9261</v>
      </c>
      <c r="X177" s="314">
        <v>0</v>
      </c>
      <c r="Y177" s="314">
        <v>4295</v>
      </c>
      <c r="Z177" s="314">
        <v>1338</v>
      </c>
      <c r="AA177" s="314">
        <v>0</v>
      </c>
      <c r="AB177" s="314">
        <v>5279</v>
      </c>
      <c r="AC177" s="314">
        <v>1607</v>
      </c>
      <c r="AD177" s="314">
        <v>2620</v>
      </c>
      <c r="AE177" s="314">
        <v>58799</v>
      </c>
      <c r="AF177" s="314">
        <v>49789</v>
      </c>
      <c r="AG177" s="314">
        <v>22740</v>
      </c>
      <c r="AH177" s="314">
        <v>959</v>
      </c>
      <c r="AI177" s="314">
        <v>0</v>
      </c>
      <c r="AJ177" s="314">
        <v>0</v>
      </c>
      <c r="AK177" s="314">
        <v>7242</v>
      </c>
      <c r="AL177" s="314">
        <v>0</v>
      </c>
      <c r="AM177" s="314">
        <v>0</v>
      </c>
      <c r="AN177" s="314">
        <v>525</v>
      </c>
      <c r="AO177" s="314">
        <v>0</v>
      </c>
      <c r="AP177" s="314">
        <v>0</v>
      </c>
    </row>
    <row r="178" spans="1:42">
      <c r="A178" s="547">
        <f t="shared" si="2"/>
        <v>2000</v>
      </c>
      <c r="B178" s="578">
        <v>36769</v>
      </c>
      <c r="C178" s="314">
        <v>31161</v>
      </c>
      <c r="D178" s="314">
        <v>70534</v>
      </c>
      <c r="E178" s="314">
        <v>52116</v>
      </c>
      <c r="F178" s="314">
        <v>16087</v>
      </c>
      <c r="G178" s="314">
        <v>7153</v>
      </c>
      <c r="H178" s="314">
        <v>21330</v>
      </c>
      <c r="I178" s="314">
        <v>18814</v>
      </c>
      <c r="J178" s="314">
        <v>8141</v>
      </c>
      <c r="K178" s="314">
        <v>0</v>
      </c>
      <c r="L178" s="314">
        <v>5234</v>
      </c>
      <c r="M178" s="314">
        <v>1184</v>
      </c>
      <c r="N178" s="314">
        <v>1020</v>
      </c>
      <c r="O178" s="314">
        <v>0</v>
      </c>
      <c r="P178" s="314">
        <v>0</v>
      </c>
      <c r="Q178" s="314">
        <v>3244</v>
      </c>
      <c r="R178" s="314">
        <v>130</v>
      </c>
      <c r="S178" s="314">
        <v>0</v>
      </c>
      <c r="T178" s="314">
        <v>0</v>
      </c>
      <c r="U178" s="314">
        <v>4191</v>
      </c>
      <c r="V178" s="314">
        <v>0</v>
      </c>
      <c r="W178" s="314">
        <v>3889</v>
      </c>
      <c r="X178" s="314">
        <v>1340</v>
      </c>
      <c r="Y178" s="314">
        <v>14710</v>
      </c>
      <c r="Z178" s="314">
        <v>2874</v>
      </c>
      <c r="AA178" s="314">
        <v>608</v>
      </c>
      <c r="AB178" s="314">
        <v>1450</v>
      </c>
      <c r="AC178" s="314">
        <v>720</v>
      </c>
      <c r="AD178" s="314">
        <v>0</v>
      </c>
      <c r="AE178" s="314">
        <v>19511</v>
      </c>
      <c r="AF178" s="314">
        <v>36060</v>
      </c>
      <c r="AG178" s="314">
        <v>7007</v>
      </c>
      <c r="AH178" s="314">
        <v>2455</v>
      </c>
      <c r="AI178" s="314">
        <v>0</v>
      </c>
      <c r="AJ178" s="314">
        <v>4223</v>
      </c>
      <c r="AK178" s="314">
        <v>0</v>
      </c>
      <c r="AL178" s="314">
        <v>990</v>
      </c>
      <c r="AM178" s="314">
        <v>0</v>
      </c>
      <c r="AN178" s="314">
        <v>897</v>
      </c>
      <c r="AO178" s="314">
        <v>2246</v>
      </c>
      <c r="AP178" s="314">
        <v>477</v>
      </c>
    </row>
    <row r="179" spans="1:42">
      <c r="A179" s="547">
        <f t="shared" si="2"/>
        <v>2000</v>
      </c>
      <c r="B179" s="578">
        <v>36799</v>
      </c>
      <c r="C179" s="314">
        <v>43430</v>
      </c>
      <c r="D179" s="314">
        <v>6881</v>
      </c>
      <c r="E179" s="314">
        <v>67894</v>
      </c>
      <c r="F179" s="314">
        <v>89199</v>
      </c>
      <c r="G179" s="314">
        <v>23070</v>
      </c>
      <c r="H179" s="314">
        <v>581</v>
      </c>
      <c r="I179" s="314">
        <v>22077</v>
      </c>
      <c r="J179" s="314">
        <v>19241</v>
      </c>
      <c r="K179" s="314">
        <v>0</v>
      </c>
      <c r="L179" s="314">
        <v>3181</v>
      </c>
      <c r="M179" s="314">
        <v>1468</v>
      </c>
      <c r="N179" s="314">
        <v>1009</v>
      </c>
      <c r="O179" s="314">
        <v>0</v>
      </c>
      <c r="P179" s="314">
        <v>0</v>
      </c>
      <c r="Q179" s="314">
        <v>650</v>
      </c>
      <c r="R179" s="314">
        <v>147</v>
      </c>
      <c r="S179" s="314">
        <v>0</v>
      </c>
      <c r="T179" s="314">
        <v>0</v>
      </c>
      <c r="U179" s="314">
        <v>3780</v>
      </c>
      <c r="V179" s="314">
        <v>0</v>
      </c>
      <c r="W179" s="314">
        <v>1218</v>
      </c>
      <c r="X179" s="314">
        <v>2190</v>
      </c>
      <c r="Y179" s="314">
        <v>21523</v>
      </c>
      <c r="Z179" s="314">
        <v>1880</v>
      </c>
      <c r="AA179" s="314">
        <v>0</v>
      </c>
      <c r="AB179" s="314">
        <v>0</v>
      </c>
      <c r="AC179" s="314">
        <v>171</v>
      </c>
      <c r="AD179" s="314">
        <v>186</v>
      </c>
      <c r="AE179" s="314">
        <v>19142</v>
      </c>
      <c r="AF179" s="314">
        <v>0</v>
      </c>
      <c r="AG179" s="314">
        <v>18088</v>
      </c>
      <c r="AH179" s="314">
        <v>65494</v>
      </c>
      <c r="AI179" s="314">
        <v>0</v>
      </c>
      <c r="AJ179" s="314">
        <v>929</v>
      </c>
      <c r="AK179" s="314">
        <v>137</v>
      </c>
      <c r="AL179" s="314">
        <v>822</v>
      </c>
      <c r="AM179" s="314">
        <v>0</v>
      </c>
      <c r="AN179" s="314">
        <v>0</v>
      </c>
      <c r="AO179" s="314">
        <v>0</v>
      </c>
      <c r="AP179" s="314">
        <v>420</v>
      </c>
    </row>
    <row r="180" spans="1:42">
      <c r="A180" s="547">
        <f t="shared" si="2"/>
        <v>2000</v>
      </c>
      <c r="B180" s="578">
        <v>36830</v>
      </c>
      <c r="C180" s="314">
        <v>45284</v>
      </c>
      <c r="D180" s="314">
        <v>26445</v>
      </c>
      <c r="E180" s="314">
        <v>75150</v>
      </c>
      <c r="F180" s="314">
        <v>26813</v>
      </c>
      <c r="G180" s="314">
        <v>2784</v>
      </c>
      <c r="H180" s="314">
        <v>12265</v>
      </c>
      <c r="I180" s="314">
        <v>18569</v>
      </c>
      <c r="J180" s="314">
        <v>20215</v>
      </c>
      <c r="K180" s="314">
        <v>569</v>
      </c>
      <c r="L180" s="314">
        <v>1725</v>
      </c>
      <c r="M180" s="314">
        <v>1992</v>
      </c>
      <c r="N180" s="314">
        <v>441</v>
      </c>
      <c r="O180" s="314">
        <v>0</v>
      </c>
      <c r="P180" s="314">
        <v>610</v>
      </c>
      <c r="Q180" s="314">
        <v>556</v>
      </c>
      <c r="R180" s="314">
        <v>0</v>
      </c>
      <c r="S180" s="314">
        <v>1185</v>
      </c>
      <c r="T180" s="314">
        <v>1619</v>
      </c>
      <c r="U180" s="314">
        <v>20</v>
      </c>
      <c r="V180" s="314">
        <v>1169</v>
      </c>
      <c r="W180" s="314">
        <v>527</v>
      </c>
      <c r="X180" s="314">
        <v>4002</v>
      </c>
      <c r="Y180" s="314">
        <v>30973</v>
      </c>
      <c r="Z180" s="314">
        <v>928</v>
      </c>
      <c r="AA180" s="314">
        <v>2153</v>
      </c>
      <c r="AB180" s="314">
        <v>0</v>
      </c>
      <c r="AC180" s="314">
        <v>11932</v>
      </c>
      <c r="AD180" s="314">
        <v>1394</v>
      </c>
      <c r="AE180" s="314">
        <v>38066</v>
      </c>
      <c r="AF180" s="314">
        <v>3939</v>
      </c>
      <c r="AG180" s="314">
        <v>8228</v>
      </c>
      <c r="AH180" s="314">
        <v>2654</v>
      </c>
      <c r="AI180" s="314">
        <v>0</v>
      </c>
      <c r="AJ180" s="314">
        <v>1024</v>
      </c>
      <c r="AK180" s="314">
        <v>2880</v>
      </c>
      <c r="AL180" s="314">
        <v>12</v>
      </c>
      <c r="AM180" s="314">
        <v>0</v>
      </c>
      <c r="AN180" s="314">
        <v>1261</v>
      </c>
      <c r="AO180" s="314">
        <v>0</v>
      </c>
      <c r="AP180" s="314">
        <v>0</v>
      </c>
    </row>
    <row r="181" spans="1:42">
      <c r="A181" s="547">
        <f t="shared" si="2"/>
        <v>2000</v>
      </c>
      <c r="B181" s="578">
        <v>36860</v>
      </c>
      <c r="C181" s="314">
        <v>64276</v>
      </c>
      <c r="D181" s="314">
        <v>11490</v>
      </c>
      <c r="E181" s="314">
        <v>33118</v>
      </c>
      <c r="F181" s="314">
        <v>25210</v>
      </c>
      <c r="G181" s="314">
        <v>27091</v>
      </c>
      <c r="H181" s="314">
        <v>891</v>
      </c>
      <c r="I181" s="314">
        <v>12000</v>
      </c>
      <c r="J181" s="314">
        <v>13930</v>
      </c>
      <c r="K181" s="314">
        <v>55</v>
      </c>
      <c r="L181" s="314">
        <v>1040</v>
      </c>
      <c r="M181" s="314">
        <v>4030</v>
      </c>
      <c r="N181" s="314">
        <v>1295</v>
      </c>
      <c r="O181" s="314">
        <v>0</v>
      </c>
      <c r="P181" s="314">
        <v>0</v>
      </c>
      <c r="Q181" s="314">
        <v>777</v>
      </c>
      <c r="R181" s="314">
        <v>823</v>
      </c>
      <c r="S181" s="314">
        <v>405</v>
      </c>
      <c r="T181" s="314">
        <v>2148</v>
      </c>
      <c r="U181" s="314">
        <v>309</v>
      </c>
      <c r="V181" s="314">
        <v>407</v>
      </c>
      <c r="W181" s="314">
        <v>6558</v>
      </c>
      <c r="X181" s="314">
        <v>5308</v>
      </c>
      <c r="Y181" s="314">
        <v>6979</v>
      </c>
      <c r="Z181" s="314">
        <v>3784</v>
      </c>
      <c r="AA181" s="314">
        <v>159</v>
      </c>
      <c r="AB181" s="314">
        <v>1022</v>
      </c>
      <c r="AC181" s="314">
        <v>726</v>
      </c>
      <c r="AD181" s="314">
        <v>1928</v>
      </c>
      <c r="AE181" s="314">
        <v>29228</v>
      </c>
      <c r="AF181" s="314">
        <v>747</v>
      </c>
      <c r="AG181" s="314">
        <v>7547</v>
      </c>
      <c r="AH181" s="314">
        <v>2458</v>
      </c>
      <c r="AI181" s="314">
        <v>780</v>
      </c>
      <c r="AJ181" s="314">
        <v>334</v>
      </c>
      <c r="AK181" s="314">
        <v>0</v>
      </c>
      <c r="AL181" s="314">
        <v>0</v>
      </c>
      <c r="AM181" s="314">
        <v>0</v>
      </c>
      <c r="AN181" s="314">
        <v>0</v>
      </c>
      <c r="AO181" s="314">
        <v>750</v>
      </c>
      <c r="AP181" s="314">
        <v>585</v>
      </c>
    </row>
    <row r="182" spans="1:42">
      <c r="A182" s="547">
        <f t="shared" si="2"/>
        <v>2000</v>
      </c>
      <c r="B182" s="578">
        <v>36891</v>
      </c>
      <c r="C182" s="314">
        <v>47765</v>
      </c>
      <c r="D182" s="314">
        <v>65652</v>
      </c>
      <c r="E182" s="314">
        <v>24429</v>
      </c>
      <c r="F182" s="314">
        <v>10257</v>
      </c>
      <c r="G182" s="314">
        <v>13472</v>
      </c>
      <c r="H182" s="314">
        <v>8805</v>
      </c>
      <c r="I182" s="314">
        <v>6399</v>
      </c>
      <c r="J182" s="314">
        <v>1766</v>
      </c>
      <c r="K182" s="314">
        <v>1554</v>
      </c>
      <c r="L182" s="314">
        <v>3898</v>
      </c>
      <c r="M182" s="314">
        <v>0</v>
      </c>
      <c r="N182" s="314">
        <v>1252</v>
      </c>
      <c r="O182" s="314">
        <v>0</v>
      </c>
      <c r="P182" s="314">
        <v>0</v>
      </c>
      <c r="Q182" s="314">
        <v>0</v>
      </c>
      <c r="R182" s="314">
        <v>0</v>
      </c>
      <c r="S182" s="314">
        <v>448</v>
      </c>
      <c r="T182" s="314">
        <v>743</v>
      </c>
      <c r="U182" s="314">
        <v>0</v>
      </c>
      <c r="V182" s="314">
        <v>330</v>
      </c>
      <c r="W182" s="314">
        <v>12410</v>
      </c>
      <c r="X182" s="314">
        <v>3881</v>
      </c>
      <c r="Y182" s="314">
        <v>7895</v>
      </c>
      <c r="Z182" s="314">
        <v>2624</v>
      </c>
      <c r="AA182" s="314">
        <v>0</v>
      </c>
      <c r="AB182" s="314">
        <v>0</v>
      </c>
      <c r="AC182" s="314">
        <v>604</v>
      </c>
      <c r="AD182" s="314">
        <v>482</v>
      </c>
      <c r="AE182" s="314">
        <v>19881</v>
      </c>
      <c r="AF182" s="314">
        <v>46199</v>
      </c>
      <c r="AG182" s="314">
        <v>8853</v>
      </c>
      <c r="AH182" s="314">
        <v>3513</v>
      </c>
      <c r="AI182" s="314">
        <v>0</v>
      </c>
      <c r="AJ182" s="314">
        <v>0</v>
      </c>
      <c r="AK182" s="314">
        <v>678</v>
      </c>
      <c r="AL182" s="314">
        <v>0</v>
      </c>
      <c r="AM182" s="314">
        <v>0</v>
      </c>
      <c r="AN182" s="314">
        <v>2126</v>
      </c>
      <c r="AO182" s="314">
        <v>0</v>
      </c>
      <c r="AP182" s="314">
        <v>290</v>
      </c>
    </row>
    <row r="183" spans="1:42">
      <c r="A183" s="547">
        <f t="shared" si="2"/>
        <v>2001</v>
      </c>
      <c r="B183" s="578">
        <v>36922</v>
      </c>
      <c r="C183" s="314">
        <v>113550</v>
      </c>
      <c r="D183" s="314">
        <v>19020</v>
      </c>
      <c r="E183" s="314">
        <v>30333</v>
      </c>
      <c r="F183" s="314">
        <v>8073</v>
      </c>
      <c r="G183" s="314">
        <v>6611</v>
      </c>
      <c r="H183" s="314">
        <v>1742</v>
      </c>
      <c r="I183" s="314">
        <v>9812</v>
      </c>
      <c r="J183" s="314">
        <v>2983</v>
      </c>
      <c r="K183" s="314">
        <v>291</v>
      </c>
      <c r="L183" s="314">
        <v>739</v>
      </c>
      <c r="M183" s="314">
        <v>886</v>
      </c>
      <c r="N183" s="314">
        <v>396</v>
      </c>
      <c r="O183" s="314">
        <v>7105</v>
      </c>
      <c r="P183" s="314">
        <v>680</v>
      </c>
      <c r="Q183" s="314">
        <v>0</v>
      </c>
      <c r="R183" s="314">
        <v>105</v>
      </c>
      <c r="S183" s="314">
        <v>302</v>
      </c>
      <c r="T183" s="314">
        <v>2050</v>
      </c>
      <c r="U183" s="314">
        <v>2878</v>
      </c>
      <c r="V183" s="314">
        <v>140</v>
      </c>
      <c r="W183" s="314">
        <v>2322</v>
      </c>
      <c r="X183" s="314">
        <v>5939</v>
      </c>
      <c r="Y183" s="314">
        <v>2233</v>
      </c>
      <c r="Z183" s="314">
        <v>1267</v>
      </c>
      <c r="AA183" s="314">
        <v>0</v>
      </c>
      <c r="AB183" s="314">
        <v>1379</v>
      </c>
      <c r="AC183" s="314">
        <v>912</v>
      </c>
      <c r="AD183" s="314">
        <v>354</v>
      </c>
      <c r="AE183" s="314">
        <v>95758</v>
      </c>
      <c r="AF183" s="314">
        <v>6048</v>
      </c>
      <c r="AG183" s="314">
        <v>13612</v>
      </c>
      <c r="AH183" s="314">
        <v>2828</v>
      </c>
      <c r="AI183" s="314">
        <v>1161</v>
      </c>
      <c r="AJ183" s="314">
        <v>443</v>
      </c>
      <c r="AK183" s="314">
        <v>0</v>
      </c>
      <c r="AL183" s="314">
        <v>0</v>
      </c>
      <c r="AM183" s="314">
        <v>0</v>
      </c>
      <c r="AN183" s="314">
        <v>0</v>
      </c>
      <c r="AO183" s="314">
        <v>0</v>
      </c>
      <c r="AP183" s="314">
        <v>0</v>
      </c>
    </row>
    <row r="184" spans="1:42">
      <c r="A184" s="547">
        <f t="shared" si="2"/>
        <v>2001</v>
      </c>
      <c r="B184" s="578">
        <v>36950</v>
      </c>
      <c r="C184" s="314">
        <v>36104</v>
      </c>
      <c r="D184" s="314">
        <v>34540</v>
      </c>
      <c r="E184" s="314">
        <v>126802</v>
      </c>
      <c r="F184" s="314">
        <v>20385</v>
      </c>
      <c r="G184" s="314">
        <v>27497</v>
      </c>
      <c r="H184" s="314">
        <v>7511</v>
      </c>
      <c r="I184" s="314">
        <v>18638</v>
      </c>
      <c r="J184" s="314">
        <v>9946</v>
      </c>
      <c r="K184" s="314">
        <v>0</v>
      </c>
      <c r="L184" s="314">
        <v>352</v>
      </c>
      <c r="M184" s="314">
        <v>67693</v>
      </c>
      <c r="N184" s="314">
        <v>3103</v>
      </c>
      <c r="O184" s="314">
        <v>0</v>
      </c>
      <c r="P184" s="314">
        <v>0</v>
      </c>
      <c r="Q184" s="314">
        <v>0</v>
      </c>
      <c r="R184" s="314">
        <v>76</v>
      </c>
      <c r="S184" s="314">
        <v>792</v>
      </c>
      <c r="T184" s="314">
        <v>0</v>
      </c>
      <c r="U184" s="314">
        <v>1055</v>
      </c>
      <c r="V184" s="314">
        <v>216</v>
      </c>
      <c r="W184" s="314">
        <v>3875</v>
      </c>
      <c r="X184" s="314">
        <v>4191</v>
      </c>
      <c r="Y184" s="314">
        <v>18613</v>
      </c>
      <c r="Z184" s="314">
        <v>2417</v>
      </c>
      <c r="AA184" s="314">
        <v>750</v>
      </c>
      <c r="AB184" s="314">
        <v>0</v>
      </c>
      <c r="AC184" s="314">
        <v>0</v>
      </c>
      <c r="AD184" s="314">
        <v>1367</v>
      </c>
      <c r="AE184" s="314">
        <v>2558</v>
      </c>
      <c r="AF184" s="314">
        <v>2886</v>
      </c>
      <c r="AG184" s="314">
        <v>20803</v>
      </c>
      <c r="AH184" s="314">
        <v>1989</v>
      </c>
      <c r="AI184" s="314">
        <v>632</v>
      </c>
      <c r="AJ184" s="314">
        <v>19600</v>
      </c>
      <c r="AK184" s="314">
        <v>0</v>
      </c>
      <c r="AL184" s="314">
        <v>1019</v>
      </c>
      <c r="AM184" s="314">
        <v>0</v>
      </c>
      <c r="AN184" s="314">
        <v>0</v>
      </c>
      <c r="AO184" s="314">
        <v>0</v>
      </c>
      <c r="AP184" s="314">
        <v>252</v>
      </c>
    </row>
    <row r="185" spans="1:42">
      <c r="A185" s="547">
        <f t="shared" si="2"/>
        <v>2001</v>
      </c>
      <c r="B185" s="578">
        <v>36981</v>
      </c>
      <c r="C185" s="314">
        <v>37268</v>
      </c>
      <c r="D185" s="314">
        <v>12318</v>
      </c>
      <c r="E185" s="314">
        <v>60604</v>
      </c>
      <c r="F185" s="314">
        <v>11928</v>
      </c>
      <c r="G185" s="314">
        <v>8941</v>
      </c>
      <c r="H185" s="314">
        <v>2034</v>
      </c>
      <c r="I185" s="314">
        <v>7929</v>
      </c>
      <c r="J185" s="314">
        <v>7406</v>
      </c>
      <c r="K185" s="314">
        <v>1062</v>
      </c>
      <c r="L185" s="314">
        <v>3108</v>
      </c>
      <c r="M185" s="314">
        <v>209</v>
      </c>
      <c r="N185" s="314">
        <v>550</v>
      </c>
      <c r="O185" s="314">
        <v>0</v>
      </c>
      <c r="P185" s="314">
        <v>522</v>
      </c>
      <c r="Q185" s="314">
        <v>0</v>
      </c>
      <c r="R185" s="314">
        <v>0</v>
      </c>
      <c r="S185" s="314">
        <v>0</v>
      </c>
      <c r="T185" s="314">
        <v>0</v>
      </c>
      <c r="U185" s="314">
        <v>4187</v>
      </c>
      <c r="V185" s="314">
        <v>151</v>
      </c>
      <c r="W185" s="314">
        <v>6712</v>
      </c>
      <c r="X185" s="314">
        <v>2203</v>
      </c>
      <c r="Y185" s="314">
        <v>21265</v>
      </c>
      <c r="Z185" s="314">
        <v>1298</v>
      </c>
      <c r="AA185" s="314">
        <v>0</v>
      </c>
      <c r="AB185" s="314">
        <v>0</v>
      </c>
      <c r="AC185" s="314">
        <v>699</v>
      </c>
      <c r="AD185" s="314">
        <v>153</v>
      </c>
      <c r="AE185" s="314">
        <v>17961</v>
      </c>
      <c r="AF185" s="314">
        <v>3432</v>
      </c>
      <c r="AG185" s="314">
        <v>26315</v>
      </c>
      <c r="AH185" s="314">
        <v>1704</v>
      </c>
      <c r="AI185" s="314">
        <v>2592</v>
      </c>
      <c r="AJ185" s="314">
        <v>1019</v>
      </c>
      <c r="AK185" s="314">
        <v>0</v>
      </c>
      <c r="AL185" s="314">
        <v>666</v>
      </c>
      <c r="AM185" s="314">
        <v>0</v>
      </c>
      <c r="AN185" s="314">
        <v>0</v>
      </c>
      <c r="AO185" s="314">
        <v>0</v>
      </c>
      <c r="AP185" s="314">
        <v>0</v>
      </c>
    </row>
    <row r="186" spans="1:42">
      <c r="A186" s="547">
        <f t="shared" si="2"/>
        <v>2001</v>
      </c>
      <c r="B186" s="578">
        <v>37011</v>
      </c>
      <c r="C186" s="314">
        <v>16915</v>
      </c>
      <c r="D186" s="314">
        <v>21139</v>
      </c>
      <c r="E186" s="314">
        <v>58542</v>
      </c>
      <c r="F186" s="314">
        <v>28852</v>
      </c>
      <c r="G186" s="314">
        <v>3519</v>
      </c>
      <c r="H186" s="314">
        <v>8397</v>
      </c>
      <c r="I186" s="314">
        <v>5364</v>
      </c>
      <c r="J186" s="314">
        <v>4230</v>
      </c>
      <c r="K186" s="314">
        <v>91</v>
      </c>
      <c r="L186" s="314">
        <v>4361</v>
      </c>
      <c r="M186" s="314">
        <v>23047</v>
      </c>
      <c r="N186" s="314">
        <v>12216</v>
      </c>
      <c r="O186" s="314">
        <v>0</v>
      </c>
      <c r="P186" s="314">
        <v>2118</v>
      </c>
      <c r="Q186" s="314">
        <v>854</v>
      </c>
      <c r="R186" s="314">
        <v>0</v>
      </c>
      <c r="S186" s="314">
        <v>0</v>
      </c>
      <c r="T186" s="314">
        <v>491</v>
      </c>
      <c r="U186" s="314">
        <v>1852</v>
      </c>
      <c r="V186" s="314">
        <v>5410</v>
      </c>
      <c r="W186" s="314">
        <v>5583</v>
      </c>
      <c r="X186" s="314">
        <v>4053</v>
      </c>
      <c r="Y186" s="314">
        <v>13351</v>
      </c>
      <c r="Z186" s="314">
        <v>2691</v>
      </c>
      <c r="AA186" s="314">
        <v>0</v>
      </c>
      <c r="AB186" s="314">
        <v>220</v>
      </c>
      <c r="AC186" s="314">
        <v>0</v>
      </c>
      <c r="AD186" s="314">
        <v>209</v>
      </c>
      <c r="AE186" s="314">
        <v>4844</v>
      </c>
      <c r="AF186" s="314">
        <v>911</v>
      </c>
      <c r="AG186" s="314">
        <v>14074</v>
      </c>
      <c r="AH186" s="314">
        <v>3255</v>
      </c>
      <c r="AI186" s="314">
        <v>2878</v>
      </c>
      <c r="AJ186" s="314">
        <v>0</v>
      </c>
      <c r="AK186" s="314">
        <v>0</v>
      </c>
      <c r="AL186" s="314">
        <v>841</v>
      </c>
      <c r="AM186" s="314">
        <v>0</v>
      </c>
      <c r="AN186" s="314">
        <v>588</v>
      </c>
      <c r="AO186" s="314">
        <v>0</v>
      </c>
      <c r="AP186" s="314">
        <v>0</v>
      </c>
    </row>
    <row r="187" spans="1:42">
      <c r="A187" s="547">
        <f t="shared" si="2"/>
        <v>2001</v>
      </c>
      <c r="B187" s="578">
        <v>37042</v>
      </c>
      <c r="C187" s="314">
        <v>133973</v>
      </c>
      <c r="D187" s="314">
        <v>17881</v>
      </c>
      <c r="E187" s="314">
        <v>49852</v>
      </c>
      <c r="F187" s="314">
        <v>14424</v>
      </c>
      <c r="G187" s="314">
        <v>4526</v>
      </c>
      <c r="H187" s="314">
        <v>3753</v>
      </c>
      <c r="I187" s="314">
        <v>16047</v>
      </c>
      <c r="J187" s="314">
        <v>3343</v>
      </c>
      <c r="K187" s="314">
        <v>19056</v>
      </c>
      <c r="L187" s="314">
        <v>5148</v>
      </c>
      <c r="M187" s="314">
        <v>8422</v>
      </c>
      <c r="N187" s="314">
        <v>1802</v>
      </c>
      <c r="O187" s="314">
        <v>0</v>
      </c>
      <c r="P187" s="314">
        <v>1563</v>
      </c>
      <c r="Q187" s="314">
        <v>0</v>
      </c>
      <c r="R187" s="314">
        <v>173</v>
      </c>
      <c r="S187" s="314">
        <v>10480</v>
      </c>
      <c r="T187" s="314">
        <v>762</v>
      </c>
      <c r="U187" s="314">
        <v>1076</v>
      </c>
      <c r="V187" s="314">
        <v>840</v>
      </c>
      <c r="W187" s="314">
        <v>1470</v>
      </c>
      <c r="X187" s="314">
        <v>1190</v>
      </c>
      <c r="Y187" s="314">
        <v>1759</v>
      </c>
      <c r="Z187" s="314">
        <v>480</v>
      </c>
      <c r="AA187" s="314">
        <v>0</v>
      </c>
      <c r="AB187" s="314">
        <v>667</v>
      </c>
      <c r="AC187" s="314">
        <v>1464</v>
      </c>
      <c r="AD187" s="314">
        <v>234</v>
      </c>
      <c r="AE187" s="314">
        <v>97943</v>
      </c>
      <c r="AF187" s="314">
        <v>3450</v>
      </c>
      <c r="AG187" s="314">
        <v>20719</v>
      </c>
      <c r="AH187" s="314">
        <v>7552</v>
      </c>
      <c r="AI187" s="314">
        <v>0</v>
      </c>
      <c r="AJ187" s="314">
        <v>166</v>
      </c>
      <c r="AK187" s="314">
        <v>365</v>
      </c>
      <c r="AL187" s="314">
        <v>0</v>
      </c>
      <c r="AM187" s="314">
        <v>498</v>
      </c>
      <c r="AN187" s="314">
        <v>1182</v>
      </c>
      <c r="AO187" s="314">
        <v>0</v>
      </c>
      <c r="AP187" s="314">
        <v>0</v>
      </c>
    </row>
    <row r="188" spans="1:42">
      <c r="A188" s="547">
        <f t="shared" si="2"/>
        <v>2001</v>
      </c>
      <c r="B188" s="578">
        <v>37072</v>
      </c>
      <c r="C188" s="314">
        <v>64374</v>
      </c>
      <c r="D188" s="314">
        <v>67649</v>
      </c>
      <c r="E188" s="314">
        <v>58236</v>
      </c>
      <c r="F188" s="314">
        <v>18012</v>
      </c>
      <c r="G188" s="314">
        <v>40099</v>
      </c>
      <c r="H188" s="314">
        <v>4306</v>
      </c>
      <c r="I188" s="314">
        <v>18016</v>
      </c>
      <c r="J188" s="314">
        <v>5760</v>
      </c>
      <c r="K188" s="314">
        <v>3039</v>
      </c>
      <c r="L188" s="314">
        <v>8803</v>
      </c>
      <c r="M188" s="314">
        <v>1506</v>
      </c>
      <c r="N188" s="314">
        <v>70</v>
      </c>
      <c r="O188" s="314">
        <v>0</v>
      </c>
      <c r="P188" s="314">
        <v>0</v>
      </c>
      <c r="Q188" s="314">
        <v>0</v>
      </c>
      <c r="R188" s="314">
        <v>489</v>
      </c>
      <c r="S188" s="314">
        <v>0</v>
      </c>
      <c r="T188" s="314">
        <v>1234</v>
      </c>
      <c r="U188" s="314">
        <v>1702</v>
      </c>
      <c r="V188" s="314">
        <v>2916</v>
      </c>
      <c r="W188" s="314">
        <v>17263</v>
      </c>
      <c r="X188" s="314">
        <v>1080</v>
      </c>
      <c r="Y188" s="314">
        <v>21208</v>
      </c>
      <c r="Z188" s="314">
        <v>3599</v>
      </c>
      <c r="AA188" s="314">
        <v>0</v>
      </c>
      <c r="AB188" s="314">
        <v>479</v>
      </c>
      <c r="AC188" s="314">
        <v>3190</v>
      </c>
      <c r="AD188" s="314">
        <v>3319</v>
      </c>
      <c r="AE188" s="314">
        <v>3973</v>
      </c>
      <c r="AF188" s="314">
        <v>49239</v>
      </c>
      <c r="AG188" s="314">
        <v>11846</v>
      </c>
      <c r="AH188" s="314">
        <v>1381</v>
      </c>
      <c r="AI188" s="314">
        <v>0</v>
      </c>
      <c r="AJ188" s="314">
        <v>0</v>
      </c>
      <c r="AK188" s="314">
        <v>0</v>
      </c>
      <c r="AL188" s="314">
        <v>306</v>
      </c>
      <c r="AM188" s="314">
        <v>0</v>
      </c>
      <c r="AN188" s="314">
        <v>2508</v>
      </c>
      <c r="AO188" s="314">
        <v>768</v>
      </c>
      <c r="AP188" s="314">
        <v>172</v>
      </c>
    </row>
    <row r="189" spans="1:42">
      <c r="A189" s="547">
        <f t="shared" si="2"/>
        <v>2001</v>
      </c>
      <c r="B189" s="578">
        <v>37103</v>
      </c>
      <c r="C189" s="314">
        <v>11562</v>
      </c>
      <c r="D189" s="314">
        <v>16609</v>
      </c>
      <c r="E189" s="314">
        <v>51445</v>
      </c>
      <c r="F189" s="314">
        <v>17348</v>
      </c>
      <c r="G189" s="314">
        <v>1007</v>
      </c>
      <c r="H189" s="314">
        <v>1367</v>
      </c>
      <c r="I189" s="314">
        <v>7780</v>
      </c>
      <c r="J189" s="314">
        <v>10137</v>
      </c>
      <c r="K189" s="314">
        <v>2244</v>
      </c>
      <c r="L189" s="314">
        <v>5359</v>
      </c>
      <c r="M189" s="314">
        <v>2311</v>
      </c>
      <c r="N189" s="314">
        <v>1377</v>
      </c>
      <c r="O189" s="314">
        <v>0</v>
      </c>
      <c r="P189" s="314">
        <v>0</v>
      </c>
      <c r="Q189" s="314">
        <v>0</v>
      </c>
      <c r="R189" s="314">
        <v>113</v>
      </c>
      <c r="S189" s="314">
        <v>2745</v>
      </c>
      <c r="T189" s="314">
        <v>1165</v>
      </c>
      <c r="U189" s="314">
        <v>0</v>
      </c>
      <c r="V189" s="314">
        <v>1367</v>
      </c>
      <c r="W189" s="314">
        <v>87</v>
      </c>
      <c r="X189" s="314">
        <v>2747</v>
      </c>
      <c r="Y189" s="314">
        <v>19942</v>
      </c>
      <c r="Z189" s="314">
        <v>2132</v>
      </c>
      <c r="AA189" s="314">
        <v>147</v>
      </c>
      <c r="AB189" s="314">
        <v>1627</v>
      </c>
      <c r="AC189" s="314">
        <v>0</v>
      </c>
      <c r="AD189" s="314">
        <v>1000</v>
      </c>
      <c r="AE189" s="314">
        <v>4861</v>
      </c>
      <c r="AF189" s="314">
        <v>502</v>
      </c>
      <c r="AG189" s="314">
        <v>19263</v>
      </c>
      <c r="AH189" s="314">
        <v>1209</v>
      </c>
      <c r="AI189" s="314">
        <v>0</v>
      </c>
      <c r="AJ189" s="314">
        <v>3842</v>
      </c>
      <c r="AK189" s="314">
        <v>2149</v>
      </c>
      <c r="AL189" s="314">
        <v>13</v>
      </c>
      <c r="AM189" s="314">
        <v>471</v>
      </c>
      <c r="AN189" s="314">
        <v>0</v>
      </c>
      <c r="AO189" s="314">
        <v>0</v>
      </c>
      <c r="AP189" s="314">
        <v>0</v>
      </c>
    </row>
    <row r="190" spans="1:42">
      <c r="A190" s="547">
        <f t="shared" si="2"/>
        <v>2001</v>
      </c>
      <c r="B190" s="578">
        <v>37134</v>
      </c>
      <c r="C190" s="314">
        <v>21608</v>
      </c>
      <c r="D190" s="314">
        <v>13461</v>
      </c>
      <c r="E190" s="314">
        <v>42021</v>
      </c>
      <c r="F190" s="314">
        <v>8113</v>
      </c>
      <c r="G190" s="314">
        <v>2249</v>
      </c>
      <c r="H190" s="314">
        <v>5071</v>
      </c>
      <c r="I190" s="314">
        <v>9343</v>
      </c>
      <c r="J190" s="314">
        <v>4829</v>
      </c>
      <c r="K190" s="314">
        <v>1561</v>
      </c>
      <c r="L190" s="314">
        <v>0</v>
      </c>
      <c r="M190" s="314">
        <v>0</v>
      </c>
      <c r="N190" s="314">
        <v>0</v>
      </c>
      <c r="O190" s="314">
        <v>0</v>
      </c>
      <c r="P190" s="314">
        <v>0</v>
      </c>
      <c r="Q190" s="314">
        <v>0</v>
      </c>
      <c r="R190" s="314">
        <v>0</v>
      </c>
      <c r="S190" s="314">
        <v>2876</v>
      </c>
      <c r="T190" s="314">
        <v>0</v>
      </c>
      <c r="U190" s="314">
        <v>872</v>
      </c>
      <c r="V190" s="314">
        <v>969</v>
      </c>
      <c r="W190" s="314">
        <v>9480</v>
      </c>
      <c r="X190" s="314">
        <v>1714</v>
      </c>
      <c r="Y190" s="314">
        <v>8035</v>
      </c>
      <c r="Z190" s="314">
        <v>1664</v>
      </c>
      <c r="AA190" s="314">
        <v>0</v>
      </c>
      <c r="AB190" s="314">
        <v>723</v>
      </c>
      <c r="AC190" s="314">
        <v>540</v>
      </c>
      <c r="AD190" s="314">
        <v>500</v>
      </c>
      <c r="AE190" s="314">
        <v>5442</v>
      </c>
      <c r="AF190" s="314">
        <v>3265</v>
      </c>
      <c r="AG190" s="314">
        <v>23231</v>
      </c>
      <c r="AH190" s="314">
        <v>151</v>
      </c>
      <c r="AI190" s="314">
        <v>0</v>
      </c>
      <c r="AJ190" s="314">
        <v>1518</v>
      </c>
      <c r="AK190" s="314">
        <v>0</v>
      </c>
      <c r="AL190" s="314">
        <v>0</v>
      </c>
      <c r="AM190" s="314">
        <v>0</v>
      </c>
      <c r="AN190" s="314">
        <v>1170</v>
      </c>
      <c r="AO190" s="314">
        <v>0</v>
      </c>
      <c r="AP190" s="314">
        <v>0</v>
      </c>
    </row>
    <row r="191" spans="1:42">
      <c r="A191" s="547">
        <f t="shared" si="2"/>
        <v>2001</v>
      </c>
      <c r="B191" s="578">
        <v>37164</v>
      </c>
      <c r="C191" s="314">
        <v>16176</v>
      </c>
      <c r="D191" s="314">
        <v>379887</v>
      </c>
      <c r="E191" s="314">
        <v>74273</v>
      </c>
      <c r="F191" s="314">
        <v>9997</v>
      </c>
      <c r="G191" s="314">
        <v>9476</v>
      </c>
      <c r="H191" s="314">
        <v>8160</v>
      </c>
      <c r="I191" s="314">
        <v>34194</v>
      </c>
      <c r="J191" s="314">
        <v>4768</v>
      </c>
      <c r="K191" s="314">
        <v>0</v>
      </c>
      <c r="L191" s="314">
        <v>0</v>
      </c>
      <c r="M191" s="314">
        <v>4815</v>
      </c>
      <c r="N191" s="314">
        <v>185</v>
      </c>
      <c r="O191" s="314">
        <v>0</v>
      </c>
      <c r="P191" s="314">
        <v>0</v>
      </c>
      <c r="Q191" s="314">
        <v>0</v>
      </c>
      <c r="R191" s="314">
        <v>0</v>
      </c>
      <c r="S191" s="314">
        <v>0</v>
      </c>
      <c r="T191" s="314">
        <v>0</v>
      </c>
      <c r="U191" s="314">
        <v>0</v>
      </c>
      <c r="V191" s="314">
        <v>0</v>
      </c>
      <c r="W191" s="314">
        <v>274</v>
      </c>
      <c r="X191" s="314">
        <v>327332</v>
      </c>
      <c r="Y191" s="314">
        <v>22838</v>
      </c>
      <c r="Z191" s="314">
        <v>3231</v>
      </c>
      <c r="AA191" s="314">
        <v>955</v>
      </c>
      <c r="AB191" s="314">
        <v>2107</v>
      </c>
      <c r="AC191" s="314">
        <v>456</v>
      </c>
      <c r="AD191" s="314">
        <v>0</v>
      </c>
      <c r="AE191" s="314">
        <v>3856</v>
      </c>
      <c r="AF191" s="314">
        <v>42288</v>
      </c>
      <c r="AG191" s="314">
        <v>11676</v>
      </c>
      <c r="AH191" s="314">
        <v>1813</v>
      </c>
      <c r="AI191" s="314">
        <v>1615</v>
      </c>
      <c r="AJ191" s="314">
        <v>0</v>
      </c>
      <c r="AK191" s="314">
        <v>294</v>
      </c>
      <c r="AL191" s="314">
        <v>0</v>
      </c>
      <c r="AM191" s="314">
        <v>0</v>
      </c>
      <c r="AN191" s="314">
        <v>0</v>
      </c>
      <c r="AO191" s="314">
        <v>0</v>
      </c>
      <c r="AP191" s="314">
        <v>0</v>
      </c>
    </row>
    <row r="192" spans="1:42">
      <c r="A192" s="547">
        <f t="shared" si="2"/>
        <v>2001</v>
      </c>
      <c r="B192" s="578">
        <v>37195</v>
      </c>
      <c r="C192" s="314">
        <v>77933</v>
      </c>
      <c r="D192" s="314">
        <v>33778</v>
      </c>
      <c r="E192" s="314">
        <v>56696</v>
      </c>
      <c r="F192" s="314">
        <v>19093</v>
      </c>
      <c r="G192" s="314">
        <v>14739</v>
      </c>
      <c r="H192" s="314">
        <v>975</v>
      </c>
      <c r="I192" s="314">
        <v>6145</v>
      </c>
      <c r="J192" s="314">
        <v>1211</v>
      </c>
      <c r="K192" s="314">
        <v>857</v>
      </c>
      <c r="L192" s="314">
        <v>5580</v>
      </c>
      <c r="M192" s="314">
        <v>245</v>
      </c>
      <c r="N192" s="314">
        <v>2197</v>
      </c>
      <c r="O192" s="314">
        <v>0</v>
      </c>
      <c r="P192" s="314">
        <v>3483</v>
      </c>
      <c r="Q192" s="314">
        <v>0</v>
      </c>
      <c r="R192" s="314">
        <v>866</v>
      </c>
      <c r="S192" s="314">
        <v>0</v>
      </c>
      <c r="T192" s="314">
        <v>0</v>
      </c>
      <c r="U192" s="314">
        <v>1041</v>
      </c>
      <c r="V192" s="314">
        <v>413</v>
      </c>
      <c r="W192" s="314">
        <v>26045</v>
      </c>
      <c r="X192" s="314">
        <v>10576</v>
      </c>
      <c r="Y192" s="314">
        <v>20837</v>
      </c>
      <c r="Z192" s="314">
        <v>7447</v>
      </c>
      <c r="AA192" s="314">
        <v>0</v>
      </c>
      <c r="AB192" s="314">
        <v>0</v>
      </c>
      <c r="AC192" s="314">
        <v>937</v>
      </c>
      <c r="AD192" s="314">
        <v>0</v>
      </c>
      <c r="AE192" s="314">
        <v>36263</v>
      </c>
      <c r="AF192" s="314">
        <v>12233</v>
      </c>
      <c r="AG192" s="314">
        <v>27491</v>
      </c>
      <c r="AH192" s="314">
        <v>6959</v>
      </c>
      <c r="AI192" s="314">
        <v>0</v>
      </c>
      <c r="AJ192" s="314">
        <v>931</v>
      </c>
      <c r="AK192" s="314">
        <v>0</v>
      </c>
      <c r="AL192" s="314">
        <v>0</v>
      </c>
      <c r="AM192" s="314">
        <v>29</v>
      </c>
      <c r="AN192" s="314">
        <v>0</v>
      </c>
      <c r="AO192" s="314">
        <v>0</v>
      </c>
      <c r="AP192" s="314">
        <v>0</v>
      </c>
    </row>
    <row r="193" spans="1:42">
      <c r="A193" s="547">
        <f t="shared" si="2"/>
        <v>2001</v>
      </c>
      <c r="B193" s="578">
        <v>37225</v>
      </c>
      <c r="C193" s="314">
        <v>35972</v>
      </c>
      <c r="D193" s="314">
        <v>17908</v>
      </c>
      <c r="E193" s="314">
        <v>35607</v>
      </c>
      <c r="F193" s="314">
        <v>32495</v>
      </c>
      <c r="G193" s="314">
        <v>2746</v>
      </c>
      <c r="H193" s="314">
        <v>3555</v>
      </c>
      <c r="I193" s="314">
        <v>4483</v>
      </c>
      <c r="J193" s="314">
        <v>10257</v>
      </c>
      <c r="K193" s="314">
        <v>27</v>
      </c>
      <c r="L193" s="314">
        <v>0</v>
      </c>
      <c r="M193" s="314">
        <v>10061</v>
      </c>
      <c r="N193" s="314">
        <v>959</v>
      </c>
      <c r="O193" s="314">
        <v>0</v>
      </c>
      <c r="P193" s="314">
        <v>0</v>
      </c>
      <c r="Q193" s="314">
        <v>0</v>
      </c>
      <c r="R193" s="314">
        <v>0</v>
      </c>
      <c r="S193" s="314">
        <v>1255</v>
      </c>
      <c r="T193" s="314">
        <v>6564</v>
      </c>
      <c r="U193" s="314">
        <v>327</v>
      </c>
      <c r="V193" s="314">
        <v>1661</v>
      </c>
      <c r="W193" s="314">
        <v>718</v>
      </c>
      <c r="X193" s="314">
        <v>2960</v>
      </c>
      <c r="Y193" s="314">
        <v>2705</v>
      </c>
      <c r="Z193" s="314">
        <v>1146</v>
      </c>
      <c r="AA193" s="314">
        <v>156</v>
      </c>
      <c r="AB193" s="314">
        <v>1301</v>
      </c>
      <c r="AC193" s="314">
        <v>1957</v>
      </c>
      <c r="AD193" s="314">
        <v>13098</v>
      </c>
      <c r="AE193" s="314">
        <v>31011</v>
      </c>
      <c r="AF193" s="314">
        <v>3528</v>
      </c>
      <c r="AG193" s="314">
        <v>14985</v>
      </c>
      <c r="AH193" s="314">
        <v>5374</v>
      </c>
      <c r="AI193" s="314">
        <v>59</v>
      </c>
      <c r="AJ193" s="314">
        <v>0</v>
      </c>
      <c r="AK193" s="314">
        <v>0</v>
      </c>
      <c r="AL193" s="314">
        <v>0</v>
      </c>
      <c r="AM193" s="314">
        <v>0</v>
      </c>
      <c r="AN193" s="314">
        <v>0</v>
      </c>
      <c r="AO193" s="314">
        <v>1089</v>
      </c>
      <c r="AP193" s="314">
        <v>0</v>
      </c>
    </row>
    <row r="194" spans="1:42">
      <c r="A194" s="547">
        <f t="shared" si="2"/>
        <v>2001</v>
      </c>
      <c r="B194" s="578">
        <v>37256</v>
      </c>
      <c r="C194" s="314">
        <v>22354</v>
      </c>
      <c r="D194" s="314">
        <v>95763</v>
      </c>
      <c r="E194" s="314">
        <v>11202</v>
      </c>
      <c r="F194" s="314">
        <v>15983</v>
      </c>
      <c r="G194" s="314">
        <v>6689</v>
      </c>
      <c r="H194" s="314">
        <v>84842</v>
      </c>
      <c r="I194" s="314">
        <v>3171</v>
      </c>
      <c r="J194" s="314">
        <v>9727</v>
      </c>
      <c r="K194" s="314">
        <v>155</v>
      </c>
      <c r="L194" s="314">
        <v>2470</v>
      </c>
      <c r="M194" s="314">
        <v>0</v>
      </c>
      <c r="N194" s="314">
        <v>83</v>
      </c>
      <c r="O194" s="314">
        <v>66</v>
      </c>
      <c r="P194" s="314">
        <v>3673</v>
      </c>
      <c r="Q194" s="314">
        <v>0</v>
      </c>
      <c r="R194" s="314">
        <v>0</v>
      </c>
      <c r="S194" s="314">
        <v>296</v>
      </c>
      <c r="T194" s="314">
        <v>178</v>
      </c>
      <c r="U194" s="314">
        <v>0</v>
      </c>
      <c r="V194" s="314">
        <v>562</v>
      </c>
      <c r="W194" s="314">
        <v>2560</v>
      </c>
      <c r="X194" s="314">
        <v>694</v>
      </c>
      <c r="Y194" s="314">
        <v>4472</v>
      </c>
      <c r="Z194" s="314">
        <v>2712</v>
      </c>
      <c r="AA194" s="314">
        <v>0</v>
      </c>
      <c r="AB194" s="314">
        <v>252</v>
      </c>
      <c r="AC194" s="314">
        <v>0</v>
      </c>
      <c r="AD194" s="314">
        <v>805</v>
      </c>
      <c r="AE194" s="314">
        <v>12588</v>
      </c>
      <c r="AF194" s="314">
        <v>800</v>
      </c>
      <c r="AG194" s="314">
        <v>2914</v>
      </c>
      <c r="AH194" s="314">
        <v>1705</v>
      </c>
      <c r="AI194" s="314">
        <v>0</v>
      </c>
      <c r="AJ194" s="314">
        <v>2854</v>
      </c>
      <c r="AK194" s="314">
        <v>645</v>
      </c>
      <c r="AL194" s="314">
        <v>389</v>
      </c>
      <c r="AM194" s="314">
        <v>0</v>
      </c>
      <c r="AN194" s="314">
        <v>0</v>
      </c>
      <c r="AO194" s="314">
        <v>0</v>
      </c>
      <c r="AP194" s="314">
        <v>0</v>
      </c>
    </row>
    <row r="195" spans="1:42">
      <c r="A195" s="547">
        <f t="shared" si="2"/>
        <v>2002</v>
      </c>
      <c r="B195" s="578">
        <v>37287</v>
      </c>
      <c r="C195" s="314">
        <v>30271</v>
      </c>
      <c r="D195" s="314">
        <v>30005</v>
      </c>
      <c r="E195" s="314">
        <v>35186</v>
      </c>
      <c r="F195" s="314">
        <v>7510</v>
      </c>
      <c r="G195" s="314">
        <v>4783</v>
      </c>
      <c r="H195" s="314">
        <v>20372</v>
      </c>
      <c r="I195" s="314">
        <v>4984</v>
      </c>
      <c r="J195" s="314">
        <v>912</v>
      </c>
      <c r="K195" s="314">
        <v>0</v>
      </c>
      <c r="L195" s="314">
        <v>2057</v>
      </c>
      <c r="M195" s="314">
        <v>478</v>
      </c>
      <c r="N195" s="314">
        <v>1469</v>
      </c>
      <c r="O195" s="314">
        <v>0</v>
      </c>
      <c r="P195" s="314">
        <v>0</v>
      </c>
      <c r="Q195" s="314">
        <v>0</v>
      </c>
      <c r="R195" s="314">
        <v>0</v>
      </c>
      <c r="S195" s="314">
        <v>2055</v>
      </c>
      <c r="T195" s="314">
        <v>630</v>
      </c>
      <c r="U195" s="314">
        <v>2558</v>
      </c>
      <c r="V195" s="314">
        <v>0</v>
      </c>
      <c r="W195" s="314">
        <v>0</v>
      </c>
      <c r="X195" s="314">
        <v>3223</v>
      </c>
      <c r="Y195" s="314">
        <v>10400</v>
      </c>
      <c r="Z195" s="314">
        <v>1253</v>
      </c>
      <c r="AA195" s="314">
        <v>0</v>
      </c>
      <c r="AB195" s="314">
        <v>575</v>
      </c>
      <c r="AC195" s="314">
        <v>360</v>
      </c>
      <c r="AD195" s="314">
        <v>1065</v>
      </c>
      <c r="AE195" s="314">
        <v>23433</v>
      </c>
      <c r="AF195" s="314">
        <v>1900</v>
      </c>
      <c r="AG195" s="314">
        <v>15998</v>
      </c>
      <c r="AH195" s="314">
        <v>2338</v>
      </c>
      <c r="AI195" s="314">
        <v>0</v>
      </c>
      <c r="AJ195" s="314">
        <v>0</v>
      </c>
      <c r="AK195" s="314">
        <v>408</v>
      </c>
      <c r="AL195" s="314">
        <v>473</v>
      </c>
      <c r="AM195" s="314">
        <v>0</v>
      </c>
      <c r="AN195" s="314">
        <v>1248</v>
      </c>
      <c r="AO195" s="314">
        <v>0</v>
      </c>
      <c r="AP195" s="314">
        <v>0</v>
      </c>
    </row>
    <row r="196" spans="1:42">
      <c r="A196" s="547">
        <f t="shared" ref="A196:A259" si="3">YEAR($B196)</f>
        <v>2002</v>
      </c>
      <c r="B196" s="578">
        <v>37315</v>
      </c>
      <c r="C196" s="314">
        <v>39074</v>
      </c>
      <c r="D196" s="314">
        <v>10986</v>
      </c>
      <c r="E196" s="314">
        <v>35937</v>
      </c>
      <c r="F196" s="314">
        <v>12626</v>
      </c>
      <c r="G196" s="314">
        <v>9289</v>
      </c>
      <c r="H196" s="314">
        <v>290</v>
      </c>
      <c r="I196" s="314">
        <v>6589</v>
      </c>
      <c r="J196" s="314">
        <v>5103</v>
      </c>
      <c r="K196" s="314">
        <v>0</v>
      </c>
      <c r="L196" s="314">
        <v>343</v>
      </c>
      <c r="M196" s="314">
        <v>0</v>
      </c>
      <c r="N196" s="314">
        <v>340</v>
      </c>
      <c r="O196" s="314">
        <v>0</v>
      </c>
      <c r="P196" s="314">
        <v>784</v>
      </c>
      <c r="Q196" s="314">
        <v>0</v>
      </c>
      <c r="R196" s="314">
        <v>0</v>
      </c>
      <c r="S196" s="314">
        <v>0</v>
      </c>
      <c r="T196" s="314">
        <v>0</v>
      </c>
      <c r="U196" s="314">
        <v>284</v>
      </c>
      <c r="V196" s="314">
        <v>175</v>
      </c>
      <c r="W196" s="314">
        <v>19593</v>
      </c>
      <c r="X196" s="314">
        <v>2905</v>
      </c>
      <c r="Y196" s="314">
        <v>20070</v>
      </c>
      <c r="Z196" s="314">
        <v>4495</v>
      </c>
      <c r="AA196" s="314">
        <v>0</v>
      </c>
      <c r="AB196" s="314">
        <v>0</v>
      </c>
      <c r="AC196" s="314">
        <v>486</v>
      </c>
      <c r="AD196" s="314">
        <v>650</v>
      </c>
      <c r="AE196" s="314">
        <v>10192</v>
      </c>
      <c r="AF196" s="314">
        <v>5748</v>
      </c>
      <c r="AG196" s="314">
        <v>8058</v>
      </c>
      <c r="AH196" s="314">
        <v>1863</v>
      </c>
      <c r="AI196" s="314">
        <v>0</v>
      </c>
      <c r="AJ196" s="314">
        <v>308</v>
      </c>
      <c r="AK196" s="314">
        <v>450</v>
      </c>
      <c r="AL196" s="314">
        <v>0</v>
      </c>
      <c r="AM196" s="314">
        <v>0</v>
      </c>
      <c r="AN196" s="314">
        <v>608</v>
      </c>
      <c r="AO196" s="314">
        <v>0</v>
      </c>
      <c r="AP196" s="314">
        <v>0</v>
      </c>
    </row>
    <row r="197" spans="1:42">
      <c r="A197" s="547">
        <f t="shared" si="3"/>
        <v>2002</v>
      </c>
      <c r="B197" s="578">
        <v>37346</v>
      </c>
      <c r="C197" s="314">
        <v>41849</v>
      </c>
      <c r="D197" s="314">
        <v>10714</v>
      </c>
      <c r="E197" s="314">
        <v>19608</v>
      </c>
      <c r="F197" s="314">
        <v>25778</v>
      </c>
      <c r="G197" s="314">
        <v>3430</v>
      </c>
      <c r="H197" s="314">
        <v>623</v>
      </c>
      <c r="I197" s="314">
        <v>5346</v>
      </c>
      <c r="J197" s="314">
        <v>16742</v>
      </c>
      <c r="K197" s="314">
        <v>25</v>
      </c>
      <c r="L197" s="314">
        <v>77</v>
      </c>
      <c r="M197" s="314">
        <v>0</v>
      </c>
      <c r="N197" s="314">
        <v>491</v>
      </c>
      <c r="O197" s="314">
        <v>0</v>
      </c>
      <c r="P197" s="314">
        <v>0</v>
      </c>
      <c r="Q197" s="314">
        <v>0</v>
      </c>
      <c r="R197" s="314">
        <v>465</v>
      </c>
      <c r="S197" s="314">
        <v>0</v>
      </c>
      <c r="T197" s="314">
        <v>710</v>
      </c>
      <c r="U197" s="314">
        <v>808</v>
      </c>
      <c r="V197" s="314">
        <v>0</v>
      </c>
      <c r="W197" s="314">
        <v>24070</v>
      </c>
      <c r="X197" s="314">
        <v>3186</v>
      </c>
      <c r="Y197" s="314">
        <v>6901</v>
      </c>
      <c r="Z197" s="314">
        <v>2297</v>
      </c>
      <c r="AA197" s="314">
        <v>446</v>
      </c>
      <c r="AB197" s="314">
        <v>2967</v>
      </c>
      <c r="AC197" s="314">
        <v>551</v>
      </c>
      <c r="AD197" s="314">
        <v>578</v>
      </c>
      <c r="AE197" s="314">
        <v>13878</v>
      </c>
      <c r="AF197" s="314">
        <v>1015</v>
      </c>
      <c r="AG197" s="314">
        <v>6002</v>
      </c>
      <c r="AH197" s="314">
        <v>4340</v>
      </c>
      <c r="AI197" s="314">
        <v>0</v>
      </c>
      <c r="AJ197" s="314">
        <v>2136</v>
      </c>
      <c r="AK197" s="314">
        <v>0</v>
      </c>
      <c r="AL197" s="314">
        <v>865</v>
      </c>
      <c r="AM197" s="314">
        <v>0</v>
      </c>
      <c r="AN197" s="314">
        <v>0</v>
      </c>
      <c r="AO197" s="314">
        <v>0</v>
      </c>
      <c r="AP197" s="314">
        <v>0</v>
      </c>
    </row>
    <row r="198" spans="1:42">
      <c r="A198" s="547">
        <f t="shared" si="3"/>
        <v>2002</v>
      </c>
      <c r="B198" s="578">
        <v>37376</v>
      </c>
      <c r="C198" s="314">
        <v>72912</v>
      </c>
      <c r="D198" s="314">
        <v>23267</v>
      </c>
      <c r="E198" s="314">
        <v>43767</v>
      </c>
      <c r="F198" s="314">
        <v>12267</v>
      </c>
      <c r="G198" s="314">
        <v>22219</v>
      </c>
      <c r="H198" s="314">
        <v>10006</v>
      </c>
      <c r="I198" s="314">
        <v>14514</v>
      </c>
      <c r="J198" s="314">
        <v>4444</v>
      </c>
      <c r="K198" s="314">
        <v>551</v>
      </c>
      <c r="L198" s="314">
        <v>302</v>
      </c>
      <c r="M198" s="314">
        <v>0</v>
      </c>
      <c r="N198" s="314">
        <v>0</v>
      </c>
      <c r="O198" s="314">
        <v>0</v>
      </c>
      <c r="P198" s="314">
        <v>0</v>
      </c>
      <c r="Q198" s="314">
        <v>0</v>
      </c>
      <c r="R198" s="314">
        <v>157</v>
      </c>
      <c r="S198" s="314">
        <v>0</v>
      </c>
      <c r="T198" s="314">
        <v>564</v>
      </c>
      <c r="U198" s="314">
        <v>0</v>
      </c>
      <c r="V198" s="314">
        <v>3105</v>
      </c>
      <c r="W198" s="314">
        <v>12353</v>
      </c>
      <c r="X198" s="314">
        <v>9589</v>
      </c>
      <c r="Y198" s="314">
        <v>15395</v>
      </c>
      <c r="Z198" s="314">
        <v>4194</v>
      </c>
      <c r="AA198" s="314">
        <v>237</v>
      </c>
      <c r="AB198" s="314">
        <v>0</v>
      </c>
      <c r="AC198" s="314">
        <v>985</v>
      </c>
      <c r="AD198" s="314">
        <v>367</v>
      </c>
      <c r="AE198" s="314">
        <v>37552</v>
      </c>
      <c r="AF198" s="314">
        <v>2806</v>
      </c>
      <c r="AG198" s="314">
        <v>12873</v>
      </c>
      <c r="AH198" s="314">
        <v>0</v>
      </c>
      <c r="AI198" s="314">
        <v>0</v>
      </c>
      <c r="AJ198" s="314">
        <v>0</v>
      </c>
      <c r="AK198" s="314">
        <v>0</v>
      </c>
      <c r="AL198" s="314">
        <v>0</v>
      </c>
      <c r="AM198" s="314">
        <v>0</v>
      </c>
      <c r="AN198" s="314">
        <v>0</v>
      </c>
      <c r="AO198" s="314">
        <v>0</v>
      </c>
      <c r="AP198" s="314">
        <v>0</v>
      </c>
    </row>
    <row r="199" spans="1:42">
      <c r="A199" s="547">
        <f t="shared" si="3"/>
        <v>2002</v>
      </c>
      <c r="B199" s="578">
        <v>37407</v>
      </c>
      <c r="C199" s="314">
        <v>66774</v>
      </c>
      <c r="D199" s="314">
        <v>27420</v>
      </c>
      <c r="E199" s="314">
        <v>65728</v>
      </c>
      <c r="F199" s="314">
        <v>29731</v>
      </c>
      <c r="G199" s="314">
        <v>16884</v>
      </c>
      <c r="H199" s="314">
        <v>4869</v>
      </c>
      <c r="I199" s="314">
        <v>9674</v>
      </c>
      <c r="J199" s="314">
        <v>6581</v>
      </c>
      <c r="K199" s="314">
        <v>0</v>
      </c>
      <c r="L199" s="314">
        <v>0</v>
      </c>
      <c r="M199" s="314">
        <v>10304</v>
      </c>
      <c r="N199" s="314">
        <v>0</v>
      </c>
      <c r="O199" s="314">
        <v>0</v>
      </c>
      <c r="P199" s="314">
        <v>0</v>
      </c>
      <c r="Q199" s="314">
        <v>223</v>
      </c>
      <c r="R199" s="314">
        <v>379</v>
      </c>
      <c r="S199" s="314">
        <v>2368</v>
      </c>
      <c r="T199" s="314">
        <v>0</v>
      </c>
      <c r="U199" s="314">
        <v>0</v>
      </c>
      <c r="V199" s="314">
        <v>195</v>
      </c>
      <c r="W199" s="314">
        <v>9990</v>
      </c>
      <c r="X199" s="314">
        <v>8937</v>
      </c>
      <c r="Y199" s="314">
        <v>25285</v>
      </c>
      <c r="Z199" s="314">
        <v>1324</v>
      </c>
      <c r="AA199" s="314">
        <v>40</v>
      </c>
      <c r="AB199" s="314">
        <v>303</v>
      </c>
      <c r="AC199" s="314">
        <v>2062</v>
      </c>
      <c r="AD199" s="314">
        <v>902</v>
      </c>
      <c r="AE199" s="314">
        <v>36938</v>
      </c>
      <c r="AF199" s="314">
        <v>5680</v>
      </c>
      <c r="AG199" s="314">
        <v>17302</v>
      </c>
      <c r="AH199" s="314">
        <v>8564</v>
      </c>
      <c r="AI199" s="314">
        <v>460</v>
      </c>
      <c r="AJ199" s="314">
        <v>2639</v>
      </c>
      <c r="AK199" s="314">
        <v>376</v>
      </c>
      <c r="AL199" s="314">
        <v>11442</v>
      </c>
      <c r="AM199" s="314">
        <v>94</v>
      </c>
      <c r="AN199" s="314">
        <v>4992</v>
      </c>
      <c r="AO199" s="314">
        <v>502</v>
      </c>
      <c r="AP199" s="314">
        <v>344</v>
      </c>
    </row>
    <row r="200" spans="1:42">
      <c r="A200" s="547">
        <f t="shared" si="3"/>
        <v>2002</v>
      </c>
      <c r="B200" s="578">
        <v>37437</v>
      </c>
      <c r="C200" s="314">
        <v>23488</v>
      </c>
      <c r="D200" s="314">
        <v>29533</v>
      </c>
      <c r="E200" s="314">
        <v>87408</v>
      </c>
      <c r="F200" s="314">
        <v>19428</v>
      </c>
      <c r="G200" s="314">
        <v>10725</v>
      </c>
      <c r="H200" s="314">
        <v>11103</v>
      </c>
      <c r="I200" s="314">
        <v>43300</v>
      </c>
      <c r="J200" s="314">
        <v>15737</v>
      </c>
      <c r="K200" s="314">
        <v>0</v>
      </c>
      <c r="L200" s="314">
        <v>0</v>
      </c>
      <c r="M200" s="314">
        <v>0</v>
      </c>
      <c r="N200" s="314">
        <v>0</v>
      </c>
      <c r="O200" s="314">
        <v>0</v>
      </c>
      <c r="P200" s="314">
        <v>0</v>
      </c>
      <c r="Q200" s="314">
        <v>0</v>
      </c>
      <c r="R200" s="314">
        <v>0</v>
      </c>
      <c r="S200" s="314">
        <v>271</v>
      </c>
      <c r="T200" s="314">
        <v>0</v>
      </c>
      <c r="U200" s="314">
        <v>1020</v>
      </c>
      <c r="V200" s="314">
        <v>0</v>
      </c>
      <c r="W200" s="314">
        <v>4243</v>
      </c>
      <c r="X200" s="314">
        <v>3329</v>
      </c>
      <c r="Y200" s="314">
        <v>34064</v>
      </c>
      <c r="Z200" s="314">
        <v>1582</v>
      </c>
      <c r="AA200" s="314">
        <v>0</v>
      </c>
      <c r="AB200" s="314">
        <v>572</v>
      </c>
      <c r="AC200" s="314">
        <v>0</v>
      </c>
      <c r="AD200" s="314">
        <v>0</v>
      </c>
      <c r="AE200" s="314">
        <v>8249</v>
      </c>
      <c r="AF200" s="314">
        <v>13762</v>
      </c>
      <c r="AG200" s="314">
        <v>8324</v>
      </c>
      <c r="AH200" s="314">
        <v>1030</v>
      </c>
      <c r="AI200" s="314">
        <v>0</v>
      </c>
      <c r="AJ200" s="314">
        <v>0</v>
      </c>
      <c r="AK200" s="314">
        <v>700</v>
      </c>
      <c r="AL200" s="314">
        <v>1079</v>
      </c>
      <c r="AM200" s="314">
        <v>0</v>
      </c>
      <c r="AN200" s="314">
        <v>767</v>
      </c>
      <c r="AO200" s="314">
        <v>0</v>
      </c>
      <c r="AP200" s="314">
        <v>0</v>
      </c>
    </row>
    <row r="201" spans="1:42">
      <c r="A201" s="547">
        <f t="shared" si="3"/>
        <v>2002</v>
      </c>
      <c r="B201" s="578">
        <v>37468</v>
      </c>
      <c r="C201" s="314">
        <v>81504</v>
      </c>
      <c r="D201" s="314">
        <v>34343</v>
      </c>
      <c r="E201" s="314">
        <v>36887</v>
      </c>
      <c r="F201" s="314">
        <v>20959</v>
      </c>
      <c r="G201" s="314">
        <v>7388</v>
      </c>
      <c r="H201" s="314">
        <v>21079</v>
      </c>
      <c r="I201" s="314">
        <v>17488</v>
      </c>
      <c r="J201" s="314">
        <v>3493</v>
      </c>
      <c r="K201" s="314">
        <v>0</v>
      </c>
      <c r="L201" s="314">
        <v>0</v>
      </c>
      <c r="M201" s="314">
        <v>457</v>
      </c>
      <c r="N201" s="314">
        <v>570</v>
      </c>
      <c r="O201" s="314">
        <v>0</v>
      </c>
      <c r="P201" s="314">
        <v>0</v>
      </c>
      <c r="Q201" s="314">
        <v>800</v>
      </c>
      <c r="R201" s="314">
        <v>0</v>
      </c>
      <c r="S201" s="314">
        <v>410</v>
      </c>
      <c r="T201" s="314">
        <v>37</v>
      </c>
      <c r="U201" s="314">
        <v>563</v>
      </c>
      <c r="V201" s="314">
        <v>6596</v>
      </c>
      <c r="W201" s="314">
        <v>4540</v>
      </c>
      <c r="X201" s="314">
        <v>9045</v>
      </c>
      <c r="Y201" s="314">
        <v>2743</v>
      </c>
      <c r="Z201" s="314">
        <v>4435</v>
      </c>
      <c r="AA201" s="314">
        <v>0</v>
      </c>
      <c r="AB201" s="314">
        <v>0</v>
      </c>
      <c r="AC201" s="314">
        <v>767</v>
      </c>
      <c r="AD201" s="314">
        <v>0</v>
      </c>
      <c r="AE201" s="314">
        <v>68844</v>
      </c>
      <c r="AF201" s="314">
        <v>2593</v>
      </c>
      <c r="AG201" s="314">
        <v>13952</v>
      </c>
      <c r="AH201" s="314">
        <v>5662</v>
      </c>
      <c r="AI201" s="314">
        <v>0</v>
      </c>
      <c r="AJ201" s="314">
        <v>673</v>
      </c>
      <c r="AK201" s="314">
        <v>117</v>
      </c>
      <c r="AL201" s="314">
        <v>0</v>
      </c>
      <c r="AM201" s="314">
        <v>322</v>
      </c>
      <c r="AN201" s="314">
        <v>916</v>
      </c>
      <c r="AO201" s="314">
        <v>0</v>
      </c>
      <c r="AP201" s="314">
        <v>203</v>
      </c>
    </row>
    <row r="202" spans="1:42">
      <c r="A202" s="547">
        <f t="shared" si="3"/>
        <v>2002</v>
      </c>
      <c r="B202" s="578">
        <v>37499</v>
      </c>
      <c r="C202" s="314">
        <v>13805</v>
      </c>
      <c r="D202" s="314">
        <v>9548</v>
      </c>
      <c r="E202" s="314">
        <v>31550</v>
      </c>
      <c r="F202" s="314">
        <v>10350</v>
      </c>
      <c r="G202" s="314">
        <v>691</v>
      </c>
      <c r="H202" s="314">
        <v>256</v>
      </c>
      <c r="I202" s="314">
        <v>12666</v>
      </c>
      <c r="J202" s="314">
        <v>6761</v>
      </c>
      <c r="K202" s="314">
        <v>868</v>
      </c>
      <c r="L202" s="314">
        <v>0</v>
      </c>
      <c r="M202" s="314">
        <v>0</v>
      </c>
      <c r="N202" s="314">
        <v>0</v>
      </c>
      <c r="O202" s="314">
        <v>0</v>
      </c>
      <c r="P202" s="314">
        <v>0</v>
      </c>
      <c r="Q202" s="314">
        <v>0</v>
      </c>
      <c r="R202" s="314">
        <v>0</v>
      </c>
      <c r="S202" s="314">
        <v>0</v>
      </c>
      <c r="T202" s="314">
        <v>0</v>
      </c>
      <c r="U202" s="314">
        <v>0</v>
      </c>
      <c r="V202" s="314">
        <v>132</v>
      </c>
      <c r="W202" s="314">
        <v>4773</v>
      </c>
      <c r="X202" s="314">
        <v>1730</v>
      </c>
      <c r="Y202" s="314">
        <v>13243</v>
      </c>
      <c r="Z202" s="314">
        <v>1182</v>
      </c>
      <c r="AA202" s="314">
        <v>3020</v>
      </c>
      <c r="AB202" s="314">
        <v>767</v>
      </c>
      <c r="AC202" s="314">
        <v>0</v>
      </c>
      <c r="AD202" s="314">
        <v>429</v>
      </c>
      <c r="AE202" s="314">
        <v>4453</v>
      </c>
      <c r="AF202" s="314">
        <v>6379</v>
      </c>
      <c r="AG202" s="314">
        <v>4864</v>
      </c>
      <c r="AH202" s="314">
        <v>1846</v>
      </c>
      <c r="AI202" s="314">
        <v>0</v>
      </c>
      <c r="AJ202" s="314">
        <v>416</v>
      </c>
      <c r="AK202" s="314">
        <v>777</v>
      </c>
      <c r="AL202" s="314">
        <v>0</v>
      </c>
      <c r="AM202" s="314">
        <v>0</v>
      </c>
      <c r="AN202" s="314">
        <v>0</v>
      </c>
      <c r="AO202" s="314">
        <v>0</v>
      </c>
      <c r="AP202" s="314">
        <v>0</v>
      </c>
    </row>
    <row r="203" spans="1:42">
      <c r="A203" s="547">
        <f t="shared" si="3"/>
        <v>2002</v>
      </c>
      <c r="B203" s="578">
        <v>37529</v>
      </c>
      <c r="C203" s="314">
        <v>22440</v>
      </c>
      <c r="D203" s="314">
        <v>37651</v>
      </c>
      <c r="E203" s="314">
        <v>45288</v>
      </c>
      <c r="F203" s="314">
        <v>16340</v>
      </c>
      <c r="G203" s="314">
        <v>7109</v>
      </c>
      <c r="H203" s="314">
        <v>900</v>
      </c>
      <c r="I203" s="314">
        <v>10615</v>
      </c>
      <c r="J203" s="314">
        <v>4298</v>
      </c>
      <c r="K203" s="314">
        <v>0</v>
      </c>
      <c r="L203" s="314">
        <v>665</v>
      </c>
      <c r="M203" s="314">
        <v>15855</v>
      </c>
      <c r="N203" s="314">
        <v>0</v>
      </c>
      <c r="O203" s="314">
        <v>0</v>
      </c>
      <c r="P203" s="314">
        <v>0</v>
      </c>
      <c r="Q203" s="314">
        <v>549</v>
      </c>
      <c r="R203" s="314">
        <v>0</v>
      </c>
      <c r="S203" s="314">
        <v>0</v>
      </c>
      <c r="T203" s="314">
        <v>1815</v>
      </c>
      <c r="U203" s="314">
        <v>0</v>
      </c>
      <c r="V203" s="314">
        <v>3333</v>
      </c>
      <c r="W203" s="314">
        <v>1401</v>
      </c>
      <c r="X203" s="314">
        <v>28042</v>
      </c>
      <c r="Y203" s="314">
        <v>10696</v>
      </c>
      <c r="Z203" s="314">
        <v>2342</v>
      </c>
      <c r="AA203" s="314">
        <v>1020</v>
      </c>
      <c r="AB203" s="314">
        <v>0</v>
      </c>
      <c r="AC203" s="314">
        <v>42</v>
      </c>
      <c r="AD203" s="314">
        <v>304</v>
      </c>
      <c r="AE203" s="314">
        <v>10401</v>
      </c>
      <c r="AF203" s="314">
        <v>6229</v>
      </c>
      <c r="AG203" s="314">
        <v>5839</v>
      </c>
      <c r="AH203" s="314">
        <v>5599</v>
      </c>
      <c r="AI203" s="314">
        <v>2509</v>
      </c>
      <c r="AJ203" s="314">
        <v>0</v>
      </c>
      <c r="AK203" s="314">
        <v>1143</v>
      </c>
      <c r="AL203" s="314">
        <v>464</v>
      </c>
      <c r="AM203" s="314">
        <v>0</v>
      </c>
      <c r="AN203" s="314">
        <v>0</v>
      </c>
      <c r="AO203" s="314">
        <v>549</v>
      </c>
      <c r="AP203" s="314">
        <v>0</v>
      </c>
    </row>
    <row r="204" spans="1:42">
      <c r="A204" s="547">
        <f t="shared" si="3"/>
        <v>2002</v>
      </c>
      <c r="B204" s="578">
        <v>37560</v>
      </c>
      <c r="C204" s="314">
        <v>31432</v>
      </c>
      <c r="D204" s="314">
        <v>23818</v>
      </c>
      <c r="E204" s="314">
        <v>41932</v>
      </c>
      <c r="F204" s="314">
        <v>14808</v>
      </c>
      <c r="G204" s="314">
        <v>4757</v>
      </c>
      <c r="H204" s="314">
        <v>8139</v>
      </c>
      <c r="I204" s="314">
        <v>8224</v>
      </c>
      <c r="J204" s="314">
        <v>4885</v>
      </c>
      <c r="K204" s="314">
        <v>316</v>
      </c>
      <c r="L204" s="314">
        <v>1203</v>
      </c>
      <c r="M204" s="314">
        <v>4092</v>
      </c>
      <c r="N204" s="314">
        <v>724</v>
      </c>
      <c r="O204" s="314">
        <v>0</v>
      </c>
      <c r="P204" s="314">
        <v>0</v>
      </c>
      <c r="Q204" s="314">
        <v>0</v>
      </c>
      <c r="R204" s="314">
        <v>0</v>
      </c>
      <c r="S204" s="314">
        <v>0</v>
      </c>
      <c r="T204" s="314">
        <v>182</v>
      </c>
      <c r="U204" s="314">
        <v>0</v>
      </c>
      <c r="V204" s="314">
        <v>1273</v>
      </c>
      <c r="W204" s="314">
        <v>1022</v>
      </c>
      <c r="X204" s="314">
        <v>5851</v>
      </c>
      <c r="Y204" s="314">
        <v>8900</v>
      </c>
      <c r="Z204" s="314">
        <v>2692</v>
      </c>
      <c r="AA204" s="314">
        <v>118</v>
      </c>
      <c r="AB204" s="314">
        <v>733</v>
      </c>
      <c r="AC204" s="314">
        <v>542</v>
      </c>
      <c r="AD204" s="314">
        <v>684</v>
      </c>
      <c r="AE204" s="314">
        <v>25219</v>
      </c>
      <c r="AF204" s="314">
        <v>5877</v>
      </c>
      <c r="AG204" s="314">
        <v>17991</v>
      </c>
      <c r="AH204" s="314">
        <v>4019</v>
      </c>
      <c r="AI204" s="314">
        <v>0</v>
      </c>
      <c r="AJ204" s="314">
        <v>1833</v>
      </c>
      <c r="AK204" s="314">
        <v>2183</v>
      </c>
      <c r="AL204" s="314">
        <v>531</v>
      </c>
      <c r="AM204" s="314">
        <v>0</v>
      </c>
      <c r="AN204" s="314">
        <v>0</v>
      </c>
      <c r="AO204" s="314">
        <v>0</v>
      </c>
      <c r="AP204" s="314">
        <v>0</v>
      </c>
    </row>
    <row r="205" spans="1:42">
      <c r="A205" s="547">
        <f t="shared" si="3"/>
        <v>2002</v>
      </c>
      <c r="B205" s="578">
        <v>37590</v>
      </c>
      <c r="C205" s="314">
        <v>109520</v>
      </c>
      <c r="D205" s="314">
        <v>16928</v>
      </c>
      <c r="E205" s="314">
        <v>36517</v>
      </c>
      <c r="F205" s="314">
        <v>17726</v>
      </c>
      <c r="G205" s="314">
        <v>9187</v>
      </c>
      <c r="H205" s="314">
        <v>4111</v>
      </c>
      <c r="I205" s="314">
        <v>8378</v>
      </c>
      <c r="J205" s="314">
        <v>2429</v>
      </c>
      <c r="K205" s="314">
        <v>3934</v>
      </c>
      <c r="L205" s="314">
        <v>496</v>
      </c>
      <c r="M205" s="314">
        <v>5006</v>
      </c>
      <c r="N205" s="314">
        <v>1238</v>
      </c>
      <c r="O205" s="314">
        <v>0</v>
      </c>
      <c r="P205" s="314">
        <v>0</v>
      </c>
      <c r="Q205" s="314">
        <v>0</v>
      </c>
      <c r="R205" s="314">
        <v>0</v>
      </c>
      <c r="S205" s="314">
        <v>5031</v>
      </c>
      <c r="T205" s="314">
        <v>7429</v>
      </c>
      <c r="U205" s="314">
        <v>2479</v>
      </c>
      <c r="V205" s="314">
        <v>0</v>
      </c>
      <c r="W205" s="314">
        <v>7587</v>
      </c>
      <c r="X205" s="314">
        <v>1960</v>
      </c>
      <c r="Y205" s="314">
        <v>978</v>
      </c>
      <c r="Z205" s="314">
        <v>5569</v>
      </c>
      <c r="AA205" s="314">
        <v>0</v>
      </c>
      <c r="AB205" s="314">
        <v>2419</v>
      </c>
      <c r="AC205" s="314">
        <v>0</v>
      </c>
      <c r="AD205" s="314">
        <v>0</v>
      </c>
      <c r="AE205" s="314">
        <v>83781</v>
      </c>
      <c r="AF205" s="314">
        <v>513</v>
      </c>
      <c r="AG205" s="314">
        <v>17916</v>
      </c>
      <c r="AH205" s="314">
        <v>8296</v>
      </c>
      <c r="AI205" s="314">
        <v>0</v>
      </c>
      <c r="AJ205" s="314">
        <v>0</v>
      </c>
      <c r="AK205" s="314">
        <v>1488</v>
      </c>
      <c r="AL205" s="314">
        <v>0</v>
      </c>
      <c r="AM205" s="314">
        <v>0</v>
      </c>
      <c r="AN205" s="314">
        <v>0</v>
      </c>
      <c r="AO205" s="314">
        <v>272</v>
      </c>
      <c r="AP205" s="314">
        <v>194</v>
      </c>
    </row>
    <row r="206" spans="1:42">
      <c r="A206" s="547">
        <f t="shared" si="3"/>
        <v>2002</v>
      </c>
      <c r="B206" s="578">
        <v>37621</v>
      </c>
      <c r="C206" s="314">
        <v>66391</v>
      </c>
      <c r="D206" s="314">
        <v>27059</v>
      </c>
      <c r="E206" s="314">
        <v>102892</v>
      </c>
      <c r="F206" s="314">
        <v>44155</v>
      </c>
      <c r="G206" s="314">
        <v>5903</v>
      </c>
      <c r="H206" s="314">
        <v>3461</v>
      </c>
      <c r="I206" s="314">
        <v>14135</v>
      </c>
      <c r="J206" s="314">
        <v>23432</v>
      </c>
      <c r="K206" s="314">
        <v>640</v>
      </c>
      <c r="L206" s="314">
        <v>3928</v>
      </c>
      <c r="M206" s="314">
        <v>1333</v>
      </c>
      <c r="N206" s="314">
        <v>0</v>
      </c>
      <c r="O206" s="314">
        <v>0</v>
      </c>
      <c r="P206" s="314">
        <v>0</v>
      </c>
      <c r="Q206" s="314">
        <v>0</v>
      </c>
      <c r="R206" s="314">
        <v>128</v>
      </c>
      <c r="S206" s="314">
        <v>0</v>
      </c>
      <c r="T206" s="314">
        <v>650</v>
      </c>
      <c r="U206" s="314">
        <v>333</v>
      </c>
      <c r="V206" s="314">
        <v>0</v>
      </c>
      <c r="W206" s="314">
        <v>4201</v>
      </c>
      <c r="X206" s="314">
        <v>37</v>
      </c>
      <c r="Y206" s="314">
        <v>18672</v>
      </c>
      <c r="Z206" s="314">
        <v>11349</v>
      </c>
      <c r="AA206" s="314">
        <v>1848</v>
      </c>
      <c r="AB206" s="314">
        <v>7741</v>
      </c>
      <c r="AC206" s="314">
        <v>7965</v>
      </c>
      <c r="AD206" s="314">
        <v>1620</v>
      </c>
      <c r="AE206" s="314">
        <v>53799</v>
      </c>
      <c r="AF206" s="314">
        <v>9671</v>
      </c>
      <c r="AG206" s="314">
        <v>59302</v>
      </c>
      <c r="AH206" s="314">
        <v>7626</v>
      </c>
      <c r="AI206" s="314">
        <v>0</v>
      </c>
      <c r="AJ206" s="314">
        <v>1571</v>
      </c>
      <c r="AK206" s="314">
        <v>1152</v>
      </c>
      <c r="AL206" s="314">
        <v>0</v>
      </c>
      <c r="AM206" s="314">
        <v>0</v>
      </c>
      <c r="AN206" s="314">
        <v>0</v>
      </c>
      <c r="AO206" s="314">
        <v>0</v>
      </c>
      <c r="AP206" s="314">
        <v>0</v>
      </c>
    </row>
    <row r="207" spans="1:42">
      <c r="A207" s="547">
        <f t="shared" si="3"/>
        <v>2003</v>
      </c>
      <c r="B207" s="578">
        <v>37652</v>
      </c>
      <c r="C207" s="314">
        <v>43536</v>
      </c>
      <c r="D207" s="314">
        <v>17660</v>
      </c>
      <c r="E207" s="314">
        <v>44635</v>
      </c>
      <c r="F207" s="314">
        <v>12249</v>
      </c>
      <c r="G207" s="314">
        <v>29809</v>
      </c>
      <c r="H207" s="314">
        <v>610</v>
      </c>
      <c r="I207" s="314">
        <v>17632</v>
      </c>
      <c r="J207" s="314">
        <v>3216</v>
      </c>
      <c r="K207" s="314">
        <v>0</v>
      </c>
      <c r="L207" s="314">
        <v>468</v>
      </c>
      <c r="M207" s="314">
        <v>1621</v>
      </c>
      <c r="N207" s="314">
        <v>607</v>
      </c>
      <c r="O207" s="314">
        <v>0</v>
      </c>
      <c r="P207" s="314">
        <v>0</v>
      </c>
      <c r="Q207" s="314">
        <v>0</v>
      </c>
      <c r="R207" s="314">
        <v>125</v>
      </c>
      <c r="S207" s="314">
        <v>0</v>
      </c>
      <c r="T207" s="314">
        <v>1724</v>
      </c>
      <c r="U207" s="314">
        <v>0</v>
      </c>
      <c r="V207" s="314">
        <v>0</v>
      </c>
      <c r="W207" s="314">
        <v>3735</v>
      </c>
      <c r="X207" s="314">
        <v>1515</v>
      </c>
      <c r="Y207" s="314">
        <v>15726</v>
      </c>
      <c r="Z207" s="314">
        <v>1046</v>
      </c>
      <c r="AA207" s="314">
        <v>0</v>
      </c>
      <c r="AB207" s="314">
        <v>0</v>
      </c>
      <c r="AC207" s="314">
        <v>2716</v>
      </c>
      <c r="AD207" s="314">
        <v>1460</v>
      </c>
      <c r="AE207" s="314">
        <v>9992</v>
      </c>
      <c r="AF207" s="314">
        <v>730</v>
      </c>
      <c r="AG207" s="314">
        <v>5426</v>
      </c>
      <c r="AH207" s="314">
        <v>5353</v>
      </c>
      <c r="AI207" s="314">
        <v>0</v>
      </c>
      <c r="AJ207" s="314">
        <v>12613</v>
      </c>
      <c r="AK207" s="314">
        <v>1101</v>
      </c>
      <c r="AL207" s="314">
        <v>0</v>
      </c>
      <c r="AM207" s="314">
        <v>0</v>
      </c>
      <c r="AN207" s="314">
        <v>0</v>
      </c>
      <c r="AO207" s="314">
        <v>413</v>
      </c>
      <c r="AP207" s="314">
        <v>442</v>
      </c>
    </row>
    <row r="208" spans="1:42">
      <c r="A208" s="547">
        <f t="shared" si="3"/>
        <v>2003</v>
      </c>
      <c r="B208" s="578">
        <v>37680</v>
      </c>
      <c r="C208" s="314">
        <v>35638</v>
      </c>
      <c r="D208" s="314">
        <v>19594</v>
      </c>
      <c r="E208" s="314">
        <v>46300</v>
      </c>
      <c r="F208" s="314">
        <v>12518</v>
      </c>
      <c r="G208" s="314">
        <v>9157</v>
      </c>
      <c r="H208" s="314">
        <v>5862</v>
      </c>
      <c r="I208" s="314">
        <v>21604</v>
      </c>
      <c r="J208" s="314">
        <v>3844</v>
      </c>
      <c r="K208" s="314">
        <v>0</v>
      </c>
      <c r="L208" s="314">
        <v>822</v>
      </c>
      <c r="M208" s="314">
        <v>1911</v>
      </c>
      <c r="N208" s="314">
        <v>917</v>
      </c>
      <c r="O208" s="314">
        <v>0</v>
      </c>
      <c r="P208" s="314">
        <v>0</v>
      </c>
      <c r="Q208" s="314">
        <v>0</v>
      </c>
      <c r="R208" s="314">
        <v>0</v>
      </c>
      <c r="S208" s="314">
        <v>62</v>
      </c>
      <c r="T208" s="314">
        <v>180</v>
      </c>
      <c r="U208" s="314">
        <v>0</v>
      </c>
      <c r="V208" s="314">
        <v>0</v>
      </c>
      <c r="W208" s="314">
        <v>3100</v>
      </c>
      <c r="X208" s="314">
        <v>5566</v>
      </c>
      <c r="Y208" s="314">
        <v>4446</v>
      </c>
      <c r="Z208" s="314">
        <v>4037</v>
      </c>
      <c r="AA208" s="314">
        <v>0</v>
      </c>
      <c r="AB208" s="314">
        <v>758</v>
      </c>
      <c r="AC208" s="314">
        <v>956</v>
      </c>
      <c r="AD208" s="314">
        <v>360</v>
      </c>
      <c r="AE208" s="314">
        <v>23319</v>
      </c>
      <c r="AF208" s="314">
        <v>5206</v>
      </c>
      <c r="AG208" s="314">
        <v>10076</v>
      </c>
      <c r="AH208" s="314">
        <v>3360</v>
      </c>
      <c r="AI208" s="314">
        <v>0</v>
      </c>
      <c r="AJ208" s="314">
        <v>1200</v>
      </c>
      <c r="AK208" s="314">
        <v>7307</v>
      </c>
      <c r="AL208" s="314">
        <v>0</v>
      </c>
      <c r="AM208" s="314">
        <v>0</v>
      </c>
      <c r="AN208" s="314">
        <v>0</v>
      </c>
      <c r="AO208" s="314">
        <v>0</v>
      </c>
      <c r="AP208" s="314">
        <v>0</v>
      </c>
    </row>
    <row r="209" spans="1:42">
      <c r="A209" s="547">
        <f t="shared" si="3"/>
        <v>2003</v>
      </c>
      <c r="B209" s="578">
        <v>37711</v>
      </c>
      <c r="C209" s="314">
        <v>38541</v>
      </c>
      <c r="D209" s="314">
        <v>38494</v>
      </c>
      <c r="E209" s="314">
        <v>100810</v>
      </c>
      <c r="F209" s="314">
        <v>15256</v>
      </c>
      <c r="G209" s="314">
        <v>20463</v>
      </c>
      <c r="H209" s="314">
        <v>5234</v>
      </c>
      <c r="I209" s="314">
        <v>13966</v>
      </c>
      <c r="J209" s="314">
        <v>3531</v>
      </c>
      <c r="K209" s="314">
        <v>0</v>
      </c>
      <c r="L209" s="314">
        <v>1653</v>
      </c>
      <c r="M209" s="314">
        <v>0</v>
      </c>
      <c r="N209" s="314">
        <v>204</v>
      </c>
      <c r="O209" s="314">
        <v>0</v>
      </c>
      <c r="P209" s="314">
        <v>0</v>
      </c>
      <c r="Q209" s="314">
        <v>0</v>
      </c>
      <c r="R209" s="314">
        <v>0</v>
      </c>
      <c r="S209" s="314">
        <v>38</v>
      </c>
      <c r="T209" s="314">
        <v>3012</v>
      </c>
      <c r="U209" s="314">
        <v>6439</v>
      </c>
      <c r="V209" s="314">
        <v>2799</v>
      </c>
      <c r="W209" s="314">
        <v>2771</v>
      </c>
      <c r="X209" s="314">
        <v>6793</v>
      </c>
      <c r="Y209" s="314">
        <v>17720</v>
      </c>
      <c r="Z209" s="314">
        <v>1602</v>
      </c>
      <c r="AA209" s="314">
        <v>1669</v>
      </c>
      <c r="AB209" s="314">
        <v>2043</v>
      </c>
      <c r="AC209" s="314">
        <v>0</v>
      </c>
      <c r="AD209" s="314">
        <v>2161</v>
      </c>
      <c r="AE209" s="314">
        <v>11303</v>
      </c>
      <c r="AF209" s="314">
        <v>18877</v>
      </c>
      <c r="AG209" s="314">
        <v>58572</v>
      </c>
      <c r="AH209" s="314">
        <v>4959</v>
      </c>
      <c r="AI209" s="314">
        <v>2297</v>
      </c>
      <c r="AJ209" s="314">
        <v>195</v>
      </c>
      <c r="AK209" s="314">
        <v>4113</v>
      </c>
      <c r="AL209" s="314">
        <v>0</v>
      </c>
      <c r="AM209" s="314">
        <v>0</v>
      </c>
      <c r="AN209" s="314">
        <v>687</v>
      </c>
      <c r="AO209" s="314">
        <v>0</v>
      </c>
      <c r="AP209" s="314">
        <v>0</v>
      </c>
    </row>
    <row r="210" spans="1:42">
      <c r="A210" s="547">
        <f t="shared" si="3"/>
        <v>2003</v>
      </c>
      <c r="B210" s="578">
        <v>37741</v>
      </c>
      <c r="C210" s="314">
        <v>76234</v>
      </c>
      <c r="D210" s="314">
        <v>40772</v>
      </c>
      <c r="E210" s="314">
        <v>33531</v>
      </c>
      <c r="F210" s="314">
        <v>110324</v>
      </c>
      <c r="G210" s="314">
        <v>2493</v>
      </c>
      <c r="H210" s="314">
        <v>4772</v>
      </c>
      <c r="I210" s="314">
        <v>8061</v>
      </c>
      <c r="J210" s="314">
        <v>3999</v>
      </c>
      <c r="K210" s="314">
        <v>0</v>
      </c>
      <c r="L210" s="314">
        <v>0</v>
      </c>
      <c r="M210" s="314">
        <v>1863</v>
      </c>
      <c r="N210" s="314">
        <v>496</v>
      </c>
      <c r="O210" s="314">
        <v>0</v>
      </c>
      <c r="P210" s="314">
        <v>0</v>
      </c>
      <c r="Q210" s="314">
        <v>0</v>
      </c>
      <c r="R210" s="314">
        <v>0</v>
      </c>
      <c r="S210" s="314">
        <v>5630</v>
      </c>
      <c r="T210" s="314">
        <v>213</v>
      </c>
      <c r="U210" s="314">
        <v>0</v>
      </c>
      <c r="V210" s="314">
        <v>0</v>
      </c>
      <c r="W210" s="314">
        <v>2772</v>
      </c>
      <c r="X210" s="314">
        <v>2065</v>
      </c>
      <c r="Y210" s="314">
        <v>5061</v>
      </c>
      <c r="Z210" s="314">
        <v>2000</v>
      </c>
      <c r="AA210" s="314">
        <v>3600</v>
      </c>
      <c r="AB210" s="314">
        <v>563</v>
      </c>
      <c r="AC210" s="314">
        <v>0</v>
      </c>
      <c r="AD210" s="314">
        <v>875</v>
      </c>
      <c r="AE210" s="314">
        <v>61739</v>
      </c>
      <c r="AF210" s="314">
        <v>32416</v>
      </c>
      <c r="AG210" s="314">
        <v>16629</v>
      </c>
      <c r="AH210" s="314">
        <v>102954</v>
      </c>
      <c r="AI210" s="314">
        <v>0</v>
      </c>
      <c r="AJ210" s="314">
        <v>586</v>
      </c>
      <c r="AK210" s="314">
        <v>1917</v>
      </c>
      <c r="AL210" s="314">
        <v>0</v>
      </c>
      <c r="AM210" s="314">
        <v>0</v>
      </c>
      <c r="AN210" s="314">
        <v>157</v>
      </c>
      <c r="AO210" s="314">
        <v>0</v>
      </c>
      <c r="AP210" s="314">
        <v>0</v>
      </c>
    </row>
    <row r="211" spans="1:42">
      <c r="A211" s="547">
        <f t="shared" si="3"/>
        <v>2003</v>
      </c>
      <c r="B211" s="578">
        <v>37772</v>
      </c>
      <c r="C211" s="314">
        <v>80065</v>
      </c>
      <c r="D211" s="314">
        <v>39441</v>
      </c>
      <c r="E211" s="314">
        <v>31088</v>
      </c>
      <c r="F211" s="314">
        <v>150605</v>
      </c>
      <c r="G211" s="314">
        <v>19831</v>
      </c>
      <c r="H211" s="314">
        <v>4949</v>
      </c>
      <c r="I211" s="314">
        <v>16227</v>
      </c>
      <c r="J211" s="314">
        <v>16835</v>
      </c>
      <c r="K211" s="314">
        <v>0</v>
      </c>
      <c r="L211" s="314">
        <v>0</v>
      </c>
      <c r="M211" s="314">
        <v>2260</v>
      </c>
      <c r="N211" s="314">
        <v>1615</v>
      </c>
      <c r="O211" s="314">
        <v>0</v>
      </c>
      <c r="P211" s="314">
        <v>3333</v>
      </c>
      <c r="Q211" s="314">
        <v>1017</v>
      </c>
      <c r="R211" s="314">
        <v>0</v>
      </c>
      <c r="S211" s="314">
        <v>0</v>
      </c>
      <c r="T211" s="314">
        <v>5778</v>
      </c>
      <c r="U211" s="314">
        <v>0</v>
      </c>
      <c r="V211" s="314">
        <v>0</v>
      </c>
      <c r="W211" s="314">
        <v>500</v>
      </c>
      <c r="X211" s="314">
        <v>16652</v>
      </c>
      <c r="Y211" s="314">
        <v>5376</v>
      </c>
      <c r="Z211" s="314">
        <v>3349</v>
      </c>
      <c r="AA211" s="314">
        <v>191</v>
      </c>
      <c r="AB211" s="314">
        <v>0</v>
      </c>
      <c r="AC211" s="314">
        <v>0</v>
      </c>
      <c r="AD211" s="314">
        <v>2470</v>
      </c>
      <c r="AE211" s="314">
        <v>59543</v>
      </c>
      <c r="AF211" s="314">
        <v>8049</v>
      </c>
      <c r="AG211" s="314">
        <v>5123</v>
      </c>
      <c r="AH211" s="314">
        <v>126336</v>
      </c>
      <c r="AI211" s="314">
        <v>0</v>
      </c>
      <c r="AJ211" s="314">
        <v>0</v>
      </c>
      <c r="AK211" s="314">
        <v>385</v>
      </c>
      <c r="AL211" s="314">
        <v>0</v>
      </c>
      <c r="AM211" s="314">
        <v>0</v>
      </c>
      <c r="AN211" s="314">
        <v>680</v>
      </c>
      <c r="AO211" s="314">
        <v>700</v>
      </c>
      <c r="AP211" s="314">
        <v>0</v>
      </c>
    </row>
    <row r="212" spans="1:42">
      <c r="A212" s="547">
        <f t="shared" si="3"/>
        <v>2003</v>
      </c>
      <c r="B212" s="578">
        <v>37802</v>
      </c>
      <c r="C212" s="314">
        <v>37040</v>
      </c>
      <c r="D212" s="314">
        <v>4439</v>
      </c>
      <c r="E212" s="314">
        <v>38904</v>
      </c>
      <c r="F212" s="314">
        <v>20291</v>
      </c>
      <c r="G212" s="314">
        <v>11017</v>
      </c>
      <c r="H212" s="314">
        <v>772</v>
      </c>
      <c r="I212" s="314">
        <v>19376</v>
      </c>
      <c r="J212" s="314">
        <v>5048</v>
      </c>
      <c r="K212" s="314">
        <v>160</v>
      </c>
      <c r="L212" s="314">
        <v>1286</v>
      </c>
      <c r="M212" s="314">
        <v>5548</v>
      </c>
      <c r="N212" s="314">
        <v>2690</v>
      </c>
      <c r="O212" s="314">
        <v>0</v>
      </c>
      <c r="P212" s="314">
        <v>0</v>
      </c>
      <c r="Q212" s="314">
        <v>0</v>
      </c>
      <c r="R212" s="314">
        <v>0</v>
      </c>
      <c r="S212" s="314">
        <v>0</v>
      </c>
      <c r="T212" s="314">
        <v>84</v>
      </c>
      <c r="U212" s="314">
        <v>2225</v>
      </c>
      <c r="V212" s="314">
        <v>441</v>
      </c>
      <c r="W212" s="314">
        <v>678</v>
      </c>
      <c r="X212" s="314">
        <v>272</v>
      </c>
      <c r="Y212" s="314">
        <v>7330</v>
      </c>
      <c r="Z212" s="314">
        <v>4726</v>
      </c>
      <c r="AA212" s="314">
        <v>2232</v>
      </c>
      <c r="AB212" s="314">
        <v>634</v>
      </c>
      <c r="AC212" s="314">
        <v>390</v>
      </c>
      <c r="AD212" s="314">
        <v>16</v>
      </c>
      <c r="AE212" s="314">
        <v>22766</v>
      </c>
      <c r="AF212" s="314">
        <v>1071</v>
      </c>
      <c r="AG212" s="314">
        <v>3774</v>
      </c>
      <c r="AH212" s="314">
        <v>7219</v>
      </c>
      <c r="AI212" s="314">
        <v>0</v>
      </c>
      <c r="AJ212" s="314">
        <v>0</v>
      </c>
      <c r="AK212" s="314">
        <v>261</v>
      </c>
      <c r="AL212" s="314">
        <v>0</v>
      </c>
      <c r="AM212" s="314">
        <v>187</v>
      </c>
      <c r="AN212" s="314">
        <v>320</v>
      </c>
      <c r="AO212" s="314">
        <v>0</v>
      </c>
      <c r="AP212" s="314">
        <v>151</v>
      </c>
    </row>
    <row r="213" spans="1:42">
      <c r="A213" s="547">
        <f t="shared" si="3"/>
        <v>2003</v>
      </c>
      <c r="B213" s="578">
        <v>37833</v>
      </c>
      <c r="C213" s="314">
        <v>28361</v>
      </c>
      <c r="D213" s="314">
        <v>51045</v>
      </c>
      <c r="E213" s="314">
        <v>21995</v>
      </c>
      <c r="F213" s="314">
        <v>3802</v>
      </c>
      <c r="G213" s="314">
        <v>3378</v>
      </c>
      <c r="H213" s="314">
        <v>677</v>
      </c>
      <c r="I213" s="314">
        <v>10867</v>
      </c>
      <c r="J213" s="314">
        <v>1977</v>
      </c>
      <c r="K213" s="314">
        <v>0</v>
      </c>
      <c r="L213" s="314">
        <v>11977</v>
      </c>
      <c r="M213" s="314">
        <v>0</v>
      </c>
      <c r="N213" s="314">
        <v>0</v>
      </c>
      <c r="O213" s="314">
        <v>0</v>
      </c>
      <c r="P213" s="314">
        <v>0</v>
      </c>
      <c r="Q213" s="314">
        <v>0</v>
      </c>
      <c r="R213" s="314">
        <v>0</v>
      </c>
      <c r="S213" s="314">
        <v>1400</v>
      </c>
      <c r="T213" s="314">
        <v>1625</v>
      </c>
      <c r="U213" s="314">
        <v>0</v>
      </c>
      <c r="V213" s="314">
        <v>0</v>
      </c>
      <c r="W213" s="314">
        <v>15344</v>
      </c>
      <c r="X213" s="314">
        <v>1330</v>
      </c>
      <c r="Y213" s="314">
        <v>6926</v>
      </c>
      <c r="Z213" s="314">
        <v>662</v>
      </c>
      <c r="AA213" s="314">
        <v>0</v>
      </c>
      <c r="AB213" s="314">
        <v>1138</v>
      </c>
      <c r="AC213" s="314">
        <v>0</v>
      </c>
      <c r="AD213" s="314">
        <v>0</v>
      </c>
      <c r="AE213" s="314">
        <v>4026</v>
      </c>
      <c r="AF213" s="314">
        <v>5591</v>
      </c>
      <c r="AG213" s="314">
        <v>4202</v>
      </c>
      <c r="AH213" s="314">
        <v>917</v>
      </c>
      <c r="AI213" s="314">
        <v>3283</v>
      </c>
      <c r="AJ213" s="314">
        <v>27542</v>
      </c>
      <c r="AK213" s="314">
        <v>0</v>
      </c>
      <c r="AL213" s="314">
        <v>0</v>
      </c>
      <c r="AM213" s="314">
        <v>930</v>
      </c>
      <c r="AN213" s="314">
        <v>1165</v>
      </c>
      <c r="AO213" s="314">
        <v>0</v>
      </c>
      <c r="AP213" s="314">
        <v>246</v>
      </c>
    </row>
    <row r="214" spans="1:42">
      <c r="A214" s="547">
        <f t="shared" si="3"/>
        <v>2003</v>
      </c>
      <c r="B214" s="578">
        <v>37864</v>
      </c>
      <c r="C214" s="314">
        <v>43805</v>
      </c>
      <c r="D214" s="314">
        <v>7547</v>
      </c>
      <c r="E214" s="314">
        <v>33581</v>
      </c>
      <c r="F214" s="314">
        <v>5692</v>
      </c>
      <c r="G214" s="314">
        <v>5146</v>
      </c>
      <c r="H214" s="314">
        <v>882</v>
      </c>
      <c r="I214" s="314">
        <v>13534</v>
      </c>
      <c r="J214" s="314">
        <v>1778</v>
      </c>
      <c r="K214" s="314">
        <v>0</v>
      </c>
      <c r="L214" s="314">
        <v>0</v>
      </c>
      <c r="M214" s="314">
        <v>0</v>
      </c>
      <c r="N214" s="314">
        <v>0</v>
      </c>
      <c r="O214" s="314">
        <v>0</v>
      </c>
      <c r="P214" s="314">
        <v>765</v>
      </c>
      <c r="Q214" s="314">
        <v>446</v>
      </c>
      <c r="R214" s="314">
        <v>0</v>
      </c>
      <c r="S214" s="314">
        <v>626</v>
      </c>
      <c r="T214" s="314">
        <v>211</v>
      </c>
      <c r="U214" s="314">
        <v>1926</v>
      </c>
      <c r="V214" s="314">
        <v>0</v>
      </c>
      <c r="W214" s="314">
        <v>2229</v>
      </c>
      <c r="X214" s="314">
        <v>988</v>
      </c>
      <c r="Y214" s="314">
        <v>4128</v>
      </c>
      <c r="Z214" s="314">
        <v>2854</v>
      </c>
      <c r="AA214" s="314">
        <v>0</v>
      </c>
      <c r="AB214" s="314">
        <v>1521</v>
      </c>
      <c r="AC214" s="314">
        <v>1617</v>
      </c>
      <c r="AD214" s="314">
        <v>0</v>
      </c>
      <c r="AE214" s="314">
        <v>35543</v>
      </c>
      <c r="AF214" s="314">
        <v>3044</v>
      </c>
      <c r="AG214" s="314">
        <v>8743</v>
      </c>
      <c r="AH214" s="314">
        <v>375</v>
      </c>
      <c r="AI214" s="314">
        <v>261</v>
      </c>
      <c r="AJ214" s="314">
        <v>136</v>
      </c>
      <c r="AK214" s="314">
        <v>2411</v>
      </c>
      <c r="AL214" s="314">
        <v>371</v>
      </c>
      <c r="AM214" s="314">
        <v>0</v>
      </c>
      <c r="AN214" s="314">
        <v>0</v>
      </c>
      <c r="AO214" s="314">
        <v>776</v>
      </c>
      <c r="AP214" s="314">
        <v>314</v>
      </c>
    </row>
    <row r="215" spans="1:42">
      <c r="A215" s="547">
        <f t="shared" si="3"/>
        <v>2003</v>
      </c>
      <c r="B215" s="578">
        <v>37894</v>
      </c>
      <c r="C215" s="314">
        <v>25247</v>
      </c>
      <c r="D215" s="314">
        <v>15626</v>
      </c>
      <c r="E215" s="314">
        <v>39832</v>
      </c>
      <c r="F215" s="314">
        <v>22009</v>
      </c>
      <c r="G215" s="314">
        <v>682</v>
      </c>
      <c r="H215" s="314">
        <v>1726</v>
      </c>
      <c r="I215" s="314">
        <v>13670</v>
      </c>
      <c r="J215" s="314">
        <v>1181</v>
      </c>
      <c r="K215" s="314">
        <v>1266</v>
      </c>
      <c r="L215" s="314">
        <v>399</v>
      </c>
      <c r="M215" s="314">
        <v>973</v>
      </c>
      <c r="N215" s="314">
        <v>672</v>
      </c>
      <c r="O215" s="314">
        <v>16</v>
      </c>
      <c r="P215" s="314">
        <v>409</v>
      </c>
      <c r="Q215" s="314">
        <v>0</v>
      </c>
      <c r="R215" s="314">
        <v>0</v>
      </c>
      <c r="S215" s="314">
        <v>0</v>
      </c>
      <c r="T215" s="314">
        <v>2020</v>
      </c>
      <c r="U215" s="314">
        <v>0</v>
      </c>
      <c r="V215" s="314">
        <v>5280</v>
      </c>
      <c r="W215" s="314">
        <v>2401</v>
      </c>
      <c r="X215" s="314">
        <v>2200</v>
      </c>
      <c r="Y215" s="314">
        <v>895</v>
      </c>
      <c r="Z215" s="314">
        <v>2811</v>
      </c>
      <c r="AA215" s="314">
        <v>202</v>
      </c>
      <c r="AB215" s="314">
        <v>3092</v>
      </c>
      <c r="AC215" s="314">
        <v>0</v>
      </c>
      <c r="AD215" s="314">
        <v>1745</v>
      </c>
      <c r="AE215" s="314">
        <v>17171</v>
      </c>
      <c r="AF215" s="314">
        <v>2078</v>
      </c>
      <c r="AG215" s="314">
        <v>22957</v>
      </c>
      <c r="AH215" s="314">
        <v>10320</v>
      </c>
      <c r="AI215" s="314">
        <v>0</v>
      </c>
      <c r="AJ215" s="314">
        <v>3702</v>
      </c>
      <c r="AK215" s="314">
        <v>1337</v>
      </c>
      <c r="AL215" s="314">
        <v>0</v>
      </c>
      <c r="AM215" s="314">
        <v>3509</v>
      </c>
      <c r="AN215" s="314">
        <v>0</v>
      </c>
      <c r="AO215" s="314">
        <v>0</v>
      </c>
      <c r="AP215" s="314">
        <v>0</v>
      </c>
    </row>
    <row r="216" spans="1:42">
      <c r="A216" s="547">
        <f t="shared" si="3"/>
        <v>2003</v>
      </c>
      <c r="B216" s="578">
        <v>37925</v>
      </c>
      <c r="C216" s="314">
        <v>26971</v>
      </c>
      <c r="D216" s="314">
        <v>20605</v>
      </c>
      <c r="E216" s="314">
        <v>33829</v>
      </c>
      <c r="F216" s="314">
        <v>18742</v>
      </c>
      <c r="G216" s="314">
        <v>4275</v>
      </c>
      <c r="H216" s="314">
        <v>495</v>
      </c>
      <c r="I216" s="314">
        <v>7919</v>
      </c>
      <c r="J216" s="314">
        <v>2379</v>
      </c>
      <c r="K216" s="314">
        <v>0</v>
      </c>
      <c r="L216" s="314">
        <v>1039</v>
      </c>
      <c r="M216" s="314">
        <v>2059</v>
      </c>
      <c r="N216" s="314">
        <v>3085</v>
      </c>
      <c r="O216" s="314">
        <v>118</v>
      </c>
      <c r="P216" s="314">
        <v>1368</v>
      </c>
      <c r="Q216" s="314">
        <v>1222</v>
      </c>
      <c r="R216" s="314">
        <v>0</v>
      </c>
      <c r="S216" s="314">
        <v>0</v>
      </c>
      <c r="T216" s="314">
        <v>2023</v>
      </c>
      <c r="U216" s="314">
        <v>384</v>
      </c>
      <c r="V216" s="314">
        <v>85</v>
      </c>
      <c r="W216" s="314">
        <v>2835</v>
      </c>
      <c r="X216" s="314">
        <v>2985</v>
      </c>
      <c r="Y216" s="314">
        <v>7420</v>
      </c>
      <c r="Z216" s="314">
        <v>1855</v>
      </c>
      <c r="AA216" s="314">
        <v>335</v>
      </c>
      <c r="AB216" s="314">
        <v>969</v>
      </c>
      <c r="AC216" s="314">
        <v>961</v>
      </c>
      <c r="AD216" s="314">
        <v>3954</v>
      </c>
      <c r="AE216" s="314">
        <v>18548</v>
      </c>
      <c r="AF216" s="314">
        <v>7124</v>
      </c>
      <c r="AG216" s="314">
        <v>13864</v>
      </c>
      <c r="AH216" s="314">
        <v>7384</v>
      </c>
      <c r="AI216" s="314">
        <v>860</v>
      </c>
      <c r="AJ216" s="314">
        <v>4602</v>
      </c>
      <c r="AK216" s="314">
        <v>0</v>
      </c>
      <c r="AL216" s="314">
        <v>0</v>
      </c>
      <c r="AM216" s="314">
        <v>0</v>
      </c>
      <c r="AN216" s="314">
        <v>0</v>
      </c>
      <c r="AO216" s="314">
        <v>0</v>
      </c>
      <c r="AP216" s="314">
        <v>0</v>
      </c>
    </row>
    <row r="217" spans="1:42">
      <c r="A217" s="547">
        <f t="shared" si="3"/>
        <v>2003</v>
      </c>
      <c r="B217" s="578">
        <v>37955</v>
      </c>
      <c r="C217" s="314">
        <v>13592</v>
      </c>
      <c r="D217" s="314">
        <v>15914</v>
      </c>
      <c r="E217" s="314">
        <v>71880</v>
      </c>
      <c r="F217" s="314">
        <v>4130</v>
      </c>
      <c r="G217" s="314">
        <v>548</v>
      </c>
      <c r="H217" s="314">
        <v>1746</v>
      </c>
      <c r="I217" s="314">
        <v>15857</v>
      </c>
      <c r="J217" s="314">
        <v>572</v>
      </c>
      <c r="K217" s="314">
        <v>764</v>
      </c>
      <c r="L217" s="314">
        <v>0</v>
      </c>
      <c r="M217" s="314">
        <v>805</v>
      </c>
      <c r="N217" s="314">
        <v>982</v>
      </c>
      <c r="O217" s="314">
        <v>0</v>
      </c>
      <c r="P217" s="314">
        <v>0</v>
      </c>
      <c r="Q217" s="314">
        <v>0</v>
      </c>
      <c r="R217" s="314">
        <v>0</v>
      </c>
      <c r="S217" s="314">
        <v>750</v>
      </c>
      <c r="T217" s="314">
        <v>0</v>
      </c>
      <c r="U217" s="314">
        <v>0</v>
      </c>
      <c r="V217" s="314">
        <v>0</v>
      </c>
      <c r="W217" s="314">
        <v>234</v>
      </c>
      <c r="X217" s="314">
        <v>2871</v>
      </c>
      <c r="Y217" s="314">
        <v>19492</v>
      </c>
      <c r="Z217" s="314">
        <v>670</v>
      </c>
      <c r="AA217" s="314">
        <v>0</v>
      </c>
      <c r="AB217" s="314">
        <v>4974</v>
      </c>
      <c r="AC217" s="314">
        <v>864</v>
      </c>
      <c r="AD217" s="314">
        <v>0</v>
      </c>
      <c r="AE217" s="314">
        <v>11296</v>
      </c>
      <c r="AF217" s="314">
        <v>1062</v>
      </c>
      <c r="AG217" s="314">
        <v>34862</v>
      </c>
      <c r="AH217" s="314">
        <v>1906</v>
      </c>
      <c r="AI217" s="314">
        <v>0</v>
      </c>
      <c r="AJ217" s="314">
        <v>5261</v>
      </c>
      <c r="AK217" s="314">
        <v>0</v>
      </c>
      <c r="AL217" s="314">
        <v>0</v>
      </c>
      <c r="AM217" s="314">
        <v>0</v>
      </c>
      <c r="AN217" s="314">
        <v>0</v>
      </c>
      <c r="AO217" s="314">
        <v>0</v>
      </c>
      <c r="AP217" s="314">
        <v>0</v>
      </c>
    </row>
    <row r="218" spans="1:42">
      <c r="A218" s="547">
        <f t="shared" si="3"/>
        <v>2003</v>
      </c>
      <c r="B218" s="578">
        <v>37986</v>
      </c>
      <c r="C218" s="314">
        <v>32247</v>
      </c>
      <c r="D218" s="314">
        <v>20002</v>
      </c>
      <c r="E218" s="314">
        <v>37656</v>
      </c>
      <c r="F218" s="314">
        <v>3580</v>
      </c>
      <c r="G218" s="314">
        <v>12800</v>
      </c>
      <c r="H218" s="314">
        <v>1210</v>
      </c>
      <c r="I218" s="314">
        <v>7717</v>
      </c>
      <c r="J218" s="314">
        <v>630</v>
      </c>
      <c r="K218" s="314">
        <v>2248</v>
      </c>
      <c r="L218" s="314">
        <v>0</v>
      </c>
      <c r="M218" s="314">
        <v>663</v>
      </c>
      <c r="N218" s="314">
        <v>0</v>
      </c>
      <c r="O218" s="314">
        <v>0</v>
      </c>
      <c r="P218" s="314">
        <v>0</v>
      </c>
      <c r="Q218" s="314">
        <v>0</v>
      </c>
      <c r="R218" s="314">
        <v>0</v>
      </c>
      <c r="S218" s="314">
        <v>99</v>
      </c>
      <c r="T218" s="314">
        <v>5897</v>
      </c>
      <c r="U218" s="314">
        <v>805</v>
      </c>
      <c r="V218" s="314">
        <v>280</v>
      </c>
      <c r="W218" s="314">
        <v>212</v>
      </c>
      <c r="X218" s="314">
        <v>1144</v>
      </c>
      <c r="Y218" s="314">
        <v>351</v>
      </c>
      <c r="Z218" s="314">
        <v>2168</v>
      </c>
      <c r="AA218" s="314">
        <v>0</v>
      </c>
      <c r="AB218" s="314">
        <v>1939</v>
      </c>
      <c r="AC218" s="314">
        <v>9998</v>
      </c>
      <c r="AD218" s="314">
        <v>0</v>
      </c>
      <c r="AE218" s="314">
        <v>16888</v>
      </c>
      <c r="AF218" s="314">
        <v>6320</v>
      </c>
      <c r="AG218" s="314">
        <v>17861</v>
      </c>
      <c r="AH218" s="314">
        <v>502</v>
      </c>
      <c r="AI218" s="314">
        <v>0</v>
      </c>
      <c r="AJ218" s="314">
        <v>0</v>
      </c>
      <c r="AK218" s="314">
        <v>261</v>
      </c>
      <c r="AL218" s="314">
        <v>0</v>
      </c>
      <c r="AM218" s="314">
        <v>0</v>
      </c>
      <c r="AN218" s="314">
        <v>3492</v>
      </c>
      <c r="AO218" s="314">
        <v>0</v>
      </c>
      <c r="AP218" s="314">
        <v>0</v>
      </c>
    </row>
    <row r="219" spans="1:42">
      <c r="A219" s="547">
        <f t="shared" si="3"/>
        <v>2004</v>
      </c>
      <c r="B219" s="578">
        <v>38017</v>
      </c>
      <c r="C219" s="314">
        <v>61263</v>
      </c>
      <c r="D219" s="314">
        <v>8588</v>
      </c>
      <c r="E219" s="314">
        <v>29996</v>
      </c>
      <c r="F219" s="314">
        <v>6682</v>
      </c>
      <c r="G219" s="314">
        <v>2462</v>
      </c>
      <c r="H219" s="314">
        <v>1519</v>
      </c>
      <c r="I219" s="314">
        <v>1998</v>
      </c>
      <c r="J219" s="314">
        <v>523</v>
      </c>
      <c r="K219" s="314">
        <v>1180</v>
      </c>
      <c r="L219" s="314">
        <v>0</v>
      </c>
      <c r="M219" s="314">
        <v>0</v>
      </c>
      <c r="N219" s="314">
        <v>110</v>
      </c>
      <c r="O219" s="314">
        <v>0</v>
      </c>
      <c r="P219" s="314">
        <v>0</v>
      </c>
      <c r="Q219" s="314">
        <v>0</v>
      </c>
      <c r="R219" s="314">
        <v>0</v>
      </c>
      <c r="S219" s="314">
        <v>0</v>
      </c>
      <c r="T219" s="314">
        <v>72</v>
      </c>
      <c r="U219" s="314">
        <v>2948</v>
      </c>
      <c r="V219" s="314">
        <v>942</v>
      </c>
      <c r="W219" s="314">
        <v>3920</v>
      </c>
      <c r="X219" s="314">
        <v>0</v>
      </c>
      <c r="Y219" s="314">
        <v>4902</v>
      </c>
      <c r="Z219" s="314">
        <v>1264</v>
      </c>
      <c r="AA219" s="314">
        <v>0</v>
      </c>
      <c r="AB219" s="314">
        <v>2306</v>
      </c>
      <c r="AC219" s="314">
        <v>1256</v>
      </c>
      <c r="AD219" s="314">
        <v>902</v>
      </c>
      <c r="AE219" s="314">
        <v>53701</v>
      </c>
      <c r="AF219" s="314">
        <v>4691</v>
      </c>
      <c r="AG219" s="314">
        <v>18892</v>
      </c>
      <c r="AH219" s="314">
        <v>2941</v>
      </c>
      <c r="AI219" s="314">
        <v>0</v>
      </c>
      <c r="AJ219" s="314">
        <v>0</v>
      </c>
      <c r="AK219" s="314">
        <v>0</v>
      </c>
      <c r="AL219" s="314">
        <v>0</v>
      </c>
      <c r="AM219" s="314">
        <v>0</v>
      </c>
      <c r="AN219" s="314">
        <v>0</v>
      </c>
      <c r="AO219" s="314">
        <v>0</v>
      </c>
      <c r="AP219" s="314">
        <v>0</v>
      </c>
    </row>
    <row r="220" spans="1:42">
      <c r="A220" s="547">
        <f t="shared" si="3"/>
        <v>2004</v>
      </c>
      <c r="B220" s="578">
        <v>38046</v>
      </c>
      <c r="C220" s="314">
        <v>25903</v>
      </c>
      <c r="D220" s="314">
        <v>26781</v>
      </c>
      <c r="E220" s="314">
        <v>86092</v>
      </c>
      <c r="F220" s="314">
        <v>8166</v>
      </c>
      <c r="G220" s="314">
        <v>1072</v>
      </c>
      <c r="H220" s="314">
        <v>11049</v>
      </c>
      <c r="I220" s="314">
        <v>19890</v>
      </c>
      <c r="J220" s="314">
        <v>2604</v>
      </c>
      <c r="K220" s="314">
        <v>0</v>
      </c>
      <c r="L220" s="314">
        <v>1283</v>
      </c>
      <c r="M220" s="314">
        <v>2699</v>
      </c>
      <c r="N220" s="314">
        <v>0</v>
      </c>
      <c r="O220" s="314">
        <v>0</v>
      </c>
      <c r="P220" s="314">
        <v>1939</v>
      </c>
      <c r="Q220" s="314">
        <v>431</v>
      </c>
      <c r="R220" s="314">
        <v>161</v>
      </c>
      <c r="S220" s="314">
        <v>0</v>
      </c>
      <c r="T220" s="314">
        <v>0</v>
      </c>
      <c r="U220" s="314">
        <v>1487</v>
      </c>
      <c r="V220" s="314">
        <v>0</v>
      </c>
      <c r="W220" s="314">
        <v>9415</v>
      </c>
      <c r="X220" s="314">
        <v>6050</v>
      </c>
      <c r="Y220" s="314">
        <v>23694</v>
      </c>
      <c r="Z220" s="314">
        <v>1263</v>
      </c>
      <c r="AA220" s="314">
        <v>2578</v>
      </c>
      <c r="AB220" s="314">
        <v>1162</v>
      </c>
      <c r="AC220" s="314">
        <v>2781</v>
      </c>
      <c r="AD220" s="314">
        <v>0</v>
      </c>
      <c r="AE220" s="314">
        <v>11964</v>
      </c>
      <c r="AF220" s="314">
        <v>4885</v>
      </c>
      <c r="AG220" s="314">
        <v>34753</v>
      </c>
      <c r="AH220" s="314">
        <v>3344</v>
      </c>
      <c r="AI220" s="314">
        <v>0</v>
      </c>
      <c r="AJ220" s="314">
        <v>0</v>
      </c>
      <c r="AK220" s="314">
        <v>357</v>
      </c>
      <c r="AL220" s="314">
        <v>0</v>
      </c>
      <c r="AM220" s="314">
        <v>874</v>
      </c>
      <c r="AN220" s="314">
        <v>413</v>
      </c>
      <c r="AO220" s="314">
        <v>0</v>
      </c>
      <c r="AP220" s="314">
        <v>794</v>
      </c>
    </row>
    <row r="221" spans="1:42">
      <c r="A221" s="547">
        <f t="shared" si="3"/>
        <v>2004</v>
      </c>
      <c r="B221" s="578">
        <v>38077</v>
      </c>
      <c r="C221" s="314">
        <v>18878</v>
      </c>
      <c r="D221" s="314">
        <v>5214</v>
      </c>
      <c r="E221" s="314">
        <v>72299</v>
      </c>
      <c r="F221" s="314">
        <v>8054</v>
      </c>
      <c r="G221" s="314">
        <v>2986</v>
      </c>
      <c r="H221" s="314">
        <v>686</v>
      </c>
      <c r="I221" s="314">
        <v>13117</v>
      </c>
      <c r="J221" s="314">
        <v>5574</v>
      </c>
      <c r="K221" s="314">
        <v>0</v>
      </c>
      <c r="L221" s="314">
        <v>276</v>
      </c>
      <c r="M221" s="314">
        <v>832</v>
      </c>
      <c r="N221" s="314">
        <v>131</v>
      </c>
      <c r="O221" s="314">
        <v>0</v>
      </c>
      <c r="P221" s="314">
        <v>0</v>
      </c>
      <c r="Q221" s="314">
        <v>0</v>
      </c>
      <c r="R221" s="314">
        <v>855</v>
      </c>
      <c r="S221" s="314">
        <v>0</v>
      </c>
      <c r="T221" s="314">
        <v>1288</v>
      </c>
      <c r="U221" s="314">
        <v>0</v>
      </c>
      <c r="V221" s="314">
        <v>155</v>
      </c>
      <c r="W221" s="314">
        <v>3561</v>
      </c>
      <c r="X221" s="314">
        <v>0</v>
      </c>
      <c r="Y221" s="314">
        <v>21521</v>
      </c>
      <c r="Z221" s="314">
        <v>1339</v>
      </c>
      <c r="AA221" s="314">
        <v>0</v>
      </c>
      <c r="AB221" s="314">
        <v>2770</v>
      </c>
      <c r="AC221" s="314">
        <v>0</v>
      </c>
      <c r="AD221" s="314">
        <v>0</v>
      </c>
      <c r="AE221" s="314">
        <v>9661</v>
      </c>
      <c r="AF221" s="314">
        <v>194</v>
      </c>
      <c r="AG221" s="314">
        <v>36829</v>
      </c>
      <c r="AH221" s="314">
        <v>0</v>
      </c>
      <c r="AI221" s="314">
        <v>2670</v>
      </c>
      <c r="AJ221" s="314">
        <v>0</v>
      </c>
      <c r="AK221" s="314">
        <v>0</v>
      </c>
      <c r="AL221" s="314">
        <v>0</v>
      </c>
      <c r="AM221" s="314">
        <v>0</v>
      </c>
      <c r="AN221" s="314">
        <v>0</v>
      </c>
      <c r="AO221" s="314">
        <v>0</v>
      </c>
      <c r="AP221" s="314">
        <v>0</v>
      </c>
    </row>
    <row r="222" spans="1:42">
      <c r="A222" s="547">
        <f t="shared" si="3"/>
        <v>2004</v>
      </c>
      <c r="B222" s="578">
        <v>38107</v>
      </c>
      <c r="C222" s="314">
        <v>30034</v>
      </c>
      <c r="D222" s="314">
        <v>7980</v>
      </c>
      <c r="E222" s="314">
        <v>36452</v>
      </c>
      <c r="F222" s="314">
        <v>2611</v>
      </c>
      <c r="G222" s="314">
        <v>3220</v>
      </c>
      <c r="H222" s="314">
        <v>69</v>
      </c>
      <c r="I222" s="314">
        <v>2395</v>
      </c>
      <c r="J222" s="314">
        <v>158</v>
      </c>
      <c r="K222" s="314">
        <v>0</v>
      </c>
      <c r="L222" s="314">
        <v>92</v>
      </c>
      <c r="M222" s="314">
        <v>0</v>
      </c>
      <c r="N222" s="314">
        <v>0</v>
      </c>
      <c r="O222" s="314">
        <v>0</v>
      </c>
      <c r="P222" s="314">
        <v>0</v>
      </c>
      <c r="Q222" s="314">
        <v>0</v>
      </c>
      <c r="R222" s="314">
        <v>0</v>
      </c>
      <c r="S222" s="314">
        <v>5884</v>
      </c>
      <c r="T222" s="314">
        <v>445</v>
      </c>
      <c r="U222" s="314">
        <v>1193</v>
      </c>
      <c r="V222" s="314">
        <v>0</v>
      </c>
      <c r="W222" s="314">
        <v>2910</v>
      </c>
      <c r="X222" s="314">
        <v>4219</v>
      </c>
      <c r="Y222" s="314">
        <v>6744</v>
      </c>
      <c r="Z222" s="314">
        <v>0</v>
      </c>
      <c r="AA222" s="314">
        <v>0</v>
      </c>
      <c r="AB222" s="314">
        <v>0</v>
      </c>
      <c r="AC222" s="314">
        <v>0</v>
      </c>
      <c r="AD222" s="314">
        <v>0</v>
      </c>
      <c r="AE222" s="314">
        <v>17985</v>
      </c>
      <c r="AF222" s="314">
        <v>1392</v>
      </c>
      <c r="AG222" s="314">
        <v>25120</v>
      </c>
      <c r="AH222" s="314">
        <v>2453</v>
      </c>
      <c r="AI222" s="314">
        <v>0</v>
      </c>
      <c r="AJ222" s="314">
        <v>0</v>
      </c>
      <c r="AK222" s="314">
        <v>1000</v>
      </c>
      <c r="AL222" s="314">
        <v>0</v>
      </c>
      <c r="AM222" s="314">
        <v>35</v>
      </c>
      <c r="AN222" s="314">
        <v>1763</v>
      </c>
      <c r="AO222" s="314">
        <v>0</v>
      </c>
      <c r="AP222" s="314">
        <v>0</v>
      </c>
    </row>
    <row r="223" spans="1:42">
      <c r="A223" s="547">
        <f t="shared" si="3"/>
        <v>2004</v>
      </c>
      <c r="B223" s="578">
        <v>38138</v>
      </c>
      <c r="C223" s="314">
        <v>17333</v>
      </c>
      <c r="D223" s="314">
        <v>82513</v>
      </c>
      <c r="E223" s="314">
        <v>27178</v>
      </c>
      <c r="F223" s="314">
        <v>50585</v>
      </c>
      <c r="G223" s="314">
        <v>7060</v>
      </c>
      <c r="H223" s="314">
        <v>76754</v>
      </c>
      <c r="I223" s="314">
        <v>13252</v>
      </c>
      <c r="J223" s="314">
        <v>1594</v>
      </c>
      <c r="K223" s="314">
        <v>0</v>
      </c>
      <c r="L223" s="314">
        <v>262</v>
      </c>
      <c r="M223" s="314">
        <v>2810</v>
      </c>
      <c r="N223" s="314">
        <v>1338</v>
      </c>
      <c r="O223" s="314">
        <v>95</v>
      </c>
      <c r="P223" s="314">
        <v>0</v>
      </c>
      <c r="Q223" s="314">
        <v>145</v>
      </c>
      <c r="R223" s="314">
        <v>0</v>
      </c>
      <c r="S223" s="314">
        <v>0</v>
      </c>
      <c r="T223" s="314">
        <v>0</v>
      </c>
      <c r="U223" s="314">
        <v>0</v>
      </c>
      <c r="V223" s="314">
        <v>742</v>
      </c>
      <c r="W223" s="314">
        <v>1740</v>
      </c>
      <c r="X223" s="314">
        <v>1327</v>
      </c>
      <c r="Y223" s="314">
        <v>5913</v>
      </c>
      <c r="Z223" s="314">
        <v>1203</v>
      </c>
      <c r="AA223" s="314">
        <v>1024</v>
      </c>
      <c r="AB223" s="314">
        <v>0</v>
      </c>
      <c r="AC223" s="314">
        <v>1797</v>
      </c>
      <c r="AD223" s="314">
        <v>411</v>
      </c>
      <c r="AE223" s="314">
        <v>7414</v>
      </c>
      <c r="AF223" s="314">
        <v>2119</v>
      </c>
      <c r="AG223" s="314">
        <v>3261</v>
      </c>
      <c r="AH223" s="314">
        <v>45297</v>
      </c>
      <c r="AI223" s="314">
        <v>0</v>
      </c>
      <c r="AJ223" s="314">
        <v>1189</v>
      </c>
      <c r="AK223" s="314">
        <v>0</v>
      </c>
      <c r="AL223" s="314">
        <v>0</v>
      </c>
      <c r="AM223" s="314">
        <v>0</v>
      </c>
      <c r="AN223" s="314">
        <v>862</v>
      </c>
      <c r="AO223" s="314">
        <v>0</v>
      </c>
      <c r="AP223" s="314">
        <v>0</v>
      </c>
    </row>
    <row r="224" spans="1:42">
      <c r="A224" s="547">
        <f t="shared" si="3"/>
        <v>2004</v>
      </c>
      <c r="B224" s="578">
        <v>38168</v>
      </c>
      <c r="C224" s="314">
        <v>32900</v>
      </c>
      <c r="D224" s="314">
        <v>24275</v>
      </c>
      <c r="E224" s="314">
        <v>36234</v>
      </c>
      <c r="F224" s="314">
        <v>3950</v>
      </c>
      <c r="G224" s="314">
        <v>9550</v>
      </c>
      <c r="H224" s="314">
        <v>431</v>
      </c>
      <c r="I224" s="314">
        <v>8485</v>
      </c>
      <c r="J224" s="314">
        <v>1201</v>
      </c>
      <c r="K224" s="314">
        <v>8324</v>
      </c>
      <c r="L224" s="314">
        <v>934</v>
      </c>
      <c r="M224" s="314">
        <v>336</v>
      </c>
      <c r="N224" s="314">
        <v>251</v>
      </c>
      <c r="O224" s="314">
        <v>0</v>
      </c>
      <c r="P224" s="314">
        <v>0</v>
      </c>
      <c r="Q224" s="314">
        <v>0</v>
      </c>
      <c r="R224" s="314">
        <v>0</v>
      </c>
      <c r="S224" s="314">
        <v>0</v>
      </c>
      <c r="T224" s="314">
        <v>467</v>
      </c>
      <c r="U224" s="314">
        <v>0</v>
      </c>
      <c r="V224" s="314">
        <v>1505</v>
      </c>
      <c r="W224" s="314">
        <v>5718</v>
      </c>
      <c r="X224" s="314">
        <v>2513</v>
      </c>
      <c r="Y224" s="314">
        <v>8571</v>
      </c>
      <c r="Z224" s="314">
        <v>993</v>
      </c>
      <c r="AA224" s="314">
        <v>1279</v>
      </c>
      <c r="AB224" s="314">
        <v>7463</v>
      </c>
      <c r="AC224" s="314">
        <v>0</v>
      </c>
      <c r="AD224" s="314">
        <v>0</v>
      </c>
      <c r="AE224" s="314">
        <v>7632</v>
      </c>
      <c r="AF224" s="314">
        <v>11176</v>
      </c>
      <c r="AG224" s="314">
        <v>16562</v>
      </c>
      <c r="AH224" s="314">
        <v>0</v>
      </c>
      <c r="AI224" s="314">
        <v>368</v>
      </c>
      <c r="AJ224" s="314">
        <v>1291</v>
      </c>
      <c r="AK224" s="314">
        <v>2280</v>
      </c>
      <c r="AL224" s="314">
        <v>0</v>
      </c>
      <c r="AM224" s="314">
        <v>29</v>
      </c>
      <c r="AN224" s="314">
        <v>0</v>
      </c>
      <c r="AO224" s="314">
        <v>0</v>
      </c>
      <c r="AP224" s="314">
        <v>0</v>
      </c>
    </row>
    <row r="225" spans="1:42">
      <c r="A225" s="547">
        <f t="shared" si="3"/>
        <v>2004</v>
      </c>
      <c r="B225" s="578">
        <v>38199</v>
      </c>
      <c r="C225" s="314">
        <v>41462</v>
      </c>
      <c r="D225" s="314">
        <v>22433</v>
      </c>
      <c r="E225" s="314">
        <v>74224</v>
      </c>
      <c r="F225" s="314">
        <v>8926</v>
      </c>
      <c r="G225" s="314">
        <v>3833</v>
      </c>
      <c r="H225" s="314">
        <v>875</v>
      </c>
      <c r="I225" s="314">
        <v>11693</v>
      </c>
      <c r="J225" s="314">
        <v>0</v>
      </c>
      <c r="K225" s="314">
        <v>0</v>
      </c>
      <c r="L225" s="314">
        <v>0</v>
      </c>
      <c r="M225" s="314">
        <v>0</v>
      </c>
      <c r="N225" s="314">
        <v>523</v>
      </c>
      <c r="O225" s="314">
        <v>0</v>
      </c>
      <c r="P225" s="314">
        <v>0</v>
      </c>
      <c r="Q225" s="314">
        <v>809</v>
      </c>
      <c r="R225" s="314">
        <v>0</v>
      </c>
      <c r="S225" s="314">
        <v>1034</v>
      </c>
      <c r="T225" s="314">
        <v>804</v>
      </c>
      <c r="U225" s="314">
        <v>0</v>
      </c>
      <c r="V225" s="314">
        <v>64</v>
      </c>
      <c r="W225" s="314">
        <v>2080</v>
      </c>
      <c r="X225" s="314">
        <v>10166</v>
      </c>
      <c r="Y225" s="314">
        <v>36524</v>
      </c>
      <c r="Z225" s="314">
        <v>5401</v>
      </c>
      <c r="AA225" s="314">
        <v>3126</v>
      </c>
      <c r="AB225" s="314">
        <v>1800</v>
      </c>
      <c r="AC225" s="314">
        <v>1839</v>
      </c>
      <c r="AD225" s="314">
        <v>766</v>
      </c>
      <c r="AE225" s="314">
        <v>31389</v>
      </c>
      <c r="AF225" s="314">
        <v>6509</v>
      </c>
      <c r="AG225" s="314">
        <v>22045</v>
      </c>
      <c r="AH225" s="314">
        <v>1370</v>
      </c>
      <c r="AI225" s="314">
        <v>0</v>
      </c>
      <c r="AJ225" s="314">
        <v>839</v>
      </c>
      <c r="AK225" s="314">
        <v>1314</v>
      </c>
      <c r="AL225" s="314">
        <v>802</v>
      </c>
      <c r="AM225" s="314">
        <v>0</v>
      </c>
      <c r="AN225" s="314">
        <v>1440</v>
      </c>
      <c r="AO225" s="314">
        <v>0</v>
      </c>
      <c r="AP225" s="314">
        <v>0</v>
      </c>
    </row>
    <row r="226" spans="1:42">
      <c r="A226" s="547">
        <f t="shared" si="3"/>
        <v>2004</v>
      </c>
      <c r="B226" s="578">
        <v>38230</v>
      </c>
      <c r="C226" s="314">
        <v>5287</v>
      </c>
      <c r="D226" s="314">
        <v>186378</v>
      </c>
      <c r="E226" s="314">
        <v>53162</v>
      </c>
      <c r="F226" s="314">
        <v>11487</v>
      </c>
      <c r="G226" s="314">
        <v>219</v>
      </c>
      <c r="H226" s="314">
        <v>0</v>
      </c>
      <c r="I226" s="314">
        <v>12042</v>
      </c>
      <c r="J226" s="314">
        <v>381</v>
      </c>
      <c r="K226" s="314">
        <v>0</v>
      </c>
      <c r="L226" s="314">
        <v>0</v>
      </c>
      <c r="M226" s="314">
        <v>1615</v>
      </c>
      <c r="N226" s="314">
        <v>3415</v>
      </c>
      <c r="O226" s="314">
        <v>0</v>
      </c>
      <c r="P226" s="314">
        <v>360</v>
      </c>
      <c r="Q226" s="314">
        <v>116</v>
      </c>
      <c r="R226" s="314">
        <v>1054</v>
      </c>
      <c r="S226" s="314">
        <v>0</v>
      </c>
      <c r="T226" s="314">
        <v>3948</v>
      </c>
      <c r="U226" s="314">
        <v>1570</v>
      </c>
      <c r="V226" s="314">
        <v>2500</v>
      </c>
      <c r="W226" s="314">
        <v>379</v>
      </c>
      <c r="X226" s="314">
        <v>1908</v>
      </c>
      <c r="Y226" s="314">
        <v>9019</v>
      </c>
      <c r="Z226" s="314">
        <v>151</v>
      </c>
      <c r="AA226" s="314">
        <v>0</v>
      </c>
      <c r="AB226" s="314">
        <v>0</v>
      </c>
      <c r="AC226" s="314">
        <v>808</v>
      </c>
      <c r="AD226" s="314">
        <v>0</v>
      </c>
      <c r="AE226" s="314">
        <v>3371</v>
      </c>
      <c r="AF226" s="314">
        <v>179413</v>
      </c>
      <c r="AG226" s="314">
        <v>25524</v>
      </c>
      <c r="AH226" s="314">
        <v>3986</v>
      </c>
      <c r="AI226" s="314">
        <v>696</v>
      </c>
      <c r="AJ226" s="314">
        <v>0</v>
      </c>
      <c r="AK226" s="314">
        <v>0</v>
      </c>
      <c r="AL226" s="314">
        <v>0</v>
      </c>
      <c r="AM226" s="314">
        <v>622</v>
      </c>
      <c r="AN226" s="314">
        <v>749</v>
      </c>
      <c r="AO226" s="314">
        <v>2468</v>
      </c>
      <c r="AP226" s="314">
        <v>0</v>
      </c>
    </row>
    <row r="227" spans="1:42">
      <c r="A227" s="547">
        <f t="shared" si="3"/>
        <v>2004</v>
      </c>
      <c r="B227" s="578">
        <v>38260</v>
      </c>
      <c r="C227" s="314">
        <v>16719</v>
      </c>
      <c r="D227" s="314">
        <v>37438</v>
      </c>
      <c r="E227" s="314">
        <v>72212</v>
      </c>
      <c r="F227" s="314">
        <v>3986</v>
      </c>
      <c r="G227" s="314">
        <v>3081</v>
      </c>
      <c r="H227" s="314">
        <v>3854</v>
      </c>
      <c r="I227" s="314">
        <v>28247</v>
      </c>
      <c r="J227" s="314">
        <v>763</v>
      </c>
      <c r="K227" s="314">
        <v>0</v>
      </c>
      <c r="L227" s="314">
        <v>0</v>
      </c>
      <c r="M227" s="314">
        <v>1059</v>
      </c>
      <c r="N227" s="314">
        <v>924</v>
      </c>
      <c r="O227" s="314">
        <v>0</v>
      </c>
      <c r="P227" s="314">
        <v>0</v>
      </c>
      <c r="Q227" s="314">
        <v>819</v>
      </c>
      <c r="R227" s="314">
        <v>0</v>
      </c>
      <c r="S227" s="314">
        <v>0</v>
      </c>
      <c r="T227" s="314">
        <v>246</v>
      </c>
      <c r="U227" s="314">
        <v>1940</v>
      </c>
      <c r="V227" s="314">
        <v>45</v>
      </c>
      <c r="W227" s="314">
        <v>2519</v>
      </c>
      <c r="X227" s="314">
        <v>32379</v>
      </c>
      <c r="Y227" s="314">
        <v>7222</v>
      </c>
      <c r="Z227" s="314">
        <v>1513</v>
      </c>
      <c r="AA227" s="314">
        <v>0</v>
      </c>
      <c r="AB227" s="314">
        <v>343</v>
      </c>
      <c r="AC227" s="314">
        <v>384</v>
      </c>
      <c r="AD227" s="314">
        <v>246</v>
      </c>
      <c r="AE227" s="314">
        <v>10799</v>
      </c>
      <c r="AF227" s="314">
        <v>616</v>
      </c>
      <c r="AG227" s="314">
        <v>28771</v>
      </c>
      <c r="AH227" s="314">
        <v>495</v>
      </c>
      <c r="AI227" s="314">
        <v>0</v>
      </c>
      <c r="AJ227" s="314">
        <v>0</v>
      </c>
      <c r="AK227" s="314">
        <v>3770</v>
      </c>
      <c r="AL227" s="314">
        <v>0</v>
      </c>
      <c r="AM227" s="314">
        <v>320</v>
      </c>
      <c r="AN227" s="314">
        <v>0</v>
      </c>
      <c r="AO227" s="314">
        <v>0</v>
      </c>
      <c r="AP227" s="314">
        <v>0</v>
      </c>
    </row>
    <row r="228" spans="1:42">
      <c r="A228" s="547">
        <f t="shared" si="3"/>
        <v>2004</v>
      </c>
      <c r="B228" s="578">
        <v>38291</v>
      </c>
      <c r="C228" s="314">
        <v>75411</v>
      </c>
      <c r="D228" s="314">
        <v>26601</v>
      </c>
      <c r="E228" s="314">
        <v>106113</v>
      </c>
      <c r="F228" s="314">
        <v>6250</v>
      </c>
      <c r="G228" s="314">
        <v>11378</v>
      </c>
      <c r="H228" s="314">
        <v>15266</v>
      </c>
      <c r="I228" s="314">
        <v>48639</v>
      </c>
      <c r="J228" s="314">
        <v>1324</v>
      </c>
      <c r="K228" s="314">
        <v>0</v>
      </c>
      <c r="L228" s="314">
        <v>0</v>
      </c>
      <c r="M228" s="314">
        <v>0</v>
      </c>
      <c r="N228" s="314">
        <v>2093</v>
      </c>
      <c r="O228" s="314">
        <v>1472</v>
      </c>
      <c r="P228" s="314">
        <v>0</v>
      </c>
      <c r="Q228" s="314">
        <v>285</v>
      </c>
      <c r="R228" s="314">
        <v>308</v>
      </c>
      <c r="S228" s="314">
        <v>2110</v>
      </c>
      <c r="T228" s="314">
        <v>0</v>
      </c>
      <c r="U228" s="314">
        <v>1784</v>
      </c>
      <c r="V228" s="314">
        <v>204</v>
      </c>
      <c r="W228" s="314">
        <v>9537</v>
      </c>
      <c r="X228" s="314">
        <v>1298</v>
      </c>
      <c r="Y228" s="314">
        <v>4816</v>
      </c>
      <c r="Z228" s="314">
        <v>527</v>
      </c>
      <c r="AA228" s="314">
        <v>126</v>
      </c>
      <c r="AB228" s="314">
        <v>6070</v>
      </c>
      <c r="AC228" s="314">
        <v>2155</v>
      </c>
      <c r="AD228" s="314">
        <v>0</v>
      </c>
      <c r="AE228" s="314">
        <v>50788</v>
      </c>
      <c r="AF228" s="314">
        <v>1243</v>
      </c>
      <c r="AG228" s="314">
        <v>48434</v>
      </c>
      <c r="AH228" s="314">
        <v>589</v>
      </c>
      <c r="AI228" s="314">
        <v>0</v>
      </c>
      <c r="AJ228" s="314">
        <v>1260</v>
      </c>
      <c r="AK228" s="314">
        <v>0</v>
      </c>
      <c r="AL228" s="314">
        <v>0</v>
      </c>
      <c r="AM228" s="314">
        <v>0</v>
      </c>
      <c r="AN228" s="314">
        <v>1464</v>
      </c>
      <c r="AO228" s="314">
        <v>0</v>
      </c>
      <c r="AP228" s="314">
        <v>1205</v>
      </c>
    </row>
    <row r="229" spans="1:42">
      <c r="A229" s="547">
        <f t="shared" si="3"/>
        <v>2004</v>
      </c>
      <c r="B229" s="578">
        <v>38321</v>
      </c>
      <c r="C229" s="314">
        <v>14663</v>
      </c>
      <c r="D229" s="314">
        <v>24326</v>
      </c>
      <c r="E229" s="314">
        <v>85675</v>
      </c>
      <c r="F229" s="314">
        <v>18527</v>
      </c>
      <c r="G229" s="314">
        <v>1887</v>
      </c>
      <c r="H229" s="314">
        <v>8882</v>
      </c>
      <c r="I229" s="314">
        <v>17461</v>
      </c>
      <c r="J229" s="314">
        <v>2859</v>
      </c>
      <c r="K229" s="314">
        <v>170</v>
      </c>
      <c r="L229" s="314">
        <v>1075</v>
      </c>
      <c r="M229" s="314">
        <v>1028</v>
      </c>
      <c r="N229" s="314">
        <v>0</v>
      </c>
      <c r="O229" s="314">
        <v>823</v>
      </c>
      <c r="P229" s="314">
        <v>0</v>
      </c>
      <c r="Q229" s="314">
        <v>325</v>
      </c>
      <c r="R229" s="314">
        <v>797</v>
      </c>
      <c r="S229" s="314">
        <v>90</v>
      </c>
      <c r="T229" s="314">
        <v>0</v>
      </c>
      <c r="U229" s="314">
        <v>1340</v>
      </c>
      <c r="V229" s="314">
        <v>0</v>
      </c>
      <c r="W229" s="314">
        <v>2562</v>
      </c>
      <c r="X229" s="314">
        <v>6432</v>
      </c>
      <c r="Y229" s="314">
        <v>28944</v>
      </c>
      <c r="Z229" s="314">
        <v>3375</v>
      </c>
      <c r="AA229" s="314">
        <v>110</v>
      </c>
      <c r="AB229" s="314">
        <v>1218</v>
      </c>
      <c r="AC229" s="314">
        <v>1312</v>
      </c>
      <c r="AD229" s="314">
        <v>0</v>
      </c>
      <c r="AE229" s="314">
        <v>8064</v>
      </c>
      <c r="AF229" s="314">
        <v>6391</v>
      </c>
      <c r="AG229" s="314">
        <v>33549</v>
      </c>
      <c r="AH229" s="314">
        <v>10323</v>
      </c>
      <c r="AI229" s="314">
        <v>0</v>
      </c>
      <c r="AJ229" s="314">
        <v>328</v>
      </c>
      <c r="AK229" s="314">
        <v>1068</v>
      </c>
      <c r="AL229" s="314">
        <v>0</v>
      </c>
      <c r="AM229" s="314">
        <v>957</v>
      </c>
      <c r="AN229" s="314">
        <v>0</v>
      </c>
      <c r="AO229" s="314">
        <v>648</v>
      </c>
      <c r="AP229" s="314">
        <v>1173</v>
      </c>
    </row>
    <row r="230" spans="1:42">
      <c r="A230" s="547">
        <f t="shared" si="3"/>
        <v>2004</v>
      </c>
      <c r="B230" s="578">
        <v>38352</v>
      </c>
      <c r="C230" s="314">
        <v>18359</v>
      </c>
      <c r="D230" s="314">
        <v>25743</v>
      </c>
      <c r="E230" s="314">
        <v>65172</v>
      </c>
      <c r="F230" s="314">
        <v>30768</v>
      </c>
      <c r="G230" s="314">
        <v>5176</v>
      </c>
      <c r="H230" s="314">
        <v>2085</v>
      </c>
      <c r="I230" s="314">
        <v>26272</v>
      </c>
      <c r="J230" s="314">
        <v>14812</v>
      </c>
      <c r="K230" s="314">
        <v>0</v>
      </c>
      <c r="L230" s="314">
        <v>301</v>
      </c>
      <c r="M230" s="314">
        <v>0</v>
      </c>
      <c r="N230" s="314">
        <v>0</v>
      </c>
      <c r="O230" s="314">
        <v>0</v>
      </c>
      <c r="P230" s="314">
        <v>0</v>
      </c>
      <c r="Q230" s="314">
        <v>0</v>
      </c>
      <c r="R230" s="314">
        <v>0</v>
      </c>
      <c r="S230" s="314">
        <v>1007</v>
      </c>
      <c r="T230" s="314">
        <v>0</v>
      </c>
      <c r="U230" s="314">
        <v>0</v>
      </c>
      <c r="V230" s="314">
        <v>0</v>
      </c>
      <c r="W230" s="314">
        <v>2664</v>
      </c>
      <c r="X230" s="314">
        <v>19212</v>
      </c>
      <c r="Y230" s="314">
        <v>5077</v>
      </c>
      <c r="Z230" s="314">
        <v>0</v>
      </c>
      <c r="AA230" s="314">
        <v>861</v>
      </c>
      <c r="AB230" s="314">
        <v>3071</v>
      </c>
      <c r="AC230" s="314">
        <v>0</v>
      </c>
      <c r="AD230" s="314">
        <v>0</v>
      </c>
      <c r="AE230" s="314">
        <v>7873</v>
      </c>
      <c r="AF230" s="314">
        <v>746</v>
      </c>
      <c r="AG230" s="314">
        <v>33338</v>
      </c>
      <c r="AH230" s="314">
        <v>15956</v>
      </c>
      <c r="AI230" s="314">
        <v>778</v>
      </c>
      <c r="AJ230" s="314">
        <v>328</v>
      </c>
      <c r="AK230" s="314">
        <v>485</v>
      </c>
      <c r="AL230" s="314">
        <v>0</v>
      </c>
      <c r="AM230" s="314">
        <v>0</v>
      </c>
      <c r="AN230" s="314">
        <v>0</v>
      </c>
      <c r="AO230" s="314">
        <v>0</v>
      </c>
      <c r="AP230" s="314">
        <v>0</v>
      </c>
    </row>
    <row r="231" spans="1:42">
      <c r="A231" s="547">
        <f t="shared" si="3"/>
        <v>2005</v>
      </c>
      <c r="B231" s="578">
        <v>38383</v>
      </c>
      <c r="C231" s="314">
        <v>6752</v>
      </c>
      <c r="D231" s="314">
        <v>32141</v>
      </c>
      <c r="E231" s="314">
        <v>35482</v>
      </c>
      <c r="F231" s="314">
        <v>56633</v>
      </c>
      <c r="G231" s="314">
        <v>806</v>
      </c>
      <c r="H231" s="314">
        <v>0</v>
      </c>
      <c r="I231" s="314">
        <v>10246</v>
      </c>
      <c r="J231" s="314">
        <v>505</v>
      </c>
      <c r="K231" s="314">
        <v>0</v>
      </c>
      <c r="L231" s="314">
        <v>0</v>
      </c>
      <c r="M231" s="314">
        <v>0</v>
      </c>
      <c r="N231" s="314">
        <v>0</v>
      </c>
      <c r="O231" s="314">
        <v>0</v>
      </c>
      <c r="P231" s="314">
        <v>0</v>
      </c>
      <c r="Q231" s="314">
        <v>599</v>
      </c>
      <c r="R231" s="314">
        <v>0</v>
      </c>
      <c r="S231" s="314">
        <v>0</v>
      </c>
      <c r="T231" s="314">
        <v>173</v>
      </c>
      <c r="U231" s="314">
        <v>870</v>
      </c>
      <c r="V231" s="314">
        <v>445</v>
      </c>
      <c r="W231" s="314">
        <v>704</v>
      </c>
      <c r="X231" s="314">
        <v>398</v>
      </c>
      <c r="Y231" s="314">
        <v>13333</v>
      </c>
      <c r="Z231" s="314">
        <v>51965</v>
      </c>
      <c r="AA231" s="314">
        <v>572</v>
      </c>
      <c r="AB231" s="314">
        <v>141</v>
      </c>
      <c r="AC231" s="314">
        <v>125</v>
      </c>
      <c r="AD231" s="314">
        <v>90</v>
      </c>
      <c r="AE231" s="314">
        <v>4670</v>
      </c>
      <c r="AF231" s="314">
        <v>31429</v>
      </c>
      <c r="AG231" s="314">
        <v>9589</v>
      </c>
      <c r="AH231" s="314">
        <v>3554</v>
      </c>
      <c r="AI231" s="314">
        <v>0</v>
      </c>
      <c r="AJ231" s="314">
        <v>0</v>
      </c>
      <c r="AK231" s="314">
        <v>720</v>
      </c>
      <c r="AL231" s="314">
        <v>74</v>
      </c>
      <c r="AM231" s="314">
        <v>0</v>
      </c>
      <c r="AN231" s="314">
        <v>0</v>
      </c>
      <c r="AO231" s="314">
        <v>0</v>
      </c>
      <c r="AP231" s="314">
        <v>0</v>
      </c>
    </row>
    <row r="232" spans="1:42">
      <c r="A232" s="547">
        <f t="shared" si="3"/>
        <v>2005</v>
      </c>
      <c r="B232" s="578">
        <v>38411</v>
      </c>
      <c r="C232" s="314">
        <v>12046</v>
      </c>
      <c r="D232" s="314">
        <v>14415</v>
      </c>
      <c r="E232" s="314">
        <v>68565</v>
      </c>
      <c r="F232" s="314">
        <v>3964</v>
      </c>
      <c r="G232" s="314">
        <v>581</v>
      </c>
      <c r="H232" s="314">
        <v>3550</v>
      </c>
      <c r="I232" s="314">
        <v>8106</v>
      </c>
      <c r="J232" s="314">
        <v>1058</v>
      </c>
      <c r="K232" s="314">
        <v>0</v>
      </c>
      <c r="L232" s="314">
        <v>0</v>
      </c>
      <c r="M232" s="314">
        <v>2994</v>
      </c>
      <c r="N232" s="314">
        <v>0</v>
      </c>
      <c r="O232" s="314">
        <v>0</v>
      </c>
      <c r="P232" s="314">
        <v>0</v>
      </c>
      <c r="Q232" s="314">
        <v>0</v>
      </c>
      <c r="R232" s="314">
        <v>0</v>
      </c>
      <c r="S232" s="314">
        <v>1508</v>
      </c>
      <c r="T232" s="314">
        <v>0</v>
      </c>
      <c r="U232" s="314">
        <v>2666</v>
      </c>
      <c r="V232" s="314">
        <v>0</v>
      </c>
      <c r="W232" s="314">
        <v>5201</v>
      </c>
      <c r="X232" s="314">
        <v>1493</v>
      </c>
      <c r="Y232" s="314">
        <v>27206</v>
      </c>
      <c r="Z232" s="314">
        <v>1245</v>
      </c>
      <c r="AA232" s="314">
        <v>0</v>
      </c>
      <c r="AB232" s="314">
        <v>3731</v>
      </c>
      <c r="AC232" s="314">
        <v>0</v>
      </c>
      <c r="AD232" s="314">
        <v>144</v>
      </c>
      <c r="AE232" s="314">
        <v>4550</v>
      </c>
      <c r="AF232" s="314">
        <v>1786</v>
      </c>
      <c r="AG232" s="314">
        <v>26131</v>
      </c>
      <c r="AH232" s="314">
        <v>1443</v>
      </c>
      <c r="AI232" s="314">
        <v>0</v>
      </c>
      <c r="AJ232" s="314">
        <v>3497</v>
      </c>
      <c r="AK232" s="314">
        <v>968</v>
      </c>
      <c r="AL232" s="314">
        <v>74</v>
      </c>
      <c r="AM232" s="314">
        <v>206</v>
      </c>
      <c r="AN232" s="314">
        <v>358</v>
      </c>
      <c r="AO232" s="314">
        <v>494</v>
      </c>
      <c r="AP232" s="314">
        <v>0</v>
      </c>
    </row>
    <row r="233" spans="1:42">
      <c r="A233" s="547">
        <f t="shared" si="3"/>
        <v>2005</v>
      </c>
      <c r="B233" s="578">
        <v>38442</v>
      </c>
      <c r="C233" s="314">
        <v>72127</v>
      </c>
      <c r="D233" s="314">
        <v>14412</v>
      </c>
      <c r="E233" s="314">
        <v>48817</v>
      </c>
      <c r="F233" s="314">
        <v>8475</v>
      </c>
      <c r="G233" s="314">
        <v>5168</v>
      </c>
      <c r="H233" s="314">
        <v>807</v>
      </c>
      <c r="I233" s="314">
        <v>12482</v>
      </c>
      <c r="J233" s="314">
        <v>4454</v>
      </c>
      <c r="K233" s="314">
        <v>0</v>
      </c>
      <c r="L233" s="314">
        <v>0</v>
      </c>
      <c r="M233" s="314">
        <v>531</v>
      </c>
      <c r="N233" s="314">
        <v>569</v>
      </c>
      <c r="O233" s="314">
        <v>0</v>
      </c>
      <c r="P233" s="314">
        <v>322</v>
      </c>
      <c r="Q233" s="314">
        <v>0</v>
      </c>
      <c r="R233" s="314">
        <v>0</v>
      </c>
      <c r="S233" s="314">
        <v>0</v>
      </c>
      <c r="T233" s="314">
        <v>0</v>
      </c>
      <c r="U233" s="314">
        <v>2426</v>
      </c>
      <c r="V233" s="314">
        <v>0</v>
      </c>
      <c r="W233" s="314">
        <v>5967</v>
      </c>
      <c r="X233" s="314">
        <v>6413</v>
      </c>
      <c r="Y233" s="314">
        <v>28960</v>
      </c>
      <c r="Z233" s="314">
        <v>716</v>
      </c>
      <c r="AA233" s="314">
        <v>463</v>
      </c>
      <c r="AB233" s="314">
        <v>0</v>
      </c>
      <c r="AC233" s="314">
        <v>480</v>
      </c>
      <c r="AD233" s="314">
        <v>0</v>
      </c>
      <c r="AE233" s="314">
        <v>60529</v>
      </c>
      <c r="AF233" s="314">
        <v>4744</v>
      </c>
      <c r="AG233" s="314">
        <v>3205</v>
      </c>
      <c r="AH233" s="314">
        <v>337</v>
      </c>
      <c r="AI233" s="314">
        <v>0</v>
      </c>
      <c r="AJ233" s="314">
        <v>302</v>
      </c>
      <c r="AK233" s="314">
        <v>358</v>
      </c>
      <c r="AL233" s="314">
        <v>1856</v>
      </c>
      <c r="AM233" s="314">
        <v>0</v>
      </c>
      <c r="AN233" s="314">
        <v>1824</v>
      </c>
      <c r="AO233" s="314">
        <v>375</v>
      </c>
      <c r="AP233" s="314">
        <v>543</v>
      </c>
    </row>
    <row r="234" spans="1:42">
      <c r="A234" s="547">
        <f t="shared" si="3"/>
        <v>2005</v>
      </c>
      <c r="B234" s="578">
        <v>38472</v>
      </c>
      <c r="C234" s="314">
        <v>21273</v>
      </c>
      <c r="D234" s="314">
        <v>20068</v>
      </c>
      <c r="E234" s="314">
        <v>46827</v>
      </c>
      <c r="F234" s="314">
        <v>5557</v>
      </c>
      <c r="G234" s="314">
        <v>12088</v>
      </c>
      <c r="H234" s="314">
        <v>1866</v>
      </c>
      <c r="I234" s="314">
        <v>20350</v>
      </c>
      <c r="J234" s="314">
        <v>1004</v>
      </c>
      <c r="K234" s="314">
        <v>0</v>
      </c>
      <c r="L234" s="314">
        <v>1990</v>
      </c>
      <c r="M234" s="314">
        <v>4298</v>
      </c>
      <c r="N234" s="314">
        <v>0</v>
      </c>
      <c r="O234" s="314">
        <v>0</v>
      </c>
      <c r="P234" s="314">
        <v>0</v>
      </c>
      <c r="Q234" s="314">
        <v>0</v>
      </c>
      <c r="R234" s="314">
        <v>187</v>
      </c>
      <c r="S234" s="314">
        <v>2197</v>
      </c>
      <c r="T234" s="314">
        <v>2491</v>
      </c>
      <c r="U234" s="314">
        <v>435</v>
      </c>
      <c r="V234" s="314">
        <v>285</v>
      </c>
      <c r="W234" s="314">
        <v>626</v>
      </c>
      <c r="X234" s="314">
        <v>4275</v>
      </c>
      <c r="Y234" s="314">
        <v>9908</v>
      </c>
      <c r="Z234" s="314">
        <v>1284</v>
      </c>
      <c r="AA234" s="314">
        <v>1558</v>
      </c>
      <c r="AB234" s="314">
        <v>1050</v>
      </c>
      <c r="AC234" s="314">
        <v>480</v>
      </c>
      <c r="AD234" s="314">
        <v>0</v>
      </c>
      <c r="AE234" s="314">
        <v>3729</v>
      </c>
      <c r="AF234" s="314">
        <v>1438</v>
      </c>
      <c r="AG234" s="314">
        <v>11356</v>
      </c>
      <c r="AH234" s="314">
        <v>2797</v>
      </c>
      <c r="AI234" s="314">
        <v>1075</v>
      </c>
      <c r="AJ234" s="314">
        <v>6958</v>
      </c>
      <c r="AK234" s="314">
        <v>0</v>
      </c>
      <c r="AL234" s="314">
        <v>0</v>
      </c>
      <c r="AM234" s="314">
        <v>0</v>
      </c>
      <c r="AN234" s="314">
        <v>0</v>
      </c>
      <c r="AO234" s="314">
        <v>0</v>
      </c>
      <c r="AP234" s="314">
        <v>0</v>
      </c>
    </row>
    <row r="235" spans="1:42">
      <c r="A235" s="547">
        <f t="shared" si="3"/>
        <v>2005</v>
      </c>
      <c r="B235" s="578">
        <v>38503</v>
      </c>
      <c r="C235" s="314">
        <v>42496</v>
      </c>
      <c r="D235" s="314">
        <v>27666</v>
      </c>
      <c r="E235" s="314">
        <v>99594</v>
      </c>
      <c r="F235" s="314">
        <v>3842</v>
      </c>
      <c r="G235" s="314">
        <v>7966</v>
      </c>
      <c r="H235" s="314">
        <v>12953</v>
      </c>
      <c r="I235" s="314">
        <v>19279</v>
      </c>
      <c r="J235" s="314">
        <v>1703</v>
      </c>
      <c r="K235" s="314">
        <v>0</v>
      </c>
      <c r="L235" s="314">
        <v>0</v>
      </c>
      <c r="M235" s="314">
        <v>0</v>
      </c>
      <c r="N235" s="314">
        <v>927</v>
      </c>
      <c r="O235" s="314">
        <v>0</v>
      </c>
      <c r="P235" s="314">
        <v>0</v>
      </c>
      <c r="Q235" s="314">
        <v>0</v>
      </c>
      <c r="R235" s="314">
        <v>0</v>
      </c>
      <c r="S235" s="314">
        <v>447</v>
      </c>
      <c r="T235" s="314">
        <v>1890</v>
      </c>
      <c r="U235" s="314">
        <v>1318</v>
      </c>
      <c r="V235" s="314">
        <v>81</v>
      </c>
      <c r="W235" s="314">
        <v>17601</v>
      </c>
      <c r="X235" s="314">
        <v>7319</v>
      </c>
      <c r="Y235" s="314">
        <v>16106</v>
      </c>
      <c r="Z235" s="314">
        <v>714</v>
      </c>
      <c r="AA235" s="314">
        <v>0</v>
      </c>
      <c r="AB235" s="314">
        <v>1899</v>
      </c>
      <c r="AC235" s="314">
        <v>5017</v>
      </c>
      <c r="AD235" s="314">
        <v>170</v>
      </c>
      <c r="AE235" s="314">
        <v>15916</v>
      </c>
      <c r="AF235" s="314">
        <v>250</v>
      </c>
      <c r="AG235" s="314">
        <v>56949</v>
      </c>
      <c r="AH235" s="314">
        <v>0</v>
      </c>
      <c r="AI235" s="314">
        <v>566</v>
      </c>
      <c r="AJ235" s="314">
        <v>3355</v>
      </c>
      <c r="AK235" s="314">
        <v>288</v>
      </c>
      <c r="AL235" s="314">
        <v>0</v>
      </c>
      <c r="AM235" s="314">
        <v>0</v>
      </c>
      <c r="AN235" s="314">
        <v>0</v>
      </c>
      <c r="AO235" s="314">
        <v>637</v>
      </c>
      <c r="AP235" s="314">
        <v>247</v>
      </c>
    </row>
    <row r="236" spans="1:42">
      <c r="A236" s="547">
        <f t="shared" si="3"/>
        <v>2005</v>
      </c>
      <c r="B236" s="578">
        <v>38533</v>
      </c>
      <c r="C236" s="314">
        <v>14065</v>
      </c>
      <c r="D236" s="314">
        <v>61766</v>
      </c>
      <c r="E236" s="314">
        <v>75240</v>
      </c>
      <c r="F236" s="314">
        <v>9099</v>
      </c>
      <c r="G236" s="314">
        <v>9554</v>
      </c>
      <c r="H236" s="314">
        <v>9245</v>
      </c>
      <c r="I236" s="314">
        <v>21870</v>
      </c>
      <c r="J236" s="314">
        <v>6728</v>
      </c>
      <c r="K236" s="314">
        <v>0</v>
      </c>
      <c r="L236" s="314">
        <v>1559</v>
      </c>
      <c r="M236" s="314">
        <v>3471</v>
      </c>
      <c r="N236" s="314">
        <v>20</v>
      </c>
      <c r="O236" s="314">
        <v>0</v>
      </c>
      <c r="P236" s="314">
        <v>0</v>
      </c>
      <c r="Q236" s="314">
        <v>0</v>
      </c>
      <c r="R236" s="314">
        <v>0</v>
      </c>
      <c r="S236" s="314">
        <v>0</v>
      </c>
      <c r="T236" s="314">
        <v>255</v>
      </c>
      <c r="U236" s="314">
        <v>490</v>
      </c>
      <c r="V236" s="314">
        <v>0</v>
      </c>
      <c r="W236" s="314">
        <v>979</v>
      </c>
      <c r="X236" s="314">
        <v>12594</v>
      </c>
      <c r="Y236" s="314">
        <v>7402</v>
      </c>
      <c r="Z236" s="314">
        <v>997</v>
      </c>
      <c r="AA236" s="314">
        <v>0</v>
      </c>
      <c r="AB236" s="314">
        <v>26783</v>
      </c>
      <c r="AC236" s="314">
        <v>1997</v>
      </c>
      <c r="AD236" s="314">
        <v>0</v>
      </c>
      <c r="AE236" s="314">
        <v>2844</v>
      </c>
      <c r="AF236" s="314">
        <v>11330</v>
      </c>
      <c r="AG236" s="314">
        <v>40010</v>
      </c>
      <c r="AH236" s="314">
        <v>1354</v>
      </c>
      <c r="AI236" s="314">
        <v>0</v>
      </c>
      <c r="AJ236" s="314">
        <v>0</v>
      </c>
      <c r="AK236" s="314">
        <v>0</v>
      </c>
      <c r="AL236" s="314">
        <v>0</v>
      </c>
      <c r="AM236" s="314">
        <v>688</v>
      </c>
      <c r="AN236" s="314">
        <v>0</v>
      </c>
      <c r="AO236" s="314">
        <v>0</v>
      </c>
      <c r="AP236" s="314">
        <v>0</v>
      </c>
    </row>
    <row r="237" spans="1:42">
      <c r="A237" s="547">
        <f t="shared" si="3"/>
        <v>2005</v>
      </c>
      <c r="B237" s="578">
        <v>38564</v>
      </c>
      <c r="C237" s="314">
        <v>29314</v>
      </c>
      <c r="D237" s="314">
        <v>11407</v>
      </c>
      <c r="E237" s="314">
        <v>58612</v>
      </c>
      <c r="F237" s="314">
        <v>3665</v>
      </c>
      <c r="G237" s="314">
        <v>842</v>
      </c>
      <c r="H237" s="314">
        <v>4020</v>
      </c>
      <c r="I237" s="314">
        <v>15168</v>
      </c>
      <c r="J237" s="314">
        <v>1186</v>
      </c>
      <c r="K237" s="314">
        <v>0</v>
      </c>
      <c r="L237" s="314">
        <v>78</v>
      </c>
      <c r="M237" s="314">
        <v>509</v>
      </c>
      <c r="N237" s="314">
        <v>0</v>
      </c>
      <c r="O237" s="314">
        <v>0</v>
      </c>
      <c r="P237" s="314">
        <v>0</v>
      </c>
      <c r="Q237" s="314">
        <v>211</v>
      </c>
      <c r="R237" s="314">
        <v>0</v>
      </c>
      <c r="S237" s="314">
        <v>0</v>
      </c>
      <c r="T237" s="314">
        <v>93</v>
      </c>
      <c r="U237" s="314">
        <v>0</v>
      </c>
      <c r="V237" s="314">
        <v>262</v>
      </c>
      <c r="W237" s="314">
        <v>10616</v>
      </c>
      <c r="X237" s="314">
        <v>852</v>
      </c>
      <c r="Y237" s="314">
        <v>27051</v>
      </c>
      <c r="Z237" s="314">
        <v>1574</v>
      </c>
      <c r="AA237" s="314">
        <v>0</v>
      </c>
      <c r="AB237" s="314">
        <v>799</v>
      </c>
      <c r="AC237" s="314">
        <v>600</v>
      </c>
      <c r="AD237" s="314">
        <v>210</v>
      </c>
      <c r="AE237" s="314">
        <v>16910</v>
      </c>
      <c r="AF237" s="314">
        <v>5565</v>
      </c>
      <c r="AG237" s="314">
        <v>15073</v>
      </c>
      <c r="AH237" s="314">
        <v>433</v>
      </c>
      <c r="AI237" s="314">
        <v>0</v>
      </c>
      <c r="AJ237" s="314">
        <v>0</v>
      </c>
      <c r="AK237" s="314">
        <v>0</v>
      </c>
      <c r="AL237" s="314">
        <v>0</v>
      </c>
      <c r="AM237" s="314">
        <v>946</v>
      </c>
      <c r="AN237" s="314">
        <v>0</v>
      </c>
      <c r="AO237" s="314">
        <v>0</v>
      </c>
      <c r="AP237" s="314">
        <v>0</v>
      </c>
    </row>
    <row r="238" spans="1:42">
      <c r="A238" s="547">
        <f t="shared" si="3"/>
        <v>2005</v>
      </c>
      <c r="B238" s="578">
        <v>38595</v>
      </c>
      <c r="C238" s="314">
        <v>91012</v>
      </c>
      <c r="D238" s="314">
        <v>50316</v>
      </c>
      <c r="E238" s="314">
        <v>84824</v>
      </c>
      <c r="F238" s="314">
        <v>7132</v>
      </c>
      <c r="G238" s="314">
        <v>21267</v>
      </c>
      <c r="H238" s="314">
        <v>4529</v>
      </c>
      <c r="I238" s="314">
        <v>41451</v>
      </c>
      <c r="J238" s="314">
        <v>1212</v>
      </c>
      <c r="K238" s="314">
        <v>1125</v>
      </c>
      <c r="L238" s="314">
        <v>4064</v>
      </c>
      <c r="M238" s="314">
        <v>4264</v>
      </c>
      <c r="N238" s="314">
        <v>0</v>
      </c>
      <c r="O238" s="314">
        <v>82</v>
      </c>
      <c r="P238" s="314">
        <v>646</v>
      </c>
      <c r="Q238" s="314">
        <v>209</v>
      </c>
      <c r="R238" s="314">
        <v>295</v>
      </c>
      <c r="S238" s="314">
        <v>0</v>
      </c>
      <c r="T238" s="314">
        <v>1172</v>
      </c>
      <c r="U238" s="314">
        <v>116</v>
      </c>
      <c r="V238" s="314">
        <v>0</v>
      </c>
      <c r="W238" s="314">
        <v>14151</v>
      </c>
      <c r="X238" s="314">
        <v>1881</v>
      </c>
      <c r="Y238" s="314">
        <v>7232</v>
      </c>
      <c r="Z238" s="314">
        <v>4152</v>
      </c>
      <c r="AA238" s="314">
        <v>0</v>
      </c>
      <c r="AB238" s="314">
        <v>1762</v>
      </c>
      <c r="AC238" s="314">
        <v>377</v>
      </c>
      <c r="AD238" s="314">
        <v>1408</v>
      </c>
      <c r="AE238" s="314">
        <v>53387</v>
      </c>
      <c r="AF238" s="314">
        <v>36262</v>
      </c>
      <c r="AG238" s="314">
        <v>24180</v>
      </c>
      <c r="AH238" s="314">
        <v>0</v>
      </c>
      <c r="AI238" s="314">
        <v>0</v>
      </c>
      <c r="AJ238" s="314">
        <v>0</v>
      </c>
      <c r="AK238" s="314">
        <v>5395</v>
      </c>
      <c r="AL238" s="314">
        <v>0</v>
      </c>
      <c r="AM238" s="314">
        <v>1000</v>
      </c>
      <c r="AN238" s="314">
        <v>0</v>
      </c>
      <c r="AO238" s="314">
        <v>1600</v>
      </c>
      <c r="AP238" s="314">
        <v>65</v>
      </c>
    </row>
    <row r="239" spans="1:42">
      <c r="A239" s="547">
        <f t="shared" si="3"/>
        <v>2005</v>
      </c>
      <c r="B239" s="578">
        <v>38625</v>
      </c>
      <c r="C239" s="314">
        <v>54940</v>
      </c>
      <c r="D239" s="314">
        <v>25009</v>
      </c>
      <c r="E239" s="314">
        <v>52232</v>
      </c>
      <c r="F239" s="314">
        <v>30623</v>
      </c>
      <c r="G239" s="314">
        <v>15795</v>
      </c>
      <c r="H239" s="314">
        <v>5195</v>
      </c>
      <c r="I239" s="314">
        <v>20614</v>
      </c>
      <c r="J239" s="314">
        <v>25290</v>
      </c>
      <c r="K239" s="314">
        <v>0</v>
      </c>
      <c r="L239" s="314">
        <v>4851</v>
      </c>
      <c r="M239" s="314">
        <v>935</v>
      </c>
      <c r="N239" s="314">
        <v>171</v>
      </c>
      <c r="O239" s="314">
        <v>0</v>
      </c>
      <c r="P239" s="314">
        <v>0</v>
      </c>
      <c r="Q239" s="314">
        <v>0</v>
      </c>
      <c r="R239" s="314">
        <v>0</v>
      </c>
      <c r="S239" s="314">
        <v>506</v>
      </c>
      <c r="T239" s="314">
        <v>3660</v>
      </c>
      <c r="U239" s="314">
        <v>2623</v>
      </c>
      <c r="V239" s="314">
        <v>219</v>
      </c>
      <c r="W239" s="314">
        <v>3047</v>
      </c>
      <c r="X239" s="314">
        <v>158</v>
      </c>
      <c r="Y239" s="314">
        <v>9944</v>
      </c>
      <c r="Z239" s="314">
        <v>3754</v>
      </c>
      <c r="AA239" s="314">
        <v>0</v>
      </c>
      <c r="AB239" s="314">
        <v>1320</v>
      </c>
      <c r="AC239" s="314">
        <v>0</v>
      </c>
      <c r="AD239" s="314">
        <v>263</v>
      </c>
      <c r="AE239" s="314">
        <v>32992</v>
      </c>
      <c r="AF239" s="314">
        <v>9403</v>
      </c>
      <c r="AG239" s="314">
        <v>12225</v>
      </c>
      <c r="AH239" s="314">
        <v>57</v>
      </c>
      <c r="AI239" s="314">
        <v>0</v>
      </c>
      <c r="AJ239" s="314">
        <v>0</v>
      </c>
      <c r="AK239" s="314">
        <v>3010</v>
      </c>
      <c r="AL239" s="314">
        <v>0</v>
      </c>
      <c r="AM239" s="314">
        <v>2600</v>
      </c>
      <c r="AN239" s="314">
        <v>422</v>
      </c>
      <c r="AO239" s="314">
        <v>2881</v>
      </c>
      <c r="AP239" s="314">
        <v>869</v>
      </c>
    </row>
    <row r="240" spans="1:42">
      <c r="A240" s="547">
        <f t="shared" si="3"/>
        <v>2005</v>
      </c>
      <c r="B240" s="578">
        <v>38656</v>
      </c>
      <c r="C240" s="314">
        <v>90653</v>
      </c>
      <c r="D240" s="314">
        <v>84281</v>
      </c>
      <c r="E240" s="314">
        <v>47111</v>
      </c>
      <c r="F240" s="314">
        <v>6326</v>
      </c>
      <c r="G240" s="314">
        <v>22780</v>
      </c>
      <c r="H240" s="314">
        <v>52346</v>
      </c>
      <c r="I240" s="314">
        <v>31703</v>
      </c>
      <c r="J240" s="314">
        <v>3426</v>
      </c>
      <c r="K240" s="314">
        <v>0</v>
      </c>
      <c r="L240" s="314">
        <v>0</v>
      </c>
      <c r="M240" s="314">
        <v>1824</v>
      </c>
      <c r="N240" s="314">
        <v>1099</v>
      </c>
      <c r="O240" s="314">
        <v>0</v>
      </c>
      <c r="P240" s="314">
        <v>1100</v>
      </c>
      <c r="Q240" s="314">
        <v>597</v>
      </c>
      <c r="R240" s="314">
        <v>0</v>
      </c>
      <c r="S240" s="314">
        <v>0</v>
      </c>
      <c r="T240" s="314">
        <v>183</v>
      </c>
      <c r="U240" s="314">
        <v>0</v>
      </c>
      <c r="V240" s="314">
        <v>601</v>
      </c>
      <c r="W240" s="314">
        <v>8092</v>
      </c>
      <c r="X240" s="314">
        <v>0</v>
      </c>
      <c r="Y240" s="314">
        <v>763</v>
      </c>
      <c r="Z240" s="314">
        <v>285</v>
      </c>
      <c r="AA240" s="314">
        <v>240</v>
      </c>
      <c r="AB240" s="314">
        <v>5948</v>
      </c>
      <c r="AC240" s="314">
        <v>1364</v>
      </c>
      <c r="AD240" s="314">
        <v>915</v>
      </c>
      <c r="AE240" s="314">
        <v>58624</v>
      </c>
      <c r="AF240" s="314">
        <v>22623</v>
      </c>
      <c r="AG240" s="314">
        <v>10860</v>
      </c>
      <c r="AH240" s="314">
        <v>0</v>
      </c>
      <c r="AI240" s="314">
        <v>917</v>
      </c>
      <c r="AJ240" s="314">
        <v>0</v>
      </c>
      <c r="AK240" s="314">
        <v>0</v>
      </c>
      <c r="AL240" s="314">
        <v>0</v>
      </c>
      <c r="AM240" s="314">
        <v>0</v>
      </c>
      <c r="AN240" s="314">
        <v>2081</v>
      </c>
      <c r="AO240" s="314">
        <v>0</v>
      </c>
      <c r="AP240" s="314">
        <v>0</v>
      </c>
    </row>
    <row r="241" spans="1:42">
      <c r="A241" s="547">
        <f t="shared" si="3"/>
        <v>2005</v>
      </c>
      <c r="B241" s="578">
        <v>38686</v>
      </c>
      <c r="C241" s="314">
        <v>43273</v>
      </c>
      <c r="D241" s="314">
        <v>23595</v>
      </c>
      <c r="E241" s="314">
        <v>91457</v>
      </c>
      <c r="F241" s="314">
        <v>6246</v>
      </c>
      <c r="G241" s="314">
        <v>4160</v>
      </c>
      <c r="H241" s="314">
        <v>7676</v>
      </c>
      <c r="I241" s="314">
        <v>31302</v>
      </c>
      <c r="J241" s="314">
        <v>659</v>
      </c>
      <c r="K241" s="314">
        <v>1231</v>
      </c>
      <c r="L241" s="314">
        <v>0</v>
      </c>
      <c r="M241" s="314">
        <v>5814</v>
      </c>
      <c r="N241" s="314">
        <v>0</v>
      </c>
      <c r="O241" s="314">
        <v>186</v>
      </c>
      <c r="P241" s="314">
        <v>0</v>
      </c>
      <c r="Q241" s="314">
        <v>0</v>
      </c>
      <c r="R241" s="314">
        <v>0</v>
      </c>
      <c r="S241" s="314">
        <v>0</v>
      </c>
      <c r="T241" s="314">
        <v>232</v>
      </c>
      <c r="U241" s="314">
        <v>0</v>
      </c>
      <c r="V241" s="314">
        <v>461</v>
      </c>
      <c r="W241" s="314">
        <v>1210</v>
      </c>
      <c r="X241" s="314">
        <v>4599</v>
      </c>
      <c r="Y241" s="314">
        <v>38487</v>
      </c>
      <c r="Z241" s="314">
        <v>3309</v>
      </c>
      <c r="AA241" s="314">
        <v>0</v>
      </c>
      <c r="AB241" s="314">
        <v>1187</v>
      </c>
      <c r="AC241" s="314">
        <v>0</v>
      </c>
      <c r="AD241" s="314">
        <v>862</v>
      </c>
      <c r="AE241" s="314">
        <v>35877</v>
      </c>
      <c r="AF241" s="314">
        <v>7422</v>
      </c>
      <c r="AG241" s="314">
        <v>15854</v>
      </c>
      <c r="AH241" s="314">
        <v>955</v>
      </c>
      <c r="AI241" s="314">
        <v>609</v>
      </c>
      <c r="AJ241" s="314">
        <v>0</v>
      </c>
      <c r="AK241" s="314">
        <v>0</v>
      </c>
      <c r="AL241" s="314">
        <v>0</v>
      </c>
      <c r="AM241" s="314">
        <v>0</v>
      </c>
      <c r="AN241" s="314">
        <v>2479</v>
      </c>
      <c r="AO241" s="314">
        <v>0</v>
      </c>
      <c r="AP241" s="314">
        <v>0</v>
      </c>
    </row>
    <row r="242" spans="1:42">
      <c r="A242" s="547">
        <f t="shared" si="3"/>
        <v>2005</v>
      </c>
      <c r="B242" s="578">
        <v>38717</v>
      </c>
      <c r="C242" s="314">
        <v>17063</v>
      </c>
      <c r="D242" s="314">
        <v>33843</v>
      </c>
      <c r="E242" s="314">
        <v>41801</v>
      </c>
      <c r="F242" s="314">
        <v>2948</v>
      </c>
      <c r="G242" s="314">
        <v>2362</v>
      </c>
      <c r="H242" s="314">
        <v>9837</v>
      </c>
      <c r="I242" s="314">
        <v>20067</v>
      </c>
      <c r="J242" s="314">
        <v>1330</v>
      </c>
      <c r="K242" s="314">
        <v>0</v>
      </c>
      <c r="L242" s="314">
        <v>0</v>
      </c>
      <c r="M242" s="314">
        <v>2593</v>
      </c>
      <c r="N242" s="314">
        <v>0</v>
      </c>
      <c r="O242" s="314">
        <v>0</v>
      </c>
      <c r="P242" s="314">
        <v>0</v>
      </c>
      <c r="Q242" s="314">
        <v>634</v>
      </c>
      <c r="R242" s="314">
        <v>0</v>
      </c>
      <c r="S242" s="314">
        <v>289</v>
      </c>
      <c r="T242" s="314">
        <v>0</v>
      </c>
      <c r="U242" s="314">
        <v>0</v>
      </c>
      <c r="V242" s="314">
        <v>404</v>
      </c>
      <c r="W242" s="314">
        <v>3451</v>
      </c>
      <c r="X242" s="314">
        <v>9007</v>
      </c>
      <c r="Y242" s="314">
        <v>1371</v>
      </c>
      <c r="Z242" s="314">
        <v>98</v>
      </c>
      <c r="AA242" s="314">
        <v>1855</v>
      </c>
      <c r="AB242" s="314">
        <v>1187</v>
      </c>
      <c r="AC242" s="314">
        <v>0</v>
      </c>
      <c r="AD242" s="314">
        <v>101</v>
      </c>
      <c r="AE242" s="314">
        <v>8354</v>
      </c>
      <c r="AF242" s="314">
        <v>13812</v>
      </c>
      <c r="AG242" s="314">
        <v>13691</v>
      </c>
      <c r="AH242" s="314">
        <v>1015</v>
      </c>
      <c r="AI242" s="314">
        <v>591</v>
      </c>
      <c r="AJ242" s="314">
        <v>0</v>
      </c>
      <c r="AK242" s="314">
        <v>3445</v>
      </c>
      <c r="AL242" s="314">
        <v>0</v>
      </c>
      <c r="AM242" s="314">
        <v>161</v>
      </c>
      <c r="AN242" s="314">
        <v>0</v>
      </c>
      <c r="AO242" s="314">
        <v>0</v>
      </c>
      <c r="AP242" s="314">
        <v>0</v>
      </c>
    </row>
    <row r="243" spans="1:42">
      <c r="A243" s="547">
        <f t="shared" si="3"/>
        <v>2006</v>
      </c>
      <c r="B243" s="578">
        <v>38748</v>
      </c>
      <c r="C243" s="314">
        <v>12023</v>
      </c>
      <c r="D243" s="314">
        <v>69917</v>
      </c>
      <c r="E243" s="314">
        <v>34145</v>
      </c>
      <c r="F243" s="314">
        <v>9304</v>
      </c>
      <c r="G243" s="314">
        <v>2179</v>
      </c>
      <c r="H243" s="314">
        <v>1529</v>
      </c>
      <c r="I243" s="314">
        <v>14658</v>
      </c>
      <c r="J243" s="314">
        <v>3350</v>
      </c>
      <c r="K243" s="314">
        <v>0</v>
      </c>
      <c r="L243" s="314">
        <v>0</v>
      </c>
      <c r="M243" s="314">
        <v>0</v>
      </c>
      <c r="N243" s="314">
        <v>1362</v>
      </c>
      <c r="O243" s="314">
        <v>0</v>
      </c>
      <c r="P243" s="314">
        <v>0</v>
      </c>
      <c r="Q243" s="314">
        <v>0</v>
      </c>
      <c r="R243" s="314">
        <v>0</v>
      </c>
      <c r="S243" s="314">
        <v>674</v>
      </c>
      <c r="T243" s="314">
        <v>660</v>
      </c>
      <c r="U243" s="314">
        <v>735</v>
      </c>
      <c r="V243" s="314">
        <v>0</v>
      </c>
      <c r="W243" s="314">
        <v>2612</v>
      </c>
      <c r="X243" s="314">
        <v>5094</v>
      </c>
      <c r="Y243" s="314">
        <v>13874</v>
      </c>
      <c r="Z243" s="314">
        <v>3160</v>
      </c>
      <c r="AA243" s="314">
        <v>0</v>
      </c>
      <c r="AB243" s="314">
        <v>18693</v>
      </c>
      <c r="AC243" s="314">
        <v>0</v>
      </c>
      <c r="AD243" s="314">
        <v>247</v>
      </c>
      <c r="AE243" s="314">
        <v>4717</v>
      </c>
      <c r="AF243" s="314">
        <v>37897</v>
      </c>
      <c r="AG243" s="314">
        <v>4878</v>
      </c>
      <c r="AH243" s="314">
        <v>914</v>
      </c>
      <c r="AI243" s="314">
        <v>1416</v>
      </c>
      <c r="AJ243" s="314">
        <v>6044</v>
      </c>
      <c r="AK243" s="314">
        <v>0</v>
      </c>
      <c r="AL243" s="314">
        <v>271</v>
      </c>
      <c r="AM243" s="314">
        <v>425</v>
      </c>
      <c r="AN243" s="314">
        <v>0</v>
      </c>
      <c r="AO243" s="314">
        <v>0</v>
      </c>
      <c r="AP243" s="314">
        <v>0</v>
      </c>
    </row>
    <row r="244" spans="1:42">
      <c r="A244" s="547">
        <f t="shared" si="3"/>
        <v>2006</v>
      </c>
      <c r="B244" s="578">
        <v>38776</v>
      </c>
      <c r="C244" s="314">
        <v>15988</v>
      </c>
      <c r="D244" s="314">
        <v>47075</v>
      </c>
      <c r="E244" s="314">
        <v>62834</v>
      </c>
      <c r="F244" s="314">
        <v>13767</v>
      </c>
      <c r="G244" s="314">
        <v>3289</v>
      </c>
      <c r="H244" s="314">
        <v>21322</v>
      </c>
      <c r="I244" s="314">
        <v>30928</v>
      </c>
      <c r="J244" s="314">
        <v>5570</v>
      </c>
      <c r="K244" s="314">
        <v>0</v>
      </c>
      <c r="L244" s="314">
        <v>0</v>
      </c>
      <c r="M244" s="314">
        <v>5230</v>
      </c>
      <c r="N244" s="314">
        <v>266</v>
      </c>
      <c r="O244" s="314">
        <v>1620</v>
      </c>
      <c r="P244" s="314">
        <v>0</v>
      </c>
      <c r="Q244" s="314">
        <v>1015</v>
      </c>
      <c r="R244" s="314">
        <v>0</v>
      </c>
      <c r="S244" s="314">
        <v>318</v>
      </c>
      <c r="T244" s="314">
        <v>7767</v>
      </c>
      <c r="U244" s="314">
        <v>651</v>
      </c>
      <c r="V244" s="314">
        <v>0</v>
      </c>
      <c r="W244" s="314">
        <v>0</v>
      </c>
      <c r="X244" s="314">
        <v>2719</v>
      </c>
      <c r="Y244" s="314">
        <v>0</v>
      </c>
      <c r="Z244" s="314">
        <v>6321</v>
      </c>
      <c r="AA244" s="314">
        <v>0</v>
      </c>
      <c r="AB244" s="314">
        <v>5776</v>
      </c>
      <c r="AC244" s="314">
        <v>0</v>
      </c>
      <c r="AD244" s="314">
        <v>0</v>
      </c>
      <c r="AE244" s="314">
        <v>8866</v>
      </c>
      <c r="AF244" s="314">
        <v>8530</v>
      </c>
      <c r="AG244" s="314">
        <v>19859</v>
      </c>
      <c r="AH244" s="314">
        <v>1292</v>
      </c>
      <c r="AI244" s="314">
        <v>163</v>
      </c>
      <c r="AJ244" s="314">
        <v>0</v>
      </c>
      <c r="AK244" s="314">
        <v>4031</v>
      </c>
      <c r="AL244" s="314">
        <v>318</v>
      </c>
      <c r="AM244" s="314">
        <v>1732</v>
      </c>
      <c r="AN244" s="314">
        <v>961</v>
      </c>
      <c r="AO244" s="314">
        <v>1120</v>
      </c>
      <c r="AP244" s="314">
        <v>0</v>
      </c>
    </row>
    <row r="245" spans="1:42">
      <c r="A245" s="547">
        <f t="shared" si="3"/>
        <v>2006</v>
      </c>
      <c r="B245" s="578">
        <v>38807</v>
      </c>
      <c r="C245" s="314">
        <v>35083</v>
      </c>
      <c r="D245" s="314">
        <v>96487</v>
      </c>
      <c r="E245" s="314">
        <v>77177</v>
      </c>
      <c r="F245" s="314">
        <v>11088</v>
      </c>
      <c r="G245" s="314">
        <v>9664</v>
      </c>
      <c r="H245" s="314">
        <v>9310</v>
      </c>
      <c r="I245" s="314">
        <v>31003</v>
      </c>
      <c r="J245" s="314">
        <v>2218</v>
      </c>
      <c r="K245" s="314">
        <v>3183</v>
      </c>
      <c r="L245" s="314">
        <v>6382</v>
      </c>
      <c r="M245" s="314">
        <v>10690</v>
      </c>
      <c r="N245" s="314">
        <v>1257</v>
      </c>
      <c r="O245" s="314">
        <v>0</v>
      </c>
      <c r="P245" s="314">
        <v>0</v>
      </c>
      <c r="Q245" s="314">
        <v>443</v>
      </c>
      <c r="R245" s="314">
        <v>100</v>
      </c>
      <c r="S245" s="314">
        <v>0</v>
      </c>
      <c r="T245" s="314">
        <v>390</v>
      </c>
      <c r="U245" s="314">
        <v>0</v>
      </c>
      <c r="V245" s="314">
        <v>2366</v>
      </c>
      <c r="W245" s="314">
        <v>7433</v>
      </c>
      <c r="X245" s="314">
        <v>933</v>
      </c>
      <c r="Y245" s="314">
        <v>6033</v>
      </c>
      <c r="Z245" s="314">
        <v>1543</v>
      </c>
      <c r="AA245" s="314">
        <v>22</v>
      </c>
      <c r="AB245" s="314">
        <v>3333</v>
      </c>
      <c r="AC245" s="314">
        <v>4300</v>
      </c>
      <c r="AD245" s="314">
        <v>1384</v>
      </c>
      <c r="AE245" s="314">
        <v>9695</v>
      </c>
      <c r="AF245" s="314">
        <v>71302</v>
      </c>
      <c r="AG245" s="314">
        <v>14636</v>
      </c>
      <c r="AH245" s="314">
        <v>2220</v>
      </c>
      <c r="AI245" s="314">
        <v>4818</v>
      </c>
      <c r="AJ245" s="314">
        <v>4837</v>
      </c>
      <c r="AK245" s="314">
        <v>9560</v>
      </c>
      <c r="AL245" s="314">
        <v>0</v>
      </c>
      <c r="AM245" s="314">
        <v>268</v>
      </c>
      <c r="AN245" s="314">
        <v>0</v>
      </c>
      <c r="AO245" s="314">
        <v>512</v>
      </c>
      <c r="AP245" s="314">
        <v>0</v>
      </c>
    </row>
    <row r="246" spans="1:42">
      <c r="A246" s="547">
        <f t="shared" si="3"/>
        <v>2006</v>
      </c>
      <c r="B246" s="578">
        <v>38837</v>
      </c>
      <c r="C246" s="314">
        <v>11409</v>
      </c>
      <c r="D246" s="314">
        <v>39387</v>
      </c>
      <c r="E246" s="314">
        <v>41172</v>
      </c>
      <c r="F246" s="314">
        <v>4155</v>
      </c>
      <c r="G246" s="314">
        <v>4003</v>
      </c>
      <c r="H246" s="314">
        <v>4662</v>
      </c>
      <c r="I246" s="314">
        <v>32052</v>
      </c>
      <c r="J246" s="314">
        <v>610</v>
      </c>
      <c r="K246" s="314">
        <v>0</v>
      </c>
      <c r="L246" s="314">
        <v>672</v>
      </c>
      <c r="M246" s="314">
        <v>0</v>
      </c>
      <c r="N246" s="314">
        <v>0</v>
      </c>
      <c r="O246" s="314">
        <v>0</v>
      </c>
      <c r="P246" s="314">
        <v>0</v>
      </c>
      <c r="Q246" s="314">
        <v>0</v>
      </c>
      <c r="R246" s="314">
        <v>0</v>
      </c>
      <c r="S246" s="314">
        <v>0</v>
      </c>
      <c r="T246" s="314">
        <v>4875</v>
      </c>
      <c r="U246" s="314">
        <v>166</v>
      </c>
      <c r="V246" s="314">
        <v>698</v>
      </c>
      <c r="W246" s="314">
        <v>6835</v>
      </c>
      <c r="X246" s="314">
        <v>5774</v>
      </c>
      <c r="Y246" s="314">
        <v>2937</v>
      </c>
      <c r="Z246" s="314">
        <v>209</v>
      </c>
      <c r="AA246" s="314">
        <v>571</v>
      </c>
      <c r="AB246" s="314">
        <v>0</v>
      </c>
      <c r="AC246" s="314">
        <v>0</v>
      </c>
      <c r="AD246" s="314">
        <v>0</v>
      </c>
      <c r="AE246" s="314">
        <v>0</v>
      </c>
      <c r="AF246" s="314">
        <v>13104</v>
      </c>
      <c r="AG246" s="314">
        <v>5936</v>
      </c>
      <c r="AH246" s="314">
        <v>2638</v>
      </c>
      <c r="AI246" s="314">
        <v>0</v>
      </c>
      <c r="AJ246" s="314">
        <v>0</v>
      </c>
      <c r="AK246" s="314">
        <v>0</v>
      </c>
      <c r="AL246" s="314">
        <v>0</v>
      </c>
      <c r="AM246" s="314">
        <v>0</v>
      </c>
      <c r="AN246" s="314">
        <v>10300</v>
      </c>
      <c r="AO246" s="314">
        <v>81</v>
      </c>
      <c r="AP246" s="314">
        <v>0</v>
      </c>
    </row>
    <row r="247" spans="1:42">
      <c r="A247" s="547">
        <f t="shared" si="3"/>
        <v>2006</v>
      </c>
      <c r="B247" s="578">
        <v>38868</v>
      </c>
      <c r="C247" s="314">
        <v>44213</v>
      </c>
      <c r="D247" s="314">
        <v>38825</v>
      </c>
      <c r="E247" s="314">
        <v>66880</v>
      </c>
      <c r="F247" s="314">
        <v>18035</v>
      </c>
      <c r="G247" s="314">
        <v>8660</v>
      </c>
      <c r="H247" s="314">
        <v>1888</v>
      </c>
      <c r="I247" s="314">
        <v>25720</v>
      </c>
      <c r="J247" s="314">
        <v>7507</v>
      </c>
      <c r="K247" s="314">
        <v>0</v>
      </c>
      <c r="L247" s="314">
        <v>4683</v>
      </c>
      <c r="M247" s="314">
        <v>4684</v>
      </c>
      <c r="N247" s="314">
        <v>401</v>
      </c>
      <c r="O247" s="314">
        <v>0</v>
      </c>
      <c r="P247" s="314">
        <v>0</v>
      </c>
      <c r="Q247" s="314">
        <v>459</v>
      </c>
      <c r="R247" s="314">
        <v>0</v>
      </c>
      <c r="S247" s="314">
        <v>0</v>
      </c>
      <c r="T247" s="314">
        <v>2478</v>
      </c>
      <c r="U247" s="314">
        <v>1307</v>
      </c>
      <c r="V247" s="314">
        <v>0</v>
      </c>
      <c r="W247" s="314">
        <v>8861</v>
      </c>
      <c r="X247" s="314">
        <v>2751</v>
      </c>
      <c r="Y247" s="314">
        <v>15332</v>
      </c>
      <c r="Z247" s="314">
        <v>7230</v>
      </c>
      <c r="AA247" s="314">
        <v>0</v>
      </c>
      <c r="AB247" s="314">
        <v>1211</v>
      </c>
      <c r="AC247" s="314">
        <v>689</v>
      </c>
      <c r="AD247" s="314">
        <v>614</v>
      </c>
      <c r="AE247" s="314">
        <v>24500</v>
      </c>
      <c r="AF247" s="314">
        <v>20712</v>
      </c>
      <c r="AG247" s="314">
        <v>17027</v>
      </c>
      <c r="AH247" s="314">
        <v>978</v>
      </c>
      <c r="AI247" s="314">
        <v>2192</v>
      </c>
      <c r="AJ247" s="314">
        <v>3018</v>
      </c>
      <c r="AK247" s="314">
        <v>1662</v>
      </c>
      <c r="AL247" s="314">
        <v>0</v>
      </c>
      <c r="AM247" s="314">
        <v>0</v>
      </c>
      <c r="AN247" s="314">
        <v>2084</v>
      </c>
      <c r="AO247" s="314">
        <v>0</v>
      </c>
      <c r="AP247" s="314">
        <v>1305</v>
      </c>
    </row>
    <row r="248" spans="1:42">
      <c r="A248" s="547">
        <f t="shared" si="3"/>
        <v>2006</v>
      </c>
      <c r="B248" s="578">
        <v>38898</v>
      </c>
      <c r="C248" s="314">
        <v>21485</v>
      </c>
      <c r="D248" s="314">
        <v>105378</v>
      </c>
      <c r="E248" s="314">
        <v>60914</v>
      </c>
      <c r="F248" s="314">
        <v>8647</v>
      </c>
      <c r="G248" s="314">
        <v>3174</v>
      </c>
      <c r="H248" s="314">
        <v>55700</v>
      </c>
      <c r="I248" s="314">
        <v>27984</v>
      </c>
      <c r="J248" s="314">
        <v>2078</v>
      </c>
      <c r="K248" s="314">
        <v>0</v>
      </c>
      <c r="L248" s="314">
        <v>136</v>
      </c>
      <c r="M248" s="314">
        <v>289</v>
      </c>
      <c r="N248" s="314">
        <v>513</v>
      </c>
      <c r="O248" s="314">
        <v>0</v>
      </c>
      <c r="P248" s="314">
        <v>627</v>
      </c>
      <c r="Q248" s="314">
        <v>1631</v>
      </c>
      <c r="R248" s="314">
        <v>649</v>
      </c>
      <c r="S248" s="314">
        <v>0</v>
      </c>
      <c r="T248" s="314">
        <v>0</v>
      </c>
      <c r="U248" s="314">
        <v>1886</v>
      </c>
      <c r="V248" s="314">
        <v>466</v>
      </c>
      <c r="W248" s="314">
        <v>11111</v>
      </c>
      <c r="X248" s="314">
        <v>6014</v>
      </c>
      <c r="Y248" s="314">
        <v>12336</v>
      </c>
      <c r="Z248" s="314">
        <v>2513</v>
      </c>
      <c r="AA248" s="314">
        <v>1894</v>
      </c>
      <c r="AB248" s="314">
        <v>291</v>
      </c>
      <c r="AC248" s="314">
        <v>0</v>
      </c>
      <c r="AD248" s="314">
        <v>1980</v>
      </c>
      <c r="AE248" s="314">
        <v>5239</v>
      </c>
      <c r="AF248" s="314">
        <v>37757</v>
      </c>
      <c r="AG248" s="314">
        <v>15722</v>
      </c>
      <c r="AH248" s="314">
        <v>448</v>
      </c>
      <c r="AI248" s="314">
        <v>67</v>
      </c>
      <c r="AJ248" s="314">
        <v>4097</v>
      </c>
      <c r="AK248" s="314">
        <v>1066</v>
      </c>
      <c r="AL248" s="314">
        <v>0</v>
      </c>
      <c r="AM248" s="314">
        <v>0</v>
      </c>
      <c r="AN248" s="314">
        <v>756</v>
      </c>
      <c r="AO248" s="314">
        <v>0</v>
      </c>
      <c r="AP248" s="314">
        <v>0</v>
      </c>
    </row>
    <row r="249" spans="1:42">
      <c r="A249" s="547">
        <f t="shared" si="3"/>
        <v>2006</v>
      </c>
      <c r="B249" s="578">
        <v>38929</v>
      </c>
      <c r="C249" s="314">
        <v>29578</v>
      </c>
      <c r="D249" s="314">
        <v>3406</v>
      </c>
      <c r="E249" s="314">
        <v>65345</v>
      </c>
      <c r="F249" s="314">
        <v>18369</v>
      </c>
      <c r="G249" s="314">
        <v>4040</v>
      </c>
      <c r="H249" s="314">
        <v>1360</v>
      </c>
      <c r="I249" s="314">
        <v>15464</v>
      </c>
      <c r="J249" s="314">
        <v>11950</v>
      </c>
      <c r="K249" s="314">
        <v>959</v>
      </c>
      <c r="L249" s="314">
        <v>414</v>
      </c>
      <c r="M249" s="314">
        <v>406</v>
      </c>
      <c r="N249" s="314">
        <v>1710</v>
      </c>
      <c r="O249" s="314">
        <v>0</v>
      </c>
      <c r="P249" s="314">
        <v>0</v>
      </c>
      <c r="Q249" s="314">
        <v>0</v>
      </c>
      <c r="R249" s="314">
        <v>0</v>
      </c>
      <c r="S249" s="314">
        <v>0</v>
      </c>
      <c r="T249" s="314">
        <v>0</v>
      </c>
      <c r="U249" s="314">
        <v>0</v>
      </c>
      <c r="V249" s="314">
        <v>229</v>
      </c>
      <c r="W249" s="314">
        <v>3771</v>
      </c>
      <c r="X249" s="314">
        <v>535</v>
      </c>
      <c r="Y249" s="314">
        <v>14111</v>
      </c>
      <c r="Z249" s="314">
        <v>3145</v>
      </c>
      <c r="AA249" s="314">
        <v>0</v>
      </c>
      <c r="AB249" s="314">
        <v>0</v>
      </c>
      <c r="AC249" s="314">
        <v>69</v>
      </c>
      <c r="AD249" s="314">
        <v>0</v>
      </c>
      <c r="AE249" s="314">
        <v>20808</v>
      </c>
      <c r="AF249" s="314">
        <v>1097</v>
      </c>
      <c r="AG249" s="314">
        <v>30331</v>
      </c>
      <c r="AH249" s="314">
        <v>1335</v>
      </c>
      <c r="AI249" s="314">
        <v>0</v>
      </c>
      <c r="AJ249" s="314">
        <v>0</v>
      </c>
      <c r="AK249" s="314">
        <v>4964</v>
      </c>
      <c r="AL249" s="314">
        <v>0</v>
      </c>
      <c r="AM249" s="314">
        <v>0</v>
      </c>
      <c r="AN249" s="314">
        <v>0</v>
      </c>
      <c r="AO249" s="314">
        <v>0</v>
      </c>
      <c r="AP249" s="314">
        <v>0</v>
      </c>
    </row>
    <row r="250" spans="1:42">
      <c r="A250" s="547">
        <f t="shared" si="3"/>
        <v>2006</v>
      </c>
      <c r="B250" s="578">
        <v>38960</v>
      </c>
      <c r="C250" s="314">
        <v>24803</v>
      </c>
      <c r="D250" s="314">
        <v>19897</v>
      </c>
      <c r="E250" s="314">
        <v>108382</v>
      </c>
      <c r="F250" s="314">
        <v>8611</v>
      </c>
      <c r="G250" s="314">
        <v>8960</v>
      </c>
      <c r="H250" s="314">
        <v>7046</v>
      </c>
      <c r="I250" s="314">
        <v>25841</v>
      </c>
      <c r="J250" s="314">
        <v>341</v>
      </c>
      <c r="K250" s="314">
        <v>350</v>
      </c>
      <c r="L250" s="314">
        <v>0</v>
      </c>
      <c r="M250" s="314">
        <v>6459</v>
      </c>
      <c r="N250" s="314">
        <v>35</v>
      </c>
      <c r="O250" s="314">
        <v>0</v>
      </c>
      <c r="P250" s="314">
        <v>0</v>
      </c>
      <c r="Q250" s="314">
        <v>823</v>
      </c>
      <c r="R250" s="314">
        <v>0</v>
      </c>
      <c r="S250" s="314">
        <v>0</v>
      </c>
      <c r="T250" s="314">
        <v>148</v>
      </c>
      <c r="U250" s="314">
        <v>9702</v>
      </c>
      <c r="V250" s="314">
        <v>0</v>
      </c>
      <c r="W250" s="314">
        <v>5744</v>
      </c>
      <c r="X250" s="314">
        <v>11826</v>
      </c>
      <c r="Y250" s="314">
        <v>41213</v>
      </c>
      <c r="Z250" s="314">
        <v>2988</v>
      </c>
      <c r="AA250" s="314">
        <v>0</v>
      </c>
      <c r="AB250" s="314">
        <v>0</v>
      </c>
      <c r="AC250" s="314">
        <v>0</v>
      </c>
      <c r="AD250" s="314">
        <v>425</v>
      </c>
      <c r="AE250" s="314">
        <v>9266</v>
      </c>
      <c r="AF250" s="314">
        <v>877</v>
      </c>
      <c r="AG250" s="314">
        <v>22153</v>
      </c>
      <c r="AH250" s="314">
        <v>3996</v>
      </c>
      <c r="AI250" s="314">
        <v>483</v>
      </c>
      <c r="AJ250" s="314">
        <v>0</v>
      </c>
      <c r="AK250" s="314">
        <v>2191</v>
      </c>
      <c r="AL250" s="314">
        <v>826</v>
      </c>
      <c r="AM250" s="314">
        <v>0</v>
      </c>
      <c r="AN250" s="314">
        <v>0</v>
      </c>
      <c r="AO250" s="314">
        <v>0</v>
      </c>
      <c r="AP250" s="314">
        <v>0</v>
      </c>
    </row>
    <row r="251" spans="1:42">
      <c r="A251" s="547">
        <f t="shared" si="3"/>
        <v>2006</v>
      </c>
      <c r="B251" s="578">
        <v>38990</v>
      </c>
      <c r="C251" s="314">
        <v>27573</v>
      </c>
      <c r="D251" s="314">
        <v>31152</v>
      </c>
      <c r="E251" s="314">
        <v>72600</v>
      </c>
      <c r="F251" s="314">
        <v>4704</v>
      </c>
      <c r="G251" s="314">
        <v>228</v>
      </c>
      <c r="H251" s="314">
        <v>6769</v>
      </c>
      <c r="I251" s="314">
        <v>24668</v>
      </c>
      <c r="J251" s="314">
        <v>3930</v>
      </c>
      <c r="K251" s="314">
        <v>0</v>
      </c>
      <c r="L251" s="314">
        <v>1261</v>
      </c>
      <c r="M251" s="314">
        <v>1200</v>
      </c>
      <c r="N251" s="314">
        <v>54</v>
      </c>
      <c r="O251" s="314">
        <v>0</v>
      </c>
      <c r="P251" s="314">
        <v>0</v>
      </c>
      <c r="Q251" s="314">
        <v>794</v>
      </c>
      <c r="R251" s="314">
        <v>0</v>
      </c>
      <c r="S251" s="314">
        <v>633</v>
      </c>
      <c r="T251" s="314">
        <v>1846</v>
      </c>
      <c r="U251" s="314">
        <v>0</v>
      </c>
      <c r="V251" s="314">
        <v>4</v>
      </c>
      <c r="W251" s="314">
        <v>2353</v>
      </c>
      <c r="X251" s="314">
        <v>2021</v>
      </c>
      <c r="Y251" s="314">
        <v>3993</v>
      </c>
      <c r="Z251" s="314">
        <v>0</v>
      </c>
      <c r="AA251" s="314">
        <v>708</v>
      </c>
      <c r="AB251" s="314">
        <v>1768</v>
      </c>
      <c r="AC251" s="314">
        <v>0</v>
      </c>
      <c r="AD251" s="314">
        <v>0</v>
      </c>
      <c r="AE251" s="314">
        <v>20738</v>
      </c>
      <c r="AF251" s="314">
        <v>17040</v>
      </c>
      <c r="AG251" s="314">
        <v>26422</v>
      </c>
      <c r="AH251" s="314">
        <v>716</v>
      </c>
      <c r="AI251" s="314">
        <v>1288</v>
      </c>
      <c r="AJ251" s="314">
        <v>447</v>
      </c>
      <c r="AK251" s="314">
        <v>14224</v>
      </c>
      <c r="AL251" s="314">
        <v>0</v>
      </c>
      <c r="AM251" s="314">
        <v>1625</v>
      </c>
      <c r="AN251" s="314">
        <v>0</v>
      </c>
      <c r="AO251" s="314">
        <v>1299</v>
      </c>
      <c r="AP251" s="314">
        <v>0</v>
      </c>
    </row>
    <row r="252" spans="1:42">
      <c r="A252" s="547">
        <f t="shared" si="3"/>
        <v>2006</v>
      </c>
      <c r="B252" s="578">
        <v>39021</v>
      </c>
      <c r="C252" s="314">
        <v>19013</v>
      </c>
      <c r="D252" s="314">
        <v>114924</v>
      </c>
      <c r="E252" s="314">
        <v>92700</v>
      </c>
      <c r="F252" s="314">
        <v>6603</v>
      </c>
      <c r="G252" s="314">
        <v>6841</v>
      </c>
      <c r="H252" s="314">
        <v>6218</v>
      </c>
      <c r="I252" s="314">
        <v>46536</v>
      </c>
      <c r="J252" s="314">
        <v>809</v>
      </c>
      <c r="K252" s="314">
        <v>50</v>
      </c>
      <c r="L252" s="314">
        <v>760</v>
      </c>
      <c r="M252" s="314">
        <v>3571</v>
      </c>
      <c r="N252" s="314">
        <v>45</v>
      </c>
      <c r="O252" s="314">
        <v>868</v>
      </c>
      <c r="P252" s="314">
        <v>4658</v>
      </c>
      <c r="Q252" s="314">
        <v>0</v>
      </c>
      <c r="R252" s="314">
        <v>0</v>
      </c>
      <c r="S252" s="314">
        <v>0</v>
      </c>
      <c r="T252" s="314">
        <v>2321</v>
      </c>
      <c r="U252" s="314">
        <v>2991</v>
      </c>
      <c r="V252" s="314">
        <v>0</v>
      </c>
      <c r="W252" s="314">
        <v>3612</v>
      </c>
      <c r="X252" s="314">
        <v>48671</v>
      </c>
      <c r="Y252" s="314">
        <v>4858</v>
      </c>
      <c r="Z252" s="314">
        <v>0</v>
      </c>
      <c r="AA252" s="314">
        <v>0</v>
      </c>
      <c r="AB252" s="314">
        <v>6046</v>
      </c>
      <c r="AC252" s="314">
        <v>1783</v>
      </c>
      <c r="AD252" s="314">
        <v>542</v>
      </c>
      <c r="AE252" s="314">
        <v>7642</v>
      </c>
      <c r="AF252" s="314">
        <v>37876</v>
      </c>
      <c r="AG252" s="314">
        <v>24099</v>
      </c>
      <c r="AH252" s="314">
        <v>4656</v>
      </c>
      <c r="AI252" s="314">
        <v>0</v>
      </c>
      <c r="AJ252" s="314">
        <v>6331</v>
      </c>
      <c r="AK252" s="314">
        <v>8862</v>
      </c>
      <c r="AL252" s="314">
        <v>551</v>
      </c>
      <c r="AM252" s="314">
        <v>0</v>
      </c>
      <c r="AN252" s="314">
        <v>2043</v>
      </c>
      <c r="AO252" s="314">
        <v>0</v>
      </c>
      <c r="AP252" s="314">
        <v>0</v>
      </c>
    </row>
    <row r="253" spans="1:42">
      <c r="A253" s="547">
        <f t="shared" si="3"/>
        <v>2006</v>
      </c>
      <c r="B253" s="578">
        <v>39051</v>
      </c>
      <c r="C253" s="314">
        <v>57424</v>
      </c>
      <c r="D253" s="314">
        <v>74059</v>
      </c>
      <c r="E253" s="314">
        <v>96407</v>
      </c>
      <c r="F253" s="314">
        <v>5464</v>
      </c>
      <c r="G253" s="314">
        <v>10857</v>
      </c>
      <c r="H253" s="314">
        <v>3567</v>
      </c>
      <c r="I253" s="314">
        <v>22500</v>
      </c>
      <c r="J253" s="314">
        <v>2625</v>
      </c>
      <c r="K253" s="314">
        <v>6680</v>
      </c>
      <c r="L253" s="314">
        <v>0</v>
      </c>
      <c r="M253" s="314">
        <v>4991</v>
      </c>
      <c r="N253" s="314">
        <v>752</v>
      </c>
      <c r="O253" s="314">
        <v>0</v>
      </c>
      <c r="P253" s="314">
        <v>0</v>
      </c>
      <c r="Q253" s="314">
        <v>3157</v>
      </c>
      <c r="R253" s="314">
        <v>475</v>
      </c>
      <c r="S253" s="314">
        <v>0</v>
      </c>
      <c r="T253" s="314">
        <v>1724</v>
      </c>
      <c r="U253" s="314">
        <v>689</v>
      </c>
      <c r="V253" s="314">
        <v>673</v>
      </c>
      <c r="W253" s="314">
        <v>1690</v>
      </c>
      <c r="X253" s="314">
        <v>0</v>
      </c>
      <c r="Y253" s="314">
        <v>26006</v>
      </c>
      <c r="Z253" s="314">
        <v>154</v>
      </c>
      <c r="AA253" s="314">
        <v>0</v>
      </c>
      <c r="AB253" s="314">
        <v>1394</v>
      </c>
      <c r="AC253" s="314">
        <v>0</v>
      </c>
      <c r="AD253" s="314">
        <v>0</v>
      </c>
      <c r="AE253" s="314">
        <v>37954</v>
      </c>
      <c r="AF253" s="314">
        <v>61701</v>
      </c>
      <c r="AG253" s="314">
        <v>38506</v>
      </c>
      <c r="AH253" s="314">
        <v>595</v>
      </c>
      <c r="AI253" s="314">
        <v>0</v>
      </c>
      <c r="AJ253" s="314">
        <v>5270</v>
      </c>
      <c r="AK253" s="314">
        <v>117</v>
      </c>
      <c r="AL253" s="314">
        <v>0</v>
      </c>
      <c r="AM253" s="314">
        <v>243</v>
      </c>
      <c r="AN253" s="314">
        <v>403</v>
      </c>
      <c r="AO253" s="314">
        <v>441</v>
      </c>
      <c r="AP253" s="314">
        <v>190</v>
      </c>
    </row>
    <row r="254" spans="1:42">
      <c r="A254" s="547">
        <f t="shared" si="3"/>
        <v>2006</v>
      </c>
      <c r="B254" s="578">
        <v>39082</v>
      </c>
      <c r="C254" s="314">
        <v>29598</v>
      </c>
      <c r="D254" s="314">
        <v>33500</v>
      </c>
      <c r="E254" s="314">
        <v>100857</v>
      </c>
      <c r="F254" s="314">
        <v>3280</v>
      </c>
      <c r="G254" s="314">
        <v>7368</v>
      </c>
      <c r="H254" s="314">
        <v>9095</v>
      </c>
      <c r="I254" s="314">
        <v>27430</v>
      </c>
      <c r="J254" s="314">
        <v>996</v>
      </c>
      <c r="K254" s="314">
        <v>0</v>
      </c>
      <c r="L254" s="314">
        <v>0</v>
      </c>
      <c r="M254" s="314">
        <v>1497</v>
      </c>
      <c r="N254" s="314">
        <v>0</v>
      </c>
      <c r="O254" s="314">
        <v>0</v>
      </c>
      <c r="P254" s="314">
        <v>0</v>
      </c>
      <c r="Q254" s="314">
        <v>794</v>
      </c>
      <c r="R254" s="314">
        <v>0</v>
      </c>
      <c r="S254" s="314">
        <v>506</v>
      </c>
      <c r="T254" s="314">
        <v>0</v>
      </c>
      <c r="U254" s="314">
        <v>1236</v>
      </c>
      <c r="V254" s="314">
        <v>0</v>
      </c>
      <c r="W254" s="314">
        <v>2772</v>
      </c>
      <c r="X254" s="314">
        <v>5258</v>
      </c>
      <c r="Y254" s="314">
        <v>20547</v>
      </c>
      <c r="Z254" s="314">
        <v>542</v>
      </c>
      <c r="AA254" s="314">
        <v>0</v>
      </c>
      <c r="AB254" s="314">
        <v>6183</v>
      </c>
      <c r="AC254" s="314">
        <v>171</v>
      </c>
      <c r="AD254" s="314">
        <v>1672</v>
      </c>
      <c r="AE254" s="314">
        <v>18952</v>
      </c>
      <c r="AF254" s="314">
        <v>11204</v>
      </c>
      <c r="AG254" s="314">
        <v>46827</v>
      </c>
      <c r="AH254" s="314">
        <v>70</v>
      </c>
      <c r="AI254" s="314">
        <v>0</v>
      </c>
      <c r="AJ254" s="314">
        <v>1508</v>
      </c>
      <c r="AK254" s="314">
        <v>2355</v>
      </c>
      <c r="AL254" s="314">
        <v>0</v>
      </c>
      <c r="AM254" s="314">
        <v>0</v>
      </c>
      <c r="AN254" s="314">
        <v>252</v>
      </c>
      <c r="AO254" s="314">
        <v>0</v>
      </c>
      <c r="AP254" s="314">
        <v>0</v>
      </c>
    </row>
    <row r="255" spans="1:42">
      <c r="A255" s="547">
        <f t="shared" si="3"/>
        <v>2007</v>
      </c>
      <c r="B255" s="578">
        <v>39113</v>
      </c>
      <c r="C255" s="314">
        <v>43084</v>
      </c>
      <c r="D255" s="314">
        <v>15716</v>
      </c>
      <c r="E255" s="314">
        <v>68158</v>
      </c>
      <c r="F255" s="314">
        <v>25977</v>
      </c>
      <c r="G255" s="314">
        <v>10865</v>
      </c>
      <c r="H255" s="314">
        <v>4848</v>
      </c>
      <c r="I255" s="314">
        <v>11266</v>
      </c>
      <c r="J255" s="314">
        <v>9113</v>
      </c>
      <c r="K255" s="314">
        <v>0</v>
      </c>
      <c r="L255" s="314">
        <v>1327</v>
      </c>
      <c r="M255" s="314">
        <v>1021</v>
      </c>
      <c r="N255" s="314">
        <v>0</v>
      </c>
      <c r="O255" s="314">
        <v>0</v>
      </c>
      <c r="P255" s="314">
        <v>1710</v>
      </c>
      <c r="Q255" s="314">
        <v>0</v>
      </c>
      <c r="R255" s="314">
        <v>0</v>
      </c>
      <c r="S255" s="314">
        <v>0</v>
      </c>
      <c r="T255" s="314">
        <v>350</v>
      </c>
      <c r="U255" s="314">
        <v>0</v>
      </c>
      <c r="V255" s="314">
        <v>0</v>
      </c>
      <c r="W255" s="314">
        <v>1727</v>
      </c>
      <c r="X255" s="314">
        <v>470</v>
      </c>
      <c r="Y255" s="314">
        <v>35467</v>
      </c>
      <c r="Z255" s="314">
        <v>0</v>
      </c>
      <c r="AA255" s="314">
        <v>1286</v>
      </c>
      <c r="AB255" s="314">
        <v>3620</v>
      </c>
      <c r="AC255" s="314">
        <v>0</v>
      </c>
      <c r="AD255" s="314">
        <v>218</v>
      </c>
      <c r="AE255" s="314">
        <v>26589</v>
      </c>
      <c r="AF255" s="314">
        <v>2948</v>
      </c>
      <c r="AG255" s="314">
        <v>17859</v>
      </c>
      <c r="AH255" s="314">
        <v>15843</v>
      </c>
      <c r="AI255" s="314">
        <v>2617</v>
      </c>
      <c r="AJ255" s="314">
        <v>443</v>
      </c>
      <c r="AK255" s="314">
        <v>574</v>
      </c>
      <c r="AL255" s="314">
        <v>803</v>
      </c>
      <c r="AM255" s="314">
        <v>0</v>
      </c>
      <c r="AN255" s="314">
        <v>0</v>
      </c>
      <c r="AO255" s="314">
        <v>1971</v>
      </c>
      <c r="AP255" s="314">
        <v>0</v>
      </c>
    </row>
    <row r="256" spans="1:42">
      <c r="A256" s="547">
        <f t="shared" si="3"/>
        <v>2007</v>
      </c>
      <c r="B256" s="578">
        <v>39141</v>
      </c>
      <c r="C256" s="314">
        <v>30607</v>
      </c>
      <c r="D256" s="314">
        <v>105221</v>
      </c>
      <c r="E256" s="314">
        <v>140348</v>
      </c>
      <c r="F256" s="314">
        <v>19979</v>
      </c>
      <c r="G256" s="314">
        <v>848</v>
      </c>
      <c r="H256" s="314">
        <v>284</v>
      </c>
      <c r="I256" s="314">
        <v>64002</v>
      </c>
      <c r="J256" s="314">
        <v>1964</v>
      </c>
      <c r="K256" s="314">
        <v>0</v>
      </c>
      <c r="L256" s="314">
        <v>0</v>
      </c>
      <c r="M256" s="314">
        <v>14123</v>
      </c>
      <c r="N256" s="314">
        <v>707</v>
      </c>
      <c r="O256" s="314">
        <v>5682</v>
      </c>
      <c r="P256" s="314">
        <v>33298</v>
      </c>
      <c r="Q256" s="314">
        <v>482</v>
      </c>
      <c r="R256" s="314">
        <v>0</v>
      </c>
      <c r="S256" s="314">
        <v>0</v>
      </c>
      <c r="T256" s="314">
        <v>1930</v>
      </c>
      <c r="U256" s="314">
        <v>64</v>
      </c>
      <c r="V256" s="314">
        <v>191</v>
      </c>
      <c r="W256" s="314">
        <v>6781</v>
      </c>
      <c r="X256" s="314">
        <v>33136</v>
      </c>
      <c r="Y256" s="314">
        <v>26159</v>
      </c>
      <c r="Z256" s="314">
        <v>5349</v>
      </c>
      <c r="AA256" s="314">
        <v>0</v>
      </c>
      <c r="AB256" s="314">
        <v>12549</v>
      </c>
      <c r="AC256" s="314">
        <v>0</v>
      </c>
      <c r="AD256" s="314">
        <v>426</v>
      </c>
      <c r="AE256" s="314">
        <v>15912</v>
      </c>
      <c r="AF256" s="314">
        <v>23308</v>
      </c>
      <c r="AG256" s="314">
        <v>30459</v>
      </c>
      <c r="AH256" s="314">
        <v>11342</v>
      </c>
      <c r="AI256" s="314">
        <v>1384</v>
      </c>
      <c r="AJ256" s="314">
        <v>0</v>
      </c>
      <c r="AK256" s="314">
        <v>4531</v>
      </c>
      <c r="AL256" s="314">
        <v>0</v>
      </c>
      <c r="AM256" s="314">
        <v>0</v>
      </c>
      <c r="AN256" s="314">
        <v>716</v>
      </c>
      <c r="AO256" s="314">
        <v>528</v>
      </c>
      <c r="AP256" s="314">
        <v>0</v>
      </c>
    </row>
    <row r="257" spans="1:42">
      <c r="A257" s="547">
        <f t="shared" si="3"/>
        <v>2007</v>
      </c>
      <c r="B257" s="578">
        <v>39172</v>
      </c>
      <c r="C257" s="314">
        <v>89269</v>
      </c>
      <c r="D257" s="314">
        <v>75713</v>
      </c>
      <c r="E257" s="314">
        <v>303597</v>
      </c>
      <c r="F257" s="314">
        <v>12733</v>
      </c>
      <c r="G257" s="314">
        <v>63079</v>
      </c>
      <c r="H257" s="314">
        <v>3969</v>
      </c>
      <c r="I257" s="314">
        <v>50698</v>
      </c>
      <c r="J257" s="314">
        <v>8220</v>
      </c>
      <c r="K257" s="314">
        <v>1254</v>
      </c>
      <c r="L257" s="314">
        <v>285</v>
      </c>
      <c r="M257" s="314">
        <v>0</v>
      </c>
      <c r="N257" s="314">
        <v>1488</v>
      </c>
      <c r="O257" s="314">
        <v>0</v>
      </c>
      <c r="P257" s="314">
        <v>1532</v>
      </c>
      <c r="Q257" s="314">
        <v>591</v>
      </c>
      <c r="R257" s="314">
        <v>0</v>
      </c>
      <c r="S257" s="314">
        <v>1254</v>
      </c>
      <c r="T257" s="314">
        <v>0</v>
      </c>
      <c r="U257" s="314">
        <v>775</v>
      </c>
      <c r="V257" s="314">
        <v>0</v>
      </c>
      <c r="W257" s="314">
        <v>3227</v>
      </c>
      <c r="X257" s="314">
        <v>833</v>
      </c>
      <c r="Y257" s="314">
        <v>41696</v>
      </c>
      <c r="Z257" s="314">
        <v>573</v>
      </c>
      <c r="AA257" s="314">
        <v>1509</v>
      </c>
      <c r="AB257" s="314">
        <v>3720</v>
      </c>
      <c r="AC257" s="314">
        <v>0</v>
      </c>
      <c r="AD257" s="314">
        <v>979</v>
      </c>
      <c r="AE257" s="314">
        <v>15391</v>
      </c>
      <c r="AF257" s="314">
        <v>59600</v>
      </c>
      <c r="AG257" s="314">
        <v>207489</v>
      </c>
      <c r="AH257" s="314">
        <v>1056</v>
      </c>
      <c r="AI257" s="314">
        <v>2379</v>
      </c>
      <c r="AJ257" s="314">
        <v>4017</v>
      </c>
      <c r="AK257" s="314">
        <v>2348</v>
      </c>
      <c r="AL257" s="314">
        <v>417</v>
      </c>
      <c r="AM257" s="314">
        <v>1176</v>
      </c>
      <c r="AN257" s="314">
        <v>1757</v>
      </c>
      <c r="AO257" s="314">
        <v>0</v>
      </c>
      <c r="AP257" s="314">
        <v>0</v>
      </c>
    </row>
    <row r="258" spans="1:42">
      <c r="A258" s="547">
        <f t="shared" si="3"/>
        <v>2007</v>
      </c>
      <c r="B258" s="578">
        <v>39202</v>
      </c>
      <c r="C258" s="314">
        <v>39436</v>
      </c>
      <c r="D258" s="314">
        <v>78415</v>
      </c>
      <c r="E258" s="314">
        <v>109398</v>
      </c>
      <c r="F258" s="314">
        <v>8454</v>
      </c>
      <c r="G258" s="314">
        <v>988</v>
      </c>
      <c r="H258" s="314">
        <v>4651</v>
      </c>
      <c r="I258" s="314">
        <v>39891</v>
      </c>
      <c r="J258" s="314">
        <v>2187</v>
      </c>
      <c r="K258" s="314">
        <v>0</v>
      </c>
      <c r="L258" s="314">
        <v>0</v>
      </c>
      <c r="M258" s="314">
        <v>2538</v>
      </c>
      <c r="N258" s="314">
        <v>0</v>
      </c>
      <c r="O258" s="314">
        <v>0</v>
      </c>
      <c r="P258" s="314">
        <v>562</v>
      </c>
      <c r="Q258" s="314">
        <v>1133</v>
      </c>
      <c r="R258" s="314">
        <v>0</v>
      </c>
      <c r="S258" s="314">
        <v>3307</v>
      </c>
      <c r="T258" s="314">
        <v>1875</v>
      </c>
      <c r="U258" s="314">
        <v>673</v>
      </c>
      <c r="V258" s="314">
        <v>0</v>
      </c>
      <c r="W258" s="314">
        <v>1531</v>
      </c>
      <c r="X258" s="314">
        <v>6869</v>
      </c>
      <c r="Y258" s="314">
        <v>51205</v>
      </c>
      <c r="Z258" s="314">
        <v>3755</v>
      </c>
      <c r="AA258" s="314">
        <v>0</v>
      </c>
      <c r="AB258" s="314">
        <v>1920</v>
      </c>
      <c r="AC258" s="314">
        <v>0</v>
      </c>
      <c r="AD258" s="314">
        <v>299</v>
      </c>
      <c r="AE258" s="314">
        <v>27707</v>
      </c>
      <c r="AF258" s="314">
        <v>902</v>
      </c>
      <c r="AG258" s="314">
        <v>13805</v>
      </c>
      <c r="AH258" s="314">
        <v>2093</v>
      </c>
      <c r="AI258" s="314">
        <v>5903</v>
      </c>
      <c r="AJ258" s="314">
        <v>61174</v>
      </c>
      <c r="AK258" s="314">
        <v>153</v>
      </c>
      <c r="AL258" s="314">
        <v>120</v>
      </c>
      <c r="AM258" s="314">
        <v>0</v>
      </c>
      <c r="AN258" s="314">
        <v>462</v>
      </c>
      <c r="AO258" s="314">
        <v>0</v>
      </c>
      <c r="AP258" s="314">
        <v>0</v>
      </c>
    </row>
    <row r="259" spans="1:42">
      <c r="A259" s="547">
        <f t="shared" si="3"/>
        <v>2007</v>
      </c>
      <c r="B259" s="578">
        <v>39233</v>
      </c>
      <c r="C259" s="314">
        <v>86660</v>
      </c>
      <c r="D259" s="314">
        <v>82981</v>
      </c>
      <c r="E259" s="314">
        <v>76704</v>
      </c>
      <c r="F259" s="314">
        <v>6755</v>
      </c>
      <c r="G259" s="314">
        <v>38286</v>
      </c>
      <c r="H259" s="314">
        <v>2652</v>
      </c>
      <c r="I259" s="314">
        <v>31474</v>
      </c>
      <c r="J259" s="314">
        <v>1987</v>
      </c>
      <c r="K259" s="314">
        <v>0</v>
      </c>
      <c r="L259" s="314">
        <v>8476</v>
      </c>
      <c r="M259" s="314">
        <v>1968</v>
      </c>
      <c r="N259" s="314">
        <v>0</v>
      </c>
      <c r="O259" s="314">
        <v>216</v>
      </c>
      <c r="P259" s="314">
        <v>0</v>
      </c>
      <c r="Q259" s="314">
        <v>1223</v>
      </c>
      <c r="R259" s="314">
        <v>498</v>
      </c>
      <c r="S259" s="314">
        <v>541</v>
      </c>
      <c r="T259" s="314">
        <v>429</v>
      </c>
      <c r="U259" s="314">
        <v>0</v>
      </c>
      <c r="V259" s="314">
        <v>298</v>
      </c>
      <c r="W259" s="314">
        <v>4458</v>
      </c>
      <c r="X259" s="314">
        <v>11786</v>
      </c>
      <c r="Y259" s="314">
        <v>9652</v>
      </c>
      <c r="Z259" s="314">
        <v>3154</v>
      </c>
      <c r="AA259" s="314">
        <v>0</v>
      </c>
      <c r="AB259" s="314">
        <v>1488</v>
      </c>
      <c r="AC259" s="314">
        <v>2603</v>
      </c>
      <c r="AD259" s="314">
        <v>0</v>
      </c>
      <c r="AE259" s="314">
        <v>42234</v>
      </c>
      <c r="AF259" s="314">
        <v>57622</v>
      </c>
      <c r="AG259" s="314">
        <v>27291</v>
      </c>
      <c r="AH259" s="314">
        <v>538</v>
      </c>
      <c r="AI259" s="314">
        <v>925</v>
      </c>
      <c r="AJ259" s="314">
        <v>0</v>
      </c>
      <c r="AK259" s="314">
        <v>2493</v>
      </c>
      <c r="AL259" s="314">
        <v>0</v>
      </c>
      <c r="AM259" s="314">
        <v>0</v>
      </c>
      <c r="AN259" s="314">
        <v>528</v>
      </c>
      <c r="AO259" s="314">
        <v>0</v>
      </c>
      <c r="AP259" s="314">
        <v>280</v>
      </c>
    </row>
    <row r="260" spans="1:42">
      <c r="A260" s="547">
        <f t="shared" ref="A260:A323" si="4">YEAR($B260)</f>
        <v>2007</v>
      </c>
      <c r="B260" s="578">
        <v>39263</v>
      </c>
      <c r="C260" s="314">
        <v>26055</v>
      </c>
      <c r="D260" s="314">
        <v>52762</v>
      </c>
      <c r="E260" s="314">
        <v>102806</v>
      </c>
      <c r="F260" s="314">
        <v>6227</v>
      </c>
      <c r="G260" s="314">
        <v>3547</v>
      </c>
      <c r="H260" s="314">
        <v>19754</v>
      </c>
      <c r="I260" s="314">
        <v>29358</v>
      </c>
      <c r="J260" s="314">
        <v>671</v>
      </c>
      <c r="K260" s="314">
        <v>0</v>
      </c>
      <c r="L260" s="314">
        <v>3223</v>
      </c>
      <c r="M260" s="314">
        <v>966</v>
      </c>
      <c r="N260" s="314">
        <v>225</v>
      </c>
      <c r="O260" s="314">
        <v>0</v>
      </c>
      <c r="P260" s="314">
        <v>517</v>
      </c>
      <c r="Q260" s="314">
        <v>0</v>
      </c>
      <c r="R260" s="314">
        <v>0</v>
      </c>
      <c r="S260" s="314">
        <v>0</v>
      </c>
      <c r="T260" s="314">
        <v>0</v>
      </c>
      <c r="U260" s="314">
        <v>2362</v>
      </c>
      <c r="V260" s="314">
        <v>2464</v>
      </c>
      <c r="W260" s="314">
        <v>2749</v>
      </c>
      <c r="X260" s="314">
        <v>3369</v>
      </c>
      <c r="Y260" s="314">
        <v>15285</v>
      </c>
      <c r="Z260" s="314">
        <v>2395</v>
      </c>
      <c r="AA260" s="314">
        <v>106</v>
      </c>
      <c r="AB260" s="314">
        <v>5192</v>
      </c>
      <c r="AC260" s="314">
        <v>5727</v>
      </c>
      <c r="AD260" s="314">
        <v>0</v>
      </c>
      <c r="AE260" s="314">
        <v>19653</v>
      </c>
      <c r="AF260" s="314">
        <v>18897</v>
      </c>
      <c r="AG260" s="314">
        <v>45661</v>
      </c>
      <c r="AH260" s="314">
        <v>472</v>
      </c>
      <c r="AI260" s="314">
        <v>0</v>
      </c>
      <c r="AJ260" s="314">
        <v>1100</v>
      </c>
      <c r="AK260" s="314">
        <v>3447</v>
      </c>
      <c r="AL260" s="314">
        <v>0</v>
      </c>
      <c r="AM260" s="314">
        <v>0</v>
      </c>
      <c r="AN260" s="314">
        <v>710</v>
      </c>
      <c r="AO260" s="314">
        <v>0</v>
      </c>
      <c r="AP260" s="314">
        <v>0</v>
      </c>
    </row>
    <row r="261" spans="1:42">
      <c r="A261" s="547">
        <f t="shared" si="4"/>
        <v>2007</v>
      </c>
      <c r="B261" s="578">
        <v>39294</v>
      </c>
      <c r="C261" s="314">
        <v>97092</v>
      </c>
      <c r="D261" s="314">
        <v>42646</v>
      </c>
      <c r="E261" s="314">
        <v>203661</v>
      </c>
      <c r="F261" s="314">
        <v>13860</v>
      </c>
      <c r="G261" s="314">
        <v>43467</v>
      </c>
      <c r="H261" s="314">
        <v>1533</v>
      </c>
      <c r="I261" s="314">
        <v>58521</v>
      </c>
      <c r="J261" s="314">
        <v>5804</v>
      </c>
      <c r="K261" s="314">
        <v>50</v>
      </c>
      <c r="L261" s="314">
        <v>3015</v>
      </c>
      <c r="M261" s="314">
        <v>1419</v>
      </c>
      <c r="N261" s="314">
        <v>394</v>
      </c>
      <c r="O261" s="314">
        <v>293</v>
      </c>
      <c r="P261" s="314">
        <v>1455</v>
      </c>
      <c r="Q261" s="314">
        <v>1301</v>
      </c>
      <c r="R261" s="314">
        <v>0</v>
      </c>
      <c r="S261" s="314">
        <v>2323</v>
      </c>
      <c r="T261" s="314">
        <v>4770</v>
      </c>
      <c r="U261" s="314">
        <v>6690</v>
      </c>
      <c r="V261" s="314">
        <v>107</v>
      </c>
      <c r="W261" s="314">
        <v>2018</v>
      </c>
      <c r="X261" s="314">
        <v>23841</v>
      </c>
      <c r="Y261" s="314">
        <v>68310</v>
      </c>
      <c r="Z261" s="314">
        <v>3080</v>
      </c>
      <c r="AA261" s="314">
        <v>0</v>
      </c>
      <c r="AB261" s="314">
        <v>3889</v>
      </c>
      <c r="AC261" s="314">
        <v>1128</v>
      </c>
      <c r="AD261" s="314">
        <v>0</v>
      </c>
      <c r="AE261" s="314">
        <v>44826</v>
      </c>
      <c r="AF261" s="314">
        <v>4143</v>
      </c>
      <c r="AG261" s="314">
        <v>62243</v>
      </c>
      <c r="AH261" s="314">
        <v>1372</v>
      </c>
      <c r="AI261" s="314">
        <v>4115</v>
      </c>
      <c r="AJ261" s="314">
        <v>0</v>
      </c>
      <c r="AK261" s="314">
        <v>4049</v>
      </c>
      <c r="AL261" s="314">
        <v>2210</v>
      </c>
      <c r="AM261" s="314">
        <v>0</v>
      </c>
      <c r="AN261" s="314">
        <v>0</v>
      </c>
      <c r="AO261" s="314">
        <v>0</v>
      </c>
      <c r="AP261" s="314">
        <v>893</v>
      </c>
    </row>
    <row r="262" spans="1:42">
      <c r="A262" s="547">
        <f t="shared" si="4"/>
        <v>2007</v>
      </c>
      <c r="B262" s="578">
        <v>39325</v>
      </c>
      <c r="C262" s="314">
        <v>22252</v>
      </c>
      <c r="D262" s="314">
        <v>24754</v>
      </c>
      <c r="E262" s="314">
        <v>104696</v>
      </c>
      <c r="F262" s="314">
        <v>28971</v>
      </c>
      <c r="G262" s="314">
        <v>7758</v>
      </c>
      <c r="H262" s="314">
        <v>1768</v>
      </c>
      <c r="I262" s="314">
        <v>34044</v>
      </c>
      <c r="J262" s="314">
        <v>25463</v>
      </c>
      <c r="K262" s="314">
        <v>333</v>
      </c>
      <c r="L262" s="314">
        <v>0</v>
      </c>
      <c r="M262" s="314">
        <v>921</v>
      </c>
      <c r="N262" s="314">
        <v>459</v>
      </c>
      <c r="O262" s="314">
        <v>0</v>
      </c>
      <c r="P262" s="314">
        <v>786</v>
      </c>
      <c r="Q262" s="314">
        <v>0</v>
      </c>
      <c r="R262" s="314">
        <v>0</v>
      </c>
      <c r="S262" s="314">
        <v>0</v>
      </c>
      <c r="T262" s="314">
        <v>0</v>
      </c>
      <c r="U262" s="314">
        <v>480</v>
      </c>
      <c r="V262" s="314">
        <v>0</v>
      </c>
      <c r="W262" s="314">
        <v>89</v>
      </c>
      <c r="X262" s="314">
        <v>10125</v>
      </c>
      <c r="Y262" s="314">
        <v>25595</v>
      </c>
      <c r="Z262" s="314">
        <v>249</v>
      </c>
      <c r="AA262" s="314">
        <v>332</v>
      </c>
      <c r="AB262" s="314">
        <v>1947</v>
      </c>
      <c r="AC262" s="314">
        <v>0</v>
      </c>
      <c r="AD262" s="314">
        <v>2800</v>
      </c>
      <c r="AE262" s="314">
        <v>9464</v>
      </c>
      <c r="AF262" s="314">
        <v>9339</v>
      </c>
      <c r="AG262" s="314">
        <v>39650</v>
      </c>
      <c r="AH262" s="314">
        <v>0</v>
      </c>
      <c r="AI262" s="314">
        <v>3924</v>
      </c>
      <c r="AJ262" s="314">
        <v>0</v>
      </c>
      <c r="AK262" s="314">
        <v>0</v>
      </c>
      <c r="AL262" s="314">
        <v>0</v>
      </c>
      <c r="AM262" s="314">
        <v>352</v>
      </c>
      <c r="AN262" s="314">
        <v>789</v>
      </c>
      <c r="AO262" s="314">
        <v>4006</v>
      </c>
      <c r="AP262" s="314">
        <v>0</v>
      </c>
    </row>
    <row r="263" spans="1:42">
      <c r="A263" s="547">
        <f t="shared" si="4"/>
        <v>2007</v>
      </c>
      <c r="B263" s="578">
        <v>39355</v>
      </c>
      <c r="C263" s="314">
        <v>89792</v>
      </c>
      <c r="D263" s="314">
        <v>71067</v>
      </c>
      <c r="E263" s="314">
        <v>91347</v>
      </c>
      <c r="F263" s="314">
        <v>13785</v>
      </c>
      <c r="G263" s="314">
        <v>34631</v>
      </c>
      <c r="H263" s="314">
        <v>4910</v>
      </c>
      <c r="I263" s="314">
        <v>29490</v>
      </c>
      <c r="J263" s="314">
        <v>3696</v>
      </c>
      <c r="K263" s="314">
        <v>142</v>
      </c>
      <c r="L263" s="314">
        <v>1564</v>
      </c>
      <c r="M263" s="314">
        <v>499</v>
      </c>
      <c r="N263" s="314">
        <v>168</v>
      </c>
      <c r="O263" s="314">
        <v>0</v>
      </c>
      <c r="P263" s="314">
        <v>0</v>
      </c>
      <c r="Q263" s="314">
        <v>0</v>
      </c>
      <c r="R263" s="314">
        <v>0</v>
      </c>
      <c r="S263" s="314">
        <v>0</v>
      </c>
      <c r="T263" s="314">
        <v>0</v>
      </c>
      <c r="U263" s="314">
        <v>609</v>
      </c>
      <c r="V263" s="314">
        <v>841</v>
      </c>
      <c r="W263" s="314">
        <v>2855</v>
      </c>
      <c r="X263" s="314">
        <v>14337</v>
      </c>
      <c r="Y263" s="314">
        <v>22973</v>
      </c>
      <c r="Z263" s="314">
        <v>4160</v>
      </c>
      <c r="AA263" s="314">
        <v>0</v>
      </c>
      <c r="AB263" s="314">
        <v>677</v>
      </c>
      <c r="AC263" s="314">
        <v>431</v>
      </c>
      <c r="AD263" s="314">
        <v>1356</v>
      </c>
      <c r="AE263" s="314">
        <v>51674</v>
      </c>
      <c r="AF263" s="314">
        <v>48834</v>
      </c>
      <c r="AG263" s="314">
        <v>30383</v>
      </c>
      <c r="AH263" s="314">
        <v>3564</v>
      </c>
      <c r="AI263" s="314">
        <v>0</v>
      </c>
      <c r="AJ263" s="314">
        <v>745</v>
      </c>
      <c r="AK263" s="314">
        <v>6962</v>
      </c>
      <c r="AL263" s="314">
        <v>0</v>
      </c>
      <c r="AM263" s="314">
        <v>490</v>
      </c>
      <c r="AN263" s="314">
        <v>0</v>
      </c>
      <c r="AO263" s="314">
        <v>0</v>
      </c>
      <c r="AP263" s="314">
        <v>0</v>
      </c>
    </row>
    <row r="264" spans="1:42">
      <c r="A264" s="547">
        <f t="shared" si="4"/>
        <v>2007</v>
      </c>
      <c r="B264" s="578">
        <v>39386</v>
      </c>
      <c r="C264" s="314">
        <v>26756</v>
      </c>
      <c r="D264" s="314">
        <v>111405</v>
      </c>
      <c r="E264" s="314">
        <v>165956</v>
      </c>
      <c r="F264" s="314">
        <v>10368</v>
      </c>
      <c r="G264" s="314">
        <v>2867</v>
      </c>
      <c r="H264" s="314">
        <v>9754</v>
      </c>
      <c r="I264" s="314">
        <v>41674</v>
      </c>
      <c r="J264" s="314">
        <v>3370</v>
      </c>
      <c r="K264" s="314">
        <v>155</v>
      </c>
      <c r="L264" s="314">
        <v>366</v>
      </c>
      <c r="M264" s="314">
        <v>5415</v>
      </c>
      <c r="N264" s="314">
        <v>452</v>
      </c>
      <c r="O264" s="314">
        <v>294</v>
      </c>
      <c r="P264" s="314">
        <v>0</v>
      </c>
      <c r="Q264" s="314">
        <v>0</v>
      </c>
      <c r="R264" s="314">
        <v>0</v>
      </c>
      <c r="S264" s="314">
        <v>0</v>
      </c>
      <c r="T264" s="314">
        <v>658</v>
      </c>
      <c r="U264" s="314">
        <v>0</v>
      </c>
      <c r="V264" s="314">
        <v>1093</v>
      </c>
      <c r="W264" s="314">
        <v>7523</v>
      </c>
      <c r="X264" s="314">
        <v>12760</v>
      </c>
      <c r="Y264" s="314">
        <v>14911</v>
      </c>
      <c r="Z264" s="314">
        <v>2231</v>
      </c>
      <c r="AA264" s="314">
        <v>2170</v>
      </c>
      <c r="AB264" s="314">
        <v>7288</v>
      </c>
      <c r="AC264" s="314">
        <v>0</v>
      </c>
      <c r="AD264" s="314">
        <v>224</v>
      </c>
      <c r="AE264" s="314">
        <v>13747</v>
      </c>
      <c r="AF264" s="314">
        <v>78076</v>
      </c>
      <c r="AG264" s="314">
        <v>67530</v>
      </c>
      <c r="AH264" s="314">
        <v>2998</v>
      </c>
      <c r="AI264" s="314">
        <v>0</v>
      </c>
      <c r="AJ264" s="314">
        <v>2376</v>
      </c>
      <c r="AK264" s="314">
        <v>34026</v>
      </c>
      <c r="AL264" s="314">
        <v>0</v>
      </c>
      <c r="AM264" s="314">
        <v>0</v>
      </c>
      <c r="AN264" s="314">
        <v>127</v>
      </c>
      <c r="AO264" s="314">
        <v>2400</v>
      </c>
      <c r="AP264" s="314">
        <v>0</v>
      </c>
    </row>
    <row r="265" spans="1:42">
      <c r="A265" s="547">
        <f t="shared" si="4"/>
        <v>2007</v>
      </c>
      <c r="B265" s="578">
        <v>39416</v>
      </c>
      <c r="C265" s="314">
        <v>26095</v>
      </c>
      <c r="D265" s="314">
        <v>72746</v>
      </c>
      <c r="E265" s="314">
        <v>93376</v>
      </c>
      <c r="F265" s="314">
        <v>12156</v>
      </c>
      <c r="G265" s="314">
        <v>1904</v>
      </c>
      <c r="H265" s="314">
        <v>28778</v>
      </c>
      <c r="I265" s="314">
        <v>31161</v>
      </c>
      <c r="J265" s="314">
        <v>9474</v>
      </c>
      <c r="K265" s="314">
        <v>1508</v>
      </c>
      <c r="L265" s="314">
        <v>1142</v>
      </c>
      <c r="M265" s="314">
        <v>17777</v>
      </c>
      <c r="N265" s="314">
        <v>173</v>
      </c>
      <c r="O265" s="314">
        <v>0</v>
      </c>
      <c r="P265" s="314">
        <v>0</v>
      </c>
      <c r="Q265" s="314">
        <v>1458</v>
      </c>
      <c r="R265" s="314">
        <v>0</v>
      </c>
      <c r="S265" s="314">
        <v>0</v>
      </c>
      <c r="T265" s="314">
        <v>818</v>
      </c>
      <c r="U265" s="314">
        <v>2853</v>
      </c>
      <c r="V265" s="314">
        <v>0</v>
      </c>
      <c r="W265" s="314">
        <v>10267</v>
      </c>
      <c r="X265" s="314">
        <v>2589</v>
      </c>
      <c r="Y265" s="314">
        <v>7600</v>
      </c>
      <c r="Z265" s="314">
        <v>2053</v>
      </c>
      <c r="AA265" s="314">
        <v>5379</v>
      </c>
      <c r="AB265" s="314">
        <v>866</v>
      </c>
      <c r="AC265" s="314">
        <v>2376</v>
      </c>
      <c r="AD265" s="314">
        <v>0</v>
      </c>
      <c r="AE265" s="314">
        <v>7037</v>
      </c>
      <c r="AF265" s="314">
        <v>38553</v>
      </c>
      <c r="AG265" s="314">
        <v>24102</v>
      </c>
      <c r="AH265" s="314">
        <v>0</v>
      </c>
      <c r="AI265" s="314">
        <v>0</v>
      </c>
      <c r="AJ265" s="314">
        <v>0</v>
      </c>
      <c r="AK265" s="314">
        <v>5235</v>
      </c>
      <c r="AL265" s="314">
        <v>456</v>
      </c>
      <c r="AM265" s="314">
        <v>0</v>
      </c>
      <c r="AN265" s="314">
        <v>0</v>
      </c>
      <c r="AO265" s="314">
        <v>814</v>
      </c>
      <c r="AP265" s="314">
        <v>0</v>
      </c>
    </row>
    <row r="266" spans="1:42">
      <c r="A266" s="547">
        <f t="shared" si="4"/>
        <v>2007</v>
      </c>
      <c r="B266" s="578">
        <v>39447</v>
      </c>
      <c r="C266" s="314">
        <v>59632</v>
      </c>
      <c r="D266" s="314">
        <v>57893</v>
      </c>
      <c r="E266" s="314">
        <v>56650</v>
      </c>
      <c r="F266" s="314">
        <v>9964</v>
      </c>
      <c r="G266" s="314">
        <v>27800</v>
      </c>
      <c r="H266" s="314">
        <v>22542</v>
      </c>
      <c r="I266" s="314">
        <v>39411</v>
      </c>
      <c r="J266" s="314">
        <v>207</v>
      </c>
      <c r="K266" s="314">
        <v>14217</v>
      </c>
      <c r="L266" s="314">
        <v>10418</v>
      </c>
      <c r="M266" s="314">
        <v>0</v>
      </c>
      <c r="N266" s="314">
        <v>1433</v>
      </c>
      <c r="O266" s="314">
        <v>0</v>
      </c>
      <c r="P266" s="314">
        <v>1533</v>
      </c>
      <c r="Q266" s="314">
        <v>1445</v>
      </c>
      <c r="R266" s="314">
        <v>0</v>
      </c>
      <c r="S266" s="314">
        <v>1182</v>
      </c>
      <c r="T266" s="314">
        <v>0</v>
      </c>
      <c r="U266" s="314">
        <v>1133</v>
      </c>
      <c r="V266" s="314">
        <v>0</v>
      </c>
      <c r="W266" s="314">
        <v>6647</v>
      </c>
      <c r="X266" s="314">
        <v>10143</v>
      </c>
      <c r="Y266" s="314">
        <v>2799</v>
      </c>
      <c r="Z266" s="314">
        <v>2477</v>
      </c>
      <c r="AA266" s="314">
        <v>0</v>
      </c>
      <c r="AB266" s="314">
        <v>249</v>
      </c>
      <c r="AC266" s="314">
        <v>0</v>
      </c>
      <c r="AD266" s="314">
        <v>0</v>
      </c>
      <c r="AE266" s="314">
        <v>9786</v>
      </c>
      <c r="AF266" s="314">
        <v>13008</v>
      </c>
      <c r="AG266" s="314">
        <v>11264</v>
      </c>
      <c r="AH266" s="314">
        <v>5847</v>
      </c>
      <c r="AI266" s="314">
        <v>0</v>
      </c>
      <c r="AJ266" s="314">
        <v>0</v>
      </c>
      <c r="AK266" s="314">
        <v>374</v>
      </c>
      <c r="AL266" s="314">
        <v>0</v>
      </c>
      <c r="AM266" s="314">
        <v>0</v>
      </c>
      <c r="AN266" s="314">
        <v>0</v>
      </c>
      <c r="AO266" s="314">
        <v>224</v>
      </c>
      <c r="AP266" s="314">
        <v>0</v>
      </c>
    </row>
    <row r="267" spans="1:42">
      <c r="A267" s="547">
        <f t="shared" si="4"/>
        <v>2008</v>
      </c>
      <c r="B267" s="578">
        <v>39478</v>
      </c>
      <c r="C267" s="314">
        <v>19575</v>
      </c>
      <c r="D267" s="314">
        <v>78731</v>
      </c>
      <c r="E267" s="314">
        <v>91364</v>
      </c>
      <c r="F267" s="314">
        <v>11653</v>
      </c>
      <c r="G267" s="314">
        <v>513</v>
      </c>
      <c r="H267" s="314">
        <v>29134</v>
      </c>
      <c r="I267" s="314">
        <v>29327</v>
      </c>
      <c r="J267" s="314">
        <v>4097</v>
      </c>
      <c r="K267" s="314">
        <v>0</v>
      </c>
      <c r="L267" s="314">
        <v>23359</v>
      </c>
      <c r="M267" s="314">
        <v>958</v>
      </c>
      <c r="N267" s="314">
        <v>139</v>
      </c>
      <c r="O267" s="314">
        <v>153</v>
      </c>
      <c r="P267" s="314">
        <v>176</v>
      </c>
      <c r="Q267" s="314">
        <v>302</v>
      </c>
      <c r="R267" s="314">
        <v>0</v>
      </c>
      <c r="S267" s="314">
        <v>0</v>
      </c>
      <c r="T267" s="314">
        <v>0</v>
      </c>
      <c r="U267" s="314">
        <v>0</v>
      </c>
      <c r="V267" s="314">
        <v>0</v>
      </c>
      <c r="W267" s="314">
        <v>9522</v>
      </c>
      <c r="X267" s="314">
        <v>0</v>
      </c>
      <c r="Y267" s="314">
        <v>26076</v>
      </c>
      <c r="Z267" s="314">
        <v>2616</v>
      </c>
      <c r="AA267" s="314">
        <v>781</v>
      </c>
      <c r="AB267" s="314">
        <v>0</v>
      </c>
      <c r="AC267" s="314">
        <v>0</v>
      </c>
      <c r="AD267" s="314">
        <v>221</v>
      </c>
      <c r="AE267" s="314">
        <v>8606</v>
      </c>
      <c r="AF267" s="314">
        <v>25270</v>
      </c>
      <c r="AG267" s="314">
        <v>34701</v>
      </c>
      <c r="AH267" s="314">
        <v>2963</v>
      </c>
      <c r="AI267" s="314">
        <v>0</v>
      </c>
      <c r="AJ267" s="314">
        <v>0</v>
      </c>
      <c r="AK267" s="314">
        <v>0</v>
      </c>
      <c r="AL267" s="314">
        <v>0</v>
      </c>
      <c r="AM267" s="314">
        <v>0</v>
      </c>
      <c r="AN267" s="314">
        <v>792</v>
      </c>
      <c r="AO267" s="314">
        <v>0</v>
      </c>
      <c r="AP267" s="314">
        <v>1617</v>
      </c>
    </row>
    <row r="268" spans="1:42">
      <c r="A268" s="547">
        <f t="shared" si="4"/>
        <v>2008</v>
      </c>
      <c r="B268" s="578">
        <v>39507</v>
      </c>
      <c r="C268" s="314">
        <v>66687</v>
      </c>
      <c r="D268" s="314">
        <v>104353</v>
      </c>
      <c r="E268" s="314">
        <v>87549</v>
      </c>
      <c r="F268" s="314">
        <v>10612</v>
      </c>
      <c r="G268" s="314">
        <v>27371</v>
      </c>
      <c r="H268" s="314">
        <v>1050</v>
      </c>
      <c r="I268" s="314">
        <v>57489</v>
      </c>
      <c r="J268" s="314">
        <v>1136</v>
      </c>
      <c r="K268" s="314">
        <v>69</v>
      </c>
      <c r="L268" s="314">
        <v>2591</v>
      </c>
      <c r="M268" s="314">
        <v>552</v>
      </c>
      <c r="N268" s="314">
        <v>46</v>
      </c>
      <c r="O268" s="314">
        <v>0</v>
      </c>
      <c r="P268" s="314">
        <v>176</v>
      </c>
      <c r="Q268" s="314">
        <v>0</v>
      </c>
      <c r="R268" s="314">
        <v>0</v>
      </c>
      <c r="S268" s="314">
        <v>0</v>
      </c>
      <c r="T268" s="314">
        <v>0</v>
      </c>
      <c r="U268" s="314">
        <v>1307</v>
      </c>
      <c r="V268" s="314">
        <v>0</v>
      </c>
      <c r="W268" s="314">
        <v>18279</v>
      </c>
      <c r="X268" s="314">
        <v>2993</v>
      </c>
      <c r="Y268" s="314">
        <v>1775</v>
      </c>
      <c r="Z268" s="314">
        <v>3842</v>
      </c>
      <c r="AA268" s="314">
        <v>2237</v>
      </c>
      <c r="AB268" s="314">
        <v>3955</v>
      </c>
      <c r="AC268" s="314">
        <v>921</v>
      </c>
      <c r="AD268" s="314">
        <v>2459</v>
      </c>
      <c r="AE268" s="314">
        <v>18731</v>
      </c>
      <c r="AF268" s="314">
        <v>89378</v>
      </c>
      <c r="AG268" s="314">
        <v>23540</v>
      </c>
      <c r="AH268" s="314">
        <v>1922</v>
      </c>
      <c r="AI268" s="314">
        <v>0</v>
      </c>
      <c r="AJ268" s="314">
        <v>1547</v>
      </c>
      <c r="AK268" s="314">
        <v>1965</v>
      </c>
      <c r="AL268" s="314">
        <v>489</v>
      </c>
      <c r="AM268" s="314">
        <v>0</v>
      </c>
      <c r="AN268" s="314">
        <v>2663</v>
      </c>
      <c r="AO268" s="314">
        <v>0</v>
      </c>
      <c r="AP268" s="314">
        <v>718</v>
      </c>
    </row>
    <row r="269" spans="1:42">
      <c r="A269" s="547">
        <f t="shared" si="4"/>
        <v>2008</v>
      </c>
      <c r="B269" s="578">
        <v>39538</v>
      </c>
      <c r="C269" s="314">
        <v>165160</v>
      </c>
      <c r="D269" s="314">
        <v>25090</v>
      </c>
      <c r="E269" s="314">
        <v>84523</v>
      </c>
      <c r="F269" s="314">
        <v>10519</v>
      </c>
      <c r="G269" s="314">
        <v>17333</v>
      </c>
      <c r="H269" s="314">
        <v>1652</v>
      </c>
      <c r="I269" s="314">
        <v>27616</v>
      </c>
      <c r="J269" s="314">
        <v>3686</v>
      </c>
      <c r="K269" s="314">
        <v>680</v>
      </c>
      <c r="L269" s="314">
        <v>1414</v>
      </c>
      <c r="M269" s="314">
        <v>15884</v>
      </c>
      <c r="N269" s="314">
        <v>36</v>
      </c>
      <c r="O269" s="314">
        <v>659</v>
      </c>
      <c r="P269" s="314">
        <v>0</v>
      </c>
      <c r="Q269" s="314">
        <v>0</v>
      </c>
      <c r="R269" s="314">
        <v>324</v>
      </c>
      <c r="S269" s="314">
        <v>6252</v>
      </c>
      <c r="T269" s="314">
        <v>0</v>
      </c>
      <c r="U269" s="314">
        <v>2800</v>
      </c>
      <c r="V269" s="314">
        <v>819</v>
      </c>
      <c r="W269" s="314">
        <v>5751</v>
      </c>
      <c r="X269" s="314">
        <v>2290</v>
      </c>
      <c r="Y269" s="314">
        <v>19694</v>
      </c>
      <c r="Z269" s="314">
        <v>0</v>
      </c>
      <c r="AA269" s="314">
        <v>2705</v>
      </c>
      <c r="AB269" s="314">
        <v>512</v>
      </c>
      <c r="AC269" s="314">
        <v>1265</v>
      </c>
      <c r="AD269" s="314">
        <v>602</v>
      </c>
      <c r="AE269" s="314">
        <v>130618</v>
      </c>
      <c r="AF269" s="314">
        <v>19222</v>
      </c>
      <c r="AG269" s="314">
        <v>12426</v>
      </c>
      <c r="AH269" s="314">
        <v>4797</v>
      </c>
      <c r="AI269" s="314">
        <v>1162</v>
      </c>
      <c r="AJ269" s="314">
        <v>0</v>
      </c>
      <c r="AK269" s="314">
        <v>4250</v>
      </c>
      <c r="AL269" s="314">
        <v>230</v>
      </c>
      <c r="AM269" s="314">
        <v>0</v>
      </c>
      <c r="AN269" s="314">
        <v>0</v>
      </c>
      <c r="AO269" s="314">
        <v>588</v>
      </c>
      <c r="AP269" s="314">
        <v>25</v>
      </c>
    </row>
    <row r="270" spans="1:42">
      <c r="A270" s="547">
        <f t="shared" si="4"/>
        <v>2008</v>
      </c>
      <c r="B270" s="578">
        <v>39568</v>
      </c>
      <c r="C270" s="314">
        <v>43856</v>
      </c>
      <c r="D270" s="314">
        <v>185442</v>
      </c>
      <c r="E270" s="314">
        <v>82703</v>
      </c>
      <c r="F270" s="314">
        <v>9363</v>
      </c>
      <c r="G270" s="314">
        <v>14192</v>
      </c>
      <c r="H270" s="314">
        <v>22935</v>
      </c>
      <c r="I270" s="314">
        <v>19524</v>
      </c>
      <c r="J270" s="314">
        <v>3111</v>
      </c>
      <c r="K270" s="314">
        <v>5936</v>
      </c>
      <c r="L270" s="314">
        <v>0</v>
      </c>
      <c r="M270" s="314">
        <v>7279</v>
      </c>
      <c r="N270" s="314">
        <v>2791</v>
      </c>
      <c r="O270" s="314">
        <v>0</v>
      </c>
      <c r="P270" s="314">
        <v>0</v>
      </c>
      <c r="Q270" s="314">
        <v>0</v>
      </c>
      <c r="R270" s="314">
        <v>1034</v>
      </c>
      <c r="S270" s="314">
        <v>0</v>
      </c>
      <c r="T270" s="314">
        <v>0</v>
      </c>
      <c r="U270" s="314">
        <v>1280</v>
      </c>
      <c r="V270" s="314">
        <v>441</v>
      </c>
      <c r="W270" s="314">
        <v>16921</v>
      </c>
      <c r="X270" s="314">
        <v>1825</v>
      </c>
      <c r="Y270" s="314">
        <v>31515</v>
      </c>
      <c r="Z270" s="314">
        <v>706</v>
      </c>
      <c r="AA270" s="314">
        <v>4455</v>
      </c>
      <c r="AB270" s="314">
        <v>94000</v>
      </c>
      <c r="AC270" s="314">
        <v>0</v>
      </c>
      <c r="AD270" s="314">
        <v>0</v>
      </c>
      <c r="AE270" s="314">
        <v>2352</v>
      </c>
      <c r="AF270" s="314">
        <v>65487</v>
      </c>
      <c r="AG270" s="314">
        <v>17730</v>
      </c>
      <c r="AH270" s="314">
        <v>1280</v>
      </c>
      <c r="AI270" s="314">
        <v>0</v>
      </c>
      <c r="AJ270" s="314">
        <v>1195</v>
      </c>
      <c r="AK270" s="314">
        <v>4720</v>
      </c>
      <c r="AL270" s="314">
        <v>0</v>
      </c>
      <c r="AM270" s="314">
        <v>0</v>
      </c>
      <c r="AN270" s="314">
        <v>0</v>
      </c>
      <c r="AO270" s="314">
        <v>655</v>
      </c>
      <c r="AP270" s="314">
        <v>0</v>
      </c>
    </row>
    <row r="271" spans="1:42">
      <c r="A271" s="547">
        <f t="shared" si="4"/>
        <v>2008</v>
      </c>
      <c r="B271" s="578">
        <v>39599</v>
      </c>
      <c r="C271" s="314">
        <v>63464</v>
      </c>
      <c r="D271" s="314">
        <v>119144</v>
      </c>
      <c r="E271" s="314">
        <v>93441</v>
      </c>
      <c r="F271" s="314">
        <v>5085</v>
      </c>
      <c r="G271" s="314">
        <v>21242</v>
      </c>
      <c r="H271" s="314">
        <v>9011</v>
      </c>
      <c r="I271" s="314">
        <v>40539</v>
      </c>
      <c r="J271" s="314">
        <v>258</v>
      </c>
      <c r="K271" s="314">
        <v>0</v>
      </c>
      <c r="L271" s="314">
        <v>18069</v>
      </c>
      <c r="M271" s="314">
        <v>305</v>
      </c>
      <c r="N271" s="314">
        <v>2756</v>
      </c>
      <c r="O271" s="314">
        <v>0</v>
      </c>
      <c r="P271" s="314">
        <v>2711</v>
      </c>
      <c r="Q271" s="314">
        <v>2086</v>
      </c>
      <c r="R271" s="314">
        <v>851</v>
      </c>
      <c r="S271" s="314">
        <v>0</v>
      </c>
      <c r="T271" s="314">
        <v>0</v>
      </c>
      <c r="U271" s="314">
        <v>326</v>
      </c>
      <c r="V271" s="314">
        <v>0</v>
      </c>
      <c r="W271" s="314">
        <v>3484</v>
      </c>
      <c r="X271" s="314">
        <v>0</v>
      </c>
      <c r="Y271" s="314">
        <v>11919</v>
      </c>
      <c r="Z271" s="314">
        <v>381</v>
      </c>
      <c r="AA271" s="314">
        <v>2841</v>
      </c>
      <c r="AB271" s="314">
        <v>35695</v>
      </c>
      <c r="AC271" s="314">
        <v>987</v>
      </c>
      <c r="AD271" s="314">
        <v>439</v>
      </c>
      <c r="AE271" s="314">
        <v>29570</v>
      </c>
      <c r="AF271" s="314">
        <v>52578</v>
      </c>
      <c r="AG271" s="314">
        <v>27513</v>
      </c>
      <c r="AH271" s="314">
        <v>0</v>
      </c>
      <c r="AI271" s="314">
        <v>4259</v>
      </c>
      <c r="AJ271" s="314">
        <v>0</v>
      </c>
      <c r="AK271" s="314">
        <v>9766</v>
      </c>
      <c r="AL271" s="314">
        <v>0</v>
      </c>
      <c r="AM271" s="314">
        <v>2068</v>
      </c>
      <c r="AN271" s="314">
        <v>1080</v>
      </c>
      <c r="AO271" s="314">
        <v>0</v>
      </c>
      <c r="AP271" s="314">
        <v>400</v>
      </c>
    </row>
    <row r="272" spans="1:42">
      <c r="A272" s="547">
        <f t="shared" si="4"/>
        <v>2008</v>
      </c>
      <c r="B272" s="578">
        <v>39629</v>
      </c>
      <c r="C272" s="314">
        <v>67956</v>
      </c>
      <c r="D272" s="314">
        <v>108598</v>
      </c>
      <c r="E272" s="314">
        <v>74975</v>
      </c>
      <c r="F272" s="314">
        <v>4634</v>
      </c>
      <c r="G272" s="314">
        <v>11683</v>
      </c>
      <c r="H272" s="314">
        <v>42048</v>
      </c>
      <c r="I272" s="314">
        <v>30462</v>
      </c>
      <c r="J272" s="314">
        <v>0</v>
      </c>
      <c r="K272" s="314">
        <v>3000</v>
      </c>
      <c r="L272" s="314">
        <v>21562</v>
      </c>
      <c r="M272" s="314">
        <v>6679</v>
      </c>
      <c r="N272" s="314">
        <v>0</v>
      </c>
      <c r="O272" s="314">
        <v>0</v>
      </c>
      <c r="P272" s="314">
        <v>0</v>
      </c>
      <c r="Q272" s="314">
        <v>0</v>
      </c>
      <c r="R272" s="314">
        <v>0</v>
      </c>
      <c r="S272" s="314">
        <v>0</v>
      </c>
      <c r="T272" s="314">
        <v>0</v>
      </c>
      <c r="U272" s="314">
        <v>1712</v>
      </c>
      <c r="V272" s="314">
        <v>0</v>
      </c>
      <c r="W272" s="314">
        <v>4009</v>
      </c>
      <c r="X272" s="314">
        <v>8490</v>
      </c>
      <c r="Y272" s="314">
        <v>21573</v>
      </c>
      <c r="Z272" s="314">
        <v>1228</v>
      </c>
      <c r="AA272" s="314">
        <v>487</v>
      </c>
      <c r="AB272" s="314">
        <v>1409</v>
      </c>
      <c r="AC272" s="314">
        <v>0</v>
      </c>
      <c r="AD272" s="314">
        <v>0</v>
      </c>
      <c r="AE272" s="314">
        <v>47954</v>
      </c>
      <c r="AF272" s="314">
        <v>35089</v>
      </c>
      <c r="AG272" s="314">
        <v>14466</v>
      </c>
      <c r="AH272" s="314">
        <v>3406</v>
      </c>
      <c r="AI272" s="314">
        <v>0</v>
      </c>
      <c r="AJ272" s="314">
        <v>0</v>
      </c>
      <c r="AK272" s="314">
        <v>83</v>
      </c>
      <c r="AL272" s="314">
        <v>0</v>
      </c>
      <c r="AM272" s="314">
        <v>823</v>
      </c>
      <c r="AN272" s="314">
        <v>0</v>
      </c>
      <c r="AO272" s="314">
        <v>0</v>
      </c>
      <c r="AP272" s="314">
        <v>0</v>
      </c>
    </row>
    <row r="273" spans="1:42">
      <c r="A273" s="547">
        <f t="shared" si="4"/>
        <v>2008</v>
      </c>
      <c r="B273" s="578">
        <v>39660</v>
      </c>
      <c r="C273" s="314">
        <v>130366</v>
      </c>
      <c r="D273" s="314">
        <v>117201</v>
      </c>
      <c r="E273" s="314">
        <v>168364</v>
      </c>
      <c r="F273" s="314">
        <v>17874</v>
      </c>
      <c r="G273" s="314">
        <v>29453</v>
      </c>
      <c r="H273" s="314">
        <v>2975</v>
      </c>
      <c r="I273" s="314">
        <v>33476</v>
      </c>
      <c r="J273" s="314">
        <v>4666</v>
      </c>
      <c r="K273" s="314">
        <v>3918</v>
      </c>
      <c r="L273" s="314">
        <v>41093</v>
      </c>
      <c r="M273" s="314">
        <v>4743</v>
      </c>
      <c r="N273" s="314">
        <v>490</v>
      </c>
      <c r="O273" s="314">
        <v>0</v>
      </c>
      <c r="P273" s="314">
        <v>0</v>
      </c>
      <c r="Q273" s="314">
        <v>0</v>
      </c>
      <c r="R273" s="314">
        <v>0</v>
      </c>
      <c r="S273" s="314">
        <v>0</v>
      </c>
      <c r="T273" s="314">
        <v>0</v>
      </c>
      <c r="U273" s="314">
        <v>1154</v>
      </c>
      <c r="V273" s="314">
        <v>800</v>
      </c>
      <c r="W273" s="314">
        <v>6102</v>
      </c>
      <c r="X273" s="314">
        <v>19757</v>
      </c>
      <c r="Y273" s="314">
        <v>55005</v>
      </c>
      <c r="Z273" s="314">
        <v>2735</v>
      </c>
      <c r="AA273" s="314">
        <v>0</v>
      </c>
      <c r="AB273" s="314">
        <v>0</v>
      </c>
      <c r="AC273" s="314">
        <v>8296</v>
      </c>
      <c r="AD273" s="314">
        <v>968</v>
      </c>
      <c r="AE273" s="314">
        <v>90748</v>
      </c>
      <c r="AF273" s="314">
        <v>49944</v>
      </c>
      <c r="AG273" s="314">
        <v>61244</v>
      </c>
      <c r="AH273" s="314">
        <v>8215</v>
      </c>
      <c r="AI273" s="314">
        <v>0</v>
      </c>
      <c r="AJ273" s="314">
        <v>3432</v>
      </c>
      <c r="AK273" s="314">
        <v>3151</v>
      </c>
      <c r="AL273" s="314">
        <v>0</v>
      </c>
      <c r="AM273" s="314">
        <v>145</v>
      </c>
      <c r="AN273" s="314">
        <v>0</v>
      </c>
      <c r="AO273" s="314">
        <v>1295</v>
      </c>
      <c r="AP273" s="314">
        <v>0</v>
      </c>
    </row>
    <row r="274" spans="1:42">
      <c r="A274" s="547">
        <f t="shared" si="4"/>
        <v>2008</v>
      </c>
      <c r="B274" s="578">
        <v>39691</v>
      </c>
      <c r="C274" s="314">
        <v>103874</v>
      </c>
      <c r="D274" s="314">
        <v>78797</v>
      </c>
      <c r="E274" s="314">
        <v>80099</v>
      </c>
      <c r="F274" s="314">
        <v>16929</v>
      </c>
      <c r="G274" s="314">
        <v>35044</v>
      </c>
      <c r="H274" s="314">
        <v>9464</v>
      </c>
      <c r="I274" s="314">
        <v>31223</v>
      </c>
      <c r="J274" s="314">
        <v>3207</v>
      </c>
      <c r="K274" s="314">
        <v>3999</v>
      </c>
      <c r="L274" s="314">
        <v>3400</v>
      </c>
      <c r="M274" s="314">
        <v>111</v>
      </c>
      <c r="N274" s="314">
        <v>520</v>
      </c>
      <c r="O274" s="314">
        <v>1242</v>
      </c>
      <c r="P274" s="314">
        <v>0</v>
      </c>
      <c r="Q274" s="314">
        <v>0</v>
      </c>
      <c r="R274" s="314">
        <v>0</v>
      </c>
      <c r="S274" s="314">
        <v>0</v>
      </c>
      <c r="T274" s="314">
        <v>391</v>
      </c>
      <c r="U274" s="314">
        <v>0</v>
      </c>
      <c r="V274" s="314">
        <v>0</v>
      </c>
      <c r="W274" s="314">
        <v>14369</v>
      </c>
      <c r="X274" s="314">
        <v>18889</v>
      </c>
      <c r="Y274" s="314">
        <v>12278</v>
      </c>
      <c r="Z274" s="314">
        <v>644</v>
      </c>
      <c r="AA274" s="314">
        <v>0</v>
      </c>
      <c r="AB274" s="314">
        <v>0</v>
      </c>
      <c r="AC274" s="314">
        <v>0</v>
      </c>
      <c r="AD274" s="314">
        <v>0</v>
      </c>
      <c r="AE274" s="314">
        <v>49220</v>
      </c>
      <c r="AF274" s="314">
        <v>45541</v>
      </c>
      <c r="AG274" s="314">
        <v>36487</v>
      </c>
      <c r="AH274" s="314">
        <v>10695</v>
      </c>
      <c r="AI274" s="314">
        <v>0</v>
      </c>
      <c r="AJ274" s="314">
        <v>1112</v>
      </c>
      <c r="AK274" s="314">
        <v>0</v>
      </c>
      <c r="AL274" s="314">
        <v>123</v>
      </c>
      <c r="AM274" s="314">
        <v>0</v>
      </c>
      <c r="AN274" s="314">
        <v>0</v>
      </c>
      <c r="AO274" s="314">
        <v>0</v>
      </c>
      <c r="AP274" s="314">
        <v>1740</v>
      </c>
    </row>
    <row r="275" spans="1:42">
      <c r="A275" s="547">
        <f t="shared" si="4"/>
        <v>2008</v>
      </c>
      <c r="B275" s="578">
        <v>39721</v>
      </c>
      <c r="C275" s="314">
        <v>98385</v>
      </c>
      <c r="D275" s="314">
        <v>166729</v>
      </c>
      <c r="E275" s="314">
        <v>132471</v>
      </c>
      <c r="F275" s="314">
        <v>13656</v>
      </c>
      <c r="G275" s="314">
        <v>13381</v>
      </c>
      <c r="H275" s="314">
        <v>22179</v>
      </c>
      <c r="I275" s="314">
        <v>21152</v>
      </c>
      <c r="J275" s="314">
        <v>4443</v>
      </c>
      <c r="K275" s="314">
        <v>3439</v>
      </c>
      <c r="L275" s="314">
        <v>1370</v>
      </c>
      <c r="M275" s="314">
        <v>4283</v>
      </c>
      <c r="N275" s="314">
        <v>3578</v>
      </c>
      <c r="O275" s="314">
        <v>0</v>
      </c>
      <c r="P275" s="314">
        <v>0</v>
      </c>
      <c r="Q275" s="314">
        <v>898</v>
      </c>
      <c r="R275" s="314">
        <v>0</v>
      </c>
      <c r="S275" s="314">
        <v>0</v>
      </c>
      <c r="T275" s="314">
        <v>550</v>
      </c>
      <c r="U275" s="314">
        <v>0</v>
      </c>
      <c r="V275" s="314">
        <v>0</v>
      </c>
      <c r="W275" s="314">
        <v>13885</v>
      </c>
      <c r="X275" s="314">
        <v>49548</v>
      </c>
      <c r="Y275" s="314">
        <v>21304</v>
      </c>
      <c r="Z275" s="314">
        <v>2648</v>
      </c>
      <c r="AA275" s="314">
        <v>6106</v>
      </c>
      <c r="AB275" s="314">
        <v>0</v>
      </c>
      <c r="AC275" s="314">
        <v>0</v>
      </c>
      <c r="AD275" s="314">
        <v>0</v>
      </c>
      <c r="AE275" s="314">
        <v>56265</v>
      </c>
      <c r="AF275" s="314">
        <v>93082</v>
      </c>
      <c r="AG275" s="314">
        <v>70656</v>
      </c>
      <c r="AH275" s="314">
        <v>2987</v>
      </c>
      <c r="AI275" s="314">
        <v>2818</v>
      </c>
      <c r="AJ275" s="314">
        <v>0</v>
      </c>
      <c r="AK275" s="314">
        <v>9856</v>
      </c>
      <c r="AL275" s="314">
        <v>0</v>
      </c>
      <c r="AM275" s="314">
        <v>2491</v>
      </c>
      <c r="AN275" s="314">
        <v>0</v>
      </c>
      <c r="AO275" s="314">
        <v>4322</v>
      </c>
      <c r="AP275" s="314">
        <v>0</v>
      </c>
    </row>
    <row r="276" spans="1:42">
      <c r="A276" s="547">
        <f t="shared" si="4"/>
        <v>2008</v>
      </c>
      <c r="B276" s="578">
        <v>39752</v>
      </c>
      <c r="C276" s="314">
        <v>69888</v>
      </c>
      <c r="D276" s="314">
        <v>214495</v>
      </c>
      <c r="E276" s="314">
        <v>104181</v>
      </c>
      <c r="F276" s="314">
        <v>16855</v>
      </c>
      <c r="G276" s="314">
        <v>11700</v>
      </c>
      <c r="H276" s="314">
        <v>17715</v>
      </c>
      <c r="I276" s="314">
        <v>39604</v>
      </c>
      <c r="J276" s="314">
        <v>4872</v>
      </c>
      <c r="K276" s="314">
        <v>0</v>
      </c>
      <c r="L276" s="314">
        <v>51161</v>
      </c>
      <c r="M276" s="314">
        <v>3407</v>
      </c>
      <c r="N276" s="314">
        <v>737</v>
      </c>
      <c r="O276" s="314">
        <v>2461</v>
      </c>
      <c r="P276" s="314">
        <v>105</v>
      </c>
      <c r="Q276" s="314">
        <v>1280</v>
      </c>
      <c r="R276" s="314">
        <v>0</v>
      </c>
      <c r="S276" s="314">
        <v>0</v>
      </c>
      <c r="T276" s="314">
        <v>0</v>
      </c>
      <c r="U276" s="314">
        <v>2538</v>
      </c>
      <c r="V276" s="314">
        <v>0</v>
      </c>
      <c r="W276" s="314">
        <v>18413</v>
      </c>
      <c r="X276" s="314">
        <v>11289</v>
      </c>
      <c r="Y276" s="314">
        <v>22083</v>
      </c>
      <c r="Z276" s="314">
        <v>455</v>
      </c>
      <c r="AA276" s="314">
        <v>2144</v>
      </c>
      <c r="AB276" s="314">
        <v>19542</v>
      </c>
      <c r="AC276" s="314">
        <v>0</v>
      </c>
      <c r="AD276" s="314">
        <v>0</v>
      </c>
      <c r="AE276" s="314">
        <v>28085</v>
      </c>
      <c r="AF276" s="314">
        <v>111067</v>
      </c>
      <c r="AG276" s="314">
        <v>34620</v>
      </c>
      <c r="AH276" s="314">
        <v>10271</v>
      </c>
      <c r="AI276" s="314">
        <v>7085</v>
      </c>
      <c r="AJ276" s="314">
        <v>2361</v>
      </c>
      <c r="AK276" s="314">
        <v>0</v>
      </c>
      <c r="AL276" s="314">
        <v>520</v>
      </c>
      <c r="AM276" s="314">
        <v>0</v>
      </c>
      <c r="AN276" s="314">
        <v>1255</v>
      </c>
      <c r="AO276" s="314">
        <v>649</v>
      </c>
      <c r="AP276" s="314">
        <v>0</v>
      </c>
    </row>
    <row r="277" spans="1:42">
      <c r="A277" s="547">
        <f t="shared" si="4"/>
        <v>2008</v>
      </c>
      <c r="B277" s="578">
        <v>39782</v>
      </c>
      <c r="C277" s="314">
        <v>109098</v>
      </c>
      <c r="D277" s="314">
        <v>125282</v>
      </c>
      <c r="E277" s="314">
        <v>163110</v>
      </c>
      <c r="F277" s="314">
        <v>21700</v>
      </c>
      <c r="G277" s="314">
        <v>32385</v>
      </c>
      <c r="H277" s="314">
        <v>4166</v>
      </c>
      <c r="I277" s="314">
        <v>39862</v>
      </c>
      <c r="J277" s="314">
        <v>12779</v>
      </c>
      <c r="K277" s="314">
        <v>680</v>
      </c>
      <c r="L277" s="314">
        <v>0</v>
      </c>
      <c r="M277" s="314">
        <v>0</v>
      </c>
      <c r="N277" s="314">
        <v>427</v>
      </c>
      <c r="O277" s="314">
        <v>2012</v>
      </c>
      <c r="P277" s="314">
        <v>21500</v>
      </c>
      <c r="Q277" s="314">
        <v>1003</v>
      </c>
      <c r="R277" s="314">
        <v>1236</v>
      </c>
      <c r="S277" s="314">
        <v>192</v>
      </c>
      <c r="T277" s="314">
        <v>38793</v>
      </c>
      <c r="U277" s="314">
        <v>2637</v>
      </c>
      <c r="V277" s="314">
        <v>4535</v>
      </c>
      <c r="W277" s="314">
        <v>3671</v>
      </c>
      <c r="X277" s="314">
        <v>37746</v>
      </c>
      <c r="Y277" s="314">
        <v>10919</v>
      </c>
      <c r="Z277" s="314">
        <v>0</v>
      </c>
      <c r="AA277" s="314">
        <v>205</v>
      </c>
      <c r="AB277" s="314">
        <v>304</v>
      </c>
      <c r="AC277" s="314">
        <v>2760</v>
      </c>
      <c r="AD277" s="314">
        <v>755</v>
      </c>
      <c r="AE277" s="314">
        <v>64052</v>
      </c>
      <c r="AF277" s="314">
        <v>22528</v>
      </c>
      <c r="AG277" s="314">
        <v>96313</v>
      </c>
      <c r="AH277" s="314">
        <v>1524</v>
      </c>
      <c r="AI277" s="314">
        <v>5901</v>
      </c>
      <c r="AJ277" s="314">
        <v>245</v>
      </c>
      <c r="AK277" s="314">
        <v>4010</v>
      </c>
      <c r="AL277" s="314">
        <v>444</v>
      </c>
      <c r="AM277" s="314">
        <v>0</v>
      </c>
      <c r="AN277" s="314">
        <v>0</v>
      </c>
      <c r="AO277" s="314">
        <v>5606</v>
      </c>
      <c r="AP277" s="314">
        <v>0</v>
      </c>
    </row>
    <row r="278" spans="1:42">
      <c r="A278" s="547">
        <f t="shared" si="4"/>
        <v>2008</v>
      </c>
      <c r="B278" s="578">
        <v>39813</v>
      </c>
      <c r="C278" s="314">
        <v>99509</v>
      </c>
      <c r="D278" s="314">
        <v>49390</v>
      </c>
      <c r="E278" s="314">
        <v>121849</v>
      </c>
      <c r="F278" s="314">
        <v>15560</v>
      </c>
      <c r="G278" s="314">
        <v>33693</v>
      </c>
      <c r="H278" s="314">
        <v>10199</v>
      </c>
      <c r="I278" s="314">
        <v>54720</v>
      </c>
      <c r="J278" s="314">
        <v>10214</v>
      </c>
      <c r="K278" s="314">
        <v>2301</v>
      </c>
      <c r="L278" s="314">
        <v>14287</v>
      </c>
      <c r="M278" s="314">
        <v>760</v>
      </c>
      <c r="N278" s="314">
        <v>880</v>
      </c>
      <c r="O278" s="314">
        <v>3083</v>
      </c>
      <c r="P278" s="314">
        <v>0</v>
      </c>
      <c r="Q278" s="314">
        <v>150</v>
      </c>
      <c r="R278" s="314">
        <v>219</v>
      </c>
      <c r="S278" s="314">
        <v>86</v>
      </c>
      <c r="T278" s="314">
        <v>3855</v>
      </c>
      <c r="U278" s="314">
        <v>363</v>
      </c>
      <c r="V278" s="314">
        <v>0</v>
      </c>
      <c r="W278" s="314">
        <v>6463</v>
      </c>
      <c r="X278" s="314">
        <v>3435</v>
      </c>
      <c r="Y278" s="314">
        <v>38926</v>
      </c>
      <c r="Z278" s="314">
        <v>0</v>
      </c>
      <c r="AA278" s="314">
        <v>6429</v>
      </c>
      <c r="AB278" s="314">
        <v>7390</v>
      </c>
      <c r="AC278" s="314">
        <v>0</v>
      </c>
      <c r="AD278" s="314">
        <v>0</v>
      </c>
      <c r="AE278" s="314">
        <v>40597</v>
      </c>
      <c r="AF278" s="314">
        <v>10224</v>
      </c>
      <c r="AG278" s="314">
        <v>22475</v>
      </c>
      <c r="AH278" s="314">
        <v>4247</v>
      </c>
      <c r="AI278" s="314">
        <v>6457</v>
      </c>
      <c r="AJ278" s="314">
        <v>0</v>
      </c>
      <c r="AK278" s="314">
        <v>495</v>
      </c>
      <c r="AL278" s="314">
        <v>0</v>
      </c>
      <c r="AM278" s="314">
        <v>400</v>
      </c>
      <c r="AN278" s="314">
        <v>0</v>
      </c>
      <c r="AO278" s="314">
        <v>3960</v>
      </c>
      <c r="AP278" s="314">
        <v>0</v>
      </c>
    </row>
    <row r="279" spans="1:42">
      <c r="A279" s="547">
        <f t="shared" si="4"/>
        <v>2009</v>
      </c>
      <c r="B279" s="578">
        <v>39844</v>
      </c>
      <c r="C279" s="314">
        <v>56886</v>
      </c>
      <c r="D279" s="314">
        <v>38854</v>
      </c>
      <c r="E279" s="314">
        <v>67811</v>
      </c>
      <c r="F279" s="314">
        <v>29214</v>
      </c>
      <c r="G279" s="314">
        <v>25702</v>
      </c>
      <c r="H279" s="314">
        <v>3654</v>
      </c>
      <c r="I279" s="314">
        <v>20825</v>
      </c>
      <c r="J279" s="314">
        <v>4867</v>
      </c>
      <c r="K279" s="314">
        <v>137</v>
      </c>
      <c r="L279" s="314">
        <v>1313</v>
      </c>
      <c r="M279" s="314">
        <v>6412</v>
      </c>
      <c r="N279" s="314">
        <v>899</v>
      </c>
      <c r="O279" s="314">
        <v>0</v>
      </c>
      <c r="P279" s="314">
        <v>0</v>
      </c>
      <c r="Q279" s="314">
        <v>0</v>
      </c>
      <c r="R279" s="314">
        <v>0</v>
      </c>
      <c r="S279" s="314">
        <v>0</v>
      </c>
      <c r="T279" s="314">
        <v>0</v>
      </c>
      <c r="U279" s="314">
        <v>102</v>
      </c>
      <c r="V279" s="314">
        <v>2271</v>
      </c>
      <c r="W279" s="314">
        <v>17849</v>
      </c>
      <c r="X279" s="314">
        <v>22068</v>
      </c>
      <c r="Y279" s="314">
        <v>6398</v>
      </c>
      <c r="Z279" s="314">
        <v>15008</v>
      </c>
      <c r="AA279" s="314">
        <v>108</v>
      </c>
      <c r="AB279" s="314">
        <v>2206</v>
      </c>
      <c r="AC279" s="314">
        <v>7361</v>
      </c>
      <c r="AD279" s="314">
        <v>0</v>
      </c>
      <c r="AE279" s="314">
        <v>8287</v>
      </c>
      <c r="AF279" s="314">
        <v>9613</v>
      </c>
      <c r="AG279" s="314">
        <v>24933</v>
      </c>
      <c r="AH279" s="314">
        <v>5343</v>
      </c>
      <c r="AI279" s="314">
        <v>4803</v>
      </c>
      <c r="AJ279" s="314">
        <v>0</v>
      </c>
      <c r="AK279" s="314">
        <v>1780</v>
      </c>
      <c r="AL279" s="314">
        <v>0</v>
      </c>
      <c r="AM279" s="314">
        <v>0</v>
      </c>
      <c r="AN279" s="314">
        <v>0</v>
      </c>
      <c r="AO279" s="314">
        <v>0</v>
      </c>
      <c r="AP279" s="314">
        <v>826</v>
      </c>
    </row>
    <row r="280" spans="1:42">
      <c r="A280" s="547">
        <f t="shared" si="4"/>
        <v>2009</v>
      </c>
      <c r="B280" s="578">
        <v>39872</v>
      </c>
      <c r="C280" s="314">
        <v>69662</v>
      </c>
      <c r="D280" s="314">
        <v>50364</v>
      </c>
      <c r="E280" s="314">
        <v>184096</v>
      </c>
      <c r="F280" s="314">
        <v>8736</v>
      </c>
      <c r="G280" s="314">
        <v>23229</v>
      </c>
      <c r="H280" s="314">
        <v>23174</v>
      </c>
      <c r="I280" s="314">
        <v>44601</v>
      </c>
      <c r="J280" s="314">
        <v>3501</v>
      </c>
      <c r="K280" s="314">
        <v>0</v>
      </c>
      <c r="L280" s="314">
        <v>560</v>
      </c>
      <c r="M280" s="314">
        <v>5938</v>
      </c>
      <c r="N280" s="314">
        <v>0</v>
      </c>
      <c r="O280" s="314">
        <v>3083</v>
      </c>
      <c r="P280" s="314">
        <v>0</v>
      </c>
      <c r="Q280" s="314">
        <v>126</v>
      </c>
      <c r="R280" s="314">
        <v>475</v>
      </c>
      <c r="S280" s="314">
        <v>0</v>
      </c>
      <c r="T280" s="314">
        <v>1200</v>
      </c>
      <c r="U280" s="314">
        <v>11800</v>
      </c>
      <c r="V280" s="314">
        <v>1356</v>
      </c>
      <c r="W280" s="314">
        <v>8391</v>
      </c>
      <c r="X280" s="314">
        <v>4212</v>
      </c>
      <c r="Y280" s="314">
        <v>20332</v>
      </c>
      <c r="Z280" s="314">
        <v>0</v>
      </c>
      <c r="AA280" s="314">
        <v>1140</v>
      </c>
      <c r="AB280" s="314">
        <v>4294</v>
      </c>
      <c r="AC280" s="314">
        <v>818</v>
      </c>
      <c r="AD280" s="314">
        <v>893</v>
      </c>
      <c r="AE280" s="314">
        <v>32445</v>
      </c>
      <c r="AF280" s="314">
        <v>16924</v>
      </c>
      <c r="AG280" s="314">
        <v>100481</v>
      </c>
      <c r="AH280" s="314">
        <v>1585</v>
      </c>
      <c r="AI280" s="314">
        <v>0</v>
      </c>
      <c r="AJ280" s="314">
        <v>0</v>
      </c>
      <c r="AK280" s="314">
        <v>0</v>
      </c>
      <c r="AL280" s="314">
        <v>0</v>
      </c>
      <c r="AM280" s="314">
        <v>1374</v>
      </c>
      <c r="AN280" s="314">
        <v>0</v>
      </c>
      <c r="AO280" s="314">
        <v>0</v>
      </c>
      <c r="AP280" s="314">
        <v>926</v>
      </c>
    </row>
    <row r="281" spans="1:42">
      <c r="A281" s="547">
        <f t="shared" si="4"/>
        <v>2009</v>
      </c>
      <c r="B281" s="578">
        <v>39903</v>
      </c>
      <c r="C281" s="314">
        <v>82857</v>
      </c>
      <c r="D281" s="314">
        <v>45847</v>
      </c>
      <c r="E281" s="314">
        <v>170208</v>
      </c>
      <c r="F281" s="314">
        <v>17594</v>
      </c>
      <c r="G281" s="314">
        <v>22218</v>
      </c>
      <c r="H281" s="314">
        <v>20068</v>
      </c>
      <c r="I281" s="314">
        <v>48179</v>
      </c>
      <c r="J281" s="314">
        <v>3837</v>
      </c>
      <c r="K281" s="314">
        <v>6340</v>
      </c>
      <c r="L281" s="314">
        <v>729</v>
      </c>
      <c r="M281" s="314">
        <v>806</v>
      </c>
      <c r="N281" s="314">
        <v>11059</v>
      </c>
      <c r="O281" s="314">
        <v>0</v>
      </c>
      <c r="P281" s="314">
        <v>2844</v>
      </c>
      <c r="Q281" s="314">
        <v>892</v>
      </c>
      <c r="R281" s="314">
        <v>0</v>
      </c>
      <c r="S281" s="314">
        <v>0</v>
      </c>
      <c r="T281" s="314">
        <v>4225</v>
      </c>
      <c r="U281" s="314">
        <v>731</v>
      </c>
      <c r="V281" s="314">
        <v>473</v>
      </c>
      <c r="W281" s="314">
        <v>12882</v>
      </c>
      <c r="X281" s="314">
        <v>310</v>
      </c>
      <c r="Y281" s="314">
        <v>95297</v>
      </c>
      <c r="Z281" s="314">
        <v>498</v>
      </c>
      <c r="AA281" s="314">
        <v>0</v>
      </c>
      <c r="AB281" s="314">
        <v>358</v>
      </c>
      <c r="AC281" s="314">
        <v>0</v>
      </c>
      <c r="AD281" s="314">
        <v>0</v>
      </c>
      <c r="AE281" s="314">
        <v>24225</v>
      </c>
      <c r="AF281" s="314">
        <v>13988</v>
      </c>
      <c r="AG281" s="314">
        <v>10922</v>
      </c>
      <c r="AH281" s="314">
        <v>1424</v>
      </c>
      <c r="AI281" s="314">
        <v>4134</v>
      </c>
      <c r="AJ281" s="314">
        <v>3325</v>
      </c>
      <c r="AK281" s="314">
        <v>13381</v>
      </c>
      <c r="AL281" s="314">
        <v>303</v>
      </c>
      <c r="AM281" s="314">
        <v>13058</v>
      </c>
      <c r="AN281" s="314">
        <v>0</v>
      </c>
      <c r="AO281" s="314">
        <v>0</v>
      </c>
      <c r="AP281" s="314">
        <v>0</v>
      </c>
    </row>
    <row r="282" spans="1:42">
      <c r="A282" s="547">
        <f t="shared" si="4"/>
        <v>2009</v>
      </c>
      <c r="B282" s="578">
        <v>39933</v>
      </c>
      <c r="C282" s="314">
        <v>34841</v>
      </c>
      <c r="D282" s="314">
        <v>93657</v>
      </c>
      <c r="E282" s="314">
        <v>112636</v>
      </c>
      <c r="F282" s="314">
        <v>9310</v>
      </c>
      <c r="G282" s="314">
        <v>1789</v>
      </c>
      <c r="H282" s="314">
        <v>0</v>
      </c>
      <c r="I282" s="314">
        <v>11528</v>
      </c>
      <c r="J282" s="314">
        <v>3608</v>
      </c>
      <c r="K282" s="314">
        <v>0</v>
      </c>
      <c r="L282" s="314">
        <v>13158</v>
      </c>
      <c r="M282" s="314">
        <v>5896</v>
      </c>
      <c r="N282" s="314">
        <v>340</v>
      </c>
      <c r="O282" s="314">
        <v>0</v>
      </c>
      <c r="P282" s="314">
        <v>0</v>
      </c>
      <c r="Q282" s="314">
        <v>0</v>
      </c>
      <c r="R282" s="314">
        <v>0</v>
      </c>
      <c r="S282" s="314">
        <v>2710</v>
      </c>
      <c r="T282" s="314">
        <v>15817</v>
      </c>
      <c r="U282" s="314">
        <v>148</v>
      </c>
      <c r="V282" s="314">
        <v>2354</v>
      </c>
      <c r="W282" s="314">
        <v>10638</v>
      </c>
      <c r="X282" s="314">
        <v>10392</v>
      </c>
      <c r="Y282" s="314">
        <v>56533</v>
      </c>
      <c r="Z282" s="314">
        <v>0</v>
      </c>
      <c r="AA282" s="314">
        <v>0</v>
      </c>
      <c r="AB282" s="314">
        <v>609</v>
      </c>
      <c r="AC282" s="314">
        <v>0</v>
      </c>
      <c r="AD282" s="314">
        <v>0</v>
      </c>
      <c r="AE282" s="314">
        <v>17596</v>
      </c>
      <c r="AF282" s="314">
        <v>53681</v>
      </c>
      <c r="AG282" s="314">
        <v>28415</v>
      </c>
      <c r="AH282" s="314">
        <v>3008</v>
      </c>
      <c r="AI282" s="314">
        <v>1765</v>
      </c>
      <c r="AJ282" s="314">
        <v>0</v>
      </c>
      <c r="AK282" s="314">
        <v>7958</v>
      </c>
      <c r="AL282" s="314">
        <v>0</v>
      </c>
      <c r="AM282" s="314">
        <v>343</v>
      </c>
      <c r="AN282" s="314">
        <v>0</v>
      </c>
      <c r="AO282" s="314">
        <v>2158</v>
      </c>
      <c r="AP282" s="314">
        <v>0</v>
      </c>
    </row>
    <row r="283" spans="1:42">
      <c r="A283" s="547">
        <f t="shared" si="4"/>
        <v>2009</v>
      </c>
      <c r="B283" s="578">
        <v>39964</v>
      </c>
      <c r="C283" s="314">
        <v>71664</v>
      </c>
      <c r="D283" s="314">
        <v>88884</v>
      </c>
      <c r="E283" s="314">
        <v>77606</v>
      </c>
      <c r="F283" s="314">
        <v>10974</v>
      </c>
      <c r="G283" s="314">
        <v>7591</v>
      </c>
      <c r="H283" s="314">
        <v>28963</v>
      </c>
      <c r="I283" s="314">
        <v>40521</v>
      </c>
      <c r="J283" s="314">
        <v>7074</v>
      </c>
      <c r="K283" s="314">
        <v>4078</v>
      </c>
      <c r="L283" s="314">
        <v>0</v>
      </c>
      <c r="M283" s="314">
        <v>1376</v>
      </c>
      <c r="N283" s="314">
        <v>637</v>
      </c>
      <c r="O283" s="314">
        <v>0</v>
      </c>
      <c r="P283" s="314">
        <v>0</v>
      </c>
      <c r="Q283" s="314">
        <v>848</v>
      </c>
      <c r="R283" s="314">
        <v>0</v>
      </c>
      <c r="S283" s="314">
        <v>0</v>
      </c>
      <c r="T283" s="314">
        <v>0</v>
      </c>
      <c r="U283" s="314">
        <v>1044</v>
      </c>
      <c r="V283" s="314">
        <v>686</v>
      </c>
      <c r="W283" s="314">
        <v>24658</v>
      </c>
      <c r="X283" s="314">
        <v>22496</v>
      </c>
      <c r="Y283" s="314">
        <v>15141</v>
      </c>
      <c r="Z283" s="314">
        <v>1414</v>
      </c>
      <c r="AA283" s="314">
        <v>0</v>
      </c>
      <c r="AB283" s="314">
        <v>6361</v>
      </c>
      <c r="AC283" s="314">
        <v>0</v>
      </c>
      <c r="AD283" s="314">
        <v>0</v>
      </c>
      <c r="AE283" s="314">
        <v>35337</v>
      </c>
      <c r="AF283" s="314">
        <v>29613</v>
      </c>
      <c r="AG283" s="314">
        <v>18676</v>
      </c>
      <c r="AH283" s="314">
        <v>662</v>
      </c>
      <c r="AI283" s="314">
        <v>0</v>
      </c>
      <c r="AJ283" s="314">
        <v>1451</v>
      </c>
      <c r="AK283" s="314">
        <v>0</v>
      </c>
      <c r="AL283" s="314">
        <v>501</v>
      </c>
      <c r="AM283" s="314">
        <v>0</v>
      </c>
      <c r="AN283" s="314">
        <v>0</v>
      </c>
      <c r="AO283" s="314">
        <v>0</v>
      </c>
      <c r="AP283" s="314">
        <v>0</v>
      </c>
    </row>
    <row r="284" spans="1:42">
      <c r="A284" s="547">
        <f t="shared" si="4"/>
        <v>2009</v>
      </c>
      <c r="B284" s="578">
        <v>39994</v>
      </c>
      <c r="C284" s="314">
        <v>134594</v>
      </c>
      <c r="D284" s="314">
        <v>191995</v>
      </c>
      <c r="E284" s="314">
        <v>101711</v>
      </c>
      <c r="F284" s="314">
        <v>9579</v>
      </c>
      <c r="G284" s="314">
        <v>12610</v>
      </c>
      <c r="H284" s="314">
        <v>9702</v>
      </c>
      <c r="I284" s="314">
        <v>20421</v>
      </c>
      <c r="J284" s="314">
        <v>1783</v>
      </c>
      <c r="K284" s="314">
        <v>5555</v>
      </c>
      <c r="L284" s="314">
        <v>146743</v>
      </c>
      <c r="M284" s="314">
        <v>25430</v>
      </c>
      <c r="N284" s="314">
        <v>579</v>
      </c>
      <c r="O284" s="314">
        <v>0</v>
      </c>
      <c r="P284" s="314">
        <v>0</v>
      </c>
      <c r="Q284" s="314">
        <v>0</v>
      </c>
      <c r="R284" s="314">
        <v>0</v>
      </c>
      <c r="S284" s="314">
        <v>0</v>
      </c>
      <c r="T284" s="314">
        <v>0</v>
      </c>
      <c r="U284" s="314">
        <v>0</v>
      </c>
      <c r="V284" s="314">
        <v>604</v>
      </c>
      <c r="W284" s="314">
        <v>1295</v>
      </c>
      <c r="X284" s="314">
        <v>26373</v>
      </c>
      <c r="Y284" s="314">
        <v>18241</v>
      </c>
      <c r="Z284" s="314">
        <v>570</v>
      </c>
      <c r="AA284" s="314">
        <v>4971</v>
      </c>
      <c r="AB284" s="314">
        <v>2788</v>
      </c>
      <c r="AC284" s="314">
        <v>0</v>
      </c>
      <c r="AD284" s="314">
        <v>0</v>
      </c>
      <c r="AE284" s="314">
        <v>105728</v>
      </c>
      <c r="AF284" s="314">
        <v>5579</v>
      </c>
      <c r="AG284" s="314">
        <v>33433</v>
      </c>
      <c r="AH284" s="314">
        <v>6043</v>
      </c>
      <c r="AI284" s="314">
        <v>3835</v>
      </c>
      <c r="AJ284" s="314">
        <v>810</v>
      </c>
      <c r="AK284" s="314">
        <v>4186</v>
      </c>
      <c r="AL284" s="314">
        <v>0</v>
      </c>
      <c r="AM284" s="314">
        <v>600</v>
      </c>
      <c r="AN284" s="314">
        <v>0</v>
      </c>
      <c r="AO284" s="314">
        <v>0</v>
      </c>
      <c r="AP284" s="314">
        <v>0</v>
      </c>
    </row>
    <row r="285" spans="1:42">
      <c r="A285" s="547">
        <f t="shared" si="4"/>
        <v>2009</v>
      </c>
      <c r="B285" s="578">
        <v>40025</v>
      </c>
      <c r="C285" s="314">
        <v>135265</v>
      </c>
      <c r="D285" s="314">
        <v>39870</v>
      </c>
      <c r="E285" s="314">
        <v>117185</v>
      </c>
      <c r="F285" s="314">
        <v>7842</v>
      </c>
      <c r="G285" s="314">
        <v>94426</v>
      </c>
      <c r="H285" s="314">
        <v>10566</v>
      </c>
      <c r="I285" s="314">
        <v>36657</v>
      </c>
      <c r="J285" s="314">
        <v>2370</v>
      </c>
      <c r="K285" s="314">
        <v>3641</v>
      </c>
      <c r="L285" s="314">
        <v>0</v>
      </c>
      <c r="M285" s="314">
        <v>1896</v>
      </c>
      <c r="N285" s="314">
        <v>0</v>
      </c>
      <c r="O285" s="314">
        <v>0</v>
      </c>
      <c r="P285" s="314">
        <v>0</v>
      </c>
      <c r="Q285" s="314">
        <v>0</v>
      </c>
      <c r="R285" s="314">
        <v>0</v>
      </c>
      <c r="S285" s="314">
        <v>0</v>
      </c>
      <c r="T285" s="314">
        <v>361</v>
      </c>
      <c r="U285" s="314">
        <v>2666</v>
      </c>
      <c r="V285" s="314">
        <v>3085</v>
      </c>
      <c r="W285" s="314">
        <v>4387</v>
      </c>
      <c r="X285" s="314">
        <v>5466</v>
      </c>
      <c r="Y285" s="314">
        <v>35866</v>
      </c>
      <c r="Z285" s="314">
        <v>0</v>
      </c>
      <c r="AA285" s="314">
        <v>0</v>
      </c>
      <c r="AB285" s="314">
        <v>5896</v>
      </c>
      <c r="AC285" s="314">
        <v>345</v>
      </c>
      <c r="AD285" s="314">
        <v>790</v>
      </c>
      <c r="AE285" s="314">
        <v>23522</v>
      </c>
      <c r="AF285" s="314">
        <v>16899</v>
      </c>
      <c r="AG285" s="314">
        <v>34137</v>
      </c>
      <c r="AH285" s="314">
        <v>1597</v>
      </c>
      <c r="AI285" s="314">
        <v>7030</v>
      </c>
      <c r="AJ285" s="314">
        <v>390</v>
      </c>
      <c r="AK285" s="314">
        <v>3734</v>
      </c>
      <c r="AL285" s="314">
        <v>0</v>
      </c>
      <c r="AM285" s="314">
        <v>2259</v>
      </c>
      <c r="AN285" s="314">
        <v>292</v>
      </c>
      <c r="AO285" s="314">
        <v>1884</v>
      </c>
      <c r="AP285" s="314">
        <v>0</v>
      </c>
    </row>
    <row r="286" spans="1:42">
      <c r="A286" s="547">
        <f t="shared" si="4"/>
        <v>2009</v>
      </c>
      <c r="B286" s="578">
        <v>40056</v>
      </c>
      <c r="C286" s="314">
        <v>68306</v>
      </c>
      <c r="D286" s="314">
        <v>110222</v>
      </c>
      <c r="E286" s="314">
        <v>133087</v>
      </c>
      <c r="F286" s="314">
        <v>21263</v>
      </c>
      <c r="G286" s="314">
        <v>11389</v>
      </c>
      <c r="H286" s="314">
        <v>439</v>
      </c>
      <c r="I286" s="314">
        <v>13731</v>
      </c>
      <c r="J286" s="314">
        <v>12728</v>
      </c>
      <c r="K286" s="314">
        <v>0</v>
      </c>
      <c r="L286" s="314">
        <v>1289</v>
      </c>
      <c r="M286" s="314">
        <v>4484</v>
      </c>
      <c r="N286" s="314">
        <v>0</v>
      </c>
      <c r="O286" s="314">
        <v>322</v>
      </c>
      <c r="P286" s="314">
        <v>608</v>
      </c>
      <c r="Q286" s="314">
        <v>2754</v>
      </c>
      <c r="R286" s="314">
        <v>0</v>
      </c>
      <c r="S286" s="314">
        <v>843</v>
      </c>
      <c r="T286" s="314">
        <v>3840</v>
      </c>
      <c r="U286" s="314">
        <v>0</v>
      </c>
      <c r="V286" s="314">
        <v>1359</v>
      </c>
      <c r="W286" s="314">
        <v>410</v>
      </c>
      <c r="X286" s="314">
        <v>68215</v>
      </c>
      <c r="Y286" s="314">
        <v>12857</v>
      </c>
      <c r="Z286" s="314">
        <v>1876</v>
      </c>
      <c r="AA286" s="314">
        <v>989</v>
      </c>
      <c r="AB286" s="314">
        <v>0</v>
      </c>
      <c r="AC286" s="314">
        <v>442</v>
      </c>
      <c r="AD286" s="314">
        <v>1118</v>
      </c>
      <c r="AE286" s="314">
        <v>44812</v>
      </c>
      <c r="AF286" s="314">
        <v>16391</v>
      </c>
      <c r="AG286" s="314">
        <v>97797</v>
      </c>
      <c r="AH286" s="314">
        <v>2413</v>
      </c>
      <c r="AI286" s="314">
        <v>7749</v>
      </c>
      <c r="AJ286" s="314">
        <v>19440</v>
      </c>
      <c r="AK286" s="314">
        <v>0</v>
      </c>
      <c r="AL286" s="314">
        <v>269</v>
      </c>
      <c r="AM286" s="314">
        <v>1792</v>
      </c>
      <c r="AN286" s="314">
        <v>0</v>
      </c>
      <c r="AO286" s="314">
        <v>1022</v>
      </c>
      <c r="AP286" s="314">
        <v>1500</v>
      </c>
    </row>
    <row r="287" spans="1:42">
      <c r="A287" s="547">
        <f t="shared" si="4"/>
        <v>2009</v>
      </c>
      <c r="B287" s="578">
        <v>40086</v>
      </c>
      <c r="C287" s="314">
        <v>63941</v>
      </c>
      <c r="D287" s="314">
        <v>65873</v>
      </c>
      <c r="E287" s="314">
        <v>105367</v>
      </c>
      <c r="F287" s="314">
        <v>23445</v>
      </c>
      <c r="G287" s="314">
        <v>10015</v>
      </c>
      <c r="H287" s="314">
        <v>39339</v>
      </c>
      <c r="I287" s="314">
        <v>23321</v>
      </c>
      <c r="J287" s="314">
        <v>15989</v>
      </c>
      <c r="K287" s="314">
        <v>3435</v>
      </c>
      <c r="L287" s="314">
        <v>100</v>
      </c>
      <c r="M287" s="314">
        <v>7418</v>
      </c>
      <c r="N287" s="314">
        <v>2320</v>
      </c>
      <c r="O287" s="314">
        <v>77</v>
      </c>
      <c r="P287" s="314">
        <v>0</v>
      </c>
      <c r="Q287" s="314">
        <v>0</v>
      </c>
      <c r="R287" s="314">
        <v>0</v>
      </c>
      <c r="S287" s="314">
        <v>6029</v>
      </c>
      <c r="T287" s="314">
        <v>0</v>
      </c>
      <c r="U287" s="314">
        <v>14754</v>
      </c>
      <c r="V287" s="314">
        <v>0</v>
      </c>
      <c r="W287" s="314">
        <v>550</v>
      </c>
      <c r="X287" s="314">
        <v>7496</v>
      </c>
      <c r="Y287" s="314">
        <v>17958</v>
      </c>
      <c r="Z287" s="314">
        <v>959</v>
      </c>
      <c r="AA287" s="314">
        <v>267</v>
      </c>
      <c r="AB287" s="314">
        <v>8151</v>
      </c>
      <c r="AC287" s="314">
        <v>1239</v>
      </c>
      <c r="AD287" s="314">
        <v>988</v>
      </c>
      <c r="AE287" s="314">
        <v>38194</v>
      </c>
      <c r="AF287" s="314">
        <v>1412</v>
      </c>
      <c r="AG287" s="314">
        <v>21816</v>
      </c>
      <c r="AH287" s="314">
        <v>613</v>
      </c>
      <c r="AI287" s="314">
        <v>3981</v>
      </c>
      <c r="AJ287" s="314">
        <v>0</v>
      </c>
      <c r="AK287" s="314">
        <v>705</v>
      </c>
      <c r="AL287" s="314">
        <v>2576</v>
      </c>
      <c r="AM287" s="314">
        <v>1393</v>
      </c>
      <c r="AN287" s="314">
        <v>9375</v>
      </c>
      <c r="AO287" s="314">
        <v>18156</v>
      </c>
      <c r="AP287" s="314">
        <v>0</v>
      </c>
    </row>
    <row r="288" spans="1:42">
      <c r="A288" s="547">
        <f t="shared" si="4"/>
        <v>2009</v>
      </c>
      <c r="B288" s="578">
        <v>40117</v>
      </c>
      <c r="C288" s="314">
        <v>70196</v>
      </c>
      <c r="D288" s="314">
        <v>62663</v>
      </c>
      <c r="E288" s="314">
        <v>129351</v>
      </c>
      <c r="F288" s="314">
        <v>21270</v>
      </c>
      <c r="G288" s="314">
        <v>2541</v>
      </c>
      <c r="H288" s="314">
        <v>36056</v>
      </c>
      <c r="I288" s="314">
        <v>58246</v>
      </c>
      <c r="J288" s="314">
        <v>0</v>
      </c>
      <c r="K288" s="314">
        <v>9331</v>
      </c>
      <c r="L288" s="314">
        <v>1143</v>
      </c>
      <c r="M288" s="314">
        <v>4250</v>
      </c>
      <c r="N288" s="314">
        <v>0</v>
      </c>
      <c r="O288" s="314">
        <v>0</v>
      </c>
      <c r="P288" s="314">
        <v>0</v>
      </c>
      <c r="Q288" s="314">
        <v>0</v>
      </c>
      <c r="R288" s="314">
        <v>0</v>
      </c>
      <c r="S288" s="314">
        <v>11634</v>
      </c>
      <c r="T288" s="314">
        <v>0</v>
      </c>
      <c r="U288" s="314">
        <v>162</v>
      </c>
      <c r="V288" s="314">
        <v>3507</v>
      </c>
      <c r="W288" s="314">
        <v>3124</v>
      </c>
      <c r="X288" s="314">
        <v>2405</v>
      </c>
      <c r="Y288" s="314">
        <v>20460</v>
      </c>
      <c r="Z288" s="314">
        <v>0</v>
      </c>
      <c r="AA288" s="314">
        <v>1547</v>
      </c>
      <c r="AB288" s="314">
        <v>5429</v>
      </c>
      <c r="AC288" s="314">
        <v>0</v>
      </c>
      <c r="AD288" s="314">
        <v>4246</v>
      </c>
      <c r="AE288" s="314">
        <v>30722</v>
      </c>
      <c r="AF288" s="314">
        <v>17630</v>
      </c>
      <c r="AG288" s="314">
        <v>42905</v>
      </c>
      <c r="AH288" s="314">
        <v>13517</v>
      </c>
      <c r="AI288" s="314">
        <v>11297</v>
      </c>
      <c r="AJ288" s="314">
        <v>0</v>
      </c>
      <c r="AK288" s="314">
        <v>1935</v>
      </c>
      <c r="AL288" s="314">
        <v>0</v>
      </c>
      <c r="AM288" s="314">
        <v>0</v>
      </c>
      <c r="AN288" s="314">
        <v>0</v>
      </c>
      <c r="AO288" s="314">
        <v>1393</v>
      </c>
      <c r="AP288" s="314">
        <v>0</v>
      </c>
    </row>
    <row r="289" spans="1:42">
      <c r="A289" s="547">
        <f t="shared" si="4"/>
        <v>2009</v>
      </c>
      <c r="B289" s="578">
        <v>40147</v>
      </c>
      <c r="C289" s="314">
        <v>77443</v>
      </c>
      <c r="D289" s="314">
        <v>66804</v>
      </c>
      <c r="E289" s="314">
        <v>99884</v>
      </c>
      <c r="F289" s="314">
        <v>37328</v>
      </c>
      <c r="G289" s="314">
        <v>13510</v>
      </c>
      <c r="H289" s="314">
        <v>16265</v>
      </c>
      <c r="I289" s="314">
        <v>21814</v>
      </c>
      <c r="J289" s="314">
        <v>2629</v>
      </c>
      <c r="K289" s="314">
        <v>4591</v>
      </c>
      <c r="L289" s="314">
        <v>2237</v>
      </c>
      <c r="M289" s="314">
        <v>20915</v>
      </c>
      <c r="N289" s="314">
        <v>11504</v>
      </c>
      <c r="O289" s="314">
        <v>0</v>
      </c>
      <c r="P289" s="314">
        <v>0</v>
      </c>
      <c r="Q289" s="314">
        <v>0</v>
      </c>
      <c r="R289" s="314">
        <v>0</v>
      </c>
      <c r="S289" s="314">
        <v>0</v>
      </c>
      <c r="T289" s="314">
        <v>0</v>
      </c>
      <c r="U289" s="314">
        <v>0</v>
      </c>
      <c r="V289" s="314">
        <v>0</v>
      </c>
      <c r="W289" s="314">
        <v>2477</v>
      </c>
      <c r="X289" s="314">
        <v>5939</v>
      </c>
      <c r="Y289" s="314">
        <v>33842</v>
      </c>
      <c r="Z289" s="314">
        <v>20849</v>
      </c>
      <c r="AA289" s="314">
        <v>1568</v>
      </c>
      <c r="AB289" s="314">
        <v>906</v>
      </c>
      <c r="AC289" s="314">
        <v>0</v>
      </c>
      <c r="AD289" s="314">
        <v>0</v>
      </c>
      <c r="AE289" s="314">
        <v>55297</v>
      </c>
      <c r="AF289" s="314">
        <v>41457</v>
      </c>
      <c r="AG289" s="314">
        <v>16094</v>
      </c>
      <c r="AH289" s="314">
        <v>1294</v>
      </c>
      <c r="AI289" s="314">
        <v>0</v>
      </c>
      <c r="AJ289" s="314">
        <v>0</v>
      </c>
      <c r="AK289" s="314">
        <v>0</v>
      </c>
      <c r="AL289" s="314">
        <v>1052</v>
      </c>
      <c r="AM289" s="314">
        <v>0</v>
      </c>
      <c r="AN289" s="314">
        <v>0</v>
      </c>
      <c r="AO289" s="314">
        <v>7219</v>
      </c>
      <c r="AP289" s="314">
        <v>0</v>
      </c>
    </row>
    <row r="290" spans="1:42">
      <c r="A290" s="547">
        <f t="shared" si="4"/>
        <v>2009</v>
      </c>
      <c r="B290" s="578">
        <v>40178</v>
      </c>
      <c r="C290" s="314">
        <v>108496</v>
      </c>
      <c r="D290" s="314">
        <v>165454</v>
      </c>
      <c r="E290" s="314">
        <v>132141</v>
      </c>
      <c r="F290" s="314">
        <v>28898</v>
      </c>
      <c r="G290" s="314">
        <v>23358</v>
      </c>
      <c r="H290" s="314">
        <v>5311</v>
      </c>
      <c r="I290" s="314">
        <v>22619</v>
      </c>
      <c r="J290" s="314">
        <v>1203</v>
      </c>
      <c r="K290" s="314">
        <v>0</v>
      </c>
      <c r="L290" s="314">
        <v>1225</v>
      </c>
      <c r="M290" s="314">
        <v>26406</v>
      </c>
      <c r="N290" s="314">
        <v>0</v>
      </c>
      <c r="O290" s="314">
        <v>0</v>
      </c>
      <c r="P290" s="314">
        <v>0</v>
      </c>
      <c r="Q290" s="314">
        <v>148</v>
      </c>
      <c r="R290" s="314">
        <v>0</v>
      </c>
      <c r="S290" s="314">
        <v>240</v>
      </c>
      <c r="T290" s="314">
        <v>45</v>
      </c>
      <c r="U290" s="314">
        <v>2260</v>
      </c>
      <c r="V290" s="314">
        <v>85</v>
      </c>
      <c r="W290" s="314">
        <v>1836</v>
      </c>
      <c r="X290" s="314">
        <v>3812</v>
      </c>
      <c r="Y290" s="314">
        <v>24843</v>
      </c>
      <c r="Z290" s="314">
        <v>483</v>
      </c>
      <c r="AA290" s="314">
        <v>0</v>
      </c>
      <c r="AB290" s="314">
        <v>0</v>
      </c>
      <c r="AC290" s="314">
        <v>988</v>
      </c>
      <c r="AD290" s="314">
        <v>0</v>
      </c>
      <c r="AE290" s="314">
        <v>82011</v>
      </c>
      <c r="AF290" s="314">
        <v>154677</v>
      </c>
      <c r="AG290" s="314">
        <v>42587</v>
      </c>
      <c r="AH290" s="314">
        <v>27127</v>
      </c>
      <c r="AI290" s="314">
        <v>1051</v>
      </c>
      <c r="AJ290" s="314">
        <v>0</v>
      </c>
      <c r="AK290" s="314">
        <v>12290</v>
      </c>
      <c r="AL290" s="314">
        <v>0</v>
      </c>
      <c r="AM290" s="314">
        <v>0</v>
      </c>
      <c r="AN290" s="314">
        <v>384</v>
      </c>
      <c r="AO290" s="314">
        <v>0</v>
      </c>
      <c r="AP290" s="314">
        <v>0</v>
      </c>
    </row>
    <row r="291" spans="1:42">
      <c r="A291" s="547">
        <f t="shared" si="4"/>
        <v>2010</v>
      </c>
      <c r="B291" s="578">
        <v>40209</v>
      </c>
      <c r="C291" s="314">
        <v>27096</v>
      </c>
      <c r="D291" s="314">
        <v>19183</v>
      </c>
      <c r="E291" s="314">
        <v>117145</v>
      </c>
      <c r="F291" s="314">
        <v>10493</v>
      </c>
      <c r="G291" s="314">
        <v>5702</v>
      </c>
      <c r="H291" s="314">
        <v>2265</v>
      </c>
      <c r="I291" s="314">
        <v>40054</v>
      </c>
      <c r="J291" s="314">
        <v>2104</v>
      </c>
      <c r="K291" s="314">
        <v>1793</v>
      </c>
      <c r="L291" s="314">
        <v>1151</v>
      </c>
      <c r="M291" s="314">
        <v>648</v>
      </c>
      <c r="N291" s="314">
        <v>70</v>
      </c>
      <c r="O291" s="314">
        <v>206</v>
      </c>
      <c r="P291" s="314">
        <v>595</v>
      </c>
      <c r="Q291" s="314">
        <v>5376</v>
      </c>
      <c r="R291" s="314">
        <v>2091</v>
      </c>
      <c r="S291" s="314">
        <v>0</v>
      </c>
      <c r="T291" s="314">
        <v>0</v>
      </c>
      <c r="U291" s="314">
        <v>0</v>
      </c>
      <c r="V291" s="314">
        <v>307</v>
      </c>
      <c r="W291" s="314">
        <v>5431</v>
      </c>
      <c r="X291" s="314">
        <v>11367</v>
      </c>
      <c r="Y291" s="314">
        <v>12643</v>
      </c>
      <c r="Z291" s="314">
        <v>0</v>
      </c>
      <c r="AA291" s="314">
        <v>0</v>
      </c>
      <c r="AB291" s="314">
        <v>1328</v>
      </c>
      <c r="AC291" s="314">
        <v>0</v>
      </c>
      <c r="AD291" s="314">
        <v>889</v>
      </c>
      <c r="AE291" s="314">
        <v>13122</v>
      </c>
      <c r="AF291" s="314">
        <v>1822</v>
      </c>
      <c r="AG291" s="314">
        <v>53014</v>
      </c>
      <c r="AH291" s="314">
        <v>5032</v>
      </c>
      <c r="AI291" s="314">
        <v>597</v>
      </c>
      <c r="AJ291" s="314">
        <v>387</v>
      </c>
      <c r="AK291" s="314">
        <v>5410</v>
      </c>
      <c r="AL291" s="314">
        <v>0</v>
      </c>
      <c r="AM291" s="314">
        <v>245</v>
      </c>
      <c r="AN291" s="314">
        <v>268</v>
      </c>
      <c r="AO291" s="314">
        <v>0</v>
      </c>
      <c r="AP291" s="314">
        <v>0</v>
      </c>
    </row>
    <row r="292" spans="1:42">
      <c r="A292" s="547">
        <f t="shared" si="4"/>
        <v>2010</v>
      </c>
      <c r="B292" s="578">
        <v>40237</v>
      </c>
      <c r="C292" s="314">
        <v>41191</v>
      </c>
      <c r="D292" s="314">
        <v>6202</v>
      </c>
      <c r="E292" s="314">
        <v>78587</v>
      </c>
      <c r="F292" s="314">
        <v>24371</v>
      </c>
      <c r="G292" s="314">
        <v>2979</v>
      </c>
      <c r="H292" s="314">
        <v>1283</v>
      </c>
      <c r="I292" s="314">
        <v>8726</v>
      </c>
      <c r="J292" s="314">
        <v>4781</v>
      </c>
      <c r="K292" s="314">
        <v>648</v>
      </c>
      <c r="L292" s="314">
        <v>1662</v>
      </c>
      <c r="M292" s="314">
        <v>24704</v>
      </c>
      <c r="N292" s="314">
        <v>107</v>
      </c>
      <c r="O292" s="314">
        <v>0</v>
      </c>
      <c r="P292" s="314">
        <v>0</v>
      </c>
      <c r="Q292" s="314">
        <v>0</v>
      </c>
      <c r="R292" s="314">
        <v>2149</v>
      </c>
      <c r="S292" s="314">
        <v>0</v>
      </c>
      <c r="T292" s="314">
        <v>0</v>
      </c>
      <c r="U292" s="314">
        <v>1375</v>
      </c>
      <c r="V292" s="314">
        <v>0</v>
      </c>
      <c r="W292" s="314">
        <v>3708</v>
      </c>
      <c r="X292" s="314">
        <v>321</v>
      </c>
      <c r="Y292" s="314">
        <v>10287</v>
      </c>
      <c r="Z292" s="314">
        <v>1894</v>
      </c>
      <c r="AA292" s="314">
        <v>0</v>
      </c>
      <c r="AB292" s="314">
        <v>1496</v>
      </c>
      <c r="AC292" s="314">
        <v>988</v>
      </c>
      <c r="AD292" s="314">
        <v>1680</v>
      </c>
      <c r="AE292" s="314">
        <v>29977</v>
      </c>
      <c r="AF292" s="314">
        <v>1440</v>
      </c>
      <c r="AG292" s="314">
        <v>31139</v>
      </c>
      <c r="AH292" s="314">
        <v>13760</v>
      </c>
      <c r="AI292" s="314">
        <v>0</v>
      </c>
      <c r="AJ292" s="314">
        <v>0</v>
      </c>
      <c r="AK292" s="314">
        <v>925</v>
      </c>
      <c r="AL292" s="314">
        <v>0</v>
      </c>
      <c r="AM292" s="314">
        <v>3879</v>
      </c>
      <c r="AN292" s="314">
        <v>0</v>
      </c>
      <c r="AO292" s="314">
        <v>443</v>
      </c>
      <c r="AP292" s="314">
        <v>0</v>
      </c>
    </row>
    <row r="293" spans="1:42">
      <c r="A293" s="547">
        <f t="shared" si="4"/>
        <v>2010</v>
      </c>
      <c r="B293" s="578">
        <v>40268</v>
      </c>
      <c r="C293" s="314">
        <v>21459</v>
      </c>
      <c r="D293" s="314">
        <v>91810</v>
      </c>
      <c r="E293" s="314">
        <v>164476</v>
      </c>
      <c r="F293" s="314">
        <v>5824</v>
      </c>
      <c r="G293" s="314">
        <v>418</v>
      </c>
      <c r="H293" s="314">
        <v>10713</v>
      </c>
      <c r="I293" s="314">
        <v>26427</v>
      </c>
      <c r="J293" s="314">
        <v>2437</v>
      </c>
      <c r="K293" s="314">
        <v>0</v>
      </c>
      <c r="L293" s="314">
        <v>12533</v>
      </c>
      <c r="M293" s="314">
        <v>18688</v>
      </c>
      <c r="N293" s="314">
        <v>786</v>
      </c>
      <c r="O293" s="314">
        <v>0</v>
      </c>
      <c r="P293" s="314">
        <v>4155</v>
      </c>
      <c r="Q293" s="314">
        <v>7146</v>
      </c>
      <c r="R293" s="314">
        <v>0</v>
      </c>
      <c r="S293" s="314">
        <v>695</v>
      </c>
      <c r="T293" s="314">
        <v>301</v>
      </c>
      <c r="U293" s="314">
        <v>3465</v>
      </c>
      <c r="V293" s="314">
        <v>231</v>
      </c>
      <c r="W293" s="314">
        <v>18307</v>
      </c>
      <c r="X293" s="314">
        <v>3609</v>
      </c>
      <c r="Y293" s="314">
        <v>12455</v>
      </c>
      <c r="Z293" s="314">
        <v>859</v>
      </c>
      <c r="AA293" s="314">
        <v>642</v>
      </c>
      <c r="AB293" s="314">
        <v>1119</v>
      </c>
      <c r="AC293" s="314">
        <v>0</v>
      </c>
      <c r="AD293" s="314">
        <v>638</v>
      </c>
      <c r="AE293" s="314">
        <v>965</v>
      </c>
      <c r="AF293" s="314">
        <v>53733</v>
      </c>
      <c r="AG293" s="314">
        <v>88072</v>
      </c>
      <c r="AH293" s="314">
        <v>825</v>
      </c>
      <c r="AI293" s="314">
        <v>432</v>
      </c>
      <c r="AJ293" s="314">
        <v>0</v>
      </c>
      <c r="AK293" s="314">
        <v>8223</v>
      </c>
      <c r="AL293" s="314">
        <v>0</v>
      </c>
      <c r="AM293" s="314">
        <v>0</v>
      </c>
      <c r="AN293" s="314">
        <v>5647</v>
      </c>
      <c r="AO293" s="314">
        <v>0</v>
      </c>
      <c r="AP293" s="314">
        <v>48</v>
      </c>
    </row>
    <row r="294" spans="1:42">
      <c r="A294" s="547">
        <f t="shared" si="4"/>
        <v>2010</v>
      </c>
      <c r="B294" s="578">
        <v>40298</v>
      </c>
      <c r="C294" s="314">
        <v>36952</v>
      </c>
      <c r="D294" s="314">
        <v>50413</v>
      </c>
      <c r="E294" s="314">
        <v>63856</v>
      </c>
      <c r="F294" s="314">
        <v>33765</v>
      </c>
      <c r="G294" s="314">
        <v>11751</v>
      </c>
      <c r="H294" s="314">
        <v>25066</v>
      </c>
      <c r="I294" s="314">
        <v>12932</v>
      </c>
      <c r="J294" s="314">
        <v>24795</v>
      </c>
      <c r="K294" s="314">
        <v>0</v>
      </c>
      <c r="L294" s="314">
        <v>4477</v>
      </c>
      <c r="M294" s="314">
        <v>26196</v>
      </c>
      <c r="N294" s="314">
        <v>0</v>
      </c>
      <c r="O294" s="314">
        <v>0</v>
      </c>
      <c r="P294" s="314">
        <v>0</v>
      </c>
      <c r="Q294" s="314">
        <v>0</v>
      </c>
      <c r="R294" s="314">
        <v>0</v>
      </c>
      <c r="S294" s="314">
        <v>0</v>
      </c>
      <c r="T294" s="314">
        <v>0</v>
      </c>
      <c r="U294" s="314">
        <v>0</v>
      </c>
      <c r="V294" s="314">
        <v>1020</v>
      </c>
      <c r="W294" s="314">
        <v>3445</v>
      </c>
      <c r="X294" s="314">
        <v>0</v>
      </c>
      <c r="Y294" s="314">
        <v>6937</v>
      </c>
      <c r="Z294" s="314">
        <v>2070</v>
      </c>
      <c r="AA294" s="314">
        <v>0</v>
      </c>
      <c r="AB294" s="314">
        <v>0</v>
      </c>
      <c r="AC294" s="314">
        <v>0</v>
      </c>
      <c r="AD294" s="314">
        <v>3627</v>
      </c>
      <c r="AE294" s="314">
        <v>21756</v>
      </c>
      <c r="AF294" s="314">
        <v>0</v>
      </c>
      <c r="AG294" s="314">
        <v>17791</v>
      </c>
      <c r="AH294" s="314">
        <v>2253</v>
      </c>
      <c r="AI294" s="314">
        <v>0</v>
      </c>
      <c r="AJ294" s="314">
        <v>20239</v>
      </c>
      <c r="AK294" s="314">
        <v>0</v>
      </c>
      <c r="AL294" s="314">
        <v>0</v>
      </c>
      <c r="AM294" s="314">
        <v>0</v>
      </c>
      <c r="AN294" s="314">
        <v>631</v>
      </c>
      <c r="AO294" s="314">
        <v>0</v>
      </c>
      <c r="AP294" s="314">
        <v>0</v>
      </c>
    </row>
    <row r="295" spans="1:42">
      <c r="A295" s="547">
        <f t="shared" si="4"/>
        <v>2010</v>
      </c>
      <c r="B295" s="578">
        <v>40329</v>
      </c>
      <c r="C295" s="314">
        <v>99949</v>
      </c>
      <c r="D295" s="314">
        <v>114369</v>
      </c>
      <c r="E295" s="314">
        <v>35623</v>
      </c>
      <c r="F295" s="314">
        <v>5648</v>
      </c>
      <c r="G295" s="314">
        <v>2987</v>
      </c>
      <c r="H295" s="314">
        <v>43997</v>
      </c>
      <c r="I295" s="314">
        <v>14725</v>
      </c>
      <c r="J295" s="314">
        <v>2034</v>
      </c>
      <c r="K295" s="314">
        <v>0</v>
      </c>
      <c r="L295" s="314">
        <v>662</v>
      </c>
      <c r="M295" s="314">
        <v>7191</v>
      </c>
      <c r="N295" s="314">
        <v>36</v>
      </c>
      <c r="O295" s="314">
        <v>0</v>
      </c>
      <c r="P295" s="314">
        <v>0</v>
      </c>
      <c r="Q295" s="314">
        <v>792</v>
      </c>
      <c r="R295" s="314">
        <v>0</v>
      </c>
      <c r="S295" s="314">
        <v>2100</v>
      </c>
      <c r="T295" s="314">
        <v>0</v>
      </c>
      <c r="U295" s="314">
        <v>0</v>
      </c>
      <c r="V295" s="314">
        <v>216</v>
      </c>
      <c r="W295" s="314">
        <v>34743</v>
      </c>
      <c r="X295" s="314">
        <v>42175</v>
      </c>
      <c r="Y295" s="314">
        <v>4108</v>
      </c>
      <c r="Z295" s="314">
        <v>1113</v>
      </c>
      <c r="AA295" s="314">
        <v>456</v>
      </c>
      <c r="AB295" s="314">
        <v>2776</v>
      </c>
      <c r="AC295" s="314">
        <v>773</v>
      </c>
      <c r="AD295" s="314">
        <v>0</v>
      </c>
      <c r="AE295" s="314">
        <v>52388</v>
      </c>
      <c r="AF295" s="314">
        <v>1428</v>
      </c>
      <c r="AG295" s="314">
        <v>7596</v>
      </c>
      <c r="AH295" s="314">
        <v>417</v>
      </c>
      <c r="AI295" s="314">
        <v>3910</v>
      </c>
      <c r="AJ295" s="314">
        <v>21512</v>
      </c>
      <c r="AK295" s="314">
        <v>438</v>
      </c>
      <c r="AL295" s="314">
        <v>1832</v>
      </c>
      <c r="AM295" s="314">
        <v>3365</v>
      </c>
      <c r="AN295" s="314">
        <v>1819</v>
      </c>
      <c r="AO295" s="314">
        <v>0</v>
      </c>
      <c r="AP295" s="314">
        <v>0</v>
      </c>
    </row>
    <row r="296" spans="1:42">
      <c r="A296" s="547">
        <f t="shared" si="4"/>
        <v>2010</v>
      </c>
      <c r="B296" s="578">
        <v>40359</v>
      </c>
      <c r="C296" s="314">
        <v>22740</v>
      </c>
      <c r="D296" s="314">
        <v>27956</v>
      </c>
      <c r="E296" s="314">
        <v>92414</v>
      </c>
      <c r="F296" s="314">
        <v>25403</v>
      </c>
      <c r="G296" s="314">
        <v>0</v>
      </c>
      <c r="H296" s="314">
        <v>8507</v>
      </c>
      <c r="I296" s="314">
        <v>15523</v>
      </c>
      <c r="J296" s="314">
        <v>4154</v>
      </c>
      <c r="K296" s="314">
        <v>0</v>
      </c>
      <c r="L296" s="314">
        <v>825</v>
      </c>
      <c r="M296" s="314">
        <v>1257</v>
      </c>
      <c r="N296" s="314">
        <v>0</v>
      </c>
      <c r="O296" s="314">
        <v>0</v>
      </c>
      <c r="P296" s="314">
        <v>0</v>
      </c>
      <c r="Q296" s="314">
        <v>0</v>
      </c>
      <c r="R296" s="314">
        <v>0</v>
      </c>
      <c r="S296" s="314">
        <v>1146</v>
      </c>
      <c r="T296" s="314">
        <v>175</v>
      </c>
      <c r="U296" s="314">
        <v>3851</v>
      </c>
      <c r="V296" s="314">
        <v>0</v>
      </c>
      <c r="W296" s="314">
        <v>2794</v>
      </c>
      <c r="X296" s="314">
        <v>2179</v>
      </c>
      <c r="Y296" s="314">
        <v>22584</v>
      </c>
      <c r="Z296" s="314">
        <v>2612</v>
      </c>
      <c r="AA296" s="314">
        <v>0</v>
      </c>
      <c r="AB296" s="314">
        <v>0</v>
      </c>
      <c r="AC296" s="314">
        <v>0</v>
      </c>
      <c r="AD296" s="314">
        <v>0</v>
      </c>
      <c r="AE296" s="314">
        <v>18800</v>
      </c>
      <c r="AF296" s="314">
        <v>2565</v>
      </c>
      <c r="AG296" s="314">
        <v>34459</v>
      </c>
      <c r="AH296" s="314">
        <v>17194</v>
      </c>
      <c r="AI296" s="314">
        <v>0</v>
      </c>
      <c r="AJ296" s="314">
        <v>2747</v>
      </c>
      <c r="AK296" s="314">
        <v>2509</v>
      </c>
      <c r="AL296" s="314">
        <v>0</v>
      </c>
      <c r="AM296" s="314">
        <v>0</v>
      </c>
      <c r="AN296" s="314">
        <v>10958</v>
      </c>
      <c r="AO296" s="314">
        <v>12231</v>
      </c>
      <c r="AP296" s="314">
        <v>1443</v>
      </c>
    </row>
    <row r="297" spans="1:42">
      <c r="A297" s="547">
        <f t="shared" si="4"/>
        <v>2010</v>
      </c>
      <c r="B297" s="578">
        <v>40390</v>
      </c>
      <c r="C297" s="314">
        <v>89577</v>
      </c>
      <c r="D297" s="314">
        <v>65906</v>
      </c>
      <c r="E297" s="314">
        <v>83485</v>
      </c>
      <c r="F297" s="314">
        <v>64108</v>
      </c>
      <c r="G297" s="314">
        <v>8630</v>
      </c>
      <c r="H297" s="314">
        <v>6223</v>
      </c>
      <c r="I297" s="314">
        <v>14463</v>
      </c>
      <c r="J297" s="314">
        <v>54505</v>
      </c>
      <c r="K297" s="314">
        <v>0</v>
      </c>
      <c r="L297" s="314">
        <v>271</v>
      </c>
      <c r="M297" s="314">
        <v>1842</v>
      </c>
      <c r="N297" s="314">
        <v>4659</v>
      </c>
      <c r="O297" s="314">
        <v>0</v>
      </c>
      <c r="P297" s="314">
        <v>0</v>
      </c>
      <c r="Q297" s="314">
        <v>2989</v>
      </c>
      <c r="R297" s="314">
        <v>413</v>
      </c>
      <c r="S297" s="314">
        <v>0</v>
      </c>
      <c r="T297" s="314">
        <v>24810</v>
      </c>
      <c r="U297" s="314">
        <v>1132</v>
      </c>
      <c r="V297" s="314">
        <v>0</v>
      </c>
      <c r="W297" s="314">
        <v>16507</v>
      </c>
      <c r="X297" s="314">
        <v>0</v>
      </c>
      <c r="Y297" s="314">
        <v>16242</v>
      </c>
      <c r="Z297" s="314">
        <v>0</v>
      </c>
      <c r="AA297" s="314">
        <v>5765</v>
      </c>
      <c r="AB297" s="314">
        <v>3434</v>
      </c>
      <c r="AC297" s="314">
        <v>2025</v>
      </c>
      <c r="AD297" s="314">
        <v>2944</v>
      </c>
      <c r="AE297" s="314">
        <v>58398</v>
      </c>
      <c r="AF297" s="314">
        <v>29101</v>
      </c>
      <c r="AG297" s="314">
        <v>44792</v>
      </c>
      <c r="AH297" s="314">
        <v>1220</v>
      </c>
      <c r="AI297" s="314">
        <v>0</v>
      </c>
      <c r="AJ297" s="314">
        <v>231</v>
      </c>
      <c r="AK297" s="314">
        <v>0</v>
      </c>
      <c r="AL297" s="314">
        <v>367</v>
      </c>
      <c r="AM297" s="314">
        <v>277</v>
      </c>
      <c r="AN297" s="314">
        <v>1836</v>
      </c>
      <c r="AO297" s="314">
        <v>0</v>
      </c>
      <c r="AP297" s="314">
        <v>0</v>
      </c>
    </row>
    <row r="298" spans="1:42">
      <c r="A298" s="547">
        <f t="shared" si="4"/>
        <v>2010</v>
      </c>
      <c r="B298" s="578">
        <v>40421</v>
      </c>
      <c r="C298" s="314">
        <v>25134</v>
      </c>
      <c r="D298" s="314">
        <v>19298</v>
      </c>
      <c r="E298" s="314">
        <v>112139</v>
      </c>
      <c r="F298" s="314">
        <v>4761</v>
      </c>
      <c r="G298" s="314">
        <v>2123</v>
      </c>
      <c r="H298" s="314">
        <v>946</v>
      </c>
      <c r="I298" s="314">
        <v>19069</v>
      </c>
      <c r="J298" s="314">
        <v>1952</v>
      </c>
      <c r="K298" s="314">
        <v>0</v>
      </c>
      <c r="L298" s="314">
        <v>2687</v>
      </c>
      <c r="M298" s="314">
        <v>62275</v>
      </c>
      <c r="N298" s="314">
        <v>1170</v>
      </c>
      <c r="O298" s="314">
        <v>0</v>
      </c>
      <c r="P298" s="314">
        <v>0</v>
      </c>
      <c r="Q298" s="314">
        <v>0</v>
      </c>
      <c r="R298" s="314">
        <v>0</v>
      </c>
      <c r="S298" s="314">
        <v>0</v>
      </c>
      <c r="T298" s="314">
        <v>0</v>
      </c>
      <c r="U298" s="314">
        <v>2942</v>
      </c>
      <c r="V298" s="314">
        <v>0</v>
      </c>
      <c r="W298" s="314">
        <v>3728</v>
      </c>
      <c r="X298" s="314">
        <v>11724</v>
      </c>
      <c r="Y298" s="314">
        <v>15180</v>
      </c>
      <c r="Z298" s="314">
        <v>853</v>
      </c>
      <c r="AA298" s="314">
        <v>989</v>
      </c>
      <c r="AB298" s="314">
        <v>329</v>
      </c>
      <c r="AC298" s="314">
        <v>0</v>
      </c>
      <c r="AD298" s="314">
        <v>0</v>
      </c>
      <c r="AE298" s="314">
        <v>7295</v>
      </c>
      <c r="AF298" s="314">
        <v>647</v>
      </c>
      <c r="AG298" s="314">
        <v>11198</v>
      </c>
      <c r="AH298" s="314">
        <v>0</v>
      </c>
      <c r="AI298" s="314">
        <v>10711</v>
      </c>
      <c r="AJ298" s="314">
        <v>2683</v>
      </c>
      <c r="AK298" s="314">
        <v>1050</v>
      </c>
      <c r="AL298" s="314">
        <v>269</v>
      </c>
      <c r="AM298" s="314">
        <v>288</v>
      </c>
      <c r="AN298" s="314">
        <v>282</v>
      </c>
      <c r="AO298" s="314">
        <v>425</v>
      </c>
      <c r="AP298" s="314">
        <v>517</v>
      </c>
    </row>
    <row r="299" spans="1:42">
      <c r="A299" s="547">
        <f t="shared" si="4"/>
        <v>2010</v>
      </c>
      <c r="B299" s="578">
        <v>40451</v>
      </c>
      <c r="C299" s="314">
        <v>32448</v>
      </c>
      <c r="D299" s="314">
        <v>44448</v>
      </c>
      <c r="E299" s="314">
        <v>65977</v>
      </c>
      <c r="F299" s="314">
        <v>6600</v>
      </c>
      <c r="G299" s="314">
        <v>17115</v>
      </c>
      <c r="H299" s="314">
        <v>314</v>
      </c>
      <c r="I299" s="314">
        <v>28045</v>
      </c>
      <c r="J299" s="314">
        <v>2156</v>
      </c>
      <c r="K299" s="314">
        <v>303</v>
      </c>
      <c r="L299" s="314">
        <v>13710</v>
      </c>
      <c r="M299" s="314">
        <v>1190</v>
      </c>
      <c r="N299" s="314">
        <v>0</v>
      </c>
      <c r="O299" s="314">
        <v>0</v>
      </c>
      <c r="P299" s="314">
        <v>0</v>
      </c>
      <c r="Q299" s="314">
        <v>432</v>
      </c>
      <c r="R299" s="314">
        <v>0</v>
      </c>
      <c r="S299" s="314">
        <v>250</v>
      </c>
      <c r="T299" s="314">
        <v>20718</v>
      </c>
      <c r="U299" s="314">
        <v>682</v>
      </c>
      <c r="V299" s="314">
        <v>0</v>
      </c>
      <c r="W299" s="314">
        <v>665</v>
      </c>
      <c r="X299" s="314">
        <v>1985</v>
      </c>
      <c r="Y299" s="314">
        <v>3141</v>
      </c>
      <c r="Z299" s="314">
        <v>4146</v>
      </c>
      <c r="AA299" s="314">
        <v>0</v>
      </c>
      <c r="AB299" s="314">
        <v>76</v>
      </c>
      <c r="AC299" s="314">
        <v>0</v>
      </c>
      <c r="AD299" s="314">
        <v>0</v>
      </c>
      <c r="AE299" s="314">
        <v>13546</v>
      </c>
      <c r="AF299" s="314">
        <v>7645</v>
      </c>
      <c r="AG299" s="314">
        <v>29980</v>
      </c>
      <c r="AH299" s="314">
        <v>298</v>
      </c>
      <c r="AI299" s="314">
        <v>569</v>
      </c>
      <c r="AJ299" s="314">
        <v>0</v>
      </c>
      <c r="AK299" s="314">
        <v>2208</v>
      </c>
      <c r="AL299" s="314">
        <v>0</v>
      </c>
      <c r="AM299" s="314">
        <v>0</v>
      </c>
      <c r="AN299" s="314">
        <v>0</v>
      </c>
      <c r="AO299" s="314">
        <v>299</v>
      </c>
      <c r="AP299" s="314">
        <v>0</v>
      </c>
    </row>
    <row r="300" spans="1:42">
      <c r="A300" s="547">
        <f t="shared" si="4"/>
        <v>2010</v>
      </c>
      <c r="B300" s="578">
        <v>40482</v>
      </c>
      <c r="C300" s="314">
        <v>57018</v>
      </c>
      <c r="D300" s="314">
        <v>110939</v>
      </c>
      <c r="E300" s="314">
        <v>122649</v>
      </c>
      <c r="F300" s="314">
        <v>6387</v>
      </c>
      <c r="G300" s="314">
        <v>80</v>
      </c>
      <c r="H300" s="314">
        <v>8739</v>
      </c>
      <c r="I300" s="314">
        <v>13037</v>
      </c>
      <c r="J300" s="314">
        <v>3461</v>
      </c>
      <c r="K300" s="314">
        <v>3729</v>
      </c>
      <c r="L300" s="314">
        <v>787</v>
      </c>
      <c r="M300" s="314">
        <v>1487</v>
      </c>
      <c r="N300" s="314">
        <v>0</v>
      </c>
      <c r="O300" s="314">
        <v>0</v>
      </c>
      <c r="P300" s="314">
        <v>0</v>
      </c>
      <c r="Q300" s="314">
        <v>430</v>
      </c>
      <c r="R300" s="314">
        <v>0</v>
      </c>
      <c r="S300" s="314">
        <v>2283</v>
      </c>
      <c r="T300" s="314">
        <v>664</v>
      </c>
      <c r="U300" s="314">
        <v>435</v>
      </c>
      <c r="V300" s="314">
        <v>0</v>
      </c>
      <c r="W300" s="314">
        <v>893</v>
      </c>
      <c r="X300" s="314">
        <v>3824</v>
      </c>
      <c r="Y300" s="314">
        <v>5451</v>
      </c>
      <c r="Z300" s="314">
        <v>0</v>
      </c>
      <c r="AA300" s="314">
        <v>267</v>
      </c>
      <c r="AB300" s="314">
        <v>47437</v>
      </c>
      <c r="AC300" s="314">
        <v>0</v>
      </c>
      <c r="AD300" s="314">
        <v>0</v>
      </c>
      <c r="AE300" s="314">
        <v>48711</v>
      </c>
      <c r="AF300" s="314">
        <v>49328</v>
      </c>
      <c r="AG300" s="314">
        <v>92337</v>
      </c>
      <c r="AH300" s="314">
        <v>1760</v>
      </c>
      <c r="AI300" s="314">
        <v>0</v>
      </c>
      <c r="AJ300" s="314">
        <v>0</v>
      </c>
      <c r="AK300" s="314">
        <v>8338</v>
      </c>
      <c r="AL300" s="314">
        <v>1166</v>
      </c>
      <c r="AM300" s="314">
        <v>1055</v>
      </c>
      <c r="AN300" s="314">
        <v>160</v>
      </c>
      <c r="AO300" s="314">
        <v>1134</v>
      </c>
      <c r="AP300" s="314">
        <v>0</v>
      </c>
    </row>
    <row r="301" spans="1:42">
      <c r="A301" s="547">
        <f t="shared" si="4"/>
        <v>2010</v>
      </c>
      <c r="B301" s="578">
        <v>40512</v>
      </c>
      <c r="C301" s="314">
        <v>89849</v>
      </c>
      <c r="D301" s="314">
        <v>20470</v>
      </c>
      <c r="E301" s="314">
        <v>39076</v>
      </c>
      <c r="F301" s="314">
        <v>23875</v>
      </c>
      <c r="G301" s="314">
        <v>9039</v>
      </c>
      <c r="H301" s="314">
        <v>5083</v>
      </c>
      <c r="I301" s="314">
        <v>1752</v>
      </c>
      <c r="J301" s="314">
        <v>2780</v>
      </c>
      <c r="K301" s="314">
        <v>1384</v>
      </c>
      <c r="L301" s="314">
        <v>0</v>
      </c>
      <c r="M301" s="314">
        <v>5396</v>
      </c>
      <c r="N301" s="314">
        <v>0</v>
      </c>
      <c r="O301" s="314">
        <v>0</v>
      </c>
      <c r="P301" s="314">
        <v>0</v>
      </c>
      <c r="Q301" s="314">
        <v>0</v>
      </c>
      <c r="R301" s="314">
        <v>0</v>
      </c>
      <c r="S301" s="314">
        <v>0</v>
      </c>
      <c r="T301" s="314">
        <v>0</v>
      </c>
      <c r="U301" s="314">
        <v>475</v>
      </c>
      <c r="V301" s="314">
        <v>0</v>
      </c>
      <c r="W301" s="314">
        <v>26088</v>
      </c>
      <c r="X301" s="314">
        <v>720</v>
      </c>
      <c r="Y301" s="314">
        <v>11401</v>
      </c>
      <c r="Z301" s="314">
        <v>741</v>
      </c>
      <c r="AA301" s="314">
        <v>0</v>
      </c>
      <c r="AB301" s="314">
        <v>473</v>
      </c>
      <c r="AC301" s="314">
        <v>0</v>
      </c>
      <c r="AD301" s="314">
        <v>0</v>
      </c>
      <c r="AE301" s="314">
        <v>53338</v>
      </c>
      <c r="AF301" s="314">
        <v>5506</v>
      </c>
      <c r="AG301" s="314">
        <v>14254</v>
      </c>
      <c r="AH301" s="314">
        <v>18988</v>
      </c>
      <c r="AI301" s="314">
        <v>0</v>
      </c>
      <c r="AJ301" s="314">
        <v>8603</v>
      </c>
      <c r="AK301" s="314">
        <v>5798</v>
      </c>
      <c r="AL301" s="314">
        <v>1106</v>
      </c>
      <c r="AM301" s="314">
        <v>0</v>
      </c>
      <c r="AN301" s="314">
        <v>85</v>
      </c>
      <c r="AO301" s="314">
        <v>0</v>
      </c>
      <c r="AP301" s="314">
        <v>260</v>
      </c>
    </row>
    <row r="302" spans="1:42">
      <c r="A302" s="547">
        <f t="shared" si="4"/>
        <v>2010</v>
      </c>
      <c r="B302" s="578">
        <v>40543</v>
      </c>
      <c r="C302" s="314">
        <v>45579</v>
      </c>
      <c r="D302" s="314">
        <v>38576</v>
      </c>
      <c r="E302" s="314">
        <v>42809</v>
      </c>
      <c r="F302" s="314">
        <v>10153</v>
      </c>
      <c r="G302" s="314">
        <v>5641</v>
      </c>
      <c r="H302" s="314">
        <v>20950</v>
      </c>
      <c r="I302" s="314">
        <v>6319</v>
      </c>
      <c r="J302" s="314">
        <v>1804</v>
      </c>
      <c r="K302" s="314">
        <v>5238</v>
      </c>
      <c r="L302" s="314">
        <v>623</v>
      </c>
      <c r="M302" s="314">
        <v>0</v>
      </c>
      <c r="N302" s="314">
        <v>278</v>
      </c>
      <c r="O302" s="314">
        <v>0</v>
      </c>
      <c r="P302" s="314">
        <v>0</v>
      </c>
      <c r="Q302" s="314">
        <v>0</v>
      </c>
      <c r="R302" s="314">
        <v>0</v>
      </c>
      <c r="S302" s="314">
        <v>0</v>
      </c>
      <c r="T302" s="314">
        <v>0</v>
      </c>
      <c r="U302" s="314">
        <v>0</v>
      </c>
      <c r="V302" s="314">
        <v>0</v>
      </c>
      <c r="W302" s="314">
        <v>34003</v>
      </c>
      <c r="X302" s="314">
        <v>758</v>
      </c>
      <c r="Y302" s="314">
        <v>12247</v>
      </c>
      <c r="Z302" s="314">
        <v>1224</v>
      </c>
      <c r="AA302" s="314">
        <v>0</v>
      </c>
      <c r="AB302" s="314">
        <v>0</v>
      </c>
      <c r="AC302" s="314">
        <v>0</v>
      </c>
      <c r="AD302" s="314">
        <v>0</v>
      </c>
      <c r="AE302" s="314">
        <v>620</v>
      </c>
      <c r="AF302" s="314">
        <v>8386</v>
      </c>
      <c r="AG302" s="314">
        <v>21934</v>
      </c>
      <c r="AH302" s="314">
        <v>6247</v>
      </c>
      <c r="AI302" s="314">
        <v>0</v>
      </c>
      <c r="AJ302" s="314">
        <v>1143</v>
      </c>
      <c r="AK302" s="314">
        <v>2309</v>
      </c>
      <c r="AL302" s="314">
        <v>600</v>
      </c>
      <c r="AM302" s="314">
        <v>77</v>
      </c>
      <c r="AN302" s="314">
        <v>6716</v>
      </c>
      <c r="AO302" s="314">
        <v>0</v>
      </c>
      <c r="AP302" s="314">
        <v>0</v>
      </c>
    </row>
    <row r="303" spans="1:42">
      <c r="A303" s="547">
        <f t="shared" si="4"/>
        <v>2011</v>
      </c>
      <c r="B303" s="578">
        <v>40574</v>
      </c>
      <c r="C303" s="314">
        <v>13398</v>
      </c>
      <c r="D303" s="314">
        <v>5132</v>
      </c>
      <c r="E303" s="314">
        <v>52854</v>
      </c>
      <c r="F303" s="314">
        <v>42800</v>
      </c>
      <c r="G303" s="314">
        <v>0</v>
      </c>
      <c r="H303" s="314">
        <v>0</v>
      </c>
      <c r="I303" s="314">
        <v>9042</v>
      </c>
      <c r="J303" s="314">
        <v>37518</v>
      </c>
      <c r="K303" s="314">
        <v>695</v>
      </c>
      <c r="L303" s="314">
        <v>0</v>
      </c>
      <c r="M303" s="314">
        <v>0</v>
      </c>
      <c r="N303" s="314">
        <v>1130</v>
      </c>
      <c r="O303" s="314">
        <v>16</v>
      </c>
      <c r="P303" s="314">
        <v>0</v>
      </c>
      <c r="Q303" s="314">
        <v>0</v>
      </c>
      <c r="R303" s="314">
        <v>0</v>
      </c>
      <c r="S303" s="314">
        <v>0</v>
      </c>
      <c r="T303" s="314">
        <v>554</v>
      </c>
      <c r="U303" s="314">
        <v>0</v>
      </c>
      <c r="V303" s="314">
        <v>0</v>
      </c>
      <c r="W303" s="314">
        <v>1084</v>
      </c>
      <c r="X303" s="314">
        <v>0</v>
      </c>
      <c r="Y303" s="314">
        <v>3820</v>
      </c>
      <c r="Z303" s="314">
        <v>931</v>
      </c>
      <c r="AA303" s="314">
        <v>113</v>
      </c>
      <c r="AB303" s="314">
        <v>0</v>
      </c>
      <c r="AC303" s="314">
        <v>0</v>
      </c>
      <c r="AD303" s="314">
        <v>0</v>
      </c>
      <c r="AE303" s="314">
        <v>11490</v>
      </c>
      <c r="AF303" s="314">
        <v>4578</v>
      </c>
      <c r="AG303" s="314">
        <v>29621</v>
      </c>
      <c r="AH303" s="314">
        <v>1728</v>
      </c>
      <c r="AI303" s="314">
        <v>0</v>
      </c>
      <c r="AJ303" s="314">
        <v>0</v>
      </c>
      <c r="AK303" s="314">
        <v>9696</v>
      </c>
      <c r="AL303" s="314">
        <v>1493</v>
      </c>
      <c r="AM303" s="314">
        <v>0</v>
      </c>
      <c r="AN303" s="314">
        <v>0</v>
      </c>
      <c r="AO303" s="314">
        <v>675</v>
      </c>
      <c r="AP303" s="314">
        <v>0</v>
      </c>
    </row>
    <row r="304" spans="1:42">
      <c r="A304" s="547">
        <f t="shared" si="4"/>
        <v>2011</v>
      </c>
      <c r="B304" s="578">
        <v>40602</v>
      </c>
      <c r="C304" s="314">
        <v>36815</v>
      </c>
      <c r="D304" s="314">
        <v>55329</v>
      </c>
      <c r="E304" s="314">
        <v>61482</v>
      </c>
      <c r="F304" s="314">
        <v>5529</v>
      </c>
      <c r="G304" s="314">
        <v>28997</v>
      </c>
      <c r="H304" s="314">
        <v>30324</v>
      </c>
      <c r="I304" s="314">
        <v>19703</v>
      </c>
      <c r="J304" s="314">
        <v>3994</v>
      </c>
      <c r="K304" s="314">
        <v>635</v>
      </c>
      <c r="L304" s="314">
        <v>5363</v>
      </c>
      <c r="M304" s="314">
        <v>3352</v>
      </c>
      <c r="N304" s="314">
        <v>0</v>
      </c>
      <c r="O304" s="314">
        <v>0</v>
      </c>
      <c r="P304" s="314">
        <v>0</v>
      </c>
      <c r="Q304" s="314">
        <v>0</v>
      </c>
      <c r="R304" s="314">
        <v>0</v>
      </c>
      <c r="S304" s="314">
        <v>365</v>
      </c>
      <c r="T304" s="314">
        <v>3614</v>
      </c>
      <c r="U304" s="314">
        <v>3641</v>
      </c>
      <c r="V304" s="314">
        <v>821</v>
      </c>
      <c r="W304" s="314">
        <v>680</v>
      </c>
      <c r="X304" s="314">
        <v>15427</v>
      </c>
      <c r="Y304" s="314">
        <v>11278</v>
      </c>
      <c r="Z304" s="314">
        <v>528</v>
      </c>
      <c r="AA304" s="314">
        <v>0</v>
      </c>
      <c r="AB304" s="314">
        <v>0</v>
      </c>
      <c r="AC304" s="314">
        <v>1508</v>
      </c>
      <c r="AD304" s="314">
        <v>0</v>
      </c>
      <c r="AE304" s="314">
        <v>3680</v>
      </c>
      <c r="AF304" s="314">
        <v>601</v>
      </c>
      <c r="AG304" s="314">
        <v>19877</v>
      </c>
      <c r="AH304" s="314">
        <v>186</v>
      </c>
      <c r="AI304" s="314">
        <v>1818</v>
      </c>
      <c r="AJ304" s="314">
        <v>0</v>
      </c>
      <c r="AK304" s="314">
        <v>2123</v>
      </c>
      <c r="AL304" s="314">
        <v>0</v>
      </c>
      <c r="AM304" s="314">
        <v>640</v>
      </c>
      <c r="AN304" s="314">
        <v>0</v>
      </c>
      <c r="AO304" s="314">
        <v>0</v>
      </c>
      <c r="AP304" s="314">
        <v>0</v>
      </c>
    </row>
    <row r="305" spans="1:42">
      <c r="A305" s="547">
        <f t="shared" si="4"/>
        <v>2011</v>
      </c>
      <c r="B305" s="578">
        <v>40633</v>
      </c>
      <c r="C305" s="314">
        <v>42489</v>
      </c>
      <c r="D305" s="314">
        <v>61813</v>
      </c>
      <c r="E305" s="314">
        <v>78992</v>
      </c>
      <c r="F305" s="314">
        <v>13489</v>
      </c>
      <c r="G305" s="314">
        <v>3052</v>
      </c>
      <c r="H305" s="314">
        <v>4032</v>
      </c>
      <c r="I305" s="314">
        <v>26983</v>
      </c>
      <c r="J305" s="314">
        <v>7125</v>
      </c>
      <c r="K305" s="314">
        <v>0</v>
      </c>
      <c r="L305" s="314">
        <v>1755</v>
      </c>
      <c r="M305" s="314">
        <v>2990</v>
      </c>
      <c r="N305" s="314">
        <v>16</v>
      </c>
      <c r="O305" s="314">
        <v>0</v>
      </c>
      <c r="P305" s="314">
        <v>0</v>
      </c>
      <c r="Q305" s="314">
        <v>965</v>
      </c>
      <c r="R305" s="314">
        <v>830</v>
      </c>
      <c r="S305" s="314">
        <v>0</v>
      </c>
      <c r="T305" s="314">
        <v>4133</v>
      </c>
      <c r="U305" s="314">
        <v>0</v>
      </c>
      <c r="V305" s="314">
        <v>0</v>
      </c>
      <c r="W305" s="314">
        <v>29360</v>
      </c>
      <c r="X305" s="314">
        <v>1271</v>
      </c>
      <c r="Y305" s="314">
        <v>30328</v>
      </c>
      <c r="Z305" s="314">
        <v>1677</v>
      </c>
      <c r="AA305" s="314">
        <v>0</v>
      </c>
      <c r="AB305" s="314">
        <v>0</v>
      </c>
      <c r="AC305" s="314">
        <v>0</v>
      </c>
      <c r="AD305" s="314">
        <v>0</v>
      </c>
      <c r="AE305" s="314">
        <v>6262</v>
      </c>
      <c r="AF305" s="314">
        <v>47832</v>
      </c>
      <c r="AG305" s="314">
        <v>17726</v>
      </c>
      <c r="AH305" s="314">
        <v>3841</v>
      </c>
      <c r="AI305" s="314">
        <v>3815</v>
      </c>
      <c r="AJ305" s="314">
        <v>0</v>
      </c>
      <c r="AK305" s="314">
        <v>0</v>
      </c>
      <c r="AL305" s="314">
        <v>0</v>
      </c>
      <c r="AM305" s="314">
        <v>0</v>
      </c>
      <c r="AN305" s="314">
        <v>2790</v>
      </c>
      <c r="AO305" s="314">
        <v>0</v>
      </c>
      <c r="AP305" s="314">
        <v>0</v>
      </c>
    </row>
    <row r="306" spans="1:42">
      <c r="A306" s="547">
        <f t="shared" si="4"/>
        <v>2011</v>
      </c>
      <c r="B306" s="578">
        <v>40663</v>
      </c>
      <c r="C306" s="314">
        <v>4878</v>
      </c>
      <c r="D306" s="314">
        <v>111034</v>
      </c>
      <c r="E306" s="314">
        <v>69522</v>
      </c>
      <c r="F306" s="314">
        <v>3556</v>
      </c>
      <c r="G306" s="314">
        <v>1655</v>
      </c>
      <c r="H306" s="314">
        <v>32502</v>
      </c>
      <c r="I306" s="314">
        <v>4201</v>
      </c>
      <c r="J306" s="314">
        <v>3322</v>
      </c>
      <c r="K306" s="314">
        <v>0</v>
      </c>
      <c r="L306" s="314">
        <v>398</v>
      </c>
      <c r="M306" s="314">
        <v>400</v>
      </c>
      <c r="N306" s="314">
        <v>0</v>
      </c>
      <c r="O306" s="314">
        <v>0</v>
      </c>
      <c r="P306" s="314">
        <v>0</v>
      </c>
      <c r="Q306" s="314">
        <v>382</v>
      </c>
      <c r="R306" s="314">
        <v>0</v>
      </c>
      <c r="S306" s="314">
        <v>0</v>
      </c>
      <c r="T306" s="314">
        <v>397</v>
      </c>
      <c r="U306" s="314">
        <v>0</v>
      </c>
      <c r="V306" s="314">
        <v>0</v>
      </c>
      <c r="W306" s="314">
        <v>0</v>
      </c>
      <c r="X306" s="314">
        <v>343</v>
      </c>
      <c r="Y306" s="314">
        <v>34547</v>
      </c>
      <c r="Z306" s="314">
        <v>0</v>
      </c>
      <c r="AA306" s="314">
        <v>0</v>
      </c>
      <c r="AB306" s="314">
        <v>0</v>
      </c>
      <c r="AC306" s="314">
        <v>0</v>
      </c>
      <c r="AD306" s="314">
        <v>0</v>
      </c>
      <c r="AE306" s="314">
        <v>2607</v>
      </c>
      <c r="AF306" s="314">
        <v>69889</v>
      </c>
      <c r="AG306" s="314">
        <v>28102</v>
      </c>
      <c r="AH306" s="314">
        <v>186</v>
      </c>
      <c r="AI306" s="314">
        <v>0</v>
      </c>
      <c r="AJ306" s="314">
        <v>789</v>
      </c>
      <c r="AK306" s="314">
        <v>1002</v>
      </c>
      <c r="AL306" s="314">
        <v>0</v>
      </c>
      <c r="AM306" s="314">
        <v>616</v>
      </c>
      <c r="AN306" s="314">
        <v>6716</v>
      </c>
      <c r="AO306" s="314">
        <v>888</v>
      </c>
      <c r="AP306" s="314">
        <v>48</v>
      </c>
    </row>
    <row r="307" spans="1:42">
      <c r="A307" s="547">
        <f t="shared" si="4"/>
        <v>2011</v>
      </c>
      <c r="B307" s="578">
        <v>40694</v>
      </c>
      <c r="C307" s="314">
        <v>57037</v>
      </c>
      <c r="D307" s="314">
        <v>78788</v>
      </c>
      <c r="E307" s="314">
        <v>31117</v>
      </c>
      <c r="F307" s="314">
        <v>13951</v>
      </c>
      <c r="G307" s="314">
        <v>7043</v>
      </c>
      <c r="H307" s="314">
        <v>0</v>
      </c>
      <c r="I307" s="314">
        <v>7867</v>
      </c>
      <c r="J307" s="314">
        <v>4817</v>
      </c>
      <c r="K307" s="314">
        <v>3520</v>
      </c>
      <c r="L307" s="314">
        <v>1452</v>
      </c>
      <c r="M307" s="314">
        <v>2200</v>
      </c>
      <c r="N307" s="314">
        <v>783</v>
      </c>
      <c r="O307" s="314">
        <v>1520</v>
      </c>
      <c r="P307" s="314">
        <v>0</v>
      </c>
      <c r="Q307" s="314">
        <v>0</v>
      </c>
      <c r="R307" s="314">
        <v>0</v>
      </c>
      <c r="S307" s="314">
        <v>0</v>
      </c>
      <c r="T307" s="314">
        <v>587</v>
      </c>
      <c r="U307" s="314">
        <v>0</v>
      </c>
      <c r="V307" s="314">
        <v>0</v>
      </c>
      <c r="W307" s="314">
        <v>2067</v>
      </c>
      <c r="X307" s="314">
        <v>64591</v>
      </c>
      <c r="Y307" s="314">
        <v>5539</v>
      </c>
      <c r="Z307" s="314">
        <v>1768</v>
      </c>
      <c r="AA307" s="314">
        <v>0</v>
      </c>
      <c r="AB307" s="314">
        <v>657</v>
      </c>
      <c r="AC307" s="314">
        <v>0</v>
      </c>
      <c r="AD307" s="314">
        <v>0</v>
      </c>
      <c r="AE307" s="314">
        <v>42887</v>
      </c>
      <c r="AF307" s="314">
        <v>11501</v>
      </c>
      <c r="AG307" s="314">
        <v>13420</v>
      </c>
      <c r="AH307" s="314">
        <v>2166</v>
      </c>
      <c r="AI307" s="314">
        <v>0</v>
      </c>
      <c r="AJ307" s="314">
        <v>0</v>
      </c>
      <c r="AK307" s="314">
        <v>2091</v>
      </c>
      <c r="AL307" s="314">
        <v>4417</v>
      </c>
      <c r="AM307" s="314">
        <v>0</v>
      </c>
      <c r="AN307" s="314">
        <v>0</v>
      </c>
      <c r="AO307" s="314">
        <v>0</v>
      </c>
      <c r="AP307" s="314">
        <v>0</v>
      </c>
    </row>
    <row r="308" spans="1:42">
      <c r="A308" s="547">
        <f t="shared" si="4"/>
        <v>2011</v>
      </c>
      <c r="B308" s="578">
        <v>40724</v>
      </c>
      <c r="C308" s="314">
        <v>46210</v>
      </c>
      <c r="D308" s="314">
        <v>55932</v>
      </c>
      <c r="E308" s="314">
        <v>81276</v>
      </c>
      <c r="F308" s="314">
        <v>10805</v>
      </c>
      <c r="G308" s="314">
        <v>0</v>
      </c>
      <c r="H308" s="314">
        <v>644</v>
      </c>
      <c r="I308" s="314">
        <v>8027</v>
      </c>
      <c r="J308" s="314">
        <v>5730</v>
      </c>
      <c r="K308" s="314">
        <v>523</v>
      </c>
      <c r="L308" s="314">
        <v>0</v>
      </c>
      <c r="M308" s="314">
        <v>1170</v>
      </c>
      <c r="N308" s="314">
        <v>0</v>
      </c>
      <c r="O308" s="314">
        <v>410</v>
      </c>
      <c r="P308" s="314">
        <v>0</v>
      </c>
      <c r="Q308" s="314">
        <v>951</v>
      </c>
      <c r="R308" s="314">
        <v>0</v>
      </c>
      <c r="S308" s="314">
        <v>0</v>
      </c>
      <c r="T308" s="314">
        <v>255</v>
      </c>
      <c r="U308" s="314">
        <v>4704</v>
      </c>
      <c r="V308" s="314">
        <v>0</v>
      </c>
      <c r="W308" s="314">
        <v>6029</v>
      </c>
      <c r="X308" s="314">
        <v>36308</v>
      </c>
      <c r="Y308" s="314">
        <v>11804</v>
      </c>
      <c r="Z308" s="314">
        <v>3465</v>
      </c>
      <c r="AA308" s="314">
        <v>704</v>
      </c>
      <c r="AB308" s="314">
        <v>167</v>
      </c>
      <c r="AC308" s="314">
        <v>0</v>
      </c>
      <c r="AD308" s="314">
        <v>758</v>
      </c>
      <c r="AE308" s="314">
        <v>36391</v>
      </c>
      <c r="AF308" s="314">
        <v>18456</v>
      </c>
      <c r="AG308" s="314">
        <v>54440</v>
      </c>
      <c r="AH308" s="314">
        <v>852</v>
      </c>
      <c r="AI308" s="314">
        <v>0</v>
      </c>
      <c r="AJ308" s="314">
        <v>102</v>
      </c>
      <c r="AK308" s="314">
        <v>180</v>
      </c>
      <c r="AL308" s="314">
        <v>0</v>
      </c>
      <c r="AM308" s="314">
        <v>2153</v>
      </c>
      <c r="AN308" s="314">
        <v>0</v>
      </c>
      <c r="AO308" s="314">
        <v>0</v>
      </c>
      <c r="AP308" s="314">
        <v>0</v>
      </c>
    </row>
    <row r="309" spans="1:42">
      <c r="A309" s="547">
        <f t="shared" si="4"/>
        <v>2011</v>
      </c>
      <c r="B309" s="578">
        <v>40755</v>
      </c>
      <c r="C309" s="314">
        <v>50192</v>
      </c>
      <c r="D309" s="314">
        <v>26155</v>
      </c>
      <c r="E309" s="314">
        <v>45458</v>
      </c>
      <c r="F309" s="314">
        <v>39295</v>
      </c>
      <c r="G309" s="314">
        <v>17157</v>
      </c>
      <c r="H309" s="314">
        <v>305</v>
      </c>
      <c r="I309" s="314">
        <v>23641</v>
      </c>
      <c r="J309" s="314">
        <v>6016</v>
      </c>
      <c r="K309" s="314">
        <v>2041</v>
      </c>
      <c r="L309" s="314">
        <v>16371</v>
      </c>
      <c r="M309" s="314">
        <v>6543</v>
      </c>
      <c r="N309" s="314">
        <v>45</v>
      </c>
      <c r="O309" s="314">
        <v>166</v>
      </c>
      <c r="P309" s="314">
        <v>0</v>
      </c>
      <c r="Q309" s="314">
        <v>0</v>
      </c>
      <c r="R309" s="314">
        <v>0</v>
      </c>
      <c r="S309" s="314">
        <v>0</v>
      </c>
      <c r="T309" s="314">
        <v>0</v>
      </c>
      <c r="U309" s="314">
        <v>0</v>
      </c>
      <c r="V309" s="314">
        <v>0</v>
      </c>
      <c r="W309" s="314">
        <v>5916</v>
      </c>
      <c r="X309" s="314">
        <v>4067</v>
      </c>
      <c r="Y309" s="314">
        <v>3492</v>
      </c>
      <c r="Z309" s="314">
        <v>21213</v>
      </c>
      <c r="AA309" s="314">
        <v>1000</v>
      </c>
      <c r="AB309" s="314">
        <v>2525</v>
      </c>
      <c r="AC309" s="314">
        <v>0</v>
      </c>
      <c r="AD309" s="314">
        <v>0</v>
      </c>
      <c r="AE309" s="314">
        <v>22189</v>
      </c>
      <c r="AF309" s="314">
        <v>2522</v>
      </c>
      <c r="AG309" s="314">
        <v>5025</v>
      </c>
      <c r="AH309" s="314">
        <v>12021</v>
      </c>
      <c r="AI309" s="314">
        <v>1723</v>
      </c>
      <c r="AJ309" s="314">
        <v>0</v>
      </c>
      <c r="AK309" s="314">
        <v>6757</v>
      </c>
      <c r="AL309" s="314">
        <v>0</v>
      </c>
      <c r="AM309" s="314">
        <v>0</v>
      </c>
      <c r="AN309" s="314">
        <v>365</v>
      </c>
      <c r="AO309" s="314">
        <v>0</v>
      </c>
      <c r="AP309" s="314">
        <v>0</v>
      </c>
    </row>
    <row r="310" spans="1:42">
      <c r="A310" s="547">
        <f t="shared" si="4"/>
        <v>2011</v>
      </c>
      <c r="B310" s="578">
        <v>40786</v>
      </c>
      <c r="C310" s="314">
        <v>29880</v>
      </c>
      <c r="D310" s="314">
        <v>12146</v>
      </c>
      <c r="E310" s="314">
        <v>36881</v>
      </c>
      <c r="F310" s="314">
        <v>25415</v>
      </c>
      <c r="G310" s="314">
        <v>1988</v>
      </c>
      <c r="H310" s="314">
        <v>0</v>
      </c>
      <c r="I310" s="314">
        <v>14475</v>
      </c>
      <c r="J310" s="314">
        <v>856</v>
      </c>
      <c r="K310" s="314">
        <v>1203</v>
      </c>
      <c r="L310" s="314">
        <v>0</v>
      </c>
      <c r="M310" s="314">
        <v>67</v>
      </c>
      <c r="N310" s="314">
        <v>130</v>
      </c>
      <c r="O310" s="314">
        <v>0</v>
      </c>
      <c r="P310" s="314">
        <v>0</v>
      </c>
      <c r="Q310" s="314">
        <v>0</v>
      </c>
      <c r="R310" s="314">
        <v>0</v>
      </c>
      <c r="S310" s="314">
        <v>0</v>
      </c>
      <c r="T310" s="314">
        <v>0</v>
      </c>
      <c r="U310" s="314">
        <v>944</v>
      </c>
      <c r="V310" s="314">
        <v>0</v>
      </c>
      <c r="W310" s="314">
        <v>8632</v>
      </c>
      <c r="X310" s="314">
        <v>0</v>
      </c>
      <c r="Y310" s="314">
        <v>1304</v>
      </c>
      <c r="Z310" s="314">
        <v>14557</v>
      </c>
      <c r="AA310" s="314">
        <v>0</v>
      </c>
      <c r="AB310" s="314">
        <v>1008</v>
      </c>
      <c r="AC310" s="314">
        <v>0</v>
      </c>
      <c r="AD310" s="314">
        <v>1068</v>
      </c>
      <c r="AE310" s="314">
        <v>15079</v>
      </c>
      <c r="AF310" s="314">
        <v>10092</v>
      </c>
      <c r="AG310" s="314">
        <v>13963</v>
      </c>
      <c r="AH310" s="314">
        <v>8804</v>
      </c>
      <c r="AI310" s="314">
        <v>2978</v>
      </c>
      <c r="AJ310" s="314">
        <v>508</v>
      </c>
      <c r="AK310" s="314">
        <v>3315</v>
      </c>
      <c r="AL310" s="314">
        <v>0</v>
      </c>
      <c r="AM310" s="314">
        <v>0</v>
      </c>
      <c r="AN310" s="314">
        <v>538</v>
      </c>
      <c r="AO310" s="314">
        <v>2813</v>
      </c>
      <c r="AP310" s="314">
        <v>0</v>
      </c>
    </row>
    <row r="311" spans="1:42">
      <c r="A311" s="547">
        <f t="shared" si="4"/>
        <v>2011</v>
      </c>
      <c r="B311" s="578">
        <v>40816</v>
      </c>
      <c r="C311" s="314">
        <v>28743</v>
      </c>
      <c r="D311" s="314">
        <v>36589</v>
      </c>
      <c r="E311" s="314">
        <v>68147</v>
      </c>
      <c r="F311" s="314">
        <v>6041</v>
      </c>
      <c r="G311" s="314">
        <v>865</v>
      </c>
      <c r="H311" s="314">
        <v>18666</v>
      </c>
      <c r="I311" s="314">
        <v>24347</v>
      </c>
      <c r="J311" s="314">
        <v>3819</v>
      </c>
      <c r="K311" s="314">
        <v>0</v>
      </c>
      <c r="L311" s="314">
        <v>520</v>
      </c>
      <c r="M311" s="314">
        <v>1146</v>
      </c>
      <c r="N311" s="314">
        <v>240</v>
      </c>
      <c r="O311" s="314">
        <v>0</v>
      </c>
      <c r="P311" s="314">
        <v>0</v>
      </c>
      <c r="Q311" s="314">
        <v>294</v>
      </c>
      <c r="R311" s="314">
        <v>0</v>
      </c>
      <c r="S311" s="314">
        <v>0</v>
      </c>
      <c r="T311" s="314">
        <v>0</v>
      </c>
      <c r="U311" s="314">
        <v>2131</v>
      </c>
      <c r="V311" s="314">
        <v>0</v>
      </c>
      <c r="W311" s="314">
        <v>668</v>
      </c>
      <c r="X311" s="314">
        <v>642</v>
      </c>
      <c r="Y311" s="314">
        <v>14095</v>
      </c>
      <c r="Z311" s="314">
        <v>1382</v>
      </c>
      <c r="AA311" s="314">
        <v>6398</v>
      </c>
      <c r="AB311" s="314">
        <v>3660</v>
      </c>
      <c r="AC311" s="314">
        <v>657</v>
      </c>
      <c r="AD311" s="314">
        <v>150</v>
      </c>
      <c r="AE311" s="314">
        <v>20435</v>
      </c>
      <c r="AF311" s="314">
        <v>7641</v>
      </c>
      <c r="AG311" s="314">
        <v>14636</v>
      </c>
      <c r="AH311" s="314">
        <v>450</v>
      </c>
      <c r="AI311" s="314">
        <v>0</v>
      </c>
      <c r="AJ311" s="314">
        <v>5460</v>
      </c>
      <c r="AK311" s="314">
        <v>4239</v>
      </c>
      <c r="AL311" s="314">
        <v>0</v>
      </c>
      <c r="AM311" s="314">
        <v>377</v>
      </c>
      <c r="AN311" s="314">
        <v>0</v>
      </c>
      <c r="AO311" s="314">
        <v>6602</v>
      </c>
      <c r="AP311" s="314">
        <v>0</v>
      </c>
    </row>
    <row r="312" spans="1:42">
      <c r="A312" s="547">
        <f t="shared" si="4"/>
        <v>2011</v>
      </c>
      <c r="B312" s="578">
        <v>40847</v>
      </c>
      <c r="C312" s="314">
        <v>26086</v>
      </c>
      <c r="D312" s="314">
        <v>52979</v>
      </c>
      <c r="E312" s="314">
        <v>74683</v>
      </c>
      <c r="F312" s="314">
        <v>57956</v>
      </c>
      <c r="G312" s="314">
        <v>6831</v>
      </c>
      <c r="H312" s="314">
        <v>14631</v>
      </c>
      <c r="I312" s="314">
        <v>20102</v>
      </c>
      <c r="J312" s="314">
        <v>1219</v>
      </c>
      <c r="K312" s="314">
        <v>149</v>
      </c>
      <c r="L312" s="314">
        <v>10902</v>
      </c>
      <c r="M312" s="314">
        <v>4506</v>
      </c>
      <c r="N312" s="314">
        <v>1009</v>
      </c>
      <c r="O312" s="314">
        <v>0</v>
      </c>
      <c r="P312" s="314">
        <v>0</v>
      </c>
      <c r="Q312" s="314">
        <v>0</v>
      </c>
      <c r="R312" s="314">
        <v>0</v>
      </c>
      <c r="S312" s="314">
        <v>0</v>
      </c>
      <c r="T312" s="314">
        <v>423</v>
      </c>
      <c r="U312" s="314">
        <v>0</v>
      </c>
      <c r="V312" s="314">
        <v>229</v>
      </c>
      <c r="W312" s="314">
        <v>401</v>
      </c>
      <c r="X312" s="314">
        <v>1602</v>
      </c>
      <c r="Y312" s="314">
        <v>21321</v>
      </c>
      <c r="Z312" s="314">
        <v>50038</v>
      </c>
      <c r="AA312" s="314">
        <v>791</v>
      </c>
      <c r="AB312" s="314">
        <v>149</v>
      </c>
      <c r="AC312" s="314">
        <v>2534</v>
      </c>
      <c r="AD312" s="314">
        <v>2833</v>
      </c>
      <c r="AE312" s="314">
        <v>14326</v>
      </c>
      <c r="AF312" s="314">
        <v>24592</v>
      </c>
      <c r="AG312" s="314">
        <v>22374</v>
      </c>
      <c r="AH312" s="314">
        <v>2374</v>
      </c>
      <c r="AI312" s="314">
        <v>0</v>
      </c>
      <c r="AJ312" s="314">
        <v>0</v>
      </c>
      <c r="AK312" s="314">
        <v>3846</v>
      </c>
      <c r="AL312" s="314">
        <v>254</v>
      </c>
      <c r="AM312" s="314">
        <v>3588</v>
      </c>
      <c r="AN312" s="314">
        <v>680</v>
      </c>
      <c r="AO312" s="314">
        <v>0</v>
      </c>
      <c r="AP312" s="314">
        <v>0</v>
      </c>
    </row>
    <row r="313" spans="1:42">
      <c r="A313" s="547">
        <f t="shared" si="4"/>
        <v>2011</v>
      </c>
      <c r="B313" s="578">
        <v>40877</v>
      </c>
      <c r="C313" s="314">
        <v>27954</v>
      </c>
      <c r="D313" s="314">
        <v>55882</v>
      </c>
      <c r="E313" s="314">
        <v>105087</v>
      </c>
      <c r="F313" s="314">
        <v>8138</v>
      </c>
      <c r="G313" s="314">
        <v>2444</v>
      </c>
      <c r="H313" s="314">
        <v>13369</v>
      </c>
      <c r="I313" s="314">
        <v>9502</v>
      </c>
      <c r="J313" s="314">
        <v>3822</v>
      </c>
      <c r="K313" s="314">
        <v>0</v>
      </c>
      <c r="L313" s="314">
        <v>0</v>
      </c>
      <c r="M313" s="314">
        <v>4775</v>
      </c>
      <c r="N313" s="314">
        <v>0</v>
      </c>
      <c r="O313" s="314">
        <v>3300</v>
      </c>
      <c r="P313" s="314">
        <v>0</v>
      </c>
      <c r="Q313" s="314">
        <v>0</v>
      </c>
      <c r="R313" s="314">
        <v>183</v>
      </c>
      <c r="S313" s="314">
        <v>0</v>
      </c>
      <c r="T313" s="314">
        <v>0</v>
      </c>
      <c r="U313" s="314">
        <v>1945</v>
      </c>
      <c r="V313" s="314">
        <v>0</v>
      </c>
      <c r="W313" s="314">
        <v>0</v>
      </c>
      <c r="X313" s="314">
        <v>1620</v>
      </c>
      <c r="Y313" s="314">
        <v>43563</v>
      </c>
      <c r="Z313" s="314">
        <v>3296</v>
      </c>
      <c r="AA313" s="314">
        <v>2099</v>
      </c>
      <c r="AB313" s="314">
        <v>2727</v>
      </c>
      <c r="AC313" s="314">
        <v>0</v>
      </c>
      <c r="AD313" s="314">
        <v>0</v>
      </c>
      <c r="AE313" s="314">
        <v>20111</v>
      </c>
      <c r="AF313" s="314">
        <v>15196</v>
      </c>
      <c r="AG313" s="314">
        <v>41319</v>
      </c>
      <c r="AH313" s="314">
        <v>837</v>
      </c>
      <c r="AI313" s="314">
        <v>0</v>
      </c>
      <c r="AJ313" s="314">
        <v>22970</v>
      </c>
      <c r="AK313" s="314">
        <v>2962</v>
      </c>
      <c r="AL313" s="314">
        <v>0</v>
      </c>
      <c r="AM313" s="314">
        <v>0</v>
      </c>
      <c r="AN313" s="314">
        <v>0</v>
      </c>
      <c r="AO313" s="314">
        <v>1021</v>
      </c>
      <c r="AP313" s="314">
        <v>0</v>
      </c>
    </row>
    <row r="314" spans="1:42">
      <c r="A314" s="547">
        <f t="shared" si="4"/>
        <v>2011</v>
      </c>
      <c r="B314" s="578">
        <v>40908</v>
      </c>
      <c r="C314" s="314">
        <v>18240</v>
      </c>
      <c r="D314" s="314">
        <v>31364</v>
      </c>
      <c r="E314" s="314">
        <v>79855</v>
      </c>
      <c r="F314" s="314">
        <v>19602</v>
      </c>
      <c r="G314" s="314">
        <v>2746</v>
      </c>
      <c r="H314" s="314">
        <v>22480</v>
      </c>
      <c r="I314" s="314">
        <v>5503</v>
      </c>
      <c r="J314" s="314">
        <v>5596</v>
      </c>
      <c r="K314" s="314">
        <v>0</v>
      </c>
      <c r="L314" s="314">
        <v>138</v>
      </c>
      <c r="M314" s="314">
        <v>450</v>
      </c>
      <c r="N314" s="314">
        <v>0</v>
      </c>
      <c r="O314" s="314">
        <v>0</v>
      </c>
      <c r="P314" s="314">
        <v>2187</v>
      </c>
      <c r="Q314" s="314">
        <v>1041</v>
      </c>
      <c r="R314" s="314">
        <v>135</v>
      </c>
      <c r="S314" s="314">
        <v>0</v>
      </c>
      <c r="T314" s="314">
        <v>0</v>
      </c>
      <c r="U314" s="314">
        <v>0</v>
      </c>
      <c r="V314" s="314">
        <v>0</v>
      </c>
      <c r="W314" s="314">
        <v>9873</v>
      </c>
      <c r="X314" s="314">
        <v>2843</v>
      </c>
      <c r="Y314" s="314">
        <v>27667</v>
      </c>
      <c r="Z314" s="314">
        <v>5113</v>
      </c>
      <c r="AA314" s="314">
        <v>0</v>
      </c>
      <c r="AB314" s="314">
        <v>0</v>
      </c>
      <c r="AC314" s="314">
        <v>0</v>
      </c>
      <c r="AD314" s="314">
        <v>0</v>
      </c>
      <c r="AE314" s="314">
        <v>5621</v>
      </c>
      <c r="AF314" s="314">
        <v>3366</v>
      </c>
      <c r="AG314" s="314">
        <v>43022</v>
      </c>
      <c r="AH314" s="314">
        <v>8374</v>
      </c>
      <c r="AI314" s="314">
        <v>0</v>
      </c>
      <c r="AJ314" s="314">
        <v>350</v>
      </c>
      <c r="AK314" s="314">
        <v>2172</v>
      </c>
      <c r="AL314" s="314">
        <v>384</v>
      </c>
      <c r="AM314" s="314">
        <v>0</v>
      </c>
      <c r="AN314" s="314">
        <v>0</v>
      </c>
      <c r="AO314" s="314">
        <v>0</v>
      </c>
      <c r="AP314" s="314">
        <v>0</v>
      </c>
    </row>
    <row r="315" spans="1:42">
      <c r="A315" s="547">
        <f t="shared" si="4"/>
        <v>2012</v>
      </c>
      <c r="B315" s="578">
        <v>40939</v>
      </c>
      <c r="C315" s="314">
        <v>29803</v>
      </c>
      <c r="D315" s="314">
        <v>15594</v>
      </c>
      <c r="E315" s="314">
        <v>99074</v>
      </c>
      <c r="F315" s="314">
        <v>17142</v>
      </c>
      <c r="G315" s="314">
        <v>8572</v>
      </c>
      <c r="H315" s="314">
        <v>12700</v>
      </c>
      <c r="I315" s="314">
        <v>50757</v>
      </c>
      <c r="J315" s="314">
        <v>802</v>
      </c>
      <c r="K315" s="314">
        <v>15660</v>
      </c>
      <c r="L315" s="314">
        <v>0</v>
      </c>
      <c r="M315" s="314">
        <v>0</v>
      </c>
      <c r="N315" s="314">
        <v>164</v>
      </c>
      <c r="O315" s="314">
        <v>190</v>
      </c>
      <c r="P315" s="314">
        <v>0</v>
      </c>
      <c r="Q315" s="314">
        <v>0</v>
      </c>
      <c r="R315" s="314">
        <v>0</v>
      </c>
      <c r="S315" s="314">
        <v>0</v>
      </c>
      <c r="T315" s="314">
        <v>220</v>
      </c>
      <c r="U315" s="314">
        <v>0</v>
      </c>
      <c r="V315" s="314">
        <v>364</v>
      </c>
      <c r="W315" s="314">
        <v>836</v>
      </c>
      <c r="X315" s="314">
        <v>0</v>
      </c>
      <c r="Y315" s="314">
        <v>0</v>
      </c>
      <c r="Z315" s="314">
        <v>3325</v>
      </c>
      <c r="AA315" s="314">
        <v>820</v>
      </c>
      <c r="AB315" s="314">
        <v>0</v>
      </c>
      <c r="AC315" s="314">
        <v>0</v>
      </c>
      <c r="AD315" s="314">
        <v>0</v>
      </c>
      <c r="AE315" s="314">
        <v>3725</v>
      </c>
      <c r="AF315" s="314">
        <v>2605</v>
      </c>
      <c r="AG315" s="314">
        <v>48317</v>
      </c>
      <c r="AH315" s="314">
        <v>12425</v>
      </c>
      <c r="AI315" s="314">
        <v>0</v>
      </c>
      <c r="AJ315" s="314">
        <v>69</v>
      </c>
      <c r="AK315" s="314">
        <v>0</v>
      </c>
      <c r="AL315" s="314">
        <v>62</v>
      </c>
      <c r="AM315" s="314">
        <v>0</v>
      </c>
      <c r="AN315" s="314">
        <v>0</v>
      </c>
      <c r="AO315" s="314">
        <v>0</v>
      </c>
      <c r="AP315" s="314">
        <v>0</v>
      </c>
    </row>
    <row r="316" spans="1:42">
      <c r="A316" s="547">
        <f t="shared" si="4"/>
        <v>2012</v>
      </c>
      <c r="B316" s="578">
        <v>40968</v>
      </c>
      <c r="C316" s="314">
        <v>13254</v>
      </c>
      <c r="D316" s="314">
        <v>80137</v>
      </c>
      <c r="E316" s="314">
        <v>79751</v>
      </c>
      <c r="F316" s="314">
        <v>7897</v>
      </c>
      <c r="G316" s="314">
        <v>231</v>
      </c>
      <c r="H316" s="314">
        <v>44097</v>
      </c>
      <c r="I316" s="314">
        <v>10411</v>
      </c>
      <c r="J316" s="314">
        <v>3715</v>
      </c>
      <c r="K316" s="314">
        <v>0</v>
      </c>
      <c r="L316" s="314">
        <v>0</v>
      </c>
      <c r="M316" s="314">
        <v>1443</v>
      </c>
      <c r="N316" s="314">
        <v>0</v>
      </c>
      <c r="O316" s="314">
        <v>0</v>
      </c>
      <c r="P316" s="314">
        <v>0</v>
      </c>
      <c r="Q316" s="314">
        <v>40</v>
      </c>
      <c r="R316" s="314">
        <v>0</v>
      </c>
      <c r="S316" s="314">
        <v>1560</v>
      </c>
      <c r="T316" s="314">
        <v>666</v>
      </c>
      <c r="U316" s="314">
        <v>0</v>
      </c>
      <c r="V316" s="314">
        <v>0</v>
      </c>
      <c r="W316" s="314">
        <v>0</v>
      </c>
      <c r="X316" s="314">
        <v>9077</v>
      </c>
      <c r="Y316" s="314">
        <v>3164</v>
      </c>
      <c r="Z316" s="314">
        <v>444</v>
      </c>
      <c r="AA316" s="314">
        <v>2518</v>
      </c>
      <c r="AB316" s="314">
        <v>215</v>
      </c>
      <c r="AC316" s="314">
        <v>8872</v>
      </c>
      <c r="AD316" s="314">
        <v>0</v>
      </c>
      <c r="AE316" s="314">
        <v>8549</v>
      </c>
      <c r="AF316" s="314">
        <v>26082</v>
      </c>
      <c r="AG316" s="314">
        <v>50966</v>
      </c>
      <c r="AH316" s="314">
        <v>3498</v>
      </c>
      <c r="AI316" s="314">
        <v>0</v>
      </c>
      <c r="AJ316" s="314">
        <v>0</v>
      </c>
      <c r="AK316" s="314">
        <v>3200</v>
      </c>
      <c r="AL316" s="314">
        <v>240</v>
      </c>
      <c r="AM316" s="314">
        <v>396</v>
      </c>
      <c r="AN316" s="314">
        <v>0</v>
      </c>
      <c r="AO316" s="314">
        <v>1655</v>
      </c>
      <c r="AP316" s="314">
        <v>0</v>
      </c>
    </row>
    <row r="317" spans="1:42">
      <c r="A317" s="547">
        <f t="shared" si="4"/>
        <v>2012</v>
      </c>
      <c r="B317" s="578">
        <v>40999</v>
      </c>
      <c r="C317" s="314">
        <v>28590</v>
      </c>
      <c r="D317" s="314">
        <v>37188</v>
      </c>
      <c r="E317" s="314">
        <v>93368</v>
      </c>
      <c r="F317" s="314">
        <v>4661</v>
      </c>
      <c r="G317" s="314">
        <v>4737</v>
      </c>
      <c r="H317" s="314">
        <v>404</v>
      </c>
      <c r="I317" s="314">
        <v>29948</v>
      </c>
      <c r="J317" s="314">
        <v>1534</v>
      </c>
      <c r="K317" s="314">
        <v>0</v>
      </c>
      <c r="L317" s="314">
        <v>5991</v>
      </c>
      <c r="M317" s="314">
        <v>1510</v>
      </c>
      <c r="N317" s="314">
        <v>0</v>
      </c>
      <c r="O317" s="314">
        <v>0</v>
      </c>
      <c r="P317" s="314">
        <v>0</v>
      </c>
      <c r="Q317" s="314">
        <v>0</v>
      </c>
      <c r="R317" s="314">
        <v>0</v>
      </c>
      <c r="S317" s="314">
        <v>0</v>
      </c>
      <c r="T317" s="314">
        <v>29845</v>
      </c>
      <c r="U317" s="314">
        <v>0</v>
      </c>
      <c r="V317" s="314">
        <v>377</v>
      </c>
      <c r="W317" s="314">
        <v>4197</v>
      </c>
      <c r="X317" s="314">
        <v>777</v>
      </c>
      <c r="Y317" s="314">
        <v>3442</v>
      </c>
      <c r="Z317" s="314">
        <v>497</v>
      </c>
      <c r="AA317" s="314">
        <v>12625</v>
      </c>
      <c r="AB317" s="314">
        <v>0</v>
      </c>
      <c r="AC317" s="314">
        <v>0</v>
      </c>
      <c r="AD317" s="314">
        <v>0</v>
      </c>
      <c r="AE317" s="314">
        <v>7031</v>
      </c>
      <c r="AF317" s="314">
        <v>171</v>
      </c>
      <c r="AG317" s="314">
        <v>52524</v>
      </c>
      <c r="AH317" s="314">
        <v>2058</v>
      </c>
      <c r="AI317" s="314">
        <v>0</v>
      </c>
      <c r="AJ317" s="314">
        <v>0</v>
      </c>
      <c r="AK317" s="314">
        <v>5944</v>
      </c>
      <c r="AL317" s="314">
        <v>195</v>
      </c>
      <c r="AM317" s="314">
        <v>0</v>
      </c>
      <c r="AN317" s="314">
        <v>0</v>
      </c>
      <c r="AO317" s="314">
        <v>0</v>
      </c>
      <c r="AP317" s="314">
        <v>0</v>
      </c>
    </row>
    <row r="318" spans="1:42">
      <c r="A318" s="547">
        <f t="shared" si="4"/>
        <v>2012</v>
      </c>
      <c r="B318" s="578">
        <v>41029</v>
      </c>
      <c r="C318" s="314">
        <v>44282</v>
      </c>
      <c r="D318" s="314">
        <v>179405</v>
      </c>
      <c r="E318" s="314">
        <v>45425</v>
      </c>
      <c r="F318" s="314">
        <v>13604</v>
      </c>
      <c r="G318" s="314">
        <v>0</v>
      </c>
      <c r="H318" s="314">
        <v>4644</v>
      </c>
      <c r="I318" s="314">
        <v>1987</v>
      </c>
      <c r="J318" s="314">
        <v>1520</v>
      </c>
      <c r="K318" s="314">
        <v>498</v>
      </c>
      <c r="L318" s="314">
        <v>0</v>
      </c>
      <c r="M318" s="314">
        <v>4531</v>
      </c>
      <c r="N318" s="314">
        <v>567</v>
      </c>
      <c r="O318" s="314">
        <v>0</v>
      </c>
      <c r="P318" s="314">
        <v>0</v>
      </c>
      <c r="Q318" s="314">
        <v>1056</v>
      </c>
      <c r="R318" s="314">
        <v>0</v>
      </c>
      <c r="S318" s="314">
        <v>130</v>
      </c>
      <c r="T318" s="314">
        <v>117</v>
      </c>
      <c r="U318" s="314">
        <v>0</v>
      </c>
      <c r="V318" s="314">
        <v>220</v>
      </c>
      <c r="W318" s="314">
        <v>1788</v>
      </c>
      <c r="X318" s="314">
        <v>44198</v>
      </c>
      <c r="Y318" s="314">
        <v>22077</v>
      </c>
      <c r="Z318" s="314">
        <v>1700</v>
      </c>
      <c r="AA318" s="314">
        <v>0</v>
      </c>
      <c r="AB318" s="314">
        <v>0</v>
      </c>
      <c r="AC318" s="314">
        <v>0</v>
      </c>
      <c r="AD318" s="314">
        <v>0</v>
      </c>
      <c r="AE318" s="314">
        <v>40248</v>
      </c>
      <c r="AF318" s="314">
        <v>129051</v>
      </c>
      <c r="AG318" s="314">
        <v>14888</v>
      </c>
      <c r="AH318" s="314">
        <v>9597</v>
      </c>
      <c r="AI318" s="314">
        <v>1618</v>
      </c>
      <c r="AJ318" s="314">
        <v>1395</v>
      </c>
      <c r="AK318" s="314">
        <v>0</v>
      </c>
      <c r="AL318" s="314">
        <v>0</v>
      </c>
      <c r="AM318" s="314">
        <v>0</v>
      </c>
      <c r="AN318" s="314">
        <v>0</v>
      </c>
      <c r="AO318" s="314">
        <v>886</v>
      </c>
      <c r="AP318" s="314">
        <v>0</v>
      </c>
    </row>
    <row r="319" spans="1:42">
      <c r="A319" s="547">
        <f t="shared" si="4"/>
        <v>2012</v>
      </c>
      <c r="B319" s="578">
        <v>41060</v>
      </c>
      <c r="C319" s="314">
        <v>47460</v>
      </c>
      <c r="D319" s="314">
        <v>8275</v>
      </c>
      <c r="E319" s="314">
        <v>183680</v>
      </c>
      <c r="F319" s="314">
        <v>30471</v>
      </c>
      <c r="G319" s="314">
        <v>0</v>
      </c>
      <c r="H319" s="314">
        <v>245</v>
      </c>
      <c r="I319" s="314">
        <v>53674</v>
      </c>
      <c r="J319" s="314">
        <v>2375</v>
      </c>
      <c r="K319" s="314">
        <v>0</v>
      </c>
      <c r="L319" s="314">
        <v>0</v>
      </c>
      <c r="M319" s="314">
        <v>629</v>
      </c>
      <c r="N319" s="314">
        <v>0</v>
      </c>
      <c r="O319" s="314">
        <v>0</v>
      </c>
      <c r="P319" s="314">
        <v>0</v>
      </c>
      <c r="Q319" s="314">
        <v>6425</v>
      </c>
      <c r="R319" s="314">
        <v>0</v>
      </c>
      <c r="S319" s="314">
        <v>0</v>
      </c>
      <c r="T319" s="314">
        <v>0</v>
      </c>
      <c r="U319" s="314">
        <v>199</v>
      </c>
      <c r="V319" s="314">
        <v>0</v>
      </c>
      <c r="W319" s="314">
        <v>127</v>
      </c>
      <c r="X319" s="314">
        <v>3449</v>
      </c>
      <c r="Y319" s="314">
        <v>35909</v>
      </c>
      <c r="Z319" s="314">
        <v>0</v>
      </c>
      <c r="AA319" s="314">
        <v>0</v>
      </c>
      <c r="AB319" s="314">
        <v>748</v>
      </c>
      <c r="AC319" s="314">
        <v>4832</v>
      </c>
      <c r="AD319" s="314">
        <v>0</v>
      </c>
      <c r="AE319" s="314">
        <v>44797</v>
      </c>
      <c r="AF319" s="314">
        <v>3833</v>
      </c>
      <c r="AG319" s="314">
        <v>77740</v>
      </c>
      <c r="AH319" s="314">
        <v>11926</v>
      </c>
      <c r="AI319" s="314">
        <v>2536</v>
      </c>
      <c r="AJ319" s="314">
        <v>0</v>
      </c>
      <c r="AK319" s="314">
        <v>4272</v>
      </c>
      <c r="AL319" s="314">
        <v>16170</v>
      </c>
      <c r="AM319" s="314">
        <v>0</v>
      </c>
      <c r="AN319" s="314">
        <v>0</v>
      </c>
      <c r="AO319" s="314">
        <v>0</v>
      </c>
      <c r="AP319" s="314">
        <v>0</v>
      </c>
    </row>
    <row r="320" spans="1:42">
      <c r="A320" s="547">
        <f t="shared" si="4"/>
        <v>2012</v>
      </c>
      <c r="B320" s="578">
        <v>41090</v>
      </c>
      <c r="C320" s="314">
        <v>21255</v>
      </c>
      <c r="D320" s="314">
        <v>12183</v>
      </c>
      <c r="E320" s="314">
        <v>61246</v>
      </c>
      <c r="F320" s="314">
        <v>48722</v>
      </c>
      <c r="G320" s="314">
        <v>259</v>
      </c>
      <c r="H320" s="314">
        <v>9368</v>
      </c>
      <c r="I320" s="314">
        <v>16710</v>
      </c>
      <c r="J320" s="314">
        <v>12858</v>
      </c>
      <c r="K320" s="314">
        <v>0</v>
      </c>
      <c r="L320" s="314">
        <v>0</v>
      </c>
      <c r="M320" s="314">
        <v>385</v>
      </c>
      <c r="N320" s="314">
        <v>2138</v>
      </c>
      <c r="O320" s="314">
        <v>0</v>
      </c>
      <c r="P320" s="314">
        <v>0</v>
      </c>
      <c r="Q320" s="314">
        <v>0</v>
      </c>
      <c r="R320" s="314">
        <v>497</v>
      </c>
      <c r="S320" s="314">
        <v>0</v>
      </c>
      <c r="T320" s="314">
        <v>0</v>
      </c>
      <c r="U320" s="314">
        <v>1908</v>
      </c>
      <c r="V320" s="314">
        <v>0</v>
      </c>
      <c r="W320" s="314">
        <v>2931</v>
      </c>
      <c r="X320" s="314">
        <v>888</v>
      </c>
      <c r="Y320" s="314">
        <v>14066</v>
      </c>
      <c r="Z320" s="314">
        <v>19905</v>
      </c>
      <c r="AA320" s="314">
        <v>1592</v>
      </c>
      <c r="AB320" s="314">
        <v>357</v>
      </c>
      <c r="AC320" s="314">
        <v>0</v>
      </c>
      <c r="AD320" s="314">
        <v>536</v>
      </c>
      <c r="AE320" s="314">
        <v>15984</v>
      </c>
      <c r="AF320" s="314">
        <v>1570</v>
      </c>
      <c r="AG320" s="314">
        <v>19849</v>
      </c>
      <c r="AH320" s="314">
        <v>12788</v>
      </c>
      <c r="AI320" s="314">
        <v>0</v>
      </c>
      <c r="AJ320" s="314">
        <v>0</v>
      </c>
      <c r="AK320" s="314">
        <v>8328</v>
      </c>
      <c r="AL320" s="314">
        <v>0</v>
      </c>
      <c r="AM320" s="314">
        <v>489</v>
      </c>
      <c r="AN320" s="314">
        <v>0</v>
      </c>
      <c r="AO320" s="314">
        <v>0</v>
      </c>
      <c r="AP320" s="314">
        <v>0</v>
      </c>
    </row>
    <row r="321" spans="1:42">
      <c r="A321" s="547">
        <f t="shared" si="4"/>
        <v>2012</v>
      </c>
      <c r="B321" s="578">
        <v>41121</v>
      </c>
      <c r="C321" s="314">
        <v>18480</v>
      </c>
      <c r="D321" s="314">
        <v>26728</v>
      </c>
      <c r="E321" s="314">
        <v>64532</v>
      </c>
      <c r="F321" s="314">
        <v>17961</v>
      </c>
      <c r="G321" s="314">
        <v>11800</v>
      </c>
      <c r="H321" s="314">
        <v>551</v>
      </c>
      <c r="I321" s="314">
        <v>5588</v>
      </c>
      <c r="J321" s="314">
        <v>4536</v>
      </c>
      <c r="K321" s="314">
        <v>2025</v>
      </c>
      <c r="L321" s="314">
        <v>0</v>
      </c>
      <c r="M321" s="314">
        <v>0</v>
      </c>
      <c r="N321" s="314">
        <v>0</v>
      </c>
      <c r="O321" s="314">
        <v>0</v>
      </c>
      <c r="P321" s="314">
        <v>0</v>
      </c>
      <c r="Q321" s="314">
        <v>0</v>
      </c>
      <c r="R321" s="314">
        <v>0</v>
      </c>
      <c r="S321" s="314">
        <v>0</v>
      </c>
      <c r="T321" s="314">
        <v>0</v>
      </c>
      <c r="U321" s="314">
        <v>3419</v>
      </c>
      <c r="V321" s="314">
        <v>211</v>
      </c>
      <c r="W321" s="314">
        <v>466</v>
      </c>
      <c r="X321" s="314">
        <v>0</v>
      </c>
      <c r="Y321" s="314">
        <v>23943</v>
      </c>
      <c r="Z321" s="314">
        <v>7090</v>
      </c>
      <c r="AA321" s="314">
        <v>0</v>
      </c>
      <c r="AB321" s="314">
        <v>6169</v>
      </c>
      <c r="AC321" s="314">
        <v>479</v>
      </c>
      <c r="AD321" s="314">
        <v>1783</v>
      </c>
      <c r="AE321" s="314">
        <v>4189</v>
      </c>
      <c r="AF321" s="314">
        <v>20008</v>
      </c>
      <c r="AG321" s="314">
        <v>22125</v>
      </c>
      <c r="AH321" s="314">
        <v>4341</v>
      </c>
      <c r="AI321" s="314">
        <v>0</v>
      </c>
      <c r="AJ321" s="314">
        <v>0</v>
      </c>
      <c r="AK321" s="314">
        <v>7588</v>
      </c>
      <c r="AL321" s="314">
        <v>0</v>
      </c>
      <c r="AM321" s="314">
        <v>0</v>
      </c>
      <c r="AN321" s="314">
        <v>0</v>
      </c>
      <c r="AO321" s="314">
        <v>1390</v>
      </c>
      <c r="AP321" s="314">
        <v>0</v>
      </c>
    </row>
    <row r="322" spans="1:42">
      <c r="A322" s="547">
        <f t="shared" si="4"/>
        <v>2012</v>
      </c>
      <c r="B322" s="578">
        <v>41152</v>
      </c>
      <c r="C322" s="314">
        <v>33856</v>
      </c>
      <c r="D322" s="314">
        <v>30561</v>
      </c>
      <c r="E322" s="314">
        <v>80167</v>
      </c>
      <c r="F322" s="314">
        <v>8675</v>
      </c>
      <c r="G322" s="314">
        <v>9615</v>
      </c>
      <c r="H322" s="314">
        <v>22695</v>
      </c>
      <c r="I322" s="314">
        <v>4986</v>
      </c>
      <c r="J322" s="314">
        <v>1435</v>
      </c>
      <c r="K322" s="314">
        <v>0</v>
      </c>
      <c r="L322" s="314">
        <v>423</v>
      </c>
      <c r="M322" s="314">
        <v>15720</v>
      </c>
      <c r="N322" s="314">
        <v>0</v>
      </c>
      <c r="O322" s="314">
        <v>0</v>
      </c>
      <c r="P322" s="314">
        <v>0</v>
      </c>
      <c r="Q322" s="314">
        <v>0</v>
      </c>
      <c r="R322" s="314">
        <v>0</v>
      </c>
      <c r="S322" s="314">
        <v>0</v>
      </c>
      <c r="T322" s="314">
        <v>0</v>
      </c>
      <c r="U322" s="314">
        <v>2082</v>
      </c>
      <c r="V322" s="314">
        <v>0</v>
      </c>
      <c r="W322" s="314">
        <v>0</v>
      </c>
      <c r="X322" s="314">
        <v>0</v>
      </c>
      <c r="Y322" s="314">
        <v>12694</v>
      </c>
      <c r="Z322" s="314">
        <v>2866</v>
      </c>
      <c r="AA322" s="314">
        <v>224</v>
      </c>
      <c r="AB322" s="314">
        <v>4156</v>
      </c>
      <c r="AC322" s="314">
        <v>0</v>
      </c>
      <c r="AD322" s="314">
        <v>807</v>
      </c>
      <c r="AE322" s="314">
        <v>24017</v>
      </c>
      <c r="AF322" s="314">
        <v>3287</v>
      </c>
      <c r="AG322" s="314">
        <v>39801</v>
      </c>
      <c r="AH322" s="314">
        <v>3567</v>
      </c>
      <c r="AI322" s="314">
        <v>0</v>
      </c>
      <c r="AJ322" s="314">
        <v>0</v>
      </c>
      <c r="AK322" s="314">
        <v>0</v>
      </c>
      <c r="AL322" s="314">
        <v>0</v>
      </c>
      <c r="AM322" s="314">
        <v>0</v>
      </c>
      <c r="AN322" s="314">
        <v>0</v>
      </c>
      <c r="AO322" s="314">
        <v>4884</v>
      </c>
      <c r="AP322" s="314">
        <v>0</v>
      </c>
    </row>
    <row r="323" spans="1:42">
      <c r="A323" s="547">
        <f t="shared" si="4"/>
        <v>2012</v>
      </c>
      <c r="B323" s="578">
        <v>41182</v>
      </c>
      <c r="C323" s="314">
        <v>95441</v>
      </c>
      <c r="D323" s="314">
        <v>29984</v>
      </c>
      <c r="E323" s="314">
        <v>137845</v>
      </c>
      <c r="F323" s="314">
        <v>14787</v>
      </c>
      <c r="G323" s="314">
        <v>1150</v>
      </c>
      <c r="H323" s="314">
        <v>21753</v>
      </c>
      <c r="I323" s="314">
        <v>5235</v>
      </c>
      <c r="J323" s="314">
        <v>1281</v>
      </c>
      <c r="K323" s="314">
        <v>224</v>
      </c>
      <c r="L323" s="314">
        <v>0</v>
      </c>
      <c r="M323" s="314">
        <v>5611</v>
      </c>
      <c r="N323" s="314">
        <v>0</v>
      </c>
      <c r="O323" s="314">
        <v>0</v>
      </c>
      <c r="P323" s="314">
        <v>400</v>
      </c>
      <c r="Q323" s="314">
        <v>0</v>
      </c>
      <c r="R323" s="314">
        <v>0</v>
      </c>
      <c r="S323" s="314">
        <v>1219</v>
      </c>
      <c r="T323" s="314">
        <v>676</v>
      </c>
      <c r="U323" s="314">
        <v>0</v>
      </c>
      <c r="V323" s="314">
        <v>2263</v>
      </c>
      <c r="W323" s="314">
        <v>62598</v>
      </c>
      <c r="X323" s="314">
        <v>293</v>
      </c>
      <c r="Y323" s="314">
        <v>62697</v>
      </c>
      <c r="Z323" s="314">
        <v>4133</v>
      </c>
      <c r="AA323" s="314">
        <v>118</v>
      </c>
      <c r="AB323" s="314">
        <v>240</v>
      </c>
      <c r="AC323" s="314">
        <v>0</v>
      </c>
      <c r="AD323" s="314">
        <v>0</v>
      </c>
      <c r="AE323" s="314">
        <v>30132</v>
      </c>
      <c r="AF323" s="314">
        <v>2281</v>
      </c>
      <c r="AG323" s="314">
        <v>52230</v>
      </c>
      <c r="AH323" s="314">
        <v>6848</v>
      </c>
      <c r="AI323" s="314">
        <v>0</v>
      </c>
      <c r="AJ323" s="314">
        <v>4341</v>
      </c>
      <c r="AK323" s="314">
        <v>11107</v>
      </c>
      <c r="AL323" s="314">
        <v>0</v>
      </c>
      <c r="AM323" s="314">
        <v>0</v>
      </c>
      <c r="AN323" s="314">
        <v>0</v>
      </c>
      <c r="AO323" s="314">
        <v>965</v>
      </c>
      <c r="AP323" s="314">
        <v>262</v>
      </c>
    </row>
    <row r="324" spans="1:42">
      <c r="A324" s="547">
        <f t="shared" ref="A324:A387" si="5">YEAR($B324)</f>
        <v>2012</v>
      </c>
      <c r="B324" s="578">
        <v>41213</v>
      </c>
      <c r="C324" s="314">
        <v>17925</v>
      </c>
      <c r="D324" s="314">
        <v>10012</v>
      </c>
      <c r="E324" s="314">
        <v>87237</v>
      </c>
      <c r="F324" s="314">
        <v>9513</v>
      </c>
      <c r="G324" s="314">
        <v>6132</v>
      </c>
      <c r="H324" s="314">
        <v>4345</v>
      </c>
      <c r="I324" s="314">
        <v>21740</v>
      </c>
      <c r="J324" s="314">
        <v>1566</v>
      </c>
      <c r="K324" s="314">
        <v>2486</v>
      </c>
      <c r="L324" s="314">
        <v>0</v>
      </c>
      <c r="M324" s="314">
        <v>568</v>
      </c>
      <c r="N324" s="314">
        <v>0</v>
      </c>
      <c r="O324" s="314">
        <v>0</v>
      </c>
      <c r="P324" s="314">
        <v>321</v>
      </c>
      <c r="Q324" s="314">
        <v>1268</v>
      </c>
      <c r="R324" s="314">
        <v>0</v>
      </c>
      <c r="S324" s="314">
        <v>0</v>
      </c>
      <c r="T324" s="314">
        <v>0</v>
      </c>
      <c r="U324" s="314">
        <v>0</v>
      </c>
      <c r="V324" s="314">
        <v>35</v>
      </c>
      <c r="W324" s="314">
        <v>255</v>
      </c>
      <c r="X324" s="314">
        <v>0</v>
      </c>
      <c r="Y324" s="314">
        <v>2447</v>
      </c>
      <c r="Z324" s="314">
        <v>4415</v>
      </c>
      <c r="AA324" s="314">
        <v>0</v>
      </c>
      <c r="AB324" s="314">
        <v>846</v>
      </c>
      <c r="AC324" s="314">
        <v>903</v>
      </c>
      <c r="AD324" s="314">
        <v>0</v>
      </c>
      <c r="AE324" s="314">
        <v>9052</v>
      </c>
      <c r="AF324" s="314">
        <v>4500</v>
      </c>
      <c r="AG324" s="314">
        <v>57192</v>
      </c>
      <c r="AH324" s="314">
        <v>3008</v>
      </c>
      <c r="AI324" s="314">
        <v>0</v>
      </c>
      <c r="AJ324" s="314">
        <v>0</v>
      </c>
      <c r="AK324" s="314">
        <v>3119</v>
      </c>
      <c r="AL324" s="314">
        <v>489</v>
      </c>
      <c r="AM324" s="314">
        <v>0</v>
      </c>
      <c r="AN324" s="314">
        <v>0</v>
      </c>
      <c r="AO324" s="314">
        <v>0</v>
      </c>
      <c r="AP324" s="314">
        <v>0</v>
      </c>
    </row>
    <row r="325" spans="1:42">
      <c r="A325" s="547">
        <f t="shared" si="5"/>
        <v>2012</v>
      </c>
      <c r="B325" s="578">
        <v>41243</v>
      </c>
      <c r="C325" s="314">
        <v>82984</v>
      </c>
      <c r="D325" s="314">
        <v>68340</v>
      </c>
      <c r="E325" s="314">
        <v>140554</v>
      </c>
      <c r="F325" s="314">
        <v>7083</v>
      </c>
      <c r="G325" s="314">
        <v>14239</v>
      </c>
      <c r="H325" s="314">
        <v>16027</v>
      </c>
      <c r="I325" s="314">
        <v>56985</v>
      </c>
      <c r="J325" s="314">
        <v>4743</v>
      </c>
      <c r="K325" s="314">
        <v>0</v>
      </c>
      <c r="L325" s="314">
        <v>0</v>
      </c>
      <c r="M325" s="314">
        <v>2480</v>
      </c>
      <c r="N325" s="314">
        <v>0</v>
      </c>
      <c r="O325" s="314">
        <v>0</v>
      </c>
      <c r="P325" s="314">
        <v>0</v>
      </c>
      <c r="Q325" s="314">
        <v>0</v>
      </c>
      <c r="R325" s="314">
        <v>0</v>
      </c>
      <c r="S325" s="314">
        <v>0</v>
      </c>
      <c r="T325" s="314">
        <v>125</v>
      </c>
      <c r="U325" s="314">
        <v>1600</v>
      </c>
      <c r="V325" s="314">
        <v>0</v>
      </c>
      <c r="W325" s="314">
        <v>8115</v>
      </c>
      <c r="X325" s="314">
        <v>4657</v>
      </c>
      <c r="Y325" s="314">
        <v>32200</v>
      </c>
      <c r="Z325" s="314">
        <v>1335</v>
      </c>
      <c r="AA325" s="314">
        <v>0</v>
      </c>
      <c r="AB325" s="314">
        <v>0</v>
      </c>
      <c r="AC325" s="314">
        <v>3776</v>
      </c>
      <c r="AD325" s="314">
        <v>374</v>
      </c>
      <c r="AE325" s="314">
        <v>57263</v>
      </c>
      <c r="AF325" s="314">
        <v>17531</v>
      </c>
      <c r="AG325" s="314">
        <v>24739</v>
      </c>
      <c r="AH325" s="314">
        <v>0</v>
      </c>
      <c r="AI325" s="314">
        <v>3367</v>
      </c>
      <c r="AJ325" s="314">
        <v>30000</v>
      </c>
      <c r="AK325" s="314">
        <v>5711</v>
      </c>
      <c r="AL325" s="314">
        <v>0</v>
      </c>
      <c r="AM325" s="314">
        <v>0</v>
      </c>
      <c r="AN325" s="314">
        <v>0</v>
      </c>
      <c r="AO325" s="314">
        <v>13063</v>
      </c>
      <c r="AP325" s="314">
        <v>631</v>
      </c>
    </row>
    <row r="326" spans="1:42">
      <c r="A326" s="547">
        <f t="shared" si="5"/>
        <v>2012</v>
      </c>
      <c r="B326" s="578">
        <v>41274</v>
      </c>
      <c r="C326" s="314">
        <v>29256</v>
      </c>
      <c r="D326" s="314">
        <v>30752</v>
      </c>
      <c r="E326" s="314">
        <v>56982</v>
      </c>
      <c r="F326" s="314">
        <v>20124</v>
      </c>
      <c r="G326" s="314">
        <v>6305</v>
      </c>
      <c r="H326" s="314">
        <v>1315</v>
      </c>
      <c r="I326" s="314">
        <v>27985</v>
      </c>
      <c r="J326" s="314">
        <v>6268</v>
      </c>
      <c r="K326" s="314">
        <v>2930</v>
      </c>
      <c r="L326" s="314">
        <v>0</v>
      </c>
      <c r="M326" s="314">
        <v>2330</v>
      </c>
      <c r="N326" s="314">
        <v>0</v>
      </c>
      <c r="O326" s="314">
        <v>0</v>
      </c>
      <c r="P326" s="314">
        <v>0</v>
      </c>
      <c r="Q326" s="314">
        <v>0</v>
      </c>
      <c r="R326" s="314">
        <v>0</v>
      </c>
      <c r="S326" s="314">
        <v>0</v>
      </c>
      <c r="T326" s="314">
        <v>19539</v>
      </c>
      <c r="U326" s="314">
        <v>0</v>
      </c>
      <c r="V326" s="314">
        <v>1902</v>
      </c>
      <c r="W326" s="314">
        <v>2726</v>
      </c>
      <c r="X326" s="314">
        <v>0</v>
      </c>
      <c r="Y326" s="314">
        <v>10988</v>
      </c>
      <c r="Z326" s="314">
        <v>9349</v>
      </c>
      <c r="AA326" s="314">
        <v>0</v>
      </c>
      <c r="AB326" s="314">
        <v>0</v>
      </c>
      <c r="AC326" s="314">
        <v>0</v>
      </c>
      <c r="AD326" s="314">
        <v>0</v>
      </c>
      <c r="AE326" s="314">
        <v>16716</v>
      </c>
      <c r="AF326" s="314">
        <v>9469</v>
      </c>
      <c r="AG326" s="314">
        <v>14906</v>
      </c>
      <c r="AH326" s="314">
        <v>2605</v>
      </c>
      <c r="AI326" s="314">
        <v>0</v>
      </c>
      <c r="AJ326" s="314">
        <v>0</v>
      </c>
      <c r="AK326" s="314">
        <v>0</v>
      </c>
      <c r="AL326" s="314">
        <v>0</v>
      </c>
      <c r="AM326" s="314">
        <v>579</v>
      </c>
      <c r="AN326" s="314">
        <v>429</v>
      </c>
      <c r="AO326" s="314">
        <v>773</v>
      </c>
      <c r="AP326" s="314">
        <v>0</v>
      </c>
    </row>
    <row r="327" spans="1:42">
      <c r="A327" s="547">
        <f t="shared" si="5"/>
        <v>2013</v>
      </c>
      <c r="B327" s="578">
        <v>41305</v>
      </c>
      <c r="C327" s="314">
        <v>20751</v>
      </c>
      <c r="D327" s="314">
        <v>9977</v>
      </c>
      <c r="E327" s="314">
        <v>40360</v>
      </c>
      <c r="F327" s="314">
        <v>10781</v>
      </c>
      <c r="G327" s="314">
        <v>1798</v>
      </c>
      <c r="H327" s="314">
        <v>6999</v>
      </c>
      <c r="I327" s="314">
        <v>4064</v>
      </c>
      <c r="J327" s="314">
        <v>8623</v>
      </c>
      <c r="K327" s="314">
        <v>1768</v>
      </c>
      <c r="L327" s="314">
        <v>0</v>
      </c>
      <c r="M327" s="314">
        <v>600</v>
      </c>
      <c r="N327" s="314">
        <v>0</v>
      </c>
      <c r="O327" s="314">
        <v>0</v>
      </c>
      <c r="P327" s="314">
        <v>135</v>
      </c>
      <c r="Q327" s="314">
        <v>0</v>
      </c>
      <c r="R327" s="314">
        <v>0</v>
      </c>
      <c r="S327" s="314">
        <v>0</v>
      </c>
      <c r="T327" s="314">
        <v>0</v>
      </c>
      <c r="U327" s="314">
        <v>0</v>
      </c>
      <c r="V327" s="314">
        <v>0</v>
      </c>
      <c r="W327" s="314">
        <v>12935</v>
      </c>
      <c r="X327" s="314">
        <v>453</v>
      </c>
      <c r="Y327" s="314">
        <v>9931</v>
      </c>
      <c r="Z327" s="314">
        <v>904</v>
      </c>
      <c r="AA327" s="314">
        <v>1069</v>
      </c>
      <c r="AB327" s="314">
        <v>877</v>
      </c>
      <c r="AC327" s="314">
        <v>0</v>
      </c>
      <c r="AD327" s="314">
        <v>0</v>
      </c>
      <c r="AE327" s="314">
        <v>2285</v>
      </c>
      <c r="AF327" s="314">
        <v>1513</v>
      </c>
      <c r="AG327" s="314">
        <v>16241</v>
      </c>
      <c r="AH327" s="314">
        <v>1000</v>
      </c>
      <c r="AI327" s="314">
        <v>0</v>
      </c>
      <c r="AJ327" s="314">
        <v>0</v>
      </c>
      <c r="AK327" s="314">
        <v>6097</v>
      </c>
      <c r="AL327" s="314">
        <v>254</v>
      </c>
      <c r="AM327" s="314">
        <v>896</v>
      </c>
      <c r="AN327" s="314">
        <v>0</v>
      </c>
      <c r="AO327" s="314">
        <v>3427</v>
      </c>
      <c r="AP327" s="314">
        <v>0</v>
      </c>
    </row>
    <row r="328" spans="1:42">
      <c r="A328" s="547">
        <f t="shared" si="5"/>
        <v>2013</v>
      </c>
      <c r="B328" s="578">
        <v>41333</v>
      </c>
      <c r="C328" s="314">
        <v>139334</v>
      </c>
      <c r="D328" s="314">
        <v>26453</v>
      </c>
      <c r="E328" s="314">
        <v>80843</v>
      </c>
      <c r="F328" s="314">
        <v>19727</v>
      </c>
      <c r="G328" s="314">
        <v>43410</v>
      </c>
      <c r="H328" s="314">
        <v>381</v>
      </c>
      <c r="I328" s="314">
        <v>33611</v>
      </c>
      <c r="J328" s="314">
        <v>7857</v>
      </c>
      <c r="K328" s="314">
        <v>3529</v>
      </c>
      <c r="L328" s="314">
        <v>0</v>
      </c>
      <c r="M328" s="314">
        <v>12091</v>
      </c>
      <c r="N328" s="314">
        <v>9693</v>
      </c>
      <c r="O328" s="314">
        <v>0</v>
      </c>
      <c r="P328" s="314">
        <v>0</v>
      </c>
      <c r="Q328" s="314">
        <v>0</v>
      </c>
      <c r="R328" s="314">
        <v>262</v>
      </c>
      <c r="S328" s="314">
        <v>0</v>
      </c>
      <c r="T328" s="314">
        <v>0</v>
      </c>
      <c r="U328" s="314">
        <v>363</v>
      </c>
      <c r="V328" s="314">
        <v>0</v>
      </c>
      <c r="W328" s="314">
        <v>3087</v>
      </c>
      <c r="X328" s="314">
        <v>7278</v>
      </c>
      <c r="Y328" s="314">
        <v>3800</v>
      </c>
      <c r="Z328" s="314">
        <v>0</v>
      </c>
      <c r="AA328" s="314">
        <v>0</v>
      </c>
      <c r="AB328" s="314">
        <v>10590</v>
      </c>
      <c r="AC328" s="314">
        <v>7413</v>
      </c>
      <c r="AD328" s="314">
        <v>164</v>
      </c>
      <c r="AE328" s="314">
        <v>86164</v>
      </c>
      <c r="AF328" s="314">
        <v>7986</v>
      </c>
      <c r="AG328" s="314">
        <v>23441</v>
      </c>
      <c r="AH328" s="314">
        <v>1751</v>
      </c>
      <c r="AI328" s="314">
        <v>0</v>
      </c>
      <c r="AJ328" s="314">
        <v>0</v>
      </c>
      <c r="AK328" s="314">
        <v>0</v>
      </c>
      <c r="AL328" s="314">
        <v>0</v>
      </c>
      <c r="AM328" s="314">
        <v>3144</v>
      </c>
      <c r="AN328" s="314">
        <v>218</v>
      </c>
      <c r="AO328" s="314">
        <v>124</v>
      </c>
      <c r="AP328" s="314">
        <v>0</v>
      </c>
    </row>
    <row r="329" spans="1:42">
      <c r="A329" s="547">
        <f t="shared" si="5"/>
        <v>2013</v>
      </c>
      <c r="B329" s="578">
        <v>41364</v>
      </c>
      <c r="C329" s="314">
        <v>88437</v>
      </c>
      <c r="D329" s="314">
        <v>24599</v>
      </c>
      <c r="E329" s="314">
        <v>44267</v>
      </c>
      <c r="F329" s="314">
        <v>18472</v>
      </c>
      <c r="G329" s="314">
        <v>12176</v>
      </c>
      <c r="H329" s="314">
        <v>6987</v>
      </c>
      <c r="I329" s="314">
        <v>19029</v>
      </c>
      <c r="J329" s="314">
        <v>6245</v>
      </c>
      <c r="K329" s="314">
        <v>2270</v>
      </c>
      <c r="L329" s="314">
        <v>9865</v>
      </c>
      <c r="M329" s="314">
        <v>2225</v>
      </c>
      <c r="N329" s="314">
        <v>1901</v>
      </c>
      <c r="O329" s="314">
        <v>0</v>
      </c>
      <c r="P329" s="314">
        <v>0</v>
      </c>
      <c r="Q329" s="314">
        <v>1339</v>
      </c>
      <c r="R329" s="314">
        <v>0</v>
      </c>
      <c r="S329" s="314">
        <v>0</v>
      </c>
      <c r="T329" s="314">
        <v>2288</v>
      </c>
      <c r="U329" s="314">
        <v>0</v>
      </c>
      <c r="V329" s="314">
        <v>0</v>
      </c>
      <c r="W329" s="314">
        <v>35170</v>
      </c>
      <c r="X329" s="314">
        <v>152</v>
      </c>
      <c r="Y329" s="314">
        <v>3209</v>
      </c>
      <c r="Z329" s="314">
        <v>5046</v>
      </c>
      <c r="AA329" s="314">
        <v>0</v>
      </c>
      <c r="AB329" s="314">
        <v>1857</v>
      </c>
      <c r="AC329" s="314">
        <v>224</v>
      </c>
      <c r="AD329" s="314">
        <v>0</v>
      </c>
      <c r="AE329" s="314">
        <v>38347</v>
      </c>
      <c r="AF329" s="314">
        <v>3450</v>
      </c>
      <c r="AG329" s="314">
        <v>13404</v>
      </c>
      <c r="AH329" s="314">
        <v>469</v>
      </c>
      <c r="AI329" s="314">
        <v>474</v>
      </c>
      <c r="AJ329" s="314">
        <v>0</v>
      </c>
      <c r="AK329" s="314">
        <v>4837</v>
      </c>
      <c r="AL329" s="314">
        <v>4811</v>
      </c>
      <c r="AM329" s="314">
        <v>0</v>
      </c>
      <c r="AN329" s="314">
        <v>0</v>
      </c>
      <c r="AO329" s="314">
        <v>0</v>
      </c>
      <c r="AP329" s="314">
        <v>0</v>
      </c>
    </row>
    <row r="330" spans="1:42">
      <c r="A330" s="547">
        <f t="shared" si="5"/>
        <v>2013</v>
      </c>
      <c r="B330" s="578">
        <v>41394</v>
      </c>
      <c r="C330" s="314">
        <v>77200</v>
      </c>
      <c r="D330" s="314">
        <v>58244</v>
      </c>
      <c r="E330" s="314">
        <v>78526</v>
      </c>
      <c r="F330" s="314">
        <v>23448</v>
      </c>
      <c r="G330" s="314">
        <v>17184</v>
      </c>
      <c r="H330" s="314">
        <v>12668</v>
      </c>
      <c r="I330" s="314">
        <v>22528</v>
      </c>
      <c r="J330" s="314">
        <v>21265</v>
      </c>
      <c r="K330" s="314">
        <v>0</v>
      </c>
      <c r="L330" s="314">
        <v>27754</v>
      </c>
      <c r="M330" s="314">
        <v>1777</v>
      </c>
      <c r="N330" s="314">
        <v>153</v>
      </c>
      <c r="O330" s="314">
        <v>0</v>
      </c>
      <c r="P330" s="314">
        <v>124</v>
      </c>
      <c r="Q330" s="314">
        <v>0</v>
      </c>
      <c r="R330" s="314">
        <v>0</v>
      </c>
      <c r="S330" s="314">
        <v>0</v>
      </c>
      <c r="T330" s="314">
        <v>1022</v>
      </c>
      <c r="U330" s="314">
        <v>6764</v>
      </c>
      <c r="V330" s="314">
        <v>0</v>
      </c>
      <c r="W330" s="314">
        <v>1288</v>
      </c>
      <c r="X330" s="314">
        <v>489</v>
      </c>
      <c r="Y330" s="314">
        <v>1713</v>
      </c>
      <c r="Z330" s="314">
        <v>493</v>
      </c>
      <c r="AA330" s="314">
        <v>786</v>
      </c>
      <c r="AB330" s="314">
        <v>5815</v>
      </c>
      <c r="AC330" s="314">
        <v>4855</v>
      </c>
      <c r="AD330" s="314">
        <v>0</v>
      </c>
      <c r="AE330" s="314">
        <v>56991</v>
      </c>
      <c r="AF330" s="314">
        <v>10036</v>
      </c>
      <c r="AG330" s="314">
        <v>38360</v>
      </c>
      <c r="AH330" s="314">
        <v>1393</v>
      </c>
      <c r="AI330" s="314">
        <v>0</v>
      </c>
      <c r="AJ330" s="314">
        <v>0</v>
      </c>
      <c r="AK330" s="314">
        <v>2529</v>
      </c>
      <c r="AL330" s="314">
        <v>0</v>
      </c>
      <c r="AM330" s="314">
        <v>951</v>
      </c>
      <c r="AN330" s="314">
        <v>336</v>
      </c>
      <c r="AO330" s="314">
        <v>0</v>
      </c>
      <c r="AP330" s="314">
        <v>144</v>
      </c>
    </row>
    <row r="331" spans="1:42">
      <c r="A331" s="547">
        <f t="shared" si="5"/>
        <v>2013</v>
      </c>
      <c r="B331" s="578">
        <v>41425</v>
      </c>
      <c r="C331" s="314">
        <v>38397</v>
      </c>
      <c r="D331" s="314">
        <v>69184</v>
      </c>
      <c r="E331" s="314">
        <v>83266</v>
      </c>
      <c r="F331" s="314">
        <v>44597</v>
      </c>
      <c r="G331" s="314">
        <v>2229</v>
      </c>
      <c r="H331" s="314">
        <v>38125</v>
      </c>
      <c r="I331" s="314">
        <v>26612</v>
      </c>
      <c r="J331" s="314">
        <v>1542</v>
      </c>
      <c r="K331" s="314">
        <v>0</v>
      </c>
      <c r="L331" s="314">
        <v>3492</v>
      </c>
      <c r="M331" s="314">
        <v>4827</v>
      </c>
      <c r="N331" s="314">
        <v>89</v>
      </c>
      <c r="O331" s="314">
        <v>0</v>
      </c>
      <c r="P331" s="314">
        <v>0</v>
      </c>
      <c r="Q331" s="314">
        <v>0</v>
      </c>
      <c r="R331" s="314">
        <v>0</v>
      </c>
      <c r="S331" s="314">
        <v>0</v>
      </c>
      <c r="T331" s="314">
        <v>15171</v>
      </c>
      <c r="U331" s="314">
        <v>0</v>
      </c>
      <c r="V331" s="314">
        <v>1921</v>
      </c>
      <c r="W331" s="314">
        <v>0</v>
      </c>
      <c r="X331" s="314">
        <v>5521</v>
      </c>
      <c r="Y331" s="314">
        <v>1365</v>
      </c>
      <c r="Z331" s="314">
        <v>38113</v>
      </c>
      <c r="AA331" s="314">
        <v>0</v>
      </c>
      <c r="AB331" s="314">
        <v>760</v>
      </c>
      <c r="AC331" s="314">
        <v>0</v>
      </c>
      <c r="AD331" s="314">
        <v>0</v>
      </c>
      <c r="AE331" s="314">
        <v>35657</v>
      </c>
      <c r="AF331" s="314">
        <v>6115</v>
      </c>
      <c r="AG331" s="314">
        <v>40755</v>
      </c>
      <c r="AH331" s="314">
        <v>2108</v>
      </c>
      <c r="AI331" s="314">
        <v>286</v>
      </c>
      <c r="AJ331" s="314">
        <v>0</v>
      </c>
      <c r="AK331" s="314">
        <v>9707</v>
      </c>
      <c r="AL331" s="314">
        <v>824</v>
      </c>
      <c r="AM331" s="314">
        <v>225</v>
      </c>
      <c r="AN331" s="314">
        <v>0</v>
      </c>
      <c r="AO331" s="314">
        <v>0</v>
      </c>
      <c r="AP331" s="314">
        <v>0</v>
      </c>
    </row>
    <row r="332" spans="1:42">
      <c r="A332" s="547">
        <f t="shared" si="5"/>
        <v>2013</v>
      </c>
      <c r="B332" s="578">
        <v>41455</v>
      </c>
      <c r="C332" s="314">
        <v>83239</v>
      </c>
      <c r="D332" s="314">
        <v>26762</v>
      </c>
      <c r="E332" s="314">
        <v>61991</v>
      </c>
      <c r="F332" s="314">
        <v>37528</v>
      </c>
      <c r="G332" s="314">
        <v>5193</v>
      </c>
      <c r="H332" s="314">
        <v>10345</v>
      </c>
      <c r="I332" s="314">
        <v>25411</v>
      </c>
      <c r="J332" s="314">
        <v>22380</v>
      </c>
      <c r="K332" s="314">
        <v>1464</v>
      </c>
      <c r="L332" s="314">
        <v>4707</v>
      </c>
      <c r="M332" s="314">
        <v>1304</v>
      </c>
      <c r="N332" s="314">
        <v>0</v>
      </c>
      <c r="O332" s="314">
        <v>0</v>
      </c>
      <c r="P332" s="314">
        <v>0</v>
      </c>
      <c r="Q332" s="314">
        <v>0</v>
      </c>
      <c r="R332" s="314">
        <v>0</v>
      </c>
      <c r="S332" s="314">
        <v>0</v>
      </c>
      <c r="T332" s="314">
        <v>8810</v>
      </c>
      <c r="U332" s="314">
        <v>11922</v>
      </c>
      <c r="V332" s="314">
        <v>3487</v>
      </c>
      <c r="W332" s="314">
        <v>0</v>
      </c>
      <c r="X332" s="314">
        <v>1664</v>
      </c>
      <c r="Y332" s="314">
        <v>2613</v>
      </c>
      <c r="Z332" s="314">
        <v>0</v>
      </c>
      <c r="AA332" s="314">
        <v>0</v>
      </c>
      <c r="AB332" s="314">
        <v>0</v>
      </c>
      <c r="AC332" s="314">
        <v>0</v>
      </c>
      <c r="AD332" s="314">
        <v>422</v>
      </c>
      <c r="AE332" s="314">
        <v>76440</v>
      </c>
      <c r="AF332" s="314">
        <v>1236</v>
      </c>
      <c r="AG332" s="314">
        <v>20147</v>
      </c>
      <c r="AH332" s="314">
        <v>5361</v>
      </c>
      <c r="AI332" s="314">
        <v>0</v>
      </c>
      <c r="AJ332" s="314">
        <v>0</v>
      </c>
      <c r="AK332" s="314">
        <v>594</v>
      </c>
      <c r="AL332" s="314">
        <v>5878</v>
      </c>
      <c r="AM332" s="314">
        <v>142</v>
      </c>
      <c r="AN332" s="314">
        <v>0</v>
      </c>
      <c r="AO332" s="314">
        <v>0</v>
      </c>
      <c r="AP332" s="314">
        <v>0</v>
      </c>
    </row>
    <row r="333" spans="1:42">
      <c r="A333" s="547">
        <f t="shared" si="5"/>
        <v>2013</v>
      </c>
      <c r="B333" s="578">
        <v>41486</v>
      </c>
      <c r="C333" s="314">
        <v>32455</v>
      </c>
      <c r="D333" s="314">
        <v>97233</v>
      </c>
      <c r="E333" s="314">
        <v>97568</v>
      </c>
      <c r="F333" s="314">
        <v>11627</v>
      </c>
      <c r="G333" s="314">
        <v>963</v>
      </c>
      <c r="H333" s="314">
        <v>92490</v>
      </c>
      <c r="I333" s="314">
        <v>39318</v>
      </c>
      <c r="J333" s="314">
        <v>4322</v>
      </c>
      <c r="K333" s="314">
        <v>1127</v>
      </c>
      <c r="L333" s="314">
        <v>1030</v>
      </c>
      <c r="M333" s="314">
        <v>1160</v>
      </c>
      <c r="N333" s="314">
        <v>239</v>
      </c>
      <c r="O333" s="314">
        <v>352</v>
      </c>
      <c r="P333" s="314">
        <v>0</v>
      </c>
      <c r="Q333" s="314">
        <v>1408</v>
      </c>
      <c r="R333" s="314">
        <v>0</v>
      </c>
      <c r="S333" s="314">
        <v>0</v>
      </c>
      <c r="T333" s="314">
        <v>0</v>
      </c>
      <c r="U333" s="314">
        <v>0</v>
      </c>
      <c r="V333" s="314">
        <v>0</v>
      </c>
      <c r="W333" s="314">
        <v>0</v>
      </c>
      <c r="X333" s="314">
        <v>0</v>
      </c>
      <c r="Y333" s="314">
        <v>2204</v>
      </c>
      <c r="Z333" s="314">
        <v>249</v>
      </c>
      <c r="AA333" s="314">
        <v>416</v>
      </c>
      <c r="AB333" s="314">
        <v>1196</v>
      </c>
      <c r="AC333" s="314">
        <v>0</v>
      </c>
      <c r="AD333" s="314">
        <v>1058</v>
      </c>
      <c r="AE333" s="314">
        <v>29470</v>
      </c>
      <c r="AF333" s="314">
        <v>2517</v>
      </c>
      <c r="AG333" s="314">
        <v>44974</v>
      </c>
      <c r="AH333" s="314">
        <v>4841</v>
      </c>
      <c r="AI333" s="314">
        <v>0</v>
      </c>
      <c r="AJ333" s="314">
        <v>0</v>
      </c>
      <c r="AK333" s="314">
        <v>8504</v>
      </c>
      <c r="AL333" s="314">
        <v>918</v>
      </c>
      <c r="AM333" s="314">
        <v>127</v>
      </c>
      <c r="AN333" s="314">
        <v>0</v>
      </c>
      <c r="AO333" s="314">
        <v>0</v>
      </c>
      <c r="AP333" s="314">
        <v>0</v>
      </c>
    </row>
    <row r="334" spans="1:42">
      <c r="A334" s="547">
        <f t="shared" si="5"/>
        <v>2013</v>
      </c>
      <c r="B334" s="578">
        <v>41517</v>
      </c>
      <c r="C334" s="314">
        <v>101166</v>
      </c>
      <c r="D334" s="314">
        <v>71407</v>
      </c>
      <c r="E334" s="314">
        <v>83255</v>
      </c>
      <c r="F334" s="314">
        <v>19569</v>
      </c>
      <c r="G334" s="314">
        <v>51802</v>
      </c>
      <c r="H334" s="314">
        <v>3173</v>
      </c>
      <c r="I334" s="314">
        <v>37151</v>
      </c>
      <c r="J334" s="314">
        <v>7847</v>
      </c>
      <c r="K334" s="314">
        <v>7160</v>
      </c>
      <c r="L334" s="314">
        <v>2264</v>
      </c>
      <c r="M334" s="314">
        <v>0</v>
      </c>
      <c r="N334" s="314">
        <v>0</v>
      </c>
      <c r="O334" s="314">
        <v>0</v>
      </c>
      <c r="P334" s="314">
        <v>961</v>
      </c>
      <c r="Q334" s="314">
        <v>0</v>
      </c>
      <c r="R334" s="314">
        <v>0</v>
      </c>
      <c r="S334" s="314">
        <v>0</v>
      </c>
      <c r="T334" s="314">
        <v>0</v>
      </c>
      <c r="U334" s="314">
        <v>2072</v>
      </c>
      <c r="V334" s="314">
        <v>8500</v>
      </c>
      <c r="W334" s="314">
        <v>7281</v>
      </c>
      <c r="X334" s="314">
        <v>23876</v>
      </c>
      <c r="Y334" s="314">
        <v>12258</v>
      </c>
      <c r="Z334" s="314">
        <v>0</v>
      </c>
      <c r="AA334" s="314">
        <v>1675</v>
      </c>
      <c r="AB334" s="314">
        <v>33569</v>
      </c>
      <c r="AC334" s="314">
        <v>223</v>
      </c>
      <c r="AD334" s="314">
        <v>429</v>
      </c>
      <c r="AE334" s="314">
        <v>33248</v>
      </c>
      <c r="AF334" s="314">
        <v>6490</v>
      </c>
      <c r="AG334" s="314">
        <v>20998</v>
      </c>
      <c r="AH334" s="314">
        <v>2757</v>
      </c>
      <c r="AI334" s="314">
        <v>0</v>
      </c>
      <c r="AJ334" s="314">
        <v>623</v>
      </c>
      <c r="AK334" s="314">
        <v>10553</v>
      </c>
      <c r="AL334" s="314">
        <v>36</v>
      </c>
      <c r="AM334" s="314">
        <v>0</v>
      </c>
      <c r="AN334" s="314">
        <v>451</v>
      </c>
      <c r="AO334" s="314">
        <v>0</v>
      </c>
      <c r="AP334" s="314">
        <v>0</v>
      </c>
    </row>
    <row r="335" spans="1:42">
      <c r="A335" s="547">
        <f t="shared" si="5"/>
        <v>2013</v>
      </c>
      <c r="B335" s="578">
        <v>41547</v>
      </c>
      <c r="C335" s="314">
        <v>57936</v>
      </c>
      <c r="D335" s="314">
        <v>30488</v>
      </c>
      <c r="E335" s="314">
        <v>87742</v>
      </c>
      <c r="F335" s="314">
        <v>10010</v>
      </c>
      <c r="G335" s="314">
        <v>9600</v>
      </c>
      <c r="H335" s="314">
        <v>1903</v>
      </c>
      <c r="I335" s="314">
        <v>6779</v>
      </c>
      <c r="J335" s="314">
        <v>6210</v>
      </c>
      <c r="K335" s="314">
        <v>4868</v>
      </c>
      <c r="L335" s="314">
        <v>2235</v>
      </c>
      <c r="M335" s="314">
        <v>1830</v>
      </c>
      <c r="N335" s="314">
        <v>0</v>
      </c>
      <c r="O335" s="314">
        <v>0</v>
      </c>
      <c r="P335" s="314">
        <v>5181</v>
      </c>
      <c r="Q335" s="314">
        <v>3758</v>
      </c>
      <c r="R335" s="314">
        <v>0</v>
      </c>
      <c r="S335" s="314">
        <v>0</v>
      </c>
      <c r="T335" s="314">
        <v>0</v>
      </c>
      <c r="U335" s="314">
        <v>0</v>
      </c>
      <c r="V335" s="314">
        <v>0</v>
      </c>
      <c r="W335" s="314">
        <v>14545</v>
      </c>
      <c r="X335" s="314">
        <v>17221</v>
      </c>
      <c r="Y335" s="314">
        <v>3828</v>
      </c>
      <c r="Z335" s="314">
        <v>1204</v>
      </c>
      <c r="AA335" s="314">
        <v>0</v>
      </c>
      <c r="AB335" s="314">
        <v>0</v>
      </c>
      <c r="AC335" s="314">
        <v>0</v>
      </c>
      <c r="AD335" s="314">
        <v>0</v>
      </c>
      <c r="AE335" s="314">
        <v>26431</v>
      </c>
      <c r="AF335" s="314">
        <v>1498</v>
      </c>
      <c r="AG335" s="314">
        <v>63201</v>
      </c>
      <c r="AH335" s="314">
        <v>2596</v>
      </c>
      <c r="AI335" s="314">
        <v>2492</v>
      </c>
      <c r="AJ335" s="314">
        <v>2450</v>
      </c>
      <c r="AK335" s="314">
        <v>8346</v>
      </c>
      <c r="AL335" s="314">
        <v>0</v>
      </c>
      <c r="AM335" s="314">
        <v>0</v>
      </c>
      <c r="AN335" s="314">
        <v>0</v>
      </c>
      <c r="AO335" s="314">
        <v>0</v>
      </c>
      <c r="AP335" s="314">
        <v>0</v>
      </c>
    </row>
    <row r="336" spans="1:42">
      <c r="A336" s="547">
        <f t="shared" si="5"/>
        <v>2013</v>
      </c>
      <c r="B336" s="578">
        <v>41578</v>
      </c>
      <c r="C336" s="314">
        <v>43396</v>
      </c>
      <c r="D336" s="314">
        <v>28615</v>
      </c>
      <c r="E336" s="314">
        <v>105381</v>
      </c>
      <c r="F336" s="314">
        <v>16133</v>
      </c>
      <c r="G336" s="314">
        <v>9743</v>
      </c>
      <c r="H336" s="314">
        <v>5622</v>
      </c>
      <c r="I336" s="314">
        <v>20609</v>
      </c>
      <c r="J336" s="314">
        <v>4905</v>
      </c>
      <c r="K336" s="314">
        <v>0</v>
      </c>
      <c r="L336" s="314">
        <v>9396</v>
      </c>
      <c r="M336" s="314">
        <v>4534</v>
      </c>
      <c r="N336" s="314">
        <v>2901</v>
      </c>
      <c r="O336" s="314">
        <v>0</v>
      </c>
      <c r="P336" s="314">
        <v>0</v>
      </c>
      <c r="Q336" s="314">
        <v>336</v>
      </c>
      <c r="R336" s="314">
        <v>417</v>
      </c>
      <c r="S336" s="314">
        <v>0</v>
      </c>
      <c r="T336" s="314">
        <v>0</v>
      </c>
      <c r="U336" s="314">
        <v>0</v>
      </c>
      <c r="V336" s="314">
        <v>0</v>
      </c>
      <c r="W336" s="314">
        <v>9730</v>
      </c>
      <c r="X336" s="314">
        <v>6167</v>
      </c>
      <c r="Y336" s="314">
        <v>13525</v>
      </c>
      <c r="Z336" s="314">
        <v>896</v>
      </c>
      <c r="AA336" s="314">
        <v>0</v>
      </c>
      <c r="AB336" s="314">
        <v>0</v>
      </c>
      <c r="AC336" s="314">
        <v>3886</v>
      </c>
      <c r="AD336" s="314">
        <v>1058</v>
      </c>
      <c r="AE336" s="314">
        <v>23679</v>
      </c>
      <c r="AF336" s="314">
        <v>1154</v>
      </c>
      <c r="AG336" s="314">
        <v>57360</v>
      </c>
      <c r="AH336" s="314">
        <v>5138</v>
      </c>
      <c r="AI336" s="314">
        <v>0</v>
      </c>
      <c r="AJ336" s="314">
        <v>1661</v>
      </c>
      <c r="AK336" s="314">
        <v>5131</v>
      </c>
      <c r="AL336" s="314">
        <v>0</v>
      </c>
      <c r="AM336" s="314">
        <v>244</v>
      </c>
      <c r="AN336" s="314">
        <v>4615</v>
      </c>
      <c r="AO336" s="314">
        <v>0</v>
      </c>
      <c r="AP336" s="314">
        <v>818</v>
      </c>
    </row>
    <row r="337" spans="1:42">
      <c r="A337" s="547">
        <f t="shared" si="5"/>
        <v>2013</v>
      </c>
      <c r="B337" s="578">
        <v>41608</v>
      </c>
      <c r="C337" s="314">
        <v>54595</v>
      </c>
      <c r="D337" s="314">
        <v>117248</v>
      </c>
      <c r="E337" s="314">
        <v>143330</v>
      </c>
      <c r="F337" s="314">
        <v>15456</v>
      </c>
      <c r="G337" s="314">
        <v>18659</v>
      </c>
      <c r="H337" s="314">
        <v>3190</v>
      </c>
      <c r="I337" s="314">
        <v>25734</v>
      </c>
      <c r="J337" s="314">
        <v>8139</v>
      </c>
      <c r="K337" s="314">
        <v>1637</v>
      </c>
      <c r="L337" s="314">
        <v>0</v>
      </c>
      <c r="M337" s="314">
        <v>87881</v>
      </c>
      <c r="N337" s="314">
        <v>0</v>
      </c>
      <c r="O337" s="314">
        <v>0</v>
      </c>
      <c r="P337" s="314">
        <v>0</v>
      </c>
      <c r="Q337" s="314">
        <v>408</v>
      </c>
      <c r="R337" s="314">
        <v>0</v>
      </c>
      <c r="S337" s="314">
        <v>0</v>
      </c>
      <c r="T337" s="314">
        <v>0</v>
      </c>
      <c r="U337" s="314">
        <v>0</v>
      </c>
      <c r="V337" s="314">
        <v>2693</v>
      </c>
      <c r="W337" s="314">
        <v>1238</v>
      </c>
      <c r="X337" s="314">
        <v>14726</v>
      </c>
      <c r="Y337" s="314">
        <v>6536</v>
      </c>
      <c r="Z337" s="314">
        <v>2909</v>
      </c>
      <c r="AA337" s="314">
        <v>1110</v>
      </c>
      <c r="AB337" s="314">
        <v>3918</v>
      </c>
      <c r="AC337" s="314">
        <v>10852</v>
      </c>
      <c r="AD337" s="314">
        <v>1715</v>
      </c>
      <c r="AE337" s="314">
        <v>31707</v>
      </c>
      <c r="AF337" s="314">
        <v>77614</v>
      </c>
      <c r="AG337" s="314">
        <v>6264</v>
      </c>
      <c r="AH337" s="314">
        <v>0</v>
      </c>
      <c r="AI337" s="314">
        <v>244</v>
      </c>
      <c r="AJ337" s="314">
        <v>0</v>
      </c>
      <c r="AK337" s="314">
        <v>3633</v>
      </c>
      <c r="AL337" s="314">
        <v>0</v>
      </c>
      <c r="AM337" s="314">
        <v>0</v>
      </c>
      <c r="AN337" s="314">
        <v>17800</v>
      </c>
      <c r="AO337" s="314">
        <v>2022</v>
      </c>
      <c r="AP337" s="314">
        <v>0</v>
      </c>
    </row>
    <row r="338" spans="1:42">
      <c r="A338" s="547">
        <f t="shared" si="5"/>
        <v>2013</v>
      </c>
      <c r="B338" s="578">
        <v>41639</v>
      </c>
      <c r="C338" s="314">
        <v>58654</v>
      </c>
      <c r="D338" s="314">
        <v>5643</v>
      </c>
      <c r="E338" s="314">
        <v>48954</v>
      </c>
      <c r="F338" s="314">
        <v>2215</v>
      </c>
      <c r="G338" s="314">
        <v>777</v>
      </c>
      <c r="H338" s="314">
        <v>1143</v>
      </c>
      <c r="I338" s="314">
        <v>8434</v>
      </c>
      <c r="J338" s="314">
        <v>275</v>
      </c>
      <c r="K338" s="314">
        <v>0</v>
      </c>
      <c r="L338" s="314">
        <v>0</v>
      </c>
      <c r="M338" s="314">
        <v>1000</v>
      </c>
      <c r="N338" s="314">
        <v>25</v>
      </c>
      <c r="O338" s="314">
        <v>2076</v>
      </c>
      <c r="P338" s="314">
        <v>0</v>
      </c>
      <c r="Q338" s="314">
        <v>0</v>
      </c>
      <c r="R338" s="314">
        <v>0</v>
      </c>
      <c r="S338" s="314">
        <v>0</v>
      </c>
      <c r="T338" s="314">
        <v>0</v>
      </c>
      <c r="U338" s="314">
        <v>0</v>
      </c>
      <c r="V338" s="314">
        <v>0</v>
      </c>
      <c r="W338" s="314">
        <v>41883</v>
      </c>
      <c r="X338" s="314">
        <v>238</v>
      </c>
      <c r="Y338" s="314">
        <v>5575</v>
      </c>
      <c r="Z338" s="314">
        <v>0</v>
      </c>
      <c r="AA338" s="314">
        <v>0</v>
      </c>
      <c r="AB338" s="314">
        <v>792</v>
      </c>
      <c r="AC338" s="314">
        <v>0</v>
      </c>
      <c r="AD338" s="314">
        <v>0</v>
      </c>
      <c r="AE338" s="314">
        <v>11311</v>
      </c>
      <c r="AF338" s="314">
        <v>1738</v>
      </c>
      <c r="AG338" s="314">
        <v>32020</v>
      </c>
      <c r="AH338" s="314">
        <v>1105</v>
      </c>
      <c r="AI338" s="314">
        <v>2607</v>
      </c>
      <c r="AJ338" s="314">
        <v>0</v>
      </c>
      <c r="AK338" s="314">
        <v>0</v>
      </c>
      <c r="AL338" s="314">
        <v>810</v>
      </c>
      <c r="AM338" s="314">
        <v>0</v>
      </c>
      <c r="AN338" s="314">
        <v>1732</v>
      </c>
      <c r="AO338" s="314">
        <v>1925</v>
      </c>
      <c r="AP338" s="314">
        <v>0</v>
      </c>
    </row>
    <row r="339" spans="1:42">
      <c r="A339" s="547">
        <f t="shared" si="5"/>
        <v>2014</v>
      </c>
      <c r="B339" s="578">
        <v>41670</v>
      </c>
      <c r="C339" s="314">
        <v>17283</v>
      </c>
      <c r="D339" s="314">
        <v>10884</v>
      </c>
      <c r="E339" s="314">
        <v>113900</v>
      </c>
      <c r="F339" s="314">
        <v>36767</v>
      </c>
      <c r="G339" s="314">
        <v>7648</v>
      </c>
      <c r="H339" s="314">
        <v>1643</v>
      </c>
      <c r="I339" s="314">
        <v>25827</v>
      </c>
      <c r="J339" s="314">
        <v>3335</v>
      </c>
      <c r="K339" s="314">
        <v>234</v>
      </c>
      <c r="L339" s="314">
        <v>2014</v>
      </c>
      <c r="M339" s="314">
        <v>8515</v>
      </c>
      <c r="N339" s="314">
        <v>424</v>
      </c>
      <c r="O339" s="314">
        <v>0</v>
      </c>
      <c r="P339" s="314">
        <v>0</v>
      </c>
      <c r="Q339" s="314">
        <v>0</v>
      </c>
      <c r="R339" s="314">
        <v>0</v>
      </c>
      <c r="S339" s="314">
        <v>0</v>
      </c>
      <c r="T339" s="314">
        <v>0</v>
      </c>
      <c r="U339" s="314">
        <v>0</v>
      </c>
      <c r="V339" s="314">
        <v>0</v>
      </c>
      <c r="W339" s="314">
        <v>190</v>
      </c>
      <c r="X339" s="314">
        <v>0</v>
      </c>
      <c r="Y339" s="314">
        <v>15858</v>
      </c>
      <c r="Z339" s="314">
        <v>3316</v>
      </c>
      <c r="AA339" s="314">
        <v>0</v>
      </c>
      <c r="AB339" s="314">
        <v>6614</v>
      </c>
      <c r="AC339" s="314">
        <v>4856</v>
      </c>
      <c r="AD339" s="314">
        <v>160</v>
      </c>
      <c r="AE339" s="314">
        <v>7893</v>
      </c>
      <c r="AF339" s="314">
        <v>613</v>
      </c>
      <c r="AG339" s="314">
        <v>51464</v>
      </c>
      <c r="AH339" s="314">
        <v>29369</v>
      </c>
      <c r="AI339" s="314">
        <v>0</v>
      </c>
      <c r="AJ339" s="314">
        <v>0</v>
      </c>
      <c r="AK339" s="314">
        <v>4261</v>
      </c>
      <c r="AL339" s="314">
        <v>163</v>
      </c>
      <c r="AM339" s="314">
        <v>1318</v>
      </c>
      <c r="AN339" s="314">
        <v>0</v>
      </c>
      <c r="AO339" s="314">
        <v>3119</v>
      </c>
      <c r="AP339" s="314">
        <v>0</v>
      </c>
    </row>
    <row r="340" spans="1:42">
      <c r="A340" s="547">
        <f t="shared" si="5"/>
        <v>2014</v>
      </c>
      <c r="B340" s="578">
        <v>41698</v>
      </c>
      <c r="C340" s="314">
        <v>38005</v>
      </c>
      <c r="D340" s="314">
        <v>27920</v>
      </c>
      <c r="E340" s="314">
        <v>96176</v>
      </c>
      <c r="F340" s="314">
        <v>9555</v>
      </c>
      <c r="G340" s="314">
        <v>273</v>
      </c>
      <c r="H340" s="314">
        <v>3687</v>
      </c>
      <c r="I340" s="314">
        <v>9921</v>
      </c>
      <c r="J340" s="314">
        <v>5351</v>
      </c>
      <c r="K340" s="314">
        <v>0</v>
      </c>
      <c r="L340" s="314">
        <v>0</v>
      </c>
      <c r="M340" s="314">
        <v>8532</v>
      </c>
      <c r="N340" s="314">
        <v>43</v>
      </c>
      <c r="O340" s="314">
        <v>14879</v>
      </c>
      <c r="P340" s="314">
        <v>363</v>
      </c>
      <c r="Q340" s="314">
        <v>1690</v>
      </c>
      <c r="R340" s="314">
        <v>0</v>
      </c>
      <c r="S340" s="314">
        <v>0</v>
      </c>
      <c r="T340" s="314">
        <v>0</v>
      </c>
      <c r="U340" s="314">
        <v>0</v>
      </c>
      <c r="V340" s="314">
        <v>725</v>
      </c>
      <c r="W340" s="314">
        <v>9412</v>
      </c>
      <c r="X340" s="314">
        <v>894</v>
      </c>
      <c r="Y340" s="314">
        <v>1545</v>
      </c>
      <c r="Z340" s="314">
        <v>1925</v>
      </c>
      <c r="AA340" s="314">
        <v>3274</v>
      </c>
      <c r="AB340" s="314">
        <v>250</v>
      </c>
      <c r="AC340" s="314">
        <v>5478</v>
      </c>
      <c r="AD340" s="314">
        <v>661</v>
      </c>
      <c r="AE340" s="314">
        <v>10167</v>
      </c>
      <c r="AF340" s="314">
        <v>1003</v>
      </c>
      <c r="AG340" s="314">
        <v>66795</v>
      </c>
      <c r="AH340" s="314">
        <v>850</v>
      </c>
      <c r="AI340" s="314">
        <v>0</v>
      </c>
      <c r="AJ340" s="314">
        <v>21723</v>
      </c>
      <c r="AK340" s="314">
        <v>1651</v>
      </c>
      <c r="AL340" s="314">
        <v>0</v>
      </c>
      <c r="AM340" s="314">
        <v>0</v>
      </c>
      <c r="AN340" s="314">
        <v>0</v>
      </c>
      <c r="AO340" s="314">
        <v>564</v>
      </c>
      <c r="AP340" s="314">
        <v>0</v>
      </c>
    </row>
    <row r="341" spans="1:42">
      <c r="A341" s="547">
        <f t="shared" si="5"/>
        <v>2014</v>
      </c>
      <c r="B341" s="578">
        <v>41729</v>
      </c>
      <c r="C341" s="314">
        <v>38950</v>
      </c>
      <c r="D341" s="314">
        <v>48157</v>
      </c>
      <c r="E341" s="314">
        <v>89730</v>
      </c>
      <c r="F341" s="314">
        <v>14767</v>
      </c>
      <c r="G341" s="314">
        <v>28650</v>
      </c>
      <c r="H341" s="314">
        <v>150</v>
      </c>
      <c r="I341" s="314">
        <v>926</v>
      </c>
      <c r="J341" s="314">
        <v>2580</v>
      </c>
      <c r="K341" s="314">
        <v>790</v>
      </c>
      <c r="L341" s="314">
        <v>339</v>
      </c>
      <c r="M341" s="314">
        <v>26201</v>
      </c>
      <c r="N341" s="314">
        <v>0</v>
      </c>
      <c r="O341" s="314">
        <v>0</v>
      </c>
      <c r="P341" s="314">
        <v>0</v>
      </c>
      <c r="Q341" s="314">
        <v>547</v>
      </c>
      <c r="R341" s="314">
        <v>0</v>
      </c>
      <c r="S341" s="314">
        <v>0</v>
      </c>
      <c r="T341" s="314">
        <v>451</v>
      </c>
      <c r="U341" s="314">
        <v>0</v>
      </c>
      <c r="V341" s="314">
        <v>0</v>
      </c>
      <c r="W341" s="314">
        <v>0</v>
      </c>
      <c r="X341" s="314">
        <v>735</v>
      </c>
      <c r="Y341" s="314">
        <v>8591</v>
      </c>
      <c r="Z341" s="314">
        <v>0</v>
      </c>
      <c r="AA341" s="314">
        <v>1127</v>
      </c>
      <c r="AB341" s="314">
        <v>17080</v>
      </c>
      <c r="AC341" s="314">
        <v>1179</v>
      </c>
      <c r="AD341" s="314">
        <v>2117</v>
      </c>
      <c r="AE341" s="314">
        <v>8383</v>
      </c>
      <c r="AF341" s="314">
        <v>29402</v>
      </c>
      <c r="AG341" s="314">
        <v>47791</v>
      </c>
      <c r="AH341" s="314">
        <v>10070</v>
      </c>
      <c r="AI341" s="314">
        <v>0</v>
      </c>
      <c r="AJ341" s="314">
        <v>0</v>
      </c>
      <c r="AK341" s="314">
        <v>0</v>
      </c>
      <c r="AL341" s="314">
        <v>0</v>
      </c>
      <c r="AM341" s="314">
        <v>0</v>
      </c>
      <c r="AN341" s="314">
        <v>0</v>
      </c>
      <c r="AO341" s="314">
        <v>4495</v>
      </c>
      <c r="AP341" s="314">
        <v>0</v>
      </c>
    </row>
    <row r="342" spans="1:42">
      <c r="A342" s="547">
        <f t="shared" si="5"/>
        <v>2014</v>
      </c>
      <c r="B342" s="578">
        <v>41759</v>
      </c>
      <c r="C342" s="314">
        <v>19339</v>
      </c>
      <c r="D342" s="314">
        <v>35334</v>
      </c>
      <c r="E342" s="314">
        <v>172846</v>
      </c>
      <c r="F342" s="314">
        <v>10514</v>
      </c>
      <c r="G342" s="314">
        <v>1399</v>
      </c>
      <c r="H342" s="314">
        <v>740</v>
      </c>
      <c r="I342" s="314">
        <v>5761</v>
      </c>
      <c r="J342" s="314">
        <v>2728</v>
      </c>
      <c r="K342" s="314">
        <v>0</v>
      </c>
      <c r="L342" s="314">
        <v>7471</v>
      </c>
      <c r="M342" s="314">
        <v>38828</v>
      </c>
      <c r="N342" s="314">
        <v>0</v>
      </c>
      <c r="O342" s="314">
        <v>0</v>
      </c>
      <c r="P342" s="314">
        <v>0</v>
      </c>
      <c r="Q342" s="314">
        <v>272</v>
      </c>
      <c r="R342" s="314">
        <v>0</v>
      </c>
      <c r="S342" s="314">
        <v>0</v>
      </c>
      <c r="T342" s="314">
        <v>0</v>
      </c>
      <c r="U342" s="314">
        <v>0</v>
      </c>
      <c r="V342" s="314">
        <v>0</v>
      </c>
      <c r="W342" s="314">
        <v>1673</v>
      </c>
      <c r="X342" s="314">
        <v>3328</v>
      </c>
      <c r="Y342" s="314">
        <v>12488</v>
      </c>
      <c r="Z342" s="314">
        <v>108</v>
      </c>
      <c r="AA342" s="314">
        <v>0</v>
      </c>
      <c r="AB342" s="314">
        <v>950</v>
      </c>
      <c r="AC342" s="314">
        <v>0</v>
      </c>
      <c r="AD342" s="314">
        <v>0</v>
      </c>
      <c r="AE342" s="314">
        <v>16267</v>
      </c>
      <c r="AF342" s="314">
        <v>22845</v>
      </c>
      <c r="AG342" s="314">
        <v>112834</v>
      </c>
      <c r="AH342" s="314">
        <v>3962</v>
      </c>
      <c r="AI342" s="314">
        <v>0</v>
      </c>
      <c r="AJ342" s="314">
        <v>0</v>
      </c>
      <c r="AK342" s="314">
        <v>2663</v>
      </c>
      <c r="AL342" s="314">
        <v>3716</v>
      </c>
      <c r="AM342" s="314">
        <v>0</v>
      </c>
      <c r="AN342" s="314">
        <v>0</v>
      </c>
      <c r="AO342" s="314">
        <v>0</v>
      </c>
      <c r="AP342" s="314">
        <v>0</v>
      </c>
    </row>
    <row r="343" spans="1:42">
      <c r="A343" s="547">
        <f t="shared" si="5"/>
        <v>2014</v>
      </c>
      <c r="B343" s="578">
        <v>41790</v>
      </c>
      <c r="C343" s="314">
        <v>17214</v>
      </c>
      <c r="D343" s="314">
        <v>20422</v>
      </c>
      <c r="E343" s="314">
        <v>74776</v>
      </c>
      <c r="F343" s="314">
        <v>15667</v>
      </c>
      <c r="G343" s="314">
        <v>0</v>
      </c>
      <c r="H343" s="314">
        <v>0</v>
      </c>
      <c r="I343" s="314">
        <v>3418</v>
      </c>
      <c r="J343" s="314">
        <v>54</v>
      </c>
      <c r="K343" s="314">
        <v>1992</v>
      </c>
      <c r="L343" s="314">
        <v>562</v>
      </c>
      <c r="M343" s="314">
        <v>2441</v>
      </c>
      <c r="N343" s="314">
        <v>5472</v>
      </c>
      <c r="O343" s="314">
        <v>0</v>
      </c>
      <c r="P343" s="314">
        <v>0</v>
      </c>
      <c r="Q343" s="314">
        <v>2774</v>
      </c>
      <c r="R343" s="314">
        <v>242</v>
      </c>
      <c r="S343" s="314">
        <v>0</v>
      </c>
      <c r="T343" s="314">
        <v>0</v>
      </c>
      <c r="U343" s="314">
        <v>0</v>
      </c>
      <c r="V343" s="314">
        <v>0</v>
      </c>
      <c r="W343" s="314">
        <v>13861</v>
      </c>
      <c r="X343" s="314">
        <v>915</v>
      </c>
      <c r="Y343" s="314">
        <v>879</v>
      </c>
      <c r="Z343" s="314">
        <v>1456</v>
      </c>
      <c r="AA343" s="314">
        <v>0</v>
      </c>
      <c r="AB343" s="314">
        <v>0</v>
      </c>
      <c r="AC343" s="314">
        <v>0</v>
      </c>
      <c r="AD343" s="314">
        <v>0</v>
      </c>
      <c r="AE343" s="314">
        <v>1361</v>
      </c>
      <c r="AF343" s="314">
        <v>18945</v>
      </c>
      <c r="AG343" s="314">
        <v>59279</v>
      </c>
      <c r="AH343" s="314">
        <v>0</v>
      </c>
      <c r="AI343" s="314">
        <v>0</v>
      </c>
      <c r="AJ343" s="314">
        <v>0</v>
      </c>
      <c r="AK343" s="314">
        <v>5985</v>
      </c>
      <c r="AL343" s="314">
        <v>8443</v>
      </c>
      <c r="AM343" s="314">
        <v>0</v>
      </c>
      <c r="AN343" s="314">
        <v>0</v>
      </c>
      <c r="AO343" s="314">
        <v>0</v>
      </c>
      <c r="AP343" s="314">
        <v>0</v>
      </c>
    </row>
    <row r="344" spans="1:42">
      <c r="A344" s="547">
        <f t="shared" si="5"/>
        <v>2014</v>
      </c>
      <c r="B344" s="578">
        <v>41820</v>
      </c>
      <c r="C344" s="314">
        <v>13137</v>
      </c>
      <c r="D344" s="314">
        <v>50950</v>
      </c>
      <c r="E344" s="314">
        <v>44534</v>
      </c>
      <c r="F344" s="314">
        <v>24998</v>
      </c>
      <c r="G344" s="314">
        <v>0</v>
      </c>
      <c r="H344" s="314">
        <v>0</v>
      </c>
      <c r="I344" s="314">
        <v>6563</v>
      </c>
      <c r="J344" s="314">
        <v>20632</v>
      </c>
      <c r="K344" s="314">
        <v>0</v>
      </c>
      <c r="L344" s="314">
        <v>0</v>
      </c>
      <c r="M344" s="314">
        <v>4871</v>
      </c>
      <c r="N344" s="314">
        <v>370</v>
      </c>
      <c r="O344" s="314">
        <v>0</v>
      </c>
      <c r="P344" s="314">
        <v>210</v>
      </c>
      <c r="Q344" s="314">
        <v>0</v>
      </c>
      <c r="R344" s="314">
        <v>0</v>
      </c>
      <c r="S344" s="314">
        <v>0</v>
      </c>
      <c r="T344" s="314">
        <v>0</v>
      </c>
      <c r="U344" s="314">
        <v>0</v>
      </c>
      <c r="V344" s="314">
        <v>0</v>
      </c>
      <c r="W344" s="314">
        <v>3610</v>
      </c>
      <c r="X344" s="314">
        <v>9962</v>
      </c>
      <c r="Y344" s="314">
        <v>2515</v>
      </c>
      <c r="Z344" s="314">
        <v>636</v>
      </c>
      <c r="AA344" s="314">
        <v>1086</v>
      </c>
      <c r="AB344" s="314">
        <v>0</v>
      </c>
      <c r="AC344" s="314">
        <v>3565</v>
      </c>
      <c r="AD344" s="314">
        <v>976</v>
      </c>
      <c r="AE344" s="314">
        <v>5073</v>
      </c>
      <c r="AF344" s="314">
        <v>38882</v>
      </c>
      <c r="AG344" s="314">
        <v>13927</v>
      </c>
      <c r="AH344" s="314">
        <v>1151</v>
      </c>
      <c r="AI344" s="314">
        <v>3368</v>
      </c>
      <c r="AJ344" s="314">
        <v>0</v>
      </c>
      <c r="AK344" s="314">
        <v>12219</v>
      </c>
      <c r="AL344" s="314">
        <v>1233</v>
      </c>
      <c r="AM344" s="314">
        <v>0</v>
      </c>
      <c r="AN344" s="314">
        <v>1896</v>
      </c>
      <c r="AO344" s="314">
        <v>874</v>
      </c>
      <c r="AP344" s="314">
        <v>0</v>
      </c>
    </row>
    <row r="345" spans="1:42">
      <c r="A345" s="547">
        <f t="shared" si="5"/>
        <v>2014</v>
      </c>
      <c r="B345" s="578">
        <v>41851</v>
      </c>
      <c r="C345" s="314">
        <v>113658</v>
      </c>
      <c r="D345" s="314">
        <v>33013</v>
      </c>
      <c r="E345" s="314">
        <v>93973</v>
      </c>
      <c r="F345" s="314">
        <v>10260</v>
      </c>
      <c r="G345" s="314">
        <v>2752</v>
      </c>
      <c r="H345" s="314">
        <v>2174</v>
      </c>
      <c r="I345" s="314">
        <v>6181</v>
      </c>
      <c r="J345" s="314">
        <v>0</v>
      </c>
      <c r="K345" s="314">
        <v>1294</v>
      </c>
      <c r="L345" s="314">
        <v>8652</v>
      </c>
      <c r="M345" s="314">
        <v>0</v>
      </c>
      <c r="N345" s="314">
        <v>0</v>
      </c>
      <c r="O345" s="314">
        <v>0</v>
      </c>
      <c r="P345" s="314">
        <v>809</v>
      </c>
      <c r="Q345" s="314">
        <v>757</v>
      </c>
      <c r="R345" s="314">
        <v>0</v>
      </c>
      <c r="S345" s="314">
        <v>895</v>
      </c>
      <c r="T345" s="314">
        <v>600</v>
      </c>
      <c r="U345" s="314">
        <v>0</v>
      </c>
      <c r="V345" s="314">
        <v>365</v>
      </c>
      <c r="W345" s="314">
        <v>0</v>
      </c>
      <c r="X345" s="314">
        <v>694</v>
      </c>
      <c r="Y345" s="314">
        <v>10730</v>
      </c>
      <c r="Z345" s="314">
        <v>662</v>
      </c>
      <c r="AA345" s="314">
        <v>1749</v>
      </c>
      <c r="AB345" s="314">
        <v>0</v>
      </c>
      <c r="AC345" s="314">
        <v>4122</v>
      </c>
      <c r="AD345" s="314">
        <v>760</v>
      </c>
      <c r="AE345" s="314">
        <v>106483</v>
      </c>
      <c r="AF345" s="314">
        <v>13897</v>
      </c>
      <c r="AG345" s="314">
        <v>68807</v>
      </c>
      <c r="AH345" s="314">
        <v>8473</v>
      </c>
      <c r="AI345" s="314">
        <v>485</v>
      </c>
      <c r="AJ345" s="314">
        <v>0</v>
      </c>
      <c r="AK345" s="314">
        <v>3376</v>
      </c>
      <c r="AL345" s="314">
        <v>0</v>
      </c>
      <c r="AM345" s="314">
        <v>0</v>
      </c>
      <c r="AN345" s="314">
        <v>6187</v>
      </c>
      <c r="AO345" s="314">
        <v>0</v>
      </c>
      <c r="AP345" s="314">
        <v>0</v>
      </c>
    </row>
    <row r="346" spans="1:42">
      <c r="A346" s="547">
        <f t="shared" si="5"/>
        <v>2014</v>
      </c>
      <c r="B346" s="578">
        <v>41882</v>
      </c>
      <c r="C346" s="314">
        <v>39252</v>
      </c>
      <c r="D346" s="314">
        <v>55952</v>
      </c>
      <c r="E346" s="314">
        <v>35112</v>
      </c>
      <c r="F346" s="314">
        <v>7506</v>
      </c>
      <c r="G346" s="314">
        <v>4697</v>
      </c>
      <c r="H346" s="314">
        <v>202</v>
      </c>
      <c r="I346" s="314">
        <v>6536</v>
      </c>
      <c r="J346" s="314">
        <v>320</v>
      </c>
      <c r="K346" s="314">
        <v>370</v>
      </c>
      <c r="L346" s="314">
        <v>2250</v>
      </c>
      <c r="M346" s="314">
        <v>798</v>
      </c>
      <c r="N346" s="314">
        <v>0</v>
      </c>
      <c r="O346" s="314">
        <v>0</v>
      </c>
      <c r="P346" s="314">
        <v>0</v>
      </c>
      <c r="Q346" s="314">
        <v>0</v>
      </c>
      <c r="R346" s="314">
        <v>0</v>
      </c>
      <c r="S346" s="314">
        <v>0</v>
      </c>
      <c r="T346" s="314">
        <v>415</v>
      </c>
      <c r="U346" s="314">
        <v>0</v>
      </c>
      <c r="V346" s="314">
        <v>0</v>
      </c>
      <c r="W346" s="314">
        <v>3264</v>
      </c>
      <c r="X346" s="314">
        <v>2735</v>
      </c>
      <c r="Y346" s="314">
        <v>7880</v>
      </c>
      <c r="Z346" s="314">
        <v>740</v>
      </c>
      <c r="AA346" s="314">
        <v>0</v>
      </c>
      <c r="AB346" s="314">
        <v>0</v>
      </c>
      <c r="AC346" s="314">
        <v>994</v>
      </c>
      <c r="AD346" s="314">
        <v>0</v>
      </c>
      <c r="AE346" s="314">
        <v>30921</v>
      </c>
      <c r="AF346" s="314">
        <v>47482</v>
      </c>
      <c r="AG346" s="314">
        <v>9069</v>
      </c>
      <c r="AH346" s="314">
        <v>6368</v>
      </c>
      <c r="AI346" s="314">
        <v>0</v>
      </c>
      <c r="AJ346" s="314">
        <v>0</v>
      </c>
      <c r="AK346" s="314">
        <v>9835</v>
      </c>
      <c r="AL346" s="314">
        <v>0</v>
      </c>
      <c r="AM346" s="314">
        <v>0</v>
      </c>
      <c r="AN346" s="314">
        <v>2868</v>
      </c>
      <c r="AO346" s="314">
        <v>0</v>
      </c>
      <c r="AP346" s="314">
        <v>78</v>
      </c>
    </row>
    <row r="347" spans="1:42">
      <c r="A347" s="547">
        <f t="shared" si="5"/>
        <v>2014</v>
      </c>
      <c r="B347" s="578">
        <v>41912</v>
      </c>
      <c r="C347" s="314">
        <v>62335</v>
      </c>
      <c r="D347" s="314">
        <v>39968</v>
      </c>
      <c r="E347" s="314">
        <v>61964</v>
      </c>
      <c r="F347" s="314">
        <v>8101</v>
      </c>
      <c r="G347" s="314">
        <v>28262</v>
      </c>
      <c r="H347" s="314">
        <v>5425</v>
      </c>
      <c r="I347" s="314">
        <v>12390</v>
      </c>
      <c r="J347" s="314">
        <v>5044</v>
      </c>
      <c r="K347" s="314">
        <v>0</v>
      </c>
      <c r="L347" s="314">
        <v>10269</v>
      </c>
      <c r="M347" s="314">
        <v>6570</v>
      </c>
      <c r="N347" s="314">
        <v>49</v>
      </c>
      <c r="O347" s="314">
        <v>0</v>
      </c>
      <c r="P347" s="314">
        <v>1016</v>
      </c>
      <c r="Q347" s="314">
        <v>2975</v>
      </c>
      <c r="R347" s="314">
        <v>0</v>
      </c>
      <c r="S347" s="314">
        <v>0</v>
      </c>
      <c r="T347" s="314">
        <v>0</v>
      </c>
      <c r="U347" s="314">
        <v>0</v>
      </c>
      <c r="V347" s="314">
        <v>0</v>
      </c>
      <c r="W347" s="314">
        <v>24884</v>
      </c>
      <c r="X347" s="314">
        <v>0</v>
      </c>
      <c r="Y347" s="314">
        <v>7487</v>
      </c>
      <c r="Z347" s="314">
        <v>0</v>
      </c>
      <c r="AA347" s="314">
        <v>0</v>
      </c>
      <c r="AB347" s="314">
        <v>15065</v>
      </c>
      <c r="AC347" s="314">
        <v>0</v>
      </c>
      <c r="AD347" s="314">
        <v>0</v>
      </c>
      <c r="AE347" s="314">
        <v>7679</v>
      </c>
      <c r="AF347" s="314">
        <v>7872</v>
      </c>
      <c r="AG347" s="314">
        <v>32353</v>
      </c>
      <c r="AH347" s="314">
        <v>3008</v>
      </c>
      <c r="AI347" s="314">
        <v>1510</v>
      </c>
      <c r="AJ347" s="314">
        <v>321</v>
      </c>
      <c r="AK347" s="314">
        <v>189</v>
      </c>
      <c r="AL347" s="314">
        <v>0</v>
      </c>
      <c r="AM347" s="314">
        <v>0</v>
      </c>
      <c r="AN347" s="314">
        <v>0</v>
      </c>
      <c r="AO347" s="314">
        <v>0</v>
      </c>
      <c r="AP347" s="314">
        <v>0</v>
      </c>
    </row>
    <row r="348" spans="1:42">
      <c r="A348" s="547">
        <f t="shared" si="5"/>
        <v>2014</v>
      </c>
      <c r="B348" s="578">
        <v>41943</v>
      </c>
      <c r="C348" s="314">
        <v>33098</v>
      </c>
      <c r="D348" s="314">
        <v>97500</v>
      </c>
      <c r="E348" s="314">
        <v>65587</v>
      </c>
      <c r="F348" s="314">
        <v>39011</v>
      </c>
      <c r="G348" s="314">
        <v>1463</v>
      </c>
      <c r="H348" s="314">
        <v>1575</v>
      </c>
      <c r="I348" s="314">
        <v>22415</v>
      </c>
      <c r="J348" s="314">
        <v>1022</v>
      </c>
      <c r="K348" s="314">
        <v>6367</v>
      </c>
      <c r="L348" s="314">
        <v>8983</v>
      </c>
      <c r="M348" s="314">
        <v>0</v>
      </c>
      <c r="N348" s="314">
        <v>1105</v>
      </c>
      <c r="O348" s="314">
        <v>0</v>
      </c>
      <c r="P348" s="314">
        <v>0</v>
      </c>
      <c r="Q348" s="314">
        <v>704</v>
      </c>
      <c r="R348" s="314">
        <v>0</v>
      </c>
      <c r="S348" s="314">
        <v>0</v>
      </c>
      <c r="T348" s="314">
        <v>216</v>
      </c>
      <c r="U348" s="314">
        <v>0</v>
      </c>
      <c r="V348" s="314">
        <v>162</v>
      </c>
      <c r="W348" s="314">
        <v>0</v>
      </c>
      <c r="X348" s="314">
        <v>934</v>
      </c>
      <c r="Y348" s="314">
        <v>6238</v>
      </c>
      <c r="Z348" s="314">
        <v>33830</v>
      </c>
      <c r="AA348" s="314">
        <v>338</v>
      </c>
      <c r="AB348" s="314">
        <v>9245</v>
      </c>
      <c r="AC348" s="314">
        <v>0</v>
      </c>
      <c r="AD348" s="314">
        <v>85</v>
      </c>
      <c r="AE348" s="314">
        <v>22538</v>
      </c>
      <c r="AF348" s="314">
        <v>76547</v>
      </c>
      <c r="AG348" s="314">
        <v>33083</v>
      </c>
      <c r="AH348" s="314">
        <v>2807</v>
      </c>
      <c r="AI348" s="314">
        <v>0</v>
      </c>
      <c r="AJ348" s="314">
        <v>0</v>
      </c>
      <c r="AK348" s="314">
        <v>3147</v>
      </c>
      <c r="AL348" s="314">
        <v>0</v>
      </c>
      <c r="AM348" s="314">
        <v>2392</v>
      </c>
      <c r="AN348" s="314">
        <v>0</v>
      </c>
      <c r="AO348" s="314">
        <v>0</v>
      </c>
      <c r="AP348" s="314">
        <v>0</v>
      </c>
    </row>
    <row r="349" spans="1:42">
      <c r="A349" s="547">
        <f t="shared" si="5"/>
        <v>2014</v>
      </c>
      <c r="B349" s="578">
        <v>41973</v>
      </c>
      <c r="C349" s="314">
        <v>162318</v>
      </c>
      <c r="D349" s="314">
        <v>129493</v>
      </c>
      <c r="E349" s="314">
        <v>53196</v>
      </c>
      <c r="F349" s="314">
        <v>8978</v>
      </c>
      <c r="G349" s="314">
        <v>38780</v>
      </c>
      <c r="H349" s="314">
        <v>6880</v>
      </c>
      <c r="I349" s="314">
        <v>3510</v>
      </c>
      <c r="J349" s="314">
        <v>3435</v>
      </c>
      <c r="K349" s="314">
        <v>1011</v>
      </c>
      <c r="L349" s="314">
        <v>0</v>
      </c>
      <c r="M349" s="314">
        <v>0</v>
      </c>
      <c r="N349" s="314">
        <v>943</v>
      </c>
      <c r="O349" s="314">
        <v>0</v>
      </c>
      <c r="P349" s="314">
        <v>0</v>
      </c>
      <c r="Q349" s="314">
        <v>556</v>
      </c>
      <c r="R349" s="314">
        <v>0</v>
      </c>
      <c r="S349" s="314">
        <v>0</v>
      </c>
      <c r="T349" s="314">
        <v>0</v>
      </c>
      <c r="U349" s="314">
        <v>0</v>
      </c>
      <c r="V349" s="314">
        <v>0</v>
      </c>
      <c r="W349" s="314">
        <v>0</v>
      </c>
      <c r="X349" s="314">
        <v>291</v>
      </c>
      <c r="Y349" s="314">
        <v>3365</v>
      </c>
      <c r="Z349" s="314">
        <v>473</v>
      </c>
      <c r="AA349" s="314">
        <v>936</v>
      </c>
      <c r="AB349" s="314">
        <v>109003</v>
      </c>
      <c r="AC349" s="314">
        <v>0</v>
      </c>
      <c r="AD349" s="314">
        <v>0</v>
      </c>
      <c r="AE349" s="314">
        <v>121451</v>
      </c>
      <c r="AF349" s="314">
        <v>13053</v>
      </c>
      <c r="AG349" s="314">
        <v>36107</v>
      </c>
      <c r="AH349" s="314">
        <v>4127</v>
      </c>
      <c r="AI349" s="314">
        <v>0</v>
      </c>
      <c r="AJ349" s="314">
        <v>266</v>
      </c>
      <c r="AK349" s="314">
        <v>9658</v>
      </c>
      <c r="AL349" s="314">
        <v>0</v>
      </c>
      <c r="AM349" s="314">
        <v>140</v>
      </c>
      <c r="AN349" s="314">
        <v>0</v>
      </c>
      <c r="AO349" s="314">
        <v>0</v>
      </c>
      <c r="AP349" s="314">
        <v>0</v>
      </c>
    </row>
    <row r="350" spans="1:42">
      <c r="A350" s="547">
        <f t="shared" si="5"/>
        <v>2014</v>
      </c>
      <c r="B350" s="578">
        <v>42004</v>
      </c>
      <c r="C350" s="314">
        <v>54677</v>
      </c>
      <c r="D350" s="314">
        <v>23271</v>
      </c>
      <c r="E350" s="314">
        <v>223017</v>
      </c>
      <c r="F350" s="314">
        <v>27111</v>
      </c>
      <c r="G350" s="314">
        <v>17750</v>
      </c>
      <c r="H350" s="314">
        <v>2626</v>
      </c>
      <c r="I350" s="314">
        <v>104204</v>
      </c>
      <c r="J350" s="314">
        <v>16163</v>
      </c>
      <c r="K350" s="314">
        <v>0</v>
      </c>
      <c r="L350" s="314">
        <v>933</v>
      </c>
      <c r="M350" s="314">
        <v>634</v>
      </c>
      <c r="N350" s="314">
        <v>232</v>
      </c>
      <c r="O350" s="314">
        <v>3250</v>
      </c>
      <c r="P350" s="314">
        <v>513</v>
      </c>
      <c r="Q350" s="314">
        <v>0</v>
      </c>
      <c r="R350" s="314">
        <v>0</v>
      </c>
      <c r="S350" s="314">
        <v>0</v>
      </c>
      <c r="T350" s="314">
        <v>202</v>
      </c>
      <c r="U350" s="314">
        <v>0</v>
      </c>
      <c r="V350" s="314">
        <v>190</v>
      </c>
      <c r="W350" s="314">
        <v>0</v>
      </c>
      <c r="X350" s="314">
        <v>648</v>
      </c>
      <c r="Y350" s="314">
        <v>85802</v>
      </c>
      <c r="Z350" s="314">
        <v>10297</v>
      </c>
      <c r="AA350" s="314">
        <v>0</v>
      </c>
      <c r="AB350" s="314">
        <v>0</v>
      </c>
      <c r="AC350" s="314">
        <v>0</v>
      </c>
      <c r="AD350" s="314">
        <v>0</v>
      </c>
      <c r="AE350" s="314">
        <v>29692</v>
      </c>
      <c r="AF350" s="314">
        <v>17483</v>
      </c>
      <c r="AG350" s="314">
        <v>32377</v>
      </c>
      <c r="AH350" s="314">
        <v>229</v>
      </c>
      <c r="AI350" s="314">
        <v>2750</v>
      </c>
      <c r="AJ350" s="314">
        <v>0</v>
      </c>
      <c r="AK350" s="314">
        <v>0</v>
      </c>
      <c r="AL350" s="314">
        <v>0</v>
      </c>
      <c r="AM350" s="314">
        <v>1235</v>
      </c>
      <c r="AN350" s="314">
        <v>866</v>
      </c>
      <c r="AO350" s="314">
        <v>0</v>
      </c>
      <c r="AP350" s="314">
        <v>0</v>
      </c>
    </row>
    <row r="351" spans="1:42">
      <c r="A351" s="547">
        <f t="shared" si="5"/>
        <v>2015</v>
      </c>
      <c r="B351" s="578">
        <v>42035</v>
      </c>
      <c r="C351" s="314">
        <v>43025</v>
      </c>
      <c r="D351" s="314">
        <v>19658</v>
      </c>
      <c r="E351" s="314">
        <v>47401</v>
      </c>
      <c r="F351" s="314">
        <v>9633</v>
      </c>
      <c r="G351" s="314">
        <v>165</v>
      </c>
      <c r="H351" s="314">
        <v>8891</v>
      </c>
      <c r="I351" s="314">
        <v>4475</v>
      </c>
      <c r="J351" s="314">
        <v>0</v>
      </c>
      <c r="K351" s="314">
        <v>0</v>
      </c>
      <c r="L351" s="314">
        <v>730</v>
      </c>
      <c r="M351" s="314">
        <v>206</v>
      </c>
      <c r="N351" s="314">
        <v>611</v>
      </c>
      <c r="O351" s="314">
        <v>0</v>
      </c>
      <c r="P351" s="314">
        <v>0</v>
      </c>
      <c r="Q351" s="314">
        <v>495</v>
      </c>
      <c r="R351" s="314">
        <v>0</v>
      </c>
      <c r="S351" s="314">
        <v>0</v>
      </c>
      <c r="T351" s="314">
        <v>0</v>
      </c>
      <c r="U351" s="314">
        <v>0</v>
      </c>
      <c r="V351" s="314">
        <v>0</v>
      </c>
      <c r="W351" s="314">
        <v>1070</v>
      </c>
      <c r="X351" s="314">
        <v>4895</v>
      </c>
      <c r="Y351" s="314">
        <v>1939</v>
      </c>
      <c r="Z351" s="314">
        <v>225</v>
      </c>
      <c r="AA351" s="314">
        <v>1687</v>
      </c>
      <c r="AB351" s="314">
        <v>0</v>
      </c>
      <c r="AC351" s="314">
        <v>12067</v>
      </c>
      <c r="AD351" s="314">
        <v>0</v>
      </c>
      <c r="AE351" s="314">
        <v>40103</v>
      </c>
      <c r="AF351" s="314">
        <v>0</v>
      </c>
      <c r="AG351" s="314">
        <v>28219</v>
      </c>
      <c r="AH351" s="314">
        <v>8797</v>
      </c>
      <c r="AI351" s="314">
        <v>0</v>
      </c>
      <c r="AJ351" s="314">
        <v>5142</v>
      </c>
      <c r="AK351" s="314">
        <v>0</v>
      </c>
      <c r="AL351" s="314">
        <v>0</v>
      </c>
      <c r="AM351" s="314">
        <v>0</v>
      </c>
      <c r="AN351" s="314">
        <v>0</v>
      </c>
      <c r="AO351" s="314">
        <v>0</v>
      </c>
      <c r="AP351" s="314">
        <v>0</v>
      </c>
    </row>
    <row r="352" spans="1:42">
      <c r="A352" s="547">
        <f t="shared" si="5"/>
        <v>2015</v>
      </c>
      <c r="B352" s="578">
        <v>42063</v>
      </c>
      <c r="C352" s="314">
        <v>37525</v>
      </c>
      <c r="D352" s="314">
        <v>19366</v>
      </c>
      <c r="E352" s="314">
        <v>109256</v>
      </c>
      <c r="F352" s="314">
        <v>6423</v>
      </c>
      <c r="G352" s="314">
        <v>1283</v>
      </c>
      <c r="H352" s="314">
        <v>8941</v>
      </c>
      <c r="I352" s="314">
        <v>21863</v>
      </c>
      <c r="J352" s="314">
        <v>2232</v>
      </c>
      <c r="K352" s="314">
        <v>0</v>
      </c>
      <c r="L352" s="314">
        <v>0</v>
      </c>
      <c r="M352" s="314">
        <v>27254</v>
      </c>
      <c r="N352" s="314">
        <v>0</v>
      </c>
      <c r="O352" s="314">
        <v>0</v>
      </c>
      <c r="P352" s="314">
        <v>0</v>
      </c>
      <c r="Q352" s="314">
        <v>420</v>
      </c>
      <c r="R352" s="314">
        <v>0</v>
      </c>
      <c r="S352" s="314">
        <v>0</v>
      </c>
      <c r="T352" s="314">
        <v>0</v>
      </c>
      <c r="U352" s="314">
        <v>0</v>
      </c>
      <c r="V352" s="314">
        <v>103</v>
      </c>
      <c r="W352" s="314">
        <v>0</v>
      </c>
      <c r="X352" s="314">
        <v>158</v>
      </c>
      <c r="Y352" s="314">
        <v>16830</v>
      </c>
      <c r="Z352" s="314">
        <v>3752</v>
      </c>
      <c r="AA352" s="314">
        <v>642</v>
      </c>
      <c r="AB352" s="314">
        <v>3837</v>
      </c>
      <c r="AC352" s="314">
        <v>1190</v>
      </c>
      <c r="AD352" s="314">
        <v>0</v>
      </c>
      <c r="AE352" s="314">
        <v>34280</v>
      </c>
      <c r="AF352" s="314">
        <v>6430</v>
      </c>
      <c r="AG352" s="314">
        <v>33442</v>
      </c>
      <c r="AH352" s="314">
        <v>101</v>
      </c>
      <c r="AI352" s="314">
        <v>1320</v>
      </c>
      <c r="AJ352" s="314">
        <v>0</v>
      </c>
      <c r="AK352" s="314">
        <v>4151</v>
      </c>
      <c r="AL352" s="314">
        <v>235</v>
      </c>
      <c r="AM352" s="314">
        <v>0</v>
      </c>
      <c r="AN352" s="314">
        <v>0</v>
      </c>
      <c r="AO352" s="314">
        <v>4106</v>
      </c>
      <c r="AP352" s="314">
        <v>0</v>
      </c>
    </row>
    <row r="353" spans="1:42">
      <c r="A353" s="547">
        <f t="shared" si="5"/>
        <v>2015</v>
      </c>
      <c r="B353" s="578">
        <v>42094</v>
      </c>
      <c r="C353" s="314">
        <v>28945</v>
      </c>
      <c r="D353" s="314">
        <v>58569</v>
      </c>
      <c r="E353" s="314">
        <v>31195</v>
      </c>
      <c r="F353" s="314">
        <v>17186</v>
      </c>
      <c r="G353" s="314">
        <v>14603</v>
      </c>
      <c r="H353" s="314">
        <v>284</v>
      </c>
      <c r="I353" s="314">
        <v>6109</v>
      </c>
      <c r="J353" s="314">
        <v>3736</v>
      </c>
      <c r="K353" s="314">
        <v>0</v>
      </c>
      <c r="L353" s="314">
        <v>252</v>
      </c>
      <c r="M353" s="314">
        <v>768</v>
      </c>
      <c r="N353" s="314">
        <v>3677</v>
      </c>
      <c r="O353" s="314">
        <v>0</v>
      </c>
      <c r="P353" s="314">
        <v>0</v>
      </c>
      <c r="Q353" s="314">
        <v>0</v>
      </c>
      <c r="R353" s="314">
        <v>0</v>
      </c>
      <c r="S353" s="314">
        <v>935</v>
      </c>
      <c r="T353" s="314">
        <v>4149</v>
      </c>
      <c r="U353" s="314">
        <v>0</v>
      </c>
      <c r="V353" s="314">
        <v>0</v>
      </c>
      <c r="W353" s="314">
        <v>930</v>
      </c>
      <c r="X353" s="314">
        <v>29660</v>
      </c>
      <c r="Y353" s="314">
        <v>3646</v>
      </c>
      <c r="Z353" s="314">
        <v>3068</v>
      </c>
      <c r="AA353" s="314">
        <v>2594</v>
      </c>
      <c r="AB353" s="314">
        <v>22929</v>
      </c>
      <c r="AC353" s="314">
        <v>0</v>
      </c>
      <c r="AD353" s="314">
        <v>0</v>
      </c>
      <c r="AE353" s="314">
        <v>9883</v>
      </c>
      <c r="AF353" s="314">
        <v>0</v>
      </c>
      <c r="AG353" s="314">
        <v>20048</v>
      </c>
      <c r="AH353" s="314">
        <v>6421</v>
      </c>
      <c r="AI353" s="314">
        <v>0</v>
      </c>
      <c r="AJ353" s="314">
        <v>0</v>
      </c>
      <c r="AK353" s="314">
        <v>624</v>
      </c>
      <c r="AL353" s="314">
        <v>284</v>
      </c>
      <c r="AM353" s="314">
        <v>0</v>
      </c>
      <c r="AN353" s="314">
        <v>1295</v>
      </c>
      <c r="AO353" s="314">
        <v>0</v>
      </c>
      <c r="AP353" s="314">
        <v>0</v>
      </c>
    </row>
    <row r="354" spans="1:42">
      <c r="A354" s="547">
        <f t="shared" si="5"/>
        <v>2015</v>
      </c>
      <c r="B354" s="578">
        <v>42124</v>
      </c>
      <c r="C354" s="314">
        <v>32415</v>
      </c>
      <c r="D354" s="314">
        <v>6048</v>
      </c>
      <c r="E354" s="314">
        <v>55524</v>
      </c>
      <c r="F354" s="314">
        <v>30456</v>
      </c>
      <c r="G354" s="314">
        <v>5603</v>
      </c>
      <c r="H354" s="314">
        <v>1027</v>
      </c>
      <c r="I354" s="314">
        <v>6129</v>
      </c>
      <c r="J354" s="314">
        <v>13691</v>
      </c>
      <c r="K354" s="314">
        <v>0</v>
      </c>
      <c r="L354" s="314">
        <v>762</v>
      </c>
      <c r="M354" s="314">
        <v>0</v>
      </c>
      <c r="N354" s="314">
        <v>32</v>
      </c>
      <c r="O354" s="314">
        <v>0</v>
      </c>
      <c r="P354" s="314">
        <v>222</v>
      </c>
      <c r="Q354" s="314">
        <v>0</v>
      </c>
      <c r="R354" s="314">
        <v>0</v>
      </c>
      <c r="S354" s="314">
        <v>470</v>
      </c>
      <c r="T354" s="314">
        <v>621</v>
      </c>
      <c r="U354" s="314">
        <v>3807</v>
      </c>
      <c r="V354" s="314">
        <v>4158</v>
      </c>
      <c r="W354" s="314">
        <v>0</v>
      </c>
      <c r="X354" s="314">
        <v>682</v>
      </c>
      <c r="Y354" s="314">
        <v>14085</v>
      </c>
      <c r="Z354" s="314">
        <v>175</v>
      </c>
      <c r="AA354" s="314">
        <v>0</v>
      </c>
      <c r="AB354" s="314">
        <v>1613</v>
      </c>
      <c r="AC354" s="314">
        <v>0</v>
      </c>
      <c r="AD354" s="314">
        <v>4224</v>
      </c>
      <c r="AE354" s="314">
        <v>26130</v>
      </c>
      <c r="AF354" s="314">
        <v>1121</v>
      </c>
      <c r="AG354" s="314">
        <v>30690</v>
      </c>
      <c r="AH354" s="314">
        <v>7987</v>
      </c>
      <c r="AI354" s="314">
        <v>0</v>
      </c>
      <c r="AJ354" s="314">
        <v>0</v>
      </c>
      <c r="AK354" s="314">
        <v>813</v>
      </c>
      <c r="AL354" s="314">
        <v>0</v>
      </c>
      <c r="AM354" s="314">
        <v>212</v>
      </c>
      <c r="AN354" s="314">
        <v>0</v>
      </c>
      <c r="AO354" s="314">
        <v>0</v>
      </c>
      <c r="AP354" s="314">
        <v>189</v>
      </c>
    </row>
    <row r="355" spans="1:42">
      <c r="A355" s="547">
        <f t="shared" si="5"/>
        <v>2015</v>
      </c>
      <c r="B355" s="578">
        <v>42155</v>
      </c>
      <c r="C355" s="314">
        <v>47199</v>
      </c>
      <c r="D355" s="314">
        <v>25061</v>
      </c>
      <c r="E355" s="314">
        <v>81164</v>
      </c>
      <c r="F355" s="314">
        <v>5754</v>
      </c>
      <c r="G355" s="314">
        <v>10378</v>
      </c>
      <c r="H355" s="314">
        <v>614</v>
      </c>
      <c r="I355" s="314">
        <v>38643</v>
      </c>
      <c r="J355" s="314">
        <v>5264</v>
      </c>
      <c r="K355" s="314">
        <v>0</v>
      </c>
      <c r="L355" s="314">
        <v>2309</v>
      </c>
      <c r="M355" s="314">
        <v>0</v>
      </c>
      <c r="N355" s="314">
        <v>23</v>
      </c>
      <c r="O355" s="314">
        <v>269</v>
      </c>
      <c r="P355" s="314">
        <v>0</v>
      </c>
      <c r="Q355" s="314">
        <v>0</v>
      </c>
      <c r="R355" s="314">
        <v>0</v>
      </c>
      <c r="S355" s="314">
        <v>1000</v>
      </c>
      <c r="T355" s="314">
        <v>798</v>
      </c>
      <c r="U355" s="314">
        <v>0</v>
      </c>
      <c r="V355" s="314">
        <v>0</v>
      </c>
      <c r="W355" s="314">
        <v>14935</v>
      </c>
      <c r="X355" s="314">
        <v>2297</v>
      </c>
      <c r="Y355" s="314">
        <v>21480</v>
      </c>
      <c r="Z355" s="314">
        <v>139</v>
      </c>
      <c r="AA355" s="314">
        <v>667</v>
      </c>
      <c r="AB355" s="314">
        <v>1680</v>
      </c>
      <c r="AC355" s="314">
        <v>0</v>
      </c>
      <c r="AD355" s="314">
        <v>218</v>
      </c>
      <c r="AE355" s="314">
        <v>18851</v>
      </c>
      <c r="AF355" s="314">
        <v>12680</v>
      </c>
      <c r="AG355" s="314">
        <v>21041</v>
      </c>
      <c r="AH355" s="314">
        <v>36</v>
      </c>
      <c r="AI355" s="314">
        <v>0</v>
      </c>
      <c r="AJ355" s="314">
        <v>4683</v>
      </c>
      <c r="AK355" s="314">
        <v>0</v>
      </c>
      <c r="AL355" s="314">
        <v>0</v>
      </c>
      <c r="AM355" s="314">
        <v>1099</v>
      </c>
      <c r="AN355" s="314">
        <v>0</v>
      </c>
      <c r="AO355" s="314">
        <v>0</v>
      </c>
      <c r="AP355" s="314">
        <v>74</v>
      </c>
    </row>
    <row r="356" spans="1:42">
      <c r="A356" s="547">
        <f t="shared" si="5"/>
        <v>2015</v>
      </c>
      <c r="B356" s="578">
        <v>42185</v>
      </c>
      <c r="C356" s="314">
        <v>37851</v>
      </c>
      <c r="D356" s="314">
        <v>21214</v>
      </c>
      <c r="E356" s="314">
        <v>94055</v>
      </c>
      <c r="F356" s="314">
        <v>18340</v>
      </c>
      <c r="G356" s="314">
        <v>7125</v>
      </c>
      <c r="H356" s="314">
        <v>9481</v>
      </c>
      <c r="I356" s="314">
        <v>12113</v>
      </c>
      <c r="J356" s="314">
        <v>10554</v>
      </c>
      <c r="K356" s="314">
        <v>0</v>
      </c>
      <c r="L356" s="314">
        <v>2214</v>
      </c>
      <c r="M356" s="314">
        <v>4099</v>
      </c>
      <c r="N356" s="314">
        <v>0</v>
      </c>
      <c r="O356" s="314">
        <v>0</v>
      </c>
      <c r="P356" s="314">
        <v>0</v>
      </c>
      <c r="Q356" s="314">
        <v>0</v>
      </c>
      <c r="R356" s="314">
        <v>0</v>
      </c>
      <c r="S356" s="314">
        <v>0</v>
      </c>
      <c r="T356" s="314">
        <v>265</v>
      </c>
      <c r="U356" s="314">
        <v>0</v>
      </c>
      <c r="V356" s="314">
        <v>192</v>
      </c>
      <c r="W356" s="314">
        <v>21589</v>
      </c>
      <c r="X356" s="314">
        <v>0</v>
      </c>
      <c r="Y356" s="314">
        <v>4786</v>
      </c>
      <c r="Z356" s="314">
        <v>1470</v>
      </c>
      <c r="AA356" s="314">
        <v>0</v>
      </c>
      <c r="AB356" s="314">
        <v>0</v>
      </c>
      <c r="AC356" s="314">
        <v>0</v>
      </c>
      <c r="AD356" s="314">
        <v>0</v>
      </c>
      <c r="AE356" s="314">
        <v>9137</v>
      </c>
      <c r="AF356" s="314">
        <v>9254</v>
      </c>
      <c r="AG356" s="314">
        <v>62207</v>
      </c>
      <c r="AH356" s="314">
        <v>5882</v>
      </c>
      <c r="AI356" s="314">
        <v>0</v>
      </c>
      <c r="AJ356" s="314">
        <v>0</v>
      </c>
      <c r="AK356" s="314">
        <v>10850</v>
      </c>
      <c r="AL356" s="314">
        <v>242</v>
      </c>
      <c r="AM356" s="314">
        <v>0</v>
      </c>
      <c r="AN356" s="314">
        <v>0</v>
      </c>
      <c r="AO356" s="314">
        <v>0</v>
      </c>
      <c r="AP356" s="314">
        <v>0</v>
      </c>
    </row>
    <row r="357" spans="1:42">
      <c r="A357" s="547">
        <f t="shared" si="5"/>
        <v>2015</v>
      </c>
      <c r="B357" s="578">
        <v>42216</v>
      </c>
      <c r="C357" s="314">
        <v>17323</v>
      </c>
      <c r="D357" s="314">
        <v>46468</v>
      </c>
      <c r="E357" s="314">
        <v>84620</v>
      </c>
      <c r="F357" s="314">
        <v>27636</v>
      </c>
      <c r="G357" s="314">
        <v>1004</v>
      </c>
      <c r="H357" s="314">
        <v>30843</v>
      </c>
      <c r="I357" s="314">
        <v>28678</v>
      </c>
      <c r="J357" s="314">
        <v>5868</v>
      </c>
      <c r="K357" s="314">
        <v>859</v>
      </c>
      <c r="L357" s="314">
        <v>432</v>
      </c>
      <c r="M357" s="314">
        <v>20910</v>
      </c>
      <c r="N357" s="314">
        <v>0</v>
      </c>
      <c r="O357" s="314">
        <v>389</v>
      </c>
      <c r="P357" s="314">
        <v>456</v>
      </c>
      <c r="Q357" s="314">
        <v>1102</v>
      </c>
      <c r="R357" s="314">
        <v>0</v>
      </c>
      <c r="S357" s="314">
        <v>0</v>
      </c>
      <c r="T357" s="314">
        <v>373</v>
      </c>
      <c r="U357" s="314">
        <v>0</v>
      </c>
      <c r="V357" s="314">
        <v>0</v>
      </c>
      <c r="W357" s="314">
        <v>7257</v>
      </c>
      <c r="X357" s="314">
        <v>11197</v>
      </c>
      <c r="Y357" s="314">
        <v>2554</v>
      </c>
      <c r="Z357" s="314">
        <v>0</v>
      </c>
      <c r="AA357" s="314">
        <v>246</v>
      </c>
      <c r="AB357" s="314">
        <v>200</v>
      </c>
      <c r="AC357" s="314">
        <v>1920</v>
      </c>
      <c r="AD357" s="314">
        <v>662</v>
      </c>
      <c r="AE357" s="314">
        <v>7274</v>
      </c>
      <c r="AF357" s="314">
        <v>2967</v>
      </c>
      <c r="AG357" s="314">
        <v>20836</v>
      </c>
      <c r="AH357" s="314">
        <v>7858</v>
      </c>
      <c r="AI357" s="314">
        <v>0</v>
      </c>
      <c r="AJ357" s="314">
        <v>0</v>
      </c>
      <c r="AK357" s="314">
        <v>4828</v>
      </c>
      <c r="AL357" s="314">
        <v>0</v>
      </c>
      <c r="AM357" s="314">
        <v>294</v>
      </c>
      <c r="AN357" s="314">
        <v>0</v>
      </c>
      <c r="AO357" s="314">
        <v>3792</v>
      </c>
      <c r="AP357" s="314">
        <v>13248</v>
      </c>
    </row>
    <row r="358" spans="1:42">
      <c r="A358" s="547">
        <f t="shared" si="5"/>
        <v>2015</v>
      </c>
      <c r="B358" s="578">
        <v>42247</v>
      </c>
      <c r="C358" s="314">
        <v>44851</v>
      </c>
      <c r="D358" s="314">
        <v>50968</v>
      </c>
      <c r="E358" s="314">
        <v>124767</v>
      </c>
      <c r="F358" s="314">
        <v>25662</v>
      </c>
      <c r="G358" s="314">
        <v>38250</v>
      </c>
      <c r="H358" s="314">
        <v>5954</v>
      </c>
      <c r="I358" s="314">
        <v>53377</v>
      </c>
      <c r="J358" s="314">
        <v>9199</v>
      </c>
      <c r="K358" s="314">
        <v>0</v>
      </c>
      <c r="L358" s="314">
        <v>480</v>
      </c>
      <c r="M358" s="314">
        <v>16342</v>
      </c>
      <c r="N358" s="314">
        <v>0</v>
      </c>
      <c r="O358" s="314">
        <v>0</v>
      </c>
      <c r="P358" s="314">
        <v>0</v>
      </c>
      <c r="Q358" s="314">
        <v>256</v>
      </c>
      <c r="R358" s="314">
        <v>0</v>
      </c>
      <c r="S358" s="314">
        <v>0</v>
      </c>
      <c r="T358" s="314">
        <v>0</v>
      </c>
      <c r="U358" s="314">
        <v>0</v>
      </c>
      <c r="V358" s="314">
        <v>0</v>
      </c>
      <c r="W358" s="314">
        <v>2257</v>
      </c>
      <c r="X358" s="314">
        <v>10435</v>
      </c>
      <c r="Y358" s="314">
        <v>20269</v>
      </c>
      <c r="Z358" s="314">
        <v>0</v>
      </c>
      <c r="AA358" s="314">
        <v>989</v>
      </c>
      <c r="AB358" s="314">
        <v>3202</v>
      </c>
      <c r="AC358" s="314">
        <v>0</v>
      </c>
      <c r="AD358" s="314">
        <v>0</v>
      </c>
      <c r="AE358" s="314">
        <v>537</v>
      </c>
      <c r="AF358" s="314">
        <v>10701</v>
      </c>
      <c r="AG358" s="314">
        <v>32372</v>
      </c>
      <c r="AH358" s="314">
        <v>13431</v>
      </c>
      <c r="AI358" s="314">
        <v>0</v>
      </c>
      <c r="AJ358" s="314">
        <v>20196</v>
      </c>
      <c r="AK358" s="314">
        <v>2151</v>
      </c>
      <c r="AL358" s="314">
        <v>855</v>
      </c>
      <c r="AM358" s="314">
        <v>2818</v>
      </c>
      <c r="AN358" s="314">
        <v>0</v>
      </c>
      <c r="AO358" s="314">
        <v>0</v>
      </c>
      <c r="AP358" s="314">
        <v>2177</v>
      </c>
    </row>
    <row r="359" spans="1:42">
      <c r="A359" s="547">
        <f t="shared" si="5"/>
        <v>2015</v>
      </c>
      <c r="B359" s="578">
        <v>42277</v>
      </c>
      <c r="C359" s="314">
        <v>87908</v>
      </c>
      <c r="D359" s="314">
        <v>70151</v>
      </c>
      <c r="E359" s="314">
        <v>74389</v>
      </c>
      <c r="F359" s="314">
        <v>12150</v>
      </c>
      <c r="G359" s="314">
        <v>38335</v>
      </c>
      <c r="H359" s="314">
        <v>16162</v>
      </c>
      <c r="I359" s="314">
        <v>3689</v>
      </c>
      <c r="J359" s="314">
        <v>8149</v>
      </c>
      <c r="K359" s="314">
        <v>0</v>
      </c>
      <c r="L359" s="314">
        <v>0</v>
      </c>
      <c r="M359" s="314">
        <v>23081</v>
      </c>
      <c r="N359" s="314">
        <v>0</v>
      </c>
      <c r="O359" s="314">
        <v>1461</v>
      </c>
      <c r="P359" s="314">
        <v>0</v>
      </c>
      <c r="Q359" s="314">
        <v>925</v>
      </c>
      <c r="R359" s="314">
        <v>0</v>
      </c>
      <c r="S359" s="314">
        <v>0</v>
      </c>
      <c r="T359" s="314">
        <v>6379</v>
      </c>
      <c r="U359" s="314">
        <v>790</v>
      </c>
      <c r="V359" s="314">
        <v>0</v>
      </c>
      <c r="W359" s="314">
        <v>0</v>
      </c>
      <c r="X359" s="314">
        <v>35335</v>
      </c>
      <c r="Y359" s="314">
        <v>16871</v>
      </c>
      <c r="Z359" s="314">
        <v>3938</v>
      </c>
      <c r="AA359" s="314">
        <v>2418</v>
      </c>
      <c r="AB359" s="314">
        <v>255</v>
      </c>
      <c r="AC359" s="314">
        <v>1524</v>
      </c>
      <c r="AD359" s="314">
        <v>0</v>
      </c>
      <c r="AE359" s="314">
        <v>44160</v>
      </c>
      <c r="AF359" s="314">
        <v>2612</v>
      </c>
      <c r="AG359" s="314">
        <v>26536</v>
      </c>
      <c r="AH359" s="314">
        <v>63</v>
      </c>
      <c r="AI359" s="314">
        <v>1534</v>
      </c>
      <c r="AJ359" s="314">
        <v>6715</v>
      </c>
      <c r="AK359" s="314">
        <v>0</v>
      </c>
      <c r="AL359" s="314">
        <v>0</v>
      </c>
      <c r="AM359" s="314">
        <v>0</v>
      </c>
      <c r="AN359" s="314">
        <v>2693</v>
      </c>
      <c r="AO359" s="314">
        <v>973</v>
      </c>
      <c r="AP359" s="314">
        <v>0</v>
      </c>
    </row>
    <row r="360" spans="1:42">
      <c r="A360" s="547">
        <f t="shared" si="5"/>
        <v>2015</v>
      </c>
      <c r="B360" s="578">
        <v>42308</v>
      </c>
      <c r="C360" s="314">
        <v>57754</v>
      </c>
      <c r="D360" s="314">
        <v>56333</v>
      </c>
      <c r="E360" s="314">
        <v>146222</v>
      </c>
      <c r="F360" s="314">
        <v>15831</v>
      </c>
      <c r="G360" s="314">
        <v>36079</v>
      </c>
      <c r="H360" s="314">
        <v>861</v>
      </c>
      <c r="I360" s="314">
        <v>33989</v>
      </c>
      <c r="J360" s="314">
        <v>12884</v>
      </c>
      <c r="K360" s="314">
        <v>0</v>
      </c>
      <c r="L360" s="314">
        <v>6247</v>
      </c>
      <c r="M360" s="314">
        <v>0</v>
      </c>
      <c r="N360" s="314">
        <v>0</v>
      </c>
      <c r="O360" s="314">
        <v>350</v>
      </c>
      <c r="P360" s="314">
        <v>0</v>
      </c>
      <c r="Q360" s="314">
        <v>0</v>
      </c>
      <c r="R360" s="314">
        <v>0</v>
      </c>
      <c r="S360" s="314">
        <v>0</v>
      </c>
      <c r="T360" s="314">
        <v>480</v>
      </c>
      <c r="U360" s="314">
        <v>463</v>
      </c>
      <c r="V360" s="314">
        <v>0</v>
      </c>
      <c r="W360" s="314">
        <v>0</v>
      </c>
      <c r="X360" s="314">
        <v>1552</v>
      </c>
      <c r="Y360" s="314">
        <v>91376</v>
      </c>
      <c r="Z360" s="314">
        <v>1267</v>
      </c>
      <c r="AA360" s="314">
        <v>1741</v>
      </c>
      <c r="AB360" s="314">
        <v>3136</v>
      </c>
      <c r="AC360" s="314">
        <v>0</v>
      </c>
      <c r="AD360" s="314">
        <v>0</v>
      </c>
      <c r="AE360" s="314">
        <v>9604</v>
      </c>
      <c r="AF360" s="314">
        <v>44057</v>
      </c>
      <c r="AG360" s="314">
        <v>14025</v>
      </c>
      <c r="AH360" s="314">
        <v>1260</v>
      </c>
      <c r="AI360" s="314">
        <v>9771</v>
      </c>
      <c r="AJ360" s="314">
        <v>0</v>
      </c>
      <c r="AK360" s="314">
        <v>6369</v>
      </c>
      <c r="AL360" s="314">
        <v>420</v>
      </c>
      <c r="AM360" s="314">
        <v>209</v>
      </c>
      <c r="AN360" s="314">
        <v>0</v>
      </c>
      <c r="AO360" s="314">
        <v>0</v>
      </c>
      <c r="AP360" s="314">
        <v>0</v>
      </c>
    </row>
    <row r="361" spans="1:42">
      <c r="A361" s="547">
        <f t="shared" si="5"/>
        <v>2015</v>
      </c>
      <c r="B361" s="578">
        <v>42338</v>
      </c>
      <c r="C361" s="314">
        <v>99525</v>
      </c>
      <c r="D361" s="314">
        <v>123534</v>
      </c>
      <c r="E361" s="314">
        <v>61112</v>
      </c>
      <c r="F361" s="314">
        <v>13079</v>
      </c>
      <c r="G361" s="314">
        <v>41407</v>
      </c>
      <c r="H361" s="314">
        <v>16651</v>
      </c>
      <c r="I361" s="314">
        <v>9026</v>
      </c>
      <c r="J361" s="314">
        <v>5930</v>
      </c>
      <c r="K361" s="314">
        <v>2625</v>
      </c>
      <c r="L361" s="314">
        <v>42440</v>
      </c>
      <c r="M361" s="314">
        <v>9711</v>
      </c>
      <c r="N361" s="314">
        <v>0</v>
      </c>
      <c r="O361" s="314">
        <v>0</v>
      </c>
      <c r="P361" s="314">
        <v>105</v>
      </c>
      <c r="Q361" s="314">
        <v>0</v>
      </c>
      <c r="R361" s="314">
        <v>1505</v>
      </c>
      <c r="S361" s="314">
        <v>0</v>
      </c>
      <c r="T361" s="314">
        <v>7832</v>
      </c>
      <c r="U361" s="314">
        <v>561</v>
      </c>
      <c r="V361" s="314">
        <v>1909</v>
      </c>
      <c r="W361" s="314">
        <v>4146</v>
      </c>
      <c r="X361" s="314">
        <v>328</v>
      </c>
      <c r="Y361" s="314">
        <v>8246</v>
      </c>
      <c r="Z361" s="314">
        <v>996</v>
      </c>
      <c r="AA361" s="314">
        <v>642</v>
      </c>
      <c r="AB361" s="314">
        <v>19486</v>
      </c>
      <c r="AC361" s="314">
        <v>8544</v>
      </c>
      <c r="AD361" s="314">
        <v>1380</v>
      </c>
      <c r="AE361" s="314">
        <v>50705</v>
      </c>
      <c r="AF361" s="314">
        <v>36692</v>
      </c>
      <c r="AG361" s="314">
        <v>21494</v>
      </c>
      <c r="AH361" s="314">
        <v>397</v>
      </c>
      <c r="AI361" s="314">
        <v>0</v>
      </c>
      <c r="AJ361" s="314">
        <v>0</v>
      </c>
      <c r="AK361" s="314">
        <v>2644</v>
      </c>
      <c r="AL361" s="314">
        <v>25</v>
      </c>
      <c r="AM361" s="314">
        <v>0</v>
      </c>
      <c r="AN361" s="314">
        <v>0</v>
      </c>
      <c r="AO361" s="314">
        <v>886</v>
      </c>
      <c r="AP361" s="314">
        <v>937</v>
      </c>
    </row>
    <row r="362" spans="1:42">
      <c r="A362" s="547">
        <f t="shared" si="5"/>
        <v>2015</v>
      </c>
      <c r="B362" s="578">
        <v>42369</v>
      </c>
      <c r="C362" s="314">
        <v>70283</v>
      </c>
      <c r="D362" s="314">
        <v>48470</v>
      </c>
      <c r="E362" s="314">
        <v>84315</v>
      </c>
      <c r="F362" s="314">
        <v>1426</v>
      </c>
      <c r="G362" s="314">
        <v>8680</v>
      </c>
      <c r="H362" s="314">
        <v>18484</v>
      </c>
      <c r="I362" s="314">
        <v>22045</v>
      </c>
      <c r="J362" s="314">
        <v>917</v>
      </c>
      <c r="K362" s="314">
        <v>0</v>
      </c>
      <c r="L362" s="314">
        <v>5234</v>
      </c>
      <c r="M362" s="314">
        <v>7257</v>
      </c>
      <c r="N362" s="314">
        <v>12</v>
      </c>
      <c r="O362" s="314">
        <v>88</v>
      </c>
      <c r="P362" s="314">
        <v>366</v>
      </c>
      <c r="Q362" s="314">
        <v>0</v>
      </c>
      <c r="R362" s="314">
        <v>0</v>
      </c>
      <c r="S362" s="314">
        <v>2222</v>
      </c>
      <c r="T362" s="314">
        <v>434</v>
      </c>
      <c r="U362" s="314">
        <v>0</v>
      </c>
      <c r="V362" s="314">
        <v>0</v>
      </c>
      <c r="W362" s="314">
        <v>48497</v>
      </c>
      <c r="X362" s="314">
        <v>0</v>
      </c>
      <c r="Y362" s="314">
        <v>7325</v>
      </c>
      <c r="Z362" s="314">
        <v>0</v>
      </c>
      <c r="AA362" s="314">
        <v>1200</v>
      </c>
      <c r="AB362" s="314">
        <v>0</v>
      </c>
      <c r="AC362" s="314">
        <v>0</v>
      </c>
      <c r="AD362" s="314">
        <v>0</v>
      </c>
      <c r="AE362" s="314">
        <v>8836</v>
      </c>
      <c r="AF362" s="314">
        <v>23952</v>
      </c>
      <c r="AG362" s="314">
        <v>47410</v>
      </c>
      <c r="AH362" s="314">
        <v>0</v>
      </c>
      <c r="AI362" s="314">
        <v>0</v>
      </c>
      <c r="AJ362" s="314">
        <v>0</v>
      </c>
      <c r="AK362" s="314">
        <v>0</v>
      </c>
      <c r="AL362" s="314">
        <v>497</v>
      </c>
      <c r="AM362" s="314">
        <v>760</v>
      </c>
      <c r="AN362" s="314">
        <v>0</v>
      </c>
      <c r="AO362" s="314">
        <v>278</v>
      </c>
      <c r="AP362" s="314">
        <v>0</v>
      </c>
    </row>
    <row r="363" spans="1:42">
      <c r="A363" s="547">
        <f t="shared" si="5"/>
        <v>2016</v>
      </c>
      <c r="B363" s="578">
        <v>42400</v>
      </c>
      <c r="C363" s="314">
        <v>26678</v>
      </c>
      <c r="D363" s="314">
        <v>13300</v>
      </c>
      <c r="E363" s="314">
        <v>38083</v>
      </c>
      <c r="F363" s="314">
        <v>5782</v>
      </c>
      <c r="G363" s="314">
        <v>0</v>
      </c>
      <c r="H363" s="314">
        <v>6612</v>
      </c>
      <c r="I363" s="314">
        <v>2902</v>
      </c>
      <c r="J363" s="314">
        <v>1746</v>
      </c>
      <c r="K363" s="314">
        <v>0</v>
      </c>
      <c r="L363" s="314">
        <v>0</v>
      </c>
      <c r="M363" s="314">
        <v>1780</v>
      </c>
      <c r="N363" s="314">
        <v>0</v>
      </c>
      <c r="O363" s="314">
        <v>0</v>
      </c>
      <c r="P363" s="314">
        <v>0</v>
      </c>
      <c r="Q363" s="314">
        <v>0</v>
      </c>
      <c r="R363" s="314">
        <v>0</v>
      </c>
      <c r="S363" s="314">
        <v>0</v>
      </c>
      <c r="T363" s="314">
        <v>3591</v>
      </c>
      <c r="U363" s="314">
        <v>10964</v>
      </c>
      <c r="V363" s="314">
        <v>0</v>
      </c>
      <c r="W363" s="314">
        <v>15316</v>
      </c>
      <c r="X363" s="314">
        <v>595</v>
      </c>
      <c r="Y363" s="314">
        <v>0</v>
      </c>
      <c r="Z363" s="314">
        <v>0</v>
      </c>
      <c r="AA363" s="314">
        <v>0</v>
      </c>
      <c r="AB363" s="314">
        <v>997</v>
      </c>
      <c r="AC363" s="314">
        <v>0</v>
      </c>
      <c r="AD363" s="314">
        <v>874</v>
      </c>
      <c r="AE363" s="314">
        <v>10271</v>
      </c>
      <c r="AF363" s="314">
        <v>718</v>
      </c>
      <c r="AG363" s="314">
        <v>18308</v>
      </c>
      <c r="AH363" s="314">
        <v>3162</v>
      </c>
      <c r="AI363" s="314">
        <v>599</v>
      </c>
      <c r="AJ363" s="314">
        <v>787</v>
      </c>
      <c r="AK363" s="314">
        <v>3669</v>
      </c>
      <c r="AL363" s="314">
        <v>0</v>
      </c>
      <c r="AM363" s="314">
        <v>492</v>
      </c>
      <c r="AN363" s="314">
        <v>0</v>
      </c>
      <c r="AO363" s="314">
        <v>460</v>
      </c>
      <c r="AP363" s="314">
        <v>0</v>
      </c>
    </row>
    <row r="364" spans="1:42">
      <c r="A364" s="547">
        <f t="shared" si="5"/>
        <v>2016</v>
      </c>
      <c r="B364" s="578">
        <v>42429</v>
      </c>
      <c r="C364" s="314">
        <v>54972</v>
      </c>
      <c r="D364" s="314">
        <v>13399</v>
      </c>
      <c r="E364" s="314">
        <v>73021</v>
      </c>
      <c r="F364" s="314">
        <v>15799</v>
      </c>
      <c r="G364" s="314">
        <v>13700</v>
      </c>
      <c r="H364" s="314">
        <v>300</v>
      </c>
      <c r="I364" s="314">
        <v>36303</v>
      </c>
      <c r="J364" s="314">
        <v>6121</v>
      </c>
      <c r="K364" s="314">
        <v>0</v>
      </c>
      <c r="L364" s="314">
        <v>0</v>
      </c>
      <c r="M364" s="314">
        <v>757</v>
      </c>
      <c r="N364" s="314">
        <v>0</v>
      </c>
      <c r="O364" s="314">
        <v>0</v>
      </c>
      <c r="P364" s="314">
        <v>0</v>
      </c>
      <c r="Q364" s="314">
        <v>0</v>
      </c>
      <c r="R364" s="314">
        <v>0</v>
      </c>
      <c r="S364" s="314">
        <v>0</v>
      </c>
      <c r="T364" s="314">
        <v>0</v>
      </c>
      <c r="U364" s="314">
        <v>0</v>
      </c>
      <c r="V364" s="314">
        <v>0</v>
      </c>
      <c r="W364" s="314">
        <v>563</v>
      </c>
      <c r="X364" s="314">
        <v>1662</v>
      </c>
      <c r="Y364" s="314">
        <v>28905</v>
      </c>
      <c r="Z364" s="314">
        <v>0</v>
      </c>
      <c r="AA364" s="314">
        <v>2616</v>
      </c>
      <c r="AB364" s="314">
        <v>0</v>
      </c>
      <c r="AC364" s="314">
        <v>0</v>
      </c>
      <c r="AD364" s="314">
        <v>212</v>
      </c>
      <c r="AE364" s="314">
        <v>38093</v>
      </c>
      <c r="AF364" s="314">
        <v>11437</v>
      </c>
      <c r="AG364" s="314">
        <v>7056</v>
      </c>
      <c r="AH364" s="314">
        <v>8622</v>
      </c>
      <c r="AI364" s="314">
        <v>0</v>
      </c>
      <c r="AJ364" s="314">
        <v>0</v>
      </c>
      <c r="AK364" s="314">
        <v>0</v>
      </c>
      <c r="AL364" s="314">
        <v>0</v>
      </c>
      <c r="AM364" s="314">
        <v>0</v>
      </c>
      <c r="AN364" s="314">
        <v>0</v>
      </c>
      <c r="AO364" s="314">
        <v>0</v>
      </c>
      <c r="AP364" s="314">
        <v>844</v>
      </c>
    </row>
    <row r="365" spans="1:42">
      <c r="A365" s="547">
        <f t="shared" si="5"/>
        <v>2016</v>
      </c>
      <c r="B365" s="578">
        <v>42460</v>
      </c>
      <c r="C365" s="314">
        <v>88216</v>
      </c>
      <c r="D365" s="314">
        <v>21890</v>
      </c>
      <c r="E365" s="314">
        <v>121862</v>
      </c>
      <c r="F365" s="314">
        <v>66577</v>
      </c>
      <c r="G365" s="314">
        <v>35620</v>
      </c>
      <c r="H365" s="314">
        <v>289</v>
      </c>
      <c r="I365" s="314">
        <v>6844</v>
      </c>
      <c r="J365" s="314">
        <v>11545</v>
      </c>
      <c r="K365" s="314">
        <v>0</v>
      </c>
      <c r="L365" s="314">
        <v>450</v>
      </c>
      <c r="M365" s="314">
        <v>0</v>
      </c>
      <c r="N365" s="314">
        <v>0</v>
      </c>
      <c r="O365" s="314">
        <v>0</v>
      </c>
      <c r="P365" s="314">
        <v>0</v>
      </c>
      <c r="Q365" s="314">
        <v>0</v>
      </c>
      <c r="R365" s="314">
        <v>0</v>
      </c>
      <c r="S365" s="314">
        <v>0</v>
      </c>
      <c r="T365" s="314">
        <v>0</v>
      </c>
      <c r="U365" s="314">
        <v>0</v>
      </c>
      <c r="V365" s="314">
        <v>0</v>
      </c>
      <c r="W365" s="314">
        <v>25259</v>
      </c>
      <c r="X365" s="314">
        <v>18005</v>
      </c>
      <c r="Y365" s="314">
        <v>18135</v>
      </c>
      <c r="Z365" s="314">
        <v>0</v>
      </c>
      <c r="AA365" s="314">
        <v>0</v>
      </c>
      <c r="AB365" s="314">
        <v>356</v>
      </c>
      <c r="AC365" s="314">
        <v>349</v>
      </c>
      <c r="AD365" s="314">
        <v>993</v>
      </c>
      <c r="AE365" s="314">
        <v>21605</v>
      </c>
      <c r="AF365" s="314">
        <v>2790</v>
      </c>
      <c r="AG365" s="314">
        <v>93541</v>
      </c>
      <c r="AH365" s="314">
        <v>52652</v>
      </c>
      <c r="AI365" s="314">
        <v>5644</v>
      </c>
      <c r="AJ365" s="314">
        <v>0</v>
      </c>
      <c r="AK365" s="314">
        <v>2993</v>
      </c>
      <c r="AL365" s="314">
        <v>1387</v>
      </c>
      <c r="AM365" s="314">
        <v>88</v>
      </c>
      <c r="AN365" s="314">
        <v>0</v>
      </c>
      <c r="AO365" s="314">
        <v>0</v>
      </c>
      <c r="AP365" s="314">
        <v>0</v>
      </c>
    </row>
    <row r="366" spans="1:42">
      <c r="A366" s="547">
        <f t="shared" si="5"/>
        <v>2016</v>
      </c>
      <c r="B366" s="578">
        <v>42490</v>
      </c>
      <c r="C366" s="314">
        <v>46408</v>
      </c>
      <c r="D366" s="314">
        <v>146481</v>
      </c>
      <c r="E366" s="314">
        <v>33244</v>
      </c>
      <c r="F366" s="314">
        <v>29660</v>
      </c>
      <c r="G366" s="314">
        <v>1501</v>
      </c>
      <c r="H366" s="314">
        <v>6204</v>
      </c>
      <c r="I366" s="314">
        <v>4736</v>
      </c>
      <c r="J366" s="314">
        <v>26261</v>
      </c>
      <c r="K366" s="314">
        <v>136</v>
      </c>
      <c r="L366" s="314">
        <v>0</v>
      </c>
      <c r="M366" s="314">
        <v>1186</v>
      </c>
      <c r="N366" s="314">
        <v>51</v>
      </c>
      <c r="O366" s="314">
        <v>0</v>
      </c>
      <c r="P366" s="314">
        <v>0</v>
      </c>
      <c r="Q366" s="314">
        <v>0</v>
      </c>
      <c r="R366" s="314">
        <v>0</v>
      </c>
      <c r="S366" s="314">
        <v>6066</v>
      </c>
      <c r="T366" s="314">
        <v>7996</v>
      </c>
      <c r="U366" s="314">
        <v>0</v>
      </c>
      <c r="V366" s="314">
        <v>0</v>
      </c>
      <c r="W366" s="314">
        <v>27799</v>
      </c>
      <c r="X366" s="314">
        <v>93532</v>
      </c>
      <c r="Y366" s="314">
        <v>1070</v>
      </c>
      <c r="Z366" s="314">
        <v>495</v>
      </c>
      <c r="AA366" s="314">
        <v>0</v>
      </c>
      <c r="AB366" s="314">
        <v>5531</v>
      </c>
      <c r="AC366" s="314">
        <v>322</v>
      </c>
      <c r="AD366" s="314">
        <v>322</v>
      </c>
      <c r="AE366" s="314">
        <v>10906</v>
      </c>
      <c r="AF366" s="314">
        <v>33218</v>
      </c>
      <c r="AG366" s="314">
        <v>23250</v>
      </c>
      <c r="AH366" s="314">
        <v>2280</v>
      </c>
      <c r="AI366" s="314">
        <v>0</v>
      </c>
      <c r="AJ366" s="314">
        <v>0</v>
      </c>
      <c r="AK366" s="314">
        <v>1240</v>
      </c>
      <c r="AL366" s="314">
        <v>251</v>
      </c>
      <c r="AM366" s="314">
        <v>0</v>
      </c>
      <c r="AN366" s="314">
        <v>0</v>
      </c>
      <c r="AO366" s="314">
        <v>1440</v>
      </c>
      <c r="AP366" s="314">
        <v>0</v>
      </c>
    </row>
    <row r="367" spans="1:42">
      <c r="A367" s="547">
        <f t="shared" si="5"/>
        <v>2016</v>
      </c>
      <c r="B367" s="578">
        <v>42521</v>
      </c>
      <c r="C367" s="314">
        <v>40684</v>
      </c>
      <c r="D367" s="580">
        <v>54893</v>
      </c>
      <c r="E367" s="580">
        <v>141226</v>
      </c>
      <c r="F367" s="314">
        <v>39309</v>
      </c>
      <c r="G367" s="314">
        <v>11269</v>
      </c>
      <c r="H367" s="314">
        <v>1164</v>
      </c>
      <c r="I367" s="314">
        <v>32639</v>
      </c>
      <c r="J367" s="314">
        <v>7392</v>
      </c>
      <c r="K367" s="314">
        <v>0</v>
      </c>
      <c r="L367" s="314">
        <v>0</v>
      </c>
      <c r="M367" s="314">
        <v>0</v>
      </c>
      <c r="N367" s="314">
        <v>0</v>
      </c>
      <c r="O367" s="314">
        <v>325</v>
      </c>
      <c r="P367" s="314">
        <v>0</v>
      </c>
      <c r="Q367" s="314">
        <v>0</v>
      </c>
      <c r="R367" s="314">
        <v>0</v>
      </c>
      <c r="S367" s="314">
        <v>0</v>
      </c>
      <c r="T367" s="314">
        <v>4031</v>
      </c>
      <c r="U367" s="314">
        <v>15367</v>
      </c>
      <c r="V367" s="314">
        <v>0</v>
      </c>
      <c r="W367" s="314">
        <v>17669</v>
      </c>
      <c r="X367" s="314">
        <v>27235</v>
      </c>
      <c r="Y367" s="314">
        <v>33909</v>
      </c>
      <c r="Z367" s="314">
        <v>2939</v>
      </c>
      <c r="AA367" s="314">
        <v>2490</v>
      </c>
      <c r="AB367" s="314">
        <v>2372</v>
      </c>
      <c r="AC367" s="314">
        <v>2269</v>
      </c>
      <c r="AD367" s="314">
        <v>1746</v>
      </c>
      <c r="AE367" s="314">
        <v>8697</v>
      </c>
      <c r="AF367" s="580">
        <v>19585</v>
      </c>
      <c r="AG367" s="580">
        <v>54422</v>
      </c>
      <c r="AH367" s="314">
        <v>24903</v>
      </c>
      <c r="AI367" s="314">
        <v>234</v>
      </c>
      <c r="AJ367" s="314">
        <v>506</v>
      </c>
      <c r="AK367" s="314">
        <v>632</v>
      </c>
      <c r="AL367" s="314">
        <v>2329</v>
      </c>
      <c r="AM367" s="314">
        <v>0</v>
      </c>
      <c r="AN367" s="314">
        <v>0</v>
      </c>
      <c r="AO367" s="314">
        <v>1988</v>
      </c>
      <c r="AP367" s="314">
        <v>0</v>
      </c>
    </row>
    <row r="368" spans="1:42">
      <c r="A368" s="547">
        <f t="shared" si="5"/>
        <v>2016</v>
      </c>
      <c r="B368" s="579">
        <v>42551</v>
      </c>
      <c r="C368" s="580">
        <v>62425</v>
      </c>
      <c r="D368" s="580">
        <v>20042</v>
      </c>
      <c r="E368" s="580">
        <v>100192</v>
      </c>
      <c r="F368" s="580">
        <v>8617</v>
      </c>
      <c r="G368" s="580">
        <v>1297</v>
      </c>
      <c r="H368" s="580">
        <v>0</v>
      </c>
      <c r="I368" s="580">
        <v>20812</v>
      </c>
      <c r="J368" s="580">
        <v>1349</v>
      </c>
      <c r="K368" s="580">
        <v>0</v>
      </c>
      <c r="L368" s="580">
        <v>583</v>
      </c>
      <c r="M368" s="580">
        <v>0</v>
      </c>
      <c r="N368" s="580">
        <v>62</v>
      </c>
      <c r="O368" s="580">
        <v>0</v>
      </c>
      <c r="P368" s="580">
        <v>0</v>
      </c>
      <c r="Q368" s="580">
        <v>0</v>
      </c>
      <c r="R368" s="580">
        <v>0</v>
      </c>
      <c r="S368" s="580">
        <v>0</v>
      </c>
      <c r="T368" s="580">
        <v>1990</v>
      </c>
      <c r="U368" s="580">
        <v>10093</v>
      </c>
      <c r="V368" s="580">
        <v>0</v>
      </c>
      <c r="W368" s="580">
        <v>2164</v>
      </c>
      <c r="X368" s="580">
        <v>1197</v>
      </c>
      <c r="Y368" s="580">
        <v>8333</v>
      </c>
      <c r="Z368" s="580">
        <v>611</v>
      </c>
      <c r="AA368" s="580">
        <v>0</v>
      </c>
      <c r="AB368" s="580">
        <v>2693</v>
      </c>
      <c r="AC368" s="580">
        <v>0</v>
      </c>
      <c r="AD368" s="580">
        <v>1397</v>
      </c>
      <c r="AE368" s="580">
        <v>58964</v>
      </c>
      <c r="AF368" s="580">
        <v>6601</v>
      </c>
      <c r="AG368" s="580">
        <v>55823</v>
      </c>
      <c r="AH368" s="580">
        <v>3539</v>
      </c>
      <c r="AI368" s="580">
        <v>0</v>
      </c>
      <c r="AJ368" s="580">
        <v>6978</v>
      </c>
      <c r="AK368" s="580">
        <v>5131</v>
      </c>
      <c r="AL368" s="580">
        <v>1659</v>
      </c>
      <c r="AM368" s="580">
        <v>0</v>
      </c>
      <c r="AN368" s="580">
        <v>0</v>
      </c>
      <c r="AO368" s="580">
        <v>0</v>
      </c>
      <c r="AP368" s="580">
        <v>0</v>
      </c>
    </row>
    <row r="369" spans="1:42">
      <c r="A369" s="547">
        <f t="shared" si="5"/>
        <v>2016</v>
      </c>
      <c r="B369" s="579">
        <v>42582</v>
      </c>
      <c r="C369" s="580">
        <v>37821</v>
      </c>
      <c r="D369" s="580">
        <v>25053</v>
      </c>
      <c r="E369" s="580">
        <v>106384</v>
      </c>
      <c r="F369" s="580">
        <v>7055</v>
      </c>
      <c r="G369" s="580">
        <v>2499</v>
      </c>
      <c r="H369" s="580">
        <v>300</v>
      </c>
      <c r="I369" s="580">
        <v>11520</v>
      </c>
      <c r="J369" s="580">
        <v>2417</v>
      </c>
      <c r="K369" s="580">
        <v>3061</v>
      </c>
      <c r="L369" s="580">
        <v>1369</v>
      </c>
      <c r="M369" s="580">
        <v>0</v>
      </c>
      <c r="N369" s="580">
        <v>260</v>
      </c>
      <c r="O369" s="580">
        <v>0</v>
      </c>
      <c r="P369" s="580">
        <v>275</v>
      </c>
      <c r="Q369" s="580">
        <v>0</v>
      </c>
      <c r="R369" s="580">
        <v>0</v>
      </c>
      <c r="S369" s="580">
        <v>0</v>
      </c>
      <c r="T369" s="580">
        <v>1060</v>
      </c>
      <c r="U369" s="580">
        <v>3735</v>
      </c>
      <c r="V369" s="580">
        <v>0</v>
      </c>
      <c r="W369" s="580">
        <v>838</v>
      </c>
      <c r="X369" s="580">
        <v>22049</v>
      </c>
      <c r="Y369" s="580">
        <v>44422</v>
      </c>
      <c r="Z369" s="580">
        <v>307</v>
      </c>
      <c r="AA369" s="580">
        <v>1926</v>
      </c>
      <c r="AB369" s="580">
        <v>0</v>
      </c>
      <c r="AC369" s="580">
        <v>0</v>
      </c>
      <c r="AD369" s="580">
        <v>628</v>
      </c>
      <c r="AE369" s="580">
        <v>26371</v>
      </c>
      <c r="AF369" s="580">
        <v>0</v>
      </c>
      <c r="AG369" s="580">
        <v>37384</v>
      </c>
      <c r="AH369" s="580">
        <v>3443</v>
      </c>
      <c r="AI369" s="580">
        <v>2178</v>
      </c>
      <c r="AJ369" s="580">
        <v>0</v>
      </c>
      <c r="AK369" s="580">
        <v>9323</v>
      </c>
      <c r="AL369" s="580">
        <v>0</v>
      </c>
      <c r="AM369" s="580">
        <v>948</v>
      </c>
      <c r="AN369" s="580">
        <v>0</v>
      </c>
      <c r="AO369" s="580">
        <v>0</v>
      </c>
      <c r="AP369" s="580">
        <v>0</v>
      </c>
    </row>
    <row r="370" spans="1:42">
      <c r="A370" s="547">
        <f t="shared" si="5"/>
        <v>2016</v>
      </c>
      <c r="B370" s="579">
        <v>42613</v>
      </c>
      <c r="C370" s="580">
        <v>29067</v>
      </c>
      <c r="D370" s="580">
        <v>38302</v>
      </c>
      <c r="E370" s="580">
        <v>111740</v>
      </c>
      <c r="F370" s="580">
        <v>15536</v>
      </c>
      <c r="G370" s="580">
        <v>17422</v>
      </c>
      <c r="H370" s="580">
        <v>16032</v>
      </c>
      <c r="I370" s="580">
        <v>34740</v>
      </c>
      <c r="J370" s="580">
        <v>12413</v>
      </c>
      <c r="K370" s="580">
        <v>252</v>
      </c>
      <c r="L370" s="580">
        <v>0</v>
      </c>
      <c r="M370" s="580">
        <v>3078</v>
      </c>
      <c r="N370" s="580">
        <v>0</v>
      </c>
      <c r="O370" s="580">
        <v>0</v>
      </c>
      <c r="P370" s="580">
        <v>0</v>
      </c>
      <c r="Q370" s="580">
        <v>0</v>
      </c>
      <c r="R370" s="580">
        <v>0</v>
      </c>
      <c r="S370" s="580">
        <v>506</v>
      </c>
      <c r="T370" s="580">
        <v>0</v>
      </c>
      <c r="U370" s="580">
        <v>0</v>
      </c>
      <c r="V370" s="580">
        <v>0</v>
      </c>
      <c r="W370" s="580">
        <v>4646</v>
      </c>
      <c r="X370" s="580">
        <v>5398</v>
      </c>
      <c r="Y370" s="580">
        <v>49960</v>
      </c>
      <c r="Z370" s="580">
        <v>722</v>
      </c>
      <c r="AA370" s="580">
        <v>0</v>
      </c>
      <c r="AB370" s="580">
        <v>10122</v>
      </c>
      <c r="AC370" s="580">
        <v>0</v>
      </c>
      <c r="AD370" s="580">
        <v>0</v>
      </c>
      <c r="AE370" s="580">
        <v>5871</v>
      </c>
      <c r="AF370" s="580">
        <v>3711</v>
      </c>
      <c r="AG370" s="580">
        <v>21562</v>
      </c>
      <c r="AH370" s="580">
        <v>1531</v>
      </c>
      <c r="AI370" s="580">
        <v>0</v>
      </c>
      <c r="AJ370" s="580">
        <v>0</v>
      </c>
      <c r="AK370" s="580">
        <v>431</v>
      </c>
      <c r="AL370" s="580">
        <v>856</v>
      </c>
      <c r="AM370" s="580">
        <v>370</v>
      </c>
      <c r="AN370" s="580">
        <v>3039</v>
      </c>
      <c r="AO370" s="580">
        <v>1969</v>
      </c>
      <c r="AP370" s="580">
        <v>14</v>
      </c>
    </row>
    <row r="371" spans="1:42">
      <c r="A371" s="547">
        <f t="shared" si="5"/>
        <v>2016</v>
      </c>
      <c r="B371" s="579">
        <v>42643</v>
      </c>
      <c r="C371" s="580">
        <v>30925</v>
      </c>
      <c r="D371" s="580">
        <v>70156</v>
      </c>
      <c r="E371" s="580">
        <v>95482</v>
      </c>
      <c r="F371" s="580">
        <v>7303</v>
      </c>
      <c r="G371" s="580">
        <v>3824</v>
      </c>
      <c r="H371" s="580">
        <v>9233</v>
      </c>
      <c r="I371" s="580">
        <v>47775</v>
      </c>
      <c r="J371" s="580">
        <v>3388</v>
      </c>
      <c r="K371" s="580">
        <v>1187</v>
      </c>
      <c r="L371" s="580">
        <v>4068</v>
      </c>
      <c r="M371" s="580">
        <v>0</v>
      </c>
      <c r="N371" s="580">
        <v>0</v>
      </c>
      <c r="O371" s="580">
        <v>0</v>
      </c>
      <c r="P371" s="580">
        <v>265</v>
      </c>
      <c r="Q371" s="580">
        <v>0</v>
      </c>
      <c r="R371" s="580">
        <v>802</v>
      </c>
      <c r="S371" s="580">
        <v>0</v>
      </c>
      <c r="T371" s="580">
        <v>0</v>
      </c>
      <c r="U371" s="580">
        <v>0</v>
      </c>
      <c r="V371" s="580">
        <v>480</v>
      </c>
      <c r="W371" s="580">
        <v>2100</v>
      </c>
      <c r="X371" s="580">
        <v>3013</v>
      </c>
      <c r="Y371" s="580">
        <v>8792</v>
      </c>
      <c r="Z371" s="580">
        <v>372</v>
      </c>
      <c r="AA371" s="580">
        <v>0</v>
      </c>
      <c r="AB371" s="580">
        <v>0</v>
      </c>
      <c r="AC371" s="580">
        <v>0</v>
      </c>
      <c r="AD371" s="580">
        <v>399</v>
      </c>
      <c r="AE371" s="580">
        <v>23505</v>
      </c>
      <c r="AF371" s="580">
        <v>25414</v>
      </c>
      <c r="AG371" s="580">
        <v>36709</v>
      </c>
      <c r="AH371" s="580">
        <v>1848</v>
      </c>
      <c r="AI371" s="580">
        <v>0</v>
      </c>
      <c r="AJ371" s="580">
        <v>1597</v>
      </c>
      <c r="AK371" s="580">
        <v>2206</v>
      </c>
      <c r="AL371" s="580">
        <v>0</v>
      </c>
      <c r="AM371" s="580">
        <v>309</v>
      </c>
      <c r="AN371" s="580">
        <v>26566</v>
      </c>
      <c r="AO371" s="580">
        <v>0</v>
      </c>
      <c r="AP371" s="580">
        <v>14</v>
      </c>
    </row>
    <row r="372" spans="1:42">
      <c r="A372" s="547">
        <f t="shared" si="5"/>
        <v>2016</v>
      </c>
      <c r="B372" s="579">
        <v>42674</v>
      </c>
      <c r="C372" s="580">
        <v>16861</v>
      </c>
      <c r="D372" s="580">
        <v>17295</v>
      </c>
      <c r="E372" s="580">
        <v>105741</v>
      </c>
      <c r="F372" s="580">
        <v>20339</v>
      </c>
      <c r="G372" s="580">
        <v>7390</v>
      </c>
      <c r="H372" s="580">
        <v>0</v>
      </c>
      <c r="I372" s="580">
        <v>19030</v>
      </c>
      <c r="J372" s="580">
        <v>3088</v>
      </c>
      <c r="K372" s="580">
        <v>0</v>
      </c>
      <c r="L372" s="580">
        <v>0</v>
      </c>
      <c r="M372" s="580">
        <v>1076</v>
      </c>
      <c r="N372" s="580">
        <v>73</v>
      </c>
      <c r="O372" s="580">
        <v>0</v>
      </c>
      <c r="P372" s="580">
        <v>0</v>
      </c>
      <c r="Q372" s="580">
        <v>7081</v>
      </c>
      <c r="R372" s="580">
        <v>0</v>
      </c>
      <c r="S372" s="580">
        <v>0</v>
      </c>
      <c r="T372" s="580">
        <v>0</v>
      </c>
      <c r="U372" s="580">
        <v>0</v>
      </c>
      <c r="V372" s="580">
        <v>0</v>
      </c>
      <c r="W372" s="580">
        <v>0</v>
      </c>
      <c r="X372" s="580">
        <v>0</v>
      </c>
      <c r="Y372" s="580">
        <v>13447</v>
      </c>
      <c r="Z372" s="580">
        <v>0</v>
      </c>
      <c r="AA372" s="580">
        <v>328</v>
      </c>
      <c r="AB372" s="580">
        <v>0</v>
      </c>
      <c r="AC372" s="580">
        <v>3662</v>
      </c>
      <c r="AD372" s="580">
        <v>0</v>
      </c>
      <c r="AE372" s="580">
        <v>7201</v>
      </c>
      <c r="AF372" s="580">
        <v>13690</v>
      </c>
      <c r="AG372" s="580">
        <v>57043</v>
      </c>
      <c r="AH372" s="580">
        <v>9352</v>
      </c>
      <c r="AI372" s="580">
        <v>610</v>
      </c>
      <c r="AJ372" s="580">
        <v>173</v>
      </c>
      <c r="AK372" s="580">
        <v>3247</v>
      </c>
      <c r="AL372" s="580">
        <v>9</v>
      </c>
      <c r="AM372" s="580">
        <v>1332</v>
      </c>
      <c r="AN372" s="580">
        <v>3432</v>
      </c>
      <c r="AO372" s="580">
        <v>1155</v>
      </c>
      <c r="AP372" s="580">
        <v>7817</v>
      </c>
    </row>
    <row r="373" spans="1:42">
      <c r="A373" s="547">
        <f t="shared" si="5"/>
        <v>2016</v>
      </c>
      <c r="B373" s="579">
        <v>42704</v>
      </c>
      <c r="C373" s="580">
        <v>53285</v>
      </c>
      <c r="D373" s="580">
        <v>60988</v>
      </c>
      <c r="E373" s="580">
        <v>82338</v>
      </c>
      <c r="F373" s="580">
        <v>63111</v>
      </c>
      <c r="G373" s="580">
        <v>45164</v>
      </c>
      <c r="H373" s="580">
        <v>31703</v>
      </c>
      <c r="I373" s="580">
        <v>17584</v>
      </c>
      <c r="J373" s="580">
        <v>35393</v>
      </c>
      <c r="K373" s="580">
        <v>200</v>
      </c>
      <c r="L373" s="580">
        <v>0</v>
      </c>
      <c r="M373" s="580">
        <v>2351</v>
      </c>
      <c r="N373" s="580">
        <v>0</v>
      </c>
      <c r="O373" s="580">
        <v>0</v>
      </c>
      <c r="P373" s="580">
        <v>0</v>
      </c>
      <c r="Q373" s="580">
        <v>1119</v>
      </c>
      <c r="R373" s="580">
        <v>225</v>
      </c>
      <c r="S373" s="580">
        <v>0</v>
      </c>
      <c r="T373" s="580">
        <v>0</v>
      </c>
      <c r="U373" s="580">
        <v>0</v>
      </c>
      <c r="V373" s="580">
        <v>500</v>
      </c>
      <c r="W373" s="580">
        <v>5966</v>
      </c>
      <c r="X373" s="580">
        <v>0</v>
      </c>
      <c r="Y373" s="580">
        <v>2823</v>
      </c>
      <c r="Z373" s="580">
        <v>14374</v>
      </c>
      <c r="AA373" s="580">
        <v>0</v>
      </c>
      <c r="AB373" s="580">
        <v>968</v>
      </c>
      <c r="AC373" s="580">
        <v>4791</v>
      </c>
      <c r="AD373" s="580">
        <v>0</v>
      </c>
      <c r="AE373" s="580">
        <v>1604</v>
      </c>
      <c r="AF373" s="580">
        <v>23367</v>
      </c>
      <c r="AG373" s="580">
        <v>47088</v>
      </c>
      <c r="AH373" s="580">
        <v>11610</v>
      </c>
      <c r="AI373" s="580">
        <v>0</v>
      </c>
      <c r="AJ373" s="580">
        <v>4950</v>
      </c>
      <c r="AK373" s="580">
        <v>6582</v>
      </c>
      <c r="AL373" s="580">
        <v>1009</v>
      </c>
      <c r="AM373" s="580">
        <v>351</v>
      </c>
      <c r="AN373" s="580">
        <v>0</v>
      </c>
      <c r="AO373" s="580">
        <v>0</v>
      </c>
      <c r="AP373" s="580">
        <v>0</v>
      </c>
    </row>
    <row r="374" spans="1:42">
      <c r="A374" s="547">
        <f t="shared" si="5"/>
        <v>2016</v>
      </c>
      <c r="B374" s="579">
        <v>42735</v>
      </c>
      <c r="C374" s="580">
        <v>17584</v>
      </c>
      <c r="D374" s="580">
        <v>34365</v>
      </c>
      <c r="E374" s="580">
        <v>68511</v>
      </c>
      <c r="F374" s="580">
        <v>28058</v>
      </c>
      <c r="G374" s="580">
        <v>9233</v>
      </c>
      <c r="H374" s="580">
        <v>5774</v>
      </c>
      <c r="I374" s="580">
        <v>26545</v>
      </c>
      <c r="J374" s="580">
        <v>18953</v>
      </c>
      <c r="K374" s="580">
        <v>0</v>
      </c>
      <c r="L374" s="580">
        <v>0</v>
      </c>
      <c r="M374" s="580">
        <v>0</v>
      </c>
      <c r="N374" s="580">
        <v>0</v>
      </c>
      <c r="O374" s="580">
        <v>0</v>
      </c>
      <c r="P374" s="580">
        <v>320</v>
      </c>
      <c r="Q374" s="580">
        <v>0</v>
      </c>
      <c r="R374" s="580">
        <v>170</v>
      </c>
      <c r="S374" s="580">
        <v>0</v>
      </c>
      <c r="T374" s="580">
        <v>0</v>
      </c>
      <c r="U374" s="580">
        <v>0</v>
      </c>
      <c r="V374" s="580">
        <v>0</v>
      </c>
      <c r="W374" s="580">
        <v>0</v>
      </c>
      <c r="X374" s="580">
        <v>11687</v>
      </c>
      <c r="Y374" s="580">
        <v>3474</v>
      </c>
      <c r="Z374" s="580">
        <v>0</v>
      </c>
      <c r="AA374" s="580">
        <v>0</v>
      </c>
      <c r="AB374" s="580">
        <v>0</v>
      </c>
      <c r="AC374" s="580">
        <v>0</v>
      </c>
      <c r="AD374" s="580">
        <v>0</v>
      </c>
      <c r="AE374" s="580">
        <v>8351</v>
      </c>
      <c r="AF374" s="580">
        <v>13944</v>
      </c>
      <c r="AG374" s="580">
        <v>35732</v>
      </c>
      <c r="AH374" s="580">
        <v>8935</v>
      </c>
      <c r="AI374" s="580">
        <v>0</v>
      </c>
      <c r="AJ374" s="580">
        <v>2640</v>
      </c>
      <c r="AK374" s="580">
        <v>1959</v>
      </c>
      <c r="AL374" s="580">
        <v>0</v>
      </c>
      <c r="AM374" s="580">
        <v>0</v>
      </c>
      <c r="AN374" s="580">
        <v>0</v>
      </c>
      <c r="AO374" s="580">
        <v>801</v>
      </c>
      <c r="AP374" s="580">
        <v>0</v>
      </c>
    </row>
    <row r="375" spans="1:42">
      <c r="A375" s="547">
        <f t="shared" si="5"/>
        <v>2017</v>
      </c>
      <c r="B375" s="579">
        <v>42766</v>
      </c>
      <c r="C375" s="580">
        <v>77451</v>
      </c>
      <c r="D375" s="580">
        <v>10104</v>
      </c>
      <c r="E375" s="580">
        <v>73626</v>
      </c>
      <c r="F375" s="580">
        <v>6928</v>
      </c>
      <c r="G375" s="580">
        <v>7445</v>
      </c>
      <c r="H375" s="580">
        <v>1666</v>
      </c>
      <c r="I375" s="580">
        <v>12041</v>
      </c>
      <c r="J375" s="580">
        <v>497</v>
      </c>
      <c r="K375" s="580">
        <v>0</v>
      </c>
      <c r="L375" s="580">
        <v>0</v>
      </c>
      <c r="M375" s="580">
        <v>140</v>
      </c>
      <c r="N375" s="580">
        <v>0</v>
      </c>
      <c r="O375" s="580">
        <v>0</v>
      </c>
      <c r="P375" s="580">
        <v>0</v>
      </c>
      <c r="Q375" s="580">
        <v>0</v>
      </c>
      <c r="R375" s="580">
        <v>0</v>
      </c>
      <c r="S375" s="580">
        <v>0</v>
      </c>
      <c r="T375" s="580">
        <v>0</v>
      </c>
      <c r="U375" s="580">
        <v>1230</v>
      </c>
      <c r="V375" s="580">
        <v>0</v>
      </c>
      <c r="W375" s="580">
        <v>0</v>
      </c>
      <c r="X375" s="580">
        <v>1444</v>
      </c>
      <c r="Y375" s="580">
        <v>17544</v>
      </c>
      <c r="Z375" s="580">
        <v>684</v>
      </c>
      <c r="AA375" s="580">
        <v>0</v>
      </c>
      <c r="AB375" s="580">
        <v>812</v>
      </c>
      <c r="AC375" s="580">
        <v>1574</v>
      </c>
      <c r="AD375" s="580">
        <v>0</v>
      </c>
      <c r="AE375" s="580">
        <v>69728</v>
      </c>
      <c r="AF375" s="580">
        <v>724</v>
      </c>
      <c r="AG375" s="580">
        <v>29145</v>
      </c>
      <c r="AH375" s="580">
        <v>3775</v>
      </c>
      <c r="AI375" s="580">
        <v>0</v>
      </c>
      <c r="AJ375" s="580">
        <v>5300</v>
      </c>
      <c r="AK375" s="580">
        <v>8286</v>
      </c>
      <c r="AL375" s="580">
        <v>1972</v>
      </c>
      <c r="AM375" s="580">
        <v>278</v>
      </c>
      <c r="AN375" s="580">
        <v>158</v>
      </c>
      <c r="AO375" s="580">
        <v>3666</v>
      </c>
      <c r="AP375" s="580">
        <v>0</v>
      </c>
    </row>
    <row r="376" spans="1:42">
      <c r="A376" s="547">
        <f t="shared" si="5"/>
        <v>2017</v>
      </c>
      <c r="B376" s="579">
        <v>42794</v>
      </c>
      <c r="C376" s="580">
        <v>15745</v>
      </c>
      <c r="D376" s="580">
        <v>12866</v>
      </c>
      <c r="E376" s="580">
        <v>74773</v>
      </c>
      <c r="F376" s="580">
        <v>20529</v>
      </c>
      <c r="G376" s="580">
        <v>1754</v>
      </c>
      <c r="H376" s="580">
        <v>3079</v>
      </c>
      <c r="I376" s="580">
        <v>14126</v>
      </c>
      <c r="J376" s="580">
        <v>8688</v>
      </c>
      <c r="K376" s="580">
        <v>3023</v>
      </c>
      <c r="L376" s="580">
        <v>1158</v>
      </c>
      <c r="M376" s="580">
        <v>3640</v>
      </c>
      <c r="N376" s="580">
        <v>126</v>
      </c>
      <c r="O376" s="580">
        <v>0</v>
      </c>
      <c r="P376" s="580">
        <v>120</v>
      </c>
      <c r="Q376" s="580">
        <v>0</v>
      </c>
      <c r="R376" s="580">
        <v>0</v>
      </c>
      <c r="S376" s="580">
        <v>0</v>
      </c>
      <c r="T376" s="580">
        <v>786</v>
      </c>
      <c r="U376" s="580">
        <v>0</v>
      </c>
      <c r="V376" s="580">
        <v>0</v>
      </c>
      <c r="W376" s="580">
        <v>1893</v>
      </c>
      <c r="X376" s="580">
        <v>0</v>
      </c>
      <c r="Y376" s="580">
        <v>11846</v>
      </c>
      <c r="Z376" s="580">
        <v>3598</v>
      </c>
      <c r="AA376" s="580">
        <v>0</v>
      </c>
      <c r="AB376" s="580">
        <v>4028</v>
      </c>
      <c r="AC376" s="580">
        <v>0</v>
      </c>
      <c r="AD376" s="580">
        <v>0</v>
      </c>
      <c r="AE376" s="580">
        <v>8553</v>
      </c>
      <c r="AF376" s="580">
        <v>3695</v>
      </c>
      <c r="AG376" s="580">
        <v>43964</v>
      </c>
      <c r="AH376" s="580">
        <v>8117</v>
      </c>
      <c r="AI376" s="580">
        <v>0</v>
      </c>
      <c r="AJ376" s="580">
        <v>0</v>
      </c>
      <c r="AK376" s="580">
        <v>0</v>
      </c>
      <c r="AL376" s="580">
        <v>0</v>
      </c>
      <c r="AM376" s="580">
        <v>522</v>
      </c>
      <c r="AN376" s="580">
        <v>0</v>
      </c>
      <c r="AO376" s="580">
        <v>1197</v>
      </c>
      <c r="AP376" s="580">
        <v>0</v>
      </c>
    </row>
    <row r="377" spans="1:42">
      <c r="A377" s="547">
        <f t="shared" si="5"/>
        <v>2017</v>
      </c>
      <c r="B377" s="579">
        <v>42825</v>
      </c>
      <c r="C377" s="580">
        <v>108834</v>
      </c>
      <c r="D377" s="580">
        <v>130690</v>
      </c>
      <c r="E377" s="580">
        <v>63721</v>
      </c>
      <c r="F377" s="580">
        <v>9463</v>
      </c>
      <c r="G377" s="580">
        <v>73094</v>
      </c>
      <c r="H377" s="580">
        <v>1135</v>
      </c>
      <c r="I377" s="580">
        <v>20239</v>
      </c>
      <c r="J377" s="580">
        <v>3843</v>
      </c>
      <c r="K377" s="580">
        <v>0</v>
      </c>
      <c r="L377" s="580">
        <v>0</v>
      </c>
      <c r="M377" s="580">
        <v>2459</v>
      </c>
      <c r="N377" s="580">
        <v>873</v>
      </c>
      <c r="O377" s="580">
        <v>0</v>
      </c>
      <c r="P377" s="580">
        <v>0</v>
      </c>
      <c r="Q377" s="580">
        <v>0</v>
      </c>
      <c r="R377" s="580">
        <v>0</v>
      </c>
      <c r="S377" s="580">
        <v>1238</v>
      </c>
      <c r="T377" s="580">
        <v>0</v>
      </c>
      <c r="U377" s="580">
        <v>110</v>
      </c>
      <c r="V377" s="580">
        <v>0</v>
      </c>
      <c r="W377" s="580">
        <v>24380</v>
      </c>
      <c r="X377" s="580">
        <v>60253</v>
      </c>
      <c r="Y377" s="580">
        <v>0</v>
      </c>
      <c r="Z377" s="580">
        <v>0</v>
      </c>
      <c r="AA377" s="580">
        <v>0</v>
      </c>
      <c r="AB377" s="580">
        <v>0</v>
      </c>
      <c r="AC377" s="580">
        <v>0</v>
      </c>
      <c r="AD377" s="580">
        <v>0</v>
      </c>
      <c r="AE377" s="580">
        <v>9600</v>
      </c>
      <c r="AF377" s="580">
        <v>69302</v>
      </c>
      <c r="AG377" s="580">
        <v>40356</v>
      </c>
      <c r="AH377" s="580">
        <v>4747</v>
      </c>
      <c r="AI377" s="580">
        <v>0</v>
      </c>
      <c r="AJ377" s="580">
        <v>0</v>
      </c>
      <c r="AK377" s="580">
        <v>557</v>
      </c>
      <c r="AL377" s="580">
        <v>0</v>
      </c>
      <c r="AM377" s="580">
        <v>522</v>
      </c>
      <c r="AN377" s="580">
        <v>0</v>
      </c>
      <c r="AO377" s="580">
        <v>0</v>
      </c>
      <c r="AP377" s="580">
        <v>0</v>
      </c>
    </row>
    <row r="378" spans="1:42">
      <c r="A378" s="547">
        <f t="shared" si="5"/>
        <v>2017</v>
      </c>
      <c r="B378" s="579">
        <v>42855</v>
      </c>
      <c r="C378" s="580">
        <v>25415</v>
      </c>
      <c r="D378" s="580">
        <v>30870</v>
      </c>
      <c r="E378" s="580">
        <v>44332</v>
      </c>
      <c r="F378" s="580">
        <v>15982</v>
      </c>
      <c r="G378" s="580">
        <v>1175</v>
      </c>
      <c r="H378" s="580">
        <v>3892</v>
      </c>
      <c r="I378" s="580">
        <v>22719</v>
      </c>
      <c r="J378" s="580">
        <v>5071</v>
      </c>
      <c r="K378" s="580">
        <v>0</v>
      </c>
      <c r="L378" s="580">
        <v>0</v>
      </c>
      <c r="M378" s="580">
        <v>0</v>
      </c>
      <c r="N378" s="580">
        <v>164</v>
      </c>
      <c r="O378" s="580">
        <v>1440</v>
      </c>
      <c r="P378" s="580">
        <v>0</v>
      </c>
      <c r="Q378" s="580">
        <v>0</v>
      </c>
      <c r="R378" s="580">
        <v>0</v>
      </c>
      <c r="S378" s="580">
        <v>1335</v>
      </c>
      <c r="T378" s="580">
        <v>0</v>
      </c>
      <c r="U378" s="580">
        <v>0</v>
      </c>
      <c r="V378" s="580">
        <v>0</v>
      </c>
      <c r="W378" s="580">
        <v>0</v>
      </c>
      <c r="X378" s="580">
        <v>0</v>
      </c>
      <c r="Y378" s="580">
        <v>665</v>
      </c>
      <c r="Z378" s="580">
        <v>9556</v>
      </c>
      <c r="AA378" s="580">
        <v>1618</v>
      </c>
      <c r="AB378" s="580">
        <v>11388</v>
      </c>
      <c r="AC378" s="580">
        <v>600</v>
      </c>
      <c r="AD378" s="580">
        <v>1191</v>
      </c>
      <c r="AE378" s="580">
        <v>19847</v>
      </c>
      <c r="AF378" s="580">
        <v>8384</v>
      </c>
      <c r="AG378" s="580">
        <v>19560</v>
      </c>
      <c r="AH378" s="580">
        <v>0</v>
      </c>
      <c r="AI378" s="580">
        <v>0</v>
      </c>
      <c r="AJ378" s="580">
        <v>7206</v>
      </c>
      <c r="AK378" s="580">
        <v>438</v>
      </c>
      <c r="AL378" s="580">
        <v>0</v>
      </c>
      <c r="AM378" s="580">
        <v>0</v>
      </c>
      <c r="AN378" s="580">
        <v>0</v>
      </c>
      <c r="AO378" s="580">
        <v>350</v>
      </c>
      <c r="AP378" s="580">
        <v>0</v>
      </c>
    </row>
    <row r="379" spans="1:42">
      <c r="A379" s="547">
        <f t="shared" si="5"/>
        <v>2017</v>
      </c>
      <c r="B379" s="666">
        <v>42886</v>
      </c>
      <c r="C379" s="314">
        <v>50244</v>
      </c>
      <c r="D379" s="314">
        <v>32637</v>
      </c>
      <c r="E379" s="314">
        <v>128029</v>
      </c>
      <c r="F379" s="314">
        <v>6792</v>
      </c>
      <c r="G379" s="314">
        <v>19513</v>
      </c>
      <c r="H379" s="314">
        <v>2966</v>
      </c>
      <c r="I379" s="314">
        <v>31219</v>
      </c>
      <c r="J379" s="314">
        <v>1185</v>
      </c>
      <c r="K379" s="580">
        <v>0</v>
      </c>
      <c r="L379" s="580">
        <v>734</v>
      </c>
      <c r="M379" s="314">
        <v>835</v>
      </c>
      <c r="N379" s="580">
        <v>0</v>
      </c>
      <c r="O379" s="314">
        <v>505</v>
      </c>
      <c r="P379" s="580">
        <v>0</v>
      </c>
      <c r="Q379" s="580">
        <v>0</v>
      </c>
      <c r="R379" s="580">
        <v>0</v>
      </c>
      <c r="S379" s="580">
        <v>0</v>
      </c>
      <c r="T379" s="580">
        <v>0</v>
      </c>
      <c r="U379" s="580">
        <v>0</v>
      </c>
      <c r="V379" s="580">
        <v>0</v>
      </c>
      <c r="W379" s="314">
        <v>22072</v>
      </c>
      <c r="X379" s="314">
        <v>12448</v>
      </c>
      <c r="Y379" s="314">
        <v>28872</v>
      </c>
      <c r="Z379" s="580">
        <v>0</v>
      </c>
      <c r="AA379" s="580">
        <v>0</v>
      </c>
      <c r="AB379" s="314">
        <v>687</v>
      </c>
      <c r="AC379" s="314">
        <v>636</v>
      </c>
      <c r="AD379" s="580">
        <v>0</v>
      </c>
      <c r="AE379" s="314">
        <v>8154</v>
      </c>
      <c r="AF379" s="314">
        <v>14140</v>
      </c>
      <c r="AG379" s="580">
        <v>63784</v>
      </c>
      <c r="AH379" s="314">
        <v>5262</v>
      </c>
      <c r="AI379" s="580">
        <v>0</v>
      </c>
      <c r="AJ379" s="314">
        <v>1662</v>
      </c>
      <c r="AK379" s="314">
        <v>2683</v>
      </c>
      <c r="AL379" s="580">
        <v>0</v>
      </c>
      <c r="AM379" s="580">
        <v>0</v>
      </c>
      <c r="AN379" s="580">
        <v>0</v>
      </c>
      <c r="AO379" s="580">
        <v>0</v>
      </c>
      <c r="AP379" s="314">
        <v>345</v>
      </c>
    </row>
    <row r="380" spans="1:42">
      <c r="A380" s="547">
        <f t="shared" si="5"/>
        <v>2017</v>
      </c>
      <c r="B380" s="666">
        <v>42916</v>
      </c>
      <c r="C380" s="314">
        <v>50797</v>
      </c>
      <c r="D380" s="314">
        <v>198738</v>
      </c>
      <c r="E380" s="314">
        <v>101542</v>
      </c>
      <c r="F380" s="314">
        <v>31715</v>
      </c>
      <c r="G380" s="314">
        <v>2969</v>
      </c>
      <c r="H380" s="580">
        <v>2138</v>
      </c>
      <c r="I380" s="314">
        <v>32217</v>
      </c>
      <c r="J380" s="314">
        <v>6361</v>
      </c>
      <c r="K380" s="314">
        <v>338</v>
      </c>
      <c r="L380" s="580">
        <v>0</v>
      </c>
      <c r="M380" s="314">
        <v>6769</v>
      </c>
      <c r="N380" s="314">
        <v>0</v>
      </c>
      <c r="O380" s="314">
        <v>879</v>
      </c>
      <c r="P380" s="580">
        <v>0</v>
      </c>
      <c r="Q380" s="314">
        <v>374</v>
      </c>
      <c r="R380" s="314">
        <v>0</v>
      </c>
      <c r="S380" s="580">
        <v>0</v>
      </c>
      <c r="T380" s="314">
        <v>133</v>
      </c>
      <c r="U380" s="580">
        <v>0</v>
      </c>
      <c r="V380" s="580">
        <v>0</v>
      </c>
      <c r="W380" s="580">
        <v>0</v>
      </c>
      <c r="X380" s="314">
        <v>189548</v>
      </c>
      <c r="Y380" s="314">
        <v>9003</v>
      </c>
      <c r="Z380" s="314">
        <v>2440</v>
      </c>
      <c r="AA380" s="314">
        <v>5365</v>
      </c>
      <c r="AB380" s="314">
        <v>1317</v>
      </c>
      <c r="AC380" s="314">
        <v>5040</v>
      </c>
      <c r="AD380" s="580">
        <v>0</v>
      </c>
      <c r="AE380" s="314">
        <v>40921</v>
      </c>
      <c r="AF380" s="314">
        <v>4990</v>
      </c>
      <c r="AG380" s="314">
        <v>47571</v>
      </c>
      <c r="AH380" s="314">
        <v>21447</v>
      </c>
      <c r="AI380" s="314">
        <v>325</v>
      </c>
      <c r="AJ380" s="314">
        <v>612</v>
      </c>
      <c r="AK380" s="580">
        <v>0</v>
      </c>
      <c r="AL380" s="314">
        <v>373</v>
      </c>
      <c r="AM380" s="580">
        <v>0</v>
      </c>
      <c r="AN380" s="314">
        <v>0</v>
      </c>
      <c r="AO380" s="314">
        <v>568</v>
      </c>
      <c r="AP380" s="314">
        <v>1094</v>
      </c>
    </row>
    <row r="381" spans="1:42">
      <c r="A381" s="547">
        <f t="shared" si="5"/>
        <v>2017</v>
      </c>
      <c r="B381" s="666">
        <v>42947</v>
      </c>
      <c r="C381" s="314">
        <v>7146</v>
      </c>
      <c r="D381" s="314">
        <v>21536</v>
      </c>
      <c r="E381" s="580">
        <v>183224</v>
      </c>
      <c r="F381" s="314">
        <v>28277</v>
      </c>
      <c r="G381" s="580">
        <v>3812</v>
      </c>
      <c r="H381" s="580">
        <v>11579</v>
      </c>
      <c r="I381" s="314">
        <v>26594</v>
      </c>
      <c r="J381" s="580">
        <v>2584</v>
      </c>
      <c r="K381" s="580">
        <v>0</v>
      </c>
      <c r="L381" s="580">
        <v>0</v>
      </c>
      <c r="M381" s="314">
        <v>4500</v>
      </c>
      <c r="N381" s="314">
        <v>3739</v>
      </c>
      <c r="O381" s="580">
        <v>0</v>
      </c>
      <c r="P381" s="580">
        <v>0</v>
      </c>
      <c r="Q381" s="580">
        <v>0</v>
      </c>
      <c r="R381" s="580">
        <v>16448</v>
      </c>
      <c r="S381" s="580">
        <v>0</v>
      </c>
      <c r="T381" s="580">
        <v>0</v>
      </c>
      <c r="U381" s="580">
        <v>0</v>
      </c>
      <c r="V381" s="580">
        <v>0</v>
      </c>
      <c r="W381" s="580">
        <v>0</v>
      </c>
      <c r="X381" s="580">
        <v>4697</v>
      </c>
      <c r="Y381" s="580">
        <v>30766</v>
      </c>
      <c r="Z381" s="580">
        <v>0</v>
      </c>
      <c r="AA381" s="580">
        <v>0</v>
      </c>
      <c r="AB381" s="580">
        <v>0</v>
      </c>
      <c r="AC381" s="580">
        <v>6188</v>
      </c>
      <c r="AD381" s="580">
        <v>0</v>
      </c>
      <c r="AE381" s="314">
        <v>3334</v>
      </c>
      <c r="AF381" s="314">
        <v>2715</v>
      </c>
      <c r="AG381" s="580">
        <v>95143</v>
      </c>
      <c r="AH381" s="580">
        <v>5506</v>
      </c>
      <c r="AI381" s="580">
        <v>0</v>
      </c>
      <c r="AJ381" s="314">
        <v>1225</v>
      </c>
      <c r="AK381" s="580">
        <v>0</v>
      </c>
      <c r="AL381" s="580">
        <v>0</v>
      </c>
      <c r="AM381" s="580">
        <v>0</v>
      </c>
      <c r="AN381" s="580">
        <v>1320</v>
      </c>
      <c r="AO381" s="314">
        <v>20033</v>
      </c>
      <c r="AP381" s="580">
        <v>0</v>
      </c>
    </row>
    <row r="382" spans="1:42">
      <c r="A382" s="547">
        <f t="shared" si="5"/>
        <v>2017</v>
      </c>
      <c r="B382" s="666">
        <v>42978</v>
      </c>
      <c r="C382" s="314">
        <v>18416</v>
      </c>
      <c r="D382" s="314">
        <v>46711</v>
      </c>
      <c r="E382" s="314">
        <v>101395</v>
      </c>
      <c r="F382" s="314">
        <v>27084</v>
      </c>
      <c r="G382" s="314">
        <v>6448</v>
      </c>
      <c r="H382" s="580">
        <v>16203</v>
      </c>
      <c r="I382" s="314">
        <v>70557</v>
      </c>
      <c r="J382" s="580">
        <v>12920</v>
      </c>
      <c r="K382" s="580">
        <v>0</v>
      </c>
      <c r="L382" s="580">
        <v>0</v>
      </c>
      <c r="M382" s="314">
        <v>124</v>
      </c>
      <c r="N382" s="580">
        <v>0</v>
      </c>
      <c r="O382" s="314">
        <v>615</v>
      </c>
      <c r="P382" s="580">
        <v>1306</v>
      </c>
      <c r="Q382" s="580">
        <v>0</v>
      </c>
      <c r="R382" s="580">
        <v>0</v>
      </c>
      <c r="S382" s="580">
        <v>0</v>
      </c>
      <c r="T382" s="314">
        <v>64</v>
      </c>
      <c r="U382" s="580">
        <v>0</v>
      </c>
      <c r="V382" s="314">
        <v>4520</v>
      </c>
      <c r="W382" s="314">
        <v>0</v>
      </c>
      <c r="X382" s="314">
        <v>6335</v>
      </c>
      <c r="Y382" s="580">
        <v>22549</v>
      </c>
      <c r="Z382" s="580">
        <v>164</v>
      </c>
      <c r="AA382" s="580">
        <v>0</v>
      </c>
      <c r="AB382" s="314">
        <v>9323</v>
      </c>
      <c r="AC382" s="314">
        <v>254</v>
      </c>
      <c r="AD382" s="580">
        <v>0</v>
      </c>
      <c r="AE382" s="314">
        <v>8713</v>
      </c>
      <c r="AF382" s="314">
        <v>13305</v>
      </c>
      <c r="AG382" s="314">
        <v>7695</v>
      </c>
      <c r="AH382" s="314">
        <v>7833</v>
      </c>
      <c r="AI382" s="314">
        <v>2640</v>
      </c>
      <c r="AJ382" s="314">
        <v>175</v>
      </c>
      <c r="AK382" s="314">
        <v>216</v>
      </c>
      <c r="AL382" s="314">
        <v>242</v>
      </c>
      <c r="AM382" s="314">
        <v>0</v>
      </c>
      <c r="AN382" s="580">
        <v>0</v>
      </c>
      <c r="AO382" s="580">
        <v>0</v>
      </c>
      <c r="AP382" s="314">
        <v>1405</v>
      </c>
    </row>
    <row r="383" spans="1:42">
      <c r="A383" s="547">
        <f t="shared" si="5"/>
        <v>2017</v>
      </c>
      <c r="B383" s="666">
        <v>43008</v>
      </c>
      <c r="C383" s="314">
        <v>29842</v>
      </c>
      <c r="D383" s="314">
        <v>245971</v>
      </c>
      <c r="E383" s="314">
        <v>91969</v>
      </c>
      <c r="F383" s="314">
        <v>11806</v>
      </c>
      <c r="G383" s="314">
        <v>11737</v>
      </c>
      <c r="H383" s="314">
        <v>15864</v>
      </c>
      <c r="I383" s="314">
        <v>24609</v>
      </c>
      <c r="J383" s="314">
        <v>10805</v>
      </c>
      <c r="K383" s="580">
        <v>0</v>
      </c>
      <c r="L383" s="580">
        <v>0</v>
      </c>
      <c r="M383" s="314">
        <v>0</v>
      </c>
      <c r="N383" s="580">
        <v>0</v>
      </c>
      <c r="O383" s="580">
        <v>0</v>
      </c>
      <c r="P383" s="580">
        <v>0</v>
      </c>
      <c r="Q383" s="580">
        <v>0</v>
      </c>
      <c r="R383" s="580">
        <v>0</v>
      </c>
      <c r="S383" s="580">
        <v>0</v>
      </c>
      <c r="T383" s="580">
        <v>0</v>
      </c>
      <c r="U383" s="580">
        <v>0</v>
      </c>
      <c r="V383" s="314">
        <v>145</v>
      </c>
      <c r="W383" s="314">
        <v>3267</v>
      </c>
      <c r="X383" s="314">
        <v>209158</v>
      </c>
      <c r="Y383" s="314">
        <v>10695</v>
      </c>
      <c r="Z383" s="314">
        <v>104</v>
      </c>
      <c r="AA383" s="580">
        <v>0</v>
      </c>
      <c r="AB383" s="314">
        <v>555</v>
      </c>
      <c r="AC383" s="314">
        <v>0</v>
      </c>
      <c r="AD383" s="580">
        <v>0</v>
      </c>
      <c r="AE383" s="314">
        <v>14243</v>
      </c>
      <c r="AF383" s="314">
        <v>20394</v>
      </c>
      <c r="AG383" s="580">
        <v>55687</v>
      </c>
      <c r="AH383" s="314">
        <v>461</v>
      </c>
      <c r="AI383" s="580">
        <v>0</v>
      </c>
      <c r="AJ383" s="314">
        <v>0</v>
      </c>
      <c r="AK383" s="314">
        <v>978</v>
      </c>
      <c r="AL383" s="580">
        <v>0</v>
      </c>
      <c r="AM383" s="314">
        <v>595</v>
      </c>
      <c r="AN383" s="580">
        <v>0</v>
      </c>
      <c r="AO383" s="580">
        <v>0</v>
      </c>
      <c r="AP383" s="580">
        <v>0</v>
      </c>
    </row>
    <row r="384" spans="1:42">
      <c r="A384" s="547">
        <f t="shared" si="5"/>
        <v>2017</v>
      </c>
      <c r="B384" s="666">
        <v>43039</v>
      </c>
      <c r="C384" s="314">
        <v>29890</v>
      </c>
      <c r="D384" s="314">
        <v>155041</v>
      </c>
      <c r="E384" s="314">
        <v>148665</v>
      </c>
      <c r="F384" s="314">
        <v>31217</v>
      </c>
      <c r="G384" s="314">
        <v>2744</v>
      </c>
      <c r="H384" s="314">
        <v>96140</v>
      </c>
      <c r="I384" s="314">
        <v>25024</v>
      </c>
      <c r="J384" s="314">
        <v>806</v>
      </c>
      <c r="K384" s="580">
        <v>0</v>
      </c>
      <c r="L384" s="580">
        <v>0</v>
      </c>
      <c r="M384" s="314">
        <v>0</v>
      </c>
      <c r="N384" s="580">
        <v>0</v>
      </c>
      <c r="O384" s="314">
        <v>0</v>
      </c>
      <c r="P384" s="580">
        <v>0</v>
      </c>
      <c r="Q384" s="580">
        <v>0</v>
      </c>
      <c r="R384" s="580">
        <v>0</v>
      </c>
      <c r="S384" s="314">
        <v>0</v>
      </c>
      <c r="T384" s="580">
        <v>0</v>
      </c>
      <c r="U384" s="580">
        <v>0</v>
      </c>
      <c r="V384" s="314">
        <v>0</v>
      </c>
      <c r="W384" s="314">
        <v>19823</v>
      </c>
      <c r="X384" s="314">
        <v>32628</v>
      </c>
      <c r="Y384" s="314">
        <v>35654</v>
      </c>
      <c r="Z384" s="314">
        <v>0</v>
      </c>
      <c r="AA384" s="580">
        <v>0</v>
      </c>
      <c r="AB384" s="314">
        <v>0</v>
      </c>
      <c r="AC384" s="314">
        <v>4829</v>
      </c>
      <c r="AD384" s="314">
        <v>211</v>
      </c>
      <c r="AE384" s="314">
        <v>7323</v>
      </c>
      <c r="AF384" s="314">
        <v>26273</v>
      </c>
      <c r="AG384" s="314">
        <v>80821</v>
      </c>
      <c r="AH384" s="314">
        <v>27371</v>
      </c>
      <c r="AI384" s="314">
        <v>0</v>
      </c>
      <c r="AJ384" s="314">
        <v>0</v>
      </c>
      <c r="AK384" s="314">
        <v>0</v>
      </c>
      <c r="AL384" s="314">
        <v>0</v>
      </c>
      <c r="AM384" s="580">
        <v>0</v>
      </c>
      <c r="AN384" s="314">
        <v>0</v>
      </c>
      <c r="AO384" s="314">
        <v>2337</v>
      </c>
      <c r="AP384" s="314">
        <v>2829</v>
      </c>
    </row>
    <row r="385" spans="1:42">
      <c r="A385" s="547">
        <f t="shared" si="5"/>
        <v>2017</v>
      </c>
      <c r="B385" s="666">
        <v>43069</v>
      </c>
      <c r="C385" s="314">
        <v>197100</v>
      </c>
      <c r="D385" s="314">
        <v>64213</v>
      </c>
      <c r="E385" s="314">
        <v>60833</v>
      </c>
      <c r="F385" s="314">
        <v>61439</v>
      </c>
      <c r="G385" s="314">
        <v>0</v>
      </c>
      <c r="H385" s="314">
        <v>23584</v>
      </c>
      <c r="I385" s="314">
        <v>26034</v>
      </c>
      <c r="J385" s="314">
        <v>47757</v>
      </c>
      <c r="K385" s="580">
        <v>0</v>
      </c>
      <c r="L385" s="580">
        <v>0</v>
      </c>
      <c r="M385" s="314">
        <v>1969</v>
      </c>
      <c r="N385" s="580">
        <v>0</v>
      </c>
      <c r="O385" s="314">
        <v>265</v>
      </c>
      <c r="P385" s="580">
        <v>0</v>
      </c>
      <c r="Q385" s="580">
        <v>0</v>
      </c>
      <c r="R385" s="580">
        <v>0</v>
      </c>
      <c r="S385" s="580">
        <v>0</v>
      </c>
      <c r="T385" s="580">
        <v>0</v>
      </c>
      <c r="U385" s="580">
        <v>0</v>
      </c>
      <c r="V385" s="314">
        <v>5074</v>
      </c>
      <c r="W385" s="580">
        <v>0</v>
      </c>
      <c r="X385" s="580">
        <v>8637</v>
      </c>
      <c r="Y385" s="314">
        <v>6513</v>
      </c>
      <c r="Z385" s="314">
        <v>5121</v>
      </c>
      <c r="AA385" s="580">
        <v>0</v>
      </c>
      <c r="AB385" s="580">
        <v>0</v>
      </c>
      <c r="AC385" s="314">
        <v>635</v>
      </c>
      <c r="AD385" s="580">
        <v>0</v>
      </c>
      <c r="AE385" s="314">
        <v>196835</v>
      </c>
      <c r="AF385" s="314">
        <v>27997</v>
      </c>
      <c r="AG385" s="314">
        <v>21588</v>
      </c>
      <c r="AH385" s="314">
        <v>812</v>
      </c>
      <c r="AI385" s="580">
        <v>0</v>
      </c>
      <c r="AJ385" s="314">
        <v>618</v>
      </c>
      <c r="AK385" s="314">
        <v>0</v>
      </c>
      <c r="AL385" s="580">
        <v>0</v>
      </c>
      <c r="AM385" s="580">
        <v>0</v>
      </c>
      <c r="AN385" s="314">
        <v>3377</v>
      </c>
      <c r="AO385" s="314">
        <v>4094</v>
      </c>
      <c r="AP385" s="314">
        <v>2675</v>
      </c>
    </row>
    <row r="386" spans="1:42">
      <c r="A386" s="547">
        <f t="shared" si="5"/>
        <v>2017</v>
      </c>
      <c r="B386" s="666">
        <v>43100</v>
      </c>
      <c r="C386" s="314">
        <v>10247</v>
      </c>
      <c r="D386" s="314">
        <v>22940</v>
      </c>
      <c r="E386" s="314">
        <v>76822</v>
      </c>
      <c r="F386" s="314">
        <v>16153</v>
      </c>
      <c r="G386" s="314">
        <v>1014</v>
      </c>
      <c r="H386" s="314">
        <v>11693</v>
      </c>
      <c r="I386" s="314">
        <v>14567</v>
      </c>
      <c r="J386" s="314">
        <v>3188</v>
      </c>
      <c r="K386" s="580">
        <v>0</v>
      </c>
      <c r="L386" s="314">
        <v>0</v>
      </c>
      <c r="M386" s="314">
        <v>298</v>
      </c>
      <c r="N386" s="580">
        <v>0</v>
      </c>
      <c r="O386" s="314">
        <v>0</v>
      </c>
      <c r="P386" s="580">
        <v>0</v>
      </c>
      <c r="Q386" s="314">
        <v>2456</v>
      </c>
      <c r="R386" s="580">
        <v>0</v>
      </c>
      <c r="S386" s="580">
        <v>0</v>
      </c>
      <c r="T386" s="580">
        <v>0</v>
      </c>
      <c r="U386" s="314">
        <v>0</v>
      </c>
      <c r="V386" s="314">
        <v>492</v>
      </c>
      <c r="W386" s="314">
        <v>0</v>
      </c>
      <c r="X386" s="314">
        <v>1941</v>
      </c>
      <c r="Y386" s="314">
        <v>4701</v>
      </c>
      <c r="Z386" s="314">
        <v>0</v>
      </c>
      <c r="AA386" s="314">
        <v>0</v>
      </c>
      <c r="AB386" s="314">
        <v>0</v>
      </c>
      <c r="AC386" s="314">
        <v>0</v>
      </c>
      <c r="AD386" s="580">
        <v>0</v>
      </c>
      <c r="AE386" s="314">
        <v>8432</v>
      </c>
      <c r="AF386" s="314">
        <v>9306</v>
      </c>
      <c r="AG386" s="314">
        <v>50157</v>
      </c>
      <c r="AH386" s="314">
        <v>12473</v>
      </c>
      <c r="AI386" s="314">
        <v>369</v>
      </c>
      <c r="AJ386" s="314">
        <v>0</v>
      </c>
      <c r="AK386" s="314">
        <v>4643</v>
      </c>
      <c r="AL386" s="314">
        <v>0</v>
      </c>
      <c r="AM386" s="314">
        <v>432</v>
      </c>
      <c r="AN386" s="580">
        <v>0</v>
      </c>
      <c r="AO386" s="314">
        <v>0</v>
      </c>
      <c r="AP386" s="314">
        <v>0</v>
      </c>
    </row>
    <row r="387" spans="1:42">
      <c r="A387" s="547">
        <f t="shared" si="5"/>
        <v>2018</v>
      </c>
      <c r="B387" s="666">
        <v>43131</v>
      </c>
      <c r="C387" s="314">
        <v>21418</v>
      </c>
      <c r="D387" s="314">
        <v>11048</v>
      </c>
      <c r="E387" s="314">
        <v>61251</v>
      </c>
      <c r="F387" s="314">
        <v>9491</v>
      </c>
      <c r="G387" s="314">
        <v>528</v>
      </c>
      <c r="H387" s="314">
        <v>6830</v>
      </c>
      <c r="I387" s="314">
        <v>19590</v>
      </c>
      <c r="J387" s="314">
        <v>3222</v>
      </c>
      <c r="K387" s="580">
        <v>0</v>
      </c>
      <c r="L387" s="314">
        <v>413</v>
      </c>
      <c r="M387" s="314">
        <v>0</v>
      </c>
      <c r="N387" s="580">
        <v>0</v>
      </c>
      <c r="O387" s="314">
        <v>0</v>
      </c>
      <c r="P387" s="580">
        <v>0</v>
      </c>
      <c r="Q387" s="580">
        <v>0</v>
      </c>
      <c r="R387" s="580">
        <v>0</v>
      </c>
      <c r="S387" s="580">
        <v>0</v>
      </c>
      <c r="T387" s="580">
        <v>0</v>
      </c>
      <c r="U387" s="314">
        <v>535</v>
      </c>
      <c r="V387" s="580">
        <v>0</v>
      </c>
      <c r="W387" s="314">
        <v>654</v>
      </c>
      <c r="X387" s="580">
        <v>0</v>
      </c>
      <c r="Y387" s="314">
        <v>0</v>
      </c>
      <c r="Z387" s="314">
        <v>382</v>
      </c>
      <c r="AA387" s="314">
        <v>881</v>
      </c>
      <c r="AB387" s="314">
        <v>0</v>
      </c>
      <c r="AC387" s="314">
        <v>2473</v>
      </c>
      <c r="AD387" s="580">
        <v>0</v>
      </c>
      <c r="AE387" s="314">
        <v>19355</v>
      </c>
      <c r="AF387" s="314">
        <v>3805</v>
      </c>
      <c r="AG387" s="314">
        <v>38653</v>
      </c>
      <c r="AH387" s="314">
        <v>5887</v>
      </c>
      <c r="AI387" s="580">
        <v>0</v>
      </c>
      <c r="AJ387" s="314">
        <v>0</v>
      </c>
      <c r="AK387" s="314">
        <v>0</v>
      </c>
      <c r="AL387" s="580">
        <v>0</v>
      </c>
      <c r="AM387" s="314">
        <v>0</v>
      </c>
      <c r="AN387" s="580">
        <v>0</v>
      </c>
      <c r="AO387" s="314">
        <v>0</v>
      </c>
      <c r="AP387" s="580">
        <v>0</v>
      </c>
    </row>
    <row r="388" spans="1:42">
      <c r="A388" s="547">
        <f t="shared" ref="A388:A450" si="6">YEAR($B388)</f>
        <v>2018</v>
      </c>
      <c r="B388" s="666">
        <v>43159</v>
      </c>
      <c r="C388" s="314">
        <v>78047</v>
      </c>
      <c r="D388" s="314">
        <v>11703</v>
      </c>
      <c r="E388" s="314">
        <v>112003</v>
      </c>
      <c r="F388" s="314">
        <v>19490</v>
      </c>
      <c r="G388" s="314">
        <v>121</v>
      </c>
      <c r="H388" s="314">
        <v>0</v>
      </c>
      <c r="I388" s="314">
        <v>5175</v>
      </c>
      <c r="J388" s="314">
        <v>8159</v>
      </c>
      <c r="K388" s="314">
        <v>392</v>
      </c>
      <c r="L388" s="580">
        <v>0</v>
      </c>
      <c r="M388" s="314">
        <v>2815</v>
      </c>
      <c r="N388" s="314">
        <v>118</v>
      </c>
      <c r="O388" s="314">
        <v>0</v>
      </c>
      <c r="P388" s="314">
        <v>0</v>
      </c>
      <c r="Q388" s="314">
        <v>0</v>
      </c>
      <c r="R388" s="314">
        <v>0</v>
      </c>
      <c r="S388" s="314">
        <v>262</v>
      </c>
      <c r="T388" s="314">
        <v>933</v>
      </c>
      <c r="U388" s="580">
        <v>0</v>
      </c>
      <c r="V388" s="314">
        <v>0</v>
      </c>
      <c r="W388" s="314">
        <v>231</v>
      </c>
      <c r="X388" s="314">
        <v>734</v>
      </c>
      <c r="Y388" s="314">
        <v>6800</v>
      </c>
      <c r="Z388" s="314">
        <v>1778</v>
      </c>
      <c r="AA388" s="314">
        <v>548</v>
      </c>
      <c r="AB388" s="314">
        <v>525</v>
      </c>
      <c r="AC388" s="314">
        <v>0</v>
      </c>
      <c r="AD388" s="314">
        <v>3255</v>
      </c>
      <c r="AE388" s="314">
        <v>76493</v>
      </c>
      <c r="AF388" s="314">
        <v>9307</v>
      </c>
      <c r="AG388" s="314">
        <v>95578</v>
      </c>
      <c r="AH388" s="314">
        <v>6180</v>
      </c>
      <c r="AI388" s="314">
        <v>0</v>
      </c>
      <c r="AJ388" s="314">
        <v>0</v>
      </c>
      <c r="AK388" s="314">
        <v>0</v>
      </c>
      <c r="AL388" s="314">
        <v>0</v>
      </c>
      <c r="AM388" s="314">
        <v>0</v>
      </c>
      <c r="AN388" s="314">
        <v>204</v>
      </c>
      <c r="AO388" s="314">
        <v>1635</v>
      </c>
      <c r="AP388" s="314">
        <v>0</v>
      </c>
    </row>
    <row r="389" spans="1:42">
      <c r="A389" s="547">
        <f t="shared" si="6"/>
        <v>2018</v>
      </c>
      <c r="B389" s="666">
        <v>43190</v>
      </c>
      <c r="C389" s="314">
        <v>36071</v>
      </c>
      <c r="D389" s="314">
        <v>30024</v>
      </c>
      <c r="E389" s="314">
        <v>69711</v>
      </c>
      <c r="F389" s="314">
        <v>10610</v>
      </c>
      <c r="G389" s="314">
        <v>13607</v>
      </c>
      <c r="H389" s="314">
        <v>20220</v>
      </c>
      <c r="I389" s="314">
        <v>28813</v>
      </c>
      <c r="J389" s="314">
        <v>7433</v>
      </c>
      <c r="K389" s="580">
        <v>0</v>
      </c>
      <c r="L389" s="580">
        <v>0</v>
      </c>
      <c r="M389" s="314">
        <v>1054</v>
      </c>
      <c r="N389" s="580">
        <v>0</v>
      </c>
      <c r="O389" s="580">
        <v>0</v>
      </c>
      <c r="P389" s="580">
        <v>0</v>
      </c>
      <c r="Q389" s="580">
        <v>0</v>
      </c>
      <c r="R389" s="580">
        <v>0</v>
      </c>
      <c r="S389" s="314">
        <v>5305</v>
      </c>
      <c r="T389" s="314">
        <v>506</v>
      </c>
      <c r="U389" s="580">
        <v>0</v>
      </c>
      <c r="V389" s="580">
        <v>0</v>
      </c>
      <c r="W389" s="580">
        <v>0</v>
      </c>
      <c r="X389" s="314">
        <v>971</v>
      </c>
      <c r="Y389" s="314">
        <v>16498</v>
      </c>
      <c r="Z389" s="314">
        <v>3177</v>
      </c>
      <c r="AA389" s="314">
        <v>0</v>
      </c>
      <c r="AB389" s="314">
        <v>349</v>
      </c>
      <c r="AC389" s="314">
        <v>607</v>
      </c>
      <c r="AD389" s="580">
        <v>0</v>
      </c>
      <c r="AE389" s="314">
        <v>13627</v>
      </c>
      <c r="AF389" s="314">
        <v>2391</v>
      </c>
      <c r="AG389" s="314">
        <v>15260</v>
      </c>
      <c r="AH389" s="314">
        <v>0</v>
      </c>
      <c r="AI389" s="314">
        <v>256</v>
      </c>
      <c r="AJ389" s="314">
        <v>520</v>
      </c>
      <c r="AK389" s="314">
        <v>5850</v>
      </c>
      <c r="AL389" s="580">
        <v>0</v>
      </c>
      <c r="AM389" s="314">
        <v>3276</v>
      </c>
      <c r="AN389" s="314">
        <v>5067</v>
      </c>
      <c r="AO389" s="314">
        <v>1629</v>
      </c>
      <c r="AP389" s="314">
        <v>0</v>
      </c>
    </row>
    <row r="390" spans="1:42">
      <c r="A390" s="547">
        <f t="shared" si="6"/>
        <v>2018</v>
      </c>
      <c r="B390" s="666">
        <v>43220</v>
      </c>
      <c r="C390" s="314">
        <v>28413</v>
      </c>
      <c r="D390" s="314">
        <v>23330</v>
      </c>
      <c r="E390" s="314">
        <v>107409</v>
      </c>
      <c r="F390" s="314">
        <v>19816</v>
      </c>
      <c r="G390" s="314">
        <v>12453</v>
      </c>
      <c r="H390" s="314">
        <v>11145</v>
      </c>
      <c r="I390" s="314">
        <v>54149</v>
      </c>
      <c r="J390" s="314">
        <v>13973</v>
      </c>
      <c r="K390" s="314">
        <v>664</v>
      </c>
      <c r="L390" s="580">
        <v>0</v>
      </c>
      <c r="M390" s="314">
        <v>28336</v>
      </c>
      <c r="N390" s="314">
        <v>0</v>
      </c>
      <c r="O390" s="314">
        <v>0</v>
      </c>
      <c r="P390" s="580">
        <v>0</v>
      </c>
      <c r="Q390" s="314">
        <v>521</v>
      </c>
      <c r="R390" s="580">
        <v>0</v>
      </c>
      <c r="S390" s="580">
        <v>0</v>
      </c>
      <c r="T390" s="314">
        <v>706</v>
      </c>
      <c r="U390" s="580">
        <v>0</v>
      </c>
      <c r="V390" s="580">
        <v>0</v>
      </c>
      <c r="W390" s="314">
        <v>0</v>
      </c>
      <c r="X390" s="314">
        <v>0</v>
      </c>
      <c r="Y390" s="314">
        <v>2923</v>
      </c>
      <c r="Z390" s="314">
        <v>230</v>
      </c>
      <c r="AA390" s="314">
        <v>0</v>
      </c>
      <c r="AB390" s="314">
        <v>0</v>
      </c>
      <c r="AC390" s="314">
        <v>2567</v>
      </c>
      <c r="AD390" s="580">
        <v>0</v>
      </c>
      <c r="AE390" s="314">
        <v>15296</v>
      </c>
      <c r="AF390" s="314">
        <v>10694</v>
      </c>
      <c r="AG390" s="314">
        <v>16774</v>
      </c>
      <c r="AH390" s="314">
        <v>5399</v>
      </c>
      <c r="AI390" s="314">
        <v>0</v>
      </c>
      <c r="AJ390" s="314">
        <v>785</v>
      </c>
      <c r="AK390" s="314">
        <v>551</v>
      </c>
      <c r="AL390" s="314">
        <v>214</v>
      </c>
      <c r="AM390" s="314">
        <v>0</v>
      </c>
      <c r="AN390" s="314">
        <v>0</v>
      </c>
      <c r="AO390" s="314">
        <v>1588</v>
      </c>
      <c r="AP390" s="314">
        <v>0</v>
      </c>
    </row>
    <row r="391" spans="1:42">
      <c r="A391" s="547">
        <f t="shared" si="6"/>
        <v>2018</v>
      </c>
      <c r="B391" s="666">
        <v>43251</v>
      </c>
      <c r="C391" s="314">
        <v>50436</v>
      </c>
      <c r="D391" s="314">
        <v>74523</v>
      </c>
      <c r="E391" s="314">
        <v>57090</v>
      </c>
      <c r="F391" s="314">
        <v>11593</v>
      </c>
      <c r="G391" s="314">
        <v>6663</v>
      </c>
      <c r="H391" s="314">
        <v>5798</v>
      </c>
      <c r="I391" s="314">
        <v>2857</v>
      </c>
      <c r="J391" s="314">
        <v>4203</v>
      </c>
      <c r="K391" s="580">
        <v>0</v>
      </c>
      <c r="L391" s="580">
        <v>0</v>
      </c>
      <c r="M391" s="314">
        <v>1272</v>
      </c>
      <c r="N391" s="580">
        <v>0</v>
      </c>
      <c r="O391" s="580">
        <v>0</v>
      </c>
      <c r="P391" s="580">
        <v>0</v>
      </c>
      <c r="Q391" s="580">
        <v>0</v>
      </c>
      <c r="R391" s="580">
        <v>0</v>
      </c>
      <c r="S391" s="580">
        <v>0</v>
      </c>
      <c r="T391" s="580">
        <v>0</v>
      </c>
      <c r="U391" s="580">
        <v>0</v>
      </c>
      <c r="V391" s="580">
        <v>0</v>
      </c>
      <c r="W391" s="314">
        <v>28094</v>
      </c>
      <c r="X391" s="580">
        <v>31910</v>
      </c>
      <c r="Y391" s="314">
        <v>33276</v>
      </c>
      <c r="Z391" s="314">
        <v>1975</v>
      </c>
      <c r="AA391" s="314">
        <v>0</v>
      </c>
      <c r="AB391" s="314">
        <v>463</v>
      </c>
      <c r="AC391" s="314">
        <v>507</v>
      </c>
      <c r="AD391" s="314">
        <v>2204</v>
      </c>
      <c r="AE391" s="314">
        <v>15679</v>
      </c>
      <c r="AF391" s="314">
        <v>24182</v>
      </c>
      <c r="AG391" s="314">
        <v>15179</v>
      </c>
      <c r="AH391" s="314">
        <v>2622</v>
      </c>
      <c r="AI391" s="314">
        <v>0</v>
      </c>
      <c r="AJ391" s="314">
        <v>6264</v>
      </c>
      <c r="AK391" s="314">
        <v>0</v>
      </c>
      <c r="AL391" s="580">
        <v>0</v>
      </c>
      <c r="AM391" s="314">
        <v>0</v>
      </c>
      <c r="AN391" s="314">
        <v>5906</v>
      </c>
      <c r="AO391" s="314">
        <v>3999</v>
      </c>
      <c r="AP391" s="314">
        <v>589</v>
      </c>
    </row>
    <row r="392" spans="1:42">
      <c r="A392" s="547">
        <f t="shared" si="6"/>
        <v>2018</v>
      </c>
      <c r="B392" s="666">
        <v>43281</v>
      </c>
      <c r="C392" s="314">
        <v>94420</v>
      </c>
      <c r="D392" s="314">
        <v>4413</v>
      </c>
      <c r="E392" s="314">
        <v>82316</v>
      </c>
      <c r="F392" s="314">
        <v>9822</v>
      </c>
      <c r="G392" s="314">
        <v>1087</v>
      </c>
      <c r="H392" s="314">
        <v>0</v>
      </c>
      <c r="I392" s="314">
        <v>10912</v>
      </c>
      <c r="J392" s="314">
        <v>5091</v>
      </c>
      <c r="K392" s="314">
        <v>0</v>
      </c>
      <c r="L392" s="314">
        <v>0</v>
      </c>
      <c r="M392" s="314">
        <v>1049</v>
      </c>
      <c r="N392" s="314">
        <v>0</v>
      </c>
      <c r="O392" s="314">
        <v>299</v>
      </c>
      <c r="P392" s="580">
        <v>0</v>
      </c>
      <c r="Q392" s="314">
        <v>0</v>
      </c>
      <c r="R392" s="580">
        <v>0</v>
      </c>
      <c r="S392" s="580">
        <v>0</v>
      </c>
      <c r="T392" s="580">
        <v>0</v>
      </c>
      <c r="U392" s="580">
        <v>0</v>
      </c>
      <c r="V392" s="580">
        <v>0</v>
      </c>
      <c r="W392" s="314">
        <v>11351</v>
      </c>
      <c r="X392" s="314">
        <v>0</v>
      </c>
      <c r="Y392" s="314">
        <v>17120</v>
      </c>
      <c r="Z392" s="314">
        <v>690</v>
      </c>
      <c r="AA392" s="314">
        <v>0</v>
      </c>
      <c r="AB392" s="314">
        <v>0</v>
      </c>
      <c r="AC392" s="314">
        <v>258</v>
      </c>
      <c r="AD392" s="580">
        <v>0</v>
      </c>
      <c r="AE392" s="314">
        <v>78223</v>
      </c>
      <c r="AF392" s="314">
        <v>3568</v>
      </c>
      <c r="AG392" s="314">
        <v>49688</v>
      </c>
      <c r="AH392" s="314">
        <v>4041</v>
      </c>
      <c r="AI392" s="314">
        <v>0</v>
      </c>
      <c r="AJ392" s="314">
        <v>845</v>
      </c>
      <c r="AK392" s="314">
        <v>2274</v>
      </c>
      <c r="AL392" s="314">
        <v>0</v>
      </c>
      <c r="AM392" s="314">
        <v>3460</v>
      </c>
      <c r="AN392" s="314">
        <v>0</v>
      </c>
      <c r="AO392" s="314">
        <v>1015</v>
      </c>
      <c r="AP392" s="314">
        <v>0</v>
      </c>
    </row>
    <row r="393" spans="1:42">
      <c r="A393" s="547">
        <f t="shared" si="6"/>
        <v>2018</v>
      </c>
      <c r="B393" s="666">
        <v>43312</v>
      </c>
      <c r="C393" s="314">
        <v>94581</v>
      </c>
      <c r="D393" s="314">
        <v>41829</v>
      </c>
      <c r="E393" s="314">
        <v>56027</v>
      </c>
      <c r="F393" s="314">
        <v>9194</v>
      </c>
      <c r="G393" s="314">
        <v>41669</v>
      </c>
      <c r="H393" s="314">
        <v>24134</v>
      </c>
      <c r="I393" s="314">
        <v>14671</v>
      </c>
      <c r="J393" s="314">
        <v>6381</v>
      </c>
      <c r="K393" s="580">
        <v>0</v>
      </c>
      <c r="L393" s="314">
        <v>1359</v>
      </c>
      <c r="M393" s="314">
        <v>5593</v>
      </c>
      <c r="N393" s="314">
        <v>736</v>
      </c>
      <c r="O393" s="580">
        <v>0</v>
      </c>
      <c r="P393" s="580">
        <v>0</v>
      </c>
      <c r="Q393" s="580">
        <v>0</v>
      </c>
      <c r="R393" s="580">
        <v>0</v>
      </c>
      <c r="S393" s="580">
        <v>0</v>
      </c>
      <c r="T393" s="580">
        <v>0</v>
      </c>
      <c r="U393" s="580">
        <v>0</v>
      </c>
      <c r="V393" s="580">
        <v>0</v>
      </c>
      <c r="W393" s="580">
        <v>955</v>
      </c>
      <c r="X393" s="314">
        <v>10547</v>
      </c>
      <c r="Y393" s="314">
        <v>6721</v>
      </c>
      <c r="Z393" s="314">
        <v>612</v>
      </c>
      <c r="AA393" s="314">
        <v>0</v>
      </c>
      <c r="AB393" s="314">
        <v>2438</v>
      </c>
      <c r="AC393" s="314">
        <v>1080</v>
      </c>
      <c r="AD393" s="580">
        <v>0</v>
      </c>
      <c r="AE393" s="314">
        <v>51957</v>
      </c>
      <c r="AF393" s="314">
        <v>3351</v>
      </c>
      <c r="AG393" s="314">
        <v>23107</v>
      </c>
      <c r="AH393" s="314">
        <v>820</v>
      </c>
      <c r="AI393" s="314">
        <v>0</v>
      </c>
      <c r="AJ393" s="314">
        <v>0</v>
      </c>
      <c r="AK393" s="314">
        <v>3779</v>
      </c>
      <c r="AL393" s="580">
        <v>0</v>
      </c>
      <c r="AM393" s="314">
        <v>0</v>
      </c>
      <c r="AN393" s="314">
        <v>0</v>
      </c>
      <c r="AO393" s="314">
        <v>1076</v>
      </c>
      <c r="AP393" s="314">
        <v>645</v>
      </c>
    </row>
    <row r="394" spans="1:42">
      <c r="A394" s="547">
        <f t="shared" si="6"/>
        <v>2018</v>
      </c>
      <c r="B394" s="666">
        <v>43343</v>
      </c>
      <c r="C394" s="314">
        <v>25736</v>
      </c>
      <c r="D394" s="314">
        <v>10623</v>
      </c>
      <c r="E394" s="314">
        <v>98499</v>
      </c>
      <c r="F394" s="314">
        <v>21587</v>
      </c>
      <c r="G394" s="314">
        <v>350</v>
      </c>
      <c r="H394" s="314">
        <v>2311</v>
      </c>
      <c r="I394" s="314">
        <v>37398</v>
      </c>
      <c r="J394" s="314">
        <v>1752</v>
      </c>
      <c r="K394" s="314">
        <v>0</v>
      </c>
      <c r="L394" s="314">
        <v>237</v>
      </c>
      <c r="M394" s="314">
        <v>0</v>
      </c>
      <c r="N394" s="314">
        <v>6962</v>
      </c>
      <c r="O394" s="314">
        <v>0</v>
      </c>
      <c r="P394" s="580">
        <v>0</v>
      </c>
      <c r="Q394" s="314">
        <v>0</v>
      </c>
      <c r="R394" s="580">
        <v>0</v>
      </c>
      <c r="S394" s="314">
        <v>1206</v>
      </c>
      <c r="T394" s="580">
        <v>0</v>
      </c>
      <c r="U394" s="314">
        <v>9627</v>
      </c>
      <c r="V394" s="314">
        <v>0</v>
      </c>
      <c r="W394" s="314">
        <v>7887</v>
      </c>
      <c r="X394" s="314">
        <v>2191</v>
      </c>
      <c r="Y394" s="314">
        <v>5128</v>
      </c>
      <c r="Z394" s="314">
        <v>10125</v>
      </c>
      <c r="AA394" s="314">
        <v>480</v>
      </c>
      <c r="AB394" s="314">
        <v>4030</v>
      </c>
      <c r="AC394" s="314">
        <v>459</v>
      </c>
      <c r="AD394" s="314">
        <v>0</v>
      </c>
      <c r="AE394" s="314">
        <v>15415</v>
      </c>
      <c r="AF394" s="314">
        <v>1854</v>
      </c>
      <c r="AG394" s="314">
        <v>42924</v>
      </c>
      <c r="AH394" s="314">
        <v>2748</v>
      </c>
      <c r="AI394" s="314">
        <v>398</v>
      </c>
      <c r="AJ394" s="314">
        <v>0</v>
      </c>
      <c r="AK394" s="314">
        <v>0</v>
      </c>
      <c r="AL394" s="314">
        <v>0</v>
      </c>
      <c r="AM394" s="314">
        <v>0</v>
      </c>
      <c r="AN394" s="314">
        <v>0</v>
      </c>
      <c r="AO394" s="314">
        <v>2963</v>
      </c>
      <c r="AP394" s="314">
        <v>0</v>
      </c>
    </row>
    <row r="395" spans="1:42">
      <c r="A395" s="547">
        <f t="shared" si="6"/>
        <v>2018</v>
      </c>
      <c r="B395" s="666">
        <v>43373</v>
      </c>
      <c r="C395" s="314">
        <v>82470</v>
      </c>
      <c r="D395" s="314">
        <v>46978</v>
      </c>
      <c r="E395" s="314">
        <v>232339</v>
      </c>
      <c r="F395" s="314">
        <v>19241</v>
      </c>
      <c r="G395" s="314">
        <v>22141</v>
      </c>
      <c r="H395" s="314">
        <v>39546</v>
      </c>
      <c r="I395" s="314">
        <v>53674</v>
      </c>
      <c r="J395" s="314">
        <v>2039</v>
      </c>
      <c r="K395" s="580">
        <v>0</v>
      </c>
      <c r="L395" s="314">
        <v>0</v>
      </c>
      <c r="M395" s="314">
        <v>4403</v>
      </c>
      <c r="N395" s="314">
        <v>572</v>
      </c>
      <c r="O395" s="314">
        <v>1461</v>
      </c>
      <c r="P395" s="580">
        <v>0</v>
      </c>
      <c r="Q395" s="314">
        <v>703</v>
      </c>
      <c r="R395" s="580">
        <v>0</v>
      </c>
      <c r="S395" s="580">
        <v>0</v>
      </c>
      <c r="T395" s="580">
        <v>0</v>
      </c>
      <c r="U395" s="580">
        <v>0</v>
      </c>
      <c r="V395" s="314">
        <v>489</v>
      </c>
      <c r="W395" s="314">
        <v>25734</v>
      </c>
      <c r="X395" s="580">
        <v>0</v>
      </c>
      <c r="Y395" s="314">
        <v>2094</v>
      </c>
      <c r="Z395" s="314">
        <v>0</v>
      </c>
      <c r="AA395" s="314">
        <v>0</v>
      </c>
      <c r="AB395" s="314">
        <v>0</v>
      </c>
      <c r="AC395" s="314">
        <v>1515</v>
      </c>
      <c r="AD395" s="314">
        <v>659</v>
      </c>
      <c r="AE395" s="314">
        <v>30877</v>
      </c>
      <c r="AF395" s="314">
        <v>5499</v>
      </c>
      <c r="AG395" s="314">
        <v>167787</v>
      </c>
      <c r="AH395" s="314">
        <v>12223</v>
      </c>
      <c r="AI395" s="314">
        <v>1682</v>
      </c>
      <c r="AJ395" s="314">
        <v>1933</v>
      </c>
      <c r="AK395" s="314">
        <v>765</v>
      </c>
      <c r="AL395" s="314">
        <v>3259</v>
      </c>
      <c r="AM395" s="314">
        <v>575</v>
      </c>
      <c r="AN395" s="314">
        <v>0</v>
      </c>
      <c r="AO395" s="314">
        <v>1398</v>
      </c>
      <c r="AP395" s="314">
        <v>0</v>
      </c>
    </row>
    <row r="396" spans="1:42">
      <c r="A396" s="547">
        <f t="shared" si="6"/>
        <v>2018</v>
      </c>
      <c r="B396" s="666">
        <v>43404</v>
      </c>
      <c r="C396" s="314">
        <v>59717</v>
      </c>
      <c r="D396" s="314">
        <v>40083</v>
      </c>
      <c r="E396" s="314">
        <v>94279</v>
      </c>
      <c r="F396" s="314">
        <v>21501</v>
      </c>
      <c r="G396">
        <v>49749</v>
      </c>
      <c r="H396">
        <v>1814</v>
      </c>
      <c r="I396">
        <v>17255</v>
      </c>
      <c r="J396">
        <v>4507</v>
      </c>
      <c r="K396">
        <v>0</v>
      </c>
      <c r="L396">
        <v>0</v>
      </c>
      <c r="M396">
        <v>684</v>
      </c>
      <c r="N396">
        <v>384</v>
      </c>
      <c r="O396">
        <v>0</v>
      </c>
      <c r="P396">
        <v>0</v>
      </c>
      <c r="Q396">
        <v>1138</v>
      </c>
      <c r="R396">
        <v>0</v>
      </c>
      <c r="S396">
        <v>812</v>
      </c>
      <c r="T396">
        <v>0</v>
      </c>
      <c r="U396">
        <v>4631</v>
      </c>
      <c r="V396">
        <v>507</v>
      </c>
      <c r="W396">
        <v>261</v>
      </c>
      <c r="X396">
        <v>476</v>
      </c>
      <c r="Y396">
        <v>15089</v>
      </c>
      <c r="Z396">
        <v>0</v>
      </c>
      <c r="AA396">
        <v>470</v>
      </c>
      <c r="AB396">
        <v>6645</v>
      </c>
      <c r="AC396">
        <v>9993</v>
      </c>
      <c r="AD396">
        <v>2267</v>
      </c>
      <c r="AE396">
        <v>7050</v>
      </c>
      <c r="AF396">
        <v>28171</v>
      </c>
      <c r="AG396">
        <v>44131</v>
      </c>
      <c r="AH396">
        <v>13836</v>
      </c>
      <c r="AI396">
        <v>0</v>
      </c>
      <c r="AJ396">
        <v>1182</v>
      </c>
      <c r="AK396">
        <v>1358</v>
      </c>
      <c r="AL396">
        <v>0</v>
      </c>
      <c r="AM396">
        <v>1375</v>
      </c>
      <c r="AN396">
        <v>1795</v>
      </c>
      <c r="AO396">
        <v>0</v>
      </c>
      <c r="AP396">
        <v>0</v>
      </c>
    </row>
    <row r="397" spans="1:42">
      <c r="A397" s="547">
        <f t="shared" si="6"/>
        <v>2018</v>
      </c>
      <c r="B397" s="666">
        <v>43434</v>
      </c>
      <c r="C397" s="314">
        <v>22675</v>
      </c>
      <c r="D397" s="314">
        <v>32871</v>
      </c>
      <c r="E397" s="314">
        <v>52141</v>
      </c>
      <c r="F397" s="314">
        <v>37981</v>
      </c>
      <c r="G397">
        <v>7693</v>
      </c>
      <c r="H397">
        <v>862</v>
      </c>
      <c r="I397">
        <v>12520</v>
      </c>
      <c r="J397">
        <v>25891</v>
      </c>
      <c r="K397">
        <v>784</v>
      </c>
      <c r="L397">
        <v>0</v>
      </c>
      <c r="M397">
        <v>606</v>
      </c>
      <c r="N397">
        <v>1982</v>
      </c>
      <c r="O397">
        <v>0</v>
      </c>
      <c r="P397">
        <v>0</v>
      </c>
      <c r="Q397">
        <v>0</v>
      </c>
      <c r="R397">
        <v>0</v>
      </c>
      <c r="S397">
        <v>0</v>
      </c>
      <c r="T397">
        <v>0</v>
      </c>
      <c r="U397">
        <v>0</v>
      </c>
      <c r="V397">
        <v>0</v>
      </c>
      <c r="W397">
        <v>0</v>
      </c>
      <c r="X397">
        <v>6630</v>
      </c>
      <c r="Y397">
        <v>9735</v>
      </c>
      <c r="Z397">
        <v>5030</v>
      </c>
      <c r="AA397">
        <v>0</v>
      </c>
      <c r="AB397">
        <v>0</v>
      </c>
      <c r="AC397">
        <v>0</v>
      </c>
      <c r="AD397">
        <v>1000</v>
      </c>
      <c r="AE397">
        <v>14335</v>
      </c>
      <c r="AF397">
        <v>23221</v>
      </c>
      <c r="AG397">
        <v>24936</v>
      </c>
      <c r="AH397">
        <v>1213</v>
      </c>
      <c r="AI397">
        <v>0</v>
      </c>
      <c r="AJ397">
        <v>2158</v>
      </c>
      <c r="AK397">
        <v>1310</v>
      </c>
      <c r="AL397">
        <v>2865</v>
      </c>
      <c r="AM397">
        <v>647</v>
      </c>
      <c r="AN397">
        <v>1051</v>
      </c>
      <c r="AO397">
        <v>0</v>
      </c>
      <c r="AP397">
        <v>0</v>
      </c>
    </row>
    <row r="398" spans="1:42">
      <c r="A398" s="547">
        <f t="shared" si="6"/>
        <v>2018</v>
      </c>
      <c r="B398" s="666">
        <v>43465</v>
      </c>
      <c r="C398">
        <v>27154</v>
      </c>
      <c r="D398">
        <v>25649</v>
      </c>
      <c r="E398">
        <v>96164</v>
      </c>
      <c r="F398">
        <v>28673</v>
      </c>
      <c r="G398">
        <v>5890</v>
      </c>
      <c r="H398">
        <v>558</v>
      </c>
      <c r="I398">
        <v>11772</v>
      </c>
      <c r="J398">
        <v>3895</v>
      </c>
      <c r="K398">
        <v>0</v>
      </c>
      <c r="L398">
        <v>0</v>
      </c>
      <c r="M398">
        <v>6165</v>
      </c>
      <c r="N398">
        <v>24</v>
      </c>
      <c r="O398">
        <v>0</v>
      </c>
      <c r="P398">
        <v>0</v>
      </c>
      <c r="Q398">
        <v>0</v>
      </c>
      <c r="R398">
        <v>0</v>
      </c>
      <c r="S398">
        <v>0</v>
      </c>
      <c r="T398">
        <v>0</v>
      </c>
      <c r="U398">
        <v>0</v>
      </c>
      <c r="V398">
        <v>9284</v>
      </c>
      <c r="W398">
        <v>1714</v>
      </c>
      <c r="X398">
        <v>3262</v>
      </c>
      <c r="Y398">
        <v>25708</v>
      </c>
      <c r="Z398">
        <v>349</v>
      </c>
      <c r="AA398">
        <v>0</v>
      </c>
      <c r="AB398">
        <v>0</v>
      </c>
      <c r="AC398">
        <v>0</v>
      </c>
      <c r="AD398">
        <v>0</v>
      </c>
      <c r="AE398">
        <v>16850</v>
      </c>
      <c r="AF398">
        <v>3993</v>
      </c>
      <c r="AG398">
        <v>50199</v>
      </c>
      <c r="AH398">
        <v>8330</v>
      </c>
      <c r="AI398">
        <v>0</v>
      </c>
      <c r="AJ398">
        <v>2997</v>
      </c>
      <c r="AK398">
        <v>2320</v>
      </c>
      <c r="AL398">
        <v>6791</v>
      </c>
      <c r="AM398">
        <v>2700</v>
      </c>
      <c r="AN398">
        <v>14839</v>
      </c>
      <c r="AO398">
        <v>0</v>
      </c>
      <c r="AP398">
        <v>0</v>
      </c>
    </row>
    <row r="399" spans="1:42">
      <c r="A399" s="547">
        <f t="shared" si="6"/>
        <v>2019</v>
      </c>
      <c r="B399" s="666">
        <v>43496</v>
      </c>
      <c r="C399">
        <v>10552</v>
      </c>
      <c r="D399">
        <v>20369</v>
      </c>
      <c r="E399">
        <v>44416</v>
      </c>
      <c r="F399">
        <v>86983</v>
      </c>
      <c r="G399">
        <v>0</v>
      </c>
      <c r="H399">
        <v>1025</v>
      </c>
      <c r="I399">
        <v>12196</v>
      </c>
      <c r="J399">
        <v>47171</v>
      </c>
      <c r="K399">
        <v>0</v>
      </c>
      <c r="L399">
        <v>0</v>
      </c>
      <c r="M399">
        <v>794</v>
      </c>
      <c r="N399">
        <v>0</v>
      </c>
      <c r="O399">
        <v>0</v>
      </c>
      <c r="P399">
        <v>0</v>
      </c>
      <c r="Q399">
        <v>0</v>
      </c>
      <c r="R399">
        <v>0</v>
      </c>
      <c r="S399">
        <v>631</v>
      </c>
      <c r="T399">
        <v>0</v>
      </c>
      <c r="U399">
        <v>943</v>
      </c>
      <c r="V399">
        <v>0</v>
      </c>
      <c r="W399">
        <v>0</v>
      </c>
      <c r="X399">
        <v>1907</v>
      </c>
      <c r="Y399">
        <v>3557</v>
      </c>
      <c r="Z399">
        <v>16657</v>
      </c>
      <c r="AA399">
        <v>416</v>
      </c>
      <c r="AB399">
        <v>491</v>
      </c>
      <c r="AC399">
        <v>0</v>
      </c>
      <c r="AD399">
        <v>3253</v>
      </c>
      <c r="AE399">
        <v>9505</v>
      </c>
      <c r="AF399">
        <v>16946</v>
      </c>
      <c r="AG399">
        <v>25558</v>
      </c>
      <c r="AH399">
        <v>18551</v>
      </c>
      <c r="AI399">
        <v>0</v>
      </c>
      <c r="AJ399">
        <v>0</v>
      </c>
      <c r="AK399">
        <v>0</v>
      </c>
      <c r="AL399">
        <v>1149</v>
      </c>
      <c r="AM399">
        <v>0</v>
      </c>
      <c r="AN399">
        <v>0</v>
      </c>
      <c r="AO399">
        <v>1368</v>
      </c>
      <c r="AP399">
        <v>202</v>
      </c>
    </row>
    <row r="400" spans="1:42">
      <c r="A400" s="547">
        <f t="shared" si="6"/>
        <v>2019</v>
      </c>
      <c r="B400" s="666">
        <v>43524</v>
      </c>
      <c r="C400">
        <v>78131</v>
      </c>
      <c r="D400">
        <v>119317</v>
      </c>
      <c r="E400">
        <v>138867</v>
      </c>
      <c r="F400">
        <v>53710</v>
      </c>
      <c r="G400">
        <v>755</v>
      </c>
      <c r="H400">
        <v>710</v>
      </c>
      <c r="I400">
        <v>44245</v>
      </c>
      <c r="J400">
        <v>3545</v>
      </c>
      <c r="K400">
        <v>0</v>
      </c>
      <c r="L400">
        <v>6468</v>
      </c>
      <c r="M400">
        <v>3106</v>
      </c>
      <c r="N400">
        <v>24582</v>
      </c>
      <c r="O400">
        <v>0</v>
      </c>
      <c r="P400">
        <v>0</v>
      </c>
      <c r="Q400">
        <v>0</v>
      </c>
      <c r="R400">
        <v>0</v>
      </c>
      <c r="S400">
        <v>0</v>
      </c>
      <c r="T400">
        <v>0</v>
      </c>
      <c r="U400">
        <v>5000</v>
      </c>
      <c r="V400">
        <v>478</v>
      </c>
      <c r="W400">
        <v>57863</v>
      </c>
      <c r="X400">
        <v>8236</v>
      </c>
      <c r="Y400">
        <v>44585</v>
      </c>
      <c r="Z400">
        <v>0</v>
      </c>
      <c r="AA400">
        <v>2000</v>
      </c>
      <c r="AB400">
        <v>975</v>
      </c>
      <c r="AC400">
        <v>0</v>
      </c>
      <c r="AD400">
        <v>815</v>
      </c>
      <c r="AE400">
        <v>17078</v>
      </c>
      <c r="AF400">
        <v>86766</v>
      </c>
      <c r="AG400">
        <v>38993</v>
      </c>
      <c r="AH400">
        <v>24290</v>
      </c>
      <c r="AI400">
        <v>435</v>
      </c>
      <c r="AJ400">
        <v>16162</v>
      </c>
      <c r="AK400">
        <v>2938</v>
      </c>
      <c r="AL400">
        <v>0</v>
      </c>
      <c r="AM400">
        <v>0</v>
      </c>
      <c r="AN400">
        <v>0</v>
      </c>
      <c r="AO400">
        <v>0</v>
      </c>
      <c r="AP400">
        <v>0</v>
      </c>
    </row>
    <row r="401" spans="1:42">
      <c r="A401" s="547">
        <f t="shared" si="6"/>
        <v>2019</v>
      </c>
      <c r="B401" s="666">
        <v>43555</v>
      </c>
      <c r="C401">
        <v>8087</v>
      </c>
      <c r="D401">
        <v>60977</v>
      </c>
      <c r="E401">
        <v>88831</v>
      </c>
      <c r="F401">
        <v>24861</v>
      </c>
      <c r="G401">
        <v>0</v>
      </c>
      <c r="H401">
        <v>6958</v>
      </c>
      <c r="I401">
        <v>26801</v>
      </c>
      <c r="J401">
        <v>4844</v>
      </c>
      <c r="K401">
        <v>0</v>
      </c>
      <c r="L401">
        <v>0</v>
      </c>
      <c r="M401">
        <v>16387</v>
      </c>
      <c r="N401">
        <v>0</v>
      </c>
      <c r="O401">
        <v>0</v>
      </c>
      <c r="P401">
        <v>0</v>
      </c>
      <c r="Q401">
        <v>0</v>
      </c>
      <c r="R401">
        <v>213</v>
      </c>
      <c r="S401">
        <v>0</v>
      </c>
      <c r="T401">
        <v>0</v>
      </c>
      <c r="U401">
        <v>0</v>
      </c>
      <c r="V401">
        <v>0</v>
      </c>
      <c r="W401">
        <v>0</v>
      </c>
      <c r="X401">
        <v>20353</v>
      </c>
      <c r="Y401">
        <v>8566</v>
      </c>
      <c r="Z401">
        <v>6248</v>
      </c>
      <c r="AA401">
        <v>2175</v>
      </c>
      <c r="AB401">
        <v>740</v>
      </c>
      <c r="AC401">
        <v>5422</v>
      </c>
      <c r="AD401">
        <v>792</v>
      </c>
      <c r="AE401">
        <v>4720</v>
      </c>
      <c r="AF401">
        <v>27034</v>
      </c>
      <c r="AG401">
        <v>30997</v>
      </c>
      <c r="AH401">
        <v>12188</v>
      </c>
      <c r="AI401">
        <v>504</v>
      </c>
      <c r="AJ401">
        <v>5892</v>
      </c>
      <c r="AK401">
        <v>0</v>
      </c>
      <c r="AL401">
        <v>0</v>
      </c>
      <c r="AM401">
        <v>688</v>
      </c>
      <c r="AN401">
        <v>0</v>
      </c>
      <c r="AO401">
        <v>658</v>
      </c>
      <c r="AP401">
        <v>576</v>
      </c>
    </row>
    <row r="402" spans="1:42">
      <c r="A402" s="547">
        <f t="shared" si="6"/>
        <v>2019</v>
      </c>
      <c r="B402" s="666">
        <v>43585</v>
      </c>
      <c r="C402">
        <v>28740</v>
      </c>
      <c r="D402">
        <v>53116</v>
      </c>
      <c r="E402">
        <v>84350</v>
      </c>
      <c r="F402">
        <v>55040</v>
      </c>
      <c r="G402">
        <v>9894</v>
      </c>
      <c r="H402">
        <v>6332</v>
      </c>
      <c r="I402">
        <v>44815</v>
      </c>
      <c r="J402">
        <v>20599</v>
      </c>
      <c r="K402">
        <v>7032</v>
      </c>
      <c r="L402">
        <v>0</v>
      </c>
      <c r="M402">
        <v>1800</v>
      </c>
      <c r="N402">
        <v>140</v>
      </c>
      <c r="O402">
        <v>0</v>
      </c>
      <c r="P402">
        <v>0</v>
      </c>
      <c r="Q402">
        <v>0</v>
      </c>
      <c r="R402">
        <v>0</v>
      </c>
      <c r="S402">
        <v>759</v>
      </c>
      <c r="T402">
        <v>0</v>
      </c>
      <c r="U402">
        <v>0</v>
      </c>
      <c r="V402">
        <v>0</v>
      </c>
      <c r="W402">
        <v>1809</v>
      </c>
      <c r="X402">
        <v>0</v>
      </c>
      <c r="Y402">
        <v>17623</v>
      </c>
      <c r="Z402">
        <v>216</v>
      </c>
      <c r="AA402">
        <v>0</v>
      </c>
      <c r="AB402">
        <v>0</v>
      </c>
      <c r="AC402">
        <v>0</v>
      </c>
      <c r="AD402">
        <v>3783</v>
      </c>
      <c r="AE402">
        <v>9246</v>
      </c>
      <c r="AF402">
        <v>46784</v>
      </c>
      <c r="AG402">
        <v>20112</v>
      </c>
      <c r="AH402">
        <v>29230</v>
      </c>
      <c r="AI402">
        <v>0</v>
      </c>
      <c r="AJ402">
        <v>0</v>
      </c>
      <c r="AK402">
        <v>0</v>
      </c>
      <c r="AL402">
        <v>0</v>
      </c>
      <c r="AM402">
        <v>0</v>
      </c>
      <c r="AN402">
        <v>0</v>
      </c>
      <c r="AO402">
        <v>0</v>
      </c>
      <c r="AP402">
        <v>1072</v>
      </c>
    </row>
    <row r="403" spans="1:42">
      <c r="A403" s="547">
        <f t="shared" si="6"/>
        <v>2019</v>
      </c>
      <c r="B403" s="666">
        <v>43616</v>
      </c>
      <c r="C403">
        <v>136521</v>
      </c>
      <c r="D403">
        <v>73492</v>
      </c>
      <c r="E403">
        <v>116982</v>
      </c>
      <c r="F403">
        <v>27709</v>
      </c>
      <c r="G403">
        <v>11841</v>
      </c>
      <c r="H403">
        <v>6525</v>
      </c>
      <c r="I403">
        <v>53135</v>
      </c>
      <c r="J403">
        <v>21268</v>
      </c>
      <c r="K403">
        <v>0</v>
      </c>
      <c r="L403">
        <v>147</v>
      </c>
      <c r="M403">
        <v>7342</v>
      </c>
      <c r="N403">
        <v>822</v>
      </c>
      <c r="O403">
        <v>372</v>
      </c>
      <c r="P403">
        <v>0</v>
      </c>
      <c r="Q403">
        <v>0</v>
      </c>
      <c r="R403">
        <v>0</v>
      </c>
      <c r="S403">
        <v>0</v>
      </c>
      <c r="T403">
        <v>0</v>
      </c>
      <c r="U403">
        <v>0</v>
      </c>
      <c r="V403">
        <v>0</v>
      </c>
      <c r="W403">
        <v>0</v>
      </c>
      <c r="X403">
        <v>11491</v>
      </c>
      <c r="Y403">
        <v>20041</v>
      </c>
      <c r="Z403">
        <v>1150</v>
      </c>
      <c r="AA403">
        <v>309</v>
      </c>
      <c r="AB403">
        <v>125</v>
      </c>
      <c r="AC403">
        <v>5186</v>
      </c>
      <c r="AD403">
        <v>1264</v>
      </c>
      <c r="AE403">
        <v>122495</v>
      </c>
      <c r="AF403">
        <v>51699</v>
      </c>
      <c r="AG403">
        <v>26862</v>
      </c>
      <c r="AH403">
        <v>1141</v>
      </c>
      <c r="AI403">
        <v>260</v>
      </c>
      <c r="AJ403">
        <v>0</v>
      </c>
      <c r="AK403">
        <v>2987</v>
      </c>
      <c r="AL403">
        <v>2064</v>
      </c>
      <c r="AM403">
        <v>1244</v>
      </c>
      <c r="AN403">
        <v>3505</v>
      </c>
      <c r="AO403">
        <v>1429</v>
      </c>
      <c r="AP403">
        <v>0</v>
      </c>
    </row>
    <row r="404" spans="1:42">
      <c r="A404" s="547">
        <f t="shared" si="6"/>
        <v>2019</v>
      </c>
      <c r="B404" s="666">
        <v>43646</v>
      </c>
      <c r="C404">
        <v>24743</v>
      </c>
      <c r="D404">
        <v>26839</v>
      </c>
      <c r="E404">
        <v>113899</v>
      </c>
      <c r="F404">
        <v>18201</v>
      </c>
      <c r="G404">
        <v>0</v>
      </c>
      <c r="H404">
        <v>3919</v>
      </c>
      <c r="I404">
        <v>32477</v>
      </c>
      <c r="J404">
        <v>13359</v>
      </c>
      <c r="K404">
        <v>732</v>
      </c>
      <c r="L404">
        <v>0</v>
      </c>
      <c r="M404">
        <v>295</v>
      </c>
      <c r="N404">
        <v>357</v>
      </c>
      <c r="O404">
        <v>0</v>
      </c>
      <c r="P404">
        <v>0</v>
      </c>
      <c r="Q404">
        <v>363</v>
      </c>
      <c r="R404">
        <v>0</v>
      </c>
      <c r="S404">
        <v>0</v>
      </c>
      <c r="T404">
        <v>0</v>
      </c>
      <c r="U404">
        <v>0</v>
      </c>
      <c r="V404">
        <v>0</v>
      </c>
      <c r="W404">
        <v>23517</v>
      </c>
      <c r="X404">
        <v>2030</v>
      </c>
      <c r="Y404">
        <v>8061</v>
      </c>
      <c r="Z404">
        <v>139</v>
      </c>
      <c r="AA404">
        <v>0</v>
      </c>
      <c r="AB404">
        <v>10134</v>
      </c>
      <c r="AC404">
        <v>2344</v>
      </c>
      <c r="AD404">
        <v>142</v>
      </c>
      <c r="AE404">
        <v>494</v>
      </c>
      <c r="AF404">
        <v>7619</v>
      </c>
      <c r="AG404">
        <v>70359</v>
      </c>
      <c r="AH404">
        <v>4204</v>
      </c>
      <c r="AI404">
        <v>0</v>
      </c>
      <c r="AJ404">
        <v>1337</v>
      </c>
      <c r="AK404">
        <v>0</v>
      </c>
      <c r="AL404">
        <v>0</v>
      </c>
      <c r="AM404">
        <v>0</v>
      </c>
      <c r="AN404">
        <v>1800</v>
      </c>
      <c r="AO404">
        <v>0</v>
      </c>
      <c r="AP404">
        <v>0</v>
      </c>
    </row>
    <row r="405" spans="1:42">
      <c r="A405" s="547">
        <f t="shared" si="6"/>
        <v>2019</v>
      </c>
      <c r="B405" s="666">
        <v>43677</v>
      </c>
      <c r="C405">
        <v>85604</v>
      </c>
      <c r="D405">
        <v>13755</v>
      </c>
      <c r="E405">
        <v>124987</v>
      </c>
      <c r="F405">
        <v>15344</v>
      </c>
      <c r="G405">
        <v>0</v>
      </c>
      <c r="H405">
        <v>2510</v>
      </c>
      <c r="I405">
        <v>19006</v>
      </c>
      <c r="J405">
        <v>1132</v>
      </c>
      <c r="K405">
        <v>930</v>
      </c>
      <c r="L405">
        <v>247</v>
      </c>
      <c r="M405">
        <v>8539</v>
      </c>
      <c r="N405">
        <v>0</v>
      </c>
      <c r="O405">
        <v>0</v>
      </c>
      <c r="P405">
        <v>0</v>
      </c>
      <c r="Q405">
        <v>3054</v>
      </c>
      <c r="R405">
        <v>760</v>
      </c>
      <c r="S405">
        <v>0</v>
      </c>
      <c r="T405">
        <v>234</v>
      </c>
      <c r="U405">
        <v>5000</v>
      </c>
      <c r="V405">
        <v>0</v>
      </c>
      <c r="W405">
        <v>0</v>
      </c>
      <c r="X405">
        <v>0</v>
      </c>
      <c r="Y405">
        <v>15789</v>
      </c>
      <c r="Z405">
        <v>254</v>
      </c>
      <c r="AA405">
        <v>0</v>
      </c>
      <c r="AB405">
        <v>0</v>
      </c>
      <c r="AC405">
        <v>0</v>
      </c>
      <c r="AD405">
        <v>0</v>
      </c>
      <c r="AE405">
        <v>84189</v>
      </c>
      <c r="AF405">
        <v>10764</v>
      </c>
      <c r="AG405">
        <v>71862</v>
      </c>
      <c r="AH405">
        <v>12875</v>
      </c>
      <c r="AI405">
        <v>485</v>
      </c>
      <c r="AJ405">
        <v>0</v>
      </c>
      <c r="AK405">
        <v>0</v>
      </c>
      <c r="AL405">
        <v>323</v>
      </c>
      <c r="AM405">
        <v>0</v>
      </c>
      <c r="AN405">
        <v>0</v>
      </c>
      <c r="AO405">
        <v>1737</v>
      </c>
      <c r="AP405">
        <v>0</v>
      </c>
    </row>
    <row r="406" spans="1:42">
      <c r="A406" s="547">
        <f t="shared" si="6"/>
        <v>2019</v>
      </c>
      <c r="B406" s="666">
        <v>43708</v>
      </c>
      <c r="C406">
        <v>53784</v>
      </c>
      <c r="D406">
        <v>89474</v>
      </c>
      <c r="E406">
        <v>85593</v>
      </c>
      <c r="F406">
        <v>41571</v>
      </c>
      <c r="G406">
        <v>13008</v>
      </c>
      <c r="H406">
        <v>67805</v>
      </c>
      <c r="I406">
        <v>32652</v>
      </c>
      <c r="J406">
        <v>18232</v>
      </c>
      <c r="K406">
        <v>0</v>
      </c>
      <c r="L406">
        <v>427</v>
      </c>
      <c r="M406">
        <v>6015</v>
      </c>
      <c r="N406">
        <v>1348</v>
      </c>
      <c r="O406">
        <v>0</v>
      </c>
      <c r="P406">
        <v>0</v>
      </c>
      <c r="Q406">
        <v>394</v>
      </c>
      <c r="R406">
        <v>0</v>
      </c>
      <c r="S406">
        <v>0</v>
      </c>
      <c r="T406">
        <v>0</v>
      </c>
      <c r="U406">
        <v>0</v>
      </c>
      <c r="V406">
        <v>0</v>
      </c>
      <c r="W406">
        <v>23919</v>
      </c>
      <c r="X406">
        <v>2652</v>
      </c>
      <c r="Y406">
        <v>4037</v>
      </c>
      <c r="Z406">
        <v>4094</v>
      </c>
      <c r="AA406">
        <v>0</v>
      </c>
      <c r="AB406">
        <v>104</v>
      </c>
      <c r="AC406">
        <v>365</v>
      </c>
      <c r="AD406">
        <v>702</v>
      </c>
      <c r="AE406">
        <v>16857</v>
      </c>
      <c r="AF406">
        <v>15927</v>
      </c>
      <c r="AG406">
        <v>41265</v>
      </c>
      <c r="AH406">
        <v>17195</v>
      </c>
      <c r="AI406">
        <v>0</v>
      </c>
      <c r="AJ406">
        <v>2559</v>
      </c>
      <c r="AK406">
        <v>0</v>
      </c>
      <c r="AL406">
        <v>0</v>
      </c>
      <c r="AM406">
        <v>0</v>
      </c>
      <c r="AN406">
        <v>0</v>
      </c>
      <c r="AO406">
        <v>865</v>
      </c>
      <c r="AP406">
        <v>0</v>
      </c>
    </row>
    <row r="407" spans="1:42">
      <c r="A407" s="547">
        <f t="shared" si="6"/>
        <v>2019</v>
      </c>
      <c r="B407" s="666">
        <v>43738</v>
      </c>
      <c r="C407">
        <v>18496</v>
      </c>
      <c r="D407">
        <v>8858</v>
      </c>
      <c r="E407">
        <v>128739</v>
      </c>
      <c r="F407">
        <v>18788</v>
      </c>
      <c r="G407">
        <v>13138</v>
      </c>
      <c r="H407">
        <v>657</v>
      </c>
      <c r="I407">
        <v>9332</v>
      </c>
      <c r="J407">
        <v>17275</v>
      </c>
      <c r="K407">
        <v>2287</v>
      </c>
      <c r="L407">
        <v>0</v>
      </c>
      <c r="M407">
        <v>51918</v>
      </c>
      <c r="N407">
        <v>0</v>
      </c>
      <c r="O407">
        <v>402</v>
      </c>
      <c r="P407">
        <v>0</v>
      </c>
      <c r="Q407">
        <v>0</v>
      </c>
      <c r="R407">
        <v>0</v>
      </c>
      <c r="S407">
        <v>849</v>
      </c>
      <c r="T407">
        <v>0</v>
      </c>
      <c r="U407">
        <v>0</v>
      </c>
      <c r="V407">
        <v>0</v>
      </c>
      <c r="W407">
        <v>0</v>
      </c>
      <c r="X407">
        <v>263</v>
      </c>
      <c r="Y407">
        <v>19999</v>
      </c>
      <c r="Z407">
        <v>118</v>
      </c>
      <c r="AA407">
        <v>0</v>
      </c>
      <c r="AB407">
        <v>0</v>
      </c>
      <c r="AC407">
        <v>879</v>
      </c>
      <c r="AD407">
        <v>0</v>
      </c>
      <c r="AE407">
        <v>1820</v>
      </c>
      <c r="AF407">
        <v>7340</v>
      </c>
      <c r="AG407">
        <v>44491</v>
      </c>
      <c r="AH407">
        <v>945</v>
      </c>
      <c r="AI407">
        <v>0</v>
      </c>
      <c r="AJ407">
        <v>598</v>
      </c>
      <c r="AK407">
        <v>2120</v>
      </c>
      <c r="AL407">
        <v>450</v>
      </c>
      <c r="AM407">
        <v>0</v>
      </c>
      <c r="AN407">
        <v>0</v>
      </c>
      <c r="AO407">
        <v>0</v>
      </c>
      <c r="AP407">
        <v>0</v>
      </c>
    </row>
    <row r="408" spans="1:42">
      <c r="A408" s="547">
        <f t="shared" si="6"/>
        <v>2019</v>
      </c>
      <c r="B408" s="666">
        <v>43769</v>
      </c>
      <c r="C408">
        <v>17226</v>
      </c>
      <c r="D408">
        <v>9347</v>
      </c>
      <c r="E408">
        <v>242886</v>
      </c>
      <c r="F408">
        <v>15075</v>
      </c>
      <c r="G408">
        <v>900</v>
      </c>
      <c r="H408">
        <v>521</v>
      </c>
      <c r="I408">
        <v>30618</v>
      </c>
      <c r="J408">
        <v>2484</v>
      </c>
      <c r="K408">
        <v>0</v>
      </c>
      <c r="L408">
        <v>141</v>
      </c>
      <c r="M408">
        <v>3916</v>
      </c>
      <c r="N408">
        <v>2597</v>
      </c>
      <c r="O408">
        <v>216</v>
      </c>
      <c r="P408">
        <v>0</v>
      </c>
      <c r="Q408">
        <v>1407</v>
      </c>
      <c r="R408">
        <v>133</v>
      </c>
      <c r="S408">
        <v>0</v>
      </c>
      <c r="T408">
        <v>0</v>
      </c>
      <c r="U408">
        <v>0</v>
      </c>
      <c r="V408">
        <v>378</v>
      </c>
      <c r="W408">
        <v>0</v>
      </c>
      <c r="X408">
        <v>0</v>
      </c>
      <c r="Y408">
        <v>191337</v>
      </c>
      <c r="Z408">
        <v>4514</v>
      </c>
      <c r="AA408">
        <v>0</v>
      </c>
      <c r="AB408">
        <v>6671</v>
      </c>
      <c r="AC408">
        <v>0</v>
      </c>
      <c r="AD408">
        <v>0</v>
      </c>
      <c r="AE408">
        <v>16110</v>
      </c>
      <c r="AF408">
        <v>0</v>
      </c>
      <c r="AG408">
        <v>12596</v>
      </c>
      <c r="AH408">
        <v>2198</v>
      </c>
      <c r="AI408">
        <v>0</v>
      </c>
      <c r="AJ408">
        <v>0</v>
      </c>
      <c r="AK408">
        <v>1537</v>
      </c>
      <c r="AL408">
        <v>2771</v>
      </c>
      <c r="AM408">
        <v>0</v>
      </c>
      <c r="AN408">
        <v>2014</v>
      </c>
      <c r="AO408">
        <v>1475</v>
      </c>
      <c r="AP408">
        <v>0</v>
      </c>
    </row>
    <row r="409" spans="1:42">
      <c r="A409" s="547">
        <f t="shared" si="6"/>
        <v>2019</v>
      </c>
      <c r="B409" s="666">
        <v>43799</v>
      </c>
      <c r="C409">
        <v>70312</v>
      </c>
      <c r="D409">
        <v>77706</v>
      </c>
      <c r="E409">
        <v>106491</v>
      </c>
      <c r="F409">
        <v>29214</v>
      </c>
      <c r="G409">
        <v>7016</v>
      </c>
      <c r="H409">
        <v>16546</v>
      </c>
      <c r="I409">
        <v>20295</v>
      </c>
      <c r="J409">
        <v>8210</v>
      </c>
      <c r="K409">
        <v>0</v>
      </c>
      <c r="L409">
        <v>244</v>
      </c>
      <c r="M409">
        <v>372</v>
      </c>
      <c r="N409">
        <v>0</v>
      </c>
      <c r="O409">
        <v>0</v>
      </c>
      <c r="P409">
        <v>0</v>
      </c>
      <c r="Q409">
        <v>2899</v>
      </c>
      <c r="R409">
        <v>0</v>
      </c>
      <c r="S409">
        <v>0</v>
      </c>
      <c r="T409">
        <v>0</v>
      </c>
      <c r="U409">
        <v>1037</v>
      </c>
      <c r="V409">
        <v>0</v>
      </c>
      <c r="W409">
        <v>11133</v>
      </c>
      <c r="X409">
        <v>15232</v>
      </c>
      <c r="Y409">
        <v>21391</v>
      </c>
      <c r="Z409">
        <v>11968</v>
      </c>
      <c r="AA409">
        <v>0</v>
      </c>
      <c r="AB409">
        <v>0</v>
      </c>
      <c r="AC409">
        <v>421</v>
      </c>
      <c r="AD409">
        <v>0</v>
      </c>
      <c r="AE409">
        <v>52098</v>
      </c>
      <c r="AF409">
        <v>44239</v>
      </c>
      <c r="AG409">
        <v>53457</v>
      </c>
      <c r="AH409">
        <v>9036</v>
      </c>
      <c r="AI409">
        <v>0</v>
      </c>
      <c r="AJ409">
        <v>1445</v>
      </c>
      <c r="AK409">
        <v>4647</v>
      </c>
      <c r="AL409">
        <v>0</v>
      </c>
      <c r="AM409">
        <v>65</v>
      </c>
      <c r="AN409">
        <v>0</v>
      </c>
      <c r="AO409">
        <v>1972</v>
      </c>
      <c r="AP409">
        <v>0</v>
      </c>
    </row>
    <row r="410" spans="1:42">
      <c r="A410" s="547">
        <f t="shared" si="6"/>
        <v>2019</v>
      </c>
      <c r="B410" s="666">
        <v>43830</v>
      </c>
      <c r="C410">
        <v>63181</v>
      </c>
      <c r="D410">
        <v>57392</v>
      </c>
      <c r="E410">
        <v>126599</v>
      </c>
      <c r="F410">
        <v>15037</v>
      </c>
      <c r="G410">
        <v>17058</v>
      </c>
      <c r="H410">
        <v>20225</v>
      </c>
      <c r="I410">
        <v>16428</v>
      </c>
      <c r="J410">
        <v>1129</v>
      </c>
      <c r="K410">
        <v>2210</v>
      </c>
      <c r="L410">
        <v>1633</v>
      </c>
      <c r="M410">
        <v>3260</v>
      </c>
      <c r="N410">
        <v>1336</v>
      </c>
      <c r="O410">
        <v>108</v>
      </c>
      <c r="P410">
        <v>0</v>
      </c>
      <c r="Q410">
        <v>2486</v>
      </c>
      <c r="R410">
        <v>0</v>
      </c>
      <c r="S410">
        <v>0</v>
      </c>
      <c r="T410">
        <v>0</v>
      </c>
      <c r="U410">
        <v>0</v>
      </c>
      <c r="V410">
        <v>0</v>
      </c>
      <c r="W410">
        <v>0</v>
      </c>
      <c r="X410">
        <v>2875</v>
      </c>
      <c r="Y410">
        <v>20781</v>
      </c>
      <c r="Z410">
        <v>4295</v>
      </c>
      <c r="AA410">
        <v>0</v>
      </c>
      <c r="AB410">
        <v>0</v>
      </c>
      <c r="AC410">
        <v>0</v>
      </c>
      <c r="AD410">
        <v>1586</v>
      </c>
      <c r="AE410">
        <v>28570</v>
      </c>
      <c r="AF410">
        <v>31301</v>
      </c>
      <c r="AG410">
        <v>83644</v>
      </c>
      <c r="AH410">
        <v>6691</v>
      </c>
      <c r="AI410">
        <v>15235</v>
      </c>
      <c r="AJ410">
        <v>245</v>
      </c>
      <c r="AK410">
        <v>0</v>
      </c>
      <c r="AL410">
        <v>0</v>
      </c>
      <c r="AM410">
        <v>0</v>
      </c>
      <c r="AN410">
        <v>1113</v>
      </c>
      <c r="AO410">
        <v>0</v>
      </c>
      <c r="AP410">
        <v>0</v>
      </c>
    </row>
    <row r="411" spans="1:42">
      <c r="A411" s="547">
        <f t="shared" si="6"/>
        <v>2020</v>
      </c>
      <c r="B411" s="666">
        <v>43861</v>
      </c>
      <c r="C411">
        <v>27858</v>
      </c>
      <c r="D411">
        <v>21915</v>
      </c>
      <c r="E411">
        <v>111295</v>
      </c>
      <c r="F411">
        <v>34516</v>
      </c>
      <c r="G411">
        <v>2091</v>
      </c>
      <c r="H411">
        <v>5944</v>
      </c>
      <c r="I411">
        <v>15985</v>
      </c>
      <c r="J411">
        <v>15927</v>
      </c>
      <c r="K411">
        <v>0</v>
      </c>
      <c r="L411">
        <v>0</v>
      </c>
      <c r="M411">
        <v>70304</v>
      </c>
      <c r="N411">
        <v>1786</v>
      </c>
      <c r="O411">
        <v>0</v>
      </c>
      <c r="P411">
        <v>0</v>
      </c>
      <c r="Q411">
        <v>1802</v>
      </c>
      <c r="R411">
        <v>504</v>
      </c>
      <c r="S411">
        <v>0</v>
      </c>
      <c r="T411">
        <v>0</v>
      </c>
      <c r="U411">
        <v>5854</v>
      </c>
      <c r="V411">
        <v>0</v>
      </c>
      <c r="W411">
        <v>4905</v>
      </c>
      <c r="X411">
        <v>245</v>
      </c>
      <c r="Y411">
        <v>14451</v>
      </c>
      <c r="Z411">
        <v>0</v>
      </c>
      <c r="AA411">
        <v>642</v>
      </c>
      <c r="AB411">
        <v>0</v>
      </c>
      <c r="AC411">
        <v>0</v>
      </c>
      <c r="AD411">
        <v>0</v>
      </c>
      <c r="AE411">
        <v>20220</v>
      </c>
      <c r="AF411">
        <v>15073</v>
      </c>
      <c r="AG411">
        <v>2899</v>
      </c>
      <c r="AH411">
        <v>13323</v>
      </c>
      <c r="AI411">
        <v>0</v>
      </c>
      <c r="AJ411">
        <v>0</v>
      </c>
      <c r="AK411">
        <v>0</v>
      </c>
      <c r="AL411">
        <v>0</v>
      </c>
      <c r="AM411">
        <v>0</v>
      </c>
      <c r="AN411">
        <v>653</v>
      </c>
      <c r="AO411">
        <v>0</v>
      </c>
      <c r="AP411">
        <v>2976</v>
      </c>
    </row>
    <row r="412" spans="1:42">
      <c r="A412" s="547">
        <f t="shared" si="6"/>
        <v>2020</v>
      </c>
      <c r="B412" s="666">
        <v>43890</v>
      </c>
      <c r="C412">
        <v>205257</v>
      </c>
      <c r="D412">
        <v>29767</v>
      </c>
      <c r="E412">
        <v>93308</v>
      </c>
      <c r="F412">
        <v>14857</v>
      </c>
      <c r="G412">
        <v>4819</v>
      </c>
      <c r="H412">
        <v>12153</v>
      </c>
      <c r="I412">
        <v>29192</v>
      </c>
      <c r="J412">
        <v>3024</v>
      </c>
      <c r="K412">
        <v>0</v>
      </c>
      <c r="L412">
        <v>0</v>
      </c>
      <c r="M412">
        <v>7620</v>
      </c>
      <c r="N412">
        <v>0</v>
      </c>
      <c r="O412">
        <v>0</v>
      </c>
      <c r="P412">
        <v>0</v>
      </c>
      <c r="Q412">
        <v>0</v>
      </c>
      <c r="R412">
        <v>0</v>
      </c>
      <c r="S412">
        <v>0</v>
      </c>
      <c r="T412">
        <v>0</v>
      </c>
      <c r="U412">
        <v>4088</v>
      </c>
      <c r="V412">
        <v>0</v>
      </c>
      <c r="W412">
        <v>0</v>
      </c>
      <c r="X412">
        <v>974</v>
      </c>
      <c r="Y412">
        <v>27507</v>
      </c>
      <c r="Z412">
        <v>0</v>
      </c>
      <c r="AA412">
        <v>0</v>
      </c>
      <c r="AB412">
        <v>1605</v>
      </c>
      <c r="AC412">
        <v>3131</v>
      </c>
      <c r="AD412">
        <v>1533</v>
      </c>
      <c r="AE412">
        <v>200197</v>
      </c>
      <c r="AF412">
        <v>14724</v>
      </c>
      <c r="AG412">
        <v>18157</v>
      </c>
      <c r="AH412">
        <v>1757</v>
      </c>
      <c r="AI412">
        <v>0</v>
      </c>
      <c r="AJ412">
        <v>0</v>
      </c>
      <c r="AK412">
        <v>2976</v>
      </c>
      <c r="AL412">
        <v>8543</v>
      </c>
      <c r="AM412">
        <v>241</v>
      </c>
      <c r="AN412">
        <v>311</v>
      </c>
      <c r="AO412">
        <v>637</v>
      </c>
      <c r="AP412">
        <v>0</v>
      </c>
    </row>
    <row r="413" spans="1:42">
      <c r="A413" s="547">
        <f t="shared" si="6"/>
        <v>2020</v>
      </c>
      <c r="B413" s="666">
        <v>43921</v>
      </c>
      <c r="C413">
        <v>26407</v>
      </c>
      <c r="D413">
        <v>21481</v>
      </c>
      <c r="E413">
        <v>236950</v>
      </c>
      <c r="F413">
        <v>5220</v>
      </c>
      <c r="G413">
        <v>8426</v>
      </c>
      <c r="H413">
        <v>520</v>
      </c>
      <c r="I413">
        <v>11749</v>
      </c>
      <c r="J413">
        <v>154</v>
      </c>
      <c r="K413">
        <v>560</v>
      </c>
      <c r="L413">
        <v>0</v>
      </c>
      <c r="M413">
        <v>4205</v>
      </c>
      <c r="N413">
        <v>0</v>
      </c>
      <c r="O413">
        <v>0</v>
      </c>
      <c r="P413">
        <v>0</v>
      </c>
      <c r="Q413">
        <v>0</v>
      </c>
      <c r="R413">
        <v>0</v>
      </c>
      <c r="S413">
        <v>6713</v>
      </c>
      <c r="T413">
        <v>2970</v>
      </c>
      <c r="U413">
        <v>4607</v>
      </c>
      <c r="V413">
        <v>0</v>
      </c>
      <c r="W413">
        <v>673</v>
      </c>
      <c r="X413">
        <v>1545</v>
      </c>
      <c r="Y413">
        <v>190257</v>
      </c>
      <c r="Z413">
        <v>267</v>
      </c>
      <c r="AA413">
        <v>3047</v>
      </c>
      <c r="AB413">
        <v>900</v>
      </c>
      <c r="AC413">
        <v>0</v>
      </c>
      <c r="AD413">
        <v>0</v>
      </c>
      <c r="AE413">
        <v>6125</v>
      </c>
      <c r="AF413">
        <v>12196</v>
      </c>
      <c r="AG413">
        <v>9307</v>
      </c>
      <c r="AH413">
        <v>4799</v>
      </c>
      <c r="AI413">
        <v>863</v>
      </c>
      <c r="AJ413">
        <v>3350</v>
      </c>
      <c r="AK413">
        <v>11154</v>
      </c>
      <c r="AL413">
        <v>0</v>
      </c>
      <c r="AM413">
        <v>0</v>
      </c>
      <c r="AN413">
        <v>0</v>
      </c>
      <c r="AO413">
        <v>5671</v>
      </c>
      <c r="AP413">
        <v>0</v>
      </c>
    </row>
    <row r="414" spans="1:42">
      <c r="A414" s="547">
        <f t="shared" si="6"/>
        <v>2020</v>
      </c>
      <c r="B414" s="666">
        <v>43951</v>
      </c>
      <c r="C414">
        <v>0</v>
      </c>
      <c r="D414">
        <v>0</v>
      </c>
      <c r="E414">
        <v>8927</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8927</v>
      </c>
      <c r="AH414">
        <v>0</v>
      </c>
      <c r="AI414">
        <v>0</v>
      </c>
      <c r="AJ414">
        <v>0</v>
      </c>
      <c r="AK414">
        <v>0</v>
      </c>
      <c r="AL414">
        <v>0</v>
      </c>
      <c r="AM414">
        <v>0</v>
      </c>
      <c r="AN414">
        <v>0</v>
      </c>
      <c r="AO414">
        <v>0</v>
      </c>
      <c r="AP414">
        <v>0</v>
      </c>
    </row>
    <row r="415" spans="1:42">
      <c r="A415" s="547">
        <f t="shared" si="6"/>
        <v>2020</v>
      </c>
      <c r="B415" s="666">
        <v>43982</v>
      </c>
      <c r="C415">
        <v>0</v>
      </c>
      <c r="D415">
        <v>0</v>
      </c>
      <c r="E415">
        <v>13828</v>
      </c>
      <c r="F415">
        <v>4767</v>
      </c>
      <c r="G415">
        <v>0</v>
      </c>
      <c r="H415">
        <v>0</v>
      </c>
      <c r="I415">
        <v>0</v>
      </c>
      <c r="J415">
        <v>4767</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13828</v>
      </c>
      <c r="AH415">
        <v>0</v>
      </c>
      <c r="AI415">
        <v>0</v>
      </c>
      <c r="AJ415">
        <v>0</v>
      </c>
      <c r="AK415">
        <v>0</v>
      </c>
      <c r="AL415">
        <v>0</v>
      </c>
      <c r="AM415">
        <v>0</v>
      </c>
      <c r="AN415">
        <v>0</v>
      </c>
      <c r="AO415">
        <v>0</v>
      </c>
      <c r="AP415">
        <v>0</v>
      </c>
    </row>
    <row r="416" spans="1:42">
      <c r="A416" s="547">
        <f t="shared" si="6"/>
        <v>2020</v>
      </c>
      <c r="B416" s="666">
        <v>44012</v>
      </c>
      <c r="C416">
        <v>1340</v>
      </c>
      <c r="D416">
        <v>31223</v>
      </c>
      <c r="E416">
        <v>31059</v>
      </c>
      <c r="F416">
        <v>10997</v>
      </c>
      <c r="G416">
        <v>875</v>
      </c>
      <c r="H416">
        <v>9592</v>
      </c>
      <c r="I416">
        <v>4678</v>
      </c>
      <c r="J416">
        <v>5966</v>
      </c>
      <c r="K416">
        <v>0</v>
      </c>
      <c r="L416">
        <v>0</v>
      </c>
      <c r="M416">
        <v>0</v>
      </c>
      <c r="N416">
        <v>0</v>
      </c>
      <c r="O416">
        <v>0</v>
      </c>
      <c r="P416">
        <v>4775</v>
      </c>
      <c r="Q416">
        <v>0</v>
      </c>
      <c r="R416">
        <v>0</v>
      </c>
      <c r="S416">
        <v>0</v>
      </c>
      <c r="T416">
        <v>0</v>
      </c>
      <c r="U416">
        <v>0</v>
      </c>
      <c r="V416">
        <v>0</v>
      </c>
      <c r="W416">
        <v>0</v>
      </c>
      <c r="X416">
        <v>0</v>
      </c>
      <c r="Y416">
        <v>26381</v>
      </c>
      <c r="Z416">
        <v>96</v>
      </c>
      <c r="AA416">
        <v>465</v>
      </c>
      <c r="AB416">
        <v>152</v>
      </c>
      <c r="AC416">
        <v>0</v>
      </c>
      <c r="AD416">
        <v>0</v>
      </c>
      <c r="AE416">
        <v>0</v>
      </c>
      <c r="AF416">
        <v>339</v>
      </c>
      <c r="AG416">
        <v>0</v>
      </c>
      <c r="AH416">
        <v>0</v>
      </c>
      <c r="AI416">
        <v>0</v>
      </c>
      <c r="AJ416">
        <v>16365</v>
      </c>
      <c r="AK416">
        <v>0</v>
      </c>
      <c r="AL416">
        <v>0</v>
      </c>
      <c r="AM416">
        <v>0</v>
      </c>
      <c r="AN416">
        <v>0</v>
      </c>
      <c r="AO416">
        <v>0</v>
      </c>
      <c r="AP416">
        <v>4935</v>
      </c>
    </row>
    <row r="417" spans="1:42">
      <c r="A417" s="547">
        <f t="shared" si="6"/>
        <v>2020</v>
      </c>
      <c r="B417" s="666">
        <v>44043</v>
      </c>
      <c r="C417">
        <v>9483</v>
      </c>
      <c r="D417">
        <v>3435</v>
      </c>
      <c r="E417">
        <v>47890</v>
      </c>
      <c r="F417">
        <v>2447</v>
      </c>
      <c r="G417">
        <v>3098</v>
      </c>
      <c r="H417">
        <v>2421</v>
      </c>
      <c r="I417">
        <v>6828</v>
      </c>
      <c r="J417">
        <v>1181</v>
      </c>
      <c r="K417">
        <v>0</v>
      </c>
      <c r="L417">
        <v>0</v>
      </c>
      <c r="M417">
        <v>0</v>
      </c>
      <c r="N417">
        <v>66</v>
      </c>
      <c r="O417">
        <v>0</v>
      </c>
      <c r="P417">
        <v>0</v>
      </c>
      <c r="Q417">
        <v>0</v>
      </c>
      <c r="R417">
        <v>0</v>
      </c>
      <c r="S417">
        <v>0</v>
      </c>
      <c r="T417">
        <v>0</v>
      </c>
      <c r="U417">
        <v>0</v>
      </c>
      <c r="V417">
        <v>0</v>
      </c>
      <c r="W417">
        <v>281</v>
      </c>
      <c r="X417">
        <v>0</v>
      </c>
      <c r="Y417">
        <v>28348</v>
      </c>
      <c r="Z417">
        <v>157</v>
      </c>
      <c r="AA417">
        <v>0</v>
      </c>
      <c r="AB417">
        <v>0</v>
      </c>
      <c r="AC417">
        <v>2020</v>
      </c>
      <c r="AD417">
        <v>0</v>
      </c>
      <c r="AE417">
        <v>6104</v>
      </c>
      <c r="AF417">
        <v>1014</v>
      </c>
      <c r="AG417">
        <v>6536</v>
      </c>
      <c r="AH417">
        <v>0</v>
      </c>
      <c r="AI417">
        <v>0</v>
      </c>
      <c r="AJ417">
        <v>0</v>
      </c>
      <c r="AK417">
        <v>2679</v>
      </c>
      <c r="AL417">
        <v>1043</v>
      </c>
      <c r="AM417">
        <v>0</v>
      </c>
      <c r="AN417">
        <v>0</v>
      </c>
      <c r="AO417">
        <v>1479</v>
      </c>
      <c r="AP417">
        <v>0</v>
      </c>
    </row>
    <row r="418" spans="1:42">
      <c r="A418" s="547">
        <f t="shared" si="6"/>
        <v>2020</v>
      </c>
      <c r="B418" s="666">
        <v>44074</v>
      </c>
      <c r="C418">
        <v>52661</v>
      </c>
      <c r="D418">
        <v>35455</v>
      </c>
      <c r="E418">
        <v>53147</v>
      </c>
      <c r="F418">
        <v>6073</v>
      </c>
      <c r="G418">
        <v>25999</v>
      </c>
      <c r="H418">
        <v>15326</v>
      </c>
      <c r="I418">
        <v>6281</v>
      </c>
      <c r="J418">
        <v>5028</v>
      </c>
      <c r="K418">
        <v>0</v>
      </c>
      <c r="L418">
        <v>0</v>
      </c>
      <c r="M418">
        <v>0</v>
      </c>
      <c r="N418">
        <v>0</v>
      </c>
      <c r="O418">
        <v>0</v>
      </c>
      <c r="P418">
        <v>0</v>
      </c>
      <c r="Q418">
        <v>647</v>
      </c>
      <c r="R418">
        <v>464</v>
      </c>
      <c r="S418">
        <v>0</v>
      </c>
      <c r="T418">
        <v>0</v>
      </c>
      <c r="U418">
        <v>0</v>
      </c>
      <c r="V418">
        <v>0</v>
      </c>
      <c r="W418">
        <v>21857</v>
      </c>
      <c r="X418">
        <v>9906</v>
      </c>
      <c r="Y418">
        <v>14880</v>
      </c>
      <c r="Z418">
        <v>0</v>
      </c>
      <c r="AA418">
        <v>0</v>
      </c>
      <c r="AB418">
        <v>10223</v>
      </c>
      <c r="AC418">
        <v>0</v>
      </c>
      <c r="AD418">
        <v>0</v>
      </c>
      <c r="AE418">
        <v>4805</v>
      </c>
      <c r="AF418">
        <v>0</v>
      </c>
      <c r="AG418">
        <v>30678</v>
      </c>
      <c r="AH418">
        <v>581</v>
      </c>
      <c r="AI418">
        <v>0</v>
      </c>
      <c r="AJ418">
        <v>0</v>
      </c>
      <c r="AK418">
        <v>0</v>
      </c>
      <c r="AL418">
        <v>0</v>
      </c>
      <c r="AM418">
        <v>0</v>
      </c>
      <c r="AN418">
        <v>0</v>
      </c>
      <c r="AO418">
        <v>661</v>
      </c>
      <c r="AP418">
        <v>0</v>
      </c>
    </row>
    <row r="419" spans="1:42">
      <c r="A419" s="547">
        <f t="shared" si="6"/>
        <v>2020</v>
      </c>
      <c r="B419" s="666">
        <v>44104</v>
      </c>
      <c r="C419">
        <v>22864</v>
      </c>
      <c r="D419">
        <v>23790</v>
      </c>
      <c r="E419">
        <v>76346</v>
      </c>
      <c r="F419">
        <v>15656</v>
      </c>
      <c r="G419">
        <v>12714</v>
      </c>
      <c r="H419">
        <v>20623</v>
      </c>
      <c r="I419">
        <v>12803</v>
      </c>
      <c r="J419">
        <v>13373</v>
      </c>
      <c r="K419">
        <v>510</v>
      </c>
      <c r="L419">
        <v>0</v>
      </c>
      <c r="M419">
        <v>0</v>
      </c>
      <c r="N419">
        <v>0</v>
      </c>
      <c r="O419">
        <v>0</v>
      </c>
      <c r="P419">
        <v>0</v>
      </c>
      <c r="Q419">
        <v>8668</v>
      </c>
      <c r="R419">
        <v>357</v>
      </c>
      <c r="S419">
        <v>0</v>
      </c>
      <c r="T419">
        <v>0</v>
      </c>
      <c r="U419">
        <v>0</v>
      </c>
      <c r="V419">
        <v>0</v>
      </c>
      <c r="W419">
        <v>0</v>
      </c>
      <c r="X419">
        <v>2041</v>
      </c>
      <c r="Y419">
        <v>28596</v>
      </c>
      <c r="Z419">
        <v>347</v>
      </c>
      <c r="AA419">
        <v>0</v>
      </c>
      <c r="AB419">
        <v>0</v>
      </c>
      <c r="AC419">
        <v>0</v>
      </c>
      <c r="AD419">
        <v>661</v>
      </c>
      <c r="AE419">
        <v>9640</v>
      </c>
      <c r="AF419">
        <v>692</v>
      </c>
      <c r="AG419">
        <v>26279</v>
      </c>
      <c r="AH419">
        <v>918</v>
      </c>
      <c r="AI419">
        <v>0</v>
      </c>
      <c r="AJ419">
        <v>434</v>
      </c>
      <c r="AK419">
        <v>0</v>
      </c>
      <c r="AL419">
        <v>0</v>
      </c>
      <c r="AM419">
        <v>0</v>
      </c>
      <c r="AN419">
        <v>0</v>
      </c>
      <c r="AO419">
        <v>0</v>
      </c>
      <c r="AP419">
        <v>0</v>
      </c>
    </row>
    <row r="420" spans="1:42">
      <c r="A420" s="547">
        <f t="shared" si="6"/>
        <v>2020</v>
      </c>
      <c r="B420" s="666">
        <v>44135</v>
      </c>
      <c r="C420">
        <v>22634</v>
      </c>
      <c r="D420">
        <v>44235</v>
      </c>
      <c r="E420">
        <v>129591</v>
      </c>
      <c r="F420">
        <v>15401</v>
      </c>
      <c r="G420">
        <v>13494</v>
      </c>
      <c r="H420">
        <v>8115</v>
      </c>
      <c r="I420">
        <v>36733</v>
      </c>
      <c r="J420">
        <v>7448</v>
      </c>
      <c r="K420">
        <v>0</v>
      </c>
      <c r="L420">
        <v>445</v>
      </c>
      <c r="M420">
        <v>0</v>
      </c>
      <c r="N420">
        <v>0</v>
      </c>
      <c r="O420">
        <v>400</v>
      </c>
      <c r="P420">
        <v>0</v>
      </c>
      <c r="Q420">
        <v>2651</v>
      </c>
      <c r="R420">
        <v>145</v>
      </c>
      <c r="S420">
        <v>0</v>
      </c>
      <c r="T420">
        <v>0</v>
      </c>
      <c r="U420">
        <v>866</v>
      </c>
      <c r="V420">
        <v>0</v>
      </c>
      <c r="W420">
        <v>965</v>
      </c>
      <c r="X420">
        <v>2162</v>
      </c>
      <c r="Y420">
        <v>17169</v>
      </c>
      <c r="Z420">
        <v>7578</v>
      </c>
      <c r="AA420">
        <v>442</v>
      </c>
      <c r="AB420">
        <v>1013</v>
      </c>
      <c r="AC420">
        <v>0</v>
      </c>
      <c r="AD420">
        <v>0</v>
      </c>
      <c r="AE420">
        <v>6710</v>
      </c>
      <c r="AF420">
        <v>32500</v>
      </c>
      <c r="AG420">
        <v>54436</v>
      </c>
      <c r="AH420">
        <v>0</v>
      </c>
      <c r="AI420">
        <v>0</v>
      </c>
      <c r="AJ420">
        <v>0</v>
      </c>
      <c r="AK420">
        <v>0</v>
      </c>
      <c r="AL420">
        <v>0</v>
      </c>
      <c r="AM420">
        <v>623</v>
      </c>
      <c r="AN420">
        <v>0</v>
      </c>
      <c r="AO420">
        <v>17736</v>
      </c>
      <c r="AP420">
        <v>230</v>
      </c>
    </row>
    <row r="421" spans="1:42">
      <c r="A421" s="547">
        <f t="shared" si="6"/>
        <v>2020</v>
      </c>
      <c r="B421" s="666">
        <v>44165</v>
      </c>
      <c r="C421">
        <v>13564</v>
      </c>
      <c r="D421">
        <v>23487</v>
      </c>
      <c r="E421">
        <v>68944</v>
      </c>
      <c r="F421">
        <v>17174</v>
      </c>
      <c r="G421">
        <v>11421</v>
      </c>
      <c r="H421">
        <v>14513</v>
      </c>
      <c r="I421">
        <v>9605</v>
      </c>
      <c r="J421">
        <v>13492</v>
      </c>
      <c r="K421">
        <v>0</v>
      </c>
      <c r="L421">
        <v>1924</v>
      </c>
      <c r="M421">
        <v>0</v>
      </c>
      <c r="N421">
        <v>0</v>
      </c>
      <c r="O421">
        <v>0</v>
      </c>
      <c r="P421">
        <v>0</v>
      </c>
      <c r="Q421">
        <v>0</v>
      </c>
      <c r="R421">
        <v>0</v>
      </c>
      <c r="S421">
        <v>0</v>
      </c>
      <c r="T421">
        <v>650</v>
      </c>
      <c r="U421">
        <v>0</v>
      </c>
      <c r="V421">
        <v>0</v>
      </c>
      <c r="W421">
        <v>0</v>
      </c>
      <c r="X421">
        <v>277</v>
      </c>
      <c r="Y421">
        <v>4534</v>
      </c>
      <c r="Z421">
        <v>559</v>
      </c>
      <c r="AA421">
        <v>1189</v>
      </c>
      <c r="AB421">
        <v>4710</v>
      </c>
      <c r="AC421">
        <v>1600</v>
      </c>
      <c r="AD421">
        <v>0</v>
      </c>
      <c r="AE421">
        <v>954</v>
      </c>
      <c r="AF421">
        <v>987</v>
      </c>
      <c r="AG421">
        <v>48716</v>
      </c>
      <c r="AH421">
        <v>827</v>
      </c>
      <c r="AI421">
        <v>0</v>
      </c>
      <c r="AJ421">
        <v>426</v>
      </c>
      <c r="AK421">
        <v>0</v>
      </c>
      <c r="AL421">
        <v>0</v>
      </c>
      <c r="AM421">
        <v>0</v>
      </c>
      <c r="AN421">
        <v>0</v>
      </c>
      <c r="AO421">
        <v>4489</v>
      </c>
      <c r="AP421">
        <v>2296</v>
      </c>
    </row>
    <row r="422" spans="1:42">
      <c r="A422" s="547">
        <f t="shared" si="6"/>
        <v>2020</v>
      </c>
      <c r="B422" s="666">
        <v>44196</v>
      </c>
      <c r="C422">
        <v>12885</v>
      </c>
      <c r="D422">
        <v>5237</v>
      </c>
      <c r="E422">
        <v>205383</v>
      </c>
      <c r="F422">
        <v>9850</v>
      </c>
      <c r="G422">
        <v>4625</v>
      </c>
      <c r="H422">
        <v>1355</v>
      </c>
      <c r="I422">
        <v>17570</v>
      </c>
      <c r="J422">
        <v>4130</v>
      </c>
      <c r="K422">
        <v>0</v>
      </c>
      <c r="L422">
        <v>0</v>
      </c>
      <c r="M422">
        <v>0</v>
      </c>
      <c r="N422">
        <v>0</v>
      </c>
      <c r="O422">
        <v>0</v>
      </c>
      <c r="P422">
        <v>0</v>
      </c>
      <c r="Q422">
        <v>0</v>
      </c>
      <c r="R422">
        <v>0</v>
      </c>
      <c r="S422">
        <v>0</v>
      </c>
      <c r="T422">
        <v>0</v>
      </c>
      <c r="U422">
        <v>0</v>
      </c>
      <c r="V422">
        <v>0</v>
      </c>
      <c r="W422">
        <v>934</v>
      </c>
      <c r="X422">
        <v>409</v>
      </c>
      <c r="Y422">
        <v>66839</v>
      </c>
      <c r="Z422">
        <v>5126</v>
      </c>
      <c r="AA422">
        <v>0</v>
      </c>
      <c r="AB422">
        <v>2913</v>
      </c>
      <c r="AC422">
        <v>0</v>
      </c>
      <c r="AD422">
        <v>0</v>
      </c>
      <c r="AE422">
        <v>0</v>
      </c>
      <c r="AF422">
        <v>560</v>
      </c>
      <c r="AG422">
        <v>120974</v>
      </c>
      <c r="AH422">
        <v>594</v>
      </c>
      <c r="AI422">
        <v>0</v>
      </c>
      <c r="AJ422">
        <v>0</v>
      </c>
      <c r="AK422">
        <v>0</v>
      </c>
      <c r="AL422">
        <v>0</v>
      </c>
      <c r="AM422">
        <v>7326</v>
      </c>
      <c r="AN422">
        <v>0</v>
      </c>
      <c r="AO422">
        <v>0</v>
      </c>
      <c r="AP422">
        <v>0</v>
      </c>
    </row>
    <row r="423" spans="1:42">
      <c r="A423" s="547">
        <f t="shared" si="6"/>
        <v>2021</v>
      </c>
      <c r="B423" s="666">
        <v>44227</v>
      </c>
      <c r="C423">
        <v>22393</v>
      </c>
      <c r="D423">
        <v>27015</v>
      </c>
      <c r="E423">
        <v>7541</v>
      </c>
      <c r="F423">
        <v>10089</v>
      </c>
      <c r="G423">
        <v>5908</v>
      </c>
      <c r="H423">
        <v>2968</v>
      </c>
      <c r="I423">
        <v>0</v>
      </c>
      <c r="J423">
        <v>4298</v>
      </c>
      <c r="K423">
        <v>0</v>
      </c>
      <c r="L423">
        <v>1280</v>
      </c>
      <c r="M423">
        <v>0</v>
      </c>
      <c r="N423">
        <v>966</v>
      </c>
      <c r="O423">
        <v>0</v>
      </c>
      <c r="P423">
        <v>0</v>
      </c>
      <c r="Q423">
        <v>0</v>
      </c>
      <c r="R423">
        <v>0</v>
      </c>
      <c r="S423">
        <v>0</v>
      </c>
      <c r="T423">
        <v>0</v>
      </c>
      <c r="U423">
        <v>0</v>
      </c>
      <c r="V423">
        <v>0</v>
      </c>
      <c r="W423">
        <v>13010</v>
      </c>
      <c r="X423">
        <v>0</v>
      </c>
      <c r="Y423">
        <v>1021</v>
      </c>
      <c r="Z423">
        <v>0</v>
      </c>
      <c r="AA423">
        <v>463</v>
      </c>
      <c r="AB423">
        <v>2335</v>
      </c>
      <c r="AC423">
        <v>0</v>
      </c>
      <c r="AD423">
        <v>0</v>
      </c>
      <c r="AE423">
        <v>0</v>
      </c>
      <c r="AF423">
        <v>20432</v>
      </c>
      <c r="AG423">
        <v>6520</v>
      </c>
      <c r="AH423">
        <v>4745</v>
      </c>
      <c r="AI423">
        <v>3012</v>
      </c>
      <c r="AJ423">
        <v>0</v>
      </c>
      <c r="AK423">
        <v>0</v>
      </c>
      <c r="AL423">
        <v>0</v>
      </c>
      <c r="AM423">
        <v>0</v>
      </c>
      <c r="AN423">
        <v>0</v>
      </c>
      <c r="AO423">
        <v>0</v>
      </c>
      <c r="AP423">
        <v>80</v>
      </c>
    </row>
    <row r="424" spans="1:42">
      <c r="A424" s="547">
        <f t="shared" si="6"/>
        <v>2021</v>
      </c>
      <c r="B424" s="666">
        <v>44255</v>
      </c>
      <c r="C424">
        <v>27992</v>
      </c>
      <c r="D424">
        <v>43876</v>
      </c>
      <c r="E424">
        <v>62660</v>
      </c>
      <c r="F424">
        <v>30143</v>
      </c>
      <c r="G424">
        <v>19636</v>
      </c>
      <c r="H424">
        <v>21131</v>
      </c>
      <c r="I424">
        <v>15191</v>
      </c>
      <c r="J424">
        <v>3555</v>
      </c>
      <c r="K424">
        <v>5000</v>
      </c>
      <c r="L424">
        <v>0</v>
      </c>
      <c r="M424">
        <v>12001</v>
      </c>
      <c r="N424">
        <v>0</v>
      </c>
      <c r="O424">
        <v>0</v>
      </c>
      <c r="P424">
        <v>0</v>
      </c>
      <c r="Q424">
        <v>0</v>
      </c>
      <c r="R424">
        <v>195</v>
      </c>
      <c r="S424">
        <v>0</v>
      </c>
      <c r="T424">
        <v>0</v>
      </c>
      <c r="U424">
        <v>0</v>
      </c>
      <c r="V424">
        <v>0</v>
      </c>
      <c r="W424">
        <v>1686</v>
      </c>
      <c r="X424">
        <v>2084</v>
      </c>
      <c r="Y424">
        <v>3026</v>
      </c>
      <c r="Z424">
        <v>0</v>
      </c>
      <c r="AA424">
        <v>0</v>
      </c>
      <c r="AB424">
        <v>11984</v>
      </c>
      <c r="AC424">
        <v>0</v>
      </c>
      <c r="AD424">
        <v>0</v>
      </c>
      <c r="AE424">
        <v>1087</v>
      </c>
      <c r="AF424">
        <v>8677</v>
      </c>
      <c r="AG424">
        <v>30366</v>
      </c>
      <c r="AH424">
        <v>26393</v>
      </c>
      <c r="AI424">
        <v>0</v>
      </c>
      <c r="AJ424">
        <v>0</v>
      </c>
      <c r="AK424">
        <v>1184</v>
      </c>
      <c r="AL424">
        <v>0</v>
      </c>
      <c r="AM424">
        <v>583</v>
      </c>
      <c r="AN424">
        <v>0</v>
      </c>
      <c r="AO424">
        <v>892</v>
      </c>
      <c r="AP424">
        <v>0</v>
      </c>
    </row>
    <row r="425" spans="1:42">
      <c r="A425" s="547">
        <f t="shared" si="6"/>
        <v>2021</v>
      </c>
      <c r="B425" s="666">
        <v>44286</v>
      </c>
      <c r="C425">
        <v>2153</v>
      </c>
      <c r="D425">
        <v>14155</v>
      </c>
      <c r="E425">
        <v>44520</v>
      </c>
      <c r="F425">
        <v>10854</v>
      </c>
      <c r="G425">
        <v>2153</v>
      </c>
      <c r="H425">
        <v>300</v>
      </c>
      <c r="I425">
        <v>13439</v>
      </c>
      <c r="J425">
        <v>3006</v>
      </c>
      <c r="K425">
        <v>0</v>
      </c>
      <c r="L425">
        <v>445</v>
      </c>
      <c r="M425">
        <v>606</v>
      </c>
      <c r="N425">
        <v>385</v>
      </c>
      <c r="O425">
        <v>0</v>
      </c>
      <c r="P425">
        <v>0</v>
      </c>
      <c r="Q425">
        <v>0</v>
      </c>
      <c r="R425">
        <v>0</v>
      </c>
      <c r="S425">
        <v>0</v>
      </c>
      <c r="T425">
        <v>538</v>
      </c>
      <c r="U425">
        <v>254</v>
      </c>
      <c r="V425">
        <v>408</v>
      </c>
      <c r="W425">
        <v>0</v>
      </c>
      <c r="X425">
        <v>1987</v>
      </c>
      <c r="Y425">
        <v>3263</v>
      </c>
      <c r="Z425">
        <v>0</v>
      </c>
      <c r="AA425">
        <v>0</v>
      </c>
      <c r="AB425">
        <v>0</v>
      </c>
      <c r="AC425">
        <v>260</v>
      </c>
      <c r="AD425">
        <v>0</v>
      </c>
      <c r="AE425">
        <v>0</v>
      </c>
      <c r="AF425">
        <v>9979</v>
      </c>
      <c r="AG425">
        <v>26547</v>
      </c>
      <c r="AH425">
        <v>7055</v>
      </c>
      <c r="AI425">
        <v>0</v>
      </c>
      <c r="AJ425">
        <v>0</v>
      </c>
      <c r="AK425">
        <v>0</v>
      </c>
      <c r="AL425">
        <v>0</v>
      </c>
      <c r="AM425">
        <v>0</v>
      </c>
      <c r="AN425">
        <v>906</v>
      </c>
      <c r="AO425">
        <v>151</v>
      </c>
      <c r="AP425">
        <v>0</v>
      </c>
    </row>
    <row r="426" spans="1:42">
      <c r="A426" s="547">
        <f t="shared" si="6"/>
        <v>2021</v>
      </c>
      <c r="B426" s="666">
        <v>44316</v>
      </c>
      <c r="C426">
        <v>1843</v>
      </c>
      <c r="D426">
        <v>69112</v>
      </c>
      <c r="E426">
        <v>88267</v>
      </c>
      <c r="F426">
        <v>10846</v>
      </c>
      <c r="G426">
        <v>0</v>
      </c>
      <c r="H426">
        <v>0</v>
      </c>
      <c r="I426">
        <v>3885</v>
      </c>
      <c r="J426">
        <v>7024</v>
      </c>
      <c r="K426">
        <v>0</v>
      </c>
      <c r="L426">
        <v>0</v>
      </c>
      <c r="M426">
        <v>18007</v>
      </c>
      <c r="N426">
        <v>0</v>
      </c>
      <c r="O426">
        <v>274</v>
      </c>
      <c r="P426">
        <v>0</v>
      </c>
      <c r="Q426">
        <v>0</v>
      </c>
      <c r="R426">
        <v>0</v>
      </c>
      <c r="S426">
        <v>0</v>
      </c>
      <c r="T426">
        <v>0</v>
      </c>
      <c r="U426">
        <v>458</v>
      </c>
      <c r="V426">
        <v>63</v>
      </c>
      <c r="W426">
        <v>184</v>
      </c>
      <c r="X426">
        <v>18105</v>
      </c>
      <c r="Y426">
        <v>3417</v>
      </c>
      <c r="Z426">
        <v>164</v>
      </c>
      <c r="AA426">
        <v>0</v>
      </c>
      <c r="AB426">
        <v>50390</v>
      </c>
      <c r="AC426">
        <v>260</v>
      </c>
      <c r="AD426">
        <v>0</v>
      </c>
      <c r="AE426">
        <v>1200</v>
      </c>
      <c r="AF426">
        <v>617</v>
      </c>
      <c r="AG426">
        <v>60783</v>
      </c>
      <c r="AH426">
        <v>1843</v>
      </c>
      <c r="AI426">
        <v>185</v>
      </c>
      <c r="AJ426">
        <v>0</v>
      </c>
      <c r="AK426">
        <v>1307</v>
      </c>
      <c r="AL426">
        <v>0</v>
      </c>
      <c r="AM426">
        <v>0</v>
      </c>
      <c r="AN426">
        <v>0</v>
      </c>
      <c r="AO426">
        <v>150</v>
      </c>
      <c r="AP426">
        <v>1752</v>
      </c>
    </row>
    <row r="427" spans="1:42">
      <c r="A427" s="547">
        <f t="shared" si="6"/>
        <v>2021</v>
      </c>
      <c r="B427" s="666">
        <v>44347</v>
      </c>
      <c r="C427">
        <v>14958</v>
      </c>
      <c r="D427">
        <v>40981</v>
      </c>
      <c r="E427">
        <v>89347</v>
      </c>
      <c r="F427">
        <v>8329</v>
      </c>
      <c r="G427">
        <v>3520</v>
      </c>
      <c r="H427">
        <v>1198</v>
      </c>
      <c r="I427">
        <v>37810</v>
      </c>
      <c r="J427">
        <v>0</v>
      </c>
      <c r="K427">
        <v>0</v>
      </c>
      <c r="L427">
        <v>0</v>
      </c>
      <c r="M427">
        <v>31912</v>
      </c>
      <c r="N427">
        <v>0</v>
      </c>
      <c r="O427">
        <v>0</v>
      </c>
      <c r="P427">
        <v>0</v>
      </c>
      <c r="Q427">
        <v>1086</v>
      </c>
      <c r="R427">
        <v>0</v>
      </c>
      <c r="S427">
        <v>0</v>
      </c>
      <c r="T427">
        <v>0</v>
      </c>
      <c r="U427">
        <v>0</v>
      </c>
      <c r="V427">
        <v>0</v>
      </c>
      <c r="W427">
        <v>0</v>
      </c>
      <c r="X427">
        <v>30315</v>
      </c>
      <c r="Y427">
        <v>11875</v>
      </c>
      <c r="Z427">
        <v>325</v>
      </c>
      <c r="AA427">
        <v>6355</v>
      </c>
      <c r="AB427">
        <v>0</v>
      </c>
      <c r="AC427">
        <v>2272</v>
      </c>
      <c r="AD427">
        <v>0</v>
      </c>
      <c r="AE427">
        <v>5083</v>
      </c>
      <c r="AF427">
        <v>4116</v>
      </c>
      <c r="AG427">
        <v>2275</v>
      </c>
      <c r="AH427">
        <v>8004</v>
      </c>
      <c r="AI427">
        <v>0</v>
      </c>
      <c r="AJ427">
        <v>5352</v>
      </c>
      <c r="AK427">
        <v>2117</v>
      </c>
      <c r="AL427">
        <v>0</v>
      </c>
      <c r="AM427">
        <v>0</v>
      </c>
      <c r="AN427">
        <v>0</v>
      </c>
      <c r="AO427">
        <v>0</v>
      </c>
      <c r="AP427">
        <v>0</v>
      </c>
    </row>
    <row r="428" spans="1:42">
      <c r="A428" s="547">
        <f t="shared" si="6"/>
        <v>2021</v>
      </c>
      <c r="B428" s="666">
        <v>44377</v>
      </c>
      <c r="C428">
        <v>7880</v>
      </c>
      <c r="D428">
        <v>25122</v>
      </c>
      <c r="E428">
        <v>118253</v>
      </c>
      <c r="F428">
        <v>9402</v>
      </c>
      <c r="G428">
        <v>1525</v>
      </c>
      <c r="H428">
        <v>618</v>
      </c>
      <c r="I428">
        <v>7509</v>
      </c>
      <c r="J428">
        <v>6912</v>
      </c>
      <c r="K428">
        <v>0</v>
      </c>
      <c r="L428">
        <v>223</v>
      </c>
      <c r="M428">
        <v>19459</v>
      </c>
      <c r="N428">
        <v>0</v>
      </c>
      <c r="O428">
        <v>0</v>
      </c>
      <c r="P428">
        <v>1190</v>
      </c>
      <c r="Q428">
        <v>0</v>
      </c>
      <c r="R428">
        <v>0</v>
      </c>
      <c r="S428">
        <v>0</v>
      </c>
      <c r="T428">
        <v>0</v>
      </c>
      <c r="U428">
        <v>355</v>
      </c>
      <c r="V428">
        <v>0</v>
      </c>
      <c r="W428">
        <v>5103</v>
      </c>
      <c r="X428">
        <v>20309</v>
      </c>
      <c r="Y428">
        <v>14364</v>
      </c>
      <c r="Z428">
        <v>2490</v>
      </c>
      <c r="AA428">
        <v>521</v>
      </c>
      <c r="AB428">
        <v>0</v>
      </c>
      <c r="AC428">
        <v>0</v>
      </c>
      <c r="AD428">
        <v>0</v>
      </c>
      <c r="AE428">
        <v>345</v>
      </c>
      <c r="AF428">
        <v>294</v>
      </c>
      <c r="AG428">
        <v>76566</v>
      </c>
      <c r="AH428">
        <v>0</v>
      </c>
      <c r="AI428">
        <v>0</v>
      </c>
      <c r="AJ428">
        <v>2488</v>
      </c>
      <c r="AK428">
        <v>0</v>
      </c>
      <c r="AL428">
        <v>0</v>
      </c>
      <c r="AM428">
        <v>386</v>
      </c>
      <c r="AN428">
        <v>0</v>
      </c>
      <c r="AO428">
        <v>0</v>
      </c>
      <c r="AP428">
        <v>0</v>
      </c>
    </row>
    <row r="429" spans="1:42">
      <c r="A429" s="547">
        <f t="shared" si="6"/>
        <v>2021</v>
      </c>
      <c r="B429" s="666">
        <v>44408</v>
      </c>
      <c r="C429">
        <v>31618</v>
      </c>
      <c r="D429">
        <v>26753</v>
      </c>
      <c r="E429">
        <v>79617</v>
      </c>
      <c r="F429">
        <v>28688</v>
      </c>
      <c r="G429">
        <v>28278</v>
      </c>
      <c r="H429">
        <v>20775</v>
      </c>
      <c r="I429">
        <v>43919</v>
      </c>
      <c r="J429">
        <v>7977</v>
      </c>
      <c r="K429">
        <v>3193</v>
      </c>
      <c r="L429">
        <v>1657</v>
      </c>
      <c r="M429">
        <v>2721</v>
      </c>
      <c r="N429">
        <v>1527</v>
      </c>
      <c r="O429">
        <v>0</v>
      </c>
      <c r="P429">
        <v>0</v>
      </c>
      <c r="Q429">
        <v>0</v>
      </c>
      <c r="R429">
        <v>0</v>
      </c>
      <c r="S429">
        <v>147</v>
      </c>
      <c r="T429">
        <v>0</v>
      </c>
      <c r="U429">
        <v>4035</v>
      </c>
      <c r="V429">
        <v>0</v>
      </c>
      <c r="W429">
        <v>0</v>
      </c>
      <c r="X429">
        <v>217</v>
      </c>
      <c r="Y429">
        <v>24192</v>
      </c>
      <c r="Z429">
        <v>0</v>
      </c>
      <c r="AA429">
        <v>0</v>
      </c>
      <c r="AB429">
        <v>1895</v>
      </c>
      <c r="AC429">
        <v>0</v>
      </c>
      <c r="AD429">
        <v>520</v>
      </c>
      <c r="AE429">
        <v>0</v>
      </c>
      <c r="AF429">
        <v>535</v>
      </c>
      <c r="AG429">
        <v>4750</v>
      </c>
      <c r="AH429">
        <v>18664</v>
      </c>
      <c r="AI429">
        <v>0</v>
      </c>
      <c r="AJ429">
        <v>0</v>
      </c>
      <c r="AK429">
        <v>0</v>
      </c>
      <c r="AL429">
        <v>0</v>
      </c>
      <c r="AM429">
        <v>0</v>
      </c>
      <c r="AN429">
        <v>1674</v>
      </c>
      <c r="AO429">
        <v>0</v>
      </c>
      <c r="AP429">
        <v>0</v>
      </c>
    </row>
    <row r="430" spans="1:42">
      <c r="A430" s="547">
        <f t="shared" si="6"/>
        <v>2021</v>
      </c>
      <c r="B430" s="666">
        <v>44439</v>
      </c>
      <c r="C430">
        <v>42689</v>
      </c>
      <c r="D430">
        <v>4020</v>
      </c>
      <c r="E430">
        <v>106017</v>
      </c>
      <c r="F430">
        <v>7406</v>
      </c>
      <c r="G430">
        <v>36862</v>
      </c>
      <c r="H430">
        <v>373</v>
      </c>
      <c r="I430">
        <v>70347</v>
      </c>
      <c r="J430">
        <v>2950</v>
      </c>
      <c r="K430">
        <v>2344</v>
      </c>
      <c r="L430">
        <v>0</v>
      </c>
      <c r="M430">
        <v>20524</v>
      </c>
      <c r="N430">
        <v>0</v>
      </c>
      <c r="O430">
        <v>0</v>
      </c>
      <c r="P430">
        <v>0</v>
      </c>
      <c r="Q430">
        <v>0</v>
      </c>
      <c r="R430">
        <v>0</v>
      </c>
      <c r="S430">
        <v>0</v>
      </c>
      <c r="T430">
        <v>0</v>
      </c>
      <c r="U430">
        <v>1213</v>
      </c>
      <c r="V430">
        <v>0</v>
      </c>
      <c r="W430">
        <v>0</v>
      </c>
      <c r="X430">
        <v>2230</v>
      </c>
      <c r="Y430">
        <v>8864</v>
      </c>
      <c r="Z430">
        <v>0</v>
      </c>
      <c r="AA430">
        <v>0</v>
      </c>
      <c r="AB430">
        <v>0</v>
      </c>
      <c r="AC430">
        <v>500</v>
      </c>
      <c r="AD430">
        <v>0</v>
      </c>
      <c r="AE430">
        <v>0</v>
      </c>
      <c r="AF430">
        <v>1417</v>
      </c>
      <c r="AG430">
        <v>4569</v>
      </c>
      <c r="AH430">
        <v>4456</v>
      </c>
      <c r="AI430">
        <v>3483</v>
      </c>
      <c r="AJ430">
        <v>0</v>
      </c>
      <c r="AK430">
        <v>0</v>
      </c>
      <c r="AL430">
        <v>0</v>
      </c>
      <c r="AM430">
        <v>0</v>
      </c>
      <c r="AN430">
        <v>0</v>
      </c>
      <c r="AO430">
        <v>0</v>
      </c>
      <c r="AP430">
        <v>0</v>
      </c>
    </row>
    <row r="431" spans="1:42">
      <c r="A431" s="547">
        <f t="shared" si="6"/>
        <v>2021</v>
      </c>
      <c r="B431" s="666">
        <v>44469</v>
      </c>
      <c r="C431">
        <v>2343</v>
      </c>
      <c r="D431">
        <v>82927</v>
      </c>
      <c r="E431">
        <v>75227</v>
      </c>
      <c r="F431">
        <v>9659</v>
      </c>
      <c r="G431">
        <v>1943</v>
      </c>
      <c r="H431">
        <v>34826</v>
      </c>
      <c r="I431">
        <v>29972</v>
      </c>
      <c r="J431">
        <v>4338</v>
      </c>
      <c r="K431">
        <v>0</v>
      </c>
      <c r="L431">
        <v>0</v>
      </c>
      <c r="M431">
        <v>0</v>
      </c>
      <c r="N431">
        <v>243</v>
      </c>
      <c r="O431">
        <v>0</v>
      </c>
      <c r="P431">
        <v>0</v>
      </c>
      <c r="Q431">
        <v>293</v>
      </c>
      <c r="R431">
        <v>0</v>
      </c>
      <c r="S431">
        <v>0</v>
      </c>
      <c r="T431">
        <v>0</v>
      </c>
      <c r="U431">
        <v>0</v>
      </c>
      <c r="V431">
        <v>0</v>
      </c>
      <c r="W431">
        <v>0</v>
      </c>
      <c r="X431">
        <v>4810</v>
      </c>
      <c r="Y431">
        <v>9200</v>
      </c>
      <c r="Z431">
        <v>678</v>
      </c>
      <c r="AA431">
        <v>0</v>
      </c>
      <c r="AB431">
        <v>43291</v>
      </c>
      <c r="AC431">
        <v>6472</v>
      </c>
      <c r="AD431">
        <v>0</v>
      </c>
      <c r="AE431">
        <v>400</v>
      </c>
      <c r="AF431">
        <v>0</v>
      </c>
      <c r="AG431">
        <v>26304</v>
      </c>
      <c r="AH431">
        <v>436</v>
      </c>
      <c r="AI431">
        <v>0</v>
      </c>
      <c r="AJ431">
        <v>0</v>
      </c>
      <c r="AK431">
        <v>2986</v>
      </c>
      <c r="AL431">
        <v>3964</v>
      </c>
      <c r="AM431">
        <v>0</v>
      </c>
      <c r="AN431">
        <v>0</v>
      </c>
      <c r="AO431">
        <v>0</v>
      </c>
      <c r="AP431">
        <v>0</v>
      </c>
    </row>
    <row r="432" spans="1:42">
      <c r="A432" s="547">
        <f t="shared" si="6"/>
        <v>2021</v>
      </c>
      <c r="B432" s="666">
        <v>44500</v>
      </c>
      <c r="C432">
        <v>25523</v>
      </c>
      <c r="D432">
        <v>104517</v>
      </c>
      <c r="E432">
        <v>89635</v>
      </c>
      <c r="F432">
        <v>26226</v>
      </c>
      <c r="G432">
        <v>1047</v>
      </c>
      <c r="H432">
        <v>4536</v>
      </c>
      <c r="I432">
        <v>25197</v>
      </c>
      <c r="J432">
        <v>4395</v>
      </c>
      <c r="K432">
        <v>0</v>
      </c>
      <c r="L432">
        <v>0</v>
      </c>
      <c r="M432">
        <v>8701</v>
      </c>
      <c r="N432">
        <v>15891</v>
      </c>
      <c r="O432">
        <v>341</v>
      </c>
      <c r="P432">
        <v>0</v>
      </c>
      <c r="Q432">
        <v>0</v>
      </c>
      <c r="R432">
        <v>0</v>
      </c>
      <c r="S432">
        <v>0</v>
      </c>
      <c r="T432">
        <v>0</v>
      </c>
      <c r="U432">
        <v>0</v>
      </c>
      <c r="V432">
        <v>4235</v>
      </c>
      <c r="W432">
        <v>5079</v>
      </c>
      <c r="X432">
        <v>21102</v>
      </c>
      <c r="Y432">
        <v>1078</v>
      </c>
      <c r="Z432">
        <v>1705</v>
      </c>
      <c r="AA432">
        <v>0</v>
      </c>
      <c r="AB432">
        <v>9832</v>
      </c>
      <c r="AC432">
        <v>0</v>
      </c>
      <c r="AD432">
        <v>0</v>
      </c>
      <c r="AE432">
        <v>18996</v>
      </c>
      <c r="AF432">
        <v>69047</v>
      </c>
      <c r="AG432">
        <v>54134</v>
      </c>
      <c r="AH432">
        <v>0</v>
      </c>
      <c r="AI432">
        <v>0</v>
      </c>
      <c r="AJ432">
        <v>0</v>
      </c>
      <c r="AK432">
        <v>0</v>
      </c>
      <c r="AL432">
        <v>0</v>
      </c>
      <c r="AM432">
        <v>60</v>
      </c>
      <c r="AN432">
        <v>0</v>
      </c>
      <c r="AO432">
        <v>525</v>
      </c>
      <c r="AP432">
        <v>0</v>
      </c>
    </row>
    <row r="433" spans="1:42">
      <c r="A433" s="547">
        <f t="shared" si="6"/>
        <v>2021</v>
      </c>
      <c r="B433" s="666">
        <v>44530</v>
      </c>
      <c r="C433">
        <v>395</v>
      </c>
      <c r="D433">
        <v>21541</v>
      </c>
      <c r="E433">
        <v>80727</v>
      </c>
      <c r="F433">
        <v>9634</v>
      </c>
      <c r="G433">
        <v>86</v>
      </c>
      <c r="H433">
        <v>15737</v>
      </c>
      <c r="I433">
        <v>50096</v>
      </c>
      <c r="J433">
        <v>6461</v>
      </c>
      <c r="K433">
        <v>0</v>
      </c>
      <c r="L433">
        <v>0</v>
      </c>
      <c r="M433">
        <v>1540</v>
      </c>
      <c r="N433">
        <v>104</v>
      </c>
      <c r="O433">
        <v>0</v>
      </c>
      <c r="P433">
        <v>0</v>
      </c>
      <c r="Q433">
        <v>2809</v>
      </c>
      <c r="R433">
        <v>160</v>
      </c>
      <c r="S433">
        <v>0</v>
      </c>
      <c r="T433">
        <v>0</v>
      </c>
      <c r="U433">
        <v>0</v>
      </c>
      <c r="V433">
        <v>0</v>
      </c>
      <c r="W433">
        <v>0</v>
      </c>
      <c r="X433">
        <v>5804</v>
      </c>
      <c r="Y433">
        <v>22106</v>
      </c>
      <c r="Z433">
        <v>0</v>
      </c>
      <c r="AA433">
        <v>0</v>
      </c>
      <c r="AB433">
        <v>0</v>
      </c>
      <c r="AC433">
        <v>0</v>
      </c>
      <c r="AD433">
        <v>0</v>
      </c>
      <c r="AE433">
        <v>0</v>
      </c>
      <c r="AF433">
        <v>0</v>
      </c>
      <c r="AG433">
        <v>1360</v>
      </c>
      <c r="AH433">
        <v>1871</v>
      </c>
      <c r="AI433">
        <v>309</v>
      </c>
      <c r="AJ433">
        <v>0</v>
      </c>
      <c r="AK433">
        <v>2816</v>
      </c>
      <c r="AL433">
        <v>0</v>
      </c>
      <c r="AM433">
        <v>0</v>
      </c>
      <c r="AN433">
        <v>0</v>
      </c>
      <c r="AO433">
        <v>0</v>
      </c>
      <c r="AP433">
        <v>1038</v>
      </c>
    </row>
    <row r="434" spans="1:42">
      <c r="A434" s="547">
        <f t="shared" si="6"/>
        <v>2021</v>
      </c>
      <c r="B434" s="666">
        <v>44561</v>
      </c>
      <c r="C434">
        <v>9122</v>
      </c>
      <c r="D434">
        <v>11446</v>
      </c>
      <c r="E434">
        <v>103148</v>
      </c>
      <c r="F434">
        <v>12284</v>
      </c>
      <c r="G434">
        <v>642</v>
      </c>
      <c r="H434">
        <v>7233</v>
      </c>
      <c r="I434">
        <v>8354</v>
      </c>
      <c r="J434">
        <v>6621</v>
      </c>
      <c r="K434">
        <v>2210</v>
      </c>
      <c r="L434">
        <v>0</v>
      </c>
      <c r="M434">
        <v>0</v>
      </c>
      <c r="N434">
        <v>0</v>
      </c>
      <c r="O434">
        <v>425</v>
      </c>
      <c r="P434">
        <v>0</v>
      </c>
      <c r="Q434">
        <v>0</v>
      </c>
      <c r="R434">
        <v>94</v>
      </c>
      <c r="S434">
        <v>0</v>
      </c>
      <c r="T434">
        <v>0</v>
      </c>
      <c r="U434">
        <v>0</v>
      </c>
      <c r="V434">
        <v>0</v>
      </c>
      <c r="W434">
        <v>2549</v>
      </c>
      <c r="X434">
        <v>4213</v>
      </c>
      <c r="Y434">
        <v>8876</v>
      </c>
      <c r="Z434">
        <v>1399</v>
      </c>
      <c r="AA434">
        <v>0</v>
      </c>
      <c r="AB434">
        <v>0</v>
      </c>
      <c r="AC434">
        <v>0</v>
      </c>
      <c r="AD434">
        <v>0</v>
      </c>
      <c r="AE434">
        <v>3296</v>
      </c>
      <c r="AF434">
        <v>0</v>
      </c>
      <c r="AG434">
        <v>85455</v>
      </c>
      <c r="AH434">
        <v>4170</v>
      </c>
      <c r="AI434">
        <v>0</v>
      </c>
      <c r="AJ434">
        <v>0</v>
      </c>
      <c r="AK434">
        <v>0</v>
      </c>
      <c r="AL434">
        <v>0</v>
      </c>
      <c r="AM434">
        <v>0</v>
      </c>
      <c r="AN434">
        <v>0</v>
      </c>
      <c r="AO434">
        <v>463</v>
      </c>
      <c r="AP434">
        <v>0</v>
      </c>
    </row>
    <row r="435" spans="1:42">
      <c r="A435" s="547">
        <f t="shared" si="6"/>
        <v>2022</v>
      </c>
      <c r="B435" s="666">
        <v>44592</v>
      </c>
      <c r="C435">
        <v>6393</v>
      </c>
      <c r="D435">
        <v>4743</v>
      </c>
      <c r="E435">
        <v>48786</v>
      </c>
      <c r="F435">
        <v>7397</v>
      </c>
      <c r="G435">
        <v>1024</v>
      </c>
      <c r="H435">
        <v>0</v>
      </c>
      <c r="I435">
        <v>10707</v>
      </c>
      <c r="J435">
        <v>3458</v>
      </c>
      <c r="K435">
        <v>3921</v>
      </c>
      <c r="L435">
        <v>0</v>
      </c>
      <c r="M435">
        <v>4422</v>
      </c>
      <c r="N435">
        <v>3881</v>
      </c>
      <c r="O435">
        <v>0</v>
      </c>
      <c r="P435">
        <v>0</v>
      </c>
      <c r="Q435">
        <v>0</v>
      </c>
      <c r="R435">
        <v>0</v>
      </c>
      <c r="S435">
        <v>0</v>
      </c>
      <c r="T435">
        <v>0</v>
      </c>
      <c r="U435">
        <v>293</v>
      </c>
      <c r="V435">
        <v>58</v>
      </c>
      <c r="W435">
        <v>487</v>
      </c>
      <c r="X435">
        <v>495</v>
      </c>
      <c r="Y435">
        <v>6465</v>
      </c>
      <c r="Z435">
        <v>0</v>
      </c>
      <c r="AA435">
        <v>0</v>
      </c>
      <c r="AB435">
        <v>0</v>
      </c>
      <c r="AC435">
        <v>4319</v>
      </c>
      <c r="AD435">
        <v>0</v>
      </c>
      <c r="AE435">
        <v>961</v>
      </c>
      <c r="AF435">
        <v>4248</v>
      </c>
      <c r="AG435">
        <v>11441</v>
      </c>
      <c r="AH435">
        <v>0</v>
      </c>
      <c r="AI435">
        <v>0</v>
      </c>
      <c r="AJ435">
        <v>0</v>
      </c>
      <c r="AK435">
        <v>686</v>
      </c>
      <c r="AL435">
        <v>0</v>
      </c>
      <c r="AM435">
        <v>0</v>
      </c>
      <c r="AN435">
        <v>0</v>
      </c>
      <c r="AO435">
        <v>10453</v>
      </c>
      <c r="AP435">
        <v>0</v>
      </c>
    </row>
    <row r="436" spans="1:42">
      <c r="A436" s="547">
        <f t="shared" si="6"/>
        <v>2022</v>
      </c>
      <c r="B436" s="666">
        <v>44620</v>
      </c>
      <c r="C436">
        <v>4803</v>
      </c>
      <c r="D436">
        <v>68274</v>
      </c>
      <c r="E436">
        <v>25974</v>
      </c>
      <c r="F436">
        <v>55524</v>
      </c>
      <c r="G436">
        <v>4608</v>
      </c>
      <c r="H436">
        <v>34364</v>
      </c>
      <c r="I436">
        <v>8091</v>
      </c>
      <c r="J436">
        <v>2396</v>
      </c>
      <c r="K436">
        <v>0</v>
      </c>
      <c r="L436">
        <v>0</v>
      </c>
      <c r="M436">
        <v>162</v>
      </c>
      <c r="N436">
        <v>23091</v>
      </c>
      <c r="O436">
        <v>195</v>
      </c>
      <c r="P436">
        <v>0</v>
      </c>
      <c r="Q436">
        <v>0</v>
      </c>
      <c r="R436">
        <v>202</v>
      </c>
      <c r="S436">
        <v>0</v>
      </c>
      <c r="T436">
        <v>0</v>
      </c>
      <c r="U436">
        <v>2493</v>
      </c>
      <c r="V436">
        <v>0</v>
      </c>
      <c r="W436">
        <v>0</v>
      </c>
      <c r="X436">
        <v>32859</v>
      </c>
      <c r="Y436">
        <v>13142</v>
      </c>
      <c r="Z436">
        <v>996</v>
      </c>
      <c r="AA436">
        <v>0</v>
      </c>
      <c r="AB436">
        <v>1051</v>
      </c>
      <c r="AC436">
        <v>716</v>
      </c>
      <c r="AD436">
        <v>11760</v>
      </c>
      <c r="AE436">
        <v>0</v>
      </c>
      <c r="AF436">
        <v>0</v>
      </c>
      <c r="AG436">
        <v>1370</v>
      </c>
      <c r="AH436">
        <v>17079</v>
      </c>
      <c r="AI436">
        <v>0</v>
      </c>
      <c r="AJ436">
        <v>0</v>
      </c>
      <c r="AK436">
        <v>0</v>
      </c>
      <c r="AL436">
        <v>0</v>
      </c>
      <c r="AM436">
        <v>0</v>
      </c>
      <c r="AN436">
        <v>0</v>
      </c>
      <c r="AO436">
        <v>0</v>
      </c>
      <c r="AP436">
        <v>0</v>
      </c>
    </row>
    <row r="437" spans="1:42">
      <c r="A437" s="547">
        <f t="shared" si="6"/>
        <v>2022</v>
      </c>
      <c r="B437" s="666">
        <v>44651</v>
      </c>
      <c r="C437">
        <v>50787</v>
      </c>
      <c r="D437">
        <v>23076</v>
      </c>
      <c r="E437">
        <v>284583</v>
      </c>
      <c r="F437">
        <v>39274</v>
      </c>
      <c r="G437">
        <v>16308</v>
      </c>
      <c r="H437">
        <v>15013</v>
      </c>
      <c r="I437">
        <v>22870</v>
      </c>
      <c r="J437">
        <v>27467</v>
      </c>
      <c r="K437">
        <v>0</v>
      </c>
      <c r="L437">
        <v>0</v>
      </c>
      <c r="M437">
        <v>932</v>
      </c>
      <c r="N437">
        <v>0</v>
      </c>
      <c r="O437">
        <v>0</v>
      </c>
      <c r="P437">
        <v>0</v>
      </c>
      <c r="Q437">
        <v>0</v>
      </c>
      <c r="R437">
        <v>0</v>
      </c>
      <c r="S437">
        <v>0</v>
      </c>
      <c r="T437">
        <v>0</v>
      </c>
      <c r="U437">
        <v>0</v>
      </c>
      <c r="V437">
        <v>295</v>
      </c>
      <c r="W437">
        <v>0</v>
      </c>
      <c r="X437">
        <v>1773</v>
      </c>
      <c r="Y437">
        <v>9101</v>
      </c>
      <c r="Z437">
        <v>1136</v>
      </c>
      <c r="AA437">
        <v>0</v>
      </c>
      <c r="AB437">
        <v>0</v>
      </c>
      <c r="AC437">
        <v>0</v>
      </c>
      <c r="AD437">
        <v>0</v>
      </c>
      <c r="AE437">
        <v>33436</v>
      </c>
      <c r="AF437">
        <v>4514</v>
      </c>
      <c r="AG437">
        <v>251090</v>
      </c>
      <c r="AH437">
        <v>10376</v>
      </c>
      <c r="AI437">
        <v>1043</v>
      </c>
      <c r="AJ437">
        <v>0</v>
      </c>
      <c r="AK437">
        <v>0</v>
      </c>
      <c r="AL437">
        <v>0</v>
      </c>
      <c r="AM437">
        <v>0</v>
      </c>
      <c r="AN437">
        <v>1776</v>
      </c>
      <c r="AO437">
        <v>590</v>
      </c>
      <c r="AP437">
        <v>0</v>
      </c>
    </row>
    <row r="438" spans="1:42">
      <c r="A438" s="547">
        <f t="shared" si="6"/>
        <v>2022</v>
      </c>
      <c r="B438" s="666">
        <v>44681</v>
      </c>
      <c r="C438">
        <v>7959</v>
      </c>
      <c r="D438">
        <v>34906</v>
      </c>
      <c r="E438">
        <v>75437</v>
      </c>
      <c r="F438">
        <v>40175</v>
      </c>
      <c r="G438">
        <v>6241</v>
      </c>
      <c r="H438">
        <v>13680</v>
      </c>
      <c r="I438">
        <v>31356</v>
      </c>
      <c r="J438">
        <v>33907</v>
      </c>
      <c r="K438">
        <v>0</v>
      </c>
      <c r="L438">
        <v>0</v>
      </c>
      <c r="M438">
        <v>2816</v>
      </c>
      <c r="N438">
        <v>0</v>
      </c>
      <c r="O438">
        <v>266</v>
      </c>
      <c r="P438">
        <v>0</v>
      </c>
      <c r="Q438">
        <v>1220</v>
      </c>
      <c r="R438">
        <v>0</v>
      </c>
      <c r="S438">
        <v>0</v>
      </c>
      <c r="T438">
        <v>0</v>
      </c>
      <c r="U438">
        <v>0</v>
      </c>
      <c r="V438">
        <v>0</v>
      </c>
      <c r="W438">
        <v>0</v>
      </c>
      <c r="X438">
        <v>0</v>
      </c>
      <c r="Y438">
        <v>22968</v>
      </c>
      <c r="Z438">
        <v>2390</v>
      </c>
      <c r="AA438">
        <v>1040</v>
      </c>
      <c r="AB438">
        <v>9962</v>
      </c>
      <c r="AC438">
        <v>4794</v>
      </c>
      <c r="AD438">
        <v>0</v>
      </c>
      <c r="AE438">
        <v>0</v>
      </c>
      <c r="AF438">
        <v>10314</v>
      </c>
      <c r="AG438">
        <v>11536</v>
      </c>
      <c r="AH438">
        <v>3878</v>
      </c>
      <c r="AI438">
        <v>412</v>
      </c>
      <c r="AJ438">
        <v>0</v>
      </c>
      <c r="AK438">
        <v>0</v>
      </c>
      <c r="AL438">
        <v>0</v>
      </c>
      <c r="AM438">
        <v>0</v>
      </c>
      <c r="AN438">
        <v>950</v>
      </c>
      <c r="AO438">
        <v>747</v>
      </c>
      <c r="AP438">
        <v>0</v>
      </c>
    </row>
    <row r="439" spans="1:42">
      <c r="A439" s="547">
        <f t="shared" si="6"/>
        <v>2022</v>
      </c>
      <c r="B439" s="666">
        <v>44712</v>
      </c>
      <c r="C439">
        <v>10245</v>
      </c>
      <c r="D439">
        <v>1564</v>
      </c>
      <c r="E439">
        <v>94460</v>
      </c>
      <c r="F439">
        <v>55737</v>
      </c>
      <c r="G439">
        <v>10245</v>
      </c>
      <c r="H439">
        <v>300</v>
      </c>
      <c r="I439">
        <v>18393</v>
      </c>
      <c r="J439">
        <v>27929</v>
      </c>
      <c r="K439">
        <v>0</v>
      </c>
      <c r="L439">
        <v>0</v>
      </c>
      <c r="M439">
        <v>1147</v>
      </c>
      <c r="N439">
        <v>0</v>
      </c>
      <c r="O439">
        <v>0</v>
      </c>
      <c r="P439">
        <v>0</v>
      </c>
      <c r="Q439">
        <v>0</v>
      </c>
      <c r="R439">
        <v>0</v>
      </c>
      <c r="S439">
        <v>0</v>
      </c>
      <c r="T439">
        <v>0</v>
      </c>
      <c r="U439">
        <v>0</v>
      </c>
      <c r="V439">
        <v>0</v>
      </c>
      <c r="W439">
        <v>0</v>
      </c>
      <c r="X439">
        <v>1264</v>
      </c>
      <c r="Y439">
        <v>32725</v>
      </c>
      <c r="Z439">
        <v>8945</v>
      </c>
      <c r="AA439">
        <v>0</v>
      </c>
      <c r="AB439">
        <v>0</v>
      </c>
      <c r="AC439">
        <v>0</v>
      </c>
      <c r="AD439">
        <v>0</v>
      </c>
      <c r="AE439">
        <v>0</v>
      </c>
      <c r="AF439">
        <v>0</v>
      </c>
      <c r="AG439">
        <v>39950</v>
      </c>
      <c r="AH439">
        <v>8868</v>
      </c>
      <c r="AI439">
        <v>0</v>
      </c>
      <c r="AJ439">
        <v>0</v>
      </c>
      <c r="AK439">
        <v>483</v>
      </c>
      <c r="AL439">
        <v>8009</v>
      </c>
      <c r="AM439">
        <v>0</v>
      </c>
      <c r="AN439">
        <v>0</v>
      </c>
      <c r="AO439">
        <v>1762</v>
      </c>
      <c r="AP439">
        <v>1986</v>
      </c>
    </row>
    <row r="440" spans="1:42">
      <c r="A440" s="547">
        <f t="shared" si="6"/>
        <v>2022</v>
      </c>
      <c r="B440" s="666">
        <v>44742</v>
      </c>
      <c r="C440">
        <v>16741</v>
      </c>
      <c r="D440">
        <v>29452</v>
      </c>
      <c r="E440">
        <v>143594</v>
      </c>
      <c r="F440">
        <v>6843</v>
      </c>
      <c r="G440">
        <v>7055</v>
      </c>
      <c r="H440">
        <v>5827</v>
      </c>
      <c r="I440">
        <v>38091</v>
      </c>
      <c r="J440">
        <v>1869</v>
      </c>
      <c r="K440">
        <v>0</v>
      </c>
      <c r="L440">
        <v>168</v>
      </c>
      <c r="M440">
        <v>0</v>
      </c>
      <c r="N440">
        <v>2770</v>
      </c>
      <c r="O440">
        <v>0</v>
      </c>
      <c r="P440">
        <v>0</v>
      </c>
      <c r="Q440">
        <v>18949</v>
      </c>
      <c r="R440">
        <v>0</v>
      </c>
      <c r="S440">
        <v>0</v>
      </c>
      <c r="T440">
        <v>0</v>
      </c>
      <c r="U440">
        <v>0</v>
      </c>
      <c r="V440">
        <v>0</v>
      </c>
      <c r="W440">
        <v>6997</v>
      </c>
      <c r="X440">
        <v>6940</v>
      </c>
      <c r="Y440">
        <v>72197</v>
      </c>
      <c r="Z440">
        <v>0</v>
      </c>
      <c r="AA440">
        <v>15</v>
      </c>
      <c r="AB440">
        <v>0</v>
      </c>
      <c r="AC440">
        <v>690</v>
      </c>
      <c r="AD440">
        <v>1614</v>
      </c>
      <c r="AE440">
        <v>2674</v>
      </c>
      <c r="AF440">
        <v>16070</v>
      </c>
      <c r="AG440">
        <v>2417</v>
      </c>
      <c r="AH440">
        <v>0</v>
      </c>
      <c r="AI440">
        <v>0</v>
      </c>
      <c r="AJ440">
        <v>0</v>
      </c>
      <c r="AK440">
        <v>11250</v>
      </c>
      <c r="AL440">
        <v>590</v>
      </c>
      <c r="AM440">
        <v>0</v>
      </c>
      <c r="AN440">
        <v>447</v>
      </c>
      <c r="AO440">
        <v>0</v>
      </c>
      <c r="AP440">
        <v>0</v>
      </c>
    </row>
    <row r="441" spans="1:42">
      <c r="A441" s="547">
        <f t="shared" si="6"/>
        <v>2022</v>
      </c>
      <c r="B441" s="666">
        <v>44773</v>
      </c>
      <c r="C441">
        <v>491</v>
      </c>
      <c r="D441">
        <v>53315</v>
      </c>
      <c r="E441">
        <v>63799</v>
      </c>
      <c r="F441">
        <v>7148</v>
      </c>
      <c r="G441">
        <v>491</v>
      </c>
      <c r="H441">
        <v>1918</v>
      </c>
      <c r="I441">
        <v>30718</v>
      </c>
      <c r="J441">
        <v>2897</v>
      </c>
      <c r="K441">
        <v>0</v>
      </c>
      <c r="L441">
        <v>0</v>
      </c>
      <c r="M441">
        <v>0</v>
      </c>
      <c r="N441">
        <v>1171</v>
      </c>
      <c r="O441">
        <v>0</v>
      </c>
      <c r="P441">
        <v>249</v>
      </c>
      <c r="Q441">
        <v>0</v>
      </c>
      <c r="R441">
        <v>0</v>
      </c>
      <c r="S441">
        <v>0</v>
      </c>
      <c r="T441">
        <v>207</v>
      </c>
      <c r="U441">
        <v>0</v>
      </c>
      <c r="V441">
        <v>0</v>
      </c>
      <c r="W441">
        <v>0</v>
      </c>
      <c r="X441">
        <v>273</v>
      </c>
      <c r="Y441">
        <v>3820</v>
      </c>
      <c r="Z441">
        <v>630</v>
      </c>
      <c r="AA441">
        <v>0</v>
      </c>
      <c r="AB441">
        <v>171</v>
      </c>
      <c r="AC441">
        <v>1454</v>
      </c>
      <c r="AD441">
        <v>138</v>
      </c>
      <c r="AE441">
        <v>0</v>
      </c>
      <c r="AF441">
        <v>50137</v>
      </c>
      <c r="AG441">
        <v>26602</v>
      </c>
      <c r="AH441">
        <v>547</v>
      </c>
      <c r="AI441">
        <v>0</v>
      </c>
      <c r="AJ441">
        <v>0</v>
      </c>
      <c r="AK441">
        <v>0</v>
      </c>
      <c r="AL441">
        <v>0</v>
      </c>
      <c r="AM441">
        <v>0</v>
      </c>
      <c r="AN441">
        <v>360</v>
      </c>
      <c r="AO441">
        <v>1205</v>
      </c>
      <c r="AP441">
        <v>1765</v>
      </c>
    </row>
    <row r="442" spans="1:42">
      <c r="A442" s="547">
        <f t="shared" si="6"/>
        <v>2022</v>
      </c>
      <c r="B442" s="666">
        <v>44804</v>
      </c>
      <c r="C442">
        <v>6829</v>
      </c>
      <c r="D442">
        <v>8478</v>
      </c>
      <c r="E442">
        <v>143215</v>
      </c>
      <c r="F442">
        <v>22614</v>
      </c>
      <c r="G442">
        <v>5808</v>
      </c>
      <c r="H442">
        <v>3648</v>
      </c>
      <c r="I442">
        <v>29323</v>
      </c>
      <c r="J442">
        <v>19858</v>
      </c>
      <c r="K442">
        <v>0</v>
      </c>
      <c r="L442">
        <v>520</v>
      </c>
      <c r="M442">
        <v>0</v>
      </c>
      <c r="N442">
        <v>0</v>
      </c>
      <c r="O442">
        <v>0</v>
      </c>
      <c r="P442">
        <v>0</v>
      </c>
      <c r="Q442">
        <v>0</v>
      </c>
      <c r="R442">
        <v>0</v>
      </c>
      <c r="S442">
        <v>0</v>
      </c>
      <c r="T442">
        <v>0</v>
      </c>
      <c r="U442">
        <v>0</v>
      </c>
      <c r="V442">
        <v>0</v>
      </c>
      <c r="W442">
        <v>767</v>
      </c>
      <c r="X442">
        <v>4109</v>
      </c>
      <c r="Y442">
        <v>66205</v>
      </c>
      <c r="Z442">
        <v>661</v>
      </c>
      <c r="AA442">
        <v>254</v>
      </c>
      <c r="AB442">
        <v>201</v>
      </c>
      <c r="AC442">
        <v>711</v>
      </c>
      <c r="AD442">
        <v>2095</v>
      </c>
      <c r="AE442">
        <v>0</v>
      </c>
      <c r="AF442">
        <v>0</v>
      </c>
      <c r="AG442">
        <v>41870</v>
      </c>
      <c r="AH442">
        <v>0</v>
      </c>
      <c r="AI442">
        <v>0</v>
      </c>
      <c r="AJ442">
        <v>0</v>
      </c>
      <c r="AK442">
        <v>2078</v>
      </c>
      <c r="AL442">
        <v>0</v>
      </c>
      <c r="AM442">
        <v>0</v>
      </c>
      <c r="AN442">
        <v>0</v>
      </c>
      <c r="AO442">
        <v>3028</v>
      </c>
      <c r="AP442">
        <v>0</v>
      </c>
    </row>
    <row r="443" spans="1:42">
      <c r="A443" s="547">
        <f t="shared" si="6"/>
        <v>2022</v>
      </c>
      <c r="B443" s="666">
        <v>44834</v>
      </c>
      <c r="C443">
        <v>10312</v>
      </c>
      <c r="D443">
        <v>36667</v>
      </c>
      <c r="E443">
        <v>103370</v>
      </c>
      <c r="F443">
        <v>4173</v>
      </c>
      <c r="G443">
        <v>9099</v>
      </c>
      <c r="H443">
        <v>1065</v>
      </c>
      <c r="I443">
        <v>27788</v>
      </c>
      <c r="J443">
        <v>2526</v>
      </c>
      <c r="K443">
        <v>0</v>
      </c>
      <c r="L443">
        <v>27570</v>
      </c>
      <c r="M443">
        <v>982</v>
      </c>
      <c r="N443">
        <v>0</v>
      </c>
      <c r="O443">
        <v>0</v>
      </c>
      <c r="P443">
        <v>0</v>
      </c>
      <c r="Q443">
        <v>0</v>
      </c>
      <c r="R443">
        <v>0</v>
      </c>
      <c r="S443">
        <v>0</v>
      </c>
      <c r="T443">
        <v>0</v>
      </c>
      <c r="U443">
        <v>0</v>
      </c>
      <c r="V443">
        <v>0</v>
      </c>
      <c r="W443">
        <v>0</v>
      </c>
      <c r="X443">
        <v>0</v>
      </c>
      <c r="Y443">
        <v>51247</v>
      </c>
      <c r="Z443">
        <v>811</v>
      </c>
      <c r="AA443">
        <v>0</v>
      </c>
      <c r="AB443">
        <v>594</v>
      </c>
      <c r="AC443">
        <v>791</v>
      </c>
      <c r="AD443">
        <v>836</v>
      </c>
      <c r="AE443">
        <v>1213</v>
      </c>
      <c r="AF443">
        <v>0</v>
      </c>
      <c r="AG443">
        <v>22108</v>
      </c>
      <c r="AH443">
        <v>0</v>
      </c>
      <c r="AI443">
        <v>0</v>
      </c>
      <c r="AJ443">
        <v>0</v>
      </c>
      <c r="AK443">
        <v>0</v>
      </c>
      <c r="AL443">
        <v>0</v>
      </c>
      <c r="AM443">
        <v>0</v>
      </c>
      <c r="AN443">
        <v>7438</v>
      </c>
      <c r="AO443">
        <v>454</v>
      </c>
      <c r="AP443">
        <v>0</v>
      </c>
    </row>
    <row r="444" spans="1:42">
      <c r="A444" s="547">
        <f t="shared" si="6"/>
        <v>2022</v>
      </c>
      <c r="B444" s="666">
        <v>44865</v>
      </c>
      <c r="C444">
        <v>558</v>
      </c>
      <c r="D444">
        <v>38051</v>
      </c>
      <c r="E444">
        <v>97004</v>
      </c>
      <c r="F444">
        <v>12550</v>
      </c>
      <c r="G444">
        <v>266</v>
      </c>
      <c r="H444">
        <v>6192</v>
      </c>
      <c r="I444">
        <v>15100</v>
      </c>
      <c r="J444">
        <v>7055</v>
      </c>
      <c r="K444">
        <v>0</v>
      </c>
      <c r="L444">
        <v>493</v>
      </c>
      <c r="M444">
        <v>300</v>
      </c>
      <c r="N444">
        <v>0</v>
      </c>
      <c r="O444">
        <v>0</v>
      </c>
      <c r="P444">
        <v>0</v>
      </c>
      <c r="Q444">
        <v>1940</v>
      </c>
      <c r="R444">
        <v>240</v>
      </c>
      <c r="S444">
        <v>0</v>
      </c>
      <c r="T444">
        <v>0</v>
      </c>
      <c r="U444">
        <v>0</v>
      </c>
      <c r="V444">
        <v>0</v>
      </c>
      <c r="W444">
        <v>0</v>
      </c>
      <c r="X444">
        <v>2321</v>
      </c>
      <c r="Y444">
        <v>0</v>
      </c>
      <c r="Z444">
        <v>4554</v>
      </c>
      <c r="AA444">
        <v>0</v>
      </c>
      <c r="AB444">
        <v>28575</v>
      </c>
      <c r="AC444">
        <v>1518</v>
      </c>
      <c r="AD444">
        <v>473</v>
      </c>
      <c r="AE444">
        <v>292</v>
      </c>
      <c r="AF444">
        <v>470</v>
      </c>
      <c r="AG444">
        <v>78146</v>
      </c>
      <c r="AH444">
        <v>228</v>
      </c>
      <c r="AI444">
        <v>0</v>
      </c>
      <c r="AJ444">
        <v>0</v>
      </c>
      <c r="AK444">
        <v>0</v>
      </c>
      <c r="AL444">
        <v>0</v>
      </c>
      <c r="AM444">
        <v>0</v>
      </c>
      <c r="AN444">
        <v>0</v>
      </c>
      <c r="AO444">
        <v>0</v>
      </c>
      <c r="AP444">
        <v>0</v>
      </c>
    </row>
    <row r="445" spans="1:42">
      <c r="A445" s="547">
        <f t="shared" si="6"/>
        <v>2022</v>
      </c>
      <c r="B445" s="666">
        <v>44895</v>
      </c>
      <c r="C445">
        <v>4623</v>
      </c>
      <c r="D445">
        <v>62798</v>
      </c>
      <c r="E445">
        <v>23872</v>
      </c>
      <c r="F445">
        <v>16727</v>
      </c>
      <c r="G445">
        <v>142</v>
      </c>
      <c r="H445">
        <v>6644</v>
      </c>
      <c r="I445">
        <v>8401</v>
      </c>
      <c r="J445">
        <v>14159</v>
      </c>
      <c r="K445">
        <v>0</v>
      </c>
      <c r="L445">
        <v>0</v>
      </c>
      <c r="M445">
        <v>0</v>
      </c>
      <c r="N445">
        <v>332</v>
      </c>
      <c r="O445">
        <v>1005</v>
      </c>
      <c r="P445">
        <v>0</v>
      </c>
      <c r="Q445">
        <v>510</v>
      </c>
      <c r="R445">
        <v>0</v>
      </c>
      <c r="S445">
        <v>261</v>
      </c>
      <c r="T445">
        <v>0</v>
      </c>
      <c r="U445">
        <v>0</v>
      </c>
      <c r="V445">
        <v>0</v>
      </c>
      <c r="W445">
        <v>2607</v>
      </c>
      <c r="X445">
        <v>7265</v>
      </c>
      <c r="Y445">
        <v>10337</v>
      </c>
      <c r="Z445">
        <v>0</v>
      </c>
      <c r="AA445">
        <v>0</v>
      </c>
      <c r="AB445">
        <v>8201</v>
      </c>
      <c r="AC445">
        <v>4624</v>
      </c>
      <c r="AD445">
        <v>0</v>
      </c>
      <c r="AE445">
        <v>608</v>
      </c>
      <c r="AF445">
        <v>40688</v>
      </c>
      <c r="AG445">
        <v>0</v>
      </c>
      <c r="AH445">
        <v>1806</v>
      </c>
      <c r="AI445">
        <v>0</v>
      </c>
      <c r="AJ445">
        <v>0</v>
      </c>
      <c r="AK445">
        <v>0</v>
      </c>
      <c r="AL445">
        <v>0</v>
      </c>
      <c r="AM445">
        <v>0</v>
      </c>
      <c r="AN445">
        <v>0</v>
      </c>
      <c r="AO445">
        <v>0</v>
      </c>
      <c r="AP445">
        <v>430</v>
      </c>
    </row>
    <row r="446" spans="1:42">
      <c r="A446" s="547">
        <f t="shared" si="6"/>
        <v>2022</v>
      </c>
      <c r="B446" s="666">
        <v>44926</v>
      </c>
      <c r="C446">
        <v>8387</v>
      </c>
      <c r="D446">
        <v>9601</v>
      </c>
      <c r="E446">
        <v>128061</v>
      </c>
      <c r="F446">
        <v>14635</v>
      </c>
      <c r="G446">
        <v>7185</v>
      </c>
      <c r="H446">
        <v>6986</v>
      </c>
      <c r="I446">
        <v>11623</v>
      </c>
      <c r="J446">
        <v>4061</v>
      </c>
      <c r="K446">
        <v>0</v>
      </c>
      <c r="L446">
        <v>262</v>
      </c>
      <c r="M446">
        <v>1350</v>
      </c>
      <c r="N446">
        <v>4491</v>
      </c>
      <c r="O446">
        <v>0</v>
      </c>
      <c r="P446">
        <v>0</v>
      </c>
      <c r="Q446">
        <v>0</v>
      </c>
      <c r="R446">
        <v>0</v>
      </c>
      <c r="S446">
        <v>0</v>
      </c>
      <c r="T446">
        <v>0</v>
      </c>
      <c r="U446">
        <v>0</v>
      </c>
      <c r="V446">
        <v>0</v>
      </c>
      <c r="W446">
        <v>0</v>
      </c>
      <c r="X446">
        <v>1441</v>
      </c>
      <c r="Y446">
        <v>13046</v>
      </c>
      <c r="Z446">
        <v>3063</v>
      </c>
      <c r="AA446">
        <v>0</v>
      </c>
      <c r="AB446">
        <v>413</v>
      </c>
      <c r="AC446">
        <v>0</v>
      </c>
      <c r="AD446">
        <v>1447</v>
      </c>
      <c r="AE446">
        <v>1202</v>
      </c>
      <c r="AF446">
        <v>499</v>
      </c>
      <c r="AG446">
        <v>100932</v>
      </c>
      <c r="AH446">
        <v>1573</v>
      </c>
      <c r="AI446">
        <v>0</v>
      </c>
      <c r="AJ446">
        <v>0</v>
      </c>
      <c r="AK446">
        <v>0</v>
      </c>
      <c r="AL446">
        <v>0</v>
      </c>
      <c r="AM446">
        <v>0</v>
      </c>
      <c r="AN446">
        <v>0</v>
      </c>
      <c r="AO446">
        <v>1110</v>
      </c>
      <c r="AP446">
        <v>0</v>
      </c>
    </row>
    <row r="447" spans="1:42">
      <c r="A447" s="547">
        <f t="shared" si="6"/>
        <v>2023</v>
      </c>
      <c r="B447" s="666">
        <v>44957</v>
      </c>
      <c r="C447">
        <v>72346</v>
      </c>
      <c r="D447">
        <v>22183</v>
      </c>
      <c r="E447">
        <v>37496</v>
      </c>
      <c r="F447">
        <v>11996</v>
      </c>
      <c r="G447">
        <v>0</v>
      </c>
      <c r="H447">
        <v>12783</v>
      </c>
      <c r="I447">
        <v>6533</v>
      </c>
      <c r="J447">
        <v>8101</v>
      </c>
      <c r="K447">
        <v>0</v>
      </c>
      <c r="L447">
        <v>0</v>
      </c>
      <c r="M447">
        <v>2484</v>
      </c>
      <c r="N447">
        <v>0</v>
      </c>
      <c r="O447">
        <v>0</v>
      </c>
      <c r="P447">
        <v>0</v>
      </c>
      <c r="Q447">
        <v>0</v>
      </c>
      <c r="R447">
        <v>0</v>
      </c>
      <c r="S447">
        <v>0</v>
      </c>
      <c r="T447">
        <v>0</v>
      </c>
      <c r="U447">
        <v>0</v>
      </c>
      <c r="V447">
        <v>0</v>
      </c>
      <c r="W447">
        <v>2176</v>
      </c>
      <c r="X447">
        <v>1221</v>
      </c>
      <c r="Y447">
        <v>1340</v>
      </c>
      <c r="Z447">
        <v>35</v>
      </c>
      <c r="AA447">
        <v>0</v>
      </c>
      <c r="AB447">
        <v>45</v>
      </c>
      <c r="AC447">
        <v>0</v>
      </c>
      <c r="AD447">
        <v>0</v>
      </c>
      <c r="AE447">
        <v>70170</v>
      </c>
      <c r="AF447">
        <v>8134</v>
      </c>
      <c r="AG447">
        <v>27139</v>
      </c>
      <c r="AH447">
        <v>3860</v>
      </c>
      <c r="AI447">
        <v>0</v>
      </c>
      <c r="AJ447">
        <v>0</v>
      </c>
      <c r="AK447">
        <v>0</v>
      </c>
      <c r="AL447">
        <v>0</v>
      </c>
      <c r="AM447">
        <v>0</v>
      </c>
      <c r="AN447">
        <v>0</v>
      </c>
      <c r="AO447">
        <v>0</v>
      </c>
      <c r="AP447">
        <v>0</v>
      </c>
    </row>
    <row r="448" spans="1:42">
      <c r="A448" s="547">
        <f t="shared" si="6"/>
        <v>2023</v>
      </c>
      <c r="B448" s="666">
        <v>44985</v>
      </c>
      <c r="C448">
        <v>16041</v>
      </c>
      <c r="D448">
        <v>9110</v>
      </c>
      <c r="E448">
        <v>25072</v>
      </c>
      <c r="F448">
        <v>17997</v>
      </c>
      <c r="G448">
        <v>0</v>
      </c>
      <c r="H448">
        <v>7829</v>
      </c>
      <c r="I448">
        <v>1157</v>
      </c>
      <c r="J448">
        <v>15096</v>
      </c>
      <c r="K448">
        <v>0</v>
      </c>
      <c r="L448">
        <v>841</v>
      </c>
      <c r="M448">
        <v>0</v>
      </c>
      <c r="N448">
        <v>0</v>
      </c>
      <c r="O448">
        <v>0</v>
      </c>
      <c r="P448">
        <v>0</v>
      </c>
      <c r="Q448">
        <v>0</v>
      </c>
      <c r="R448">
        <v>0</v>
      </c>
      <c r="S448">
        <v>0</v>
      </c>
      <c r="T448">
        <v>0</v>
      </c>
      <c r="U448">
        <v>62</v>
      </c>
      <c r="V448">
        <v>0</v>
      </c>
      <c r="W448">
        <v>7261</v>
      </c>
      <c r="X448">
        <v>0</v>
      </c>
      <c r="Y448">
        <v>1943</v>
      </c>
      <c r="Z448">
        <v>1069</v>
      </c>
      <c r="AA448">
        <v>0</v>
      </c>
      <c r="AB448">
        <v>0</v>
      </c>
      <c r="AC448">
        <v>421</v>
      </c>
      <c r="AD448">
        <v>0</v>
      </c>
      <c r="AE448">
        <v>8780</v>
      </c>
      <c r="AF448">
        <v>440</v>
      </c>
      <c r="AG448">
        <v>20462</v>
      </c>
      <c r="AH448">
        <v>1832</v>
      </c>
      <c r="AI448">
        <v>0</v>
      </c>
      <c r="AJ448">
        <v>0</v>
      </c>
      <c r="AK448">
        <v>0</v>
      </c>
      <c r="AL448">
        <v>0</v>
      </c>
      <c r="AM448">
        <v>0</v>
      </c>
      <c r="AN448">
        <v>0</v>
      </c>
      <c r="AO448">
        <v>1027</v>
      </c>
      <c r="AP448">
        <v>0</v>
      </c>
    </row>
    <row r="449" spans="1:42">
      <c r="A449" s="547">
        <f t="shared" si="6"/>
        <v>2023</v>
      </c>
      <c r="B449" s="666">
        <v>45016</v>
      </c>
      <c r="C449">
        <v>8192</v>
      </c>
      <c r="D449">
        <v>122610</v>
      </c>
      <c r="E449">
        <v>36464</v>
      </c>
      <c r="F449">
        <v>4884</v>
      </c>
      <c r="G449">
        <v>5684</v>
      </c>
      <c r="H449">
        <v>0</v>
      </c>
      <c r="I449">
        <v>0</v>
      </c>
      <c r="J449">
        <v>1420</v>
      </c>
      <c r="K449">
        <v>0</v>
      </c>
      <c r="L449">
        <v>2138</v>
      </c>
      <c r="M449">
        <v>0</v>
      </c>
      <c r="N449">
        <v>0</v>
      </c>
      <c r="O449">
        <v>1387</v>
      </c>
      <c r="P449">
        <v>0</v>
      </c>
      <c r="Q449">
        <v>0</v>
      </c>
      <c r="R449">
        <v>0</v>
      </c>
      <c r="S449">
        <v>0</v>
      </c>
      <c r="T449">
        <v>0</v>
      </c>
      <c r="U449">
        <v>0</v>
      </c>
      <c r="V449">
        <v>0</v>
      </c>
      <c r="W449">
        <v>519</v>
      </c>
      <c r="X449">
        <v>43521</v>
      </c>
      <c r="Y449">
        <v>6703</v>
      </c>
      <c r="Z449">
        <v>3464</v>
      </c>
      <c r="AA449">
        <v>0</v>
      </c>
      <c r="AB449">
        <v>0</v>
      </c>
      <c r="AC449">
        <v>4794</v>
      </c>
      <c r="AD449">
        <v>0</v>
      </c>
      <c r="AE449">
        <v>602</v>
      </c>
      <c r="AF449">
        <v>64752</v>
      </c>
      <c r="AG449">
        <v>7425</v>
      </c>
      <c r="AH449">
        <v>0</v>
      </c>
      <c r="AI449">
        <v>0</v>
      </c>
      <c r="AJ449">
        <v>0</v>
      </c>
      <c r="AK449">
        <v>17542</v>
      </c>
      <c r="AL449">
        <v>0</v>
      </c>
      <c r="AM449">
        <v>0</v>
      </c>
      <c r="AN449">
        <v>12199</v>
      </c>
      <c r="AO449">
        <v>0</v>
      </c>
      <c r="AP449">
        <v>0</v>
      </c>
    </row>
    <row r="450" spans="1:42">
      <c r="A450" s="547">
        <f t="shared" si="6"/>
        <v>2023</v>
      </c>
      <c r="B450" s="666">
        <v>45046</v>
      </c>
      <c r="C450">
        <v>823</v>
      </c>
      <c r="D450">
        <v>46786</v>
      </c>
      <c r="E450">
        <v>93442</v>
      </c>
      <c r="F450">
        <v>10786</v>
      </c>
      <c r="G450">
        <v>0</v>
      </c>
      <c r="H450">
        <v>350</v>
      </c>
      <c r="I450">
        <v>16066</v>
      </c>
      <c r="J450">
        <v>179</v>
      </c>
      <c r="K450">
        <v>0</v>
      </c>
      <c r="L450">
        <v>0</v>
      </c>
      <c r="M450">
        <v>6465</v>
      </c>
      <c r="N450">
        <v>158</v>
      </c>
      <c r="O450">
        <v>0</v>
      </c>
      <c r="P450">
        <v>0</v>
      </c>
      <c r="Q450">
        <v>473</v>
      </c>
      <c r="R450">
        <v>0</v>
      </c>
      <c r="S450">
        <v>275</v>
      </c>
      <c r="T450">
        <v>0</v>
      </c>
      <c r="U450">
        <v>0</v>
      </c>
      <c r="V450">
        <v>0</v>
      </c>
      <c r="W450">
        <v>0</v>
      </c>
      <c r="X450">
        <v>1095</v>
      </c>
      <c r="Y450">
        <v>1643</v>
      </c>
      <c r="Z450">
        <v>0</v>
      </c>
      <c r="AA450">
        <v>0</v>
      </c>
      <c r="AB450">
        <v>1132</v>
      </c>
      <c r="AC450">
        <v>0</v>
      </c>
      <c r="AD450">
        <v>0</v>
      </c>
      <c r="AE450">
        <v>548</v>
      </c>
      <c r="AF450">
        <v>44209</v>
      </c>
      <c r="AG450">
        <v>40782</v>
      </c>
      <c r="AH450">
        <v>10449</v>
      </c>
      <c r="AI450">
        <v>0</v>
      </c>
      <c r="AJ450">
        <v>0</v>
      </c>
      <c r="AK450">
        <v>0</v>
      </c>
      <c r="AL450">
        <v>0</v>
      </c>
      <c r="AM450">
        <v>0</v>
      </c>
      <c r="AN450">
        <v>0</v>
      </c>
      <c r="AO450">
        <v>28013</v>
      </c>
      <c r="AP450">
        <v>0</v>
      </c>
    </row>
  </sheetData>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tabColor rgb="FF0070C0"/>
  </sheetPr>
  <dimension ref="A1:AO68"/>
  <sheetViews>
    <sheetView topLeftCell="A27" zoomScale="61" workbookViewId="0">
      <selection activeCell="J32" sqref="J32"/>
    </sheetView>
  </sheetViews>
  <sheetFormatPr defaultColWidth="9.140625" defaultRowHeight="12.75"/>
  <cols>
    <col min="1" max="1" width="5" style="544" bestFit="1" customWidth="1"/>
    <col min="2" max="41" width="10.42578125" style="314" customWidth="1"/>
    <col min="42" max="16384" width="9.140625" style="314"/>
  </cols>
  <sheetData>
    <row r="1" spans="1:41">
      <c r="B1" s="801" t="s">
        <v>441</v>
      </c>
      <c r="C1" s="801"/>
      <c r="D1" s="801"/>
      <c r="E1" s="801"/>
      <c r="F1" s="801" t="s">
        <v>1182</v>
      </c>
      <c r="G1" s="801"/>
      <c r="H1" s="801"/>
      <c r="I1" s="801"/>
      <c r="J1" s="801" t="s">
        <v>1183</v>
      </c>
      <c r="K1" s="801"/>
      <c r="L1" s="801"/>
      <c r="M1" s="801"/>
      <c r="N1" s="801" t="s">
        <v>1184</v>
      </c>
      <c r="O1" s="801"/>
      <c r="P1" s="801"/>
      <c r="Q1" s="801"/>
      <c r="R1" s="801" t="s">
        <v>1185</v>
      </c>
      <c r="S1" s="801"/>
      <c r="T1" s="801"/>
      <c r="U1" s="801"/>
      <c r="V1" s="801" t="s">
        <v>1186</v>
      </c>
      <c r="W1" s="801"/>
      <c r="X1" s="801"/>
      <c r="Y1" s="801"/>
      <c r="Z1" s="801" t="s">
        <v>1187</v>
      </c>
      <c r="AA1" s="801"/>
      <c r="AB1" s="801"/>
      <c r="AC1" s="801"/>
      <c r="AD1" s="801" t="s">
        <v>1188</v>
      </c>
      <c r="AE1" s="801"/>
      <c r="AF1" s="801"/>
      <c r="AG1" s="801"/>
      <c r="AH1" s="801" t="s">
        <v>1189</v>
      </c>
      <c r="AI1" s="801"/>
      <c r="AJ1" s="801"/>
      <c r="AK1" s="801"/>
      <c r="AL1" s="801" t="s">
        <v>1190</v>
      </c>
      <c r="AM1" s="801"/>
      <c r="AN1" s="801"/>
      <c r="AO1" s="801"/>
    </row>
    <row r="2" spans="1:41" s="546" customFormat="1" ht="38.25">
      <c r="A2" s="545"/>
      <c r="B2" s="654" t="s">
        <v>1192</v>
      </c>
      <c r="C2" s="654" t="s">
        <v>1193</v>
      </c>
      <c r="D2" s="546" t="s">
        <v>1194</v>
      </c>
      <c r="E2" s="654" t="s">
        <v>83</v>
      </c>
      <c r="F2" s="546" t="str">
        <f>B2</f>
        <v>Office &amp; Banking</v>
      </c>
      <c r="G2" s="546" t="str">
        <f>C2</f>
        <v xml:space="preserve">Shopping </v>
      </c>
      <c r="H2" s="546" t="str">
        <f>D2</f>
        <v>Industrial &amp; Warehouse</v>
      </c>
      <c r="I2" s="546" t="str">
        <f>E2</f>
        <v>Other</v>
      </c>
      <c r="J2" s="546" t="str">
        <f t="shared" ref="J2:AO2" si="0">F2</f>
        <v>Office &amp; Banking</v>
      </c>
      <c r="K2" s="546" t="str">
        <f t="shared" si="0"/>
        <v xml:space="preserve">Shopping </v>
      </c>
      <c r="L2" s="546" t="str">
        <f t="shared" si="0"/>
        <v>Industrial &amp; Warehouse</v>
      </c>
      <c r="M2" s="546" t="str">
        <f t="shared" si="0"/>
        <v>Other</v>
      </c>
      <c r="N2" s="546" t="str">
        <f t="shared" si="0"/>
        <v>Office &amp; Banking</v>
      </c>
      <c r="O2" s="546" t="str">
        <f t="shared" si="0"/>
        <v xml:space="preserve">Shopping </v>
      </c>
      <c r="P2" s="546" t="str">
        <f t="shared" si="0"/>
        <v>Industrial &amp; Warehouse</v>
      </c>
      <c r="Q2" s="546" t="str">
        <f t="shared" si="0"/>
        <v>Other</v>
      </c>
      <c r="R2" s="546" t="str">
        <f t="shared" si="0"/>
        <v>Office &amp; Banking</v>
      </c>
      <c r="S2" s="546" t="str">
        <f t="shared" si="0"/>
        <v xml:space="preserve">Shopping </v>
      </c>
      <c r="T2" s="546" t="str">
        <f t="shared" si="0"/>
        <v>Industrial &amp; Warehouse</v>
      </c>
      <c r="U2" s="546" t="str">
        <f t="shared" si="0"/>
        <v>Other</v>
      </c>
      <c r="V2" s="546" t="str">
        <f t="shared" si="0"/>
        <v>Office &amp; Banking</v>
      </c>
      <c r="W2" s="546" t="str">
        <f t="shared" si="0"/>
        <v xml:space="preserve">Shopping </v>
      </c>
      <c r="X2" s="546" t="str">
        <f t="shared" si="0"/>
        <v>Industrial &amp; Warehouse</v>
      </c>
      <c r="Y2" s="546" t="str">
        <f t="shared" si="0"/>
        <v>Other</v>
      </c>
      <c r="Z2" s="546" t="str">
        <f t="shared" si="0"/>
        <v>Office &amp; Banking</v>
      </c>
      <c r="AA2" s="546" t="str">
        <f t="shared" si="0"/>
        <v xml:space="preserve">Shopping </v>
      </c>
      <c r="AB2" s="546" t="str">
        <f t="shared" si="0"/>
        <v>Industrial &amp; Warehouse</v>
      </c>
      <c r="AC2" s="546" t="str">
        <f t="shared" si="0"/>
        <v>Other</v>
      </c>
      <c r="AD2" s="546" t="str">
        <f t="shared" si="0"/>
        <v>Office &amp; Banking</v>
      </c>
      <c r="AE2" s="546" t="str">
        <f t="shared" si="0"/>
        <v xml:space="preserve">Shopping </v>
      </c>
      <c r="AF2" s="546" t="str">
        <f t="shared" si="0"/>
        <v>Industrial &amp; Warehouse</v>
      </c>
      <c r="AG2" s="546" t="str">
        <f t="shared" si="0"/>
        <v>Other</v>
      </c>
      <c r="AH2" s="546" t="str">
        <f t="shared" si="0"/>
        <v>Office &amp; Banking</v>
      </c>
      <c r="AI2" s="546" t="str">
        <f t="shared" si="0"/>
        <v xml:space="preserve">Shopping </v>
      </c>
      <c r="AJ2" s="546" t="str">
        <f t="shared" si="0"/>
        <v>Industrial &amp; Warehouse</v>
      </c>
      <c r="AK2" s="546" t="str">
        <f t="shared" si="0"/>
        <v>Other</v>
      </c>
      <c r="AL2" s="546" t="str">
        <f t="shared" si="0"/>
        <v>Office &amp; Banking</v>
      </c>
      <c r="AM2" s="546" t="str">
        <f t="shared" si="0"/>
        <v xml:space="preserve">Shopping </v>
      </c>
      <c r="AN2" s="546" t="str">
        <f t="shared" si="0"/>
        <v>Industrial &amp; Warehouse</v>
      </c>
      <c r="AO2" s="546" t="str">
        <f t="shared" si="0"/>
        <v>Other</v>
      </c>
    </row>
    <row r="3" spans="1:41">
      <c r="B3" s="314" t="s">
        <v>1143</v>
      </c>
      <c r="C3" s="314" t="s">
        <v>1144</v>
      </c>
      <c r="D3" s="314" t="s">
        <v>1145</v>
      </c>
      <c r="E3" s="314" t="s">
        <v>1146</v>
      </c>
      <c r="F3" s="314" t="s">
        <v>1147</v>
      </c>
      <c r="G3" s="314" t="s">
        <v>1148</v>
      </c>
      <c r="H3" s="314" t="s">
        <v>1149</v>
      </c>
      <c r="I3" s="314" t="s">
        <v>1191</v>
      </c>
      <c r="J3" s="314" t="s">
        <v>1150</v>
      </c>
      <c r="K3" s="314" t="s">
        <v>1151</v>
      </c>
      <c r="L3" s="314" t="s">
        <v>1152</v>
      </c>
      <c r="M3" s="314" t="s">
        <v>1153</v>
      </c>
      <c r="N3" s="314" t="s">
        <v>1154</v>
      </c>
      <c r="O3" s="314" t="s">
        <v>1155</v>
      </c>
      <c r="P3" s="314" t="s">
        <v>1156</v>
      </c>
      <c r="Q3" s="314" t="s">
        <v>1157</v>
      </c>
      <c r="R3" s="314" t="s">
        <v>1161</v>
      </c>
      <c r="S3" s="314" t="s">
        <v>1158</v>
      </c>
      <c r="T3" s="314" t="s">
        <v>1159</v>
      </c>
      <c r="U3" s="314" t="s">
        <v>1160</v>
      </c>
      <c r="V3" s="314" t="s">
        <v>1162</v>
      </c>
      <c r="W3" s="314" t="s">
        <v>1163</v>
      </c>
      <c r="X3" s="314" t="s">
        <v>1164</v>
      </c>
      <c r="Y3" s="314" t="s">
        <v>1165</v>
      </c>
      <c r="Z3" s="314" t="s">
        <v>1166</v>
      </c>
      <c r="AA3" s="314" t="s">
        <v>1167</v>
      </c>
      <c r="AB3" s="314" t="s">
        <v>1168</v>
      </c>
      <c r="AC3" s="314" t="s">
        <v>1169</v>
      </c>
      <c r="AD3" s="314" t="s">
        <v>1170</v>
      </c>
      <c r="AE3" s="314" t="s">
        <v>1171</v>
      </c>
      <c r="AF3" s="314" t="s">
        <v>1172</v>
      </c>
      <c r="AG3" s="314" t="s">
        <v>1173</v>
      </c>
      <c r="AH3" s="314" t="s">
        <v>1174</v>
      </c>
      <c r="AI3" s="314" t="s">
        <v>1175</v>
      </c>
      <c r="AJ3" s="314" t="s">
        <v>1176</v>
      </c>
      <c r="AK3" s="314" t="s">
        <v>1177</v>
      </c>
      <c r="AL3" s="314" t="s">
        <v>1178</v>
      </c>
      <c r="AM3" s="314" t="s">
        <v>1179</v>
      </c>
      <c r="AN3" s="314" t="s">
        <v>1180</v>
      </c>
      <c r="AO3" s="314" t="s">
        <v>1181</v>
      </c>
    </row>
    <row r="4" spans="1:41">
      <c r="A4" s="544">
        <v>1986</v>
      </c>
      <c r="B4" s="314">
        <f>SUMIF(STATSSA_Monthly!$A$3:$A$500,STATSSA_Annual!$A4,STATSSA_Monthly!C$3:C$500)</f>
        <v>863128</v>
      </c>
      <c r="C4" s="314">
        <f>SUMIF(STATSSA_Monthly!$A$3:$A$500,STATSSA_Annual!$A4,STATSSA_Monthly!D$3:D$500)</f>
        <v>679866</v>
      </c>
      <c r="D4" s="314">
        <f>SUMIF(STATSSA_Monthly!$A$3:$A$500,STATSSA_Annual!$A4,STATSSA_Monthly!E$3:E$500)</f>
        <v>1025458</v>
      </c>
      <c r="E4" s="314" t="e">
        <f>SUMIF(STATSSA_Monthly!$A$3:$A$500,STATSSA_Annual!$A4,STATSSA_Monthly!F$3:F$500)</f>
        <v>#N/A</v>
      </c>
      <c r="F4" s="314" t="e">
        <f>SUMIF(STATSSA_Monthly!$A$3:$A$500,STATSSA_Annual!$A4,STATSSA_Monthly!G$3:G$500)</f>
        <v>#N/A</v>
      </c>
      <c r="G4" s="314" t="e">
        <f>SUMIF(STATSSA_Monthly!$A$3:$A$500,STATSSA_Annual!$A4,STATSSA_Monthly!H$3:H$500)</f>
        <v>#N/A</v>
      </c>
      <c r="H4" s="314" t="e">
        <f>SUMIF(STATSSA_Monthly!$A$3:$A$500,STATSSA_Annual!$A4,STATSSA_Monthly!I$3:I$500)</f>
        <v>#N/A</v>
      </c>
      <c r="I4" s="314" t="e">
        <f>SUMIF(STATSSA_Monthly!$A$3:$A$500,STATSSA_Annual!$A4,STATSSA_Monthly!J$3:J$500)</f>
        <v>#N/A</v>
      </c>
      <c r="J4" s="314" t="e">
        <f>SUMIF(STATSSA_Monthly!$A$3:$A$400,STATSSA_Annual!$A4,STATSSA_Monthly!K$3:K$400)</f>
        <v>#N/A</v>
      </c>
      <c r="K4" s="314" t="e">
        <f>SUMIF(STATSSA_Monthly!$A$3:$A$400,STATSSA_Annual!$A4,STATSSA_Monthly!L$3:L$400)</f>
        <v>#N/A</v>
      </c>
      <c r="L4" s="314" t="e">
        <f>SUMIF(STATSSA_Monthly!$A$3:$A$400,STATSSA_Annual!$A4,STATSSA_Monthly!M$3:M$400)</f>
        <v>#N/A</v>
      </c>
      <c r="M4" s="314" t="e">
        <f>SUMIF(STATSSA_Monthly!$A$3:$A$400,STATSSA_Annual!$A4,STATSSA_Monthly!N$3:N$400)</f>
        <v>#N/A</v>
      </c>
      <c r="N4" s="314" t="e">
        <f>SUMIF(STATSSA_Monthly!$A$3:$A$400,STATSSA_Annual!$A4,STATSSA_Monthly!O$3:O$400)</f>
        <v>#N/A</v>
      </c>
      <c r="O4" s="314" t="e">
        <f>SUMIF(STATSSA_Monthly!$A$3:$A$400,STATSSA_Annual!$A4,STATSSA_Monthly!P$3:P$400)</f>
        <v>#N/A</v>
      </c>
      <c r="P4" s="314" t="e">
        <f>SUMIF(STATSSA_Monthly!$A$3:$A$400,STATSSA_Annual!$A4,STATSSA_Monthly!Q$3:Q$400)</f>
        <v>#N/A</v>
      </c>
      <c r="Q4" s="314" t="e">
        <f>SUMIF(STATSSA_Monthly!$A$3:$A$400,STATSSA_Annual!$A4,STATSSA_Monthly!R$3:R$400)</f>
        <v>#N/A</v>
      </c>
      <c r="R4" s="314" t="e">
        <f>SUMIF(STATSSA_Monthly!$A$3:$A$400,STATSSA_Annual!$A4,STATSSA_Monthly!S$3:S$400)</f>
        <v>#N/A</v>
      </c>
      <c r="S4" s="314" t="e">
        <f>SUMIF(STATSSA_Monthly!$A$3:$A$400,STATSSA_Annual!$A4,STATSSA_Monthly!T$3:T$400)</f>
        <v>#N/A</v>
      </c>
      <c r="T4" s="314" t="e">
        <f>SUMIF(STATSSA_Monthly!$A$3:$A$400,STATSSA_Annual!$A4,STATSSA_Monthly!U$3:U$400)</f>
        <v>#N/A</v>
      </c>
      <c r="U4" s="314" t="e">
        <f>SUMIF(STATSSA_Monthly!$A$3:$A$400,STATSSA_Annual!$A4,STATSSA_Monthly!V$3:V$400)</f>
        <v>#N/A</v>
      </c>
      <c r="V4" s="314" t="e">
        <f>SUMIF(STATSSA_Monthly!$A$3:$A$400,STATSSA_Annual!$A4,STATSSA_Monthly!W$3:W$400)</f>
        <v>#N/A</v>
      </c>
      <c r="W4" s="314" t="e">
        <f>SUMIF(STATSSA_Monthly!$A$3:$A$400,STATSSA_Annual!$A4,STATSSA_Monthly!X$3:X$400)</f>
        <v>#N/A</v>
      </c>
      <c r="X4" s="314" t="e">
        <f>SUMIF(STATSSA_Monthly!$A$3:$A$400,STATSSA_Annual!$A4,STATSSA_Monthly!Y$3:Y$400)</f>
        <v>#N/A</v>
      </c>
      <c r="Y4" s="314" t="e">
        <f>SUMIF(STATSSA_Monthly!$A$3:$A$400,STATSSA_Annual!$A4,STATSSA_Monthly!Z$3:Z$400)</f>
        <v>#N/A</v>
      </c>
      <c r="Z4" s="314" t="e">
        <f>SUMIF(STATSSA_Monthly!$A$3:$A$400,STATSSA_Annual!$A4,STATSSA_Monthly!AA$3:AA$400)</f>
        <v>#N/A</v>
      </c>
      <c r="AA4" s="314" t="e">
        <f>SUMIF(STATSSA_Monthly!$A$3:$A$400,STATSSA_Annual!$A4,STATSSA_Monthly!AB$3:AB$400)</f>
        <v>#N/A</v>
      </c>
      <c r="AB4" s="314" t="e">
        <f>SUMIF(STATSSA_Monthly!$A$3:$A$400,STATSSA_Annual!$A4,STATSSA_Monthly!AC$3:AC$400)</f>
        <v>#N/A</v>
      </c>
      <c r="AC4" s="314" t="e">
        <f>SUMIF(STATSSA_Monthly!$A$3:$A$400,STATSSA_Annual!$A4,STATSSA_Monthly!AD$3:AD$400)</f>
        <v>#N/A</v>
      </c>
      <c r="AD4" s="314" t="e">
        <f>SUMIF(STATSSA_Monthly!$A$3:$A$400,STATSSA_Annual!$A4,STATSSA_Monthly!AE$3:AE$400)</f>
        <v>#N/A</v>
      </c>
      <c r="AE4" s="314" t="e">
        <f>SUMIF(STATSSA_Monthly!$A$3:$A$400,STATSSA_Annual!$A4,STATSSA_Monthly!AF$3:AF$400)</f>
        <v>#N/A</v>
      </c>
      <c r="AF4" s="314" t="e">
        <f>SUMIF(STATSSA_Monthly!$A$3:$A$400,STATSSA_Annual!$A4,STATSSA_Monthly!AG$3:AG$400)</f>
        <v>#N/A</v>
      </c>
      <c r="AG4" s="314" t="e">
        <f>SUMIF(STATSSA_Monthly!$A$3:$A$400,STATSSA_Annual!$A4,STATSSA_Monthly!AH$3:AH$400)</f>
        <v>#N/A</v>
      </c>
      <c r="AH4" s="314" t="e">
        <f>SUMIF(STATSSA_Monthly!$A$3:$A$400,STATSSA_Annual!$A4,STATSSA_Monthly!AI$3:AI$400)</f>
        <v>#N/A</v>
      </c>
      <c r="AI4" s="314" t="e">
        <f>SUMIF(STATSSA_Monthly!$A$3:$A$400,STATSSA_Annual!$A4,STATSSA_Monthly!AJ$3:AJ$400)</f>
        <v>#N/A</v>
      </c>
      <c r="AJ4" s="314" t="e">
        <f>SUMIF(STATSSA_Monthly!$A$3:$A$400,STATSSA_Annual!$A4,STATSSA_Monthly!AK$3:AK$400)</f>
        <v>#N/A</v>
      </c>
      <c r="AK4" s="314" t="e">
        <f>SUMIF(STATSSA_Monthly!$A$3:$A$400,STATSSA_Annual!$A4,STATSSA_Monthly!AL$3:AL$400)</f>
        <v>#N/A</v>
      </c>
      <c r="AL4" s="314" t="e">
        <f>SUMIF(STATSSA_Monthly!$A$3:$A$400,STATSSA_Annual!$A4,STATSSA_Monthly!AM$3:AM$400)</f>
        <v>#N/A</v>
      </c>
      <c r="AM4" s="314" t="e">
        <f>SUMIF(STATSSA_Monthly!$A$3:$A$400,STATSSA_Annual!$A4,STATSSA_Monthly!AN$3:AN$400)</f>
        <v>#N/A</v>
      </c>
      <c r="AN4" s="314" t="e">
        <f>SUMIF(STATSSA_Monthly!$A$3:$A$400,STATSSA_Annual!$A4,STATSSA_Monthly!AO$3:AO$400)</f>
        <v>#N/A</v>
      </c>
      <c r="AO4" s="314" t="e">
        <f>SUMIF(STATSSA_Monthly!$A$3:$A$400,STATSSA_Annual!$A4,STATSSA_Monthly!AP$3:AP$400)</f>
        <v>#N/A</v>
      </c>
    </row>
    <row r="5" spans="1:41">
      <c r="A5" s="544">
        <f>A4+1</f>
        <v>1987</v>
      </c>
      <c r="B5" s="314">
        <f>SUMIF(STATSSA_Monthly!$A$3:$A$500,STATSSA_Annual!$A5,STATSSA_Monthly!C$3:C$500)</f>
        <v>796775</v>
      </c>
      <c r="C5" s="314">
        <f>SUMIF(STATSSA_Monthly!$A$3:$A$500,STATSSA_Annual!$A5,STATSSA_Monthly!D$3:D$500)</f>
        <v>334468</v>
      </c>
      <c r="D5" s="314">
        <f>SUMIF(STATSSA_Monthly!$A$3:$A$500,STATSSA_Annual!$A5,STATSSA_Monthly!E$3:E$500)</f>
        <v>729256</v>
      </c>
      <c r="E5" s="314" t="e">
        <f>SUMIF(STATSSA_Monthly!$A$3:$A$500,STATSSA_Annual!$A5,STATSSA_Monthly!F$3:F$500)</f>
        <v>#N/A</v>
      </c>
      <c r="F5" s="314" t="e">
        <f>SUMIF(STATSSA_Monthly!$A$3:$A$500,STATSSA_Annual!$A5,STATSSA_Monthly!G$3:G$500)</f>
        <v>#N/A</v>
      </c>
      <c r="G5" s="314" t="e">
        <f>SUMIF(STATSSA_Monthly!$A$3:$A$500,STATSSA_Annual!$A5,STATSSA_Monthly!H$3:H$500)</f>
        <v>#N/A</v>
      </c>
      <c r="H5" s="314" t="e">
        <f>SUMIF(STATSSA_Monthly!$A$3:$A$500,STATSSA_Annual!$A5,STATSSA_Monthly!I$3:I$500)</f>
        <v>#N/A</v>
      </c>
      <c r="I5" s="314" t="e">
        <f>SUMIF(STATSSA_Monthly!$A$3:$A$500,STATSSA_Annual!$A5,STATSSA_Monthly!J$3:J$500)</f>
        <v>#N/A</v>
      </c>
      <c r="J5" s="314" t="e">
        <f>SUMIF(STATSSA_Monthly!$A$3:$A$400,STATSSA_Annual!$A5,STATSSA_Monthly!K$3:K$400)</f>
        <v>#N/A</v>
      </c>
      <c r="K5" s="314" t="e">
        <f>SUMIF(STATSSA_Monthly!$A$3:$A$400,STATSSA_Annual!$A5,STATSSA_Monthly!L$3:L$400)</f>
        <v>#N/A</v>
      </c>
      <c r="L5" s="314" t="e">
        <f>SUMIF(STATSSA_Monthly!$A$3:$A$400,STATSSA_Annual!$A5,STATSSA_Monthly!M$3:M$400)</f>
        <v>#N/A</v>
      </c>
      <c r="M5" s="314" t="e">
        <f>SUMIF(STATSSA_Monthly!$A$3:$A$400,STATSSA_Annual!$A5,STATSSA_Monthly!N$3:N$400)</f>
        <v>#N/A</v>
      </c>
      <c r="N5" s="314" t="e">
        <f>SUMIF(STATSSA_Monthly!$A$3:$A$400,STATSSA_Annual!$A5,STATSSA_Monthly!O$3:O$400)</f>
        <v>#N/A</v>
      </c>
      <c r="O5" s="314" t="e">
        <f>SUMIF(STATSSA_Monthly!$A$3:$A$400,STATSSA_Annual!$A5,STATSSA_Monthly!P$3:P$400)</f>
        <v>#N/A</v>
      </c>
      <c r="P5" s="314" t="e">
        <f>SUMIF(STATSSA_Monthly!$A$3:$A$400,STATSSA_Annual!$A5,STATSSA_Monthly!Q$3:Q$400)</f>
        <v>#N/A</v>
      </c>
      <c r="Q5" s="314" t="e">
        <f>SUMIF(STATSSA_Monthly!$A$3:$A$400,STATSSA_Annual!$A5,STATSSA_Monthly!R$3:R$400)</f>
        <v>#N/A</v>
      </c>
      <c r="R5" s="314" t="e">
        <f>SUMIF(STATSSA_Monthly!$A$3:$A$400,STATSSA_Annual!$A5,STATSSA_Monthly!S$3:S$400)</f>
        <v>#N/A</v>
      </c>
      <c r="S5" s="314" t="e">
        <f>SUMIF(STATSSA_Monthly!$A$3:$A$400,STATSSA_Annual!$A5,STATSSA_Monthly!T$3:T$400)</f>
        <v>#N/A</v>
      </c>
      <c r="T5" s="314" t="e">
        <f>SUMIF(STATSSA_Monthly!$A$3:$A$400,STATSSA_Annual!$A5,STATSSA_Monthly!U$3:U$400)</f>
        <v>#N/A</v>
      </c>
      <c r="U5" s="314" t="e">
        <f>SUMIF(STATSSA_Monthly!$A$3:$A$400,STATSSA_Annual!$A5,STATSSA_Monthly!V$3:V$400)</f>
        <v>#N/A</v>
      </c>
      <c r="V5" s="314" t="e">
        <f>SUMIF(STATSSA_Monthly!$A$3:$A$400,STATSSA_Annual!$A5,STATSSA_Monthly!W$3:W$400)</f>
        <v>#N/A</v>
      </c>
      <c r="W5" s="314" t="e">
        <f>SUMIF(STATSSA_Monthly!$A$3:$A$400,STATSSA_Annual!$A5,STATSSA_Monthly!X$3:X$400)</f>
        <v>#N/A</v>
      </c>
      <c r="X5" s="314" t="e">
        <f>SUMIF(STATSSA_Monthly!$A$3:$A$400,STATSSA_Annual!$A5,STATSSA_Monthly!Y$3:Y$400)</f>
        <v>#N/A</v>
      </c>
      <c r="Y5" s="314" t="e">
        <f>SUMIF(STATSSA_Monthly!$A$3:$A$400,STATSSA_Annual!$A5,STATSSA_Monthly!Z$3:Z$400)</f>
        <v>#N/A</v>
      </c>
      <c r="Z5" s="314" t="e">
        <f>SUMIF(STATSSA_Monthly!$A$3:$A$400,STATSSA_Annual!$A5,STATSSA_Monthly!AA$3:AA$400)</f>
        <v>#N/A</v>
      </c>
      <c r="AA5" s="314" t="e">
        <f>SUMIF(STATSSA_Monthly!$A$3:$A$400,STATSSA_Annual!$A5,STATSSA_Monthly!AB$3:AB$400)</f>
        <v>#N/A</v>
      </c>
      <c r="AB5" s="314" t="e">
        <f>SUMIF(STATSSA_Monthly!$A$3:$A$400,STATSSA_Annual!$A5,STATSSA_Monthly!AC$3:AC$400)</f>
        <v>#N/A</v>
      </c>
      <c r="AC5" s="314" t="e">
        <f>SUMIF(STATSSA_Monthly!$A$3:$A$400,STATSSA_Annual!$A5,STATSSA_Monthly!AD$3:AD$400)</f>
        <v>#N/A</v>
      </c>
      <c r="AD5" s="314" t="e">
        <f>SUMIF(STATSSA_Monthly!$A$3:$A$400,STATSSA_Annual!$A5,STATSSA_Monthly!AE$3:AE$400)</f>
        <v>#N/A</v>
      </c>
      <c r="AE5" s="314" t="e">
        <f>SUMIF(STATSSA_Monthly!$A$3:$A$400,STATSSA_Annual!$A5,STATSSA_Monthly!AF$3:AF$400)</f>
        <v>#N/A</v>
      </c>
      <c r="AF5" s="314" t="e">
        <f>SUMIF(STATSSA_Monthly!$A$3:$A$400,STATSSA_Annual!$A5,STATSSA_Monthly!AG$3:AG$400)</f>
        <v>#N/A</v>
      </c>
      <c r="AG5" s="314" t="e">
        <f>SUMIF(STATSSA_Monthly!$A$3:$A$400,STATSSA_Annual!$A5,STATSSA_Monthly!AH$3:AH$400)</f>
        <v>#N/A</v>
      </c>
      <c r="AH5" s="314" t="e">
        <f>SUMIF(STATSSA_Monthly!$A$3:$A$400,STATSSA_Annual!$A5,STATSSA_Monthly!AI$3:AI$400)</f>
        <v>#N/A</v>
      </c>
      <c r="AI5" s="314" t="e">
        <f>SUMIF(STATSSA_Monthly!$A$3:$A$400,STATSSA_Annual!$A5,STATSSA_Monthly!AJ$3:AJ$400)</f>
        <v>#N/A</v>
      </c>
      <c r="AJ5" s="314" t="e">
        <f>SUMIF(STATSSA_Monthly!$A$3:$A$400,STATSSA_Annual!$A5,STATSSA_Monthly!AK$3:AK$400)</f>
        <v>#N/A</v>
      </c>
      <c r="AK5" s="314" t="e">
        <f>SUMIF(STATSSA_Monthly!$A$3:$A$400,STATSSA_Annual!$A5,STATSSA_Monthly!AL$3:AL$400)</f>
        <v>#N/A</v>
      </c>
      <c r="AL5" s="314" t="e">
        <f>SUMIF(STATSSA_Monthly!$A$3:$A$400,STATSSA_Annual!$A5,STATSSA_Monthly!AM$3:AM$400)</f>
        <v>#N/A</v>
      </c>
      <c r="AM5" s="314" t="e">
        <f>SUMIF(STATSSA_Monthly!$A$3:$A$400,STATSSA_Annual!$A5,STATSSA_Monthly!AN$3:AN$400)</f>
        <v>#N/A</v>
      </c>
      <c r="AN5" s="314" t="e">
        <f>SUMIF(STATSSA_Monthly!$A$3:$A$400,STATSSA_Annual!$A5,STATSSA_Monthly!AO$3:AO$400)</f>
        <v>#N/A</v>
      </c>
      <c r="AO5" s="314" t="e">
        <f>SUMIF(STATSSA_Monthly!$A$3:$A$400,STATSSA_Annual!$A5,STATSSA_Monthly!AP$3:AP$400)</f>
        <v>#N/A</v>
      </c>
    </row>
    <row r="6" spans="1:41">
      <c r="A6" s="544">
        <f t="shared" ref="A6:A40" si="1">A5+1</f>
        <v>1988</v>
      </c>
      <c r="B6" s="314">
        <f>SUMIF(STATSSA_Monthly!$A$3:$A$500,STATSSA_Annual!$A6,STATSSA_Monthly!C$3:C$500)</f>
        <v>739623</v>
      </c>
      <c r="C6" s="314">
        <f>SUMIF(STATSSA_Monthly!$A$3:$A$500,STATSSA_Annual!$A6,STATSSA_Monthly!D$3:D$500)</f>
        <v>435924</v>
      </c>
      <c r="D6" s="314">
        <f>SUMIF(STATSSA_Monthly!$A$3:$A$500,STATSSA_Annual!$A6,STATSSA_Monthly!E$3:E$500)</f>
        <v>560764</v>
      </c>
      <c r="E6" s="314" t="e">
        <f>SUMIF(STATSSA_Monthly!$A$3:$A$500,STATSSA_Annual!$A6,STATSSA_Monthly!F$3:F$500)</f>
        <v>#N/A</v>
      </c>
      <c r="F6" s="314" t="e">
        <f>SUMIF(STATSSA_Monthly!$A$3:$A$500,STATSSA_Annual!$A6,STATSSA_Monthly!G$3:G$500)</f>
        <v>#N/A</v>
      </c>
      <c r="G6" s="314" t="e">
        <f>SUMIF(STATSSA_Monthly!$A$3:$A$500,STATSSA_Annual!$A6,STATSSA_Monthly!H$3:H$500)</f>
        <v>#N/A</v>
      </c>
      <c r="H6" s="314" t="e">
        <f>SUMIF(STATSSA_Monthly!$A$3:$A$500,STATSSA_Annual!$A6,STATSSA_Monthly!I$3:I$500)</f>
        <v>#N/A</v>
      </c>
      <c r="I6" s="314" t="e">
        <f>SUMIF(STATSSA_Monthly!$A$3:$A$500,STATSSA_Annual!$A6,STATSSA_Monthly!J$3:J$500)</f>
        <v>#N/A</v>
      </c>
      <c r="J6" s="314" t="e">
        <f>SUMIF(STATSSA_Monthly!$A$3:$A$400,STATSSA_Annual!$A6,STATSSA_Monthly!K$3:K$400)</f>
        <v>#N/A</v>
      </c>
      <c r="K6" s="314" t="e">
        <f>SUMIF(STATSSA_Monthly!$A$3:$A$400,STATSSA_Annual!$A6,STATSSA_Monthly!L$3:L$400)</f>
        <v>#N/A</v>
      </c>
      <c r="L6" s="314" t="e">
        <f>SUMIF(STATSSA_Monthly!$A$3:$A$400,STATSSA_Annual!$A6,STATSSA_Monthly!M$3:M$400)</f>
        <v>#N/A</v>
      </c>
      <c r="M6" s="314" t="e">
        <f>SUMIF(STATSSA_Monthly!$A$3:$A$400,STATSSA_Annual!$A6,STATSSA_Monthly!N$3:N$400)</f>
        <v>#N/A</v>
      </c>
      <c r="N6" s="314" t="e">
        <f>SUMIF(STATSSA_Monthly!$A$3:$A$400,STATSSA_Annual!$A6,STATSSA_Monthly!O$3:O$400)</f>
        <v>#N/A</v>
      </c>
      <c r="O6" s="314" t="e">
        <f>SUMIF(STATSSA_Monthly!$A$3:$A$400,STATSSA_Annual!$A6,STATSSA_Monthly!P$3:P$400)</f>
        <v>#N/A</v>
      </c>
      <c r="P6" s="314" t="e">
        <f>SUMIF(STATSSA_Monthly!$A$3:$A$400,STATSSA_Annual!$A6,STATSSA_Monthly!Q$3:Q$400)</f>
        <v>#N/A</v>
      </c>
      <c r="Q6" s="314" t="e">
        <f>SUMIF(STATSSA_Monthly!$A$3:$A$400,STATSSA_Annual!$A6,STATSSA_Monthly!R$3:R$400)</f>
        <v>#N/A</v>
      </c>
      <c r="R6" s="314" t="e">
        <f>SUMIF(STATSSA_Monthly!$A$3:$A$400,STATSSA_Annual!$A6,STATSSA_Monthly!S$3:S$400)</f>
        <v>#N/A</v>
      </c>
      <c r="S6" s="314" t="e">
        <f>SUMIF(STATSSA_Monthly!$A$3:$A$400,STATSSA_Annual!$A6,STATSSA_Monthly!T$3:T$400)</f>
        <v>#N/A</v>
      </c>
      <c r="T6" s="314" t="e">
        <f>SUMIF(STATSSA_Monthly!$A$3:$A$400,STATSSA_Annual!$A6,STATSSA_Monthly!U$3:U$400)</f>
        <v>#N/A</v>
      </c>
      <c r="U6" s="314" t="e">
        <f>SUMIF(STATSSA_Monthly!$A$3:$A$400,STATSSA_Annual!$A6,STATSSA_Monthly!V$3:V$400)</f>
        <v>#N/A</v>
      </c>
      <c r="V6" s="314" t="e">
        <f>SUMIF(STATSSA_Monthly!$A$3:$A$400,STATSSA_Annual!$A6,STATSSA_Monthly!W$3:W$400)</f>
        <v>#N/A</v>
      </c>
      <c r="W6" s="314" t="e">
        <f>SUMIF(STATSSA_Monthly!$A$3:$A$400,STATSSA_Annual!$A6,STATSSA_Monthly!X$3:X$400)</f>
        <v>#N/A</v>
      </c>
      <c r="X6" s="314" t="e">
        <f>SUMIF(STATSSA_Monthly!$A$3:$A$400,STATSSA_Annual!$A6,STATSSA_Monthly!Y$3:Y$400)</f>
        <v>#N/A</v>
      </c>
      <c r="Y6" s="314" t="e">
        <f>SUMIF(STATSSA_Monthly!$A$3:$A$400,STATSSA_Annual!$A6,STATSSA_Monthly!Z$3:Z$400)</f>
        <v>#N/A</v>
      </c>
      <c r="Z6" s="314" t="e">
        <f>SUMIF(STATSSA_Monthly!$A$3:$A$400,STATSSA_Annual!$A6,STATSSA_Monthly!AA$3:AA$400)</f>
        <v>#N/A</v>
      </c>
      <c r="AA6" s="314" t="e">
        <f>SUMIF(STATSSA_Monthly!$A$3:$A$400,STATSSA_Annual!$A6,STATSSA_Monthly!AB$3:AB$400)</f>
        <v>#N/A</v>
      </c>
      <c r="AB6" s="314" t="e">
        <f>SUMIF(STATSSA_Monthly!$A$3:$A$400,STATSSA_Annual!$A6,STATSSA_Monthly!AC$3:AC$400)</f>
        <v>#N/A</v>
      </c>
      <c r="AC6" s="314" t="e">
        <f>SUMIF(STATSSA_Monthly!$A$3:$A$400,STATSSA_Annual!$A6,STATSSA_Monthly!AD$3:AD$400)</f>
        <v>#N/A</v>
      </c>
      <c r="AD6" s="314" t="e">
        <f>SUMIF(STATSSA_Monthly!$A$3:$A$400,STATSSA_Annual!$A6,STATSSA_Monthly!AE$3:AE$400)</f>
        <v>#N/A</v>
      </c>
      <c r="AE6" s="314" t="e">
        <f>SUMIF(STATSSA_Monthly!$A$3:$A$400,STATSSA_Annual!$A6,STATSSA_Monthly!AF$3:AF$400)</f>
        <v>#N/A</v>
      </c>
      <c r="AF6" s="314" t="e">
        <f>SUMIF(STATSSA_Monthly!$A$3:$A$400,STATSSA_Annual!$A6,STATSSA_Monthly!AG$3:AG$400)</f>
        <v>#N/A</v>
      </c>
      <c r="AG6" s="314" t="e">
        <f>SUMIF(STATSSA_Monthly!$A$3:$A$400,STATSSA_Annual!$A6,STATSSA_Monthly!AH$3:AH$400)</f>
        <v>#N/A</v>
      </c>
      <c r="AH6" s="314" t="e">
        <f>SUMIF(STATSSA_Monthly!$A$3:$A$400,STATSSA_Annual!$A6,STATSSA_Monthly!AI$3:AI$400)</f>
        <v>#N/A</v>
      </c>
      <c r="AI6" s="314" t="e">
        <f>SUMIF(STATSSA_Monthly!$A$3:$A$400,STATSSA_Annual!$A6,STATSSA_Monthly!AJ$3:AJ$400)</f>
        <v>#N/A</v>
      </c>
      <c r="AJ6" s="314" t="e">
        <f>SUMIF(STATSSA_Monthly!$A$3:$A$400,STATSSA_Annual!$A6,STATSSA_Monthly!AK$3:AK$400)</f>
        <v>#N/A</v>
      </c>
      <c r="AK6" s="314" t="e">
        <f>SUMIF(STATSSA_Monthly!$A$3:$A$400,STATSSA_Annual!$A6,STATSSA_Monthly!AL$3:AL$400)</f>
        <v>#N/A</v>
      </c>
      <c r="AL6" s="314" t="e">
        <f>SUMIF(STATSSA_Monthly!$A$3:$A$400,STATSSA_Annual!$A6,STATSSA_Monthly!AM$3:AM$400)</f>
        <v>#N/A</v>
      </c>
      <c r="AM6" s="314" t="e">
        <f>SUMIF(STATSSA_Monthly!$A$3:$A$400,STATSSA_Annual!$A6,STATSSA_Monthly!AN$3:AN$400)</f>
        <v>#N/A</v>
      </c>
      <c r="AN6" s="314" t="e">
        <f>SUMIF(STATSSA_Monthly!$A$3:$A$400,STATSSA_Annual!$A6,STATSSA_Monthly!AO$3:AO$400)</f>
        <v>#N/A</v>
      </c>
      <c r="AO6" s="314" t="e">
        <f>SUMIF(STATSSA_Monthly!$A$3:$A$400,STATSSA_Annual!$A6,STATSSA_Monthly!AP$3:AP$400)</f>
        <v>#N/A</v>
      </c>
    </row>
    <row r="7" spans="1:41">
      <c r="A7" s="544">
        <f t="shared" si="1"/>
        <v>1989</v>
      </c>
      <c r="B7" s="314">
        <f>SUMIF(STATSSA_Monthly!$A$3:$A$500,STATSSA_Annual!$A7,STATSSA_Monthly!C$3:C$500)</f>
        <v>594336</v>
      </c>
      <c r="C7" s="314">
        <f>SUMIF(STATSSA_Monthly!$A$3:$A$500,STATSSA_Annual!$A7,STATSSA_Monthly!D$3:D$500)</f>
        <v>557191</v>
      </c>
      <c r="D7" s="314">
        <f>SUMIF(STATSSA_Monthly!$A$3:$A$500,STATSSA_Annual!$A7,STATSSA_Monthly!E$3:E$500)</f>
        <v>907452</v>
      </c>
      <c r="E7" s="314" t="e">
        <f>SUMIF(STATSSA_Monthly!$A$3:$A$500,STATSSA_Annual!$A7,STATSSA_Monthly!F$3:F$500)</f>
        <v>#N/A</v>
      </c>
      <c r="F7" s="314" t="e">
        <f>SUMIF(STATSSA_Monthly!$A$3:$A$500,STATSSA_Annual!$A7,STATSSA_Monthly!G$3:G$500)</f>
        <v>#N/A</v>
      </c>
      <c r="G7" s="314" t="e">
        <f>SUMIF(STATSSA_Monthly!$A$3:$A$500,STATSSA_Annual!$A7,STATSSA_Monthly!H$3:H$500)</f>
        <v>#N/A</v>
      </c>
      <c r="H7" s="314" t="e">
        <f>SUMIF(STATSSA_Monthly!$A$3:$A$500,STATSSA_Annual!$A7,STATSSA_Monthly!I$3:I$500)</f>
        <v>#N/A</v>
      </c>
      <c r="I7" s="314" t="e">
        <f>SUMIF(STATSSA_Monthly!$A$3:$A$500,STATSSA_Annual!$A7,STATSSA_Monthly!J$3:J$500)</f>
        <v>#N/A</v>
      </c>
      <c r="J7" s="314" t="e">
        <f>SUMIF(STATSSA_Monthly!$A$3:$A$400,STATSSA_Annual!$A7,STATSSA_Monthly!K$3:K$400)</f>
        <v>#N/A</v>
      </c>
      <c r="K7" s="314" t="e">
        <f>SUMIF(STATSSA_Monthly!$A$3:$A$400,STATSSA_Annual!$A7,STATSSA_Monthly!L$3:L$400)</f>
        <v>#N/A</v>
      </c>
      <c r="L7" s="314" t="e">
        <f>SUMIF(STATSSA_Monthly!$A$3:$A$400,STATSSA_Annual!$A7,STATSSA_Monthly!M$3:M$400)</f>
        <v>#N/A</v>
      </c>
      <c r="M7" s="314" t="e">
        <f>SUMIF(STATSSA_Monthly!$A$3:$A$400,STATSSA_Annual!$A7,STATSSA_Monthly!N$3:N$400)</f>
        <v>#N/A</v>
      </c>
      <c r="N7" s="314" t="e">
        <f>SUMIF(STATSSA_Monthly!$A$3:$A$400,STATSSA_Annual!$A7,STATSSA_Monthly!O$3:O$400)</f>
        <v>#N/A</v>
      </c>
      <c r="O7" s="314" t="e">
        <f>SUMIF(STATSSA_Monthly!$A$3:$A$400,STATSSA_Annual!$A7,STATSSA_Monthly!P$3:P$400)</f>
        <v>#N/A</v>
      </c>
      <c r="P7" s="314" t="e">
        <f>SUMIF(STATSSA_Monthly!$A$3:$A$400,STATSSA_Annual!$A7,STATSSA_Monthly!Q$3:Q$400)</f>
        <v>#N/A</v>
      </c>
      <c r="Q7" s="314" t="e">
        <f>SUMIF(STATSSA_Monthly!$A$3:$A$400,STATSSA_Annual!$A7,STATSSA_Monthly!R$3:R$400)</f>
        <v>#N/A</v>
      </c>
      <c r="R7" s="314" t="e">
        <f>SUMIF(STATSSA_Monthly!$A$3:$A$400,STATSSA_Annual!$A7,STATSSA_Monthly!S$3:S$400)</f>
        <v>#N/A</v>
      </c>
      <c r="S7" s="314" t="e">
        <f>SUMIF(STATSSA_Monthly!$A$3:$A$400,STATSSA_Annual!$A7,STATSSA_Monthly!T$3:T$400)</f>
        <v>#N/A</v>
      </c>
      <c r="T7" s="314" t="e">
        <f>SUMIF(STATSSA_Monthly!$A$3:$A$400,STATSSA_Annual!$A7,STATSSA_Monthly!U$3:U$400)</f>
        <v>#N/A</v>
      </c>
      <c r="U7" s="314" t="e">
        <f>SUMIF(STATSSA_Monthly!$A$3:$A$400,STATSSA_Annual!$A7,STATSSA_Monthly!V$3:V$400)</f>
        <v>#N/A</v>
      </c>
      <c r="V7" s="314" t="e">
        <f>SUMIF(STATSSA_Monthly!$A$3:$A$400,STATSSA_Annual!$A7,STATSSA_Monthly!W$3:W$400)</f>
        <v>#N/A</v>
      </c>
      <c r="W7" s="314" t="e">
        <f>SUMIF(STATSSA_Monthly!$A$3:$A$400,STATSSA_Annual!$A7,STATSSA_Monthly!X$3:X$400)</f>
        <v>#N/A</v>
      </c>
      <c r="X7" s="314" t="e">
        <f>SUMIF(STATSSA_Monthly!$A$3:$A$400,STATSSA_Annual!$A7,STATSSA_Monthly!Y$3:Y$400)</f>
        <v>#N/A</v>
      </c>
      <c r="Y7" s="314" t="e">
        <f>SUMIF(STATSSA_Monthly!$A$3:$A$400,STATSSA_Annual!$A7,STATSSA_Monthly!Z$3:Z$400)</f>
        <v>#N/A</v>
      </c>
      <c r="Z7" s="314" t="e">
        <f>SUMIF(STATSSA_Monthly!$A$3:$A$400,STATSSA_Annual!$A7,STATSSA_Monthly!AA$3:AA$400)</f>
        <v>#N/A</v>
      </c>
      <c r="AA7" s="314" t="e">
        <f>SUMIF(STATSSA_Monthly!$A$3:$A$400,STATSSA_Annual!$A7,STATSSA_Monthly!AB$3:AB$400)</f>
        <v>#N/A</v>
      </c>
      <c r="AB7" s="314" t="e">
        <f>SUMIF(STATSSA_Monthly!$A$3:$A$400,STATSSA_Annual!$A7,STATSSA_Monthly!AC$3:AC$400)</f>
        <v>#N/A</v>
      </c>
      <c r="AC7" s="314" t="e">
        <f>SUMIF(STATSSA_Monthly!$A$3:$A$400,STATSSA_Annual!$A7,STATSSA_Monthly!AD$3:AD$400)</f>
        <v>#N/A</v>
      </c>
      <c r="AD7" s="314" t="e">
        <f>SUMIF(STATSSA_Monthly!$A$3:$A$400,STATSSA_Annual!$A7,STATSSA_Monthly!AE$3:AE$400)</f>
        <v>#N/A</v>
      </c>
      <c r="AE7" s="314" t="e">
        <f>SUMIF(STATSSA_Monthly!$A$3:$A$400,STATSSA_Annual!$A7,STATSSA_Monthly!AF$3:AF$400)</f>
        <v>#N/A</v>
      </c>
      <c r="AF7" s="314" t="e">
        <f>SUMIF(STATSSA_Monthly!$A$3:$A$400,STATSSA_Annual!$A7,STATSSA_Monthly!AG$3:AG$400)</f>
        <v>#N/A</v>
      </c>
      <c r="AG7" s="314" t="e">
        <f>SUMIF(STATSSA_Monthly!$A$3:$A$400,STATSSA_Annual!$A7,STATSSA_Monthly!AH$3:AH$400)</f>
        <v>#N/A</v>
      </c>
      <c r="AH7" s="314" t="e">
        <f>SUMIF(STATSSA_Monthly!$A$3:$A$400,STATSSA_Annual!$A7,STATSSA_Monthly!AI$3:AI$400)</f>
        <v>#N/A</v>
      </c>
      <c r="AI7" s="314" t="e">
        <f>SUMIF(STATSSA_Monthly!$A$3:$A$400,STATSSA_Annual!$A7,STATSSA_Monthly!AJ$3:AJ$400)</f>
        <v>#N/A</v>
      </c>
      <c r="AJ7" s="314" t="e">
        <f>SUMIF(STATSSA_Monthly!$A$3:$A$400,STATSSA_Annual!$A7,STATSSA_Monthly!AK$3:AK$400)</f>
        <v>#N/A</v>
      </c>
      <c r="AK7" s="314" t="e">
        <f>SUMIF(STATSSA_Monthly!$A$3:$A$400,STATSSA_Annual!$A7,STATSSA_Monthly!AL$3:AL$400)</f>
        <v>#N/A</v>
      </c>
      <c r="AL7" s="314" t="e">
        <f>SUMIF(STATSSA_Monthly!$A$3:$A$400,STATSSA_Annual!$A7,STATSSA_Monthly!AM$3:AM$400)</f>
        <v>#N/A</v>
      </c>
      <c r="AM7" s="314" t="e">
        <f>SUMIF(STATSSA_Monthly!$A$3:$A$400,STATSSA_Annual!$A7,STATSSA_Monthly!AN$3:AN$400)</f>
        <v>#N/A</v>
      </c>
      <c r="AN7" s="314" t="e">
        <f>SUMIF(STATSSA_Monthly!$A$3:$A$400,STATSSA_Annual!$A7,STATSSA_Monthly!AO$3:AO$400)</f>
        <v>#N/A</v>
      </c>
      <c r="AO7" s="314" t="e">
        <f>SUMIF(STATSSA_Monthly!$A$3:$A$400,STATSSA_Annual!$A7,STATSSA_Monthly!AP$3:AP$400)</f>
        <v>#N/A</v>
      </c>
    </row>
    <row r="8" spans="1:41">
      <c r="A8" s="544">
        <f t="shared" si="1"/>
        <v>1990</v>
      </c>
      <c r="B8" s="314">
        <f>SUMIF(STATSSA_Monthly!$A$3:$A$500,STATSSA_Annual!$A8,STATSSA_Monthly!C$3:C$500)</f>
        <v>582269</v>
      </c>
      <c r="C8" s="314">
        <f>SUMIF(STATSSA_Monthly!$A$3:$A$500,STATSSA_Annual!$A8,STATSSA_Monthly!D$3:D$500)</f>
        <v>464687</v>
      </c>
      <c r="D8" s="314">
        <f>SUMIF(STATSSA_Monthly!$A$3:$A$500,STATSSA_Annual!$A8,STATSSA_Monthly!E$3:E$500)</f>
        <v>1288448</v>
      </c>
      <c r="E8" s="314" t="e">
        <f>SUMIF(STATSSA_Monthly!$A$3:$A$500,STATSSA_Annual!$A8,STATSSA_Monthly!F$3:F$500)</f>
        <v>#N/A</v>
      </c>
      <c r="F8" s="314" t="e">
        <f>SUMIF(STATSSA_Monthly!$A$3:$A$500,STATSSA_Annual!$A8,STATSSA_Monthly!G$3:G$500)</f>
        <v>#N/A</v>
      </c>
      <c r="G8" s="314" t="e">
        <f>SUMIF(STATSSA_Monthly!$A$3:$A$500,STATSSA_Annual!$A8,STATSSA_Monthly!H$3:H$500)</f>
        <v>#N/A</v>
      </c>
      <c r="H8" s="314" t="e">
        <f>SUMIF(STATSSA_Monthly!$A$3:$A$500,STATSSA_Annual!$A8,STATSSA_Monthly!I$3:I$500)</f>
        <v>#N/A</v>
      </c>
      <c r="I8" s="314" t="e">
        <f>SUMIF(STATSSA_Monthly!$A$3:$A$500,STATSSA_Annual!$A8,STATSSA_Monthly!J$3:J$500)</f>
        <v>#N/A</v>
      </c>
      <c r="J8" s="314" t="e">
        <f>SUMIF(STATSSA_Monthly!$A$3:$A$400,STATSSA_Annual!$A8,STATSSA_Monthly!K$3:K$400)</f>
        <v>#N/A</v>
      </c>
      <c r="K8" s="314" t="e">
        <f>SUMIF(STATSSA_Monthly!$A$3:$A$400,STATSSA_Annual!$A8,STATSSA_Monthly!L$3:L$400)</f>
        <v>#N/A</v>
      </c>
      <c r="L8" s="314" t="e">
        <f>SUMIF(STATSSA_Monthly!$A$3:$A$400,STATSSA_Annual!$A8,STATSSA_Monthly!M$3:M$400)</f>
        <v>#N/A</v>
      </c>
      <c r="M8" s="314" t="e">
        <f>SUMIF(STATSSA_Monthly!$A$3:$A$400,STATSSA_Annual!$A8,STATSSA_Monthly!N$3:N$400)</f>
        <v>#N/A</v>
      </c>
      <c r="N8" s="314" t="e">
        <f>SUMIF(STATSSA_Monthly!$A$3:$A$400,STATSSA_Annual!$A8,STATSSA_Monthly!O$3:O$400)</f>
        <v>#N/A</v>
      </c>
      <c r="O8" s="314" t="e">
        <f>SUMIF(STATSSA_Monthly!$A$3:$A$400,STATSSA_Annual!$A8,STATSSA_Monthly!P$3:P$400)</f>
        <v>#N/A</v>
      </c>
      <c r="P8" s="314" t="e">
        <f>SUMIF(STATSSA_Monthly!$A$3:$A$400,STATSSA_Annual!$A8,STATSSA_Monthly!Q$3:Q$400)</f>
        <v>#N/A</v>
      </c>
      <c r="Q8" s="314" t="e">
        <f>SUMIF(STATSSA_Monthly!$A$3:$A$400,STATSSA_Annual!$A8,STATSSA_Monthly!R$3:R$400)</f>
        <v>#N/A</v>
      </c>
      <c r="R8" s="314" t="e">
        <f>SUMIF(STATSSA_Monthly!$A$3:$A$400,STATSSA_Annual!$A8,STATSSA_Monthly!S$3:S$400)</f>
        <v>#N/A</v>
      </c>
      <c r="S8" s="314" t="e">
        <f>SUMIF(STATSSA_Monthly!$A$3:$A$400,STATSSA_Annual!$A8,STATSSA_Monthly!T$3:T$400)</f>
        <v>#N/A</v>
      </c>
      <c r="T8" s="314" t="e">
        <f>SUMIF(STATSSA_Monthly!$A$3:$A$400,STATSSA_Annual!$A8,STATSSA_Monthly!U$3:U$400)</f>
        <v>#N/A</v>
      </c>
      <c r="U8" s="314" t="e">
        <f>SUMIF(STATSSA_Monthly!$A$3:$A$400,STATSSA_Annual!$A8,STATSSA_Monthly!V$3:V$400)</f>
        <v>#N/A</v>
      </c>
      <c r="V8" s="314" t="e">
        <f>SUMIF(STATSSA_Monthly!$A$3:$A$400,STATSSA_Annual!$A8,STATSSA_Monthly!W$3:W$400)</f>
        <v>#N/A</v>
      </c>
      <c r="W8" s="314" t="e">
        <f>SUMIF(STATSSA_Monthly!$A$3:$A$400,STATSSA_Annual!$A8,STATSSA_Monthly!X$3:X$400)</f>
        <v>#N/A</v>
      </c>
      <c r="X8" s="314" t="e">
        <f>SUMIF(STATSSA_Monthly!$A$3:$A$400,STATSSA_Annual!$A8,STATSSA_Monthly!Y$3:Y$400)</f>
        <v>#N/A</v>
      </c>
      <c r="Y8" s="314" t="e">
        <f>SUMIF(STATSSA_Monthly!$A$3:$A$400,STATSSA_Annual!$A8,STATSSA_Monthly!Z$3:Z$400)</f>
        <v>#N/A</v>
      </c>
      <c r="Z8" s="314" t="e">
        <f>SUMIF(STATSSA_Monthly!$A$3:$A$400,STATSSA_Annual!$A8,STATSSA_Monthly!AA$3:AA$400)</f>
        <v>#N/A</v>
      </c>
      <c r="AA8" s="314" t="e">
        <f>SUMIF(STATSSA_Monthly!$A$3:$A$400,STATSSA_Annual!$A8,STATSSA_Monthly!AB$3:AB$400)</f>
        <v>#N/A</v>
      </c>
      <c r="AB8" s="314" t="e">
        <f>SUMIF(STATSSA_Monthly!$A$3:$A$400,STATSSA_Annual!$A8,STATSSA_Monthly!AC$3:AC$400)</f>
        <v>#N/A</v>
      </c>
      <c r="AC8" s="314" t="e">
        <f>SUMIF(STATSSA_Monthly!$A$3:$A$400,STATSSA_Annual!$A8,STATSSA_Monthly!AD$3:AD$400)</f>
        <v>#N/A</v>
      </c>
      <c r="AD8" s="314" t="e">
        <f>SUMIF(STATSSA_Monthly!$A$3:$A$400,STATSSA_Annual!$A8,STATSSA_Monthly!AE$3:AE$400)</f>
        <v>#N/A</v>
      </c>
      <c r="AE8" s="314" t="e">
        <f>SUMIF(STATSSA_Monthly!$A$3:$A$400,STATSSA_Annual!$A8,STATSSA_Monthly!AF$3:AF$400)</f>
        <v>#N/A</v>
      </c>
      <c r="AF8" s="314" t="e">
        <f>SUMIF(STATSSA_Monthly!$A$3:$A$400,STATSSA_Annual!$A8,STATSSA_Monthly!AG$3:AG$400)</f>
        <v>#N/A</v>
      </c>
      <c r="AG8" s="314" t="e">
        <f>SUMIF(STATSSA_Monthly!$A$3:$A$400,STATSSA_Annual!$A8,STATSSA_Monthly!AH$3:AH$400)</f>
        <v>#N/A</v>
      </c>
      <c r="AH8" s="314" t="e">
        <f>SUMIF(STATSSA_Monthly!$A$3:$A$400,STATSSA_Annual!$A8,STATSSA_Monthly!AI$3:AI$400)</f>
        <v>#N/A</v>
      </c>
      <c r="AI8" s="314" t="e">
        <f>SUMIF(STATSSA_Monthly!$A$3:$A$400,STATSSA_Annual!$A8,STATSSA_Monthly!AJ$3:AJ$400)</f>
        <v>#N/A</v>
      </c>
      <c r="AJ8" s="314" t="e">
        <f>SUMIF(STATSSA_Monthly!$A$3:$A$400,STATSSA_Annual!$A8,STATSSA_Monthly!AK$3:AK$400)</f>
        <v>#N/A</v>
      </c>
      <c r="AK8" s="314" t="e">
        <f>SUMIF(STATSSA_Monthly!$A$3:$A$400,STATSSA_Annual!$A8,STATSSA_Monthly!AL$3:AL$400)</f>
        <v>#N/A</v>
      </c>
      <c r="AL8" s="314" t="e">
        <f>SUMIF(STATSSA_Monthly!$A$3:$A$400,STATSSA_Annual!$A8,STATSSA_Monthly!AM$3:AM$400)</f>
        <v>#N/A</v>
      </c>
      <c r="AM8" s="314" t="e">
        <f>SUMIF(STATSSA_Monthly!$A$3:$A$400,STATSSA_Annual!$A8,STATSSA_Monthly!AN$3:AN$400)</f>
        <v>#N/A</v>
      </c>
      <c r="AN8" s="314" t="e">
        <f>SUMIF(STATSSA_Monthly!$A$3:$A$400,STATSSA_Annual!$A8,STATSSA_Monthly!AO$3:AO$400)</f>
        <v>#N/A</v>
      </c>
      <c r="AO8" s="314" t="e">
        <f>SUMIF(STATSSA_Monthly!$A$3:$A$400,STATSSA_Annual!$A8,STATSSA_Monthly!AP$3:AP$400)</f>
        <v>#N/A</v>
      </c>
    </row>
    <row r="9" spans="1:41">
      <c r="A9" s="544">
        <f t="shared" si="1"/>
        <v>1991</v>
      </c>
      <c r="B9" s="314">
        <f>SUMIF(STATSSA_Monthly!$A$3:$A$500,STATSSA_Annual!$A9,STATSSA_Monthly!C$3:C$500)</f>
        <v>717882</v>
      </c>
      <c r="C9" s="314">
        <f>SUMIF(STATSSA_Monthly!$A$3:$A$500,STATSSA_Annual!$A9,STATSSA_Monthly!D$3:D$500)</f>
        <v>372334</v>
      </c>
      <c r="D9" s="314">
        <f>SUMIF(STATSSA_Monthly!$A$3:$A$500,STATSSA_Annual!$A9,STATSSA_Monthly!E$3:E$500)</f>
        <v>1264717</v>
      </c>
      <c r="E9" s="314" t="e">
        <f>SUMIF(STATSSA_Monthly!$A$3:$A$500,STATSSA_Annual!$A9,STATSSA_Monthly!F$3:F$500)</f>
        <v>#N/A</v>
      </c>
      <c r="F9" s="314" t="e">
        <f>SUMIF(STATSSA_Monthly!$A$3:$A$500,STATSSA_Annual!$A9,STATSSA_Monthly!G$3:G$500)</f>
        <v>#N/A</v>
      </c>
      <c r="G9" s="314" t="e">
        <f>SUMIF(STATSSA_Monthly!$A$3:$A$500,STATSSA_Annual!$A9,STATSSA_Monthly!H$3:H$500)</f>
        <v>#N/A</v>
      </c>
      <c r="H9" s="314" t="e">
        <f>SUMIF(STATSSA_Monthly!$A$3:$A$500,STATSSA_Annual!$A9,STATSSA_Monthly!I$3:I$500)</f>
        <v>#N/A</v>
      </c>
      <c r="I9" s="314" t="e">
        <f>SUMIF(STATSSA_Monthly!$A$3:$A$500,STATSSA_Annual!$A9,STATSSA_Monthly!J$3:J$500)</f>
        <v>#N/A</v>
      </c>
      <c r="J9" s="314" t="e">
        <f>SUMIF(STATSSA_Monthly!$A$3:$A$400,STATSSA_Annual!$A9,STATSSA_Monthly!K$3:K$400)</f>
        <v>#N/A</v>
      </c>
      <c r="K9" s="314" t="e">
        <f>SUMIF(STATSSA_Monthly!$A$3:$A$400,STATSSA_Annual!$A9,STATSSA_Monthly!L$3:L$400)</f>
        <v>#N/A</v>
      </c>
      <c r="L9" s="314" t="e">
        <f>SUMIF(STATSSA_Monthly!$A$3:$A$400,STATSSA_Annual!$A9,STATSSA_Monthly!M$3:M$400)</f>
        <v>#N/A</v>
      </c>
      <c r="M9" s="314" t="e">
        <f>SUMIF(STATSSA_Monthly!$A$3:$A$400,STATSSA_Annual!$A9,STATSSA_Monthly!N$3:N$400)</f>
        <v>#N/A</v>
      </c>
      <c r="N9" s="314" t="e">
        <f>SUMIF(STATSSA_Monthly!$A$3:$A$400,STATSSA_Annual!$A9,STATSSA_Monthly!O$3:O$400)</f>
        <v>#N/A</v>
      </c>
      <c r="O9" s="314" t="e">
        <f>SUMIF(STATSSA_Monthly!$A$3:$A$400,STATSSA_Annual!$A9,STATSSA_Monthly!P$3:P$400)</f>
        <v>#N/A</v>
      </c>
      <c r="P9" s="314" t="e">
        <f>SUMIF(STATSSA_Monthly!$A$3:$A$400,STATSSA_Annual!$A9,STATSSA_Monthly!Q$3:Q$400)</f>
        <v>#N/A</v>
      </c>
      <c r="Q9" s="314" t="e">
        <f>SUMIF(STATSSA_Monthly!$A$3:$A$400,STATSSA_Annual!$A9,STATSSA_Monthly!R$3:R$400)</f>
        <v>#N/A</v>
      </c>
      <c r="R9" s="314" t="e">
        <f>SUMIF(STATSSA_Monthly!$A$3:$A$400,STATSSA_Annual!$A9,STATSSA_Monthly!S$3:S$400)</f>
        <v>#N/A</v>
      </c>
      <c r="S9" s="314" t="e">
        <f>SUMIF(STATSSA_Monthly!$A$3:$A$400,STATSSA_Annual!$A9,STATSSA_Monthly!T$3:T$400)</f>
        <v>#N/A</v>
      </c>
      <c r="T9" s="314" t="e">
        <f>SUMIF(STATSSA_Monthly!$A$3:$A$400,STATSSA_Annual!$A9,STATSSA_Monthly!U$3:U$400)</f>
        <v>#N/A</v>
      </c>
      <c r="U9" s="314" t="e">
        <f>SUMIF(STATSSA_Monthly!$A$3:$A$400,STATSSA_Annual!$A9,STATSSA_Monthly!V$3:V$400)</f>
        <v>#N/A</v>
      </c>
      <c r="V9" s="314" t="e">
        <f>SUMIF(STATSSA_Monthly!$A$3:$A$400,STATSSA_Annual!$A9,STATSSA_Monthly!W$3:W$400)</f>
        <v>#N/A</v>
      </c>
      <c r="W9" s="314" t="e">
        <f>SUMIF(STATSSA_Monthly!$A$3:$A$400,STATSSA_Annual!$A9,STATSSA_Monthly!X$3:X$400)</f>
        <v>#N/A</v>
      </c>
      <c r="X9" s="314" t="e">
        <f>SUMIF(STATSSA_Monthly!$A$3:$A$400,STATSSA_Annual!$A9,STATSSA_Monthly!Y$3:Y$400)</f>
        <v>#N/A</v>
      </c>
      <c r="Y9" s="314" t="e">
        <f>SUMIF(STATSSA_Monthly!$A$3:$A$400,STATSSA_Annual!$A9,STATSSA_Monthly!Z$3:Z$400)</f>
        <v>#N/A</v>
      </c>
      <c r="Z9" s="314" t="e">
        <f>SUMIF(STATSSA_Monthly!$A$3:$A$400,STATSSA_Annual!$A9,STATSSA_Monthly!AA$3:AA$400)</f>
        <v>#N/A</v>
      </c>
      <c r="AA9" s="314" t="e">
        <f>SUMIF(STATSSA_Monthly!$A$3:$A$400,STATSSA_Annual!$A9,STATSSA_Monthly!AB$3:AB$400)</f>
        <v>#N/A</v>
      </c>
      <c r="AB9" s="314" t="e">
        <f>SUMIF(STATSSA_Monthly!$A$3:$A$400,STATSSA_Annual!$A9,STATSSA_Monthly!AC$3:AC$400)</f>
        <v>#N/A</v>
      </c>
      <c r="AC9" s="314" t="e">
        <f>SUMIF(STATSSA_Monthly!$A$3:$A$400,STATSSA_Annual!$A9,STATSSA_Monthly!AD$3:AD$400)</f>
        <v>#N/A</v>
      </c>
      <c r="AD9" s="314" t="e">
        <f>SUMIF(STATSSA_Monthly!$A$3:$A$400,STATSSA_Annual!$A9,STATSSA_Monthly!AE$3:AE$400)</f>
        <v>#N/A</v>
      </c>
      <c r="AE9" s="314" t="e">
        <f>SUMIF(STATSSA_Monthly!$A$3:$A$400,STATSSA_Annual!$A9,STATSSA_Monthly!AF$3:AF$400)</f>
        <v>#N/A</v>
      </c>
      <c r="AF9" s="314" t="e">
        <f>SUMIF(STATSSA_Monthly!$A$3:$A$400,STATSSA_Annual!$A9,STATSSA_Monthly!AG$3:AG$400)</f>
        <v>#N/A</v>
      </c>
      <c r="AG9" s="314" t="e">
        <f>SUMIF(STATSSA_Monthly!$A$3:$A$400,STATSSA_Annual!$A9,STATSSA_Monthly!AH$3:AH$400)</f>
        <v>#N/A</v>
      </c>
      <c r="AH9" s="314" t="e">
        <f>SUMIF(STATSSA_Monthly!$A$3:$A$400,STATSSA_Annual!$A9,STATSSA_Monthly!AI$3:AI$400)</f>
        <v>#N/A</v>
      </c>
      <c r="AI9" s="314" t="e">
        <f>SUMIF(STATSSA_Monthly!$A$3:$A$400,STATSSA_Annual!$A9,STATSSA_Monthly!AJ$3:AJ$400)</f>
        <v>#N/A</v>
      </c>
      <c r="AJ9" s="314" t="e">
        <f>SUMIF(STATSSA_Monthly!$A$3:$A$400,STATSSA_Annual!$A9,STATSSA_Monthly!AK$3:AK$400)</f>
        <v>#N/A</v>
      </c>
      <c r="AK9" s="314" t="e">
        <f>SUMIF(STATSSA_Monthly!$A$3:$A$400,STATSSA_Annual!$A9,STATSSA_Monthly!AL$3:AL$400)</f>
        <v>#N/A</v>
      </c>
      <c r="AL9" s="314" t="e">
        <f>SUMIF(STATSSA_Monthly!$A$3:$A$400,STATSSA_Annual!$A9,STATSSA_Monthly!AM$3:AM$400)</f>
        <v>#N/A</v>
      </c>
      <c r="AM9" s="314" t="e">
        <f>SUMIF(STATSSA_Monthly!$A$3:$A$400,STATSSA_Annual!$A9,STATSSA_Monthly!AN$3:AN$400)</f>
        <v>#N/A</v>
      </c>
      <c r="AN9" s="314" t="e">
        <f>SUMIF(STATSSA_Monthly!$A$3:$A$400,STATSSA_Annual!$A9,STATSSA_Monthly!AO$3:AO$400)</f>
        <v>#N/A</v>
      </c>
      <c r="AO9" s="314" t="e">
        <f>SUMIF(STATSSA_Monthly!$A$3:$A$400,STATSSA_Annual!$A9,STATSSA_Monthly!AP$3:AP$400)</f>
        <v>#N/A</v>
      </c>
    </row>
    <row r="10" spans="1:41">
      <c r="A10" s="544">
        <f t="shared" si="1"/>
        <v>1992</v>
      </c>
      <c r="B10" s="314">
        <f>SUMIF(STATSSA_Monthly!$A$3:$A$500,STATSSA_Annual!$A10,STATSSA_Monthly!C$3:C$500)</f>
        <v>759967</v>
      </c>
      <c r="C10" s="314">
        <f>SUMIF(STATSSA_Monthly!$A$3:$A$500,STATSSA_Annual!$A10,STATSSA_Monthly!D$3:D$500)</f>
        <v>472663</v>
      </c>
      <c r="D10" s="314">
        <f>SUMIF(STATSSA_Monthly!$A$3:$A$500,STATSSA_Annual!$A10,STATSSA_Monthly!E$3:E$500)</f>
        <v>992300</v>
      </c>
      <c r="E10" s="314" t="e">
        <f>SUMIF(STATSSA_Monthly!$A$3:$A$500,STATSSA_Annual!$A10,STATSSA_Monthly!F$3:F$500)</f>
        <v>#N/A</v>
      </c>
      <c r="F10" s="314" t="e">
        <f>SUMIF(STATSSA_Monthly!$A$3:$A$500,STATSSA_Annual!$A10,STATSSA_Monthly!G$3:G$500)</f>
        <v>#N/A</v>
      </c>
      <c r="G10" s="314" t="e">
        <f>SUMIF(STATSSA_Monthly!$A$3:$A$500,STATSSA_Annual!$A10,STATSSA_Monthly!H$3:H$500)</f>
        <v>#N/A</v>
      </c>
      <c r="H10" s="314" t="e">
        <f>SUMIF(STATSSA_Monthly!$A$3:$A$500,STATSSA_Annual!$A10,STATSSA_Monthly!I$3:I$500)</f>
        <v>#N/A</v>
      </c>
      <c r="I10" s="314" t="e">
        <f>SUMIF(STATSSA_Monthly!$A$3:$A$500,STATSSA_Annual!$A10,STATSSA_Monthly!J$3:J$500)</f>
        <v>#N/A</v>
      </c>
      <c r="J10" s="314" t="e">
        <f>SUMIF(STATSSA_Monthly!$A$3:$A$400,STATSSA_Annual!$A10,STATSSA_Monthly!K$3:K$400)</f>
        <v>#N/A</v>
      </c>
      <c r="K10" s="314" t="e">
        <f>SUMIF(STATSSA_Monthly!$A$3:$A$400,STATSSA_Annual!$A10,STATSSA_Monthly!L$3:L$400)</f>
        <v>#N/A</v>
      </c>
      <c r="L10" s="314" t="e">
        <f>SUMIF(STATSSA_Monthly!$A$3:$A$400,STATSSA_Annual!$A10,STATSSA_Monthly!M$3:M$400)</f>
        <v>#N/A</v>
      </c>
      <c r="M10" s="314" t="e">
        <f>SUMIF(STATSSA_Monthly!$A$3:$A$400,STATSSA_Annual!$A10,STATSSA_Monthly!N$3:N$400)</f>
        <v>#N/A</v>
      </c>
      <c r="N10" s="314" t="e">
        <f>SUMIF(STATSSA_Monthly!$A$3:$A$400,STATSSA_Annual!$A10,STATSSA_Monthly!O$3:O$400)</f>
        <v>#N/A</v>
      </c>
      <c r="O10" s="314" t="e">
        <f>SUMIF(STATSSA_Monthly!$A$3:$A$400,STATSSA_Annual!$A10,STATSSA_Monthly!P$3:P$400)</f>
        <v>#N/A</v>
      </c>
      <c r="P10" s="314" t="e">
        <f>SUMIF(STATSSA_Monthly!$A$3:$A$400,STATSSA_Annual!$A10,STATSSA_Monthly!Q$3:Q$400)</f>
        <v>#N/A</v>
      </c>
      <c r="Q10" s="314" t="e">
        <f>SUMIF(STATSSA_Monthly!$A$3:$A$400,STATSSA_Annual!$A10,STATSSA_Monthly!R$3:R$400)</f>
        <v>#N/A</v>
      </c>
      <c r="R10" s="314" t="e">
        <f>SUMIF(STATSSA_Monthly!$A$3:$A$400,STATSSA_Annual!$A10,STATSSA_Monthly!S$3:S$400)</f>
        <v>#N/A</v>
      </c>
      <c r="S10" s="314" t="e">
        <f>SUMIF(STATSSA_Monthly!$A$3:$A$400,STATSSA_Annual!$A10,STATSSA_Monthly!T$3:T$400)</f>
        <v>#N/A</v>
      </c>
      <c r="T10" s="314" t="e">
        <f>SUMIF(STATSSA_Monthly!$A$3:$A$400,STATSSA_Annual!$A10,STATSSA_Monthly!U$3:U$400)</f>
        <v>#N/A</v>
      </c>
      <c r="U10" s="314" t="e">
        <f>SUMIF(STATSSA_Monthly!$A$3:$A$400,STATSSA_Annual!$A10,STATSSA_Monthly!V$3:V$400)</f>
        <v>#N/A</v>
      </c>
      <c r="V10" s="314" t="e">
        <f>SUMIF(STATSSA_Monthly!$A$3:$A$400,STATSSA_Annual!$A10,STATSSA_Monthly!W$3:W$400)</f>
        <v>#N/A</v>
      </c>
      <c r="W10" s="314" t="e">
        <f>SUMIF(STATSSA_Monthly!$A$3:$A$400,STATSSA_Annual!$A10,STATSSA_Monthly!X$3:X$400)</f>
        <v>#N/A</v>
      </c>
      <c r="X10" s="314" t="e">
        <f>SUMIF(STATSSA_Monthly!$A$3:$A$400,STATSSA_Annual!$A10,STATSSA_Monthly!Y$3:Y$400)</f>
        <v>#N/A</v>
      </c>
      <c r="Y10" s="314" t="e">
        <f>SUMIF(STATSSA_Monthly!$A$3:$A$400,STATSSA_Annual!$A10,STATSSA_Monthly!Z$3:Z$400)</f>
        <v>#N/A</v>
      </c>
      <c r="Z10" s="314" t="e">
        <f>SUMIF(STATSSA_Monthly!$A$3:$A$400,STATSSA_Annual!$A10,STATSSA_Monthly!AA$3:AA$400)</f>
        <v>#N/A</v>
      </c>
      <c r="AA10" s="314" t="e">
        <f>SUMIF(STATSSA_Monthly!$A$3:$A$400,STATSSA_Annual!$A10,STATSSA_Monthly!AB$3:AB$400)</f>
        <v>#N/A</v>
      </c>
      <c r="AB10" s="314" t="e">
        <f>SUMIF(STATSSA_Monthly!$A$3:$A$400,STATSSA_Annual!$A10,STATSSA_Monthly!AC$3:AC$400)</f>
        <v>#N/A</v>
      </c>
      <c r="AC10" s="314" t="e">
        <f>SUMIF(STATSSA_Monthly!$A$3:$A$400,STATSSA_Annual!$A10,STATSSA_Monthly!AD$3:AD$400)</f>
        <v>#N/A</v>
      </c>
      <c r="AD10" s="314" t="e">
        <f>SUMIF(STATSSA_Monthly!$A$3:$A$400,STATSSA_Annual!$A10,STATSSA_Monthly!AE$3:AE$400)</f>
        <v>#N/A</v>
      </c>
      <c r="AE10" s="314" t="e">
        <f>SUMIF(STATSSA_Monthly!$A$3:$A$400,STATSSA_Annual!$A10,STATSSA_Monthly!AF$3:AF$400)</f>
        <v>#N/A</v>
      </c>
      <c r="AF10" s="314" t="e">
        <f>SUMIF(STATSSA_Monthly!$A$3:$A$400,STATSSA_Annual!$A10,STATSSA_Monthly!AG$3:AG$400)</f>
        <v>#N/A</v>
      </c>
      <c r="AG10" s="314" t="e">
        <f>SUMIF(STATSSA_Monthly!$A$3:$A$400,STATSSA_Annual!$A10,STATSSA_Monthly!AH$3:AH$400)</f>
        <v>#N/A</v>
      </c>
      <c r="AH10" s="314" t="e">
        <f>SUMIF(STATSSA_Monthly!$A$3:$A$400,STATSSA_Annual!$A10,STATSSA_Monthly!AI$3:AI$400)</f>
        <v>#N/A</v>
      </c>
      <c r="AI10" s="314" t="e">
        <f>SUMIF(STATSSA_Monthly!$A$3:$A$400,STATSSA_Annual!$A10,STATSSA_Monthly!AJ$3:AJ$400)</f>
        <v>#N/A</v>
      </c>
      <c r="AJ10" s="314" t="e">
        <f>SUMIF(STATSSA_Monthly!$A$3:$A$400,STATSSA_Annual!$A10,STATSSA_Monthly!AK$3:AK$400)</f>
        <v>#N/A</v>
      </c>
      <c r="AK10" s="314" t="e">
        <f>SUMIF(STATSSA_Monthly!$A$3:$A$400,STATSSA_Annual!$A10,STATSSA_Monthly!AL$3:AL$400)</f>
        <v>#N/A</v>
      </c>
      <c r="AL10" s="314" t="e">
        <f>SUMIF(STATSSA_Monthly!$A$3:$A$400,STATSSA_Annual!$A10,STATSSA_Monthly!AM$3:AM$400)</f>
        <v>#N/A</v>
      </c>
      <c r="AM10" s="314" t="e">
        <f>SUMIF(STATSSA_Monthly!$A$3:$A$400,STATSSA_Annual!$A10,STATSSA_Monthly!AN$3:AN$400)</f>
        <v>#N/A</v>
      </c>
      <c r="AN10" s="314" t="e">
        <f>SUMIF(STATSSA_Monthly!$A$3:$A$400,STATSSA_Annual!$A10,STATSSA_Monthly!AO$3:AO$400)</f>
        <v>#N/A</v>
      </c>
      <c r="AO10" s="314" t="e">
        <f>SUMIF(STATSSA_Monthly!$A$3:$A$400,STATSSA_Annual!$A10,STATSSA_Monthly!AP$3:AP$400)</f>
        <v>#N/A</v>
      </c>
    </row>
    <row r="11" spans="1:41">
      <c r="A11" s="544">
        <f t="shared" si="1"/>
        <v>1993</v>
      </c>
      <c r="B11" s="314">
        <f>SUMIF(STATSSA_Monthly!$A$3:$A$500,STATSSA_Annual!$A11,STATSSA_Monthly!C$3:C$500)</f>
        <v>1035804</v>
      </c>
      <c r="C11" s="314">
        <f>SUMIF(STATSSA_Monthly!$A$3:$A$500,STATSSA_Annual!$A11,STATSSA_Monthly!D$3:D$500)</f>
        <v>409258</v>
      </c>
      <c r="D11" s="314">
        <f>SUMIF(STATSSA_Monthly!$A$3:$A$500,STATSSA_Annual!$A11,STATSSA_Monthly!E$3:E$500)</f>
        <v>662288</v>
      </c>
      <c r="E11" s="314">
        <f>SUMIF(STATSSA_Monthly!$A$3:$A$500,STATSSA_Annual!$A11,STATSSA_Monthly!F$3:F$500)</f>
        <v>334430</v>
      </c>
      <c r="F11" s="314">
        <f>SUMIF(STATSSA_Monthly!$A$3:$A$500,STATSSA_Annual!$A11,STATSSA_Monthly!G$3:G$500)</f>
        <v>148997</v>
      </c>
      <c r="G11" s="314">
        <f>SUMIF(STATSSA_Monthly!$A$3:$A$500,STATSSA_Annual!$A11,STATSSA_Monthly!H$3:H$500)</f>
        <v>36829</v>
      </c>
      <c r="H11" s="314">
        <f>SUMIF(STATSSA_Monthly!$A$3:$A$500,STATSSA_Annual!$A11,STATSSA_Monthly!I$3:I$500)</f>
        <v>133615</v>
      </c>
      <c r="I11" s="314">
        <f>SUMIF(STATSSA_Monthly!$A$3:$A$500,STATSSA_Annual!$A11,STATSSA_Monthly!J$3:J$500)</f>
        <v>109424</v>
      </c>
      <c r="J11" s="314">
        <f>SUMIF(STATSSA_Monthly!$A$3:$A$400,STATSSA_Annual!$A11,STATSSA_Monthly!K$3:K$400)</f>
        <v>11860</v>
      </c>
      <c r="K11" s="314">
        <f>SUMIF(STATSSA_Monthly!$A$3:$A$400,STATSSA_Annual!$A11,STATSSA_Monthly!L$3:L$400)</f>
        <v>19655</v>
      </c>
      <c r="L11" s="314">
        <f>SUMIF(STATSSA_Monthly!$A$3:$A$400,STATSSA_Annual!$A11,STATSSA_Monthly!M$3:M$400)</f>
        <v>19569</v>
      </c>
      <c r="M11" s="314">
        <f>SUMIF(STATSSA_Monthly!$A$3:$A$400,STATSSA_Annual!$A11,STATSSA_Monthly!N$3:N$400)</f>
        <v>8755</v>
      </c>
      <c r="N11" s="314">
        <f>SUMIF(STATSSA_Monthly!$A$3:$A$400,STATSSA_Annual!$A11,STATSSA_Monthly!O$3:O$400)</f>
        <v>0</v>
      </c>
      <c r="O11" s="314">
        <f>SUMIF(STATSSA_Monthly!$A$3:$A$400,STATSSA_Annual!$A11,STATSSA_Monthly!P$3:P$400)</f>
        <v>1565</v>
      </c>
      <c r="P11" s="314">
        <f>SUMIF(STATSSA_Monthly!$A$3:$A$400,STATSSA_Annual!$A11,STATSSA_Monthly!Q$3:Q$400)</f>
        <v>9131</v>
      </c>
      <c r="Q11" s="314" t="e">
        <f>SUMIF(STATSSA_Monthly!$A$3:$A$400,STATSSA_Annual!$A11,STATSSA_Monthly!R$3:R$400)</f>
        <v>#N/A</v>
      </c>
      <c r="R11" s="314">
        <f>SUMIF(STATSSA_Monthly!$A$3:$A$400,STATSSA_Annual!$A11,STATSSA_Monthly!S$3:S$400)</f>
        <v>26073</v>
      </c>
      <c r="S11" s="314">
        <f>SUMIF(STATSSA_Monthly!$A$3:$A$400,STATSSA_Annual!$A11,STATSSA_Monthly!T$3:T$400)</f>
        <v>13623</v>
      </c>
      <c r="T11" s="314">
        <f>SUMIF(STATSSA_Monthly!$A$3:$A$400,STATSSA_Annual!$A11,STATSSA_Monthly!U$3:U$400)</f>
        <v>2814</v>
      </c>
      <c r="U11" s="314" t="e">
        <f>SUMIF(STATSSA_Monthly!$A$3:$A$400,STATSSA_Annual!$A11,STATSSA_Monthly!V$3:V$400)</f>
        <v>#N/A</v>
      </c>
      <c r="V11" s="314">
        <f>SUMIF(STATSSA_Monthly!$A$3:$A$400,STATSSA_Annual!$A11,STATSSA_Monthly!W$3:W$400)</f>
        <v>114764</v>
      </c>
      <c r="W11" s="314">
        <f>SUMIF(STATSSA_Monthly!$A$3:$A$400,STATSSA_Annual!$A11,STATSSA_Monthly!X$3:X$400)</f>
        <v>105013</v>
      </c>
      <c r="X11" s="314">
        <f>SUMIF(STATSSA_Monthly!$A$3:$A$400,STATSSA_Annual!$A11,STATSSA_Monthly!Y$3:Y$400)</f>
        <v>128616</v>
      </c>
      <c r="Y11" s="314">
        <f>SUMIF(STATSSA_Monthly!$A$3:$A$400,STATSSA_Annual!$A11,STATSSA_Monthly!Z$3:Z$400)</f>
        <v>75560</v>
      </c>
      <c r="Z11" s="314">
        <f>SUMIF(STATSSA_Monthly!$A$3:$A$400,STATSSA_Annual!$A11,STATSSA_Monthly!AA$3:AA$400)</f>
        <v>256</v>
      </c>
      <c r="AA11" s="314">
        <f>SUMIF(STATSSA_Monthly!$A$3:$A$400,STATSSA_Annual!$A11,STATSSA_Monthly!AB$3:AB$400)</f>
        <v>9789</v>
      </c>
      <c r="AB11" s="314">
        <f>SUMIF(STATSSA_Monthly!$A$3:$A$400,STATSSA_Annual!$A11,STATSSA_Monthly!AC$3:AC$400)</f>
        <v>13344</v>
      </c>
      <c r="AC11" s="314">
        <f>SUMIF(STATSSA_Monthly!$A$3:$A$400,STATSSA_Annual!$A11,STATSSA_Monthly!AD$3:AD$400)</f>
        <v>13598</v>
      </c>
      <c r="AD11" s="314">
        <f>SUMIF(STATSSA_Monthly!$A$3:$A$400,STATSSA_Annual!$A11,STATSSA_Monthly!AE$3:AE$400)</f>
        <v>720314</v>
      </c>
      <c r="AE11" s="314">
        <f>SUMIF(STATSSA_Monthly!$A$3:$A$400,STATSSA_Annual!$A11,STATSSA_Monthly!AF$3:AF$400)</f>
        <v>207449</v>
      </c>
      <c r="AF11" s="314">
        <f>SUMIF(STATSSA_Monthly!$A$3:$A$400,STATSSA_Annual!$A11,STATSSA_Monthly!AG$3:AG$400)</f>
        <v>329550</v>
      </c>
      <c r="AG11" s="314">
        <f>SUMIF(STATSSA_Monthly!$A$3:$A$400,STATSSA_Annual!$A11,STATSSA_Monthly!AH$3:AH$400)</f>
        <v>102044</v>
      </c>
      <c r="AH11" s="314">
        <f>SUMIF(STATSSA_Monthly!$A$3:$A$400,STATSSA_Annual!$A11,STATSSA_Monthly!AI$3:AI$400)</f>
        <v>5156</v>
      </c>
      <c r="AI11" s="314">
        <f>SUMIF(STATSSA_Monthly!$A$3:$A$400,STATSSA_Annual!$A11,STATSSA_Monthly!AJ$3:AJ$400)</f>
        <v>11245</v>
      </c>
      <c r="AJ11" s="314">
        <f>SUMIF(STATSSA_Monthly!$A$3:$A$400,STATSSA_Annual!$A11,STATSSA_Monthly!AK$3:AK$400)</f>
        <v>8565</v>
      </c>
      <c r="AK11" s="314" t="e">
        <f>SUMIF(STATSSA_Monthly!$A$3:$A$400,STATSSA_Annual!$A11,STATSSA_Monthly!AL$3:AL$400)</f>
        <v>#N/A</v>
      </c>
      <c r="AL11" s="314">
        <f>SUMIF(STATSSA_Monthly!$A$3:$A$400,STATSSA_Annual!$A11,STATSSA_Monthly!AM$3:AM$400)</f>
        <v>8384</v>
      </c>
      <c r="AM11" s="314">
        <f>SUMIF(STATSSA_Monthly!$A$3:$A$400,STATSSA_Annual!$A11,STATSSA_Monthly!AN$3:AN$400)</f>
        <v>4090</v>
      </c>
      <c r="AN11" s="314">
        <f>SUMIF(STATSSA_Monthly!$A$3:$A$400,STATSSA_Annual!$A11,STATSSA_Monthly!AO$3:AO$400)</f>
        <v>17084</v>
      </c>
      <c r="AO11" s="314">
        <f>SUMIF(STATSSA_Monthly!$A$3:$A$400,STATSSA_Annual!$A11,STATSSA_Monthly!AP$3:AP$400)</f>
        <v>7518</v>
      </c>
    </row>
    <row r="12" spans="1:41">
      <c r="A12" s="544">
        <f t="shared" si="1"/>
        <v>1994</v>
      </c>
      <c r="B12" s="314">
        <f>SUMIF(STATSSA_Monthly!$A$3:$A$500,STATSSA_Annual!$A12,STATSSA_Monthly!C$3:C$500)</f>
        <v>434834</v>
      </c>
      <c r="C12" s="314">
        <f>SUMIF(STATSSA_Monthly!$A$3:$A$500,STATSSA_Annual!$A12,STATSSA_Monthly!D$3:D$500)</f>
        <v>312549</v>
      </c>
      <c r="D12" s="314">
        <f>SUMIF(STATSSA_Monthly!$A$3:$A$500,STATSSA_Annual!$A12,STATSSA_Monthly!E$3:E$500)</f>
        <v>572886</v>
      </c>
      <c r="E12" s="314">
        <f>SUMIF(STATSSA_Monthly!$A$3:$A$500,STATSSA_Annual!$A12,STATSSA_Monthly!F$3:F$500)</f>
        <v>361559</v>
      </c>
      <c r="F12" s="314">
        <f>SUMIF(STATSSA_Monthly!$A$3:$A$500,STATSSA_Annual!$A12,STATSSA_Monthly!G$3:G$500)</f>
        <v>110770</v>
      </c>
      <c r="G12" s="314">
        <f>SUMIF(STATSSA_Monthly!$A$3:$A$500,STATSSA_Annual!$A12,STATSSA_Monthly!H$3:H$500)</f>
        <v>58495</v>
      </c>
      <c r="H12" s="314">
        <f>SUMIF(STATSSA_Monthly!$A$3:$A$500,STATSSA_Annual!$A12,STATSSA_Monthly!I$3:I$500)</f>
        <v>167976</v>
      </c>
      <c r="I12" s="314">
        <f>SUMIF(STATSSA_Monthly!$A$3:$A$500,STATSSA_Annual!$A12,STATSSA_Monthly!J$3:J$500)</f>
        <v>131923</v>
      </c>
      <c r="J12" s="314">
        <f>SUMIF(STATSSA_Monthly!$A$3:$A$400,STATSSA_Annual!$A12,STATSSA_Monthly!K$3:K$400)</f>
        <v>29383</v>
      </c>
      <c r="K12" s="314">
        <f>SUMIF(STATSSA_Monthly!$A$3:$A$400,STATSSA_Annual!$A12,STATSSA_Monthly!L$3:L$400)</f>
        <v>25879</v>
      </c>
      <c r="L12" s="314">
        <f>SUMIF(STATSSA_Monthly!$A$3:$A$400,STATSSA_Annual!$A12,STATSSA_Monthly!M$3:M$400)</f>
        <v>14572</v>
      </c>
      <c r="M12" s="314">
        <f>SUMIF(STATSSA_Monthly!$A$3:$A$400,STATSSA_Annual!$A12,STATSSA_Monthly!N$3:N$400)</f>
        <v>14621</v>
      </c>
      <c r="N12" s="314">
        <f>SUMIF(STATSSA_Monthly!$A$3:$A$400,STATSSA_Annual!$A12,STATSSA_Monthly!O$3:O$400)</f>
        <v>70</v>
      </c>
      <c r="O12" s="314">
        <f>SUMIF(STATSSA_Monthly!$A$3:$A$400,STATSSA_Annual!$A12,STATSSA_Monthly!P$3:P$400)</f>
        <v>6471</v>
      </c>
      <c r="P12" s="314">
        <f>SUMIF(STATSSA_Monthly!$A$3:$A$400,STATSSA_Annual!$A12,STATSSA_Monthly!Q$3:Q$400)</f>
        <v>8925</v>
      </c>
      <c r="Q12" s="314">
        <f>SUMIF(STATSSA_Monthly!$A$3:$A$400,STATSSA_Annual!$A12,STATSSA_Monthly!R$3:R$400)</f>
        <v>799</v>
      </c>
      <c r="R12" s="314">
        <f>SUMIF(STATSSA_Monthly!$A$3:$A$400,STATSSA_Annual!$A12,STATSSA_Monthly!S$3:S$400)</f>
        <v>14319</v>
      </c>
      <c r="S12" s="314">
        <f>SUMIF(STATSSA_Monthly!$A$3:$A$400,STATSSA_Annual!$A12,STATSSA_Monthly!T$3:T$400)</f>
        <v>4207</v>
      </c>
      <c r="T12" s="314">
        <f>SUMIF(STATSSA_Monthly!$A$3:$A$400,STATSSA_Annual!$A12,STATSSA_Monthly!U$3:U$400)</f>
        <v>11476</v>
      </c>
      <c r="U12" s="314">
        <f>SUMIF(STATSSA_Monthly!$A$3:$A$400,STATSSA_Annual!$A12,STATSSA_Monthly!V$3:V$400)</f>
        <v>11052</v>
      </c>
      <c r="V12" s="314">
        <f>SUMIF(STATSSA_Monthly!$A$3:$A$400,STATSSA_Annual!$A12,STATSSA_Monthly!W$3:W$400)</f>
        <v>36195</v>
      </c>
      <c r="W12" s="314">
        <f>SUMIF(STATSSA_Monthly!$A$3:$A$400,STATSSA_Annual!$A12,STATSSA_Monthly!X$3:X$400)</f>
        <v>89064</v>
      </c>
      <c r="X12" s="314">
        <f>SUMIF(STATSSA_Monthly!$A$3:$A$400,STATSSA_Annual!$A12,STATSSA_Monthly!Y$3:Y$400)</f>
        <v>148698</v>
      </c>
      <c r="Y12" s="314">
        <f>SUMIF(STATSSA_Monthly!$A$3:$A$400,STATSSA_Annual!$A12,STATSSA_Monthly!Z$3:Z$400)</f>
        <v>36880</v>
      </c>
      <c r="Z12" s="314">
        <f>SUMIF(STATSSA_Monthly!$A$3:$A$400,STATSSA_Annual!$A12,STATSSA_Monthly!AA$3:AA$400)</f>
        <v>1256</v>
      </c>
      <c r="AA12" s="314">
        <f>SUMIF(STATSSA_Monthly!$A$3:$A$400,STATSSA_Annual!$A12,STATSSA_Monthly!AB$3:AB$400)</f>
        <v>31797</v>
      </c>
      <c r="AB12" s="314">
        <f>SUMIF(STATSSA_Monthly!$A$3:$A$400,STATSSA_Annual!$A12,STATSSA_Monthly!AC$3:AC$400)</f>
        <v>3713</v>
      </c>
      <c r="AC12" s="314">
        <f>SUMIF(STATSSA_Monthly!$A$3:$A$400,STATSSA_Annual!$A12,STATSSA_Monthly!AD$3:AD$400)</f>
        <v>3802</v>
      </c>
      <c r="AD12" s="314">
        <f>SUMIF(STATSSA_Monthly!$A$3:$A$400,STATSSA_Annual!$A12,STATSSA_Monthly!AE$3:AE$400)</f>
        <v>234873</v>
      </c>
      <c r="AE12" s="314">
        <f>SUMIF(STATSSA_Monthly!$A$3:$A$400,STATSSA_Annual!$A12,STATSSA_Monthly!AF$3:AF$400)</f>
        <v>87434</v>
      </c>
      <c r="AF12" s="314">
        <f>SUMIF(STATSSA_Monthly!$A$3:$A$400,STATSSA_Annual!$A12,STATSSA_Monthly!AG$3:AG$400)</f>
        <v>206400</v>
      </c>
      <c r="AG12" s="314">
        <f>SUMIF(STATSSA_Monthly!$A$3:$A$400,STATSSA_Annual!$A12,STATSSA_Monthly!AH$3:AH$400)</f>
        <v>134761</v>
      </c>
      <c r="AH12" s="314">
        <f>SUMIF(STATSSA_Monthly!$A$3:$A$400,STATSSA_Annual!$A12,STATSSA_Monthly!AI$3:AI$400)</f>
        <v>6466</v>
      </c>
      <c r="AI12" s="314">
        <f>SUMIF(STATSSA_Monthly!$A$3:$A$400,STATSSA_Annual!$A12,STATSSA_Monthly!AJ$3:AJ$400)</f>
        <v>6313</v>
      </c>
      <c r="AJ12" s="314">
        <f>SUMIF(STATSSA_Monthly!$A$3:$A$400,STATSSA_Annual!$A12,STATSSA_Monthly!AK$3:AK$400)</f>
        <v>7068</v>
      </c>
      <c r="AK12" s="314">
        <f>SUMIF(STATSSA_Monthly!$A$3:$A$400,STATSSA_Annual!$A12,STATSSA_Monthly!AL$3:AL$400)</f>
        <v>23368</v>
      </c>
      <c r="AL12" s="314">
        <f>SUMIF(STATSSA_Monthly!$A$3:$A$400,STATSSA_Annual!$A12,STATSSA_Monthly!AM$3:AM$400)</f>
        <v>1502</v>
      </c>
      <c r="AM12" s="314">
        <f>SUMIF(STATSSA_Monthly!$A$3:$A$400,STATSSA_Annual!$A12,STATSSA_Monthly!AN$3:AN$400)</f>
        <v>2889</v>
      </c>
      <c r="AN12" s="314">
        <f>SUMIF(STATSSA_Monthly!$A$3:$A$400,STATSSA_Annual!$A12,STATSSA_Monthly!AO$3:AO$400)</f>
        <v>4058</v>
      </c>
      <c r="AO12" s="314">
        <f>SUMIF(STATSSA_Monthly!$A$3:$A$400,STATSSA_Annual!$A12,STATSSA_Monthly!AP$3:AP$400)</f>
        <v>4353</v>
      </c>
    </row>
    <row r="13" spans="1:41">
      <c r="A13" s="544">
        <f t="shared" si="1"/>
        <v>1995</v>
      </c>
      <c r="B13" s="314">
        <f>SUMIF(STATSSA_Monthly!$A$3:$A$500,STATSSA_Annual!$A13,STATSSA_Monthly!C$3:C$500)</f>
        <v>339478</v>
      </c>
      <c r="C13" s="314">
        <f>SUMIF(STATSSA_Monthly!$A$3:$A$500,STATSSA_Annual!$A13,STATSSA_Monthly!D$3:D$500)</f>
        <v>366086</v>
      </c>
      <c r="D13" s="314">
        <f>SUMIF(STATSSA_Monthly!$A$3:$A$500,STATSSA_Annual!$A13,STATSSA_Monthly!E$3:E$500)</f>
        <v>787554</v>
      </c>
      <c r="E13" s="314">
        <f>SUMIF(STATSSA_Monthly!$A$3:$A$500,STATSSA_Annual!$A13,STATSSA_Monthly!F$3:F$500)</f>
        <v>325331</v>
      </c>
      <c r="F13" s="314">
        <f>SUMIF(STATSSA_Monthly!$A$3:$A$500,STATSSA_Annual!$A13,STATSSA_Monthly!G$3:G$500)</f>
        <v>79983</v>
      </c>
      <c r="G13" s="314">
        <f>SUMIF(STATSSA_Monthly!$A$3:$A$500,STATSSA_Annual!$A13,STATSSA_Monthly!H$3:H$500)</f>
        <v>66922</v>
      </c>
      <c r="H13" s="314">
        <f>SUMIF(STATSSA_Monthly!$A$3:$A$500,STATSSA_Annual!$A13,STATSSA_Monthly!I$3:I$500)</f>
        <v>141044</v>
      </c>
      <c r="I13" s="314">
        <f>SUMIF(STATSSA_Monthly!$A$3:$A$500,STATSSA_Annual!$A13,STATSSA_Monthly!J$3:J$500)</f>
        <v>164619</v>
      </c>
      <c r="J13" s="314">
        <f>SUMIF(STATSSA_Monthly!$A$3:$A$400,STATSSA_Annual!$A13,STATSSA_Monthly!K$3:K$400)</f>
        <v>9228</v>
      </c>
      <c r="K13" s="314">
        <f>SUMIF(STATSSA_Monthly!$A$3:$A$400,STATSSA_Annual!$A13,STATSSA_Monthly!L$3:L$400)</f>
        <v>26397</v>
      </c>
      <c r="L13" s="314">
        <f>SUMIF(STATSSA_Monthly!$A$3:$A$400,STATSSA_Annual!$A13,STATSSA_Monthly!M$3:M$400)</f>
        <v>33274</v>
      </c>
      <c r="M13" s="314">
        <f>SUMIF(STATSSA_Monthly!$A$3:$A$400,STATSSA_Annual!$A13,STATSSA_Monthly!N$3:N$400)</f>
        <v>15949</v>
      </c>
      <c r="N13" s="314">
        <f>SUMIF(STATSSA_Monthly!$A$3:$A$400,STATSSA_Annual!$A13,STATSSA_Monthly!O$3:O$400)</f>
        <v>167</v>
      </c>
      <c r="O13" s="314">
        <f>SUMIF(STATSSA_Monthly!$A$3:$A$400,STATSSA_Annual!$A13,STATSSA_Monthly!P$3:P$400)</f>
        <v>2266</v>
      </c>
      <c r="P13" s="314">
        <f>SUMIF(STATSSA_Monthly!$A$3:$A$400,STATSSA_Annual!$A13,STATSSA_Monthly!Q$3:Q$400)</f>
        <v>4709</v>
      </c>
      <c r="Q13" s="314">
        <f>SUMIF(STATSSA_Monthly!$A$3:$A$400,STATSSA_Annual!$A13,STATSSA_Monthly!R$3:R$400)</f>
        <v>2163</v>
      </c>
      <c r="R13" s="314">
        <f>SUMIF(STATSSA_Monthly!$A$3:$A$400,STATSSA_Annual!$A13,STATSSA_Monthly!S$3:S$400)</f>
        <v>14282</v>
      </c>
      <c r="S13" s="314">
        <f>SUMIF(STATSSA_Monthly!$A$3:$A$400,STATSSA_Annual!$A13,STATSSA_Monthly!T$3:T$400)</f>
        <v>11706</v>
      </c>
      <c r="T13" s="314">
        <f>SUMIF(STATSSA_Monthly!$A$3:$A$400,STATSSA_Annual!$A13,STATSSA_Monthly!U$3:U$400)</f>
        <v>15132</v>
      </c>
      <c r="U13" s="314">
        <f>SUMIF(STATSSA_Monthly!$A$3:$A$400,STATSSA_Annual!$A13,STATSSA_Monthly!V$3:V$400)</f>
        <v>7792</v>
      </c>
      <c r="V13" s="314">
        <f>SUMIF(STATSSA_Monthly!$A$3:$A$400,STATSSA_Annual!$A13,STATSSA_Monthly!W$3:W$400)</f>
        <v>46147</v>
      </c>
      <c r="W13" s="314">
        <f>SUMIF(STATSSA_Monthly!$A$3:$A$400,STATSSA_Annual!$A13,STATSSA_Monthly!X$3:X$400)</f>
        <v>95527</v>
      </c>
      <c r="X13" s="314">
        <f>SUMIF(STATSSA_Monthly!$A$3:$A$400,STATSSA_Annual!$A13,STATSSA_Monthly!Y$3:Y$400)</f>
        <v>186634</v>
      </c>
      <c r="Y13" s="314">
        <f>SUMIF(STATSSA_Monthly!$A$3:$A$400,STATSSA_Annual!$A13,STATSSA_Monthly!Z$3:Z$400)</f>
        <v>51553</v>
      </c>
      <c r="Z13" s="314">
        <f>SUMIF(STATSSA_Monthly!$A$3:$A$400,STATSSA_Annual!$A13,STATSSA_Monthly!AA$3:AA$400)</f>
        <v>4751</v>
      </c>
      <c r="AA13" s="314">
        <f>SUMIF(STATSSA_Monthly!$A$3:$A$400,STATSSA_Annual!$A13,STATSSA_Monthly!AB$3:AB$400)</f>
        <v>33938</v>
      </c>
      <c r="AB13" s="314">
        <f>SUMIF(STATSSA_Monthly!$A$3:$A$400,STATSSA_Annual!$A13,STATSSA_Monthly!AC$3:AC$400)</f>
        <v>3610</v>
      </c>
      <c r="AC13" s="314">
        <f>SUMIF(STATSSA_Monthly!$A$3:$A$400,STATSSA_Annual!$A13,STATSSA_Monthly!AD$3:AD$400)</f>
        <v>15997</v>
      </c>
      <c r="AD13" s="314">
        <f>SUMIF(STATSSA_Monthly!$A$3:$A$400,STATSSA_Annual!$A13,STATSSA_Monthly!AE$3:AE$400)</f>
        <v>172642</v>
      </c>
      <c r="AE13" s="314">
        <f>SUMIF(STATSSA_Monthly!$A$3:$A$400,STATSSA_Annual!$A13,STATSSA_Monthly!AF$3:AF$400)</f>
        <v>68971</v>
      </c>
      <c r="AF13" s="314">
        <f>SUMIF(STATSSA_Monthly!$A$3:$A$400,STATSSA_Annual!$A13,STATSSA_Monthly!AG$3:AG$400)</f>
        <v>368780</v>
      </c>
      <c r="AG13" s="314">
        <f>SUMIF(STATSSA_Monthly!$A$3:$A$400,STATSSA_Annual!$A13,STATSSA_Monthly!AH$3:AH$400)</f>
        <v>56066</v>
      </c>
      <c r="AH13" s="314">
        <f>SUMIF(STATSSA_Monthly!$A$3:$A$400,STATSSA_Annual!$A13,STATSSA_Monthly!AI$3:AI$400)</f>
        <v>8761</v>
      </c>
      <c r="AI13" s="314">
        <f>SUMIF(STATSSA_Monthly!$A$3:$A$400,STATSSA_Annual!$A13,STATSSA_Monthly!AJ$3:AJ$400)</f>
        <v>48910</v>
      </c>
      <c r="AJ13" s="314">
        <f>SUMIF(STATSSA_Monthly!$A$3:$A$400,STATSSA_Annual!$A13,STATSSA_Monthly!AK$3:AK$400)</f>
        <v>20977</v>
      </c>
      <c r="AK13" s="314">
        <f>SUMIF(STATSSA_Monthly!$A$3:$A$400,STATSSA_Annual!$A13,STATSSA_Monthly!AL$3:AL$400)</f>
        <v>9817</v>
      </c>
      <c r="AL13" s="314">
        <f>SUMIF(STATSSA_Monthly!$A$3:$A$400,STATSSA_Annual!$A13,STATSSA_Monthly!AM$3:AM$400)</f>
        <v>3517</v>
      </c>
      <c r="AM13" s="314">
        <f>SUMIF(STATSSA_Monthly!$A$3:$A$400,STATSSA_Annual!$A13,STATSSA_Monthly!AN$3:AN$400)</f>
        <v>11449</v>
      </c>
      <c r="AN13" s="314">
        <f>SUMIF(STATSSA_Monthly!$A$3:$A$400,STATSSA_Annual!$A13,STATSSA_Monthly!AO$3:AO$400)</f>
        <v>13394</v>
      </c>
      <c r="AO13" s="314">
        <f>SUMIF(STATSSA_Monthly!$A$3:$A$400,STATSSA_Annual!$A13,STATSSA_Monthly!AP$3:AP$400)</f>
        <v>1375</v>
      </c>
    </row>
    <row r="14" spans="1:41">
      <c r="A14" s="544">
        <f t="shared" si="1"/>
        <v>1996</v>
      </c>
      <c r="B14" s="314">
        <f>SUMIF(STATSSA_Monthly!$A$3:$A$500,STATSSA_Annual!$A14,STATSSA_Monthly!C$3:C$500)</f>
        <v>538750</v>
      </c>
      <c r="C14" s="314">
        <f>SUMIF(STATSSA_Monthly!$A$3:$A$500,STATSSA_Annual!$A14,STATSSA_Monthly!D$3:D$500)</f>
        <v>492019</v>
      </c>
      <c r="D14" s="314">
        <f>SUMIF(STATSSA_Monthly!$A$3:$A$500,STATSSA_Annual!$A14,STATSSA_Monthly!E$3:E$500)</f>
        <v>887531</v>
      </c>
      <c r="E14" s="314">
        <f>SUMIF(STATSSA_Monthly!$A$3:$A$500,STATSSA_Annual!$A14,STATSSA_Monthly!F$3:F$500)</f>
        <v>417031</v>
      </c>
      <c r="F14" s="314">
        <f>SUMIF(STATSSA_Monthly!$A$3:$A$500,STATSSA_Annual!$A14,STATSSA_Monthly!G$3:G$500)</f>
        <v>48203</v>
      </c>
      <c r="G14" s="314">
        <f>SUMIF(STATSSA_Monthly!$A$3:$A$500,STATSSA_Annual!$A14,STATSSA_Monthly!H$3:H$500)</f>
        <v>76663</v>
      </c>
      <c r="H14" s="314">
        <f>SUMIF(STATSSA_Monthly!$A$3:$A$500,STATSSA_Annual!$A14,STATSSA_Monthly!I$3:I$500)</f>
        <v>180178</v>
      </c>
      <c r="I14" s="314">
        <f>SUMIF(STATSSA_Monthly!$A$3:$A$500,STATSSA_Annual!$A14,STATSSA_Monthly!J$3:J$500)</f>
        <v>158251</v>
      </c>
      <c r="J14" s="314">
        <f>SUMIF(STATSSA_Monthly!$A$3:$A$400,STATSSA_Annual!$A14,STATSSA_Monthly!K$3:K$400)</f>
        <v>10449</v>
      </c>
      <c r="K14" s="314">
        <f>SUMIF(STATSSA_Monthly!$A$3:$A$400,STATSSA_Annual!$A14,STATSSA_Monthly!L$3:L$400)</f>
        <v>31443</v>
      </c>
      <c r="L14" s="314">
        <f>SUMIF(STATSSA_Monthly!$A$3:$A$400,STATSSA_Annual!$A14,STATSSA_Monthly!M$3:M$400)</f>
        <v>29306</v>
      </c>
      <c r="M14" s="314">
        <f>SUMIF(STATSSA_Monthly!$A$3:$A$400,STATSSA_Annual!$A14,STATSSA_Monthly!N$3:N$400)</f>
        <v>17020</v>
      </c>
      <c r="N14" s="314">
        <f>SUMIF(STATSSA_Monthly!$A$3:$A$400,STATSSA_Annual!$A14,STATSSA_Monthly!O$3:O$400)</f>
        <v>9301</v>
      </c>
      <c r="O14" s="314">
        <f>SUMIF(STATSSA_Monthly!$A$3:$A$400,STATSSA_Annual!$A14,STATSSA_Monthly!P$3:P$400)</f>
        <v>8333</v>
      </c>
      <c r="P14" s="314">
        <f>SUMIF(STATSSA_Monthly!$A$3:$A$400,STATSSA_Annual!$A14,STATSSA_Monthly!Q$3:Q$400)</f>
        <v>7446</v>
      </c>
      <c r="Q14" s="314">
        <f>SUMIF(STATSSA_Monthly!$A$3:$A$400,STATSSA_Annual!$A14,STATSSA_Monthly!R$3:R$400)</f>
        <v>7771</v>
      </c>
      <c r="R14" s="314">
        <f>SUMIF(STATSSA_Monthly!$A$3:$A$400,STATSSA_Annual!$A14,STATSSA_Monthly!S$3:S$400)</f>
        <v>18030</v>
      </c>
      <c r="S14" s="314">
        <f>SUMIF(STATSSA_Monthly!$A$3:$A$400,STATSSA_Annual!$A14,STATSSA_Monthly!T$3:T$400)</f>
        <v>25566</v>
      </c>
      <c r="T14" s="314">
        <f>SUMIF(STATSSA_Monthly!$A$3:$A$400,STATSSA_Annual!$A14,STATSSA_Monthly!U$3:U$400)</f>
        <v>54879</v>
      </c>
      <c r="U14" s="314">
        <f>SUMIF(STATSSA_Monthly!$A$3:$A$400,STATSSA_Annual!$A14,STATSSA_Monthly!V$3:V$400)</f>
        <v>8014</v>
      </c>
      <c r="V14" s="314">
        <f>SUMIF(STATSSA_Monthly!$A$3:$A$400,STATSSA_Annual!$A14,STATSSA_Monthly!W$3:W$400)</f>
        <v>53839</v>
      </c>
      <c r="W14" s="314">
        <f>SUMIF(STATSSA_Monthly!$A$3:$A$400,STATSSA_Annual!$A14,STATSSA_Monthly!X$3:X$400)</f>
        <v>162956</v>
      </c>
      <c r="X14" s="314">
        <f>SUMIF(STATSSA_Monthly!$A$3:$A$400,STATSSA_Annual!$A14,STATSSA_Monthly!Y$3:Y$400)</f>
        <v>249020</v>
      </c>
      <c r="Y14" s="314">
        <f>SUMIF(STATSSA_Monthly!$A$3:$A$400,STATSSA_Annual!$A14,STATSSA_Monthly!Z$3:Z$400)</f>
        <v>46680</v>
      </c>
      <c r="Z14" s="314">
        <f>SUMIF(STATSSA_Monthly!$A$3:$A$400,STATSSA_Annual!$A14,STATSSA_Monthly!AA$3:AA$400)</f>
        <v>17187</v>
      </c>
      <c r="AA14" s="314">
        <f>SUMIF(STATSSA_Monthly!$A$3:$A$400,STATSSA_Annual!$A14,STATSSA_Monthly!AB$3:AB$400)</f>
        <v>25326</v>
      </c>
      <c r="AB14" s="314">
        <f>SUMIF(STATSSA_Monthly!$A$3:$A$400,STATSSA_Annual!$A14,STATSSA_Monthly!AC$3:AC$400)</f>
        <v>17612</v>
      </c>
      <c r="AC14" s="314">
        <f>SUMIF(STATSSA_Monthly!$A$3:$A$400,STATSSA_Annual!$A14,STATSSA_Monthly!AD$3:AD$400)</f>
        <v>24663</v>
      </c>
      <c r="AD14" s="314">
        <f>SUMIF(STATSSA_Monthly!$A$3:$A$400,STATSSA_Annual!$A14,STATSSA_Monthly!AE$3:AE$400)</f>
        <v>356473</v>
      </c>
      <c r="AE14" s="314">
        <f>SUMIF(STATSSA_Monthly!$A$3:$A$400,STATSSA_Annual!$A14,STATSSA_Monthly!AF$3:AF$400)</f>
        <v>122547</v>
      </c>
      <c r="AF14" s="314">
        <f>SUMIF(STATSSA_Monthly!$A$3:$A$400,STATSSA_Annual!$A14,STATSSA_Monthly!AG$3:AG$400)</f>
        <v>319315</v>
      </c>
      <c r="AG14" s="314">
        <f>SUMIF(STATSSA_Monthly!$A$3:$A$400,STATSSA_Annual!$A14,STATSSA_Monthly!AH$3:AH$400)</f>
        <v>125102</v>
      </c>
      <c r="AH14" s="314">
        <f>SUMIF(STATSSA_Monthly!$A$3:$A$400,STATSSA_Annual!$A14,STATSSA_Monthly!AI$3:AI$400)</f>
        <v>20895</v>
      </c>
      <c r="AI14" s="314">
        <f>SUMIF(STATSSA_Monthly!$A$3:$A$400,STATSSA_Annual!$A14,STATSSA_Monthly!AJ$3:AJ$400)</f>
        <v>18243</v>
      </c>
      <c r="AJ14" s="314">
        <f>SUMIF(STATSSA_Monthly!$A$3:$A$400,STATSSA_Annual!$A14,STATSSA_Monthly!AK$3:AK$400)</f>
        <v>17822</v>
      </c>
      <c r="AK14" s="314">
        <f>SUMIF(STATSSA_Monthly!$A$3:$A$400,STATSSA_Annual!$A14,STATSSA_Monthly!AL$3:AL$400)</f>
        <v>27255</v>
      </c>
      <c r="AL14" s="314">
        <f>SUMIF(STATSSA_Monthly!$A$3:$A$400,STATSSA_Annual!$A14,STATSSA_Monthly!AM$3:AM$400)</f>
        <v>4373</v>
      </c>
      <c r="AM14" s="314">
        <f>SUMIF(STATSSA_Monthly!$A$3:$A$400,STATSSA_Annual!$A14,STATSSA_Monthly!AN$3:AN$400)</f>
        <v>20942</v>
      </c>
      <c r="AN14" s="314">
        <f>SUMIF(STATSSA_Monthly!$A$3:$A$400,STATSSA_Annual!$A14,STATSSA_Monthly!AO$3:AO$400)</f>
        <v>11953</v>
      </c>
      <c r="AO14" s="314">
        <f>SUMIF(STATSSA_Monthly!$A$3:$A$400,STATSSA_Annual!$A14,STATSSA_Monthly!AP$3:AP$400)</f>
        <v>2275</v>
      </c>
    </row>
    <row r="15" spans="1:41">
      <c r="A15" s="544">
        <f t="shared" si="1"/>
        <v>1997</v>
      </c>
      <c r="B15" s="314">
        <f>SUMIF(STATSSA_Monthly!$A$3:$A$500,STATSSA_Annual!$A15,STATSSA_Monthly!C$3:C$500)</f>
        <v>655944</v>
      </c>
      <c r="C15" s="314">
        <f>SUMIF(STATSSA_Monthly!$A$3:$A$500,STATSSA_Annual!$A15,STATSSA_Monthly!D$3:D$500)</f>
        <v>571196</v>
      </c>
      <c r="D15" s="314">
        <f>SUMIF(STATSSA_Monthly!$A$3:$A$500,STATSSA_Annual!$A15,STATSSA_Monthly!E$3:E$500)</f>
        <v>1029729</v>
      </c>
      <c r="E15" s="314">
        <f>SUMIF(STATSSA_Monthly!$A$3:$A$500,STATSSA_Annual!$A15,STATSSA_Monthly!F$3:F$500)</f>
        <v>410028</v>
      </c>
      <c r="F15" s="314">
        <f>SUMIF(STATSSA_Monthly!$A$3:$A$500,STATSSA_Annual!$A15,STATSSA_Monthly!G$3:G$500)</f>
        <v>76734</v>
      </c>
      <c r="G15" s="314">
        <f>SUMIF(STATSSA_Monthly!$A$3:$A$500,STATSSA_Annual!$A15,STATSSA_Monthly!H$3:H$500)</f>
        <v>70205</v>
      </c>
      <c r="H15" s="314">
        <f>SUMIF(STATSSA_Monthly!$A$3:$A$500,STATSSA_Annual!$A15,STATSSA_Monthly!I$3:I$500)</f>
        <v>267068</v>
      </c>
      <c r="I15" s="314">
        <f>SUMIF(STATSSA_Monthly!$A$3:$A$500,STATSSA_Annual!$A15,STATSSA_Monthly!J$3:J$500)</f>
        <v>160815</v>
      </c>
      <c r="J15" s="314">
        <f>SUMIF(STATSSA_Monthly!$A$3:$A$400,STATSSA_Annual!$A15,STATSSA_Monthly!K$3:K$400)</f>
        <v>17132</v>
      </c>
      <c r="K15" s="314">
        <f>SUMIF(STATSSA_Monthly!$A$3:$A$400,STATSSA_Annual!$A15,STATSSA_Monthly!L$3:L$400)</f>
        <v>39294</v>
      </c>
      <c r="L15" s="314">
        <f>SUMIF(STATSSA_Monthly!$A$3:$A$400,STATSSA_Annual!$A15,STATSSA_Monthly!M$3:M$400)</f>
        <v>41961</v>
      </c>
      <c r="M15" s="314">
        <f>SUMIF(STATSSA_Monthly!$A$3:$A$400,STATSSA_Annual!$A15,STATSSA_Monthly!N$3:N$400)</f>
        <v>16741</v>
      </c>
      <c r="N15" s="314">
        <f>SUMIF(STATSSA_Monthly!$A$3:$A$400,STATSSA_Annual!$A15,STATSSA_Monthly!O$3:O$400)</f>
        <v>3071</v>
      </c>
      <c r="O15" s="314">
        <f>SUMIF(STATSSA_Monthly!$A$3:$A$400,STATSSA_Annual!$A15,STATSSA_Monthly!P$3:P$400)</f>
        <v>5635</v>
      </c>
      <c r="P15" s="314">
        <f>SUMIF(STATSSA_Monthly!$A$3:$A$400,STATSSA_Annual!$A15,STATSSA_Monthly!Q$3:Q$400)</f>
        <v>12503</v>
      </c>
      <c r="Q15" s="314">
        <f>SUMIF(STATSSA_Monthly!$A$3:$A$400,STATSSA_Annual!$A15,STATSSA_Monthly!R$3:R$400)</f>
        <v>7409</v>
      </c>
      <c r="R15" s="314">
        <f>SUMIF(STATSSA_Monthly!$A$3:$A$400,STATSSA_Annual!$A15,STATSSA_Monthly!S$3:S$400)</f>
        <v>23785</v>
      </c>
      <c r="S15" s="314">
        <f>SUMIF(STATSSA_Monthly!$A$3:$A$400,STATSSA_Annual!$A15,STATSSA_Monthly!T$3:T$400)</f>
        <v>34606</v>
      </c>
      <c r="T15" s="314">
        <f>SUMIF(STATSSA_Monthly!$A$3:$A$400,STATSSA_Annual!$A15,STATSSA_Monthly!U$3:U$400)</f>
        <v>16188</v>
      </c>
      <c r="U15" s="314">
        <f>SUMIF(STATSSA_Monthly!$A$3:$A$400,STATSSA_Annual!$A15,STATSSA_Monthly!V$3:V$400)</f>
        <v>13783</v>
      </c>
      <c r="V15" s="314">
        <f>SUMIF(STATSSA_Monthly!$A$3:$A$400,STATSSA_Annual!$A15,STATSSA_Monthly!W$3:W$400)</f>
        <v>52596</v>
      </c>
      <c r="W15" s="314">
        <f>SUMIF(STATSSA_Monthly!$A$3:$A$400,STATSSA_Annual!$A15,STATSSA_Monthly!X$3:X$400)</f>
        <v>83556</v>
      </c>
      <c r="X15" s="314">
        <f>SUMIF(STATSSA_Monthly!$A$3:$A$400,STATSSA_Annual!$A15,STATSSA_Monthly!Y$3:Y$400)</f>
        <v>338851</v>
      </c>
      <c r="Y15" s="314">
        <f>SUMIF(STATSSA_Monthly!$A$3:$A$400,STATSSA_Annual!$A15,STATSSA_Monthly!Z$3:Z$400)</f>
        <v>54269</v>
      </c>
      <c r="Z15" s="314">
        <f>SUMIF(STATSSA_Monthly!$A$3:$A$400,STATSSA_Annual!$A15,STATSSA_Monthly!AA$3:AA$400)</f>
        <v>6948</v>
      </c>
      <c r="AA15" s="314">
        <f>SUMIF(STATSSA_Monthly!$A$3:$A$400,STATSSA_Annual!$A15,STATSSA_Monthly!AB$3:AB$400)</f>
        <v>52620</v>
      </c>
      <c r="AB15" s="314">
        <f>SUMIF(STATSSA_Monthly!$A$3:$A$400,STATSSA_Annual!$A15,STATSSA_Monthly!AC$3:AC$400)</f>
        <v>12373</v>
      </c>
      <c r="AC15" s="314">
        <f>SUMIF(STATSSA_Monthly!$A$3:$A$400,STATSSA_Annual!$A15,STATSSA_Monthly!AD$3:AD$400)</f>
        <v>14752</v>
      </c>
      <c r="AD15" s="314">
        <f>SUMIF(STATSSA_Monthly!$A$3:$A$400,STATSSA_Annual!$A15,STATSSA_Monthly!AE$3:AE$400)</f>
        <v>427837</v>
      </c>
      <c r="AE15" s="314">
        <f>SUMIF(STATSSA_Monthly!$A$3:$A$400,STATSSA_Annual!$A15,STATSSA_Monthly!AF$3:AF$400)</f>
        <v>225839</v>
      </c>
      <c r="AF15" s="314">
        <f>SUMIF(STATSSA_Monthly!$A$3:$A$400,STATSSA_Annual!$A15,STATSSA_Monthly!AG$3:AG$400)</f>
        <v>305594</v>
      </c>
      <c r="AG15" s="314">
        <f>SUMIF(STATSSA_Monthly!$A$3:$A$400,STATSSA_Annual!$A15,STATSSA_Monthly!AH$3:AH$400)</f>
        <v>108683</v>
      </c>
      <c r="AH15" s="314">
        <f>SUMIF(STATSSA_Monthly!$A$3:$A$400,STATSSA_Annual!$A15,STATSSA_Monthly!AI$3:AI$400)</f>
        <v>43233</v>
      </c>
      <c r="AI15" s="314">
        <f>SUMIF(STATSSA_Monthly!$A$3:$A$400,STATSSA_Annual!$A15,STATSSA_Monthly!AJ$3:AJ$400)</f>
        <v>21047</v>
      </c>
      <c r="AJ15" s="314">
        <f>SUMIF(STATSSA_Monthly!$A$3:$A$400,STATSSA_Annual!$A15,STATSSA_Monthly!AK$3:AK$400)</f>
        <v>25929</v>
      </c>
      <c r="AK15" s="314">
        <f>SUMIF(STATSSA_Monthly!$A$3:$A$400,STATSSA_Annual!$A15,STATSSA_Monthly!AL$3:AL$400)</f>
        <v>27867</v>
      </c>
      <c r="AL15" s="314">
        <f>SUMIF(STATSSA_Monthly!$A$3:$A$400,STATSSA_Annual!$A15,STATSSA_Monthly!AM$3:AM$400)</f>
        <v>4608</v>
      </c>
      <c r="AM15" s="314">
        <f>SUMIF(STATSSA_Monthly!$A$3:$A$400,STATSSA_Annual!$A15,STATSSA_Monthly!AN$3:AN$400)</f>
        <v>38394</v>
      </c>
      <c r="AN15" s="314">
        <f>SUMIF(STATSSA_Monthly!$A$3:$A$400,STATSSA_Annual!$A15,STATSSA_Monthly!AO$3:AO$400)</f>
        <v>9262</v>
      </c>
      <c r="AO15" s="314">
        <f>SUMIF(STATSSA_Monthly!$A$3:$A$400,STATSSA_Annual!$A15,STATSSA_Monthly!AP$3:AP$400)</f>
        <v>5709</v>
      </c>
    </row>
    <row r="16" spans="1:41">
      <c r="A16" s="544">
        <f t="shared" si="1"/>
        <v>1998</v>
      </c>
      <c r="B16" s="314">
        <f>SUMIF(STATSSA_Monthly!$A$3:$A$500,STATSSA_Annual!$A16,STATSSA_Monthly!C$3:C$500)</f>
        <v>659576</v>
      </c>
      <c r="C16" s="314">
        <f>SUMIF(STATSSA_Monthly!$A$3:$A$500,STATSSA_Annual!$A16,STATSSA_Monthly!D$3:D$500)</f>
        <v>576078</v>
      </c>
      <c r="D16" s="314">
        <f>SUMIF(STATSSA_Monthly!$A$3:$A$500,STATSSA_Annual!$A16,STATSSA_Monthly!E$3:E$500)</f>
        <v>845512</v>
      </c>
      <c r="E16" s="314">
        <f>SUMIF(STATSSA_Monthly!$A$3:$A$500,STATSSA_Annual!$A16,STATSSA_Monthly!F$3:F$500)</f>
        <v>428295</v>
      </c>
      <c r="F16" s="314">
        <f>SUMIF(STATSSA_Monthly!$A$3:$A$500,STATSSA_Annual!$A16,STATSSA_Monthly!G$3:G$500)</f>
        <v>118514</v>
      </c>
      <c r="G16" s="314">
        <f>SUMIF(STATSSA_Monthly!$A$3:$A$500,STATSSA_Annual!$A16,STATSSA_Monthly!H$3:H$500)</f>
        <v>65569</v>
      </c>
      <c r="H16" s="314">
        <f>SUMIF(STATSSA_Monthly!$A$3:$A$500,STATSSA_Annual!$A16,STATSSA_Monthly!I$3:I$500)</f>
        <v>235634</v>
      </c>
      <c r="I16" s="314">
        <f>SUMIF(STATSSA_Monthly!$A$3:$A$500,STATSSA_Annual!$A16,STATSSA_Monthly!J$3:J$500)</f>
        <v>114521</v>
      </c>
      <c r="J16" s="314">
        <f>SUMIF(STATSSA_Monthly!$A$3:$A$400,STATSSA_Annual!$A16,STATSSA_Monthly!K$3:K$400)</f>
        <v>40756</v>
      </c>
      <c r="K16" s="314">
        <f>SUMIF(STATSSA_Monthly!$A$3:$A$400,STATSSA_Annual!$A16,STATSSA_Monthly!L$3:L$400)</f>
        <v>32982</v>
      </c>
      <c r="L16" s="314">
        <f>SUMIF(STATSSA_Monthly!$A$3:$A$400,STATSSA_Annual!$A16,STATSSA_Monthly!M$3:M$400)</f>
        <v>41318</v>
      </c>
      <c r="M16" s="314">
        <f>SUMIF(STATSSA_Monthly!$A$3:$A$400,STATSSA_Annual!$A16,STATSSA_Monthly!N$3:N$400)</f>
        <v>22663</v>
      </c>
      <c r="N16" s="314">
        <f>SUMIF(STATSSA_Monthly!$A$3:$A$400,STATSSA_Annual!$A16,STATSSA_Monthly!O$3:O$400)</f>
        <v>1394</v>
      </c>
      <c r="O16" s="314">
        <f>SUMIF(STATSSA_Monthly!$A$3:$A$400,STATSSA_Annual!$A16,STATSSA_Monthly!P$3:P$400)</f>
        <v>5997</v>
      </c>
      <c r="P16" s="314">
        <f>SUMIF(STATSSA_Monthly!$A$3:$A$400,STATSSA_Annual!$A16,STATSSA_Monthly!Q$3:Q$400)</f>
        <v>15125</v>
      </c>
      <c r="Q16" s="314">
        <f>SUMIF(STATSSA_Monthly!$A$3:$A$400,STATSSA_Annual!$A16,STATSSA_Monthly!R$3:R$400)</f>
        <v>6164</v>
      </c>
      <c r="R16" s="314">
        <f>SUMIF(STATSSA_Monthly!$A$3:$A$400,STATSSA_Annual!$A16,STATSSA_Monthly!S$3:S$400)</f>
        <v>19258</v>
      </c>
      <c r="S16" s="314">
        <f>SUMIF(STATSSA_Monthly!$A$3:$A$400,STATSSA_Annual!$A16,STATSSA_Monthly!T$3:T$400)</f>
        <v>42563</v>
      </c>
      <c r="T16" s="314">
        <f>SUMIF(STATSSA_Monthly!$A$3:$A$400,STATSSA_Annual!$A16,STATSSA_Monthly!U$3:U$400)</f>
        <v>14607</v>
      </c>
      <c r="U16" s="314">
        <f>SUMIF(STATSSA_Monthly!$A$3:$A$400,STATSSA_Annual!$A16,STATSSA_Monthly!V$3:V$400)</f>
        <v>20074</v>
      </c>
      <c r="V16" s="314">
        <f>SUMIF(STATSSA_Monthly!$A$3:$A$400,STATSSA_Annual!$A16,STATSSA_Monthly!W$3:W$400)</f>
        <v>76180</v>
      </c>
      <c r="W16" s="314">
        <f>SUMIF(STATSSA_Monthly!$A$3:$A$400,STATSSA_Annual!$A16,STATSSA_Monthly!X$3:X$400)</f>
        <v>74926</v>
      </c>
      <c r="X16" s="314">
        <f>SUMIF(STATSSA_Monthly!$A$3:$A$400,STATSSA_Annual!$A16,STATSSA_Monthly!Y$3:Y$400)</f>
        <v>240336</v>
      </c>
      <c r="Y16" s="314">
        <f>SUMIF(STATSSA_Monthly!$A$3:$A$400,STATSSA_Annual!$A16,STATSSA_Monthly!Z$3:Z$400)</f>
        <v>24839</v>
      </c>
      <c r="Z16" s="314">
        <f>SUMIF(STATSSA_Monthly!$A$3:$A$400,STATSSA_Annual!$A16,STATSSA_Monthly!AA$3:AA$400)</f>
        <v>7477</v>
      </c>
      <c r="AA16" s="314">
        <f>SUMIF(STATSSA_Monthly!$A$3:$A$400,STATSSA_Annual!$A16,STATSSA_Monthly!AB$3:AB$400)</f>
        <v>88543</v>
      </c>
      <c r="AB16" s="314">
        <f>SUMIF(STATSSA_Monthly!$A$3:$A$400,STATSSA_Annual!$A16,STATSSA_Monthly!AC$3:AC$400)</f>
        <v>16854</v>
      </c>
      <c r="AC16" s="314">
        <f>SUMIF(STATSSA_Monthly!$A$3:$A$400,STATSSA_Annual!$A16,STATSSA_Monthly!AD$3:AD$400)</f>
        <v>16426</v>
      </c>
      <c r="AD16" s="314">
        <f>SUMIF(STATSSA_Monthly!$A$3:$A$400,STATSSA_Annual!$A16,STATSSA_Monthly!AE$3:AE$400)</f>
        <v>350205</v>
      </c>
      <c r="AE16" s="314">
        <f>SUMIF(STATSSA_Monthly!$A$3:$A$400,STATSSA_Annual!$A16,STATSSA_Monthly!AF$3:AF$400)</f>
        <v>185493</v>
      </c>
      <c r="AF16" s="314">
        <f>SUMIF(STATSSA_Monthly!$A$3:$A$400,STATSSA_Annual!$A16,STATSSA_Monthly!AG$3:AG$400)</f>
        <v>247625</v>
      </c>
      <c r="AG16" s="314">
        <f>SUMIF(STATSSA_Monthly!$A$3:$A$400,STATSSA_Annual!$A16,STATSSA_Monthly!AH$3:AH$400)</f>
        <v>190367</v>
      </c>
      <c r="AH16" s="314">
        <f>SUMIF(STATSSA_Monthly!$A$3:$A$400,STATSSA_Annual!$A16,STATSSA_Monthly!AI$3:AI$400)</f>
        <v>28229</v>
      </c>
      <c r="AI16" s="314">
        <f>SUMIF(STATSSA_Monthly!$A$3:$A$400,STATSSA_Annual!$A16,STATSSA_Monthly!AJ$3:AJ$400)</f>
        <v>69339</v>
      </c>
      <c r="AJ16" s="314">
        <f>SUMIF(STATSSA_Monthly!$A$3:$A$400,STATSSA_Annual!$A16,STATSSA_Monthly!AK$3:AK$400)</f>
        <v>29353</v>
      </c>
      <c r="AK16" s="314">
        <f>SUMIF(STATSSA_Monthly!$A$3:$A$400,STATSSA_Annual!$A16,STATSSA_Monthly!AL$3:AL$400)</f>
        <v>32032</v>
      </c>
      <c r="AL16" s="314">
        <f>SUMIF(STATSSA_Monthly!$A$3:$A$400,STATSSA_Annual!$A16,STATSSA_Monthly!AM$3:AM$400)</f>
        <v>17563</v>
      </c>
      <c r="AM16" s="314">
        <f>SUMIF(STATSSA_Monthly!$A$3:$A$400,STATSSA_Annual!$A16,STATSSA_Monthly!AN$3:AN$400)</f>
        <v>10666</v>
      </c>
      <c r="AN16" s="314">
        <f>SUMIF(STATSSA_Monthly!$A$3:$A$400,STATSSA_Annual!$A16,STATSSA_Monthly!AO$3:AO$400)</f>
        <v>4660</v>
      </c>
      <c r="AO16" s="314">
        <f>SUMIF(STATSSA_Monthly!$A$3:$A$400,STATSSA_Annual!$A16,STATSSA_Monthly!AP$3:AP$400)</f>
        <v>1209</v>
      </c>
    </row>
    <row r="17" spans="1:41">
      <c r="A17" s="544">
        <f t="shared" si="1"/>
        <v>1999</v>
      </c>
      <c r="B17" s="314">
        <f>SUMIF(STATSSA_Monthly!$A$3:$A$500,STATSSA_Annual!$A17,STATSSA_Monthly!C$3:C$500)</f>
        <v>436550</v>
      </c>
      <c r="C17" s="314">
        <f>SUMIF(STATSSA_Monthly!$A$3:$A$500,STATSSA_Annual!$A17,STATSSA_Monthly!D$3:D$500)</f>
        <v>414268</v>
      </c>
      <c r="D17" s="314">
        <f>SUMIF(STATSSA_Monthly!$A$3:$A$500,STATSSA_Annual!$A17,STATSSA_Monthly!E$3:E$500)</f>
        <v>834694</v>
      </c>
      <c r="E17" s="314">
        <f>SUMIF(STATSSA_Monthly!$A$3:$A$500,STATSSA_Annual!$A17,STATSSA_Monthly!F$3:F$500)</f>
        <v>350345</v>
      </c>
      <c r="F17" s="314">
        <f>SUMIF(STATSSA_Monthly!$A$3:$A$500,STATSSA_Annual!$A17,STATSSA_Monthly!G$3:G$500)</f>
        <v>139376</v>
      </c>
      <c r="G17" s="314">
        <f>SUMIF(STATSSA_Monthly!$A$3:$A$500,STATSSA_Annual!$A17,STATSSA_Monthly!H$3:H$500)</f>
        <v>74549</v>
      </c>
      <c r="H17" s="314">
        <f>SUMIF(STATSSA_Monthly!$A$3:$A$500,STATSSA_Annual!$A17,STATSSA_Monthly!I$3:I$500)</f>
        <v>315394</v>
      </c>
      <c r="I17" s="314">
        <f>SUMIF(STATSSA_Monthly!$A$3:$A$500,STATSSA_Annual!$A17,STATSSA_Monthly!J$3:J$500)</f>
        <v>128069</v>
      </c>
      <c r="J17" s="314">
        <f>SUMIF(STATSSA_Monthly!$A$3:$A$400,STATSSA_Annual!$A17,STATSSA_Monthly!K$3:K$400)</f>
        <v>5614</v>
      </c>
      <c r="K17" s="314">
        <f>SUMIF(STATSSA_Monthly!$A$3:$A$400,STATSSA_Annual!$A17,STATSSA_Monthly!L$3:L$400)</f>
        <v>38725</v>
      </c>
      <c r="L17" s="314">
        <f>SUMIF(STATSSA_Monthly!$A$3:$A$400,STATSSA_Annual!$A17,STATSSA_Monthly!M$3:M$400)</f>
        <v>34730</v>
      </c>
      <c r="M17" s="314">
        <f>SUMIF(STATSSA_Monthly!$A$3:$A$400,STATSSA_Annual!$A17,STATSSA_Monthly!N$3:N$400)</f>
        <v>24730</v>
      </c>
      <c r="N17" s="314">
        <f>SUMIF(STATSSA_Monthly!$A$3:$A$400,STATSSA_Annual!$A17,STATSSA_Monthly!O$3:O$400)</f>
        <v>0</v>
      </c>
      <c r="O17" s="314">
        <f>SUMIF(STATSSA_Monthly!$A$3:$A$400,STATSSA_Annual!$A17,STATSSA_Monthly!P$3:P$400)</f>
        <v>5473</v>
      </c>
      <c r="P17" s="314">
        <f>SUMIF(STATSSA_Monthly!$A$3:$A$400,STATSSA_Annual!$A17,STATSSA_Monthly!Q$3:Q$400)</f>
        <v>7907</v>
      </c>
      <c r="Q17" s="314">
        <f>SUMIF(STATSSA_Monthly!$A$3:$A$400,STATSSA_Annual!$A17,STATSSA_Monthly!R$3:R$400)</f>
        <v>8550</v>
      </c>
      <c r="R17" s="314">
        <f>SUMIF(STATSSA_Monthly!$A$3:$A$400,STATSSA_Annual!$A17,STATSSA_Monthly!S$3:S$400)</f>
        <v>19644</v>
      </c>
      <c r="S17" s="314">
        <f>SUMIF(STATSSA_Monthly!$A$3:$A$400,STATSSA_Annual!$A17,STATSSA_Monthly!T$3:T$400)</f>
        <v>28896</v>
      </c>
      <c r="T17" s="314">
        <f>SUMIF(STATSSA_Monthly!$A$3:$A$400,STATSSA_Annual!$A17,STATSSA_Monthly!U$3:U$400)</f>
        <v>4287</v>
      </c>
      <c r="U17" s="314">
        <f>SUMIF(STATSSA_Monthly!$A$3:$A$400,STATSSA_Annual!$A17,STATSSA_Monthly!V$3:V$400)</f>
        <v>10020</v>
      </c>
      <c r="V17" s="314">
        <f>SUMIF(STATSSA_Monthly!$A$3:$A$400,STATSSA_Annual!$A17,STATSSA_Monthly!W$3:W$400)</f>
        <v>75120</v>
      </c>
      <c r="W17" s="314">
        <f>SUMIF(STATSSA_Monthly!$A$3:$A$400,STATSSA_Annual!$A17,STATSSA_Monthly!X$3:X$400)</f>
        <v>49205</v>
      </c>
      <c r="X17" s="314">
        <f>SUMIF(STATSSA_Monthly!$A$3:$A$400,STATSSA_Annual!$A17,STATSSA_Monthly!Y$3:Y$400)</f>
        <v>174391</v>
      </c>
      <c r="Y17" s="314">
        <f>SUMIF(STATSSA_Monthly!$A$3:$A$400,STATSSA_Annual!$A17,STATSSA_Monthly!Z$3:Z$400)</f>
        <v>48504</v>
      </c>
      <c r="Z17" s="314">
        <f>SUMIF(STATSSA_Monthly!$A$3:$A$400,STATSSA_Annual!$A17,STATSSA_Monthly!AA$3:AA$400)</f>
        <v>11923</v>
      </c>
      <c r="AA17" s="314">
        <f>SUMIF(STATSSA_Monthly!$A$3:$A$400,STATSSA_Annual!$A17,STATSSA_Monthly!AB$3:AB$400)</f>
        <v>16842</v>
      </c>
      <c r="AB17" s="314">
        <f>SUMIF(STATSSA_Monthly!$A$3:$A$400,STATSSA_Annual!$A17,STATSSA_Monthly!AC$3:AC$400)</f>
        <v>11517</v>
      </c>
      <c r="AC17" s="314">
        <f>SUMIF(STATSSA_Monthly!$A$3:$A$400,STATSSA_Annual!$A17,STATSSA_Monthly!AD$3:AD$400)</f>
        <v>19646</v>
      </c>
      <c r="AD17" s="314">
        <f>SUMIF(STATSSA_Monthly!$A$3:$A$400,STATSSA_Annual!$A17,STATSSA_Monthly!AE$3:AE$400)</f>
        <v>174184</v>
      </c>
      <c r="AE17" s="314">
        <f>SUMIF(STATSSA_Monthly!$A$3:$A$400,STATSSA_Annual!$A17,STATSSA_Monthly!AF$3:AF$400)</f>
        <v>111405</v>
      </c>
      <c r="AF17" s="314">
        <f>SUMIF(STATSSA_Monthly!$A$3:$A$400,STATSSA_Annual!$A17,STATSSA_Monthly!AG$3:AG$400)</f>
        <v>226115</v>
      </c>
      <c r="AG17" s="314">
        <f>SUMIF(STATSSA_Monthly!$A$3:$A$400,STATSSA_Annual!$A17,STATSSA_Monthly!AH$3:AH$400)</f>
        <v>86155</v>
      </c>
      <c r="AH17" s="314">
        <f>SUMIF(STATSSA_Monthly!$A$3:$A$400,STATSSA_Annual!$A17,STATSSA_Monthly!AI$3:AI$400)</f>
        <v>9096</v>
      </c>
      <c r="AI17" s="314">
        <f>SUMIF(STATSSA_Monthly!$A$3:$A$400,STATSSA_Annual!$A17,STATSSA_Monthly!AJ$3:AJ$400)</f>
        <v>81467</v>
      </c>
      <c r="AJ17" s="314">
        <f>SUMIF(STATSSA_Monthly!$A$3:$A$400,STATSSA_Annual!$A17,STATSSA_Monthly!AK$3:AK$400)</f>
        <v>55133</v>
      </c>
      <c r="AK17" s="314">
        <f>SUMIF(STATSSA_Monthly!$A$3:$A$400,STATSSA_Annual!$A17,STATSSA_Monthly!AL$3:AL$400)</f>
        <v>23230</v>
      </c>
      <c r="AL17" s="314">
        <f>SUMIF(STATSSA_Monthly!$A$3:$A$400,STATSSA_Annual!$A17,STATSSA_Monthly!AM$3:AM$400)</f>
        <v>1593</v>
      </c>
      <c r="AM17" s="314">
        <f>SUMIF(STATSSA_Monthly!$A$3:$A$400,STATSSA_Annual!$A17,STATSSA_Monthly!AN$3:AN$400)</f>
        <v>7706</v>
      </c>
      <c r="AN17" s="314">
        <f>SUMIF(STATSSA_Monthly!$A$3:$A$400,STATSSA_Annual!$A17,STATSSA_Monthly!AO$3:AO$400)</f>
        <v>5220</v>
      </c>
      <c r="AO17" s="314">
        <f>SUMIF(STATSSA_Monthly!$A$3:$A$400,STATSSA_Annual!$A17,STATSSA_Monthly!AP$3:AP$400)</f>
        <v>1441</v>
      </c>
    </row>
    <row r="18" spans="1:41">
      <c r="A18" s="544">
        <f t="shared" si="1"/>
        <v>2000</v>
      </c>
      <c r="B18" s="314">
        <f>SUMIF(STATSSA_Monthly!$A$3:$A$500,STATSSA_Annual!$A18,STATSSA_Monthly!C$3:C$500)</f>
        <v>589782</v>
      </c>
      <c r="C18" s="314">
        <f>SUMIF(STATSSA_Monthly!$A$3:$A$500,STATSSA_Annual!$A18,STATSSA_Monthly!D$3:D$500)</f>
        <v>522343</v>
      </c>
      <c r="D18" s="314">
        <f>SUMIF(STATSSA_Monthly!$A$3:$A$500,STATSSA_Annual!$A18,STATSSA_Monthly!E$3:E$500)</f>
        <v>704633</v>
      </c>
      <c r="E18" s="314">
        <f>SUMIF(STATSSA_Monthly!$A$3:$A$500,STATSSA_Annual!$A18,STATSSA_Monthly!F$3:F$500)</f>
        <v>273610</v>
      </c>
      <c r="F18" s="314">
        <f>SUMIF(STATSSA_Monthly!$A$3:$A$500,STATSSA_Annual!$A18,STATSSA_Monthly!G$3:G$500)</f>
        <v>143440</v>
      </c>
      <c r="G18" s="314">
        <f>SUMIF(STATSSA_Monthly!$A$3:$A$500,STATSSA_Annual!$A18,STATSSA_Monthly!H$3:H$500)</f>
        <v>77981</v>
      </c>
      <c r="H18" s="314">
        <f>SUMIF(STATSSA_Monthly!$A$3:$A$500,STATSSA_Annual!$A18,STATSSA_Monthly!I$3:I$500)</f>
        <v>213670</v>
      </c>
      <c r="I18" s="314">
        <f>SUMIF(STATSSA_Monthly!$A$3:$A$500,STATSSA_Annual!$A18,STATSSA_Monthly!J$3:J$500)</f>
        <v>115067</v>
      </c>
      <c r="J18" s="314">
        <f>SUMIF(STATSSA_Monthly!$A$3:$A$400,STATSSA_Annual!$A18,STATSSA_Monthly!K$3:K$400)</f>
        <v>2810</v>
      </c>
      <c r="K18" s="314">
        <f>SUMIF(STATSSA_Monthly!$A$3:$A$400,STATSSA_Annual!$A18,STATSSA_Monthly!L$3:L$400)</f>
        <v>66978</v>
      </c>
      <c r="L18" s="314">
        <f>SUMIF(STATSSA_Monthly!$A$3:$A$400,STATSSA_Annual!$A18,STATSSA_Monthly!M$3:M$400)</f>
        <v>37431</v>
      </c>
      <c r="M18" s="314">
        <f>SUMIF(STATSSA_Monthly!$A$3:$A$400,STATSSA_Annual!$A18,STATSSA_Monthly!N$3:N$400)</f>
        <v>9128</v>
      </c>
      <c r="N18" s="314">
        <f>SUMIF(STATSSA_Monthly!$A$3:$A$400,STATSSA_Annual!$A18,STATSSA_Monthly!O$3:O$400)</f>
        <v>0</v>
      </c>
      <c r="O18" s="314">
        <f>SUMIF(STATSSA_Monthly!$A$3:$A$400,STATSSA_Annual!$A18,STATSSA_Monthly!P$3:P$400)</f>
        <v>9543</v>
      </c>
      <c r="P18" s="314">
        <f>SUMIF(STATSSA_Monthly!$A$3:$A$400,STATSSA_Annual!$A18,STATSSA_Monthly!Q$3:Q$400)</f>
        <v>8239</v>
      </c>
      <c r="Q18" s="314">
        <f>SUMIF(STATSSA_Monthly!$A$3:$A$400,STATSSA_Annual!$A18,STATSSA_Monthly!R$3:R$400)</f>
        <v>1869</v>
      </c>
      <c r="R18" s="314">
        <f>SUMIF(STATSSA_Monthly!$A$3:$A$400,STATSSA_Annual!$A18,STATSSA_Monthly!S$3:S$400)</f>
        <v>7362</v>
      </c>
      <c r="S18" s="314">
        <f>SUMIF(STATSSA_Monthly!$A$3:$A$400,STATSSA_Annual!$A18,STATSSA_Monthly!T$3:T$400)</f>
        <v>18138</v>
      </c>
      <c r="T18" s="314">
        <f>SUMIF(STATSSA_Monthly!$A$3:$A$400,STATSSA_Annual!$A18,STATSSA_Monthly!U$3:U$400)</f>
        <v>17928</v>
      </c>
      <c r="U18" s="314">
        <f>SUMIF(STATSSA_Monthly!$A$3:$A$400,STATSSA_Annual!$A18,STATSSA_Monthly!V$3:V$400)</f>
        <v>6258</v>
      </c>
      <c r="V18" s="314">
        <f>SUMIF(STATSSA_Monthly!$A$3:$A$400,STATSSA_Annual!$A18,STATSSA_Monthly!W$3:W$400)</f>
        <v>70659</v>
      </c>
      <c r="W18" s="314">
        <f>SUMIF(STATSSA_Monthly!$A$3:$A$400,STATSSA_Annual!$A18,STATSSA_Monthly!X$3:X$400)</f>
        <v>33801</v>
      </c>
      <c r="X18" s="314">
        <f>SUMIF(STATSSA_Monthly!$A$3:$A$400,STATSSA_Annual!$A18,STATSSA_Monthly!Y$3:Y$400)</f>
        <v>194909</v>
      </c>
      <c r="Y18" s="314">
        <f>SUMIF(STATSSA_Monthly!$A$3:$A$400,STATSSA_Annual!$A18,STATSSA_Monthly!Z$3:Z$400)</f>
        <v>27142</v>
      </c>
      <c r="Z18" s="314">
        <f>SUMIF(STATSSA_Monthly!$A$3:$A$400,STATSSA_Annual!$A18,STATSSA_Monthly!AA$3:AA$400)</f>
        <v>12362</v>
      </c>
      <c r="AA18" s="314">
        <f>SUMIF(STATSSA_Monthly!$A$3:$A$400,STATSSA_Annual!$A18,STATSSA_Monthly!AB$3:AB$400)</f>
        <v>26126</v>
      </c>
      <c r="AB18" s="314">
        <f>SUMIF(STATSSA_Monthly!$A$3:$A$400,STATSSA_Annual!$A18,STATSSA_Monthly!AC$3:AC$400)</f>
        <v>16299</v>
      </c>
      <c r="AC18" s="314">
        <f>SUMIF(STATSSA_Monthly!$A$3:$A$400,STATSSA_Annual!$A18,STATSSA_Monthly!AD$3:AD$400)</f>
        <v>12867</v>
      </c>
      <c r="AD18" s="314">
        <f>SUMIF(STATSSA_Monthly!$A$3:$A$400,STATSSA_Annual!$A18,STATSSA_Monthly!AE$3:AE$400)</f>
        <v>340637</v>
      </c>
      <c r="AE18" s="314">
        <f>SUMIF(STATSSA_Monthly!$A$3:$A$400,STATSSA_Annual!$A18,STATSSA_Monthly!AF$3:AF$400)</f>
        <v>268178</v>
      </c>
      <c r="AF18" s="314">
        <f>SUMIF(STATSSA_Monthly!$A$3:$A$400,STATSSA_Annual!$A18,STATSSA_Monthly!AG$3:AG$400)</f>
        <v>189224</v>
      </c>
      <c r="AG18" s="314">
        <f>SUMIF(STATSSA_Monthly!$A$3:$A$400,STATSSA_Annual!$A18,STATSSA_Monthly!AH$3:AH$400)</f>
        <v>91983</v>
      </c>
      <c r="AH18" s="314">
        <f>SUMIF(STATSSA_Monthly!$A$3:$A$400,STATSSA_Annual!$A18,STATSSA_Monthly!AI$3:AI$400)</f>
        <v>9241</v>
      </c>
      <c r="AI18" s="314">
        <f>SUMIF(STATSSA_Monthly!$A$3:$A$400,STATSSA_Annual!$A18,STATSSA_Monthly!AJ$3:AJ$400)</f>
        <v>8860</v>
      </c>
      <c r="AJ18" s="314">
        <f>SUMIF(STATSSA_Monthly!$A$3:$A$400,STATSSA_Annual!$A18,STATSSA_Monthly!AK$3:AK$400)</f>
        <v>20284</v>
      </c>
      <c r="AK18" s="314">
        <f>SUMIF(STATSSA_Monthly!$A$3:$A$400,STATSSA_Annual!$A18,STATSSA_Monthly!AL$3:AL$400)</f>
        <v>7145</v>
      </c>
      <c r="AL18" s="314">
        <f>SUMIF(STATSSA_Monthly!$A$3:$A$400,STATSSA_Annual!$A18,STATSSA_Monthly!AM$3:AM$400)</f>
        <v>3271</v>
      </c>
      <c r="AM18" s="314">
        <f>SUMIF(STATSSA_Monthly!$A$3:$A$400,STATSSA_Annual!$A18,STATSSA_Monthly!AN$3:AN$400)</f>
        <v>12738</v>
      </c>
      <c r="AN18" s="314">
        <f>SUMIF(STATSSA_Monthly!$A$3:$A$400,STATSSA_Annual!$A18,STATSSA_Monthly!AO$3:AO$400)</f>
        <v>6649</v>
      </c>
      <c r="AO18" s="314">
        <f>SUMIF(STATSSA_Monthly!$A$3:$A$400,STATSSA_Annual!$A18,STATSSA_Monthly!AP$3:AP$400)</f>
        <v>2151</v>
      </c>
    </row>
    <row r="19" spans="1:41">
      <c r="A19" s="544">
        <f t="shared" si="1"/>
        <v>2001</v>
      </c>
      <c r="B19" s="314">
        <f>SUMIF(STATSSA_Monthly!$A$3:$A$500,STATSSA_Annual!$A19,STATSSA_Monthly!C$3:C$500)</f>
        <v>587789</v>
      </c>
      <c r="C19" s="314">
        <f>SUMIF(STATSSA_Monthly!$A$3:$A$500,STATSSA_Annual!$A19,STATSSA_Monthly!D$3:D$500)</f>
        <v>729953</v>
      </c>
      <c r="D19" s="314">
        <f>SUMIF(STATSSA_Monthly!$A$3:$A$500,STATSSA_Annual!$A19,STATSSA_Monthly!E$3:E$500)</f>
        <v>655613</v>
      </c>
      <c r="E19" s="314">
        <f>SUMIF(STATSSA_Monthly!$A$3:$A$500,STATSSA_Annual!$A19,STATSSA_Monthly!F$3:F$500)</f>
        <v>204703</v>
      </c>
      <c r="F19" s="314">
        <f>SUMIF(STATSSA_Monthly!$A$3:$A$500,STATSSA_Annual!$A19,STATSSA_Monthly!G$3:G$500)</f>
        <v>128099</v>
      </c>
      <c r="G19" s="314">
        <f>SUMIF(STATSSA_Monthly!$A$3:$A$500,STATSSA_Annual!$A19,STATSSA_Monthly!H$3:H$500)</f>
        <v>131713</v>
      </c>
      <c r="H19" s="314">
        <f>SUMIF(STATSSA_Monthly!$A$3:$A$500,STATSSA_Annual!$A19,STATSSA_Monthly!I$3:I$500)</f>
        <v>140922</v>
      </c>
      <c r="I19" s="314">
        <f>SUMIF(STATSSA_Monthly!$A$3:$A$500,STATSSA_Annual!$A19,STATSSA_Monthly!J$3:J$500)</f>
        <v>74597</v>
      </c>
      <c r="J19" s="314">
        <f>SUMIF(STATSSA_Monthly!$A$3:$A$400,STATSSA_Annual!$A19,STATSSA_Monthly!K$3:K$400)</f>
        <v>28383</v>
      </c>
      <c r="K19" s="314">
        <f>SUMIF(STATSSA_Monthly!$A$3:$A$400,STATSSA_Annual!$A19,STATSSA_Monthly!L$3:L$400)</f>
        <v>35920</v>
      </c>
      <c r="L19" s="314">
        <f>SUMIF(STATSSA_Monthly!$A$3:$A$400,STATSSA_Annual!$A19,STATSSA_Monthly!M$3:M$400)</f>
        <v>119195</v>
      </c>
      <c r="M19" s="314">
        <f>SUMIF(STATSSA_Monthly!$A$3:$A$400,STATSSA_Annual!$A19,STATSSA_Monthly!N$3:N$400)</f>
        <v>22938</v>
      </c>
      <c r="N19" s="314">
        <f>SUMIF(STATSSA_Monthly!$A$3:$A$400,STATSSA_Annual!$A19,STATSSA_Monthly!O$3:O$400)</f>
        <v>7171</v>
      </c>
      <c r="O19" s="314">
        <f>SUMIF(STATSSA_Monthly!$A$3:$A$400,STATSSA_Annual!$A19,STATSSA_Monthly!P$3:P$400)</f>
        <v>12039</v>
      </c>
      <c r="P19" s="314">
        <f>SUMIF(STATSSA_Monthly!$A$3:$A$400,STATSSA_Annual!$A19,STATSSA_Monthly!Q$3:Q$400)</f>
        <v>854</v>
      </c>
      <c r="Q19" s="314">
        <f>SUMIF(STATSSA_Monthly!$A$3:$A$400,STATSSA_Annual!$A19,STATSSA_Monthly!R$3:R$400)</f>
        <v>1822</v>
      </c>
      <c r="R19" s="314">
        <f>SUMIF(STATSSA_Monthly!$A$3:$A$400,STATSSA_Annual!$A19,STATSSA_Monthly!S$3:S$400)</f>
        <v>18746</v>
      </c>
      <c r="S19" s="314">
        <f>SUMIF(STATSSA_Monthly!$A$3:$A$400,STATSSA_Annual!$A19,STATSSA_Monthly!T$3:T$400)</f>
        <v>12444</v>
      </c>
      <c r="T19" s="314">
        <f>SUMIF(STATSSA_Monthly!$A$3:$A$400,STATSSA_Annual!$A19,STATSSA_Monthly!U$3:U$400)</f>
        <v>14990</v>
      </c>
      <c r="U19" s="314">
        <f>SUMIF(STATSSA_Monthly!$A$3:$A$400,STATSSA_Annual!$A19,STATSSA_Monthly!V$3:V$400)</f>
        <v>14645</v>
      </c>
      <c r="V19" s="314">
        <f>SUMIF(STATSSA_Monthly!$A$3:$A$400,STATSSA_Annual!$A19,STATSSA_Monthly!W$3:W$400)</f>
        <v>76389</v>
      </c>
      <c r="W19" s="314">
        <f>SUMIF(STATSSA_Monthly!$A$3:$A$400,STATSSA_Annual!$A19,STATSSA_Monthly!X$3:X$400)</f>
        <v>364679</v>
      </c>
      <c r="X19" s="314">
        <f>SUMIF(STATSSA_Monthly!$A$3:$A$400,STATSSA_Annual!$A19,STATSSA_Monthly!Y$3:Y$400)</f>
        <v>157258</v>
      </c>
      <c r="Y19" s="314">
        <f>SUMIF(STATSSA_Monthly!$A$3:$A$400,STATSSA_Annual!$A19,STATSSA_Monthly!Z$3:Z$400)</f>
        <v>30084</v>
      </c>
      <c r="Z19" s="314">
        <f>SUMIF(STATSSA_Monthly!$A$3:$A$400,STATSSA_Annual!$A19,STATSSA_Monthly!AA$3:AA$400)</f>
        <v>2008</v>
      </c>
      <c r="AA19" s="314">
        <f>SUMIF(STATSSA_Monthly!$A$3:$A$400,STATSSA_Annual!$A19,STATSSA_Monthly!AB$3:AB$400)</f>
        <v>8755</v>
      </c>
      <c r="AB19" s="314">
        <f>SUMIF(STATSSA_Monthly!$A$3:$A$400,STATSSA_Annual!$A19,STATSSA_Monthly!AC$3:AC$400)</f>
        <v>10155</v>
      </c>
      <c r="AC19" s="314">
        <f>SUMIF(STATSSA_Monthly!$A$3:$A$400,STATSSA_Annual!$A19,STATSSA_Monthly!AD$3:AD$400)</f>
        <v>21039</v>
      </c>
      <c r="AD19" s="314">
        <f>SUMIF(STATSSA_Monthly!$A$3:$A$400,STATSSA_Annual!$A19,STATSSA_Monthly!AE$3:AE$400)</f>
        <v>317058</v>
      </c>
      <c r="AE19" s="314">
        <f>SUMIF(STATSSA_Monthly!$A$3:$A$400,STATSSA_Annual!$A19,STATSSA_Monthly!AF$3:AF$400)</f>
        <v>128582</v>
      </c>
      <c r="AF19" s="314">
        <f>SUMIF(STATSSA_Monthly!$A$3:$A$400,STATSSA_Annual!$A19,STATSSA_Monthly!AG$3:AG$400)</f>
        <v>206929</v>
      </c>
      <c r="AG19" s="314">
        <f>SUMIF(STATSSA_Monthly!$A$3:$A$400,STATSSA_Annual!$A19,STATSSA_Monthly!AH$3:AH$400)</f>
        <v>35920</v>
      </c>
      <c r="AH19" s="314">
        <f>SUMIF(STATSSA_Monthly!$A$3:$A$400,STATSSA_Annual!$A19,STATSSA_Monthly!AI$3:AI$400)</f>
        <v>8937</v>
      </c>
      <c r="AI19" s="314">
        <f>SUMIF(STATSSA_Monthly!$A$3:$A$400,STATSSA_Annual!$A19,STATSSA_Monthly!AJ$3:AJ$400)</f>
        <v>30373</v>
      </c>
      <c r="AJ19" s="314">
        <f>SUMIF(STATSSA_Monthly!$A$3:$A$400,STATSSA_Annual!$A19,STATSSA_Monthly!AK$3:AK$400)</f>
        <v>3453</v>
      </c>
      <c r="AK19" s="314">
        <f>SUMIF(STATSSA_Monthly!$A$3:$A$400,STATSSA_Annual!$A19,STATSSA_Monthly!AL$3:AL$400)</f>
        <v>3234</v>
      </c>
      <c r="AL19" s="314">
        <f>SUMIF(STATSSA_Monthly!$A$3:$A$400,STATSSA_Annual!$A19,STATSSA_Monthly!AM$3:AM$400)</f>
        <v>998</v>
      </c>
      <c r="AM19" s="314">
        <f>SUMIF(STATSSA_Monthly!$A$3:$A$400,STATSSA_Annual!$A19,STATSSA_Monthly!AN$3:AN$400)</f>
        <v>5448</v>
      </c>
      <c r="AN19" s="314">
        <f>SUMIF(STATSSA_Monthly!$A$3:$A$400,STATSSA_Annual!$A19,STATSSA_Monthly!AO$3:AO$400)</f>
        <v>1857</v>
      </c>
      <c r="AO19" s="314">
        <f>SUMIF(STATSSA_Monthly!$A$3:$A$400,STATSSA_Annual!$A19,STATSSA_Monthly!AP$3:AP$400)</f>
        <v>424</v>
      </c>
    </row>
    <row r="20" spans="1:41">
      <c r="A20" s="544">
        <f t="shared" si="1"/>
        <v>2002</v>
      </c>
      <c r="B20" s="314">
        <f>SUMIF(STATSSA_Monthly!$A$3:$A$500,STATSSA_Annual!$A20,STATSSA_Monthly!C$3:C$500)</f>
        <v>599460</v>
      </c>
      <c r="C20" s="314">
        <f>SUMIF(STATSSA_Monthly!$A$3:$A$500,STATSSA_Annual!$A20,STATSSA_Monthly!D$3:D$500)</f>
        <v>281272</v>
      </c>
      <c r="D20" s="314">
        <f>SUMIF(STATSSA_Monthly!$A$3:$A$500,STATSSA_Annual!$A20,STATSSA_Monthly!E$3:E$500)</f>
        <v>582700</v>
      </c>
      <c r="E20" s="314">
        <f>SUMIF(STATSSA_Monthly!$A$3:$A$500,STATSSA_Annual!$A20,STATSSA_Monthly!F$3:F$500)</f>
        <v>231678</v>
      </c>
      <c r="F20" s="314">
        <f>SUMIF(STATSSA_Monthly!$A$3:$A$500,STATSSA_Annual!$A20,STATSSA_Monthly!G$3:G$500)</f>
        <v>102365</v>
      </c>
      <c r="G20" s="314">
        <f>SUMIF(STATSSA_Monthly!$A$3:$A$500,STATSSA_Annual!$A20,STATSSA_Monthly!H$3:H$500)</f>
        <v>85209</v>
      </c>
      <c r="H20" s="314">
        <f>SUMIF(STATSSA_Monthly!$A$3:$A$500,STATSSA_Annual!$A20,STATSSA_Monthly!I$3:I$500)</f>
        <v>155913</v>
      </c>
      <c r="I20" s="314">
        <f>SUMIF(STATSSA_Monthly!$A$3:$A$500,STATSSA_Annual!$A20,STATSSA_Monthly!J$3:J$500)</f>
        <v>94817</v>
      </c>
      <c r="J20" s="314">
        <f>SUMIF(STATSSA_Monthly!$A$3:$A$400,STATSSA_Annual!$A20,STATSSA_Monthly!K$3:K$400)</f>
        <v>6334</v>
      </c>
      <c r="K20" s="314">
        <f>SUMIF(STATSSA_Monthly!$A$3:$A$400,STATSSA_Annual!$A20,STATSSA_Monthly!L$3:L$400)</f>
        <v>9071</v>
      </c>
      <c r="L20" s="314">
        <f>SUMIF(STATSSA_Monthly!$A$3:$A$400,STATSSA_Annual!$A20,STATSSA_Monthly!M$3:M$400)</f>
        <v>37525</v>
      </c>
      <c r="M20" s="314">
        <f>SUMIF(STATSSA_Monthly!$A$3:$A$400,STATSSA_Annual!$A20,STATSSA_Monthly!N$3:N$400)</f>
        <v>4832</v>
      </c>
      <c r="N20" s="314">
        <f>SUMIF(STATSSA_Monthly!$A$3:$A$400,STATSSA_Annual!$A20,STATSSA_Monthly!O$3:O$400)</f>
        <v>0</v>
      </c>
      <c r="O20" s="314">
        <f>SUMIF(STATSSA_Monthly!$A$3:$A$400,STATSSA_Annual!$A20,STATSSA_Monthly!P$3:P$400)</f>
        <v>784</v>
      </c>
      <c r="P20" s="314">
        <f>SUMIF(STATSSA_Monthly!$A$3:$A$400,STATSSA_Annual!$A20,STATSSA_Monthly!Q$3:Q$400)</f>
        <v>1572</v>
      </c>
      <c r="Q20" s="314">
        <f>SUMIF(STATSSA_Monthly!$A$3:$A$400,STATSSA_Annual!$A20,STATSSA_Monthly!R$3:R$400)</f>
        <v>1129</v>
      </c>
      <c r="R20" s="314">
        <f>SUMIF(STATSSA_Monthly!$A$3:$A$400,STATSSA_Annual!$A20,STATSSA_Monthly!S$3:S$400)</f>
        <v>10135</v>
      </c>
      <c r="S20" s="314">
        <f>SUMIF(STATSSA_Monthly!$A$3:$A$400,STATSSA_Annual!$A20,STATSSA_Monthly!T$3:T$400)</f>
        <v>12017</v>
      </c>
      <c r="T20" s="314">
        <f>SUMIF(STATSSA_Monthly!$A$3:$A$400,STATSSA_Annual!$A20,STATSSA_Monthly!U$3:U$400)</f>
        <v>8045</v>
      </c>
      <c r="U20" s="314">
        <f>SUMIF(STATSSA_Monthly!$A$3:$A$400,STATSSA_Annual!$A20,STATSSA_Monthly!V$3:V$400)</f>
        <v>14809</v>
      </c>
      <c r="V20" s="314">
        <f>SUMIF(STATSSA_Monthly!$A$3:$A$400,STATSSA_Annual!$A20,STATSSA_Monthly!W$3:W$400)</f>
        <v>93773</v>
      </c>
      <c r="W20" s="314">
        <f>SUMIF(STATSSA_Monthly!$A$3:$A$400,STATSSA_Annual!$A20,STATSSA_Monthly!X$3:X$400)</f>
        <v>77834</v>
      </c>
      <c r="X20" s="314">
        <f>SUMIF(STATSSA_Monthly!$A$3:$A$400,STATSSA_Annual!$A20,STATSSA_Monthly!Y$3:Y$400)</f>
        <v>167347</v>
      </c>
      <c r="Y20" s="314">
        <f>SUMIF(STATSSA_Monthly!$A$3:$A$400,STATSSA_Annual!$A20,STATSSA_Monthly!Z$3:Z$400)</f>
        <v>42714</v>
      </c>
      <c r="Z20" s="314">
        <f>SUMIF(STATSSA_Monthly!$A$3:$A$400,STATSSA_Annual!$A20,STATSSA_Monthly!AA$3:AA$400)</f>
        <v>6729</v>
      </c>
      <c r="AA20" s="314">
        <f>SUMIF(STATSSA_Monthly!$A$3:$A$400,STATSSA_Annual!$A20,STATSSA_Monthly!AB$3:AB$400)</f>
        <v>16077</v>
      </c>
      <c r="AB20" s="314">
        <f>SUMIF(STATSSA_Monthly!$A$3:$A$400,STATSSA_Annual!$A20,STATSSA_Monthly!AC$3:AC$400)</f>
        <v>13760</v>
      </c>
      <c r="AC20" s="314">
        <f>SUMIF(STATSSA_Monthly!$A$3:$A$400,STATSSA_Annual!$A20,STATSSA_Monthly!AD$3:AD$400)</f>
        <v>6599</v>
      </c>
      <c r="AD20" s="314">
        <f>SUMIF(STATSSA_Monthly!$A$3:$A$400,STATSSA_Annual!$A20,STATSSA_Monthly!AE$3:AE$400)</f>
        <v>376739</v>
      </c>
      <c r="AE20" s="314">
        <f>SUMIF(STATSSA_Monthly!$A$3:$A$400,STATSSA_Annual!$A20,STATSSA_Monthly!AF$3:AF$400)</f>
        <v>62173</v>
      </c>
      <c r="AF20" s="314">
        <f>SUMIF(STATSSA_Monthly!$A$3:$A$400,STATSSA_Annual!$A20,STATSSA_Monthly!AG$3:AG$400)</f>
        <v>188421</v>
      </c>
      <c r="AG20" s="314">
        <f>SUMIF(STATSSA_Monthly!$A$3:$A$400,STATSSA_Annual!$A20,STATSSA_Monthly!AH$3:AH$400)</f>
        <v>51183</v>
      </c>
      <c r="AH20" s="314">
        <f>SUMIF(STATSSA_Monthly!$A$3:$A$400,STATSSA_Annual!$A20,STATSSA_Monthly!AI$3:AI$400)</f>
        <v>2969</v>
      </c>
      <c r="AI20" s="314">
        <f>SUMIF(STATSSA_Monthly!$A$3:$A$400,STATSSA_Annual!$A20,STATSSA_Monthly!AJ$3:AJ$400)</f>
        <v>9576</v>
      </c>
      <c r="AJ20" s="314">
        <f>SUMIF(STATSSA_Monthly!$A$3:$A$400,STATSSA_Annual!$A20,STATSSA_Monthly!AK$3:AK$400)</f>
        <v>8794</v>
      </c>
      <c r="AK20" s="314">
        <f>SUMIF(STATSSA_Monthly!$A$3:$A$400,STATSSA_Annual!$A20,STATSSA_Monthly!AL$3:AL$400)</f>
        <v>14854</v>
      </c>
      <c r="AL20" s="314">
        <f>SUMIF(STATSSA_Monthly!$A$3:$A$400,STATSSA_Annual!$A20,STATSSA_Monthly!AM$3:AM$400)</f>
        <v>416</v>
      </c>
      <c r="AM20" s="314">
        <f>SUMIF(STATSSA_Monthly!$A$3:$A$400,STATSSA_Annual!$A20,STATSSA_Monthly!AN$3:AN$400)</f>
        <v>8531</v>
      </c>
      <c r="AN20" s="314">
        <f>SUMIF(STATSSA_Monthly!$A$3:$A$400,STATSSA_Annual!$A20,STATSSA_Monthly!AO$3:AO$400)</f>
        <v>1323</v>
      </c>
      <c r="AO20" s="314">
        <f>SUMIF(STATSSA_Monthly!$A$3:$A$400,STATSSA_Annual!$A20,STATSSA_Monthly!AP$3:AP$400)</f>
        <v>741</v>
      </c>
    </row>
    <row r="21" spans="1:41">
      <c r="A21" s="544">
        <f t="shared" si="1"/>
        <v>2003</v>
      </c>
      <c r="B21" s="314">
        <f>SUMIF(STATSSA_Monthly!$A$3:$A$500,STATSSA_Annual!$A21,STATSSA_Monthly!C$3:C$500)</f>
        <v>481277</v>
      </c>
      <c r="C21" s="314">
        <f>SUMIF(STATSSA_Monthly!$A$3:$A$500,STATSSA_Annual!$A21,STATSSA_Monthly!D$3:D$500)</f>
        <v>291139</v>
      </c>
      <c r="D21" s="314">
        <f>SUMIF(STATSSA_Monthly!$A$3:$A$500,STATSSA_Annual!$A21,STATSSA_Monthly!E$3:E$500)</f>
        <v>534041</v>
      </c>
      <c r="E21" s="314">
        <f>SUMIF(STATSSA_Monthly!$A$3:$A$500,STATSSA_Annual!$A21,STATSSA_Monthly!F$3:F$500)</f>
        <v>379198</v>
      </c>
      <c r="F21" s="314">
        <f>SUMIF(STATSSA_Monthly!$A$3:$A$500,STATSSA_Annual!$A21,STATSSA_Monthly!G$3:G$500)</f>
        <v>119599</v>
      </c>
      <c r="G21" s="314">
        <f>SUMIF(STATSSA_Monthly!$A$3:$A$500,STATSSA_Annual!$A21,STATSSA_Monthly!H$3:H$500)</f>
        <v>28935</v>
      </c>
      <c r="H21" s="314">
        <f>SUMIF(STATSSA_Monthly!$A$3:$A$500,STATSSA_Annual!$A21,STATSSA_Monthly!I$3:I$500)</f>
        <v>166430</v>
      </c>
      <c r="I21" s="314">
        <f>SUMIF(STATSSA_Monthly!$A$3:$A$500,STATSSA_Annual!$A21,STATSSA_Monthly!J$3:J$500)</f>
        <v>44990</v>
      </c>
      <c r="J21" s="314">
        <f>SUMIF(STATSSA_Monthly!$A$3:$A$400,STATSSA_Annual!$A21,STATSSA_Monthly!K$3:K$400)</f>
        <v>4438</v>
      </c>
      <c r="K21" s="314">
        <f>SUMIF(STATSSA_Monthly!$A$3:$A$400,STATSSA_Annual!$A21,STATSSA_Monthly!L$3:L$400)</f>
        <v>17644</v>
      </c>
      <c r="L21" s="314">
        <f>SUMIF(STATSSA_Monthly!$A$3:$A$400,STATSSA_Annual!$A21,STATSSA_Monthly!M$3:M$400)</f>
        <v>17703</v>
      </c>
      <c r="M21" s="314">
        <f>SUMIF(STATSSA_Monthly!$A$3:$A$400,STATSSA_Annual!$A21,STATSSA_Monthly!N$3:N$400)</f>
        <v>11268</v>
      </c>
      <c r="N21" s="314">
        <f>SUMIF(STATSSA_Monthly!$A$3:$A$400,STATSSA_Annual!$A21,STATSSA_Monthly!O$3:O$400)</f>
        <v>134</v>
      </c>
      <c r="O21" s="314">
        <f>SUMIF(STATSSA_Monthly!$A$3:$A$400,STATSSA_Annual!$A21,STATSSA_Monthly!P$3:P$400)</f>
        <v>5875</v>
      </c>
      <c r="P21" s="314">
        <f>SUMIF(STATSSA_Monthly!$A$3:$A$400,STATSSA_Annual!$A21,STATSSA_Monthly!Q$3:Q$400)</f>
        <v>2685</v>
      </c>
      <c r="Q21" s="314">
        <f>SUMIF(STATSSA_Monthly!$A$3:$A$400,STATSSA_Annual!$A21,STATSSA_Monthly!R$3:R$400)</f>
        <v>125</v>
      </c>
      <c r="R21" s="314">
        <f>SUMIF(STATSSA_Monthly!$A$3:$A$400,STATSSA_Annual!$A21,STATSSA_Monthly!S$3:S$400)</f>
        <v>8605</v>
      </c>
      <c r="S21" s="314">
        <f>SUMIF(STATSSA_Monthly!$A$3:$A$400,STATSSA_Annual!$A21,STATSSA_Monthly!T$3:T$400)</f>
        <v>22767</v>
      </c>
      <c r="T21" s="314">
        <f>SUMIF(STATSSA_Monthly!$A$3:$A$400,STATSSA_Annual!$A21,STATSSA_Monthly!U$3:U$400)</f>
        <v>11779</v>
      </c>
      <c r="U21" s="314">
        <f>SUMIF(STATSSA_Monthly!$A$3:$A$400,STATSSA_Annual!$A21,STATSSA_Monthly!V$3:V$400)</f>
        <v>8885</v>
      </c>
      <c r="V21" s="314">
        <f>SUMIF(STATSSA_Monthly!$A$3:$A$400,STATSSA_Annual!$A21,STATSSA_Monthly!W$3:W$400)</f>
        <v>36811</v>
      </c>
      <c r="W21" s="314">
        <f>SUMIF(STATSSA_Monthly!$A$3:$A$400,STATSSA_Annual!$A21,STATSSA_Monthly!X$3:X$400)</f>
        <v>44381</v>
      </c>
      <c r="X21" s="314">
        <f>SUMIF(STATSSA_Monthly!$A$3:$A$400,STATSSA_Annual!$A21,STATSSA_Monthly!Y$3:Y$400)</f>
        <v>94871</v>
      </c>
      <c r="Y21" s="314">
        <f>SUMIF(STATSSA_Monthly!$A$3:$A$400,STATSSA_Annual!$A21,STATSSA_Monthly!Z$3:Z$400)</f>
        <v>27780</v>
      </c>
      <c r="Z21" s="314">
        <f>SUMIF(STATSSA_Monthly!$A$3:$A$400,STATSSA_Annual!$A21,STATSSA_Monthly!AA$3:AA$400)</f>
        <v>8229</v>
      </c>
      <c r="AA21" s="314">
        <f>SUMIF(STATSSA_Monthly!$A$3:$A$400,STATSSA_Annual!$A21,STATSSA_Monthly!AB$3:AB$400)</f>
        <v>17631</v>
      </c>
      <c r="AB21" s="314">
        <f>SUMIF(STATSSA_Monthly!$A$3:$A$400,STATSSA_Annual!$A21,STATSSA_Monthly!AC$3:AC$400)</f>
        <v>17502</v>
      </c>
      <c r="AC21" s="314">
        <f>SUMIF(STATSSA_Monthly!$A$3:$A$400,STATSSA_Annual!$A21,STATSSA_Monthly!AD$3:AD$400)</f>
        <v>13041</v>
      </c>
      <c r="AD21" s="314">
        <f>SUMIF(STATSSA_Monthly!$A$3:$A$400,STATSSA_Annual!$A21,STATSSA_Monthly!AE$3:AE$400)</f>
        <v>292134</v>
      </c>
      <c r="AE21" s="314">
        <f>SUMIF(STATSSA_Monthly!$A$3:$A$400,STATSSA_Annual!$A21,STATSSA_Monthly!AF$3:AF$400)</f>
        <v>91568</v>
      </c>
      <c r="AF21" s="314">
        <f>SUMIF(STATSSA_Monthly!$A$3:$A$400,STATSSA_Annual!$A21,STATSSA_Monthly!AG$3:AG$400)</f>
        <v>202089</v>
      </c>
      <c r="AG21" s="314">
        <f>SUMIF(STATSSA_Monthly!$A$3:$A$400,STATSSA_Annual!$A21,STATSSA_Monthly!AH$3:AH$400)</f>
        <v>271585</v>
      </c>
      <c r="AH21" s="314">
        <f>SUMIF(STATSSA_Monthly!$A$3:$A$400,STATSSA_Annual!$A21,STATSSA_Monthly!AI$3:AI$400)</f>
        <v>6701</v>
      </c>
      <c r="AI21" s="314">
        <f>SUMIF(STATSSA_Monthly!$A$3:$A$400,STATSSA_Annual!$A21,STATSSA_Monthly!AJ$3:AJ$400)</f>
        <v>55837</v>
      </c>
      <c r="AJ21" s="314">
        <f>SUMIF(STATSSA_Monthly!$A$3:$A$400,STATSSA_Annual!$A21,STATSSA_Monthly!AK$3:AK$400)</f>
        <v>19093</v>
      </c>
      <c r="AK21" s="314">
        <f>SUMIF(STATSSA_Monthly!$A$3:$A$400,STATSSA_Annual!$A21,STATSSA_Monthly!AL$3:AL$400)</f>
        <v>371</v>
      </c>
      <c r="AL21" s="314">
        <f>SUMIF(STATSSA_Monthly!$A$3:$A$400,STATSSA_Annual!$A21,STATSSA_Monthly!AM$3:AM$400)</f>
        <v>4626</v>
      </c>
      <c r="AM21" s="314">
        <f>SUMIF(STATSSA_Monthly!$A$3:$A$400,STATSSA_Annual!$A21,STATSSA_Monthly!AN$3:AN$400)</f>
        <v>6501</v>
      </c>
      <c r="AN21" s="314">
        <f>SUMIF(STATSSA_Monthly!$A$3:$A$400,STATSSA_Annual!$A21,STATSSA_Monthly!AO$3:AO$400)</f>
        <v>1889</v>
      </c>
      <c r="AO21" s="314">
        <f>SUMIF(STATSSA_Monthly!$A$3:$A$400,STATSSA_Annual!$A21,STATSSA_Monthly!AP$3:AP$400)</f>
        <v>1153</v>
      </c>
    </row>
    <row r="22" spans="1:41">
      <c r="A22" s="544">
        <f t="shared" si="1"/>
        <v>2004</v>
      </c>
      <c r="B22" s="314">
        <f>SUMIF(STATSSA_Monthly!$A$3:$A$500,STATSSA_Annual!$A22,STATSSA_Monthly!C$3:C$500)</f>
        <v>358212</v>
      </c>
      <c r="C22" s="314">
        <f>SUMIF(STATSSA_Monthly!$A$3:$A$500,STATSSA_Annual!$A22,STATSSA_Monthly!D$3:D$500)</f>
        <v>478270</v>
      </c>
      <c r="D22" s="314">
        <f>SUMIF(STATSSA_Monthly!$A$3:$A$500,STATSSA_Annual!$A22,STATSSA_Monthly!E$3:E$500)</f>
        <v>744809</v>
      </c>
      <c r="E22" s="314">
        <f>SUMIF(STATSSA_Monthly!$A$3:$A$500,STATSSA_Annual!$A22,STATSSA_Monthly!F$3:F$500)</f>
        <v>159992</v>
      </c>
      <c r="F22" s="314">
        <f>SUMIF(STATSSA_Monthly!$A$3:$A$500,STATSSA_Annual!$A22,STATSSA_Monthly!G$3:G$500)</f>
        <v>51924</v>
      </c>
      <c r="G22" s="314">
        <f>SUMIF(STATSSA_Monthly!$A$3:$A$500,STATSSA_Annual!$A22,STATSSA_Monthly!H$3:H$500)</f>
        <v>121470</v>
      </c>
      <c r="H22" s="314">
        <f>SUMIF(STATSSA_Monthly!$A$3:$A$500,STATSSA_Annual!$A22,STATSSA_Monthly!I$3:I$500)</f>
        <v>203491</v>
      </c>
      <c r="I22" s="314">
        <f>SUMIF(STATSSA_Monthly!$A$3:$A$500,STATSSA_Annual!$A22,STATSSA_Monthly!J$3:J$500)</f>
        <v>31793</v>
      </c>
      <c r="J22" s="314">
        <f>SUMIF(STATSSA_Monthly!$A$3:$A$400,STATSSA_Annual!$A22,STATSSA_Monthly!K$3:K$400)</f>
        <v>9674</v>
      </c>
      <c r="K22" s="314">
        <f>SUMIF(STATSSA_Monthly!$A$3:$A$400,STATSSA_Annual!$A22,STATSSA_Monthly!L$3:L$400)</f>
        <v>4223</v>
      </c>
      <c r="L22" s="314">
        <f>SUMIF(STATSSA_Monthly!$A$3:$A$400,STATSSA_Annual!$A22,STATSSA_Monthly!M$3:M$400)</f>
        <v>10379</v>
      </c>
      <c r="M22" s="314">
        <f>SUMIF(STATSSA_Monthly!$A$3:$A$400,STATSSA_Annual!$A22,STATSSA_Monthly!N$3:N$400)</f>
        <v>8785</v>
      </c>
      <c r="N22" s="314">
        <f>SUMIF(STATSSA_Monthly!$A$3:$A$400,STATSSA_Annual!$A22,STATSSA_Monthly!O$3:O$400)</f>
        <v>2390</v>
      </c>
      <c r="O22" s="314">
        <f>SUMIF(STATSSA_Monthly!$A$3:$A$400,STATSSA_Annual!$A22,STATSSA_Monthly!P$3:P$400)</f>
        <v>2299</v>
      </c>
      <c r="P22" s="314">
        <f>SUMIF(STATSSA_Monthly!$A$3:$A$400,STATSSA_Annual!$A22,STATSSA_Monthly!Q$3:Q$400)</f>
        <v>2930</v>
      </c>
      <c r="Q22" s="314">
        <f>SUMIF(STATSSA_Monthly!$A$3:$A$400,STATSSA_Annual!$A22,STATSSA_Monthly!R$3:R$400)</f>
        <v>3175</v>
      </c>
      <c r="R22" s="314">
        <f>SUMIF(STATSSA_Monthly!$A$3:$A$400,STATSSA_Annual!$A22,STATSSA_Monthly!S$3:S$400)</f>
        <v>10125</v>
      </c>
      <c r="S22" s="314">
        <f>SUMIF(STATSSA_Monthly!$A$3:$A$400,STATSSA_Annual!$A22,STATSSA_Monthly!T$3:T$400)</f>
        <v>7270</v>
      </c>
      <c r="T22" s="314">
        <f>SUMIF(STATSSA_Monthly!$A$3:$A$400,STATSSA_Annual!$A22,STATSSA_Monthly!U$3:U$400)</f>
        <v>12262</v>
      </c>
      <c r="U22" s="314">
        <f>SUMIF(STATSSA_Monthly!$A$3:$A$400,STATSSA_Annual!$A22,STATSSA_Monthly!V$3:V$400)</f>
        <v>6157</v>
      </c>
      <c r="V22" s="314">
        <f>SUMIF(STATSSA_Monthly!$A$3:$A$400,STATSSA_Annual!$A22,STATSSA_Monthly!W$3:W$400)</f>
        <v>47005</v>
      </c>
      <c r="W22" s="314">
        <f>SUMIF(STATSSA_Monthly!$A$3:$A$400,STATSSA_Annual!$A22,STATSSA_Monthly!X$3:X$400)</f>
        <v>85504</v>
      </c>
      <c r="X22" s="314">
        <f>SUMIF(STATSSA_Monthly!$A$3:$A$400,STATSSA_Annual!$A22,STATSSA_Monthly!Y$3:Y$400)</f>
        <v>162947</v>
      </c>
      <c r="Y22" s="314">
        <f>SUMIF(STATSSA_Monthly!$A$3:$A$400,STATSSA_Annual!$A22,STATSSA_Monthly!Z$3:Z$400)</f>
        <v>17029</v>
      </c>
      <c r="Z22" s="314">
        <f>SUMIF(STATSSA_Monthly!$A$3:$A$400,STATSSA_Annual!$A22,STATSSA_Monthly!AA$3:AA$400)</f>
        <v>9104</v>
      </c>
      <c r="AA22" s="314">
        <f>SUMIF(STATSSA_Monthly!$A$3:$A$400,STATSSA_Annual!$A22,STATSSA_Monthly!AB$3:AB$400)</f>
        <v>26203</v>
      </c>
      <c r="AB22" s="314">
        <f>SUMIF(STATSSA_Monthly!$A$3:$A$400,STATSSA_Annual!$A22,STATSSA_Monthly!AC$3:AC$400)</f>
        <v>12332</v>
      </c>
      <c r="AC22" s="314">
        <f>SUMIF(STATSSA_Monthly!$A$3:$A$400,STATSSA_Annual!$A22,STATSSA_Monthly!AD$3:AD$400)</f>
        <v>2325</v>
      </c>
      <c r="AD22" s="314">
        <f>SUMIF(STATSSA_Monthly!$A$3:$A$400,STATSSA_Annual!$A22,STATSSA_Monthly!AE$3:AE$400)</f>
        <v>220641</v>
      </c>
      <c r="AE22" s="314">
        <f>SUMIF(STATSSA_Monthly!$A$3:$A$400,STATSSA_Annual!$A22,STATSSA_Monthly!AF$3:AF$400)</f>
        <v>219375</v>
      </c>
      <c r="AF22" s="314">
        <f>SUMIF(STATSSA_Monthly!$A$3:$A$400,STATSSA_Annual!$A22,STATSSA_Monthly!AG$3:AG$400)</f>
        <v>327078</v>
      </c>
      <c r="AG22" s="314">
        <f>SUMIF(STATSSA_Monthly!$A$3:$A$400,STATSSA_Annual!$A22,STATSSA_Monthly!AH$3:AH$400)</f>
        <v>86754</v>
      </c>
      <c r="AH22" s="314">
        <f>SUMIF(STATSSA_Monthly!$A$3:$A$400,STATSSA_Annual!$A22,STATSSA_Monthly!AI$3:AI$400)</f>
        <v>4512</v>
      </c>
      <c r="AI22" s="314">
        <f>SUMIF(STATSSA_Monthly!$A$3:$A$400,STATSSA_Annual!$A22,STATSSA_Monthly!AJ$3:AJ$400)</f>
        <v>5235</v>
      </c>
      <c r="AJ22" s="314">
        <f>SUMIF(STATSSA_Monthly!$A$3:$A$400,STATSSA_Annual!$A22,STATSSA_Monthly!AK$3:AK$400)</f>
        <v>10274</v>
      </c>
      <c r="AK22" s="314">
        <f>SUMIF(STATSSA_Monthly!$A$3:$A$400,STATSSA_Annual!$A22,STATSSA_Monthly!AL$3:AL$400)</f>
        <v>802</v>
      </c>
      <c r="AL22" s="314">
        <f>SUMIF(STATSSA_Monthly!$A$3:$A$400,STATSSA_Annual!$A22,STATSSA_Monthly!AM$3:AM$400)</f>
        <v>2837</v>
      </c>
      <c r="AM22" s="314">
        <f>SUMIF(STATSSA_Monthly!$A$3:$A$400,STATSSA_Annual!$A22,STATSSA_Monthly!AN$3:AN$400)</f>
        <v>6691</v>
      </c>
      <c r="AN22" s="314">
        <f>SUMIF(STATSSA_Monthly!$A$3:$A$400,STATSSA_Annual!$A22,STATSSA_Monthly!AO$3:AO$400)</f>
        <v>3116</v>
      </c>
      <c r="AO22" s="314">
        <f>SUMIF(STATSSA_Monthly!$A$3:$A$400,STATSSA_Annual!$A22,STATSSA_Monthly!AP$3:AP$400)</f>
        <v>3172</v>
      </c>
    </row>
    <row r="23" spans="1:41">
      <c r="A23" s="544">
        <f t="shared" si="1"/>
        <v>2005</v>
      </c>
      <c r="B23" s="314">
        <f>SUMIF(STATSSA_Monthly!$A$3:$A$500,STATSSA_Annual!$A23,STATSSA_Monthly!C$3:C$500)</f>
        <v>495014</v>
      </c>
      <c r="C23" s="314">
        <f>SUMIF(STATSSA_Monthly!$A$3:$A$500,STATSSA_Annual!$A23,STATSSA_Monthly!D$3:D$500)</f>
        <v>398919</v>
      </c>
      <c r="D23" s="314">
        <f>SUMIF(STATSSA_Monthly!$A$3:$A$500,STATSSA_Annual!$A23,STATSSA_Monthly!E$3:E$500)</f>
        <v>750562</v>
      </c>
      <c r="E23" s="314">
        <f>SUMIF(STATSSA_Monthly!$A$3:$A$500,STATSSA_Annual!$A23,STATSSA_Monthly!F$3:F$500)</f>
        <v>144510</v>
      </c>
      <c r="F23" s="314">
        <f>SUMIF(STATSSA_Monthly!$A$3:$A$500,STATSSA_Annual!$A23,STATSSA_Monthly!G$3:G$500)</f>
        <v>103369</v>
      </c>
      <c r="G23" s="314">
        <f>SUMIF(STATSSA_Monthly!$A$3:$A$500,STATSSA_Annual!$A23,STATSSA_Monthly!H$3:H$500)</f>
        <v>112024</v>
      </c>
      <c r="H23" s="314">
        <f>SUMIF(STATSSA_Monthly!$A$3:$A$500,STATSSA_Annual!$A23,STATSSA_Monthly!I$3:I$500)</f>
        <v>252638</v>
      </c>
      <c r="I23" s="314">
        <f>SUMIF(STATSSA_Monthly!$A$3:$A$500,STATSSA_Annual!$A23,STATSSA_Monthly!J$3:J$500)</f>
        <v>48555</v>
      </c>
      <c r="J23" s="314">
        <f>SUMIF(STATSSA_Monthly!$A$3:$A$400,STATSSA_Annual!$A23,STATSSA_Monthly!K$3:K$400)</f>
        <v>2356</v>
      </c>
      <c r="K23" s="314">
        <f>SUMIF(STATSSA_Monthly!$A$3:$A$400,STATSSA_Annual!$A23,STATSSA_Monthly!L$3:L$400)</f>
        <v>12542</v>
      </c>
      <c r="L23" s="314">
        <f>SUMIF(STATSSA_Monthly!$A$3:$A$400,STATSSA_Annual!$A23,STATSSA_Monthly!M$3:M$400)</f>
        <v>27233</v>
      </c>
      <c r="M23" s="314">
        <f>SUMIF(STATSSA_Monthly!$A$3:$A$400,STATSSA_Annual!$A23,STATSSA_Monthly!N$3:N$400)</f>
        <v>2786</v>
      </c>
      <c r="N23" s="314">
        <f>SUMIF(STATSSA_Monthly!$A$3:$A$400,STATSSA_Annual!$A23,STATSSA_Monthly!O$3:O$400)</f>
        <v>268</v>
      </c>
      <c r="O23" s="314">
        <f>SUMIF(STATSSA_Monthly!$A$3:$A$400,STATSSA_Annual!$A23,STATSSA_Monthly!P$3:P$400)</f>
        <v>2068</v>
      </c>
      <c r="P23" s="314">
        <f>SUMIF(STATSSA_Monthly!$A$3:$A$400,STATSSA_Annual!$A23,STATSSA_Monthly!Q$3:Q$400)</f>
        <v>2250</v>
      </c>
      <c r="Q23" s="314">
        <f>SUMIF(STATSSA_Monthly!$A$3:$A$400,STATSSA_Annual!$A23,STATSSA_Monthly!R$3:R$400)</f>
        <v>482</v>
      </c>
      <c r="R23" s="314">
        <f>SUMIF(STATSSA_Monthly!$A$3:$A$400,STATSSA_Annual!$A23,STATSSA_Monthly!S$3:S$400)</f>
        <v>4947</v>
      </c>
      <c r="S23" s="314">
        <f>SUMIF(STATSSA_Monthly!$A$3:$A$400,STATSSA_Annual!$A23,STATSSA_Monthly!T$3:T$400)</f>
        <v>10149</v>
      </c>
      <c r="T23" s="314">
        <f>SUMIF(STATSSA_Monthly!$A$3:$A$400,STATSSA_Annual!$A23,STATSSA_Monthly!U$3:U$400)</f>
        <v>10944</v>
      </c>
      <c r="U23" s="314">
        <f>SUMIF(STATSSA_Monthly!$A$3:$A$400,STATSSA_Annual!$A23,STATSSA_Monthly!V$3:V$400)</f>
        <v>2758</v>
      </c>
      <c r="V23" s="314">
        <f>SUMIF(STATSSA_Monthly!$A$3:$A$400,STATSSA_Annual!$A23,STATSSA_Monthly!W$3:W$400)</f>
        <v>71645</v>
      </c>
      <c r="W23" s="314">
        <f>SUMIF(STATSSA_Monthly!$A$3:$A$400,STATSSA_Annual!$A23,STATSSA_Monthly!X$3:X$400)</f>
        <v>48989</v>
      </c>
      <c r="X23" s="314">
        <f>SUMIF(STATSSA_Monthly!$A$3:$A$400,STATSSA_Annual!$A23,STATSSA_Monthly!Y$3:Y$400)</f>
        <v>187763</v>
      </c>
      <c r="Y23" s="314">
        <f>SUMIF(STATSSA_Monthly!$A$3:$A$400,STATSSA_Annual!$A23,STATSSA_Monthly!Z$3:Z$400)</f>
        <v>70093</v>
      </c>
      <c r="Z23" s="314">
        <f>SUMIF(STATSSA_Monthly!$A$3:$A$400,STATSSA_Annual!$A23,STATSSA_Monthly!AA$3:AA$400)</f>
        <v>4688</v>
      </c>
      <c r="AA23" s="314">
        <f>SUMIF(STATSSA_Monthly!$A$3:$A$400,STATSSA_Annual!$A23,STATSSA_Monthly!AB$3:AB$400)</f>
        <v>45807</v>
      </c>
      <c r="AB23" s="314">
        <f>SUMIF(STATSSA_Monthly!$A$3:$A$400,STATSSA_Annual!$A23,STATSSA_Monthly!AC$3:AC$400)</f>
        <v>10440</v>
      </c>
      <c r="AC23" s="314">
        <f>SUMIF(STATSSA_Monthly!$A$3:$A$400,STATSSA_Annual!$A23,STATSSA_Monthly!AD$3:AD$400)</f>
        <v>4163</v>
      </c>
      <c r="AD23" s="314">
        <f>SUMIF(STATSSA_Monthly!$A$3:$A$400,STATSSA_Annual!$A23,STATSSA_Monthly!AE$3:AE$400)</f>
        <v>298382</v>
      </c>
      <c r="AE23" s="314">
        <f>SUMIF(STATSSA_Monthly!$A$3:$A$400,STATSSA_Annual!$A23,STATSSA_Monthly!AF$3:AF$400)</f>
        <v>146064</v>
      </c>
      <c r="AF23" s="314">
        <f>SUMIF(STATSSA_Monthly!$A$3:$A$400,STATSSA_Annual!$A23,STATSSA_Monthly!AG$3:AG$400)</f>
        <v>239123</v>
      </c>
      <c r="AG23" s="314">
        <f>SUMIF(STATSSA_Monthly!$A$3:$A$400,STATSSA_Annual!$A23,STATSSA_Monthly!AH$3:AH$400)</f>
        <v>11945</v>
      </c>
      <c r="AH23" s="314">
        <f>SUMIF(STATSSA_Monthly!$A$3:$A$400,STATSSA_Annual!$A23,STATSSA_Monthly!AI$3:AI$400)</f>
        <v>3758</v>
      </c>
      <c r="AI23" s="314">
        <f>SUMIF(STATSSA_Monthly!$A$3:$A$400,STATSSA_Annual!$A23,STATSSA_Monthly!AJ$3:AJ$400)</f>
        <v>14112</v>
      </c>
      <c r="AJ23" s="314">
        <f>SUMIF(STATSSA_Monthly!$A$3:$A$400,STATSSA_Annual!$A23,STATSSA_Monthly!AK$3:AK$400)</f>
        <v>14184</v>
      </c>
      <c r="AK23" s="314">
        <f>SUMIF(STATSSA_Monthly!$A$3:$A$400,STATSSA_Annual!$A23,STATSSA_Monthly!AL$3:AL$400)</f>
        <v>2004</v>
      </c>
      <c r="AL23" s="314">
        <f>SUMIF(STATSSA_Monthly!$A$3:$A$400,STATSSA_Annual!$A23,STATSSA_Monthly!AM$3:AM$400)</f>
        <v>5601</v>
      </c>
      <c r="AM23" s="314">
        <f>SUMIF(STATSSA_Monthly!$A$3:$A$400,STATSSA_Annual!$A23,STATSSA_Monthly!AN$3:AN$400)</f>
        <v>7164</v>
      </c>
      <c r="AN23" s="314">
        <f>SUMIF(STATSSA_Monthly!$A$3:$A$400,STATSSA_Annual!$A23,STATSSA_Monthly!AO$3:AO$400)</f>
        <v>5987</v>
      </c>
      <c r="AO23" s="314">
        <f>SUMIF(STATSSA_Monthly!$A$3:$A$400,STATSSA_Annual!$A23,STATSSA_Monthly!AP$3:AP$400)</f>
        <v>1724</v>
      </c>
    </row>
    <row r="24" spans="1:41">
      <c r="A24" s="544">
        <f t="shared" si="1"/>
        <v>2006</v>
      </c>
      <c r="B24" s="314">
        <f>SUMIF(STATSSA_Monthly!$A$3:$A$500,STATSSA_Annual!$A24,STATSSA_Monthly!C$3:C$500)</f>
        <v>328190</v>
      </c>
      <c r="C24" s="314">
        <f>SUMIF(STATSSA_Monthly!$A$3:$A$500,STATSSA_Annual!$A24,STATSSA_Monthly!D$3:D$500)</f>
        <v>674007</v>
      </c>
      <c r="D24" s="314">
        <f>SUMIF(STATSSA_Monthly!$A$3:$A$500,STATSSA_Annual!$A24,STATSSA_Monthly!E$3:E$500)</f>
        <v>879413</v>
      </c>
      <c r="E24" s="314">
        <f>SUMIF(STATSSA_Monthly!$A$3:$A$500,STATSSA_Annual!$A24,STATSSA_Monthly!F$3:F$500)</f>
        <v>112027</v>
      </c>
      <c r="F24" s="314">
        <f>SUMIF(STATSSA_Monthly!$A$3:$A$500,STATSSA_Annual!$A24,STATSSA_Monthly!G$3:G$500)</f>
        <v>69263</v>
      </c>
      <c r="G24" s="314">
        <f>SUMIF(STATSSA_Monthly!$A$3:$A$500,STATSSA_Annual!$A24,STATSSA_Monthly!H$3:H$500)</f>
        <v>128466</v>
      </c>
      <c r="H24" s="314">
        <f>SUMIF(STATSSA_Monthly!$A$3:$A$500,STATSSA_Annual!$A24,STATSSA_Monthly!I$3:I$500)</f>
        <v>324784</v>
      </c>
      <c r="I24" s="314">
        <f>SUMIF(STATSSA_Monthly!$A$3:$A$500,STATSSA_Annual!$A24,STATSSA_Monthly!J$3:J$500)</f>
        <v>41984</v>
      </c>
      <c r="J24" s="314">
        <f>SUMIF(STATSSA_Monthly!$A$3:$A$400,STATSSA_Annual!$A24,STATSSA_Monthly!K$3:K$400)</f>
        <v>11222</v>
      </c>
      <c r="K24" s="314">
        <f>SUMIF(STATSSA_Monthly!$A$3:$A$400,STATSSA_Annual!$A24,STATSSA_Monthly!L$3:L$400)</f>
        <v>14308</v>
      </c>
      <c r="L24" s="314">
        <f>SUMIF(STATSSA_Monthly!$A$3:$A$400,STATSSA_Annual!$A24,STATSSA_Monthly!M$3:M$400)</f>
        <v>39017</v>
      </c>
      <c r="M24" s="314">
        <f>SUMIF(STATSSA_Monthly!$A$3:$A$400,STATSSA_Annual!$A24,STATSSA_Monthly!N$3:N$400)</f>
        <v>6395</v>
      </c>
      <c r="N24" s="314">
        <f>SUMIF(STATSSA_Monthly!$A$3:$A$400,STATSSA_Annual!$A24,STATSSA_Monthly!O$3:O$400)</f>
        <v>2488</v>
      </c>
      <c r="O24" s="314">
        <f>SUMIF(STATSSA_Monthly!$A$3:$A$400,STATSSA_Annual!$A24,STATSSA_Monthly!P$3:P$400)</f>
        <v>5285</v>
      </c>
      <c r="P24" s="314">
        <f>SUMIF(STATSSA_Monthly!$A$3:$A$400,STATSSA_Annual!$A24,STATSSA_Monthly!Q$3:Q$400)</f>
        <v>9116</v>
      </c>
      <c r="Q24" s="314">
        <f>SUMIF(STATSSA_Monthly!$A$3:$A$400,STATSSA_Annual!$A24,STATSSA_Monthly!R$3:R$400)</f>
        <v>1224</v>
      </c>
      <c r="R24" s="314">
        <f>SUMIF(STATSSA_Monthly!$A$3:$A$400,STATSSA_Annual!$A24,STATSSA_Monthly!S$3:S$400)</f>
        <v>2131</v>
      </c>
      <c r="S24" s="314">
        <f>SUMIF(STATSSA_Monthly!$A$3:$A$400,STATSSA_Annual!$A24,STATSSA_Monthly!T$3:T$400)</f>
        <v>22209</v>
      </c>
      <c r="T24" s="314">
        <f>SUMIF(STATSSA_Monthly!$A$3:$A$400,STATSSA_Annual!$A24,STATSSA_Monthly!U$3:U$400)</f>
        <v>19363</v>
      </c>
      <c r="U24" s="314">
        <f>SUMIF(STATSSA_Monthly!$A$3:$A$400,STATSSA_Annual!$A24,STATSSA_Monthly!V$3:V$400)</f>
        <v>4436</v>
      </c>
      <c r="V24" s="314">
        <f>SUMIF(STATSSA_Monthly!$A$3:$A$400,STATSSA_Annual!$A24,STATSSA_Monthly!W$3:W$400)</f>
        <v>56794</v>
      </c>
      <c r="W24" s="314">
        <f>SUMIF(STATSSA_Monthly!$A$3:$A$400,STATSSA_Annual!$A24,STATSSA_Monthly!X$3:X$400)</f>
        <v>91596</v>
      </c>
      <c r="X24" s="314">
        <f>SUMIF(STATSSA_Monthly!$A$3:$A$400,STATSSA_Annual!$A24,STATSSA_Monthly!Y$3:Y$400)</f>
        <v>161240</v>
      </c>
      <c r="Y24" s="314">
        <f>SUMIF(STATSSA_Monthly!$A$3:$A$400,STATSSA_Annual!$A24,STATSSA_Monthly!Z$3:Z$400)</f>
        <v>27805</v>
      </c>
      <c r="Z24" s="314">
        <f>SUMIF(STATSSA_Monthly!$A$3:$A$400,STATSSA_Annual!$A24,STATSSA_Monthly!AA$3:AA$400)</f>
        <v>3195</v>
      </c>
      <c r="AA24" s="314">
        <f>SUMIF(STATSSA_Monthly!$A$3:$A$400,STATSSA_Annual!$A24,STATSSA_Monthly!AB$3:AB$400)</f>
        <v>44695</v>
      </c>
      <c r="AB24" s="314">
        <f>SUMIF(STATSSA_Monthly!$A$3:$A$400,STATSSA_Annual!$A24,STATSSA_Monthly!AC$3:AC$400)</f>
        <v>7012</v>
      </c>
      <c r="AC24" s="314">
        <f>SUMIF(STATSSA_Monthly!$A$3:$A$400,STATSSA_Annual!$A24,STATSSA_Monthly!AD$3:AD$400)</f>
        <v>6864</v>
      </c>
      <c r="AD24" s="314">
        <f>SUMIF(STATSSA_Monthly!$A$3:$A$400,STATSSA_Annual!$A24,STATSSA_Monthly!AE$3:AE$400)</f>
        <v>168377</v>
      </c>
      <c r="AE24" s="314">
        <f>SUMIF(STATSSA_Monthly!$A$3:$A$400,STATSSA_Annual!$A24,STATSSA_Monthly!AF$3:AF$400)</f>
        <v>319097</v>
      </c>
      <c r="AF24" s="314">
        <f>SUMIF(STATSSA_Monthly!$A$3:$A$400,STATSSA_Annual!$A24,STATSSA_Monthly!AG$3:AG$400)</f>
        <v>266396</v>
      </c>
      <c r="AG24" s="314">
        <f>SUMIF(STATSSA_Monthly!$A$3:$A$400,STATSSA_Annual!$A24,STATSSA_Monthly!AH$3:AH$400)</f>
        <v>19858</v>
      </c>
      <c r="AH24" s="314">
        <f>SUMIF(STATSSA_Monthly!$A$3:$A$400,STATSSA_Annual!$A24,STATSSA_Monthly!AI$3:AI$400)</f>
        <v>10427</v>
      </c>
      <c r="AI24" s="314">
        <f>SUMIF(STATSSA_Monthly!$A$3:$A$400,STATSSA_Annual!$A24,STATSSA_Monthly!AJ$3:AJ$400)</f>
        <v>31552</v>
      </c>
      <c r="AJ24" s="314">
        <f>SUMIF(STATSSA_Monthly!$A$3:$A$400,STATSSA_Annual!$A24,STATSSA_Monthly!AK$3:AK$400)</f>
        <v>49032</v>
      </c>
      <c r="AK24" s="314">
        <f>SUMIF(STATSSA_Monthly!$A$3:$A$400,STATSSA_Annual!$A24,STATSSA_Monthly!AL$3:AL$400)</f>
        <v>1966</v>
      </c>
      <c r="AL24" s="314">
        <f>SUMIF(STATSSA_Monthly!$A$3:$A$400,STATSSA_Annual!$A24,STATSSA_Monthly!AM$3:AM$400)</f>
        <v>4293</v>
      </c>
      <c r="AM24" s="314">
        <f>SUMIF(STATSSA_Monthly!$A$3:$A$400,STATSSA_Annual!$A24,STATSSA_Monthly!AN$3:AN$400)</f>
        <v>16799</v>
      </c>
      <c r="AN24" s="314">
        <f>SUMIF(STATSSA_Monthly!$A$3:$A$400,STATSSA_Annual!$A24,STATSSA_Monthly!AO$3:AO$400)</f>
        <v>3453</v>
      </c>
      <c r="AO24" s="314">
        <f>SUMIF(STATSSA_Monthly!$A$3:$A$400,STATSSA_Annual!$A24,STATSSA_Monthly!AP$3:AP$400)</f>
        <v>1495</v>
      </c>
    </row>
    <row r="25" spans="1:41">
      <c r="A25" s="544">
        <f t="shared" si="1"/>
        <v>2007</v>
      </c>
      <c r="B25" s="314">
        <f>SUMIF(STATSSA_Monthly!$A$3:$A$500,STATSSA_Annual!$A25,STATSSA_Monthly!C$3:C$500)</f>
        <v>636730</v>
      </c>
      <c r="C25" s="314">
        <f>SUMIF(STATSSA_Monthly!$A$3:$A$500,STATSSA_Annual!$A25,STATSSA_Monthly!D$3:D$500)</f>
        <v>791319</v>
      </c>
      <c r="D25" s="314">
        <f>SUMIF(STATSSA_Monthly!$A$3:$A$500,STATSSA_Annual!$A25,STATSSA_Monthly!E$3:E$500)</f>
        <v>1516697</v>
      </c>
      <c r="E25" s="314">
        <f>SUMIF(STATSSA_Monthly!$A$3:$A$500,STATSSA_Annual!$A25,STATSSA_Monthly!F$3:F$500)</f>
        <v>169229</v>
      </c>
      <c r="F25" s="314">
        <f>SUMIF(STATSSA_Monthly!$A$3:$A$500,STATSSA_Annual!$A25,STATSSA_Monthly!G$3:G$500)</f>
        <v>236040</v>
      </c>
      <c r="G25" s="314">
        <f>SUMIF(STATSSA_Monthly!$A$3:$A$500,STATSSA_Annual!$A25,STATSSA_Monthly!H$3:H$500)</f>
        <v>105443</v>
      </c>
      <c r="H25" s="314">
        <f>SUMIF(STATSSA_Monthly!$A$3:$A$500,STATSSA_Annual!$A25,STATSSA_Monthly!I$3:I$500)</f>
        <v>460990</v>
      </c>
      <c r="I25" s="314">
        <f>SUMIF(STATSSA_Monthly!$A$3:$A$500,STATSSA_Annual!$A25,STATSSA_Monthly!J$3:J$500)</f>
        <v>72156</v>
      </c>
      <c r="J25" s="314">
        <f>SUMIF(STATSSA_Monthly!$A$3:$A$400,STATSSA_Annual!$A25,STATSSA_Monthly!K$3:K$400)</f>
        <v>17659</v>
      </c>
      <c r="K25" s="314">
        <f>SUMIF(STATSSA_Monthly!$A$3:$A$400,STATSSA_Annual!$A25,STATSSA_Monthly!L$3:L$400)</f>
        <v>29816</v>
      </c>
      <c r="L25" s="314">
        <f>SUMIF(STATSSA_Monthly!$A$3:$A$400,STATSSA_Annual!$A25,STATSSA_Monthly!M$3:M$400)</f>
        <v>46647</v>
      </c>
      <c r="M25" s="314">
        <f>SUMIF(STATSSA_Monthly!$A$3:$A$400,STATSSA_Annual!$A25,STATSSA_Monthly!N$3:N$400)</f>
        <v>5499</v>
      </c>
      <c r="N25" s="314">
        <f>SUMIF(STATSSA_Monthly!$A$3:$A$400,STATSSA_Annual!$A25,STATSSA_Monthly!O$3:O$400)</f>
        <v>6485</v>
      </c>
      <c r="O25" s="314">
        <f>SUMIF(STATSSA_Monthly!$A$3:$A$400,STATSSA_Annual!$A25,STATSSA_Monthly!P$3:P$400)</f>
        <v>41393</v>
      </c>
      <c r="P25" s="314">
        <f>SUMIF(STATSSA_Monthly!$A$3:$A$400,STATSSA_Annual!$A25,STATSSA_Monthly!Q$3:Q$400)</f>
        <v>7633</v>
      </c>
      <c r="Q25" s="314">
        <f>SUMIF(STATSSA_Monthly!$A$3:$A$400,STATSSA_Annual!$A25,STATSSA_Monthly!R$3:R$400)</f>
        <v>498</v>
      </c>
      <c r="R25" s="314">
        <f>SUMIF(STATSSA_Monthly!$A$3:$A$400,STATSSA_Annual!$A25,STATSSA_Monthly!S$3:S$400)</f>
        <v>8607</v>
      </c>
      <c r="S25" s="314">
        <f>SUMIF(STATSSA_Monthly!$A$3:$A$400,STATSSA_Annual!$A25,STATSSA_Monthly!T$3:T$400)</f>
        <v>10830</v>
      </c>
      <c r="T25" s="314">
        <f>SUMIF(STATSSA_Monthly!$A$3:$A$400,STATSSA_Annual!$A25,STATSSA_Monthly!U$3:U$400)</f>
        <v>15639</v>
      </c>
      <c r="U25" s="314">
        <f>SUMIF(STATSSA_Monthly!$A$3:$A$400,STATSSA_Annual!$A25,STATSSA_Monthly!V$3:V$400)</f>
        <v>4994</v>
      </c>
      <c r="V25" s="314">
        <f>SUMIF(STATSSA_Monthly!$A$3:$A$400,STATSSA_Annual!$A25,STATSSA_Monthly!W$3:W$400)</f>
        <v>49872</v>
      </c>
      <c r="W25" s="314">
        <f>SUMIF(STATSSA_Monthly!$A$3:$A$400,STATSSA_Annual!$A25,STATSSA_Monthly!X$3:X$400)</f>
        <v>130258</v>
      </c>
      <c r="X25" s="314">
        <f>SUMIF(STATSSA_Monthly!$A$3:$A$400,STATSSA_Annual!$A25,STATSSA_Monthly!Y$3:Y$400)</f>
        <v>321652</v>
      </c>
      <c r="Y25" s="314">
        <f>SUMIF(STATSSA_Monthly!$A$3:$A$400,STATSSA_Annual!$A25,STATSSA_Monthly!Z$3:Z$400)</f>
        <v>29476</v>
      </c>
      <c r="Z25" s="314">
        <f>SUMIF(STATSSA_Monthly!$A$3:$A$400,STATSSA_Annual!$A25,STATSSA_Monthly!AA$3:AA$400)</f>
        <v>10782</v>
      </c>
      <c r="AA25" s="314">
        <f>SUMIF(STATSSA_Monthly!$A$3:$A$400,STATSSA_Annual!$A25,STATSSA_Monthly!AB$3:AB$400)</f>
        <v>43405</v>
      </c>
      <c r="AB25" s="314">
        <f>SUMIF(STATSSA_Monthly!$A$3:$A$400,STATSSA_Annual!$A25,STATSSA_Monthly!AC$3:AC$400)</f>
        <v>12265</v>
      </c>
      <c r="AC25" s="314">
        <f>SUMIF(STATSSA_Monthly!$A$3:$A$400,STATSSA_Annual!$A25,STATSSA_Monthly!AD$3:AD$400)</f>
        <v>6302</v>
      </c>
      <c r="AD25" s="314">
        <f>SUMIF(STATSSA_Monthly!$A$3:$A$400,STATSSA_Annual!$A25,STATSSA_Monthly!AE$3:AE$400)</f>
        <v>284020</v>
      </c>
      <c r="AE25" s="314">
        <f>SUMIF(STATSSA_Monthly!$A$3:$A$400,STATSSA_Annual!$A25,STATSSA_Monthly!AF$3:AF$400)</f>
        <v>355230</v>
      </c>
      <c r="AF25" s="314">
        <f>SUMIF(STATSSA_Monthly!$A$3:$A$400,STATSSA_Annual!$A25,STATSSA_Monthly!AG$3:AG$400)</f>
        <v>577736</v>
      </c>
      <c r="AG25" s="314">
        <f>SUMIF(STATSSA_Monthly!$A$3:$A$400,STATSSA_Annual!$A25,STATSSA_Monthly!AH$3:AH$400)</f>
        <v>45125</v>
      </c>
      <c r="AH25" s="314">
        <f>SUMIF(STATSSA_Monthly!$A$3:$A$400,STATSSA_Annual!$A25,STATSSA_Monthly!AI$3:AI$400)</f>
        <v>21247</v>
      </c>
      <c r="AI25" s="314">
        <f>SUMIF(STATSSA_Monthly!$A$3:$A$400,STATSSA_Annual!$A25,STATSSA_Monthly!AJ$3:AJ$400)</f>
        <v>69855</v>
      </c>
      <c r="AJ25" s="314">
        <f>SUMIF(STATSSA_Monthly!$A$3:$A$400,STATSSA_Annual!$A25,STATSSA_Monthly!AK$3:AK$400)</f>
        <v>64192</v>
      </c>
      <c r="AK25" s="314">
        <f>SUMIF(STATSSA_Monthly!$A$3:$A$400,STATSSA_Annual!$A25,STATSSA_Monthly!AL$3:AL$400)</f>
        <v>4006</v>
      </c>
      <c r="AL25" s="314">
        <f>SUMIF(STATSSA_Monthly!$A$3:$A$400,STATSSA_Annual!$A25,STATSSA_Monthly!AM$3:AM$400)</f>
        <v>2018</v>
      </c>
      <c r="AM25" s="314">
        <f>SUMIF(STATSSA_Monthly!$A$3:$A$400,STATSSA_Annual!$A25,STATSSA_Monthly!AN$3:AN$400)</f>
        <v>5089</v>
      </c>
      <c r="AN25" s="314">
        <f>SUMIF(STATSSA_Monthly!$A$3:$A$400,STATSSA_Annual!$A25,STATSSA_Monthly!AO$3:AO$400)</f>
        <v>9943</v>
      </c>
      <c r="AO25" s="314">
        <f>SUMIF(STATSSA_Monthly!$A$3:$A$400,STATSSA_Annual!$A25,STATSSA_Monthly!AP$3:AP$400)</f>
        <v>1173</v>
      </c>
    </row>
    <row r="26" spans="1:41">
      <c r="A26" s="544">
        <f t="shared" si="1"/>
        <v>2008</v>
      </c>
      <c r="B26" s="314">
        <f>SUMIF(STATSSA_Monthly!$A$3:$A$500,STATSSA_Annual!$A26,STATSSA_Monthly!C$3:C$500)</f>
        <v>1037818</v>
      </c>
      <c r="C26" s="314">
        <f>SUMIF(STATSSA_Monthly!$A$3:$A$500,STATSSA_Annual!$A26,STATSSA_Monthly!D$3:D$500)</f>
        <v>1373252</v>
      </c>
      <c r="D26" s="314">
        <f>SUMIF(STATSSA_Monthly!$A$3:$A$500,STATSSA_Annual!$A26,STATSSA_Monthly!E$3:E$500)</f>
        <v>1284629</v>
      </c>
      <c r="E26" s="314">
        <f>SUMIF(STATSSA_Monthly!$A$3:$A$500,STATSSA_Annual!$A26,STATSSA_Monthly!F$3:F$500)</f>
        <v>154440</v>
      </c>
      <c r="F26" s="314">
        <f>SUMIF(STATSSA_Monthly!$A$3:$A$500,STATSSA_Annual!$A26,STATSSA_Monthly!G$3:G$500)</f>
        <v>247990</v>
      </c>
      <c r="G26" s="314">
        <f>SUMIF(STATSSA_Monthly!$A$3:$A$500,STATSSA_Annual!$A26,STATSSA_Monthly!H$3:H$500)</f>
        <v>172528</v>
      </c>
      <c r="H26" s="314">
        <f>SUMIF(STATSSA_Monthly!$A$3:$A$500,STATSSA_Annual!$A26,STATSSA_Monthly!I$3:I$500)</f>
        <v>424994</v>
      </c>
      <c r="I26" s="314">
        <f>SUMIF(STATSSA_Monthly!$A$3:$A$500,STATSSA_Annual!$A26,STATSSA_Monthly!J$3:J$500)</f>
        <v>52469</v>
      </c>
      <c r="J26" s="314">
        <f>SUMIF(STATSSA_Monthly!$A$3:$A$400,STATSSA_Annual!$A26,STATSSA_Monthly!K$3:K$400)</f>
        <v>24022</v>
      </c>
      <c r="K26" s="314">
        <f>SUMIF(STATSSA_Monthly!$A$3:$A$400,STATSSA_Annual!$A26,STATSSA_Monthly!L$3:L$400)</f>
        <v>178306</v>
      </c>
      <c r="L26" s="314">
        <f>SUMIF(STATSSA_Monthly!$A$3:$A$400,STATSSA_Annual!$A26,STATSSA_Monthly!M$3:M$400)</f>
        <v>44961</v>
      </c>
      <c r="M26" s="314">
        <f>SUMIF(STATSSA_Monthly!$A$3:$A$400,STATSSA_Annual!$A26,STATSSA_Monthly!N$3:N$400)</f>
        <v>12400</v>
      </c>
      <c r="N26" s="314">
        <f>SUMIF(STATSSA_Monthly!$A$3:$A$400,STATSSA_Annual!$A26,STATSSA_Monthly!O$3:O$400)</f>
        <v>9610</v>
      </c>
      <c r="O26" s="314">
        <f>SUMIF(STATSSA_Monthly!$A$3:$A$400,STATSSA_Annual!$A26,STATSSA_Monthly!P$3:P$400)</f>
        <v>24668</v>
      </c>
      <c r="P26" s="314">
        <f>SUMIF(STATSSA_Monthly!$A$3:$A$400,STATSSA_Annual!$A26,STATSSA_Monthly!Q$3:Q$400)</f>
        <v>5719</v>
      </c>
      <c r="Q26" s="314">
        <f>SUMIF(STATSSA_Monthly!$A$3:$A$400,STATSSA_Annual!$A26,STATSSA_Monthly!R$3:R$400)</f>
        <v>3664</v>
      </c>
      <c r="R26" s="314">
        <f>SUMIF(STATSSA_Monthly!$A$3:$A$400,STATSSA_Annual!$A26,STATSSA_Monthly!S$3:S$400)</f>
        <v>6530</v>
      </c>
      <c r="S26" s="314">
        <f>SUMIF(STATSSA_Monthly!$A$3:$A$400,STATSSA_Annual!$A26,STATSSA_Monthly!T$3:T$400)</f>
        <v>43589</v>
      </c>
      <c r="T26" s="314">
        <f>SUMIF(STATSSA_Monthly!$A$3:$A$400,STATSSA_Annual!$A26,STATSSA_Monthly!U$3:U$400)</f>
        <v>14117</v>
      </c>
      <c r="U26" s="314">
        <f>SUMIF(STATSSA_Monthly!$A$3:$A$400,STATSSA_Annual!$A26,STATSSA_Monthly!V$3:V$400)</f>
        <v>6595</v>
      </c>
      <c r="V26" s="314">
        <f>SUMIF(STATSSA_Monthly!$A$3:$A$400,STATSSA_Annual!$A26,STATSSA_Monthly!W$3:W$400)</f>
        <v>120869</v>
      </c>
      <c r="W26" s="314">
        <f>SUMIF(STATSSA_Monthly!$A$3:$A$400,STATSSA_Annual!$A26,STATSSA_Monthly!X$3:X$400)</f>
        <v>156262</v>
      </c>
      <c r="X26" s="314">
        <f>SUMIF(STATSSA_Monthly!$A$3:$A$400,STATSSA_Annual!$A26,STATSSA_Monthly!Y$3:Y$400)</f>
        <v>273067</v>
      </c>
      <c r="Y26" s="314">
        <f>SUMIF(STATSSA_Monthly!$A$3:$A$400,STATSSA_Annual!$A26,STATSSA_Monthly!Z$3:Z$400)</f>
        <v>15255</v>
      </c>
      <c r="Z26" s="314">
        <f>SUMIF(STATSSA_Monthly!$A$3:$A$400,STATSSA_Annual!$A26,STATSSA_Monthly!AA$3:AA$400)</f>
        <v>28390</v>
      </c>
      <c r="AA26" s="314">
        <f>SUMIF(STATSSA_Monthly!$A$3:$A$400,STATSSA_Annual!$A26,STATSSA_Monthly!AB$3:AB$400)</f>
        <v>162807</v>
      </c>
      <c r="AB26" s="314">
        <f>SUMIF(STATSSA_Monthly!$A$3:$A$400,STATSSA_Annual!$A26,STATSSA_Monthly!AC$3:AC$400)</f>
        <v>14229</v>
      </c>
      <c r="AC26" s="314">
        <f>SUMIF(STATSSA_Monthly!$A$3:$A$400,STATSSA_Annual!$A26,STATSSA_Monthly!AD$3:AD$400)</f>
        <v>5444</v>
      </c>
      <c r="AD26" s="314">
        <f>SUMIF(STATSSA_Monthly!$A$3:$A$400,STATSSA_Annual!$A26,STATSSA_Monthly!AE$3:AE$400)</f>
        <v>566798</v>
      </c>
      <c r="AE26" s="314">
        <f>SUMIF(STATSSA_Monthly!$A$3:$A$400,STATSSA_Annual!$A26,STATSSA_Monthly!AF$3:AF$400)</f>
        <v>619410</v>
      </c>
      <c r="AF26" s="314">
        <f>SUMIF(STATSSA_Monthly!$A$3:$A$400,STATSSA_Annual!$A26,STATSSA_Monthly!AG$3:AG$400)</f>
        <v>452171</v>
      </c>
      <c r="AG26" s="314">
        <f>SUMIF(STATSSA_Monthly!$A$3:$A$400,STATSSA_Annual!$A26,STATSSA_Monthly!AH$3:AH$400)</f>
        <v>52307</v>
      </c>
      <c r="AH26" s="314">
        <f>SUMIF(STATSSA_Monthly!$A$3:$A$400,STATSSA_Annual!$A26,STATSSA_Monthly!AI$3:AI$400)</f>
        <v>27682</v>
      </c>
      <c r="AI26" s="314">
        <f>SUMIF(STATSSA_Monthly!$A$3:$A$400,STATSSA_Annual!$A26,STATSSA_Monthly!AJ$3:AJ$400)</f>
        <v>9892</v>
      </c>
      <c r="AJ26" s="314">
        <f>SUMIF(STATSSA_Monthly!$A$3:$A$400,STATSSA_Annual!$A26,STATSSA_Monthly!AK$3:AK$400)</f>
        <v>38296</v>
      </c>
      <c r="AK26" s="314">
        <f>SUMIF(STATSSA_Monthly!$A$3:$A$400,STATSSA_Annual!$A26,STATSSA_Monthly!AL$3:AL$400)</f>
        <v>1806</v>
      </c>
      <c r="AL26" s="314">
        <f>SUMIF(STATSSA_Monthly!$A$3:$A$400,STATSSA_Annual!$A26,STATSSA_Monthly!AM$3:AM$400)</f>
        <v>5927</v>
      </c>
      <c r="AM26" s="314">
        <f>SUMIF(STATSSA_Monthly!$A$3:$A$400,STATSSA_Annual!$A26,STATSSA_Monthly!AN$3:AN$400)</f>
        <v>5790</v>
      </c>
      <c r="AN26" s="314">
        <f>SUMIF(STATSSA_Monthly!$A$3:$A$400,STATSSA_Annual!$A26,STATSSA_Monthly!AO$3:AO$400)</f>
        <v>17075</v>
      </c>
      <c r="AO26" s="314">
        <f>SUMIF(STATSSA_Monthly!$A$3:$A$400,STATSSA_Annual!$A26,STATSSA_Monthly!AP$3:AP$400)</f>
        <v>4500</v>
      </c>
    </row>
    <row r="27" spans="1:41">
      <c r="A27" s="544">
        <f t="shared" si="1"/>
        <v>2009</v>
      </c>
      <c r="B27" s="314">
        <f>SUMIF(STATSSA_Monthly!$A$3:$A$500,STATSSA_Annual!$A27,STATSSA_Monthly!C$3:C$500)</f>
        <v>974151</v>
      </c>
      <c r="C27" s="314">
        <f>SUMIF(STATSSA_Monthly!$A$3:$A$500,STATSSA_Annual!$A27,STATSSA_Monthly!D$3:D$500)</f>
        <v>1020487</v>
      </c>
      <c r="D27" s="314">
        <f>SUMIF(STATSSA_Monthly!$A$3:$A$500,STATSSA_Annual!$A27,STATSSA_Monthly!E$3:E$500)</f>
        <v>1431083</v>
      </c>
      <c r="E27" s="314">
        <f>SUMIF(STATSSA_Monthly!$A$3:$A$500,STATSSA_Annual!$A27,STATSSA_Monthly!F$3:F$500)</f>
        <v>225453</v>
      </c>
      <c r="F27" s="314">
        <f>SUMIF(STATSSA_Monthly!$A$3:$A$500,STATSSA_Annual!$A27,STATSSA_Monthly!G$3:G$500)</f>
        <v>248378</v>
      </c>
      <c r="G27" s="314">
        <f>SUMIF(STATSSA_Monthly!$A$3:$A$500,STATSSA_Annual!$A27,STATSSA_Monthly!H$3:H$500)</f>
        <v>193537</v>
      </c>
      <c r="H27" s="314">
        <f>SUMIF(STATSSA_Monthly!$A$3:$A$500,STATSSA_Annual!$A27,STATSSA_Monthly!I$3:I$500)</f>
        <v>362463</v>
      </c>
      <c r="I27" s="314">
        <f>SUMIF(STATSSA_Monthly!$A$3:$A$500,STATSSA_Annual!$A27,STATSSA_Monthly!J$3:J$500)</f>
        <v>59589</v>
      </c>
      <c r="J27" s="314">
        <f>SUMIF(STATSSA_Monthly!$A$3:$A$400,STATSSA_Annual!$A27,STATSSA_Monthly!K$3:K$400)</f>
        <v>37108</v>
      </c>
      <c r="K27" s="314">
        <f>SUMIF(STATSSA_Monthly!$A$3:$A$400,STATSSA_Annual!$A27,STATSSA_Monthly!L$3:L$400)</f>
        <v>168497</v>
      </c>
      <c r="L27" s="314">
        <f>SUMIF(STATSSA_Monthly!$A$3:$A$400,STATSSA_Annual!$A27,STATSSA_Monthly!M$3:M$400)</f>
        <v>111227</v>
      </c>
      <c r="M27" s="314">
        <f>SUMIF(STATSSA_Monthly!$A$3:$A$400,STATSSA_Annual!$A27,STATSSA_Monthly!N$3:N$400)</f>
        <v>27338</v>
      </c>
      <c r="N27" s="314">
        <f>SUMIF(STATSSA_Monthly!$A$3:$A$400,STATSSA_Annual!$A27,STATSSA_Monthly!O$3:O$400)</f>
        <v>3482</v>
      </c>
      <c r="O27" s="314">
        <f>SUMIF(STATSSA_Monthly!$A$3:$A$400,STATSSA_Annual!$A27,STATSSA_Monthly!P$3:P$400)</f>
        <v>3452</v>
      </c>
      <c r="P27" s="314">
        <f>SUMIF(STATSSA_Monthly!$A$3:$A$400,STATSSA_Annual!$A27,STATSSA_Monthly!Q$3:Q$400)</f>
        <v>4768</v>
      </c>
      <c r="Q27" s="314">
        <f>SUMIF(STATSSA_Monthly!$A$3:$A$400,STATSSA_Annual!$A27,STATSSA_Monthly!R$3:R$400)</f>
        <v>475</v>
      </c>
      <c r="R27" s="314">
        <f>SUMIF(STATSSA_Monthly!$A$3:$A$400,STATSSA_Annual!$A27,STATSSA_Monthly!S$3:S$400)</f>
        <v>21456</v>
      </c>
      <c r="S27" s="314">
        <f>SUMIF(STATSSA_Monthly!$A$3:$A$400,STATSSA_Annual!$A27,STATSSA_Monthly!T$3:T$400)</f>
        <v>25488</v>
      </c>
      <c r="T27" s="314">
        <f>SUMIF(STATSSA_Monthly!$A$3:$A$400,STATSSA_Annual!$A27,STATSSA_Monthly!U$3:U$400)</f>
        <v>33667</v>
      </c>
      <c r="U27" s="314">
        <f>SUMIF(STATSSA_Monthly!$A$3:$A$400,STATSSA_Annual!$A27,STATSSA_Monthly!V$3:V$400)</f>
        <v>15780</v>
      </c>
      <c r="V27" s="314">
        <f>SUMIF(STATSSA_Monthly!$A$3:$A$400,STATSSA_Annual!$A27,STATSSA_Monthly!W$3:W$400)</f>
        <v>88497</v>
      </c>
      <c r="W27" s="314">
        <f>SUMIF(STATSSA_Monthly!$A$3:$A$400,STATSSA_Annual!$A27,STATSSA_Monthly!X$3:X$400)</f>
        <v>179184</v>
      </c>
      <c r="X27" s="314">
        <f>SUMIF(STATSSA_Monthly!$A$3:$A$400,STATSSA_Annual!$A27,STATSSA_Monthly!Y$3:Y$400)</f>
        <v>357768</v>
      </c>
      <c r="Y27" s="314">
        <f>SUMIF(STATSSA_Monthly!$A$3:$A$400,STATSSA_Annual!$A27,STATSSA_Monthly!Z$3:Z$400)</f>
        <v>41657</v>
      </c>
      <c r="Z27" s="314">
        <f>SUMIF(STATSSA_Monthly!$A$3:$A$400,STATSSA_Annual!$A27,STATSSA_Monthly!AA$3:AA$400)</f>
        <v>10590</v>
      </c>
      <c r="AA27" s="314">
        <f>SUMIF(STATSSA_Monthly!$A$3:$A$400,STATSSA_Annual!$A27,STATSSA_Monthly!AB$3:AB$400)</f>
        <v>36998</v>
      </c>
      <c r="AB27" s="314">
        <f>SUMIF(STATSSA_Monthly!$A$3:$A$400,STATSSA_Annual!$A27,STATSSA_Monthly!AC$3:AC$400)</f>
        <v>11193</v>
      </c>
      <c r="AC27" s="314">
        <f>SUMIF(STATSSA_Monthly!$A$3:$A$400,STATSSA_Annual!$A27,STATSSA_Monthly!AD$3:AD$400)</f>
        <v>8035</v>
      </c>
      <c r="AD27" s="314">
        <f>SUMIF(STATSSA_Monthly!$A$3:$A$400,STATSSA_Annual!$A27,STATSSA_Monthly!AE$3:AE$400)</f>
        <v>498176</v>
      </c>
      <c r="AE27" s="314">
        <f>SUMIF(STATSSA_Monthly!$A$3:$A$400,STATSSA_Annual!$A27,STATSSA_Monthly!AF$3:AF$400)</f>
        <v>377864</v>
      </c>
      <c r="AF27" s="314">
        <f>SUMIF(STATSSA_Monthly!$A$3:$A$400,STATSSA_Annual!$A27,STATSSA_Monthly!AG$3:AG$400)</f>
        <v>472196</v>
      </c>
      <c r="AG27" s="314">
        <f>SUMIF(STATSSA_Monthly!$A$3:$A$400,STATSSA_Annual!$A27,STATSSA_Monthly!AH$3:AH$400)</f>
        <v>64626</v>
      </c>
      <c r="AH27" s="314">
        <f>SUMIF(STATSSA_Monthly!$A$3:$A$400,STATSSA_Annual!$A27,STATSSA_Monthly!AI$3:AI$400)</f>
        <v>45645</v>
      </c>
      <c r="AI27" s="314">
        <f>SUMIF(STATSSA_Monthly!$A$3:$A$400,STATSSA_Annual!$A27,STATSSA_Monthly!AJ$3:AJ$400)</f>
        <v>25416</v>
      </c>
      <c r="AJ27" s="314">
        <f>SUMIF(STATSSA_Monthly!$A$3:$A$400,STATSSA_Annual!$A27,STATSSA_Monthly!AK$3:AK$400)</f>
        <v>45969</v>
      </c>
      <c r="AK27" s="314">
        <f>SUMIF(STATSSA_Monthly!$A$3:$A$400,STATSSA_Annual!$A27,STATSSA_Monthly!AL$3:AL$400)</f>
        <v>4701</v>
      </c>
      <c r="AL27" s="314">
        <f>SUMIF(STATSSA_Monthly!$A$3:$A$400,STATSSA_Annual!$A27,STATSSA_Monthly!AM$3:AM$400)</f>
        <v>20819</v>
      </c>
      <c r="AM27" s="314">
        <f>SUMIF(STATSSA_Monthly!$A$3:$A$400,STATSSA_Annual!$A27,STATSSA_Monthly!AN$3:AN$400)</f>
        <v>10051</v>
      </c>
      <c r="AN27" s="314">
        <f>SUMIF(STATSSA_Monthly!$A$3:$A$400,STATSSA_Annual!$A27,STATSSA_Monthly!AO$3:AO$400)</f>
        <v>31832</v>
      </c>
      <c r="AO27" s="314">
        <f>SUMIF(STATSSA_Monthly!$A$3:$A$400,STATSSA_Annual!$A27,STATSSA_Monthly!AP$3:AP$400)</f>
        <v>3252</v>
      </c>
    </row>
    <row r="28" spans="1:41">
      <c r="A28" s="544">
        <f t="shared" si="1"/>
        <v>2010</v>
      </c>
      <c r="B28" s="314">
        <f>SUMIF(STATSSA_Monthly!$A$3:$A$500,STATSSA_Annual!$A28,STATSSA_Monthly!C$3:C$500)</f>
        <v>588992</v>
      </c>
      <c r="C28" s="314">
        <f>SUMIF(STATSSA_Monthly!$A$3:$A$500,STATSSA_Annual!$A28,STATSSA_Monthly!D$3:D$500)</f>
        <v>609570</v>
      </c>
      <c r="D28" s="314">
        <f>SUMIF(STATSSA_Monthly!$A$3:$A$500,STATSSA_Annual!$A28,STATSSA_Monthly!E$3:E$500)</f>
        <v>1018236</v>
      </c>
      <c r="E28" s="314">
        <f>SUMIF(STATSSA_Monthly!$A$3:$A$500,STATSSA_Annual!$A28,STATSSA_Monthly!F$3:F$500)</f>
        <v>221388</v>
      </c>
      <c r="F28" s="314">
        <f>SUMIF(STATSSA_Monthly!$A$3:$A$500,STATSSA_Annual!$A28,STATSSA_Monthly!G$3:G$500)</f>
        <v>66465</v>
      </c>
      <c r="G28" s="314">
        <f>SUMIF(STATSSA_Monthly!$A$3:$A$500,STATSSA_Annual!$A28,STATSSA_Monthly!H$3:H$500)</f>
        <v>134086</v>
      </c>
      <c r="H28" s="314">
        <f>SUMIF(STATSSA_Monthly!$A$3:$A$500,STATSSA_Annual!$A28,STATSSA_Monthly!I$3:I$500)</f>
        <v>201072</v>
      </c>
      <c r="I28" s="314">
        <f>SUMIF(STATSSA_Monthly!$A$3:$A$500,STATSSA_Annual!$A28,STATSSA_Monthly!J$3:J$500)</f>
        <v>106963</v>
      </c>
      <c r="J28" s="314">
        <f>SUMIF(STATSSA_Monthly!$A$3:$A$400,STATSSA_Annual!$A28,STATSSA_Monthly!K$3:K$400)</f>
        <v>13095</v>
      </c>
      <c r="K28" s="314">
        <f>SUMIF(STATSSA_Monthly!$A$3:$A$400,STATSSA_Annual!$A28,STATSSA_Monthly!L$3:L$400)</f>
        <v>39388</v>
      </c>
      <c r="L28" s="314">
        <f>SUMIF(STATSSA_Monthly!$A$3:$A$400,STATSSA_Annual!$A28,STATSSA_Monthly!M$3:M$400)</f>
        <v>150874</v>
      </c>
      <c r="M28" s="314">
        <f>SUMIF(STATSSA_Monthly!$A$3:$A$400,STATSSA_Annual!$A28,STATSSA_Monthly!N$3:N$400)</f>
        <v>7106</v>
      </c>
      <c r="N28" s="314">
        <f>SUMIF(STATSSA_Monthly!$A$3:$A$400,STATSSA_Annual!$A28,STATSSA_Monthly!O$3:O$400)</f>
        <v>206</v>
      </c>
      <c r="O28" s="314">
        <f>SUMIF(STATSSA_Monthly!$A$3:$A$400,STATSSA_Annual!$A28,STATSSA_Monthly!P$3:P$400)</f>
        <v>4750</v>
      </c>
      <c r="P28" s="314">
        <f>SUMIF(STATSSA_Monthly!$A$3:$A$400,STATSSA_Annual!$A28,STATSSA_Monthly!Q$3:Q$400)</f>
        <v>17165</v>
      </c>
      <c r="Q28" s="314">
        <f>SUMIF(STATSSA_Monthly!$A$3:$A$400,STATSSA_Annual!$A28,STATSSA_Monthly!R$3:R$400)</f>
        <v>4653</v>
      </c>
      <c r="R28" s="314">
        <f>SUMIF(STATSSA_Monthly!$A$3:$A$400,STATSSA_Annual!$A28,STATSSA_Monthly!S$3:S$400)</f>
        <v>6474</v>
      </c>
      <c r="S28" s="314">
        <f>SUMIF(STATSSA_Monthly!$A$3:$A$400,STATSSA_Annual!$A28,STATSSA_Monthly!T$3:T$400)</f>
        <v>46668</v>
      </c>
      <c r="T28" s="314">
        <f>SUMIF(STATSSA_Monthly!$A$3:$A$400,STATSSA_Annual!$A28,STATSSA_Monthly!U$3:U$400)</f>
        <v>14357</v>
      </c>
      <c r="U28" s="314">
        <f>SUMIF(STATSSA_Monthly!$A$3:$A$400,STATSSA_Annual!$A28,STATSSA_Monthly!V$3:V$400)</f>
        <v>1774</v>
      </c>
      <c r="V28" s="314">
        <f>SUMIF(STATSSA_Monthly!$A$3:$A$400,STATSSA_Annual!$A28,STATSSA_Monthly!W$3:W$400)</f>
        <v>150312</v>
      </c>
      <c r="W28" s="314">
        <f>SUMIF(STATSSA_Monthly!$A$3:$A$400,STATSSA_Annual!$A28,STATSSA_Monthly!X$3:X$400)</f>
        <v>78662</v>
      </c>
      <c r="X28" s="314">
        <f>SUMIF(STATSSA_Monthly!$A$3:$A$400,STATSSA_Annual!$A28,STATSSA_Monthly!Y$3:Y$400)</f>
        <v>132676</v>
      </c>
      <c r="Y28" s="314">
        <f>SUMIF(STATSSA_Monthly!$A$3:$A$400,STATSSA_Annual!$A28,STATSSA_Monthly!Z$3:Z$400)</f>
        <v>15512</v>
      </c>
      <c r="Z28" s="314">
        <f>SUMIF(STATSSA_Monthly!$A$3:$A$400,STATSSA_Annual!$A28,STATSSA_Monthly!AA$3:AA$400)</f>
        <v>8119</v>
      </c>
      <c r="AA28" s="314">
        <f>SUMIF(STATSSA_Monthly!$A$3:$A$400,STATSSA_Annual!$A28,STATSSA_Monthly!AB$3:AB$400)</f>
        <v>58468</v>
      </c>
      <c r="AB28" s="314">
        <f>SUMIF(STATSSA_Monthly!$A$3:$A$400,STATSSA_Annual!$A28,STATSSA_Monthly!AC$3:AC$400)</f>
        <v>3786</v>
      </c>
      <c r="AC28" s="314">
        <f>SUMIF(STATSSA_Monthly!$A$3:$A$400,STATSSA_Annual!$A28,STATSSA_Monthly!AD$3:AD$400)</f>
        <v>9778</v>
      </c>
      <c r="AD28" s="314">
        <f>SUMIF(STATSSA_Monthly!$A$3:$A$400,STATSSA_Annual!$A28,STATSSA_Monthly!AE$3:AE$400)</f>
        <v>318916</v>
      </c>
      <c r="AE28" s="314">
        <f>SUMIF(STATSSA_Monthly!$A$3:$A$400,STATSSA_Annual!$A28,STATSSA_Monthly!AF$3:AF$400)</f>
        <v>161601</v>
      </c>
      <c r="AF28" s="314">
        <f>SUMIF(STATSSA_Monthly!$A$3:$A$400,STATSSA_Annual!$A28,STATSSA_Monthly!AG$3:AG$400)</f>
        <v>446566</v>
      </c>
      <c r="AG28" s="314">
        <f>SUMIF(STATSSA_Monthly!$A$3:$A$400,STATSSA_Annual!$A28,STATSSA_Monthly!AH$3:AH$400)</f>
        <v>67994</v>
      </c>
      <c r="AH28" s="314">
        <f>SUMIF(STATSSA_Monthly!$A$3:$A$400,STATSSA_Annual!$A28,STATSSA_Monthly!AI$3:AI$400)</f>
        <v>16219</v>
      </c>
      <c r="AI28" s="314">
        <f>SUMIF(STATSSA_Monthly!$A$3:$A$400,STATSSA_Annual!$A28,STATSSA_Monthly!AJ$3:AJ$400)</f>
        <v>57545</v>
      </c>
      <c r="AJ28" s="314">
        <f>SUMIF(STATSSA_Monthly!$A$3:$A$400,STATSSA_Annual!$A28,STATSSA_Monthly!AK$3:AK$400)</f>
        <v>37208</v>
      </c>
      <c r="AK28" s="314">
        <f>SUMIF(STATSSA_Monthly!$A$3:$A$400,STATSSA_Annual!$A28,STATSSA_Monthly!AL$3:AL$400)</f>
        <v>5340</v>
      </c>
      <c r="AL28" s="314">
        <f>SUMIF(STATSSA_Monthly!$A$3:$A$400,STATSSA_Annual!$A28,STATSSA_Monthly!AM$3:AM$400)</f>
        <v>9186</v>
      </c>
      <c r="AM28" s="314">
        <f>SUMIF(STATSSA_Monthly!$A$3:$A$400,STATSSA_Annual!$A28,STATSSA_Monthly!AN$3:AN$400)</f>
        <v>28402</v>
      </c>
      <c r="AN28" s="314">
        <f>SUMIF(STATSSA_Monthly!$A$3:$A$400,STATSSA_Annual!$A28,STATSSA_Monthly!AO$3:AO$400)</f>
        <v>14532</v>
      </c>
      <c r="AO28" s="314">
        <f>SUMIF(STATSSA_Monthly!$A$3:$A$400,STATSSA_Annual!$A28,STATSSA_Monthly!AP$3:AP$400)</f>
        <v>2268</v>
      </c>
    </row>
    <row r="29" spans="1:41">
      <c r="A29" s="544">
        <f t="shared" si="1"/>
        <v>2011</v>
      </c>
      <c r="B29" s="314">
        <f>SUMIF(STATSSA_Monthly!$A$3:$A$500,STATSSA_Annual!$A29,STATSSA_Monthly!C$3:C$500)</f>
        <v>381922</v>
      </c>
      <c r="C29" s="314">
        <f>SUMIF(STATSSA_Monthly!$A$3:$A$500,STATSSA_Annual!$A29,STATSSA_Monthly!D$3:D$500)</f>
        <v>583143</v>
      </c>
      <c r="D29" s="314">
        <f>SUMIF(STATSSA_Monthly!$A$3:$A$500,STATSSA_Annual!$A29,STATSSA_Monthly!E$3:E$500)</f>
        <v>785354</v>
      </c>
      <c r="E29" s="314">
        <f>SUMIF(STATSSA_Monthly!$A$3:$A$500,STATSSA_Annual!$A29,STATSSA_Monthly!F$3:F$500)</f>
        <v>246577</v>
      </c>
      <c r="F29" s="314">
        <f>SUMIF(STATSSA_Monthly!$A$3:$A$500,STATSSA_Annual!$A29,STATSSA_Monthly!G$3:G$500)</f>
        <v>72778</v>
      </c>
      <c r="G29" s="314">
        <f>SUMIF(STATSSA_Monthly!$A$3:$A$500,STATSSA_Annual!$A29,STATSSA_Monthly!H$3:H$500)</f>
        <v>136953</v>
      </c>
      <c r="H29" s="314">
        <f>SUMIF(STATSSA_Monthly!$A$3:$A$500,STATSSA_Annual!$A29,STATSSA_Monthly!I$3:I$500)</f>
        <v>173393</v>
      </c>
      <c r="I29" s="314">
        <f>SUMIF(STATSSA_Monthly!$A$3:$A$500,STATSSA_Annual!$A29,STATSSA_Monthly!J$3:J$500)</f>
        <v>83834</v>
      </c>
      <c r="J29" s="314">
        <f>SUMIF(STATSSA_Monthly!$A$3:$A$400,STATSSA_Annual!$A29,STATSSA_Monthly!K$3:K$400)</f>
        <v>8766</v>
      </c>
      <c r="K29" s="314">
        <f>SUMIF(STATSSA_Monthly!$A$3:$A$400,STATSSA_Annual!$A29,STATSSA_Monthly!L$3:L$400)</f>
        <v>36899</v>
      </c>
      <c r="L29" s="314">
        <f>SUMIF(STATSSA_Monthly!$A$3:$A$400,STATSSA_Annual!$A29,STATSSA_Monthly!M$3:M$400)</f>
        <v>27599</v>
      </c>
      <c r="M29" s="314">
        <f>SUMIF(STATSSA_Monthly!$A$3:$A$400,STATSSA_Annual!$A29,STATSSA_Monthly!N$3:N$400)</f>
        <v>3353</v>
      </c>
      <c r="N29" s="314">
        <f>SUMIF(STATSSA_Monthly!$A$3:$A$400,STATSSA_Annual!$A29,STATSSA_Monthly!O$3:O$400)</f>
        <v>5412</v>
      </c>
      <c r="O29" s="314">
        <f>SUMIF(STATSSA_Monthly!$A$3:$A$400,STATSSA_Annual!$A29,STATSSA_Monthly!P$3:P$400)</f>
        <v>2187</v>
      </c>
      <c r="P29" s="314">
        <f>SUMIF(STATSSA_Monthly!$A$3:$A$400,STATSSA_Annual!$A29,STATSSA_Monthly!Q$3:Q$400)</f>
        <v>3633</v>
      </c>
      <c r="Q29" s="314">
        <f>SUMIF(STATSSA_Monthly!$A$3:$A$400,STATSSA_Annual!$A29,STATSSA_Monthly!R$3:R$400)</f>
        <v>1148</v>
      </c>
      <c r="R29" s="314">
        <f>SUMIF(STATSSA_Monthly!$A$3:$A$400,STATSSA_Annual!$A29,STATSSA_Monthly!S$3:S$400)</f>
        <v>365</v>
      </c>
      <c r="S29" s="314">
        <f>SUMIF(STATSSA_Monthly!$A$3:$A$400,STATSSA_Annual!$A29,STATSSA_Monthly!T$3:T$400)</f>
        <v>9963</v>
      </c>
      <c r="T29" s="314">
        <f>SUMIF(STATSSA_Monthly!$A$3:$A$400,STATSSA_Annual!$A29,STATSSA_Monthly!U$3:U$400)</f>
        <v>13365</v>
      </c>
      <c r="U29" s="314">
        <f>SUMIF(STATSSA_Monthly!$A$3:$A$400,STATSSA_Annual!$A29,STATSSA_Monthly!V$3:V$400)</f>
        <v>1050</v>
      </c>
      <c r="V29" s="314">
        <f>SUMIF(STATSSA_Monthly!$A$3:$A$400,STATSSA_Annual!$A29,STATSSA_Monthly!W$3:W$400)</f>
        <v>64710</v>
      </c>
      <c r="W29" s="314">
        <f>SUMIF(STATSSA_Monthly!$A$3:$A$400,STATSSA_Annual!$A29,STATSSA_Monthly!X$3:X$400)</f>
        <v>128714</v>
      </c>
      <c r="X29" s="314">
        <f>SUMIF(STATSSA_Monthly!$A$3:$A$400,STATSSA_Annual!$A29,STATSSA_Monthly!Y$3:Y$400)</f>
        <v>208758</v>
      </c>
      <c r="Y29" s="314">
        <f>SUMIF(STATSSA_Monthly!$A$3:$A$400,STATSSA_Annual!$A29,STATSSA_Monthly!Z$3:Z$400)</f>
        <v>103968</v>
      </c>
      <c r="Z29" s="314">
        <f>SUMIF(STATSSA_Monthly!$A$3:$A$400,STATSSA_Annual!$A29,STATSSA_Monthly!AA$3:AA$400)</f>
        <v>11105</v>
      </c>
      <c r="AA29" s="314">
        <f>SUMIF(STATSSA_Monthly!$A$3:$A$400,STATSSA_Annual!$A29,STATSSA_Monthly!AB$3:AB$400)</f>
        <v>10893</v>
      </c>
      <c r="AB29" s="314">
        <f>SUMIF(STATSSA_Monthly!$A$3:$A$400,STATSSA_Annual!$A29,STATSSA_Monthly!AC$3:AC$400)</f>
        <v>4699</v>
      </c>
      <c r="AC29" s="314">
        <f>SUMIF(STATSSA_Monthly!$A$3:$A$400,STATSSA_Annual!$A29,STATSSA_Monthly!AD$3:AD$400)</f>
        <v>4809</v>
      </c>
      <c r="AD29" s="314">
        <f>SUMIF(STATSSA_Monthly!$A$3:$A$400,STATSSA_Annual!$A29,STATSSA_Monthly!AE$3:AE$400)</f>
        <v>201078</v>
      </c>
      <c r="AE29" s="314">
        <f>SUMIF(STATSSA_Monthly!$A$3:$A$400,STATSSA_Annual!$A29,STATSSA_Monthly!AF$3:AF$400)</f>
        <v>216266</v>
      </c>
      <c r="AF29" s="314">
        <f>SUMIF(STATSSA_Monthly!$A$3:$A$400,STATSSA_Annual!$A29,STATSSA_Monthly!AG$3:AG$400)</f>
        <v>303525</v>
      </c>
      <c r="AG29" s="314">
        <f>SUMIF(STATSSA_Monthly!$A$3:$A$400,STATSSA_Annual!$A29,STATSSA_Monthly!AH$3:AH$400)</f>
        <v>41819</v>
      </c>
      <c r="AH29" s="314">
        <f>SUMIF(STATSSA_Monthly!$A$3:$A$400,STATSSA_Annual!$A29,STATSSA_Monthly!AI$3:AI$400)</f>
        <v>10334</v>
      </c>
      <c r="AI29" s="314">
        <f>SUMIF(STATSSA_Monthly!$A$3:$A$400,STATSSA_Annual!$A29,STATSSA_Monthly!AJ$3:AJ$400)</f>
        <v>30179</v>
      </c>
      <c r="AJ29" s="314">
        <f>SUMIF(STATSSA_Monthly!$A$3:$A$400,STATSSA_Annual!$A29,STATSSA_Monthly!AK$3:AK$400)</f>
        <v>38383</v>
      </c>
      <c r="AK29" s="314">
        <f>SUMIF(STATSSA_Monthly!$A$3:$A$400,STATSSA_Annual!$A29,STATSSA_Monthly!AL$3:AL$400)</f>
        <v>6548</v>
      </c>
      <c r="AL29" s="314">
        <f>SUMIF(STATSSA_Monthly!$A$3:$A$400,STATSSA_Annual!$A29,STATSSA_Monthly!AM$3:AM$400)</f>
        <v>7374</v>
      </c>
      <c r="AM29" s="314">
        <f>SUMIF(STATSSA_Monthly!$A$3:$A$400,STATSSA_Annual!$A29,STATSSA_Monthly!AN$3:AN$400)</f>
        <v>11089</v>
      </c>
      <c r="AN29" s="314">
        <f>SUMIF(STATSSA_Monthly!$A$3:$A$400,STATSSA_Annual!$A29,STATSSA_Monthly!AO$3:AO$400)</f>
        <v>11999</v>
      </c>
      <c r="AO29" s="314">
        <f>SUMIF(STATSSA_Monthly!$A$3:$A$400,STATSSA_Annual!$A29,STATSSA_Monthly!AP$3:AP$400)</f>
        <v>48</v>
      </c>
    </row>
    <row r="30" spans="1:41">
      <c r="A30" s="544">
        <f t="shared" si="1"/>
        <v>2012</v>
      </c>
      <c r="B30" s="314">
        <f>SUMIF(STATSSA_Monthly!$A$3:$A$500,STATSSA_Annual!$A30,STATSSA_Monthly!C$3:C$500)</f>
        <v>462586</v>
      </c>
      <c r="C30" s="314">
        <f>SUMIF(STATSSA_Monthly!$A$3:$A$500,STATSSA_Annual!$A30,STATSSA_Monthly!D$3:D$500)</f>
        <v>529159</v>
      </c>
      <c r="D30" s="314">
        <f>SUMIF(STATSSA_Monthly!$A$3:$A$500,STATSSA_Annual!$A30,STATSSA_Monthly!E$3:E$500)</f>
        <v>1129861</v>
      </c>
      <c r="E30" s="314">
        <f>SUMIF(STATSSA_Monthly!$A$3:$A$500,STATSSA_Annual!$A30,STATSSA_Monthly!F$3:F$500)</f>
        <v>200640</v>
      </c>
      <c r="F30" s="314">
        <f>SUMIF(STATSSA_Monthly!$A$3:$A$500,STATSSA_Annual!$A30,STATSSA_Monthly!G$3:G$500)</f>
        <v>63040</v>
      </c>
      <c r="G30" s="314">
        <f>SUMIF(STATSSA_Monthly!$A$3:$A$500,STATSSA_Annual!$A30,STATSSA_Monthly!H$3:H$500)</f>
        <v>138144</v>
      </c>
      <c r="H30" s="314">
        <f>SUMIF(STATSSA_Monthly!$A$3:$A$500,STATSSA_Annual!$A30,STATSSA_Monthly!I$3:I$500)</f>
        <v>286006</v>
      </c>
      <c r="I30" s="314">
        <f>SUMIF(STATSSA_Monthly!$A$3:$A$500,STATSSA_Annual!$A30,STATSSA_Monthly!J$3:J$500)</f>
        <v>42633</v>
      </c>
      <c r="J30" s="314">
        <f>SUMIF(STATSSA_Monthly!$A$3:$A$400,STATSSA_Annual!$A30,STATSSA_Monthly!K$3:K$400)</f>
        <v>23823</v>
      </c>
      <c r="K30" s="314">
        <f>SUMIF(STATSSA_Monthly!$A$3:$A$400,STATSSA_Annual!$A30,STATSSA_Monthly!L$3:L$400)</f>
        <v>6414</v>
      </c>
      <c r="L30" s="314">
        <f>SUMIF(STATSSA_Monthly!$A$3:$A$400,STATSSA_Annual!$A30,STATSSA_Monthly!M$3:M$400)</f>
        <v>35207</v>
      </c>
      <c r="M30" s="314">
        <f>SUMIF(STATSSA_Monthly!$A$3:$A$400,STATSSA_Annual!$A30,STATSSA_Monthly!N$3:N$400)</f>
        <v>2869</v>
      </c>
      <c r="N30" s="314">
        <f>SUMIF(STATSSA_Monthly!$A$3:$A$400,STATSSA_Annual!$A30,STATSSA_Monthly!O$3:O$400)</f>
        <v>190</v>
      </c>
      <c r="O30" s="314">
        <f>SUMIF(STATSSA_Monthly!$A$3:$A$400,STATSSA_Annual!$A30,STATSSA_Monthly!P$3:P$400)</f>
        <v>721</v>
      </c>
      <c r="P30" s="314">
        <f>SUMIF(STATSSA_Monthly!$A$3:$A$400,STATSSA_Annual!$A30,STATSSA_Monthly!Q$3:Q$400)</f>
        <v>8789</v>
      </c>
      <c r="Q30" s="314">
        <f>SUMIF(STATSSA_Monthly!$A$3:$A$400,STATSSA_Annual!$A30,STATSSA_Monthly!R$3:R$400)</f>
        <v>497</v>
      </c>
      <c r="R30" s="314">
        <f>SUMIF(STATSSA_Monthly!$A$3:$A$400,STATSSA_Annual!$A30,STATSSA_Monthly!S$3:S$400)</f>
        <v>2909</v>
      </c>
      <c r="S30" s="314">
        <f>SUMIF(STATSSA_Monthly!$A$3:$A$400,STATSSA_Annual!$A30,STATSSA_Monthly!T$3:T$400)</f>
        <v>51188</v>
      </c>
      <c r="T30" s="314">
        <f>SUMIF(STATSSA_Monthly!$A$3:$A$400,STATSSA_Annual!$A30,STATSSA_Monthly!U$3:U$400)</f>
        <v>9208</v>
      </c>
      <c r="U30" s="314">
        <f>SUMIF(STATSSA_Monthly!$A$3:$A$400,STATSSA_Annual!$A30,STATSSA_Monthly!V$3:V$400)</f>
        <v>5372</v>
      </c>
      <c r="V30" s="314">
        <f>SUMIF(STATSSA_Monthly!$A$3:$A$400,STATSSA_Annual!$A30,STATSSA_Monthly!W$3:W$400)</f>
        <v>84039</v>
      </c>
      <c r="W30" s="314">
        <f>SUMIF(STATSSA_Monthly!$A$3:$A$400,STATSSA_Annual!$A30,STATSSA_Monthly!X$3:X$400)</f>
        <v>63339</v>
      </c>
      <c r="X30" s="314">
        <f>SUMIF(STATSSA_Monthly!$A$3:$A$400,STATSSA_Annual!$A30,STATSSA_Monthly!Y$3:Y$400)</f>
        <v>223627</v>
      </c>
      <c r="Y30" s="314">
        <f>SUMIF(STATSSA_Monthly!$A$3:$A$400,STATSSA_Annual!$A30,STATSSA_Monthly!Z$3:Z$400)</f>
        <v>55059</v>
      </c>
      <c r="Z30" s="314">
        <f>SUMIF(STATSSA_Monthly!$A$3:$A$400,STATSSA_Annual!$A30,STATSSA_Monthly!AA$3:AA$400)</f>
        <v>17897</v>
      </c>
      <c r="AA30" s="314">
        <f>SUMIF(STATSSA_Monthly!$A$3:$A$400,STATSSA_Annual!$A30,STATSSA_Monthly!AB$3:AB$400)</f>
        <v>12731</v>
      </c>
      <c r="AB30" s="314">
        <f>SUMIF(STATSSA_Monthly!$A$3:$A$400,STATSSA_Annual!$A30,STATSSA_Monthly!AC$3:AC$400)</f>
        <v>18862</v>
      </c>
      <c r="AC30" s="314">
        <f>SUMIF(STATSSA_Monthly!$A$3:$A$400,STATSSA_Annual!$A30,STATSSA_Monthly!AD$3:AD$400)</f>
        <v>3500</v>
      </c>
      <c r="AD30" s="314">
        <f>SUMIF(STATSSA_Monthly!$A$3:$A$400,STATSSA_Annual!$A30,STATSSA_Monthly!AE$3:AE$400)</f>
        <v>261703</v>
      </c>
      <c r="AE30" s="314">
        <f>SUMIF(STATSSA_Monthly!$A$3:$A$400,STATSSA_Annual!$A30,STATSSA_Monthly!AF$3:AF$400)</f>
        <v>220388</v>
      </c>
      <c r="AF30" s="314">
        <f>SUMIF(STATSSA_Monthly!$A$3:$A$400,STATSSA_Annual!$A30,STATSSA_Monthly!AG$3:AG$400)</f>
        <v>475277</v>
      </c>
      <c r="AG30" s="314">
        <f>SUMIF(STATSSA_Monthly!$A$3:$A$400,STATSSA_Annual!$A30,STATSSA_Monthly!AH$3:AH$400)</f>
        <v>72661</v>
      </c>
      <c r="AH30" s="314">
        <f>SUMIF(STATSSA_Monthly!$A$3:$A$400,STATSSA_Annual!$A30,STATSSA_Monthly!AI$3:AI$400)</f>
        <v>7521</v>
      </c>
      <c r="AI30" s="314">
        <f>SUMIF(STATSSA_Monthly!$A$3:$A$400,STATSSA_Annual!$A30,STATSSA_Monthly!AJ$3:AJ$400)</f>
        <v>35805</v>
      </c>
      <c r="AJ30" s="314">
        <f>SUMIF(STATSSA_Monthly!$A$3:$A$400,STATSSA_Annual!$A30,STATSSA_Monthly!AK$3:AK$400)</f>
        <v>49269</v>
      </c>
      <c r="AK30" s="314">
        <f>SUMIF(STATSSA_Monthly!$A$3:$A$400,STATSSA_Annual!$A30,STATSSA_Monthly!AL$3:AL$400)</f>
        <v>17156</v>
      </c>
      <c r="AL30" s="314">
        <f>SUMIF(STATSSA_Monthly!$A$3:$A$400,STATSSA_Annual!$A30,STATSSA_Monthly!AM$3:AM$400)</f>
        <v>1464</v>
      </c>
      <c r="AM30" s="314">
        <f>SUMIF(STATSSA_Monthly!$A$3:$A$400,STATSSA_Annual!$A30,STATSSA_Monthly!AN$3:AN$400)</f>
        <v>429</v>
      </c>
      <c r="AN30" s="314">
        <f>SUMIF(STATSSA_Monthly!$A$3:$A$400,STATSSA_Annual!$A30,STATSSA_Monthly!AO$3:AO$400)</f>
        <v>23616</v>
      </c>
      <c r="AO30" s="314">
        <f>SUMIF(STATSSA_Monthly!$A$3:$A$400,STATSSA_Annual!$A30,STATSSA_Monthly!AP$3:AP$400)</f>
        <v>893</v>
      </c>
    </row>
    <row r="31" spans="1:41">
      <c r="A31" s="544">
        <f t="shared" si="1"/>
        <v>2013</v>
      </c>
      <c r="B31" s="314">
        <f>SUMIF(STATSSA_Monthly!$A$3:$A$500,STATSSA_Annual!$A31,STATSSA_Monthly!C$3:C$500)</f>
        <v>795560</v>
      </c>
      <c r="C31" s="314">
        <f>SUMIF(STATSSA_Monthly!$A$3:$A$500,STATSSA_Annual!$A31,STATSSA_Monthly!D$3:D$500)</f>
        <v>565853</v>
      </c>
      <c r="D31" s="314">
        <f>SUMIF(STATSSA_Monthly!$A$3:$A$500,STATSSA_Annual!$A31,STATSSA_Monthly!E$3:E$500)</f>
        <v>955483</v>
      </c>
      <c r="E31" s="314">
        <f>SUMIF(STATSSA_Monthly!$A$3:$A$500,STATSSA_Annual!$A31,STATSSA_Monthly!F$3:F$500)</f>
        <v>229563</v>
      </c>
      <c r="F31" s="314">
        <f>SUMIF(STATSSA_Monthly!$A$3:$A$500,STATSSA_Annual!$A31,STATSSA_Monthly!G$3:G$500)</f>
        <v>173534</v>
      </c>
      <c r="G31" s="314">
        <f>SUMIF(STATSSA_Monthly!$A$3:$A$500,STATSSA_Annual!$A31,STATSSA_Monthly!H$3:H$500)</f>
        <v>183026</v>
      </c>
      <c r="H31" s="314">
        <f>SUMIF(STATSSA_Monthly!$A$3:$A$500,STATSSA_Annual!$A31,STATSSA_Monthly!I$3:I$500)</f>
        <v>269280</v>
      </c>
      <c r="I31" s="314">
        <f>SUMIF(STATSSA_Monthly!$A$3:$A$500,STATSSA_Annual!$A31,STATSSA_Monthly!J$3:J$500)</f>
        <v>99610</v>
      </c>
      <c r="J31" s="314">
        <f>SUMIF(STATSSA_Monthly!$A$3:$A$400,STATSSA_Annual!$A31,STATSSA_Monthly!K$3:K$400)</f>
        <v>23823</v>
      </c>
      <c r="K31" s="314">
        <f>SUMIF(STATSSA_Monthly!$A$3:$A$400,STATSSA_Annual!$A31,STATSSA_Monthly!L$3:L$400)</f>
        <v>60743</v>
      </c>
      <c r="L31" s="314">
        <f>SUMIF(STATSSA_Monthly!$A$3:$A$400,STATSSA_Annual!$A31,STATSSA_Monthly!M$3:M$400)</f>
        <v>119229</v>
      </c>
      <c r="M31" s="314">
        <f>SUMIF(STATSSA_Monthly!$A$3:$A$400,STATSSA_Annual!$A31,STATSSA_Monthly!N$3:N$400)</f>
        <v>15001</v>
      </c>
      <c r="N31" s="314">
        <f>SUMIF(STATSSA_Monthly!$A$3:$A$400,STATSSA_Annual!$A31,STATSSA_Monthly!O$3:O$400)</f>
        <v>2428</v>
      </c>
      <c r="O31" s="314">
        <f>SUMIF(STATSSA_Monthly!$A$3:$A$400,STATSSA_Annual!$A31,STATSSA_Monthly!P$3:P$400)</f>
        <v>6401</v>
      </c>
      <c r="P31" s="314">
        <f>SUMIF(STATSSA_Monthly!$A$3:$A$400,STATSSA_Annual!$A31,STATSSA_Monthly!Q$3:Q$400)</f>
        <v>7249</v>
      </c>
      <c r="Q31" s="314">
        <f>SUMIF(STATSSA_Monthly!$A$3:$A$400,STATSSA_Annual!$A31,STATSSA_Monthly!R$3:R$400)</f>
        <v>679</v>
      </c>
      <c r="R31" s="314">
        <f>SUMIF(STATSSA_Monthly!$A$3:$A$400,STATSSA_Annual!$A31,STATSSA_Monthly!S$3:S$400)</f>
        <v>0</v>
      </c>
      <c r="S31" s="314">
        <f>SUMIF(STATSSA_Monthly!$A$3:$A$400,STATSSA_Annual!$A31,STATSSA_Monthly!T$3:T$400)</f>
        <v>27291</v>
      </c>
      <c r="T31" s="314">
        <f>SUMIF(STATSSA_Monthly!$A$3:$A$400,STATSSA_Annual!$A31,STATSSA_Monthly!U$3:U$400)</f>
        <v>21121</v>
      </c>
      <c r="U31" s="314">
        <f>SUMIF(STATSSA_Monthly!$A$3:$A$400,STATSSA_Annual!$A31,STATSSA_Monthly!V$3:V$400)</f>
        <v>16601</v>
      </c>
      <c r="V31" s="314">
        <f>SUMIF(STATSSA_Monthly!$A$3:$A$400,STATSSA_Annual!$A31,STATSSA_Monthly!W$3:W$400)</f>
        <v>127157</v>
      </c>
      <c r="W31" s="314">
        <f>SUMIF(STATSSA_Monthly!$A$3:$A$400,STATSSA_Annual!$A31,STATSSA_Monthly!X$3:X$400)</f>
        <v>77785</v>
      </c>
      <c r="X31" s="314">
        <f>SUMIF(STATSSA_Monthly!$A$3:$A$400,STATSSA_Annual!$A31,STATSSA_Monthly!Y$3:Y$400)</f>
        <v>66557</v>
      </c>
      <c r="Y31" s="314">
        <f>SUMIF(STATSSA_Monthly!$A$3:$A$400,STATSSA_Annual!$A31,STATSSA_Monthly!Z$3:Z$400)</f>
        <v>49814</v>
      </c>
      <c r="Z31" s="314">
        <f>SUMIF(STATSSA_Monthly!$A$3:$A$400,STATSSA_Annual!$A31,STATSSA_Monthly!AA$3:AA$400)</f>
        <v>5056</v>
      </c>
      <c r="AA31" s="314">
        <f>SUMIF(STATSSA_Monthly!$A$3:$A$400,STATSSA_Annual!$A31,STATSSA_Monthly!AB$3:AB$400)</f>
        <v>59374</v>
      </c>
      <c r="AB31" s="314">
        <f>SUMIF(STATSSA_Monthly!$A$3:$A$400,STATSSA_Annual!$A31,STATSSA_Monthly!AC$3:AC$400)</f>
        <v>27453</v>
      </c>
      <c r="AC31" s="314">
        <f>SUMIF(STATSSA_Monthly!$A$3:$A$400,STATSSA_Annual!$A31,STATSSA_Monthly!AD$3:AD$400)</f>
        <v>4846</v>
      </c>
      <c r="AD31" s="314">
        <f>SUMIF(STATSSA_Monthly!$A$3:$A$400,STATSSA_Annual!$A31,STATSSA_Monthly!AE$3:AE$400)</f>
        <v>451730</v>
      </c>
      <c r="AE31" s="314">
        <f>SUMIF(STATSSA_Monthly!$A$3:$A$400,STATSSA_Annual!$A31,STATSSA_Monthly!AF$3:AF$400)</f>
        <v>121347</v>
      </c>
      <c r="AF31" s="314">
        <f>SUMIF(STATSSA_Monthly!$A$3:$A$400,STATSSA_Annual!$A31,STATSSA_Monthly!AG$3:AG$400)</f>
        <v>377165</v>
      </c>
      <c r="AG31" s="314">
        <f>SUMIF(STATSSA_Monthly!$A$3:$A$400,STATSSA_Annual!$A31,STATSSA_Monthly!AH$3:AH$400)</f>
        <v>28519</v>
      </c>
      <c r="AH31" s="314">
        <f>SUMIF(STATSSA_Monthly!$A$3:$A$400,STATSSA_Annual!$A31,STATSSA_Monthly!AI$3:AI$400)</f>
        <v>6103</v>
      </c>
      <c r="AI31" s="314">
        <f>SUMIF(STATSSA_Monthly!$A$3:$A$400,STATSSA_Annual!$A31,STATSSA_Monthly!AJ$3:AJ$400)</f>
        <v>4734</v>
      </c>
      <c r="AJ31" s="314">
        <f>SUMIF(STATSSA_Monthly!$A$3:$A$400,STATSSA_Annual!$A31,STATSSA_Monthly!AK$3:AK$400)</f>
        <v>59931</v>
      </c>
      <c r="AK31" s="314">
        <f>SUMIF(STATSSA_Monthly!$A$3:$A$400,STATSSA_Annual!$A31,STATSSA_Monthly!AL$3:AL$400)</f>
        <v>13531</v>
      </c>
      <c r="AL31" s="314">
        <f>SUMIF(STATSSA_Monthly!$A$3:$A$400,STATSSA_Annual!$A31,STATSSA_Monthly!AM$3:AM$400)</f>
        <v>5729</v>
      </c>
      <c r="AM31" s="314">
        <f>SUMIF(STATSSA_Monthly!$A$3:$A$400,STATSSA_Annual!$A31,STATSSA_Monthly!AN$3:AN$400)</f>
        <v>25152</v>
      </c>
      <c r="AN31" s="314">
        <f>SUMIF(STATSSA_Monthly!$A$3:$A$400,STATSSA_Annual!$A31,STATSSA_Monthly!AO$3:AO$400)</f>
        <v>7498</v>
      </c>
      <c r="AO31" s="314">
        <f>SUMIF(STATSSA_Monthly!$A$3:$A$400,STATSSA_Annual!$A31,STATSSA_Monthly!AP$3:AP$400)</f>
        <v>962</v>
      </c>
    </row>
    <row r="32" spans="1:41">
      <c r="A32" s="544">
        <f t="shared" si="1"/>
        <v>2014</v>
      </c>
      <c r="B32" s="314">
        <f>SUMIF(STATSSA_Monthly!$A$3:$A$500,STATSSA_Annual!$A32,STATSSA_Monthly!C$3:C$500)</f>
        <v>609266</v>
      </c>
      <c r="C32" s="314">
        <f>SUMIF(STATSSA_Monthly!$A$3:$A$500,STATSSA_Annual!$A32,STATSSA_Monthly!D$3:D$500)</f>
        <v>572864</v>
      </c>
      <c r="D32" s="314">
        <f>SUMIF(STATSSA_Monthly!$A$3:$A$500,STATSSA_Annual!$A32,STATSSA_Monthly!E$3:E$500)</f>
        <v>1124811</v>
      </c>
      <c r="E32" s="314">
        <f>SUMIF(STATSSA_Monthly!$A$3:$A$500,STATSSA_Annual!$A32,STATSSA_Monthly!F$3:F$500)</f>
        <v>213235</v>
      </c>
      <c r="F32" s="314">
        <f>SUMIF(STATSSA_Monthly!$A$3:$A$500,STATSSA_Annual!$A32,STATSSA_Monthly!G$3:G$500)</f>
        <v>131674</v>
      </c>
      <c r="G32" s="314">
        <f>SUMIF(STATSSA_Monthly!$A$3:$A$500,STATSSA_Annual!$A32,STATSSA_Monthly!H$3:H$500)</f>
        <v>25102</v>
      </c>
      <c r="H32" s="314">
        <f>SUMIF(STATSSA_Monthly!$A$3:$A$500,STATSSA_Annual!$A32,STATSSA_Monthly!I$3:I$500)</f>
        <v>207652</v>
      </c>
      <c r="I32" s="314">
        <f>SUMIF(STATSSA_Monthly!$A$3:$A$500,STATSSA_Annual!$A32,STATSSA_Monthly!J$3:J$500)</f>
        <v>60664</v>
      </c>
      <c r="J32" s="314">
        <f>SUMIF(STATSSA_Monthly!$A$3:$A$400,STATSSA_Annual!$A32,STATSSA_Monthly!K$3:K$400)</f>
        <v>12058</v>
      </c>
      <c r="K32" s="314">
        <f>SUMIF(STATSSA_Monthly!$A$3:$A$400,STATSSA_Annual!$A32,STATSSA_Monthly!L$3:L$400)</f>
        <v>41473</v>
      </c>
      <c r="L32" s="314">
        <f>SUMIF(STATSSA_Monthly!$A$3:$A$400,STATSSA_Annual!$A32,STATSSA_Monthly!M$3:M$400)</f>
        <v>97390</v>
      </c>
      <c r="M32" s="314">
        <f>SUMIF(STATSSA_Monthly!$A$3:$A$400,STATSSA_Annual!$A32,STATSSA_Monthly!N$3:N$400)</f>
        <v>8638</v>
      </c>
      <c r="N32" s="314">
        <f>SUMIF(STATSSA_Monthly!$A$3:$A$400,STATSSA_Annual!$A32,STATSSA_Monthly!O$3:O$400)</f>
        <v>18129</v>
      </c>
      <c r="O32" s="314">
        <f>SUMIF(STATSSA_Monthly!$A$3:$A$400,STATSSA_Annual!$A32,STATSSA_Monthly!P$3:P$400)</f>
        <v>2911</v>
      </c>
      <c r="P32" s="314">
        <f>SUMIF(STATSSA_Monthly!$A$3:$A$400,STATSSA_Annual!$A32,STATSSA_Monthly!Q$3:Q$400)</f>
        <v>10275</v>
      </c>
      <c r="Q32" s="314">
        <f>SUMIF(STATSSA_Monthly!$A$3:$A$400,STATSSA_Annual!$A32,STATSSA_Monthly!R$3:R$400)</f>
        <v>242</v>
      </c>
      <c r="R32" s="314">
        <f>SUMIF(STATSSA_Monthly!$A$3:$A$400,STATSSA_Annual!$A32,STATSSA_Monthly!S$3:S$400)</f>
        <v>895</v>
      </c>
      <c r="S32" s="314">
        <f>SUMIF(STATSSA_Monthly!$A$3:$A$400,STATSSA_Annual!$A32,STATSSA_Monthly!T$3:T$400)</f>
        <v>1884</v>
      </c>
      <c r="T32" s="314">
        <f>SUMIF(STATSSA_Monthly!$A$3:$A$400,STATSSA_Annual!$A32,STATSSA_Monthly!U$3:U$400)</f>
        <v>0</v>
      </c>
      <c r="U32" s="314">
        <f>SUMIF(STATSSA_Monthly!$A$3:$A$400,STATSSA_Annual!$A32,STATSSA_Monthly!V$3:V$400)</f>
        <v>1442</v>
      </c>
      <c r="V32" s="314">
        <f>SUMIF(STATSSA_Monthly!$A$3:$A$400,STATSSA_Annual!$A32,STATSSA_Monthly!W$3:W$400)</f>
        <v>56894</v>
      </c>
      <c r="W32" s="314">
        <f>SUMIF(STATSSA_Monthly!$A$3:$A$400,STATSSA_Annual!$A32,STATSSA_Monthly!X$3:X$400)</f>
        <v>21136</v>
      </c>
      <c r="X32" s="314">
        <f>SUMIF(STATSSA_Monthly!$A$3:$A$400,STATSSA_Annual!$A32,STATSSA_Monthly!Y$3:Y$400)</f>
        <v>163378</v>
      </c>
      <c r="Y32" s="314">
        <f>SUMIF(STATSSA_Monthly!$A$3:$A$400,STATSSA_Annual!$A32,STATSSA_Monthly!Z$3:Z$400)</f>
        <v>53443</v>
      </c>
      <c r="Z32" s="314">
        <f>SUMIF(STATSSA_Monthly!$A$3:$A$400,STATSSA_Annual!$A32,STATSSA_Monthly!AA$3:AA$400)</f>
        <v>8510</v>
      </c>
      <c r="AA32" s="314">
        <f>SUMIF(STATSSA_Monthly!$A$3:$A$400,STATSSA_Annual!$A32,STATSSA_Monthly!AB$3:AB$400)</f>
        <v>158207</v>
      </c>
      <c r="AB32" s="314">
        <f>SUMIF(STATSSA_Monthly!$A$3:$A$400,STATSSA_Annual!$A32,STATSSA_Monthly!AC$3:AC$400)</f>
        <v>20194</v>
      </c>
      <c r="AC32" s="314">
        <f>SUMIF(STATSSA_Monthly!$A$3:$A$400,STATSSA_Annual!$A32,STATSSA_Monthly!AD$3:AD$400)</f>
        <v>4759</v>
      </c>
      <c r="AD32" s="314">
        <f>SUMIF(STATSSA_Monthly!$A$3:$A$400,STATSSA_Annual!$A32,STATSSA_Monthly!AE$3:AE$400)</f>
        <v>367908</v>
      </c>
      <c r="AE32" s="314">
        <f>SUMIF(STATSSA_Monthly!$A$3:$A$400,STATSSA_Annual!$A32,STATSSA_Monthly!AF$3:AF$400)</f>
        <v>288024</v>
      </c>
      <c r="AF32" s="314">
        <f>SUMIF(STATSSA_Monthly!$A$3:$A$400,STATSSA_Annual!$A32,STATSSA_Monthly!AG$3:AG$400)</f>
        <v>563886</v>
      </c>
      <c r="AG32" s="314">
        <f>SUMIF(STATSSA_Monthly!$A$3:$A$400,STATSSA_Annual!$A32,STATSSA_Monthly!AH$3:AH$400)</f>
        <v>70414</v>
      </c>
      <c r="AH32" s="314">
        <f>SUMIF(STATSSA_Monthly!$A$3:$A$400,STATSSA_Annual!$A32,STATSSA_Monthly!AI$3:AI$400)</f>
        <v>8113</v>
      </c>
      <c r="AI32" s="314">
        <f>SUMIF(STATSSA_Monthly!$A$3:$A$400,STATSSA_Annual!$A32,STATSSA_Monthly!AJ$3:AJ$400)</f>
        <v>22310</v>
      </c>
      <c r="AJ32" s="314">
        <f>SUMIF(STATSSA_Monthly!$A$3:$A$400,STATSSA_Annual!$A32,STATSSA_Monthly!AK$3:AK$400)</f>
        <v>52984</v>
      </c>
      <c r="AK32" s="314">
        <f>SUMIF(STATSSA_Monthly!$A$3:$A$400,STATSSA_Annual!$A32,STATSSA_Monthly!AL$3:AL$400)</f>
        <v>13555</v>
      </c>
      <c r="AL32" s="314">
        <f>SUMIF(STATSSA_Monthly!$A$3:$A$400,STATSSA_Annual!$A32,STATSSA_Monthly!AM$3:AM$400)</f>
        <v>5085</v>
      </c>
      <c r="AM32" s="314">
        <f>SUMIF(STATSSA_Monthly!$A$3:$A$400,STATSSA_Annual!$A32,STATSSA_Monthly!AN$3:AN$400)</f>
        <v>11817</v>
      </c>
      <c r="AN32" s="314">
        <f>SUMIF(STATSSA_Monthly!$A$3:$A$400,STATSSA_Annual!$A32,STATSSA_Monthly!AO$3:AO$400)</f>
        <v>9052</v>
      </c>
      <c r="AO32" s="314">
        <f>SUMIF(STATSSA_Monthly!$A$3:$A$400,STATSSA_Annual!$A32,STATSSA_Monthly!AP$3:AP$400)</f>
        <v>78</v>
      </c>
    </row>
    <row r="33" spans="1:41">
      <c r="A33" s="544">
        <f t="shared" si="1"/>
        <v>2015</v>
      </c>
      <c r="B33" s="314">
        <f>SUMIF(STATSSA_Monthly!$A$3:$A$500,STATSSA_Annual!$A33,STATSSA_Monthly!C$3:C$500)</f>
        <v>604604</v>
      </c>
      <c r="C33" s="314">
        <f>SUMIF(STATSSA_Monthly!$A$3:$A$500,STATSSA_Annual!$A33,STATSSA_Monthly!D$3:D$500)</f>
        <v>545840</v>
      </c>
      <c r="D33" s="314">
        <f>SUMIF(STATSSA_Monthly!$A$3:$A$500,STATSSA_Annual!$A33,STATSSA_Monthly!E$3:E$500)</f>
        <v>994020</v>
      </c>
      <c r="E33" s="314">
        <f>SUMIF(STATSSA_Monthly!$A$3:$A$500,STATSSA_Annual!$A33,STATSSA_Monthly!F$3:F$500)</f>
        <v>183576</v>
      </c>
      <c r="F33" s="314">
        <f>SUMIF(STATSSA_Monthly!$A$3:$A$500,STATSSA_Annual!$A33,STATSSA_Monthly!G$3:G$500)</f>
        <v>202912</v>
      </c>
      <c r="G33" s="314">
        <f>SUMIF(STATSSA_Monthly!$A$3:$A$500,STATSSA_Annual!$A33,STATSSA_Monthly!H$3:H$500)</f>
        <v>118193</v>
      </c>
      <c r="H33" s="314">
        <f>SUMIF(STATSSA_Monthly!$A$3:$A$500,STATSSA_Annual!$A33,STATSSA_Monthly!I$3:I$500)</f>
        <v>240136</v>
      </c>
      <c r="I33" s="314">
        <f>SUMIF(STATSSA_Monthly!$A$3:$A$500,STATSSA_Annual!$A33,STATSSA_Monthly!J$3:J$500)</f>
        <v>78424</v>
      </c>
      <c r="J33" s="314">
        <f>SUMIF(STATSSA_Monthly!$A$3:$A$400,STATSSA_Annual!$A33,STATSSA_Monthly!K$3:K$400)</f>
        <v>3484</v>
      </c>
      <c r="K33" s="314">
        <f>SUMIF(STATSSA_Monthly!$A$3:$A$400,STATSSA_Annual!$A33,STATSSA_Monthly!L$3:L$400)</f>
        <v>61100</v>
      </c>
      <c r="L33" s="314">
        <f>SUMIF(STATSSA_Monthly!$A$3:$A$400,STATSSA_Annual!$A33,STATSSA_Monthly!M$3:M$400)</f>
        <v>109628</v>
      </c>
      <c r="M33" s="314">
        <f>SUMIF(STATSSA_Monthly!$A$3:$A$400,STATSSA_Annual!$A33,STATSSA_Monthly!N$3:N$400)</f>
        <v>4355</v>
      </c>
      <c r="N33" s="314">
        <f>SUMIF(STATSSA_Monthly!$A$3:$A$400,STATSSA_Annual!$A33,STATSSA_Monthly!O$3:O$400)</f>
        <v>2557</v>
      </c>
      <c r="O33" s="314">
        <f>SUMIF(STATSSA_Monthly!$A$3:$A$400,STATSSA_Annual!$A33,STATSSA_Monthly!P$3:P$400)</f>
        <v>1149</v>
      </c>
      <c r="P33" s="314">
        <f>SUMIF(STATSSA_Monthly!$A$3:$A$400,STATSSA_Annual!$A33,STATSSA_Monthly!Q$3:Q$400)</f>
        <v>3198</v>
      </c>
      <c r="Q33" s="314">
        <f>SUMIF(STATSSA_Monthly!$A$3:$A$400,STATSSA_Annual!$A33,STATSSA_Monthly!R$3:R$400)</f>
        <v>1505</v>
      </c>
      <c r="R33" s="314">
        <f>SUMIF(STATSSA_Monthly!$A$3:$A$400,STATSSA_Annual!$A33,STATSSA_Monthly!S$3:S$400)</f>
        <v>4627</v>
      </c>
      <c r="S33" s="314">
        <f>SUMIF(STATSSA_Monthly!$A$3:$A$400,STATSSA_Annual!$A33,STATSSA_Monthly!T$3:T$400)</f>
        <v>21331</v>
      </c>
      <c r="T33" s="314">
        <f>SUMIF(STATSSA_Monthly!$A$3:$A$400,STATSSA_Annual!$A33,STATSSA_Monthly!U$3:U$400)</f>
        <v>5621</v>
      </c>
      <c r="U33" s="314">
        <f>SUMIF(STATSSA_Monthly!$A$3:$A$400,STATSSA_Annual!$A33,STATSSA_Monthly!V$3:V$400)</f>
        <v>6362</v>
      </c>
      <c r="V33" s="314">
        <f>SUMIF(STATSSA_Monthly!$A$3:$A$400,STATSSA_Annual!$A33,STATSSA_Monthly!W$3:W$400)</f>
        <v>100681</v>
      </c>
      <c r="W33" s="314">
        <f>SUMIF(STATSSA_Monthly!$A$3:$A$400,STATSSA_Annual!$A33,STATSSA_Monthly!X$3:X$400)</f>
        <v>96539</v>
      </c>
      <c r="X33" s="314">
        <f>SUMIF(STATSSA_Monthly!$A$3:$A$400,STATSSA_Annual!$A33,STATSSA_Monthly!Y$3:Y$400)</f>
        <v>209407</v>
      </c>
      <c r="Y33" s="314">
        <f>SUMIF(STATSSA_Monthly!$A$3:$A$400,STATSSA_Annual!$A33,STATSSA_Monthly!Z$3:Z$400)</f>
        <v>15030</v>
      </c>
      <c r="Z33" s="314">
        <f>SUMIF(STATSSA_Monthly!$A$3:$A$400,STATSSA_Annual!$A33,STATSSA_Monthly!AA$3:AA$400)</f>
        <v>12826</v>
      </c>
      <c r="AA33" s="314">
        <f>SUMIF(STATSSA_Monthly!$A$3:$A$400,STATSSA_Annual!$A33,STATSSA_Monthly!AB$3:AB$400)</f>
        <v>56338</v>
      </c>
      <c r="AB33" s="314">
        <f>SUMIF(STATSSA_Monthly!$A$3:$A$400,STATSSA_Annual!$A33,STATSSA_Monthly!AC$3:AC$400)</f>
        <v>25245</v>
      </c>
      <c r="AC33" s="314">
        <f>SUMIF(STATSSA_Monthly!$A$3:$A$400,STATSSA_Annual!$A33,STATSSA_Monthly!AD$3:AD$400)</f>
        <v>6484</v>
      </c>
      <c r="AD33" s="314">
        <f>SUMIF(STATSSA_Monthly!$A$3:$A$400,STATSSA_Annual!$A33,STATSSA_Monthly!AE$3:AE$400)</f>
        <v>259500</v>
      </c>
      <c r="AE33" s="314">
        <f>SUMIF(STATSSA_Monthly!$A$3:$A$400,STATSSA_Annual!$A33,STATSSA_Monthly!AF$3:AF$400)</f>
        <v>150466</v>
      </c>
      <c r="AF33" s="314">
        <f>SUMIF(STATSSA_Monthly!$A$3:$A$400,STATSSA_Annual!$A33,STATSSA_Monthly!AG$3:AG$400)</f>
        <v>358320</v>
      </c>
      <c r="AG33" s="314">
        <f>SUMIF(STATSSA_Monthly!$A$3:$A$400,STATSSA_Annual!$A33,STATSSA_Monthly!AH$3:AH$400)</f>
        <v>52233</v>
      </c>
      <c r="AH33" s="314">
        <f>SUMIF(STATSSA_Monthly!$A$3:$A$400,STATSSA_Annual!$A33,STATSSA_Monthly!AI$3:AI$400)</f>
        <v>12625</v>
      </c>
      <c r="AI33" s="314">
        <f>SUMIF(STATSSA_Monthly!$A$3:$A$400,STATSSA_Annual!$A33,STATSSA_Monthly!AJ$3:AJ$400)</f>
        <v>36736</v>
      </c>
      <c r="AJ33" s="314">
        <f>SUMIF(STATSSA_Monthly!$A$3:$A$400,STATSSA_Annual!$A33,STATSSA_Monthly!AK$3:AK$400)</f>
        <v>32430</v>
      </c>
      <c r="AK33" s="314">
        <f>SUMIF(STATSSA_Monthly!$A$3:$A$400,STATSSA_Annual!$A33,STATSSA_Monthly!AL$3:AL$400)</f>
        <v>2558</v>
      </c>
      <c r="AL33" s="314">
        <f>SUMIF(STATSSA_Monthly!$A$3:$A$400,STATSSA_Annual!$A33,STATSSA_Monthly!AM$3:AM$400)</f>
        <v>5392</v>
      </c>
      <c r="AM33" s="314">
        <f>SUMIF(STATSSA_Monthly!$A$3:$A$400,STATSSA_Annual!$A33,STATSSA_Monthly!AN$3:AN$400)</f>
        <v>3988</v>
      </c>
      <c r="AN33" s="314">
        <f>SUMIF(STATSSA_Monthly!$A$3:$A$400,STATSSA_Annual!$A33,STATSSA_Monthly!AO$3:AO$400)</f>
        <v>10035</v>
      </c>
      <c r="AO33" s="314">
        <f>SUMIF(STATSSA_Monthly!$A$3:$A$400,STATSSA_Annual!$A33,STATSSA_Monthly!AP$3:AP$400)</f>
        <v>16625</v>
      </c>
    </row>
    <row r="34" spans="1:41">
      <c r="A34" s="667">
        <f t="shared" si="1"/>
        <v>2016</v>
      </c>
      <c r="B34" s="314">
        <f>SUMIF(STATSSA_Monthly!$A$3:$A$500,STATSSA_Annual!$A34,STATSSA_Monthly!C$3:C$500)</f>
        <v>504926</v>
      </c>
      <c r="C34" s="314">
        <f>SUMIF(STATSSA_Monthly!$A$3:$A$500,STATSSA_Annual!$A34,STATSSA_Monthly!D$3:D$500)</f>
        <v>516164</v>
      </c>
      <c r="D34" s="314">
        <f>SUMIF(STATSSA_Monthly!$A$3:$A$500,STATSSA_Annual!$A34,STATSSA_Monthly!E$3:E$500)</f>
        <v>1077824</v>
      </c>
      <c r="E34" s="314">
        <f>SUMIF(STATSSA_Monthly!$A$3:$A$500,STATSSA_Annual!$A34,STATSSA_Monthly!F$3:F$500)</f>
        <v>307146</v>
      </c>
      <c r="F34" s="314">
        <f>SUMIF(STATSSA_Monthly!$A$3:$A$500,STATSSA_Annual!$A34,STATSSA_Monthly!G$3:G$500)</f>
        <v>148919</v>
      </c>
      <c r="G34" s="314">
        <f>SUMIF(STATSSA_Monthly!$A$3:$A$500,STATSSA_Annual!$A34,STATSSA_Monthly!H$3:H$500)</f>
        <v>77611</v>
      </c>
      <c r="H34" s="314">
        <f>SUMIF(STATSSA_Monthly!$A$3:$A$500,STATSSA_Annual!$A34,STATSSA_Monthly!I$3:I$500)</f>
        <v>261430</v>
      </c>
      <c r="I34" s="314">
        <f>SUMIF(STATSSA_Monthly!$A$3:$A$500,STATSSA_Annual!$A34,STATSSA_Monthly!J$3:J$500)</f>
        <v>130066</v>
      </c>
      <c r="J34" s="665">
        <f>SUMIF(STATSSA_Monthly!$A$3:$A$400,STATSSA_Annual!$A34,STATSSA_Monthly!K$3:K$400)</f>
        <v>4836</v>
      </c>
      <c r="K34" s="665">
        <f>SUMIF(STATSSA_Monthly!$A$3:$A$400,STATSSA_Annual!$A34,STATSSA_Monthly!L$3:L$400)</f>
        <v>6470</v>
      </c>
      <c r="L34" s="665">
        <f>SUMIF(STATSSA_Monthly!$A$3:$A$400,STATSSA_Annual!$A34,STATSSA_Monthly!M$3:M$400)</f>
        <v>10228</v>
      </c>
      <c r="M34" s="665">
        <f>SUMIF(STATSSA_Monthly!$A$3:$A$400,STATSSA_Annual!$A34,STATSSA_Monthly!N$3:N$400)</f>
        <v>446</v>
      </c>
      <c r="N34" s="665">
        <f>SUMIF(STATSSA_Monthly!$A$3:$A$400,STATSSA_Annual!$A34,STATSSA_Monthly!O$3:O$400)</f>
        <v>325</v>
      </c>
      <c r="O34" s="665">
        <f>SUMIF(STATSSA_Monthly!$A$3:$A$400,STATSSA_Annual!$A34,STATSSA_Monthly!P$3:P$400)</f>
        <v>860</v>
      </c>
      <c r="P34" s="665">
        <f>SUMIF(STATSSA_Monthly!$A$3:$A$400,STATSSA_Annual!$A34,STATSSA_Monthly!Q$3:Q$400)</f>
        <v>8200</v>
      </c>
      <c r="Q34" s="665">
        <f>SUMIF(STATSSA_Monthly!$A$3:$A$400,STATSSA_Annual!$A34,STATSSA_Monthly!R$3:R$400)</f>
        <v>1197</v>
      </c>
      <c r="R34" s="665">
        <f>SUMIF(STATSSA_Monthly!$A$3:$A$400,STATSSA_Annual!$A34,STATSSA_Monthly!S$3:S$400)</f>
        <v>6572</v>
      </c>
      <c r="S34" s="665">
        <f>SUMIF(STATSSA_Monthly!$A$3:$A$400,STATSSA_Annual!$A34,STATSSA_Monthly!T$3:T$400)</f>
        <v>18668</v>
      </c>
      <c r="T34" s="665">
        <f>SUMIF(STATSSA_Monthly!$A$3:$A$400,STATSSA_Annual!$A34,STATSSA_Monthly!U$3:U$400)</f>
        <v>40159</v>
      </c>
      <c r="U34" s="665">
        <f>SUMIF(STATSSA_Monthly!$A$3:$A$400,STATSSA_Annual!$A34,STATSSA_Monthly!V$3:V$400)</f>
        <v>980</v>
      </c>
      <c r="V34" s="665">
        <f>SUMIF(STATSSA_Monthly!$A$3:$A$400,STATSSA_Annual!$A34,STATSSA_Monthly!W$3:W$400)</f>
        <v>102320</v>
      </c>
      <c r="W34" s="665">
        <f>SUMIF(STATSSA_Monthly!$A$3:$A$400,STATSSA_Annual!$A34,STATSSA_Monthly!X$3:X$400)</f>
        <v>184373</v>
      </c>
      <c r="X34" s="665">
        <f>SUMIF(STATSSA_Monthly!$A$3:$A$400,STATSSA_Annual!$A34,STATSSA_Monthly!Y$3:Y$400)</f>
        <v>213270</v>
      </c>
      <c r="Y34" s="665">
        <f>SUMIF(STATSSA_Monthly!$A$3:$A$400,STATSSA_Annual!$A34,STATSSA_Monthly!Z$3:Z$400)</f>
        <v>19820</v>
      </c>
      <c r="Z34" s="665">
        <f>SUMIF(STATSSA_Monthly!$A$3:$A$400,STATSSA_Annual!$A34,STATSSA_Monthly!AA$3:AA$400)</f>
        <v>7360</v>
      </c>
      <c r="AA34" s="665">
        <f>SUMIF(STATSSA_Monthly!$A$3:$A$400,STATSSA_Annual!$A34,STATSSA_Monthly!AB$3:AB$400)</f>
        <v>23039</v>
      </c>
      <c r="AB34" s="665">
        <f>SUMIF(STATSSA_Monthly!$A$3:$A$400,STATSSA_Annual!$A34,STATSSA_Monthly!AC$3:AC$400)</f>
        <v>11393</v>
      </c>
      <c r="AC34" s="665">
        <f>SUMIF(STATSSA_Monthly!$A$3:$A$400,STATSSA_Annual!$A34,STATSSA_Monthly!AD$3:AD$400)</f>
        <v>6571</v>
      </c>
      <c r="AD34" s="665">
        <f>SUMIF(STATSSA_Monthly!$A$3:$A$400,STATSSA_Annual!$A34,STATSSA_Monthly!AE$3:AE$400)</f>
        <v>221439</v>
      </c>
      <c r="AE34" s="665">
        <f>SUMIF(STATSSA_Monthly!$A$3:$A$400,STATSSA_Annual!$A34,STATSSA_Monthly!AF$3:AF$400)</f>
        <v>154475</v>
      </c>
      <c r="AF34" s="665">
        <f>SUMIF(STATSSA_Monthly!$A$3:$A$400,STATSSA_Annual!$A34,STATSSA_Monthly!AG$3:AG$400)</f>
        <v>487918</v>
      </c>
      <c r="AG34" s="665">
        <f>SUMIF(STATSSA_Monthly!$A$3:$A$400,STATSSA_Annual!$A34,STATSSA_Monthly!AH$3:AH$400)</f>
        <v>131877</v>
      </c>
      <c r="AH34" s="665">
        <f>SUMIF(STATSSA_Monthly!$A$3:$A$400,STATSSA_Annual!$A34,STATSSA_Monthly!AI$3:AI$400)</f>
        <v>9265</v>
      </c>
      <c r="AI34" s="665">
        <f>SUMIF(STATSSA_Monthly!$A$3:$A$400,STATSSA_Annual!$A34,STATSSA_Monthly!AJ$3:AJ$400)</f>
        <v>17631</v>
      </c>
      <c r="AJ34" s="665">
        <f>SUMIF(STATSSA_Monthly!$A$3:$A$400,STATSSA_Annual!$A34,STATSSA_Monthly!AK$3:AK$400)</f>
        <v>37413</v>
      </c>
      <c r="AK34" s="665">
        <f>SUMIF(STATSSA_Monthly!$A$3:$A$400,STATSSA_Annual!$A34,STATSSA_Monthly!AL$3:AL$400)</f>
        <v>7500</v>
      </c>
      <c r="AL34" s="665">
        <f>SUMIF(STATSSA_Monthly!$A$3:$A$400,STATSSA_Annual!$A34,STATSSA_Monthly!AM$3:AM$400)</f>
        <v>3890</v>
      </c>
      <c r="AM34" s="665">
        <f>SUMIF(STATSSA_Monthly!$A$3:$A$400,STATSSA_Annual!$A34,STATSSA_Monthly!AN$3:AN$400)</f>
        <v>33037</v>
      </c>
      <c r="AN34" s="665">
        <f>SUMIF(STATSSA_Monthly!$A$3:$A$400,STATSSA_Annual!$A34,STATSSA_Monthly!AO$3:AO$400)</f>
        <v>7813</v>
      </c>
      <c r="AO34" s="665">
        <f>SUMIF(STATSSA_Monthly!$A$3:$A$400,STATSSA_Annual!$A34,STATSSA_Monthly!AP$3:AP$400)</f>
        <v>8689</v>
      </c>
    </row>
    <row r="35" spans="1:41">
      <c r="A35" s="667">
        <f t="shared" si="1"/>
        <v>2017</v>
      </c>
      <c r="B35" s="314">
        <f>SUMIF(STATSSA_Monthly!$A$3:$A$500,STATSSA_Annual!$A35,STATSSA_Monthly!C$3:C$500)</f>
        <v>621127</v>
      </c>
      <c r="C35" s="314">
        <f>SUMIF(STATSSA_Monthly!$A$3:$A$500,STATSSA_Annual!$A35,STATSSA_Monthly!D$3:D$500)</f>
        <v>972317</v>
      </c>
      <c r="D35" s="314">
        <f>SUMIF(STATSSA_Monthly!$A$3:$A$500,STATSSA_Annual!$A35,STATSSA_Monthly!E$3:E$500)</f>
        <v>1148931</v>
      </c>
      <c r="E35" s="314">
        <f>SUMIF(STATSSA_Monthly!$A$3:$A$500,STATSSA_Annual!$A35,STATSSA_Monthly!F$3:F$500)</f>
        <v>267385</v>
      </c>
      <c r="F35" s="314">
        <f>SUMIF(STATSSA_Monthly!$A$3:$A$500,STATSSA_Annual!$A35,STATSSA_Monthly!G$3:G$500)</f>
        <v>131705</v>
      </c>
      <c r="G35" s="314">
        <f>SUMIF(STATSSA_Monthly!$A$3:$A$500,STATSSA_Annual!$A35,STATSSA_Monthly!H$3:H$500)</f>
        <v>189939</v>
      </c>
      <c r="H35" s="314">
        <f>SUMIF(STATSSA_Monthly!$A$3:$A$500,STATSSA_Annual!$A35,STATSSA_Monthly!I$3:I$500)</f>
        <v>319946</v>
      </c>
      <c r="I35" s="314">
        <f>SUMIF(STATSSA_Monthly!$A$3:$A$500,STATSSA_Annual!$A35,STATSSA_Monthly!J$3:J$500)</f>
        <v>103705</v>
      </c>
      <c r="J35" s="665">
        <v>3361</v>
      </c>
      <c r="K35" s="665">
        <v>1892</v>
      </c>
      <c r="L35" s="665">
        <v>20734</v>
      </c>
      <c r="M35" s="665">
        <v>5193</v>
      </c>
      <c r="N35" s="665">
        <v>3704</v>
      </c>
      <c r="O35" s="665">
        <v>1426</v>
      </c>
      <c r="P35" s="665">
        <v>2830</v>
      </c>
      <c r="Q35" s="665">
        <v>16448</v>
      </c>
      <c r="R35" s="665">
        <v>2573</v>
      </c>
      <c r="S35" s="665">
        <v>983</v>
      </c>
      <c r="T35" s="665">
        <v>1340</v>
      </c>
      <c r="U35" s="665">
        <v>10231</v>
      </c>
      <c r="V35" s="665">
        <v>71435</v>
      </c>
      <c r="W35" s="665">
        <v>527089</v>
      </c>
      <c r="X35" s="665">
        <v>178808</v>
      </c>
      <c r="Y35" s="665">
        <v>21667</v>
      </c>
      <c r="Z35" s="665">
        <v>6983</v>
      </c>
      <c r="AA35" s="665">
        <v>28110</v>
      </c>
      <c r="AB35" s="665">
        <v>19756</v>
      </c>
      <c r="AC35" s="665">
        <v>1402</v>
      </c>
      <c r="AD35" s="665">
        <v>400529</v>
      </c>
      <c r="AE35" s="665">
        <v>197137</v>
      </c>
      <c r="AF35" s="665">
        <v>553011</v>
      </c>
      <c r="AG35" s="665">
        <v>98015</v>
      </c>
      <c r="AH35" s="665">
        <v>3334</v>
      </c>
      <c r="AI35" s="665">
        <v>16180</v>
      </c>
      <c r="AJ35" s="665">
        <v>18942</v>
      </c>
      <c r="AK35" s="665">
        <v>2587</v>
      </c>
      <c r="AL35" s="665">
        <v>2349</v>
      </c>
      <c r="AM35" s="665">
        <v>4855</v>
      </c>
      <c r="AN35" s="665">
        <v>32245</v>
      </c>
      <c r="AO35" s="665">
        <v>8348</v>
      </c>
    </row>
    <row r="36" spans="1:41">
      <c r="A36" s="667">
        <f t="shared" si="1"/>
        <v>2018</v>
      </c>
      <c r="B36" s="314">
        <f>SUMIF(STATSSA_Monthly!$A$3:$A$500,STATSSA_Annual!$A36,STATSSA_Monthly!C$3:C$500)</f>
        <v>621138</v>
      </c>
      <c r="C36" s="314">
        <f>SUMIF(STATSSA_Monthly!$A$3:$A$500,STATSSA_Annual!$A36,STATSSA_Monthly!D$3:D$500)</f>
        <v>353074</v>
      </c>
      <c r="D36" s="314">
        <f>SUMIF(STATSSA_Monthly!$A$3:$A$500,STATSSA_Annual!$A36,STATSSA_Monthly!E$3:E$500)</f>
        <v>1119229</v>
      </c>
      <c r="E36" s="314">
        <f>SUMIF(STATSSA_Monthly!$A$3:$A$500,STATSSA_Annual!$A36,STATSSA_Monthly!F$3:F$500)</f>
        <v>218999</v>
      </c>
      <c r="F36" s="314">
        <f>SUMIF(STATSSA_Monthly!$A$3:$A$500,STATSSA_Annual!$A36,STATSSA_Monthly!G$3:G$500)</f>
        <v>161951</v>
      </c>
      <c r="G36" s="314">
        <f>SUMIF(STATSSA_Monthly!$A$3:$A$500,STATSSA_Annual!$A36,STATSSA_Monthly!H$3:H$500)</f>
        <v>113218</v>
      </c>
      <c r="H36" s="314">
        <f>SUMIF(STATSSA_Monthly!$A$3:$A$500,STATSSA_Annual!$A36,STATSSA_Monthly!I$3:I$500)</f>
        <v>268786</v>
      </c>
      <c r="I36" s="314">
        <f>SUMIF(STATSSA_Monthly!$A$3:$A$500,STATSSA_Annual!$A36,STATSSA_Monthly!J$3:J$500)</f>
        <v>86546</v>
      </c>
      <c r="J36" s="665">
        <v>1840</v>
      </c>
      <c r="K36" s="665">
        <v>2124</v>
      </c>
      <c r="L36" s="665">
        <v>53642</v>
      </c>
      <c r="M36" s="665">
        <v>11386</v>
      </c>
      <c r="N36" s="665">
        <v>1760</v>
      </c>
      <c r="O36" s="665">
        <v>0</v>
      </c>
      <c r="P36" s="665">
        <v>2362</v>
      </c>
      <c r="Q36" s="665">
        <v>0</v>
      </c>
      <c r="R36" s="665">
        <v>7786</v>
      </c>
      <c r="S36" s="665">
        <v>2145</v>
      </c>
      <c r="T36" s="665">
        <v>14793</v>
      </c>
      <c r="U36" s="665">
        <v>10606</v>
      </c>
      <c r="V36" s="665">
        <v>76881</v>
      </c>
      <c r="W36" s="665">
        <v>56721</v>
      </c>
      <c r="X36" s="665">
        <v>141092</v>
      </c>
      <c r="Y36" s="665">
        <v>24348</v>
      </c>
      <c r="Z36" s="665">
        <v>2379</v>
      </c>
      <c r="AA36" s="665">
        <v>14450</v>
      </c>
      <c r="AB36" s="665">
        <v>19459</v>
      </c>
      <c r="AC36" s="665">
        <v>9385</v>
      </c>
      <c r="AD36" s="665">
        <v>349086</v>
      </c>
      <c r="AE36" s="665">
        <v>120036</v>
      </c>
      <c r="AF36" s="665">
        <v>578113</v>
      </c>
      <c r="AG36" s="665">
        <v>63299</v>
      </c>
      <c r="AH36" s="665">
        <v>2336</v>
      </c>
      <c r="AI36" s="665">
        <v>16684</v>
      </c>
      <c r="AJ36" s="665">
        <v>18207</v>
      </c>
      <c r="AK36" s="665">
        <v>13129</v>
      </c>
      <c r="AL36" s="665">
        <v>12033</v>
      </c>
      <c r="AM36" s="665">
        <v>28862</v>
      </c>
      <c r="AN36" s="665">
        <v>15303</v>
      </c>
      <c r="AO36" s="665">
        <v>1234</v>
      </c>
    </row>
    <row r="37" spans="1:41">
      <c r="A37" s="667">
        <f t="shared" si="1"/>
        <v>2019</v>
      </c>
      <c r="B37" s="314">
        <f>SUMIF(STATSSA_Monthly!$A$3:$A$500,STATSSA_Annual!$A37,STATSSA_Monthly!C$3:C$500)</f>
        <v>595377</v>
      </c>
      <c r="C37" s="314">
        <f>SUMIF(STATSSA_Monthly!$A$3:$A$500,STATSSA_Annual!$A37,STATSSA_Monthly!D$3:D$500)</f>
        <v>610642</v>
      </c>
      <c r="D37" s="314">
        <f>SUMIF(STATSSA_Monthly!$A$3:$A$500,STATSSA_Annual!$A37,STATSSA_Monthly!E$3:E$500)</f>
        <v>1402640</v>
      </c>
      <c r="E37" s="314">
        <f>SUMIF(STATSSA_Monthly!$A$3:$A$500,STATSSA_Annual!$A37,STATSSA_Monthly!F$3:F$500)</f>
        <v>401533</v>
      </c>
      <c r="F37" s="314">
        <f>SUMIF(STATSSA_Monthly!$A$3:$A$500,STATSSA_Annual!$A37,STATSSA_Monthly!G$3:G$500)</f>
        <v>73610</v>
      </c>
      <c r="G37" s="314">
        <f>SUMIF(STATSSA_Monthly!$A$3:$A$500,STATSSA_Annual!$A37,STATSSA_Monthly!H$3:H$500)</f>
        <v>133733</v>
      </c>
      <c r="H37" s="314">
        <f>SUMIF(STATSSA_Monthly!$A$3:$A$500,STATSSA_Annual!$A37,STATSSA_Monthly!I$3:I$500)</f>
        <v>342000</v>
      </c>
      <c r="I37" s="314">
        <f>SUMIF(STATSSA_Monthly!$A$3:$A$500,STATSSA_Annual!$A37,STATSSA_Monthly!J$3:J$500)</f>
        <v>159248</v>
      </c>
      <c r="J37" s="665">
        <v>13191</v>
      </c>
      <c r="K37" s="665">
        <v>9307</v>
      </c>
      <c r="L37" s="665">
        <v>103744</v>
      </c>
      <c r="M37" s="665">
        <v>31182</v>
      </c>
      <c r="N37" s="665">
        <v>1098</v>
      </c>
      <c r="O37" s="665">
        <v>0</v>
      </c>
      <c r="P37" s="665">
        <v>10603</v>
      </c>
      <c r="Q37" s="665">
        <v>1106</v>
      </c>
      <c r="R37" s="665">
        <v>2239</v>
      </c>
      <c r="S37" s="665">
        <v>234</v>
      </c>
      <c r="T37" s="665">
        <v>11980</v>
      </c>
      <c r="U37" s="665">
        <v>856</v>
      </c>
      <c r="V37" s="665">
        <v>118241</v>
      </c>
      <c r="W37" s="665">
        <v>65039</v>
      </c>
      <c r="X37" s="665">
        <v>375767</v>
      </c>
      <c r="Y37" s="665">
        <v>49653</v>
      </c>
      <c r="Z37" s="665">
        <v>4900</v>
      </c>
      <c r="AA37" s="665">
        <v>19240</v>
      </c>
      <c r="AB37" s="665">
        <v>14617</v>
      </c>
      <c r="AC37" s="665">
        <v>12337</v>
      </c>
      <c r="AD37" s="665">
        <v>363182</v>
      </c>
      <c r="AE37" s="665">
        <v>346419</v>
      </c>
      <c r="AF37" s="665">
        <v>520196</v>
      </c>
      <c r="AG37" s="665">
        <v>138544</v>
      </c>
      <c r="AH37" s="665">
        <v>16919</v>
      </c>
      <c r="AI37" s="665">
        <v>28238</v>
      </c>
      <c r="AJ37" s="665">
        <v>14229</v>
      </c>
      <c r="AK37" s="665">
        <v>6757</v>
      </c>
      <c r="AL37" s="665">
        <v>1997</v>
      </c>
      <c r="AM37" s="665">
        <v>8432</v>
      </c>
      <c r="AN37" s="665">
        <v>9504</v>
      </c>
      <c r="AO37" s="665">
        <v>1850</v>
      </c>
    </row>
    <row r="38" spans="1:41">
      <c r="A38" s="667">
        <f t="shared" si="1"/>
        <v>2020</v>
      </c>
      <c r="B38" s="314">
        <f>SUMIF(STATSSA_Monthly!$A$3:$A$500,STATSSA_Annual!$A38,STATSSA_Monthly!C$3:C$500)</f>
        <v>394953</v>
      </c>
      <c r="C38" s="314">
        <f>SUMIF(STATSSA_Monthly!$A$3:$A$500,STATSSA_Annual!$A38,STATSSA_Monthly!D$3:D$500)</f>
        <v>240025</v>
      </c>
      <c r="D38" s="314">
        <f>SUMIF(STATSSA_Monthly!$A$3:$A$500,STATSSA_Annual!$A38,STATSSA_Monthly!E$3:E$500)</f>
        <v>1076668</v>
      </c>
      <c r="E38" s="314">
        <f>SUMIF(STATSSA_Monthly!$A$3:$A$500,STATSSA_Annual!$A38,STATSSA_Monthly!F$3:F$500)</f>
        <v>136958</v>
      </c>
      <c r="F38" s="314">
        <f>SUMIF(STATSSA_Monthly!$A$3:$A$500,STATSSA_Annual!$A38,STATSSA_Monthly!G$3:G$500)</f>
        <v>87562</v>
      </c>
      <c r="G38" s="314">
        <f>SUMIF(STATSSA_Monthly!$A$3:$A$500,STATSSA_Annual!$A38,STATSSA_Monthly!H$3:H$500)</f>
        <v>90562</v>
      </c>
      <c r="H38" s="314">
        <f>SUMIF(STATSSA_Monthly!$A$3:$A$500,STATSSA_Annual!$A38,STATSSA_Monthly!I$3:I$500)</f>
        <v>151424</v>
      </c>
      <c r="I38" s="314">
        <f>SUMIF(STATSSA_Monthly!$A$3:$A$500,STATSSA_Annual!$A38,STATSSA_Monthly!J$3:J$500)</f>
        <v>74490</v>
      </c>
      <c r="J38" s="665">
        <v>1070</v>
      </c>
      <c r="K38" s="665">
        <v>2369</v>
      </c>
      <c r="L38" s="665">
        <v>82129</v>
      </c>
      <c r="M38" s="665">
        <v>1852</v>
      </c>
      <c r="N38" s="665">
        <v>400</v>
      </c>
      <c r="O38" s="665">
        <v>4775</v>
      </c>
      <c r="P38" s="665">
        <v>13768</v>
      </c>
      <c r="Q38" s="665">
        <v>1470</v>
      </c>
      <c r="R38" s="665">
        <v>6713</v>
      </c>
      <c r="S38" s="665">
        <v>3620</v>
      </c>
      <c r="T38" s="665">
        <v>15415</v>
      </c>
      <c r="U38" s="665">
        <v>0</v>
      </c>
      <c r="V38" s="665">
        <v>29615</v>
      </c>
      <c r="W38" s="665">
        <v>17559</v>
      </c>
      <c r="X38" s="665">
        <v>418962</v>
      </c>
      <c r="Y38" s="665">
        <v>14130</v>
      </c>
      <c r="Z38" s="665">
        <v>5785</v>
      </c>
      <c r="AA38" s="665">
        <v>21516</v>
      </c>
      <c r="AB38" s="665">
        <v>6751</v>
      </c>
      <c r="AC38" s="665">
        <v>2194</v>
      </c>
      <c r="AD38" s="665">
        <v>254755</v>
      </c>
      <c r="AE38" s="665">
        <v>78085</v>
      </c>
      <c r="AF38" s="665">
        <v>340737</v>
      </c>
      <c r="AG38" s="665">
        <v>22799</v>
      </c>
      <c r="AH38" s="665">
        <v>863</v>
      </c>
      <c r="AI38" s="665">
        <v>20575</v>
      </c>
      <c r="AJ38" s="665">
        <v>16809</v>
      </c>
      <c r="AK38" s="665">
        <v>9586</v>
      </c>
      <c r="AL38" s="665">
        <v>8190</v>
      </c>
      <c r="AM38" s="665">
        <v>964</v>
      </c>
      <c r="AN38" s="665">
        <v>30673</v>
      </c>
      <c r="AO38" s="665">
        <v>10437</v>
      </c>
    </row>
    <row r="39" spans="1:41">
      <c r="A39" s="667">
        <f t="shared" si="1"/>
        <v>2021</v>
      </c>
      <c r="B39" s="314">
        <f>SUMIF(STATSSA_Monthly!$A$3:$A$500,STATSSA_Annual!$A39,STATSSA_Monthly!C$3:C$500)</f>
        <v>188909</v>
      </c>
      <c r="C39" s="314">
        <f>SUMIF(STATSSA_Monthly!$A$3:$A$500,STATSSA_Annual!$A39,STATSSA_Monthly!D$3:D$500)</f>
        <v>471465</v>
      </c>
      <c r="D39" s="314">
        <f>SUMIF(STATSSA_Monthly!$A$3:$A$500,STATSSA_Annual!$A39,STATSSA_Monthly!E$3:E$500)</f>
        <v>944959</v>
      </c>
      <c r="E39" s="314">
        <f>SUMIF(STATSSA_Monthly!$A$3:$A$500,STATSSA_Annual!$A39,STATSSA_Monthly!F$3:F$500)</f>
        <v>173560</v>
      </c>
      <c r="F39" s="314">
        <f>SUMIF(STATSSA_Monthly!$A$3:$A$500,STATSSA_Annual!$A39,STATSSA_Monthly!G$3:G$500)</f>
        <v>101600</v>
      </c>
      <c r="G39" s="314">
        <f>SUMIF(STATSSA_Monthly!$A$3:$A$500,STATSSA_Annual!$A39,STATSSA_Monthly!H$3:H$500)</f>
        <v>109695</v>
      </c>
      <c r="H39" s="314">
        <f>SUMIF(STATSSA_Monthly!$A$3:$A$500,STATSSA_Annual!$A39,STATSSA_Monthly!I$3:I$500)</f>
        <v>305719</v>
      </c>
      <c r="I39" s="314">
        <f>SUMIF(STATSSA_Monthly!$A$3:$A$500,STATSSA_Annual!$A39,STATSSA_Monthly!J$3:J$500)</f>
        <v>57537</v>
      </c>
      <c r="J39" s="665">
        <v>12747</v>
      </c>
      <c r="K39" s="665">
        <v>3605</v>
      </c>
      <c r="L39" s="665">
        <v>115471</v>
      </c>
      <c r="M39" s="665">
        <v>19116</v>
      </c>
      <c r="N39" s="665">
        <v>1040</v>
      </c>
      <c r="O39" s="665">
        <v>1190</v>
      </c>
      <c r="P39" s="665">
        <v>4188</v>
      </c>
      <c r="Q39" s="665">
        <v>449</v>
      </c>
      <c r="R39" s="665">
        <v>147</v>
      </c>
      <c r="S39" s="665">
        <v>538</v>
      </c>
      <c r="T39" s="665">
        <v>6315</v>
      </c>
      <c r="U39" s="665">
        <v>4706</v>
      </c>
      <c r="V39" s="665">
        <v>27611</v>
      </c>
      <c r="W39" s="665">
        <v>111176</v>
      </c>
      <c r="X39" s="665">
        <v>111282</v>
      </c>
      <c r="Y39" s="665">
        <v>6761</v>
      </c>
      <c r="Z39" s="665">
        <v>7339</v>
      </c>
      <c r="AA39" s="665">
        <v>119727</v>
      </c>
      <c r="AB39" s="665">
        <v>9764</v>
      </c>
      <c r="AC39" s="665">
        <v>520</v>
      </c>
      <c r="AD39" s="665">
        <v>30407</v>
      </c>
      <c r="AE39" s="665">
        <v>115114</v>
      </c>
      <c r="AF39" s="665">
        <v>379629</v>
      </c>
      <c r="AG39" s="665">
        <v>77637</v>
      </c>
      <c r="AH39" s="665">
        <v>6989</v>
      </c>
      <c r="AI39" s="665">
        <v>7840</v>
      </c>
      <c r="AJ39" s="665">
        <v>10410</v>
      </c>
      <c r="AK39" s="665">
        <v>3964</v>
      </c>
      <c r="AL39" s="665">
        <v>1029</v>
      </c>
      <c r="AM39" s="665">
        <v>2580</v>
      </c>
      <c r="AN39" s="665">
        <v>2181</v>
      </c>
      <c r="AO39" s="665">
        <v>2870</v>
      </c>
    </row>
    <row r="40" spans="1:41">
      <c r="A40" s="667">
        <f t="shared" si="1"/>
        <v>2022</v>
      </c>
      <c r="B40" s="314">
        <f>SUMIF(STATSSA_Monthly!$A$3:$A$500,STATSSA_Annual!$A40,STATSSA_Monthly!C$3:C$500)</f>
        <v>128128</v>
      </c>
      <c r="C40" s="314">
        <f>SUMIF(STATSSA_Monthly!$A$3:$A$500,STATSSA_Annual!$A40,STATSSA_Monthly!D$3:D$500)</f>
        <v>370925</v>
      </c>
      <c r="D40" s="314">
        <f>SUMIF(STATSSA_Monthly!$A$3:$A$500,STATSSA_Annual!$A40,STATSSA_Monthly!E$3:E$500)</f>
        <v>1232155</v>
      </c>
      <c r="E40" s="314">
        <f>SUMIF(STATSSA_Monthly!$A$3:$A$500,STATSSA_Annual!$A40,STATSSA_Monthly!F$3:F$500)</f>
        <v>282797</v>
      </c>
      <c r="F40" s="314">
        <f>SUMIF(STATSSA_Monthly!$A$3:$A$500,STATSSA_Annual!$A40,STATSSA_Monthly!G$3:G$500)</f>
        <v>68472</v>
      </c>
      <c r="G40" s="314">
        <f>SUMIF(STATSSA_Monthly!$A$3:$A$500,STATSSA_Annual!$A40,STATSSA_Monthly!H$3:H$500)</f>
        <v>95637</v>
      </c>
      <c r="H40" s="314">
        <f>SUMIF(STATSSA_Monthly!$A$3:$A$500,STATSSA_Annual!$A40,STATSSA_Monthly!I$3:I$500)</f>
        <v>252461</v>
      </c>
      <c r="I40" s="314">
        <f>SUMIF(STATSSA_Monthly!$A$3:$A$500,STATSSA_Annual!$A40,STATSSA_Monthly!J$3:J$500)</f>
        <v>147582</v>
      </c>
      <c r="J40" s="665">
        <v>3921</v>
      </c>
      <c r="K40" s="665">
        <v>29013</v>
      </c>
      <c r="L40" s="665">
        <v>12111</v>
      </c>
      <c r="M40" s="665">
        <v>35736</v>
      </c>
      <c r="N40" s="665">
        <v>1466</v>
      </c>
      <c r="O40" s="665">
        <v>249</v>
      </c>
      <c r="P40" s="665">
        <v>22619</v>
      </c>
      <c r="Q40" s="665">
        <v>442</v>
      </c>
      <c r="R40" s="665">
        <v>261</v>
      </c>
      <c r="S40" s="665">
        <v>207</v>
      </c>
      <c r="T40" s="665">
        <v>2786</v>
      </c>
      <c r="U40" s="665">
        <v>353</v>
      </c>
      <c r="V40" s="665">
        <v>10858</v>
      </c>
      <c r="W40" s="665">
        <v>58740</v>
      </c>
      <c r="X40" s="665">
        <v>301253</v>
      </c>
      <c r="Y40" s="665">
        <v>23186</v>
      </c>
      <c r="Z40" s="665">
        <v>1309</v>
      </c>
      <c r="AA40" s="665">
        <v>49168</v>
      </c>
      <c r="AB40" s="665">
        <v>19617</v>
      </c>
      <c r="AC40" s="665">
        <v>18363</v>
      </c>
      <c r="AD40" s="665">
        <v>40386</v>
      </c>
      <c r="AE40" s="665">
        <v>126940</v>
      </c>
      <c r="AF40" s="665">
        <v>587462</v>
      </c>
      <c r="AG40" s="665">
        <v>44355</v>
      </c>
      <c r="AH40" s="665">
        <v>1455</v>
      </c>
      <c r="AI40" s="665">
        <v>0</v>
      </c>
      <c r="AJ40" s="665">
        <v>14497</v>
      </c>
      <c r="AK40" s="665">
        <v>8599</v>
      </c>
      <c r="AL40" s="665">
        <v>0</v>
      </c>
      <c r="AM40" s="665">
        <v>10971</v>
      </c>
      <c r="AN40" s="665">
        <v>19349</v>
      </c>
      <c r="AO40" s="665">
        <v>4181</v>
      </c>
    </row>
    <row r="42" spans="1:41">
      <c r="Y42" s="661"/>
    </row>
    <row r="43" spans="1:41">
      <c r="Y43" s="661"/>
      <c r="AC43" s="661"/>
      <c r="AG43" s="661"/>
    </row>
    <row r="44" spans="1:41">
      <c r="Y44" s="661"/>
      <c r="AC44" s="661"/>
      <c r="AG44" s="661"/>
      <c r="AK44" s="661"/>
      <c r="AO44" s="661"/>
    </row>
    <row r="45" spans="1:41">
      <c r="Y45" s="661"/>
      <c r="AC45" s="661"/>
      <c r="AG45" s="661"/>
      <c r="AK45" s="661"/>
      <c r="AO45" s="661"/>
    </row>
    <row r="46" spans="1:41">
      <c r="Y46" s="661"/>
      <c r="AC46" s="661"/>
      <c r="AG46" s="661"/>
      <c r="AK46" s="661"/>
      <c r="AO46" s="661"/>
    </row>
    <row r="47" spans="1:41">
      <c r="Y47" s="661"/>
      <c r="AC47" s="661"/>
      <c r="AG47" s="661"/>
      <c r="AK47" s="661"/>
      <c r="AO47" s="661"/>
    </row>
    <row r="48" spans="1:41">
      <c r="Y48" s="661"/>
      <c r="AC48" s="661"/>
      <c r="AG48" s="661"/>
      <c r="AK48" s="661"/>
      <c r="AO48" s="661"/>
    </row>
    <row r="49" spans="2:41">
      <c r="AC49" s="661"/>
      <c r="AG49" s="661"/>
      <c r="AK49" s="661"/>
      <c r="AO49" s="661"/>
    </row>
    <row r="50" spans="2:41">
      <c r="B50" s="547"/>
      <c r="AK50" s="661"/>
      <c r="AO50" s="661"/>
    </row>
    <row r="51" spans="2:41">
      <c r="B51" s="547"/>
      <c r="C51" s="581"/>
    </row>
    <row r="52" spans="2:41">
      <c r="B52" s="547"/>
      <c r="C52" s="581"/>
    </row>
    <row r="53" spans="2:41">
      <c r="B53" s="547"/>
      <c r="C53" s="581"/>
    </row>
    <row r="54" spans="2:41">
      <c r="B54" s="547"/>
      <c r="C54" s="581"/>
    </row>
    <row r="55" spans="2:41">
      <c r="B55" s="547"/>
      <c r="C55" s="581"/>
    </row>
    <row r="56" spans="2:41">
      <c r="B56" s="547"/>
      <c r="C56" s="581"/>
    </row>
    <row r="57" spans="2:41">
      <c r="B57" s="547"/>
      <c r="C57" s="582"/>
    </row>
    <row r="58" spans="2:41">
      <c r="B58" s="547"/>
      <c r="C58" s="582"/>
    </row>
    <row r="59" spans="2:41">
      <c r="B59" s="547"/>
      <c r="C59" s="582"/>
    </row>
    <row r="60" spans="2:41">
      <c r="B60" s="547"/>
      <c r="C60" s="582"/>
    </row>
    <row r="61" spans="2:41">
      <c r="B61" s="547"/>
      <c r="C61" s="582"/>
    </row>
    <row r="62" spans="2:41">
      <c r="B62" s="547"/>
      <c r="C62" s="582"/>
    </row>
    <row r="63" spans="2:41">
      <c r="B63" s="547"/>
      <c r="C63" s="582"/>
    </row>
    <row r="64" spans="2:41">
      <c r="B64" s="547"/>
      <c r="C64" s="582"/>
    </row>
    <row r="65" spans="2:3">
      <c r="B65" s="547"/>
      <c r="C65" s="582"/>
    </row>
    <row r="66" spans="2:3">
      <c r="B66" s="547"/>
      <c r="C66" s="582"/>
    </row>
    <row r="67" spans="2:3">
      <c r="B67" s="547"/>
      <c r="C67" s="582"/>
    </row>
    <row r="68" spans="2:3">
      <c r="B68" s="547"/>
      <c r="C68" s="582"/>
    </row>
  </sheetData>
  <mergeCells count="10">
    <mergeCell ref="Z1:AC1"/>
    <mergeCell ref="AD1:AG1"/>
    <mergeCell ref="AH1:AK1"/>
    <mergeCell ref="AL1:AO1"/>
    <mergeCell ref="B1:E1"/>
    <mergeCell ref="F1:I1"/>
    <mergeCell ref="J1:M1"/>
    <mergeCell ref="N1:Q1"/>
    <mergeCell ref="R1:U1"/>
    <mergeCell ref="V1:Y1"/>
  </mergeCell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0070C0"/>
  </sheetPr>
  <dimension ref="A1:Q64"/>
  <sheetViews>
    <sheetView topLeftCell="A3" workbookViewId="0">
      <selection activeCell="K37" sqref="K37"/>
    </sheetView>
  </sheetViews>
  <sheetFormatPr defaultColWidth="9.140625" defaultRowHeight="12"/>
  <cols>
    <col min="1" max="1" width="9.140625" style="584"/>
    <col min="2" max="2" width="9.42578125" style="584" bestFit="1" customWidth="1"/>
    <col min="3" max="4" width="9.28515625" style="584" bestFit="1" customWidth="1"/>
    <col min="5" max="6" width="9.28515625" style="584" customWidth="1"/>
    <col min="7" max="7" width="9.140625" style="584"/>
    <col min="8" max="9" width="9.28515625" style="584" bestFit="1" customWidth="1"/>
    <col min="10" max="11" width="9.140625" style="584"/>
    <col min="12" max="12" width="18.28515625" style="584" customWidth="1"/>
    <col min="13" max="16384" width="9.140625" style="584"/>
  </cols>
  <sheetData>
    <row r="1" spans="1:11">
      <c r="C1" s="588"/>
      <c r="D1" s="588"/>
      <c r="E1" s="588"/>
      <c r="F1" s="588"/>
      <c r="K1" s="593" t="s">
        <v>1251</v>
      </c>
    </row>
    <row r="2" spans="1:11">
      <c r="C2" s="584" t="s">
        <v>1247</v>
      </c>
      <c r="D2" s="584" t="str">
        <f>C2</f>
        <v>GDP</v>
      </c>
    </row>
    <row r="3" spans="1:11">
      <c r="B3" s="584" t="s">
        <v>1142</v>
      </c>
      <c r="C3" s="584" t="s">
        <v>1245</v>
      </c>
      <c r="D3" s="584" t="s">
        <v>1248</v>
      </c>
    </row>
    <row r="4" spans="1:11">
      <c r="B4" s="584" t="s">
        <v>712</v>
      </c>
      <c r="C4" s="584" t="s">
        <v>1246</v>
      </c>
      <c r="D4" s="584" t="s">
        <v>1248</v>
      </c>
      <c r="H4" s="584" t="s">
        <v>1250</v>
      </c>
    </row>
    <row r="5" spans="1:11">
      <c r="A5" s="584">
        <f>YEAR(B5)</f>
        <v>1993</v>
      </c>
      <c r="B5" s="585">
        <v>34334</v>
      </c>
      <c r="C5" s="584">
        <v>1601002.557</v>
      </c>
      <c r="G5" s="584" t="s">
        <v>1247</v>
      </c>
      <c r="H5" s="584" t="s">
        <v>1249</v>
      </c>
      <c r="K5" s="589"/>
    </row>
    <row r="6" spans="1:11">
      <c r="A6" s="584">
        <f t="shared" ref="A6:A34" si="0">YEAR(B6)</f>
        <v>1994</v>
      </c>
      <c r="B6" s="585">
        <v>34699</v>
      </c>
      <c r="C6" s="584">
        <v>1652234.639</v>
      </c>
      <c r="D6" s="586">
        <f t="shared" ref="D6:D27" si="1">(C6/C5-1)*100</f>
        <v>3.2000000109930982</v>
      </c>
      <c r="E6" s="586"/>
      <c r="F6" s="587">
        <f t="shared" ref="F6:F28" si="2">YEAR(B6)</f>
        <v>1994</v>
      </c>
      <c r="G6" s="586">
        <f t="shared" ref="G6:G27" si="3">IF(ISERROR(VLOOKUP($F6,$A$5:$D$62,COLUMNS($A$5:$D$5),)),(0),(VLOOKUP($F6,$A$5:$D$62,COLUMNS($A$5:$D$5),)))</f>
        <v>3.2000000109930982</v>
      </c>
      <c r="H6" s="586">
        <f>('floor space forecast_SA'!C22/'floor space forecast_SA'!C21-1)*100</f>
        <v>1.6849612109201662</v>
      </c>
      <c r="I6" s="586"/>
      <c r="K6" s="589"/>
    </row>
    <row r="7" spans="1:11">
      <c r="A7" s="584">
        <f t="shared" si="0"/>
        <v>1995</v>
      </c>
      <c r="B7" s="585">
        <v>35064</v>
      </c>
      <c r="C7" s="584">
        <v>1703453.9129999999</v>
      </c>
      <c r="D7" s="586">
        <f t="shared" si="1"/>
        <v>3.1000000115601001</v>
      </c>
      <c r="E7" s="586"/>
      <c r="F7" s="587">
        <f t="shared" si="2"/>
        <v>1995</v>
      </c>
      <c r="G7" s="586">
        <f t="shared" si="3"/>
        <v>3.1000000115601001</v>
      </c>
      <c r="H7" s="586">
        <f>('floor space forecast_SA'!C23/'floor space forecast_SA'!C22-1)*100</f>
        <v>1.0326329353739006</v>
      </c>
      <c r="I7" s="586"/>
      <c r="K7" s="589"/>
    </row>
    <row r="8" spans="1:11">
      <c r="A8" s="584">
        <f t="shared" si="0"/>
        <v>1996</v>
      </c>
      <c r="B8" s="585">
        <v>35430</v>
      </c>
      <c r="C8" s="584">
        <v>1776702.4310000001</v>
      </c>
      <c r="D8" s="586">
        <f t="shared" si="1"/>
        <v>4.2999999847955994</v>
      </c>
      <c r="E8" s="586"/>
      <c r="F8" s="587">
        <f t="shared" si="2"/>
        <v>1996</v>
      </c>
      <c r="G8" s="586">
        <f t="shared" si="3"/>
        <v>4.2999999847955994</v>
      </c>
      <c r="H8" s="586">
        <f>('floor space forecast_SA'!C24/'floor space forecast_SA'!C23-1)*100</f>
        <v>0.9501450335362982</v>
      </c>
      <c r="I8" s="586">
        <f>H8/G6</f>
        <v>0.29692032196007001</v>
      </c>
      <c r="K8" s="589"/>
    </row>
    <row r="9" spans="1:11">
      <c r="A9" s="584">
        <f t="shared" si="0"/>
        <v>1997</v>
      </c>
      <c r="B9" s="585">
        <v>35795</v>
      </c>
      <c r="C9" s="584">
        <v>1822896.6939999999</v>
      </c>
      <c r="D9" s="586">
        <f t="shared" si="1"/>
        <v>2.599999988405477</v>
      </c>
      <c r="E9" s="586"/>
      <c r="F9" s="587">
        <f t="shared" si="2"/>
        <v>1997</v>
      </c>
      <c r="G9" s="586">
        <f t="shared" si="3"/>
        <v>2.599999988405477</v>
      </c>
      <c r="H9" s="586">
        <f>('floor space forecast_SA'!C25/'floor space forecast_SA'!C24-1)*100</f>
        <v>1.3218345354224503</v>
      </c>
      <c r="I9" s="586">
        <f t="shared" ref="I9:I34" si="4">H9/G7</f>
        <v>0.42639823564298196</v>
      </c>
      <c r="K9" s="589"/>
    </row>
    <row r="10" spans="1:11">
      <c r="A10" s="584">
        <f t="shared" si="0"/>
        <v>1998</v>
      </c>
      <c r="B10" s="585">
        <v>36160</v>
      </c>
      <c r="C10" s="584">
        <v>1832011.1780000001</v>
      </c>
      <c r="D10" s="586">
        <f t="shared" si="1"/>
        <v>0.50000002907462093</v>
      </c>
      <c r="E10" s="586"/>
      <c r="F10" s="587">
        <f t="shared" si="2"/>
        <v>1998</v>
      </c>
      <c r="G10" s="586">
        <f t="shared" si="3"/>
        <v>0.50000002907462093</v>
      </c>
      <c r="H10" s="586">
        <f>('floor space forecast_SA'!C26/'floor space forecast_SA'!C25-1)*100</f>
        <v>1.4752265673133369</v>
      </c>
      <c r="I10" s="586">
        <f t="shared" si="4"/>
        <v>0.34307594709990724</v>
      </c>
      <c r="K10" s="589"/>
    </row>
    <row r="11" spans="1:11">
      <c r="A11" s="584">
        <f t="shared" si="0"/>
        <v>1999</v>
      </c>
      <c r="B11" s="585">
        <v>36525</v>
      </c>
      <c r="C11" s="584">
        <v>1875979.446</v>
      </c>
      <c r="D11" s="586">
        <f t="shared" si="1"/>
        <v>2.399999985152923</v>
      </c>
      <c r="E11" s="586"/>
      <c r="F11" s="587">
        <f t="shared" si="2"/>
        <v>1999</v>
      </c>
      <c r="G11" s="586">
        <f t="shared" si="3"/>
        <v>2.399999985152923</v>
      </c>
      <c r="H11" s="586">
        <f>('floor space forecast_SA'!C27/'floor space forecast_SA'!C26-1)*100</f>
        <v>1.4775611345893225</v>
      </c>
      <c r="I11" s="586">
        <f t="shared" si="4"/>
        <v>0.56829274660707918</v>
      </c>
      <c r="K11" s="589"/>
    </row>
    <row r="12" spans="1:11">
      <c r="A12" s="584">
        <f t="shared" si="0"/>
        <v>2000</v>
      </c>
      <c r="B12" s="585">
        <v>36891</v>
      </c>
      <c r="C12" s="584">
        <v>1954770.5830000001</v>
      </c>
      <c r="D12" s="586">
        <f t="shared" si="1"/>
        <v>4.2000000142858873</v>
      </c>
      <c r="E12" s="586"/>
      <c r="F12" s="587">
        <f t="shared" si="2"/>
        <v>2000</v>
      </c>
      <c r="G12" s="586">
        <f t="shared" si="3"/>
        <v>4.2000000142858873</v>
      </c>
      <c r="H12" s="586">
        <f>('floor space forecast_SA'!C28/'floor space forecast_SA'!C27-1)*100</f>
        <v>1.0510838735026784</v>
      </c>
      <c r="I12" s="586">
        <f t="shared" si="4"/>
        <v>2.1021676247659031</v>
      </c>
      <c r="K12" s="589"/>
    </row>
    <row r="13" spans="1:11">
      <c r="A13" s="584">
        <f t="shared" si="0"/>
        <v>2001</v>
      </c>
      <c r="B13" s="585">
        <v>37256</v>
      </c>
      <c r="C13" s="584">
        <v>2007549.389</v>
      </c>
      <c r="D13" s="586">
        <f t="shared" si="1"/>
        <v>2.7000000132496371</v>
      </c>
      <c r="E13" s="586"/>
      <c r="F13" s="587">
        <f t="shared" si="2"/>
        <v>2001</v>
      </c>
      <c r="G13" s="586">
        <f t="shared" si="3"/>
        <v>2.7000000132496371</v>
      </c>
      <c r="H13" s="586">
        <f>('floor space forecast_SA'!C29/'floor space forecast_SA'!C28-1)*100</f>
        <v>1.199981738777689</v>
      </c>
      <c r="I13" s="586">
        <f t="shared" si="4"/>
        <v>0.49999239425046438</v>
      </c>
      <c r="K13" s="589"/>
    </row>
    <row r="14" spans="1:11">
      <c r="A14" s="584">
        <f t="shared" si="0"/>
        <v>2002</v>
      </c>
      <c r="B14" s="585">
        <v>37621</v>
      </c>
      <c r="C14" s="584">
        <v>2081836.2320000001</v>
      </c>
      <c r="D14" s="586">
        <f t="shared" si="1"/>
        <v>3.7003743672280986</v>
      </c>
      <c r="E14" s="586"/>
      <c r="F14" s="587">
        <f t="shared" si="2"/>
        <v>2002</v>
      </c>
      <c r="G14" s="586">
        <f t="shared" si="3"/>
        <v>3.7003743672280986</v>
      </c>
      <c r="H14" s="586">
        <f>('floor space forecast_SA'!C30/'floor space forecast_SA'!C29-1)*100</f>
        <v>1.3027336429379144</v>
      </c>
      <c r="I14" s="586">
        <f t="shared" si="4"/>
        <v>0.31017467583495095</v>
      </c>
      <c r="K14" s="589"/>
    </row>
    <row r="15" spans="1:11">
      <c r="A15" s="584">
        <f t="shared" si="0"/>
        <v>2003</v>
      </c>
      <c r="B15" s="585">
        <v>37986</v>
      </c>
      <c r="C15" s="584">
        <v>2143231.1540000001</v>
      </c>
      <c r="D15" s="586">
        <f t="shared" si="1"/>
        <v>2.9490754871250635</v>
      </c>
      <c r="E15" s="586"/>
      <c r="F15" s="587">
        <f t="shared" si="2"/>
        <v>2003</v>
      </c>
      <c r="G15" s="586">
        <f t="shared" si="3"/>
        <v>2.9490754871250635</v>
      </c>
      <c r="H15" s="586">
        <f>('floor space forecast_SA'!C31/'floor space forecast_SA'!C30-1)*100</f>
        <v>0.93963186459988801</v>
      </c>
      <c r="I15" s="586">
        <f t="shared" si="4"/>
        <v>0.34801179999587334</v>
      </c>
      <c r="K15" s="589"/>
    </row>
    <row r="16" spans="1:11">
      <c r="A16" s="584">
        <f t="shared" si="0"/>
        <v>2004</v>
      </c>
      <c r="B16" s="585">
        <v>38352</v>
      </c>
      <c r="C16" s="584">
        <v>2240845.9010000001</v>
      </c>
      <c r="D16" s="586">
        <f t="shared" si="1"/>
        <v>4.5545599137926773</v>
      </c>
      <c r="E16" s="586"/>
      <c r="F16" s="587">
        <f t="shared" si="2"/>
        <v>2004</v>
      </c>
      <c r="G16" s="586">
        <f t="shared" si="3"/>
        <v>4.5545599137926773</v>
      </c>
      <c r="H16" s="586">
        <f>('floor space forecast_SA'!C32/'floor space forecast_SA'!C31-1)*100</f>
        <v>0.96369159485705236</v>
      </c>
      <c r="I16" s="586">
        <f t="shared" si="4"/>
        <v>0.26043083732064143</v>
      </c>
      <c r="K16" s="589"/>
    </row>
    <row r="17" spans="1:17">
      <c r="A17" s="584">
        <f t="shared" si="0"/>
        <v>2005</v>
      </c>
      <c r="B17" s="585">
        <v>38717</v>
      </c>
      <c r="C17" s="584">
        <v>2359096.5040000002</v>
      </c>
      <c r="D17" s="586">
        <f t="shared" si="1"/>
        <v>5.2770519805591887</v>
      </c>
      <c r="E17" s="586"/>
      <c r="F17" s="587">
        <f t="shared" si="2"/>
        <v>2005</v>
      </c>
      <c r="G17" s="586">
        <f t="shared" si="3"/>
        <v>5.2770519805591887</v>
      </c>
      <c r="H17" s="586">
        <f>('floor space forecast_SA'!C33/'floor space forecast_SA'!C32-1)*100</f>
        <v>0.8259084040117548</v>
      </c>
      <c r="I17" s="586">
        <f t="shared" si="4"/>
        <v>0.28005671866232901</v>
      </c>
      <c r="K17" s="589"/>
    </row>
    <row r="18" spans="1:17">
      <c r="A18" s="584">
        <f t="shared" si="0"/>
        <v>2006</v>
      </c>
      <c r="B18" s="585">
        <v>39082</v>
      </c>
      <c r="C18" s="584">
        <v>2491295.7059999998</v>
      </c>
      <c r="D18" s="586">
        <f t="shared" si="1"/>
        <v>5.6038064477585969</v>
      </c>
      <c r="E18" s="586"/>
      <c r="F18" s="587">
        <f t="shared" si="2"/>
        <v>2006</v>
      </c>
      <c r="G18" s="586">
        <f t="shared" si="3"/>
        <v>5.6038064477585969</v>
      </c>
      <c r="H18" s="586">
        <f>('floor space forecast_SA'!C34/'floor space forecast_SA'!C33-1)*100</f>
        <v>0.85364329473200939</v>
      </c>
      <c r="I18" s="586">
        <f t="shared" si="4"/>
        <v>0.1874260764792888</v>
      </c>
      <c r="K18" s="589"/>
    </row>
    <row r="19" spans="1:17">
      <c r="A19" s="584">
        <f t="shared" si="0"/>
        <v>2007</v>
      </c>
      <c r="B19" s="585">
        <v>39447</v>
      </c>
      <c r="C19" s="584">
        <v>2624840.966</v>
      </c>
      <c r="D19" s="586">
        <f t="shared" si="1"/>
        <v>5.3604740568681475</v>
      </c>
      <c r="E19" s="586"/>
      <c r="F19" s="587">
        <f t="shared" si="2"/>
        <v>2007</v>
      </c>
      <c r="G19" s="586">
        <f t="shared" si="3"/>
        <v>5.3604740568681475</v>
      </c>
      <c r="H19" s="586">
        <f>('floor space forecast_SA'!C35/'floor space forecast_SA'!C34-1)*100</f>
        <v>0.90818575870370566</v>
      </c>
      <c r="I19" s="586">
        <f t="shared" si="4"/>
        <v>0.17210096888366613</v>
      </c>
      <c r="K19" s="589"/>
    </row>
    <row r="20" spans="1:17">
      <c r="A20" s="584">
        <f t="shared" si="0"/>
        <v>2008</v>
      </c>
      <c r="B20" s="585">
        <v>39813</v>
      </c>
      <c r="C20" s="584">
        <v>2708600.7930000001</v>
      </c>
      <c r="D20" s="586">
        <f t="shared" si="1"/>
        <v>3.1910438797990048</v>
      </c>
      <c r="E20" s="586"/>
      <c r="F20" s="587">
        <f t="shared" si="2"/>
        <v>2008</v>
      </c>
      <c r="G20" s="586">
        <f t="shared" si="3"/>
        <v>3.1910438797990048</v>
      </c>
      <c r="H20" s="586">
        <f>('floor space forecast_SA'!C36/'floor space forecast_SA'!C35-1)*100</f>
        <v>1.2901977810053422</v>
      </c>
      <c r="I20" s="586">
        <f t="shared" si="4"/>
        <v>0.23023596425629472</v>
      </c>
      <c r="K20" s="589"/>
    </row>
    <row r="21" spans="1:17">
      <c r="A21" s="584">
        <f t="shared" si="0"/>
        <v>2009</v>
      </c>
      <c r="B21" s="585">
        <v>40178</v>
      </c>
      <c r="C21" s="584">
        <v>2666940.0980000002</v>
      </c>
      <c r="D21" s="586">
        <f t="shared" si="1"/>
        <v>-1.5380891531770247</v>
      </c>
      <c r="E21" s="586"/>
      <c r="F21" s="587">
        <f t="shared" si="2"/>
        <v>2009</v>
      </c>
      <c r="G21" s="586">
        <f t="shared" si="3"/>
        <v>-1.5380891531770247</v>
      </c>
      <c r="H21" s="586">
        <f>('floor space forecast_SA'!C37/'floor space forecast_SA'!C36-1)*100</f>
        <v>2.0458890283015618</v>
      </c>
      <c r="I21" s="586">
        <f t="shared" si="4"/>
        <v>0.3816619587367</v>
      </c>
      <c r="K21" s="589"/>
    </row>
    <row r="22" spans="1:17">
      <c r="A22" s="584">
        <f t="shared" si="0"/>
        <v>2010</v>
      </c>
      <c r="B22" s="585">
        <v>40543</v>
      </c>
      <c r="C22" s="584">
        <v>2748007.9530000002</v>
      </c>
      <c r="D22" s="586">
        <f t="shared" si="1"/>
        <v>3.0397328781698096</v>
      </c>
      <c r="E22" s="586"/>
      <c r="F22" s="587">
        <f t="shared" si="2"/>
        <v>2010</v>
      </c>
      <c r="G22" s="586">
        <f t="shared" si="3"/>
        <v>3.0397328781698096</v>
      </c>
      <c r="H22" s="586">
        <f>('floor space forecast_SA'!C38/'floor space forecast_SA'!C37-1)*100</f>
        <v>1.7349366606449923</v>
      </c>
      <c r="I22" s="586">
        <f t="shared" si="4"/>
        <v>0.54368937751939383</v>
      </c>
      <c r="K22" s="589"/>
    </row>
    <row r="23" spans="1:17">
      <c r="A23" s="584">
        <f t="shared" si="0"/>
        <v>2011</v>
      </c>
      <c r="B23" s="585">
        <v>40908</v>
      </c>
      <c r="C23" s="584">
        <v>2838257.1179999998</v>
      </c>
      <c r="D23" s="586">
        <f t="shared" si="1"/>
        <v>3.2841668053207318</v>
      </c>
      <c r="E23" s="586"/>
      <c r="F23" s="587">
        <f t="shared" si="2"/>
        <v>2011</v>
      </c>
      <c r="G23" s="586">
        <f t="shared" si="3"/>
        <v>3.2841668053207318</v>
      </c>
      <c r="H23" s="586">
        <f>('floor space forecast_SA'!C39/'floor space forecast_SA'!C38-1)*100</f>
        <v>1.0907262893603109</v>
      </c>
      <c r="I23" s="586">
        <f t="shared" si="4"/>
        <v>-0.70914373663408503</v>
      </c>
      <c r="K23" s="589"/>
    </row>
    <row r="24" spans="1:17">
      <c r="A24" s="584">
        <f t="shared" si="0"/>
        <v>2012</v>
      </c>
      <c r="B24" s="585">
        <v>41274</v>
      </c>
      <c r="C24" s="584">
        <v>2901077.7859999998</v>
      </c>
      <c r="D24" s="586">
        <f t="shared" si="1"/>
        <v>2.2133536669950216</v>
      </c>
      <c r="E24" s="586"/>
      <c r="F24" s="587">
        <f t="shared" si="2"/>
        <v>2012</v>
      </c>
      <c r="G24" s="586">
        <f t="shared" si="3"/>
        <v>2.2133536669950216</v>
      </c>
      <c r="H24" s="586">
        <f>('floor space forecast_SA'!C40/'floor space forecast_SA'!C39-1)*100</f>
        <v>0.92067368729218391</v>
      </c>
      <c r="I24" s="586">
        <f t="shared" si="4"/>
        <v>0.30287980036144213</v>
      </c>
    </row>
    <row r="25" spans="1:17">
      <c r="A25" s="584">
        <f t="shared" si="0"/>
        <v>2013</v>
      </c>
      <c r="B25" s="585">
        <v>41639</v>
      </c>
      <c r="C25" s="584">
        <v>2973292.7719999999</v>
      </c>
      <c r="D25" s="586">
        <f t="shared" si="1"/>
        <v>2.4892468016023184</v>
      </c>
      <c r="E25" s="586"/>
      <c r="F25" s="587">
        <f t="shared" si="2"/>
        <v>2013</v>
      </c>
      <c r="G25" s="586">
        <f t="shared" si="3"/>
        <v>2.4892468016023184</v>
      </c>
      <c r="H25" s="586">
        <f>('floor space forecast_SA'!C41/'floor space forecast_SA'!C40-1)*100</f>
        <v>0.89777555313765856</v>
      </c>
      <c r="I25" s="586">
        <f t="shared" si="4"/>
        <v>0.27336478515133816</v>
      </c>
    </row>
    <row r="26" spans="1:17">
      <c r="A26" s="584">
        <f t="shared" si="0"/>
        <v>2014</v>
      </c>
      <c r="B26" s="585">
        <v>42004</v>
      </c>
      <c r="C26" s="584">
        <v>3023825.747</v>
      </c>
      <c r="D26" s="586">
        <f t="shared" si="1"/>
        <v>1.6995627028685956</v>
      </c>
      <c r="E26" s="586"/>
      <c r="F26" s="587">
        <f t="shared" si="2"/>
        <v>2014</v>
      </c>
      <c r="G26" s="586">
        <f t="shared" si="3"/>
        <v>1.6995627028685956</v>
      </c>
      <c r="H26" s="586">
        <f>('floor space forecast_SA'!C42/'floor space forecast_SA'!C41-1)*100</f>
        <v>1.1872257507254735</v>
      </c>
      <c r="I26" s="586">
        <f t="shared" si="4"/>
        <v>0.5363922487531424</v>
      </c>
      <c r="J26" s="591"/>
    </row>
    <row r="27" spans="1:17">
      <c r="A27" s="584">
        <f t="shared" si="0"/>
        <v>2015</v>
      </c>
      <c r="B27" s="585">
        <v>42369</v>
      </c>
      <c r="C27" s="584">
        <v>3063101.0359999998</v>
      </c>
      <c r="D27" s="586">
        <f t="shared" si="1"/>
        <v>1.2988608566140369</v>
      </c>
      <c r="E27" s="586"/>
      <c r="F27" s="587">
        <f t="shared" si="2"/>
        <v>2015</v>
      </c>
      <c r="G27" s="586">
        <f t="shared" si="3"/>
        <v>1.2988608566140369</v>
      </c>
      <c r="H27" s="586">
        <f>('floor space forecast_SA'!C43/'floor space forecast_SA'!C42-1)*100</f>
        <v>1.0290389554997059</v>
      </c>
      <c r="I27" s="586">
        <f t="shared" si="4"/>
        <v>0.41339370400609438</v>
      </c>
      <c r="J27" s="591"/>
    </row>
    <row r="28" spans="1:17">
      <c r="A28" s="584">
        <f t="shared" si="0"/>
        <v>2016</v>
      </c>
      <c r="B28" s="585">
        <v>42735</v>
      </c>
      <c r="C28" s="662">
        <v>4450171</v>
      </c>
      <c r="D28" s="663">
        <v>0.7</v>
      </c>
      <c r="E28" s="586"/>
      <c r="F28" s="587">
        <f t="shared" si="2"/>
        <v>2016</v>
      </c>
      <c r="G28" s="663">
        <f>IF(ISERROR(VLOOKUP($F28,$A$5:$D$62,COLUMNS($A$5:$D$5),)),(0),(VLOOKUP($F28,$A$5:$D$62,COLUMNS($A$5:$D$5),)))</f>
        <v>0.7</v>
      </c>
      <c r="H28" s="586">
        <f>('floor space forecast_SA'!C44/'floor space forecast_SA'!C43-1)*100</f>
        <v>0.9737783382037124</v>
      </c>
      <c r="I28" s="586">
        <f t="shared" si="4"/>
        <v>0.57295817127554471</v>
      </c>
      <c r="J28" s="591"/>
      <c r="O28" s="586"/>
      <c r="P28" s="586"/>
      <c r="Q28" s="586"/>
    </row>
    <row r="29" spans="1:17">
      <c r="A29" s="584">
        <f t="shared" si="0"/>
        <v>2017</v>
      </c>
      <c r="B29" s="585">
        <v>43100</v>
      </c>
      <c r="C29" s="662">
        <v>4501702</v>
      </c>
      <c r="D29" s="663">
        <f t="shared" ref="D29:D62" si="5">(C29/C28-1)*100</f>
        <v>1.1579555032829036</v>
      </c>
      <c r="F29" s="594">
        <f>F28+1</f>
        <v>2017</v>
      </c>
      <c r="G29" s="663">
        <f t="shared" ref="G29:G34" si="6">IF(ISERROR(VLOOKUP($F29,$A$5:$D$62,COLUMNS($A$5:$D$5),)),(0),(VLOOKUP($F29,$A$5:$D$62,COLUMNS($A$5:$D$5),)))</f>
        <v>1.1579555032829036</v>
      </c>
      <c r="H29" s="586">
        <f>('floor space forecast_SA'!C45/'floor space forecast_SA'!C44-1)*100</f>
        <v>1.3452271595511434</v>
      </c>
      <c r="I29" s="586">
        <f t="shared" si="4"/>
        <v>1.0356976674606835</v>
      </c>
      <c r="J29" s="591"/>
      <c r="O29" s="590"/>
      <c r="P29" s="586"/>
      <c r="Q29" s="586"/>
    </row>
    <row r="30" spans="1:17">
      <c r="A30" s="584">
        <f t="shared" si="0"/>
        <v>2018</v>
      </c>
      <c r="B30" s="585">
        <v>43465</v>
      </c>
      <c r="C30" s="662">
        <v>4570232</v>
      </c>
      <c r="D30" s="663">
        <f t="shared" si="5"/>
        <v>1.5223131162391379</v>
      </c>
      <c r="F30" s="594">
        <f t="shared" ref="F30:F62" si="7">F29+1</f>
        <v>2018</v>
      </c>
      <c r="G30" s="663">
        <f t="shared" si="6"/>
        <v>1.5223131162391379</v>
      </c>
      <c r="H30" s="586">
        <f>('floor space forecast_SA'!C46/'floor space forecast_SA'!C45-1)*100</f>
        <v>0.85114413167675096</v>
      </c>
      <c r="I30" s="586">
        <f t="shared" si="4"/>
        <v>1.2159201881096442</v>
      </c>
      <c r="J30" s="592">
        <f>AVERAGE(I25:I29)</f>
        <v>0.56636131532936074</v>
      </c>
      <c r="O30" s="590"/>
      <c r="P30" s="586"/>
      <c r="Q30" s="586"/>
    </row>
    <row r="31" spans="1:17">
      <c r="A31" s="584">
        <f t="shared" si="0"/>
        <v>2019</v>
      </c>
      <c r="B31" s="585">
        <v>43830</v>
      </c>
      <c r="C31" s="662">
        <v>4584101</v>
      </c>
      <c r="D31" s="663">
        <f t="shared" si="5"/>
        <v>0.30346380665138284</v>
      </c>
      <c r="F31" s="594">
        <f t="shared" si="7"/>
        <v>2019</v>
      </c>
      <c r="G31" s="663">
        <f t="shared" si="6"/>
        <v>0.30346380665138284</v>
      </c>
      <c r="H31" s="586">
        <f>('floor space forecast_SA'!C47/'floor space forecast_SA'!C46-1)*100</f>
        <v>1.137025124705171</v>
      </c>
      <c r="I31" s="586">
        <f t="shared" si="4"/>
        <v>0.98192471254863145</v>
      </c>
      <c r="J31" s="591"/>
      <c r="O31" s="590"/>
      <c r="P31" s="586"/>
      <c r="Q31" s="586"/>
    </row>
    <row r="32" spans="1:17">
      <c r="A32" s="584">
        <f t="shared" si="0"/>
        <v>2020</v>
      </c>
      <c r="B32" s="585">
        <v>44196</v>
      </c>
      <c r="C32" s="662">
        <f>AVERAGE(4590780,3806024,4329921,4446697)</f>
        <v>4293355.5</v>
      </c>
      <c r="D32" s="663">
        <f t="shared" si="5"/>
        <v>-6.3424758747680272</v>
      </c>
      <c r="F32" s="594">
        <f t="shared" si="7"/>
        <v>2020</v>
      </c>
      <c r="G32" s="663">
        <f t="shared" si="6"/>
        <v>-6.3424758747680272</v>
      </c>
      <c r="H32" s="586">
        <f>('floor space forecast_SA'!C48/'floor space forecast_SA'!C47-1)*100</f>
        <v>0.53985378596301814</v>
      </c>
      <c r="I32" s="586">
        <f t="shared" si="4"/>
        <v>0.35462729723877207</v>
      </c>
      <c r="J32" s="591"/>
      <c r="O32" s="590"/>
      <c r="P32" s="586"/>
      <c r="Q32" s="586"/>
    </row>
    <row r="33" spans="1:17">
      <c r="A33" s="584">
        <f t="shared" si="0"/>
        <v>2021</v>
      </c>
      <c r="B33" s="585">
        <v>44561</v>
      </c>
      <c r="C33" s="662">
        <f>AVERAGE(4483290,4545514,4463619,4524744)</f>
        <v>4504291.75</v>
      </c>
      <c r="D33" s="663">
        <f t="shared" si="5"/>
        <v>4.9130860465666171</v>
      </c>
      <c r="F33" s="594">
        <f t="shared" si="7"/>
        <v>2021</v>
      </c>
      <c r="G33" s="663">
        <f t="shared" si="6"/>
        <v>4.9130860465666171</v>
      </c>
      <c r="H33" s="586">
        <f>('floor space forecast_SA'!C49/'floor space forecast_SA'!C48-1)*100</f>
        <v>0.58008052822724476</v>
      </c>
      <c r="I33" s="586">
        <f t="shared" si="4"/>
        <v>1.9115311793792837</v>
      </c>
      <c r="J33" s="591"/>
      <c r="O33" s="590"/>
      <c r="P33" s="586"/>
      <c r="Q33" s="586"/>
    </row>
    <row r="34" spans="1:17">
      <c r="A34" s="584">
        <f t="shared" si="0"/>
        <v>2022</v>
      </c>
      <c r="B34" s="585">
        <v>44926</v>
      </c>
      <c r="C34" s="662">
        <f>AVERAGE(4596769,4560194,4643171,4585000)</f>
        <v>4596283.5</v>
      </c>
      <c r="D34" s="663">
        <f t="shared" si="5"/>
        <v>2.0423133115211822</v>
      </c>
      <c r="F34" s="594">
        <f t="shared" si="7"/>
        <v>2022</v>
      </c>
      <c r="G34" s="663">
        <f t="shared" si="6"/>
        <v>2.0423133115211822</v>
      </c>
      <c r="H34" s="586">
        <f>('floor space forecast_SA'!C50/'floor space forecast_SA'!C49-1)*100</f>
        <v>0.54071456538076212</v>
      </c>
      <c r="I34" s="586">
        <f t="shared" si="4"/>
        <v>-8.5252916377949725E-2</v>
      </c>
      <c r="J34" s="591"/>
      <c r="O34" s="590"/>
      <c r="P34" s="586"/>
      <c r="Q34" s="586"/>
    </row>
    <row r="35" spans="1:17">
      <c r="B35" s="585"/>
      <c r="D35" s="586">
        <f t="shared" si="5"/>
        <v>-100</v>
      </c>
      <c r="F35" s="594">
        <f t="shared" si="7"/>
        <v>2023</v>
      </c>
      <c r="G35" s="595">
        <v>0.9</v>
      </c>
      <c r="H35" s="590">
        <f t="shared" ref="H35:H62" si="8">G33*I35</f>
        <v>4.3026355581673963</v>
      </c>
      <c r="I35" s="590">
        <f t="shared" ref="I35:I62" si="9">AVERAGE(I30:I34)</f>
        <v>0.87575009217967636</v>
      </c>
      <c r="J35" s="591"/>
      <c r="L35" s="592"/>
    </row>
    <row r="36" spans="1:17">
      <c r="B36" s="585"/>
      <c r="D36" s="586" t="e">
        <f t="shared" si="5"/>
        <v>#DIV/0!</v>
      </c>
      <c r="F36" s="594">
        <f t="shared" si="7"/>
        <v>2024</v>
      </c>
      <c r="G36" s="595">
        <v>1.5</v>
      </c>
      <c r="H36" s="590">
        <f t="shared" si="8"/>
        <v>1.6496092878046134</v>
      </c>
      <c r="I36" s="592">
        <f t="shared" si="9"/>
        <v>0.80771607299368287</v>
      </c>
      <c r="J36" s="591"/>
      <c r="K36" s="592"/>
    </row>
    <row r="37" spans="1:17">
      <c r="B37" s="585"/>
      <c r="D37" s="586" t="e">
        <f t="shared" si="5"/>
        <v>#DIV/0!</v>
      </c>
      <c r="F37" s="594">
        <f t="shared" si="7"/>
        <v>2025</v>
      </c>
      <c r="G37" s="595">
        <f>1.8</f>
        <v>1.8</v>
      </c>
      <c r="H37" s="590">
        <f t="shared" si="8"/>
        <v>0.6955869105744239</v>
      </c>
      <c r="I37" s="590">
        <f t="shared" si="9"/>
        <v>0.77287434508269315</v>
      </c>
      <c r="J37" s="591"/>
      <c r="K37" s="592"/>
    </row>
    <row r="38" spans="1:17">
      <c r="B38" s="585"/>
      <c r="D38" s="586" t="e">
        <f t="shared" si="5"/>
        <v>#DIV/0!</v>
      </c>
      <c r="F38" s="594">
        <f t="shared" si="7"/>
        <v>2026</v>
      </c>
      <c r="G38" s="590">
        <f t="shared" ref="G38:G41" si="10">G37</f>
        <v>1.8</v>
      </c>
      <c r="H38" s="590">
        <f t="shared" si="8"/>
        <v>1.2847856319772157</v>
      </c>
      <c r="I38" s="590">
        <f t="shared" si="9"/>
        <v>0.85652375465147723</v>
      </c>
      <c r="J38" s="591"/>
      <c r="K38" s="592"/>
    </row>
    <row r="39" spans="1:17">
      <c r="B39" s="585"/>
      <c r="D39" s="586" t="e">
        <f t="shared" si="5"/>
        <v>#DIV/0!</v>
      </c>
      <c r="F39" s="594">
        <f t="shared" si="7"/>
        <v>2027</v>
      </c>
      <c r="G39" s="590">
        <f t="shared" si="10"/>
        <v>1.8</v>
      </c>
      <c r="H39" s="590">
        <f t="shared" si="8"/>
        <v>1.1619400854706488</v>
      </c>
      <c r="I39" s="590">
        <f t="shared" si="9"/>
        <v>0.64552226970591597</v>
      </c>
      <c r="J39" s="591"/>
      <c r="K39" s="592"/>
    </row>
    <row r="40" spans="1:17">
      <c r="B40" s="585"/>
      <c r="D40" s="586" t="e">
        <f t="shared" si="5"/>
        <v>#DIV/0!</v>
      </c>
      <c r="F40" s="594">
        <f t="shared" si="7"/>
        <v>2028</v>
      </c>
      <c r="G40" s="590">
        <f t="shared" si="10"/>
        <v>1.8</v>
      </c>
      <c r="H40" s="590">
        <f t="shared" si="8"/>
        <v>1.4250191524608407</v>
      </c>
      <c r="I40" s="590">
        <f t="shared" si="9"/>
        <v>0.79167730692268923</v>
      </c>
      <c r="J40" s="591"/>
      <c r="K40" s="592"/>
    </row>
    <row r="41" spans="1:17">
      <c r="B41" s="585"/>
      <c r="D41" s="586" t="e">
        <f t="shared" si="5"/>
        <v>#DIV/0!</v>
      </c>
      <c r="F41" s="594">
        <f t="shared" si="7"/>
        <v>2029</v>
      </c>
      <c r="G41" s="590">
        <f t="shared" si="10"/>
        <v>1.8</v>
      </c>
      <c r="H41" s="590">
        <f t="shared" si="8"/>
        <v>1.3947529497683251</v>
      </c>
      <c r="I41" s="590">
        <f t="shared" si="9"/>
        <v>0.77486274987129167</v>
      </c>
      <c r="J41" s="591"/>
      <c r="K41" s="592"/>
    </row>
    <row r="42" spans="1:17">
      <c r="B42" s="585"/>
      <c r="D42" s="586" t="e">
        <f t="shared" si="5"/>
        <v>#DIV/0!</v>
      </c>
      <c r="F42" s="594">
        <f t="shared" si="7"/>
        <v>2030</v>
      </c>
      <c r="G42" s="590">
        <f>G41+0.2</f>
        <v>2</v>
      </c>
      <c r="H42" s="590">
        <f t="shared" si="8"/>
        <v>1.3829257534442643</v>
      </c>
      <c r="I42" s="590">
        <f t="shared" si="9"/>
        <v>0.76829208524681347</v>
      </c>
      <c r="J42" s="591"/>
      <c r="K42" s="591"/>
    </row>
    <row r="43" spans="1:17">
      <c r="B43" s="585"/>
      <c r="D43" s="586" t="e">
        <f t="shared" si="5"/>
        <v>#DIV/0!</v>
      </c>
      <c r="F43" s="594">
        <f t="shared" si="7"/>
        <v>2031</v>
      </c>
      <c r="G43" s="590">
        <f>G42</f>
        <v>2</v>
      </c>
      <c r="H43" s="590">
        <f t="shared" si="8"/>
        <v>1.3812761399033475</v>
      </c>
      <c r="I43" s="590">
        <f t="shared" si="9"/>
        <v>0.76737563327963754</v>
      </c>
      <c r="J43" s="591"/>
      <c r="K43" s="591"/>
    </row>
    <row r="44" spans="1:17">
      <c r="B44" s="585"/>
      <c r="D44" s="586" t="e">
        <f t="shared" si="5"/>
        <v>#DIV/0!</v>
      </c>
      <c r="F44" s="594">
        <f t="shared" si="7"/>
        <v>2032</v>
      </c>
      <c r="G44" s="590">
        <f t="shared" ref="G44:G62" si="11">G43</f>
        <v>2</v>
      </c>
      <c r="H44" s="590">
        <f t="shared" si="8"/>
        <v>1.4990920180105392</v>
      </c>
      <c r="I44" s="590">
        <f t="shared" si="9"/>
        <v>0.74954600900526958</v>
      </c>
      <c r="J44" s="591"/>
      <c r="K44" s="591"/>
    </row>
    <row r="45" spans="1:17">
      <c r="B45" s="585"/>
      <c r="D45" s="586" t="e">
        <f t="shared" si="5"/>
        <v>#DIV/0!</v>
      </c>
      <c r="F45" s="594">
        <f t="shared" si="7"/>
        <v>2033</v>
      </c>
      <c r="G45" s="590">
        <f t="shared" si="11"/>
        <v>2</v>
      </c>
      <c r="H45" s="590">
        <f t="shared" si="8"/>
        <v>1.5407015137302804</v>
      </c>
      <c r="I45" s="590">
        <f t="shared" si="9"/>
        <v>0.77035075686514021</v>
      </c>
      <c r="J45" s="591"/>
      <c r="K45" s="591"/>
    </row>
    <row r="46" spans="1:17">
      <c r="B46" s="585"/>
      <c r="D46" s="586" t="e">
        <f t="shared" si="5"/>
        <v>#DIV/0!</v>
      </c>
      <c r="F46" s="594">
        <f t="shared" si="7"/>
        <v>2034</v>
      </c>
      <c r="G46" s="590">
        <f t="shared" si="11"/>
        <v>2</v>
      </c>
      <c r="H46" s="590">
        <f t="shared" si="8"/>
        <v>1.5321708937072611</v>
      </c>
      <c r="I46" s="590">
        <f t="shared" si="9"/>
        <v>0.76608544685363056</v>
      </c>
      <c r="J46" s="591"/>
      <c r="K46" s="591"/>
    </row>
    <row r="47" spans="1:17">
      <c r="B47" s="585"/>
      <c r="D47" s="586" t="e">
        <f t="shared" si="5"/>
        <v>#DIV/0!</v>
      </c>
      <c r="F47" s="594">
        <f t="shared" si="7"/>
        <v>2035</v>
      </c>
      <c r="G47" s="590">
        <f t="shared" si="11"/>
        <v>2</v>
      </c>
      <c r="H47" s="590">
        <f t="shared" si="8"/>
        <v>1.5286599725001966</v>
      </c>
      <c r="I47" s="590">
        <f t="shared" si="9"/>
        <v>0.76432998625009829</v>
      </c>
      <c r="J47" s="591"/>
      <c r="K47" s="591"/>
    </row>
    <row r="48" spans="1:17">
      <c r="B48" s="585"/>
      <c r="D48" s="586" t="e">
        <f t="shared" si="5"/>
        <v>#DIV/0!</v>
      </c>
      <c r="F48" s="594">
        <f t="shared" si="7"/>
        <v>2036</v>
      </c>
      <c r="G48" s="590">
        <f t="shared" si="11"/>
        <v>2</v>
      </c>
      <c r="H48" s="590">
        <f t="shared" si="8"/>
        <v>1.5270751329015102</v>
      </c>
      <c r="I48" s="590">
        <f t="shared" si="9"/>
        <v>0.7635375664507551</v>
      </c>
      <c r="J48" s="591"/>
      <c r="K48" s="591"/>
    </row>
    <row r="49" spans="2:11">
      <c r="B49" s="585"/>
      <c r="D49" s="586" t="e">
        <f t="shared" si="5"/>
        <v>#DIV/0!</v>
      </c>
      <c r="F49" s="594">
        <f t="shared" si="7"/>
        <v>2037</v>
      </c>
      <c r="G49" s="590">
        <f t="shared" si="11"/>
        <v>2</v>
      </c>
      <c r="H49" s="590">
        <f t="shared" si="8"/>
        <v>1.5255399061699575</v>
      </c>
      <c r="I49" s="590">
        <f t="shared" si="9"/>
        <v>0.76276995308497875</v>
      </c>
      <c r="J49" s="591"/>
      <c r="K49" s="591"/>
    </row>
    <row r="50" spans="2:11">
      <c r="B50" s="585"/>
      <c r="D50" s="586" t="e">
        <f t="shared" si="5"/>
        <v>#DIV/0!</v>
      </c>
      <c r="F50" s="594">
        <f t="shared" si="7"/>
        <v>2038</v>
      </c>
      <c r="G50" s="590">
        <f t="shared" si="11"/>
        <v>2</v>
      </c>
      <c r="H50" s="590">
        <f t="shared" si="8"/>
        <v>1.5308294838018413</v>
      </c>
      <c r="I50" s="590">
        <f t="shared" si="9"/>
        <v>0.76541474190092063</v>
      </c>
      <c r="J50" s="591"/>
      <c r="K50" s="591"/>
    </row>
    <row r="51" spans="2:11">
      <c r="B51" s="585"/>
      <c r="D51" s="586" t="e">
        <f t="shared" si="5"/>
        <v>#DIV/0!</v>
      </c>
      <c r="F51" s="594">
        <f t="shared" si="7"/>
        <v>2039</v>
      </c>
      <c r="G51" s="590">
        <f t="shared" si="11"/>
        <v>2</v>
      </c>
      <c r="H51" s="590">
        <f t="shared" si="8"/>
        <v>1.5288550778161534</v>
      </c>
      <c r="I51" s="590">
        <f t="shared" si="9"/>
        <v>0.76442753890807669</v>
      </c>
      <c r="J51" s="591"/>
      <c r="K51" s="591"/>
    </row>
    <row r="52" spans="2:11">
      <c r="B52" s="585"/>
      <c r="D52" s="586" t="e">
        <f t="shared" si="5"/>
        <v>#DIV/0!</v>
      </c>
      <c r="F52" s="594">
        <f t="shared" si="7"/>
        <v>2040</v>
      </c>
      <c r="G52" s="590">
        <f t="shared" si="11"/>
        <v>2</v>
      </c>
      <c r="H52" s="590">
        <f t="shared" si="8"/>
        <v>1.5281919146379317</v>
      </c>
      <c r="I52" s="590">
        <f t="shared" si="9"/>
        <v>0.76409595731896585</v>
      </c>
      <c r="J52" s="591"/>
      <c r="K52" s="591"/>
    </row>
    <row r="53" spans="2:11">
      <c r="B53" s="585"/>
      <c r="D53" s="586" t="e">
        <f t="shared" si="5"/>
        <v>#DIV/0!</v>
      </c>
      <c r="F53" s="594">
        <f t="shared" si="7"/>
        <v>2041</v>
      </c>
      <c r="G53" s="590">
        <f t="shared" si="11"/>
        <v>2</v>
      </c>
      <c r="H53" s="590">
        <f t="shared" si="8"/>
        <v>1.5280983030654789</v>
      </c>
      <c r="I53" s="590">
        <f t="shared" si="9"/>
        <v>0.76404915153273945</v>
      </c>
      <c r="J53" s="591"/>
      <c r="K53" s="591"/>
    </row>
    <row r="54" spans="2:11">
      <c r="B54" s="585"/>
      <c r="D54" s="586" t="e">
        <f t="shared" si="5"/>
        <v>#DIV/0!</v>
      </c>
      <c r="F54" s="594">
        <f t="shared" si="7"/>
        <v>2042</v>
      </c>
      <c r="G54" s="590">
        <f t="shared" si="11"/>
        <v>2</v>
      </c>
      <c r="H54" s="590">
        <f t="shared" si="8"/>
        <v>1.5283029370982724</v>
      </c>
      <c r="I54" s="590">
        <f t="shared" si="9"/>
        <v>0.76415146854913618</v>
      </c>
      <c r="J54" s="591"/>
      <c r="K54" s="591"/>
    </row>
    <row r="55" spans="2:11">
      <c r="B55" s="585"/>
      <c r="D55" s="586" t="e">
        <f t="shared" si="5"/>
        <v>#DIV/0!</v>
      </c>
      <c r="F55" s="594">
        <f t="shared" si="7"/>
        <v>2043</v>
      </c>
      <c r="G55" s="590">
        <f t="shared" si="11"/>
        <v>2</v>
      </c>
      <c r="H55" s="590">
        <f t="shared" si="8"/>
        <v>1.5288555432839357</v>
      </c>
      <c r="I55" s="590">
        <f t="shared" si="9"/>
        <v>0.76442777164196785</v>
      </c>
      <c r="J55" s="591"/>
      <c r="K55" s="591"/>
    </row>
    <row r="56" spans="2:11">
      <c r="B56" s="585"/>
      <c r="D56" s="586" t="e">
        <f t="shared" si="5"/>
        <v>#DIV/0!</v>
      </c>
      <c r="F56" s="594">
        <f t="shared" si="7"/>
        <v>2044</v>
      </c>
      <c r="G56" s="590">
        <f t="shared" si="11"/>
        <v>2</v>
      </c>
      <c r="H56" s="590">
        <f t="shared" si="8"/>
        <v>1.5284607551803542</v>
      </c>
      <c r="I56" s="590">
        <f t="shared" si="9"/>
        <v>0.76423037759017709</v>
      </c>
      <c r="J56" s="591"/>
      <c r="K56" s="591"/>
    </row>
    <row r="57" spans="2:11">
      <c r="B57" s="585"/>
      <c r="D57" s="586" t="e">
        <f t="shared" si="5"/>
        <v>#DIV/0!</v>
      </c>
      <c r="F57" s="594">
        <f t="shared" si="7"/>
        <v>2045</v>
      </c>
      <c r="G57" s="590">
        <f t="shared" si="11"/>
        <v>2</v>
      </c>
      <c r="H57" s="590">
        <f t="shared" si="8"/>
        <v>1.5283818906531945</v>
      </c>
      <c r="I57" s="590">
        <f t="shared" si="9"/>
        <v>0.76419094532659726</v>
      </c>
      <c r="J57" s="591"/>
      <c r="K57" s="591"/>
    </row>
    <row r="58" spans="2:11">
      <c r="B58" s="585"/>
      <c r="D58" s="586" t="e">
        <f t="shared" si="5"/>
        <v>#DIV/0!</v>
      </c>
      <c r="F58" s="594">
        <f t="shared" si="7"/>
        <v>2046</v>
      </c>
      <c r="G58" s="590">
        <f t="shared" si="11"/>
        <v>2</v>
      </c>
      <c r="H58" s="590">
        <f t="shared" si="8"/>
        <v>1.528419885856247</v>
      </c>
      <c r="I58" s="590">
        <f t="shared" si="9"/>
        <v>0.7642099429281235</v>
      </c>
      <c r="J58" s="591"/>
      <c r="K58" s="591"/>
    </row>
    <row r="59" spans="2:11">
      <c r="B59" s="585"/>
      <c r="D59" s="586" t="e">
        <f t="shared" si="5"/>
        <v>#DIV/0!</v>
      </c>
      <c r="F59" s="594">
        <f t="shared" si="7"/>
        <v>2047</v>
      </c>
      <c r="G59" s="590">
        <f t="shared" si="11"/>
        <v>2</v>
      </c>
      <c r="H59" s="590">
        <f t="shared" si="8"/>
        <v>1.528484202414401</v>
      </c>
      <c r="I59" s="590">
        <f t="shared" si="9"/>
        <v>0.76424210120720049</v>
      </c>
      <c r="J59" s="591"/>
      <c r="K59" s="591"/>
    </row>
    <row r="60" spans="2:11">
      <c r="B60" s="585"/>
      <c r="D60" s="586" t="e">
        <f t="shared" si="5"/>
        <v>#DIV/0!</v>
      </c>
      <c r="F60" s="594">
        <f t="shared" si="7"/>
        <v>2048</v>
      </c>
      <c r="G60" s="590">
        <f t="shared" si="11"/>
        <v>2</v>
      </c>
      <c r="H60" s="590">
        <f t="shared" si="8"/>
        <v>1.5285204554776264</v>
      </c>
      <c r="I60" s="590">
        <f t="shared" si="9"/>
        <v>0.76426022773881319</v>
      </c>
      <c r="J60" s="591"/>
      <c r="K60" s="591"/>
    </row>
    <row r="61" spans="2:11">
      <c r="B61" s="585"/>
      <c r="D61" s="586" t="e">
        <f t="shared" si="5"/>
        <v>#DIV/0!</v>
      </c>
      <c r="F61" s="594">
        <f t="shared" si="7"/>
        <v>2049</v>
      </c>
      <c r="G61" s="590">
        <f t="shared" si="11"/>
        <v>2</v>
      </c>
      <c r="H61" s="590">
        <f t="shared" si="8"/>
        <v>1.5284534379163648</v>
      </c>
      <c r="I61" s="590">
        <f t="shared" si="9"/>
        <v>0.76422671895818239</v>
      </c>
    </row>
    <row r="62" spans="2:11">
      <c r="B62" s="585"/>
      <c r="D62" s="586" t="e">
        <f t="shared" si="5"/>
        <v>#DIV/0!</v>
      </c>
      <c r="F62" s="594">
        <f t="shared" si="7"/>
        <v>2050</v>
      </c>
      <c r="G62" s="590">
        <f t="shared" si="11"/>
        <v>2</v>
      </c>
      <c r="H62" s="590">
        <f t="shared" si="8"/>
        <v>1.5284519744635667</v>
      </c>
      <c r="I62" s="590">
        <f t="shared" si="9"/>
        <v>0.76422598723178337</v>
      </c>
    </row>
    <row r="63" spans="2:11">
      <c r="B63" s="585"/>
      <c r="I63" s="591"/>
    </row>
    <row r="64" spans="2:11">
      <c r="B64" s="585"/>
      <c r="I64" s="587"/>
    </row>
  </sheetData>
  <pageMargins left="0.7" right="0.7" top="0.75" bottom="0.75" header="0.3" footer="0.3"/>
  <ignoredErrors>
    <ignoredError sqref="H35:H62 G38:G62" formula="1"/>
  </ignoredErrors>
  <drawing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tabColor rgb="FF0070C0"/>
  </sheetPr>
  <dimension ref="A1:Q78"/>
  <sheetViews>
    <sheetView topLeftCell="A20" workbookViewId="0">
      <selection activeCell="G27" sqref="G27"/>
    </sheetView>
  </sheetViews>
  <sheetFormatPr defaultColWidth="11.42578125" defaultRowHeight="12.75"/>
  <cols>
    <col min="1" max="1" width="7.7109375" style="17" customWidth="1"/>
    <col min="2" max="2" width="16.42578125" style="17" customWidth="1"/>
    <col min="3" max="3" width="16.42578125" style="41" customWidth="1"/>
    <col min="4" max="4" width="3.42578125" style="41" customWidth="1"/>
    <col min="5" max="5" width="8.140625" style="41" customWidth="1"/>
    <col min="6" max="7" width="10.42578125" style="41" customWidth="1"/>
    <col min="8" max="8" width="16.42578125" style="41" customWidth="1"/>
    <col min="9"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I3" s="1"/>
      <c r="J3" s="1"/>
    </row>
    <row r="4" spans="1:17" s="6" customFormat="1">
      <c r="A4" s="134" t="s">
        <v>434</v>
      </c>
      <c r="B4" s="134"/>
      <c r="C4" s="125"/>
      <c r="D4" s="125"/>
      <c r="E4" s="125"/>
      <c r="F4" s="125"/>
      <c r="G4" s="125"/>
      <c r="H4" s="125"/>
      <c r="I4" s="125"/>
      <c r="J4" s="125"/>
    </row>
    <row r="5" spans="1:17" s="6" customFormat="1">
      <c r="A5" s="135" t="s">
        <v>435</v>
      </c>
      <c r="B5" s="135"/>
      <c r="C5" s="125"/>
      <c r="D5" s="41"/>
      <c r="E5" s="41"/>
      <c r="F5" s="41"/>
      <c r="G5" s="41"/>
      <c r="H5" s="125"/>
      <c r="I5" s="41"/>
      <c r="J5" s="41"/>
    </row>
    <row r="6" spans="1:17" s="6" customFormat="1">
      <c r="A6" s="136" t="s">
        <v>436</v>
      </c>
      <c r="B6" s="136"/>
      <c r="C6" s="125"/>
      <c r="D6" s="41"/>
      <c r="E6" s="41"/>
      <c r="F6" s="41"/>
      <c r="G6" s="41"/>
      <c r="H6" s="125"/>
      <c r="I6" s="41"/>
      <c r="J6" s="41"/>
    </row>
    <row r="7" spans="1:17" s="6" customFormat="1">
      <c r="A7" s="137" t="s">
        <v>437</v>
      </c>
      <c r="B7" s="137"/>
      <c r="C7" s="125"/>
      <c r="D7" s="41"/>
      <c r="E7" s="41"/>
      <c r="F7" s="41"/>
      <c r="G7" s="41"/>
      <c r="H7" s="125"/>
      <c r="I7" s="41"/>
      <c r="J7" s="41"/>
    </row>
    <row r="8" spans="1:17">
      <c r="A8" s="48"/>
      <c r="B8" s="48"/>
      <c r="C8" s="49"/>
      <c r="D8" s="50"/>
      <c r="E8" s="49"/>
      <c r="F8" s="49"/>
      <c r="G8" s="50"/>
      <c r="H8" s="49"/>
      <c r="K8" s="1"/>
      <c r="L8" s="1"/>
      <c r="M8" s="1"/>
      <c r="N8" s="1"/>
      <c r="O8" s="1"/>
      <c r="P8" s="1"/>
      <c r="Q8" s="1"/>
    </row>
    <row r="9" spans="1:17">
      <c r="A9" s="138" t="s">
        <v>1199</v>
      </c>
      <c r="B9" s="138"/>
      <c r="C9" s="49"/>
      <c r="D9" s="50"/>
      <c r="E9" s="138" t="s">
        <v>1199</v>
      </c>
      <c r="F9" s="138"/>
      <c r="G9" s="49"/>
      <c r="H9" s="49"/>
    </row>
    <row r="10" spans="1:17" s="55" customFormat="1">
      <c r="A10" s="51"/>
      <c r="B10" s="51"/>
      <c r="C10" s="52"/>
      <c r="D10" s="53"/>
      <c r="E10" s="51"/>
      <c r="F10" s="51"/>
      <c r="G10" s="52"/>
      <c r="H10" s="52"/>
      <c r="I10" s="54"/>
      <c r="J10" s="54"/>
      <c r="K10" s="54"/>
      <c r="L10" s="54"/>
      <c r="M10" s="54"/>
      <c r="N10" s="54"/>
      <c r="O10" s="54"/>
      <c r="P10" s="54"/>
      <c r="Q10" s="54"/>
    </row>
    <row r="11" spans="1:17">
      <c r="A11" s="48"/>
      <c r="B11" s="48"/>
      <c r="C11" s="49"/>
      <c r="D11" s="50"/>
      <c r="E11" s="48"/>
      <c r="F11" s="550">
        <v>0.25</v>
      </c>
      <c r="G11" s="49"/>
      <c r="H11" s="49"/>
    </row>
    <row r="12" spans="1:17">
      <c r="A12" s="48"/>
      <c r="B12" s="139" t="s">
        <v>441</v>
      </c>
      <c r="C12" s="1"/>
      <c r="D12" s="50"/>
      <c r="E12" s="48"/>
      <c r="F12" s="139" t="s">
        <v>1202</v>
      </c>
      <c r="G12" s="1"/>
      <c r="H12" s="1"/>
    </row>
    <row r="13" spans="1:17">
      <c r="A13" s="140">
        <v>1992</v>
      </c>
      <c r="B13" s="63">
        <v>137</v>
      </c>
      <c r="C13" s="1"/>
      <c r="D13" s="49"/>
      <c r="E13" s="140">
        <v>1992</v>
      </c>
      <c r="F13" s="63">
        <f>B13*F11</f>
        <v>34.25</v>
      </c>
      <c r="G13" s="1"/>
      <c r="H13" s="1"/>
      <c r="Q13" s="1"/>
    </row>
    <row r="14" spans="1:17">
      <c r="A14" s="611"/>
      <c r="B14" s="610"/>
      <c r="C14" s="1"/>
      <c r="D14" s="49"/>
      <c r="E14" s="48"/>
      <c r="F14" s="141"/>
      <c r="G14" s="1"/>
      <c r="H14" s="1"/>
      <c r="Q14" s="1"/>
    </row>
    <row r="15" spans="1:17">
      <c r="A15" s="48"/>
      <c r="B15" s="142"/>
      <c r="C15" s="1"/>
      <c r="D15" s="49"/>
      <c r="E15" s="48"/>
      <c r="F15" s="142"/>
      <c r="G15" s="1"/>
      <c r="H15" s="1"/>
      <c r="Q15" s="1"/>
    </row>
    <row r="16" spans="1:17">
      <c r="A16" s="18"/>
      <c r="B16" s="18"/>
      <c r="C16" s="69"/>
      <c r="D16" s="1"/>
      <c r="E16" s="18"/>
      <c r="F16" s="18"/>
      <c r="G16" s="69"/>
      <c r="H16" s="69"/>
      <c r="I16" s="1"/>
      <c r="J16" s="1"/>
      <c r="K16" s="1"/>
      <c r="L16" s="1"/>
      <c r="M16" s="1"/>
      <c r="N16" s="1"/>
      <c r="O16" s="1"/>
      <c r="P16" s="1"/>
      <c r="Q16" s="1"/>
    </row>
    <row r="17" spans="1:17">
      <c r="C17" s="69"/>
      <c r="E17" s="17"/>
      <c r="F17" s="17"/>
      <c r="G17" s="69"/>
      <c r="H17" s="69"/>
      <c r="J17" s="1"/>
      <c r="K17" s="1"/>
      <c r="L17" s="1"/>
      <c r="M17" s="1"/>
      <c r="N17" s="1"/>
      <c r="O17" s="1"/>
      <c r="P17" s="1"/>
      <c r="Q17" s="1"/>
    </row>
    <row r="18" spans="1:17" s="55" customFormat="1">
      <c r="A18" s="51"/>
      <c r="B18" s="51"/>
      <c r="C18" s="52"/>
      <c r="D18" s="53"/>
      <c r="E18" s="51"/>
      <c r="F18" s="51"/>
      <c r="G18" s="52"/>
      <c r="H18" s="52"/>
      <c r="I18" s="54"/>
      <c r="J18" s="54"/>
      <c r="K18" s="54"/>
      <c r="L18" s="54"/>
      <c r="M18" s="54"/>
      <c r="N18" s="54"/>
      <c r="O18" s="54"/>
      <c r="P18" s="54"/>
      <c r="Q18" s="54"/>
    </row>
    <row r="19" spans="1:17">
      <c r="A19" s="48"/>
      <c r="B19" s="48"/>
      <c r="C19" s="49"/>
      <c r="D19" s="50"/>
      <c r="E19" s="48"/>
      <c r="F19" s="48"/>
      <c r="G19" s="49"/>
      <c r="H19" s="49"/>
    </row>
    <row r="20" spans="1:17" ht="45">
      <c r="A20" s="143" t="s">
        <v>442</v>
      </c>
      <c r="B20" s="144" t="s">
        <v>443</v>
      </c>
      <c r="C20" s="144" t="s">
        <v>1481</v>
      </c>
      <c r="E20" s="143" t="s">
        <v>442</v>
      </c>
      <c r="F20" s="144" t="s">
        <v>1201</v>
      </c>
      <c r="G20" s="144" t="s">
        <v>1200</v>
      </c>
      <c r="H20" s="144" t="s">
        <v>1203</v>
      </c>
      <c r="Q20" s="1"/>
    </row>
    <row r="21" spans="1:17">
      <c r="A21" s="145">
        <v>1993</v>
      </c>
      <c r="B21" s="63">
        <f>IF(COUNTIF(STATSSA_Monthly!$A$3:$A$500,'floor space forecast_SA'!$A21)&lt;12,,((VLOOKUP($A21,STATSSA_Annual!$A$3:$E$44,2,)+VLOOKUP($A21,STATSSA_Annual!$A$3:$E$44,3,)+VLOOKUP($A21,STATSSA_Annual!$A$3:$E$44,5,))/1000000))</f>
        <v>1.7794920000000001</v>
      </c>
      <c r="C21" s="63">
        <f t="shared" ref="C21:C42" si="0">C22-B21</f>
        <v>105.61026499999996</v>
      </c>
      <c r="E21" s="145">
        <v>1993</v>
      </c>
      <c r="F21" s="63">
        <f>((VLOOKUP($E21,STATSSA_Annual!$A$3:$I$44,6,)+VLOOKUP($E21,STATSSA_Annual!$A$3:$I$44,7,)+VLOOKUP($E21,STATSSA_Annual!$A$3:$I$44,9,))/1000000)</f>
        <v>0.29525000000000001</v>
      </c>
      <c r="G21" s="63">
        <f>F13+F21</f>
        <v>34.545250000000003</v>
      </c>
      <c r="H21" s="549"/>
      <c r="Q21" s="1"/>
    </row>
    <row r="22" spans="1:17">
      <c r="A22" s="145">
        <f t="shared" ref="A22:A53" si="1">A21+1</f>
        <v>1994</v>
      </c>
      <c r="B22" s="63">
        <f>IF(COUNTIF(STATSSA_Monthly!$A$3:$A$500,'floor space forecast_SA'!$A22)&lt;12,,((VLOOKUP($A22,STATSSA_Annual!$A$3:$E$44,2,)+VLOOKUP($A22,STATSSA_Annual!$A$3:$E$44,3,)+VLOOKUP($A22,STATSSA_Annual!$A$3:$E$44,5,))/1000000))</f>
        <v>1.1089420000000001</v>
      </c>
      <c r="C22" s="63">
        <f t="shared" si="0"/>
        <v>107.38975699999996</v>
      </c>
      <c r="E22" s="145">
        <f t="shared" ref="E22:E53" si="2">E21+1</f>
        <v>1994</v>
      </c>
      <c r="F22" s="63">
        <f>IF(COUNTIF(STATSSA_Monthly!$A$3:$A$500,'floor space forecast_SA'!$E22)&lt;12,($F21*(1+$H22)),((VLOOKUP($E22,STATSSA_Annual!$A$3:$I$44,6,)+VLOOKUP($E22,STATSSA_Annual!$A$3:$I$44,7,)+VLOOKUP($E22,STATSSA_Annual!$A$3:$I$44,9,))/1000000))</f>
        <v>0.30118800000000001</v>
      </c>
      <c r="G22" s="63">
        <f t="shared" ref="G22:G53" si="3">G21+F22</f>
        <v>34.846438000000006</v>
      </c>
      <c r="H22" s="549"/>
      <c r="Q22" s="1"/>
    </row>
    <row r="23" spans="1:17">
      <c r="A23" s="145">
        <f t="shared" si="1"/>
        <v>1995</v>
      </c>
      <c r="B23" s="63">
        <f>IF(COUNTIF(STATSSA_Monthly!$A$3:$A$500,'floor space forecast_SA'!$A23)&lt;12,,((VLOOKUP($A23,STATSSA_Annual!$A$3:$E$44,2,)+VLOOKUP($A23,STATSSA_Annual!$A$3:$E$44,3,)+VLOOKUP($A23,STATSSA_Annual!$A$3:$E$44,5,))/1000000))</f>
        <v>1.0308949999999999</v>
      </c>
      <c r="C23" s="63">
        <f t="shared" si="0"/>
        <v>108.49869899999996</v>
      </c>
      <c r="E23" s="145">
        <f t="shared" si="2"/>
        <v>1995</v>
      </c>
      <c r="F23" s="63">
        <f>IF(COUNTIF(STATSSA_Monthly!$A$3:$A$500,'floor space forecast_SA'!$E23)&lt;12,($F22*(1+$H23)),((VLOOKUP($E23,STATSSA_Annual!$A$3:$I$44,6,)+VLOOKUP($E23,STATSSA_Annual!$A$3:$I$44,7,)+VLOOKUP($E23,STATSSA_Annual!$A$3:$I$44,9,))/1000000))</f>
        <v>0.31152400000000002</v>
      </c>
      <c r="G23" s="63">
        <f t="shared" si="3"/>
        <v>35.157962000000005</v>
      </c>
      <c r="H23" s="549"/>
    </row>
    <row r="24" spans="1:17">
      <c r="A24" s="145">
        <f t="shared" si="1"/>
        <v>1996</v>
      </c>
      <c r="B24" s="63">
        <f>IF(COUNTIF(STATSSA_Monthly!$A$3:$A$500,'floor space forecast_SA'!$A24)&lt;12,,((VLOOKUP($A24,STATSSA_Annual!$A$3:$E$44,2,)+VLOOKUP($A24,STATSSA_Annual!$A$3:$E$44,3,)+VLOOKUP($A24,STATSSA_Annual!$A$3:$E$44,5,))/1000000))</f>
        <v>1.4478</v>
      </c>
      <c r="C24" s="63">
        <f t="shared" si="0"/>
        <v>109.52959399999996</v>
      </c>
      <c r="E24" s="145">
        <f t="shared" si="2"/>
        <v>1996</v>
      </c>
      <c r="F24" s="63">
        <f>IF(COUNTIF(STATSSA_Monthly!$A$3:$A$500,'floor space forecast_SA'!$E24)&lt;12,($F23*(1+$H24)),((VLOOKUP($E24,STATSSA_Annual!$A$3:$I$44,6,)+VLOOKUP($E24,STATSSA_Annual!$A$3:$I$44,7,)+VLOOKUP($E24,STATSSA_Annual!$A$3:$I$44,9,))/1000000))</f>
        <v>0.28311700000000001</v>
      </c>
      <c r="G24" s="63">
        <f t="shared" si="3"/>
        <v>35.441079000000002</v>
      </c>
      <c r="H24" s="549"/>
    </row>
    <row r="25" spans="1:17">
      <c r="A25" s="145">
        <f t="shared" si="1"/>
        <v>1997</v>
      </c>
      <c r="B25" s="63">
        <f>IF(COUNTIF(STATSSA_Monthly!$A$3:$A$500,'floor space forecast_SA'!$A25)&lt;12,,((VLOOKUP($A25,STATSSA_Annual!$A$3:$E$44,2,)+VLOOKUP($A25,STATSSA_Annual!$A$3:$E$44,3,)+VLOOKUP($A25,STATSSA_Annual!$A$3:$E$44,5,))/1000000))</f>
        <v>1.637168</v>
      </c>
      <c r="C25" s="63">
        <f t="shared" si="0"/>
        <v>110.97739399999996</v>
      </c>
      <c r="E25" s="145">
        <f t="shared" si="2"/>
        <v>1997</v>
      </c>
      <c r="F25" s="63">
        <f>IF(COUNTIF(STATSSA_Monthly!$A$3:$A$500,'floor space forecast_SA'!$E25)&lt;12,($F24*(1+$H25)),((VLOOKUP($E25,STATSSA_Annual!$A$3:$I$44,6,)+VLOOKUP($E25,STATSSA_Annual!$A$3:$I$44,7,)+VLOOKUP($E25,STATSSA_Annual!$A$3:$I$44,9,))/1000000))</f>
        <v>0.30775400000000003</v>
      </c>
      <c r="G25" s="63">
        <f t="shared" si="3"/>
        <v>35.748833000000005</v>
      </c>
      <c r="H25" s="549"/>
    </row>
    <row r="26" spans="1:17">
      <c r="A26" s="145">
        <f t="shared" si="1"/>
        <v>1998</v>
      </c>
      <c r="B26" s="63">
        <f>IF(COUNTIF(STATSSA_Monthly!$A$3:$A$500,'floor space forecast_SA'!$A26)&lt;12,,((VLOOKUP($A26,STATSSA_Annual!$A$3:$E$44,2,)+VLOOKUP($A26,STATSSA_Annual!$A$3:$E$44,3,)+VLOOKUP($A26,STATSSA_Annual!$A$3:$E$44,5,))/1000000))</f>
        <v>1.6639489999999999</v>
      </c>
      <c r="C26" s="63">
        <f t="shared" si="0"/>
        <v>112.61456199999996</v>
      </c>
      <c r="E26" s="145">
        <f t="shared" si="2"/>
        <v>1998</v>
      </c>
      <c r="F26" s="63">
        <f>IF(COUNTIF(STATSSA_Monthly!$A$3:$A$500,'floor space forecast_SA'!$E26)&lt;12,($F25*(1+$H26)),((VLOOKUP($E26,STATSSA_Annual!$A$3:$I$44,6,)+VLOOKUP($E26,STATSSA_Annual!$A$3:$I$44,7,)+VLOOKUP($E26,STATSSA_Annual!$A$3:$I$44,9,))/1000000))</f>
        <v>0.29860399999999998</v>
      </c>
      <c r="G26" s="63">
        <f t="shared" si="3"/>
        <v>36.047437000000002</v>
      </c>
      <c r="H26" s="549"/>
    </row>
    <row r="27" spans="1:17">
      <c r="A27" s="145">
        <f t="shared" si="1"/>
        <v>1999</v>
      </c>
      <c r="B27" s="63">
        <f>IF(COUNTIF(STATSSA_Monthly!$A$3:$A$500,'floor space forecast_SA'!$A27)&lt;12,,((VLOOKUP($A27,STATSSA_Annual!$A$3:$E$44,2,)+VLOOKUP($A27,STATSSA_Annual!$A$3:$E$44,3,)+VLOOKUP($A27,STATSSA_Annual!$A$3:$E$44,5,))/1000000))</f>
        <v>1.201163</v>
      </c>
      <c r="C27" s="63">
        <f t="shared" si="0"/>
        <v>114.27851099999997</v>
      </c>
      <c r="E27" s="145">
        <f t="shared" si="2"/>
        <v>1999</v>
      </c>
      <c r="F27" s="63">
        <f>IF(COUNTIF(STATSSA_Monthly!$A$3:$A$500,'floor space forecast_SA'!$E27)&lt;12,($F26*(1+$H27)),((VLOOKUP($E27,STATSSA_Annual!$A$3:$I$44,6,)+VLOOKUP($E27,STATSSA_Annual!$A$3:$I$44,7,)+VLOOKUP($E27,STATSSA_Annual!$A$3:$I$44,9,))/1000000))</f>
        <v>0.34199400000000002</v>
      </c>
      <c r="G27" s="63">
        <f t="shared" si="3"/>
        <v>36.389431000000002</v>
      </c>
      <c r="H27" s="549"/>
    </row>
    <row r="28" spans="1:17">
      <c r="A28" s="145">
        <f t="shared" si="1"/>
        <v>2000</v>
      </c>
      <c r="B28" s="63">
        <f>IF(COUNTIF(STATSSA_Monthly!$A$3:$A$500,'floor space forecast_SA'!$A28)&lt;12,,((VLOOKUP($A28,STATSSA_Annual!$A$3:$E$44,2,)+VLOOKUP($A28,STATSSA_Annual!$A$3:$E$44,3,)+VLOOKUP($A28,STATSSA_Annual!$A$3:$E$44,5,))/1000000))</f>
        <v>1.3857349999999999</v>
      </c>
      <c r="C28" s="63">
        <f t="shared" si="0"/>
        <v>115.47967399999996</v>
      </c>
      <c r="E28" s="145">
        <f t="shared" si="2"/>
        <v>2000</v>
      </c>
      <c r="F28" s="63">
        <f>IF(COUNTIF(STATSSA_Monthly!$A$3:$A$500,'floor space forecast_SA'!$E28)&lt;12,($F27*(1+$H28)),((VLOOKUP($E28,STATSSA_Annual!$A$3:$I$44,6,)+VLOOKUP($E28,STATSSA_Annual!$A$3:$I$44,7,)+VLOOKUP($E28,STATSSA_Annual!$A$3:$I$44,9,))/1000000))</f>
        <v>0.33648800000000001</v>
      </c>
      <c r="G28" s="63">
        <f t="shared" si="3"/>
        <v>36.725919000000005</v>
      </c>
      <c r="H28" s="549"/>
    </row>
    <row r="29" spans="1:17">
      <c r="A29" s="145">
        <f t="shared" si="1"/>
        <v>2001</v>
      </c>
      <c r="B29" s="63">
        <f>IF(COUNTIF(STATSSA_Monthly!$A$3:$A$500,'floor space forecast_SA'!$A29)&lt;12,,((VLOOKUP($A29,STATSSA_Annual!$A$3:$E$44,2,)+VLOOKUP($A29,STATSSA_Annual!$A$3:$E$44,3,)+VLOOKUP($A29,STATSSA_Annual!$A$3:$E$44,5,))/1000000))</f>
        <v>1.522445</v>
      </c>
      <c r="C29" s="63">
        <f t="shared" si="0"/>
        <v>116.86540899999996</v>
      </c>
      <c r="E29" s="145">
        <f t="shared" si="2"/>
        <v>2001</v>
      </c>
      <c r="F29" s="63">
        <f>IF(COUNTIF(STATSSA_Monthly!$A$3:$A$500,'floor space forecast_SA'!$E29)&lt;12,($F28*(1+$H29)),((VLOOKUP($E29,STATSSA_Annual!$A$3:$I$44,6,)+VLOOKUP($E29,STATSSA_Annual!$A$3:$I$44,7,)+VLOOKUP($E29,STATSSA_Annual!$A$3:$I$44,9,))/1000000))</f>
        <v>0.33440900000000001</v>
      </c>
      <c r="G29" s="63">
        <f t="shared" si="3"/>
        <v>37.060328000000005</v>
      </c>
      <c r="H29" s="549"/>
    </row>
    <row r="30" spans="1:17">
      <c r="A30" s="145">
        <f t="shared" si="1"/>
        <v>2002</v>
      </c>
      <c r="B30" s="63">
        <f>IF(COUNTIF(STATSSA_Monthly!$A$3:$A$500,'floor space forecast_SA'!$A30)&lt;12,,((VLOOKUP($A30,STATSSA_Annual!$A$3:$E$44,2,)+VLOOKUP($A30,STATSSA_Annual!$A$3:$E$44,3,)+VLOOKUP($A30,STATSSA_Annual!$A$3:$E$44,5,))/1000000))</f>
        <v>1.1124099999999999</v>
      </c>
      <c r="C30" s="63">
        <f t="shared" si="0"/>
        <v>118.38785399999996</v>
      </c>
      <c r="E30" s="145">
        <f t="shared" si="2"/>
        <v>2002</v>
      </c>
      <c r="F30" s="63">
        <f>IF(COUNTIF(STATSSA_Monthly!$A$3:$A$500,'floor space forecast_SA'!$E30)&lt;12,($F29*(1+$H30)),((VLOOKUP($E30,STATSSA_Annual!$A$3:$I$44,6,)+VLOOKUP($E30,STATSSA_Annual!$A$3:$I$44,7,)+VLOOKUP($E30,STATSSA_Annual!$A$3:$I$44,9,))/1000000))</f>
        <v>0.282391</v>
      </c>
      <c r="G30" s="63">
        <f t="shared" si="3"/>
        <v>37.342719000000002</v>
      </c>
      <c r="H30" s="549"/>
    </row>
    <row r="31" spans="1:17">
      <c r="A31" s="145">
        <f t="shared" si="1"/>
        <v>2003</v>
      </c>
      <c r="B31" s="63">
        <f>IF(COUNTIF(STATSSA_Monthly!$A$3:$A$500,'floor space forecast_SA'!$A31)&lt;12,,((VLOOKUP($A31,STATSSA_Annual!$A$3:$E$44,2,)+VLOOKUP($A31,STATSSA_Annual!$A$3:$E$44,3,)+VLOOKUP($A31,STATSSA_Annual!$A$3:$E$44,5,))/1000000))</f>
        <v>1.1516139999999999</v>
      </c>
      <c r="C31" s="63">
        <f t="shared" si="0"/>
        <v>119.50026399999996</v>
      </c>
      <c r="E31" s="145">
        <f t="shared" si="2"/>
        <v>2003</v>
      </c>
      <c r="F31" s="63">
        <f>IF(COUNTIF(STATSSA_Monthly!$A$3:$A$500,'floor space forecast_SA'!$E31)&lt;12,($F30*(1+$H31)),((VLOOKUP($E31,STATSSA_Annual!$A$3:$I$44,6,)+VLOOKUP($E31,STATSSA_Annual!$A$3:$I$44,7,)+VLOOKUP($E31,STATSSA_Annual!$A$3:$I$44,9,))/1000000))</f>
        <v>0.193524</v>
      </c>
      <c r="G31" s="63">
        <f t="shared" si="3"/>
        <v>37.536242999999999</v>
      </c>
      <c r="H31" s="549"/>
    </row>
    <row r="32" spans="1:17">
      <c r="A32" s="145">
        <f t="shared" si="1"/>
        <v>2004</v>
      </c>
      <c r="B32" s="63">
        <f>IF(COUNTIF(STATSSA_Monthly!$A$3:$A$500,'floor space forecast_SA'!$A32)&lt;12,,((VLOOKUP($A32,STATSSA_Annual!$A$3:$E$44,2,)+VLOOKUP($A32,STATSSA_Annual!$A$3:$E$44,3,)+VLOOKUP($A32,STATSSA_Annual!$A$3:$E$44,5,))/1000000))</f>
        <v>0.99647399999999997</v>
      </c>
      <c r="C32" s="63">
        <f t="shared" si="0"/>
        <v>120.65187799999995</v>
      </c>
      <c r="E32" s="145">
        <f t="shared" si="2"/>
        <v>2004</v>
      </c>
      <c r="F32" s="63">
        <f>IF(COUNTIF(STATSSA_Monthly!$A$3:$A$500,'floor space forecast_SA'!$E32)&lt;12,($F31*(1+$H32)),((VLOOKUP($E32,STATSSA_Annual!$A$3:$I$44,6,)+VLOOKUP($E32,STATSSA_Annual!$A$3:$I$44,7,)+VLOOKUP($E32,STATSSA_Annual!$A$3:$I$44,9,))/1000000))</f>
        <v>0.20518700000000001</v>
      </c>
      <c r="G32" s="63">
        <f t="shared" si="3"/>
        <v>37.741430000000001</v>
      </c>
      <c r="H32" s="549"/>
    </row>
    <row r="33" spans="1:10">
      <c r="A33" s="145">
        <f t="shared" si="1"/>
        <v>2005</v>
      </c>
      <c r="B33" s="63">
        <f>IF(COUNTIF(STATSSA_Monthly!$A$3:$A$500,'floor space forecast_SA'!$A33)&lt;12,,((VLOOKUP($A33,STATSSA_Annual!$A$3:$E$44,2,)+VLOOKUP($A33,STATSSA_Annual!$A$3:$E$44,3,)+VLOOKUP($A33,STATSSA_Annual!$A$3:$E$44,5,))/1000000))</f>
        <v>1.038443</v>
      </c>
      <c r="C33" s="63">
        <f t="shared" si="0"/>
        <v>121.64835199999996</v>
      </c>
      <c r="E33" s="145">
        <f t="shared" si="2"/>
        <v>2005</v>
      </c>
      <c r="F33" s="63">
        <f>IF(COUNTIF(STATSSA_Monthly!$A$3:$A$500,'floor space forecast_SA'!$E33)&lt;12,($F32*(1+$H33)),((VLOOKUP($E33,STATSSA_Annual!$A$3:$I$44,6,)+VLOOKUP($E33,STATSSA_Annual!$A$3:$I$44,7,)+VLOOKUP($E33,STATSSA_Annual!$A$3:$I$44,9,))/1000000))</f>
        <v>0.26394800000000002</v>
      </c>
      <c r="G33" s="63">
        <f t="shared" si="3"/>
        <v>38.005378</v>
      </c>
      <c r="H33" s="549"/>
    </row>
    <row r="34" spans="1:10">
      <c r="A34" s="145">
        <f t="shared" si="1"/>
        <v>2006</v>
      </c>
      <c r="B34" s="63">
        <f>IF(COUNTIF(STATSSA_Monthly!$A$3:$A$500,'floor space forecast_SA'!$A34)&lt;12,,((VLOOKUP($A34,STATSSA_Annual!$A$3:$E$44,2,)+VLOOKUP($A34,STATSSA_Annual!$A$3:$E$44,3,)+VLOOKUP($A34,STATSSA_Annual!$A$3:$E$44,5,))/1000000))</f>
        <v>1.1142240000000001</v>
      </c>
      <c r="C34" s="63">
        <f t="shared" si="0"/>
        <v>122.68679499999996</v>
      </c>
      <c r="E34" s="145">
        <f t="shared" si="2"/>
        <v>2006</v>
      </c>
      <c r="F34" s="63">
        <f>IF(COUNTIF(STATSSA_Monthly!$A$3:$A$500,'floor space forecast_SA'!$E34)&lt;12,($F33*(1+$H34)),((VLOOKUP($E34,STATSSA_Annual!$A$3:$I$44,6,)+VLOOKUP($E34,STATSSA_Annual!$A$3:$I$44,7,)+VLOOKUP($E34,STATSSA_Annual!$A$3:$I$44,9,))/1000000))</f>
        <v>0.23971300000000001</v>
      </c>
      <c r="G34" s="63">
        <f t="shared" si="3"/>
        <v>38.245091000000002</v>
      </c>
      <c r="H34" s="549"/>
      <c r="J34" s="583"/>
    </row>
    <row r="35" spans="1:10">
      <c r="A35" s="145">
        <f t="shared" si="1"/>
        <v>2007</v>
      </c>
      <c r="B35" s="63">
        <f>IF(COUNTIF(STATSSA_Monthly!$A$3:$A$500,'floor space forecast_SA'!$A35)&lt;12,,((VLOOKUP($A35,STATSSA_Annual!$A$3:$E$44,2,)+VLOOKUP($A35,STATSSA_Annual!$A$3:$E$44,3,)+VLOOKUP($A35,STATSSA_Annual!$A$3:$E$44,5,))/1000000))</f>
        <v>1.597278</v>
      </c>
      <c r="C35" s="63">
        <f t="shared" si="0"/>
        <v>123.80101899999997</v>
      </c>
      <c r="E35" s="145">
        <f t="shared" si="2"/>
        <v>2007</v>
      </c>
      <c r="F35" s="63">
        <f>IF(COUNTIF(STATSSA_Monthly!$A$3:$A$500,'floor space forecast_SA'!$E35)&lt;12,($F34*(1+$H35)),((VLOOKUP($E35,STATSSA_Annual!$A$3:$I$44,6,)+VLOOKUP($E35,STATSSA_Annual!$A$3:$I$44,7,)+VLOOKUP($E35,STATSSA_Annual!$A$3:$I$44,9,))/1000000))</f>
        <v>0.41363899999999998</v>
      </c>
      <c r="G35" s="63">
        <f t="shared" si="3"/>
        <v>38.658730000000006</v>
      </c>
      <c r="H35" s="549"/>
      <c r="J35" s="583" t="s">
        <v>921</v>
      </c>
    </row>
    <row r="36" spans="1:10">
      <c r="A36" s="145">
        <f t="shared" si="1"/>
        <v>2008</v>
      </c>
      <c r="B36" s="63">
        <f>IF(COUNTIF(STATSSA_Monthly!$A$3:$A$500,'floor space forecast_SA'!$A36)&lt;12,,((VLOOKUP($A36,STATSSA_Annual!$A$3:$E$44,2,)+VLOOKUP($A36,STATSSA_Annual!$A$3:$E$44,3,)+VLOOKUP($A36,STATSSA_Annual!$A$3:$E$44,5,))/1000000))</f>
        <v>2.5655100000000002</v>
      </c>
      <c r="C36" s="63">
        <f t="shared" si="0"/>
        <v>125.39829699999997</v>
      </c>
      <c r="E36" s="145">
        <f t="shared" si="2"/>
        <v>2008</v>
      </c>
      <c r="F36" s="63">
        <f>IF(COUNTIF(STATSSA_Monthly!$A$3:$A$500,'floor space forecast_SA'!$E36)&lt;12,($F35*(1+$H36)),((VLOOKUP($E36,STATSSA_Annual!$A$3:$I$44,6,)+VLOOKUP($E36,STATSSA_Annual!$A$3:$I$44,7,)+VLOOKUP($E36,STATSSA_Annual!$A$3:$I$44,9,))/1000000))</f>
        <v>0.47298699999999999</v>
      </c>
      <c r="G36" s="63">
        <f t="shared" si="3"/>
        <v>39.131717000000009</v>
      </c>
      <c r="H36" s="549"/>
      <c r="J36" s="583"/>
    </row>
    <row r="37" spans="1:10">
      <c r="A37" s="145">
        <f t="shared" si="1"/>
        <v>2009</v>
      </c>
      <c r="B37" s="63">
        <f>IF(COUNTIF(STATSSA_Monthly!$A$3:$A$500,'floor space forecast_SA'!$A37)&lt;12,,((VLOOKUP($A37,STATSSA_Annual!$A$3:$E$44,2,)+VLOOKUP($A37,STATSSA_Annual!$A$3:$E$44,3,)+VLOOKUP($A37,STATSSA_Annual!$A$3:$E$44,5,))/1000000))</f>
        <v>2.220091</v>
      </c>
      <c r="C37" s="63">
        <f t="shared" si="0"/>
        <v>127.96380699999997</v>
      </c>
      <c r="E37" s="145">
        <f t="shared" si="2"/>
        <v>2009</v>
      </c>
      <c r="F37" s="63">
        <f>IF(COUNTIF(STATSSA_Monthly!$A$3:$A$500,'floor space forecast_SA'!$E37)&lt;12,($F36*(1+$H37)),((VLOOKUP($E37,STATSSA_Annual!$A$3:$I$44,6,)+VLOOKUP($E37,STATSSA_Annual!$A$3:$I$44,7,)+VLOOKUP($E37,STATSSA_Annual!$A$3:$I$44,9,))/1000000))</f>
        <v>0.50150399999999995</v>
      </c>
      <c r="G37" s="63">
        <f t="shared" si="3"/>
        <v>39.633221000000006</v>
      </c>
      <c r="H37" s="549"/>
      <c r="J37" s="583"/>
    </row>
    <row r="38" spans="1:10">
      <c r="A38" s="145">
        <f t="shared" si="1"/>
        <v>2010</v>
      </c>
      <c r="B38" s="63">
        <f>IF(COUNTIF(STATSSA_Monthly!$A$3:$A$500,'floor space forecast_SA'!$A38)&lt;12,,((VLOOKUP($A38,STATSSA_Annual!$A$3:$E$44,2,)+VLOOKUP($A38,STATSSA_Annual!$A$3:$E$44,3,)+VLOOKUP($A38,STATSSA_Annual!$A$3:$E$44,5,))/1000000))</f>
        <v>1.41995</v>
      </c>
      <c r="C38" s="63">
        <f t="shared" si="0"/>
        <v>130.18389799999997</v>
      </c>
      <c r="E38" s="145">
        <f t="shared" si="2"/>
        <v>2010</v>
      </c>
      <c r="F38" s="63">
        <f>IF(COUNTIF(STATSSA_Monthly!$A$3:$A$500,'floor space forecast_SA'!$E38)&lt;12,($F37*(1+$H38)),((VLOOKUP($E38,STATSSA_Annual!$A$3:$I$44,6,)+VLOOKUP($E38,STATSSA_Annual!$A$3:$I$44,7,)+VLOOKUP($E38,STATSSA_Annual!$A$3:$I$44,9,))/1000000))</f>
        <v>0.30751400000000001</v>
      </c>
      <c r="G38" s="63">
        <f t="shared" si="3"/>
        <v>39.940735000000004</v>
      </c>
      <c r="H38" s="549"/>
      <c r="J38" s="583"/>
    </row>
    <row r="39" spans="1:10">
      <c r="A39" s="145">
        <f t="shared" si="1"/>
        <v>2011</v>
      </c>
      <c r="B39" s="63">
        <f>IF(COUNTIF(STATSSA_Monthly!$A$3:$A$500,'floor space forecast_SA'!$A39)&lt;12,,((VLOOKUP($A39,STATSSA_Annual!$A$3:$E$44,2,)+VLOOKUP($A39,STATSSA_Annual!$A$3:$E$44,3,)+VLOOKUP($A39,STATSSA_Annual!$A$3:$E$44,5,))/1000000))</f>
        <v>1.2116420000000001</v>
      </c>
      <c r="C39" s="63">
        <f t="shared" si="0"/>
        <v>131.60384799999997</v>
      </c>
      <c r="E39" s="145">
        <f t="shared" si="2"/>
        <v>2011</v>
      </c>
      <c r="F39" s="63">
        <f>IF(COUNTIF(STATSSA_Monthly!$A$3:$A$500,'floor space forecast_SA'!$E39)&lt;12,($F38*(1+$H39)),((VLOOKUP($E39,STATSSA_Annual!$A$3:$I$44,6,)+VLOOKUP($E39,STATSSA_Annual!$A$3:$I$44,7,)+VLOOKUP($E39,STATSSA_Annual!$A$3:$I$44,9,))/1000000))</f>
        <v>0.29356500000000002</v>
      </c>
      <c r="G39" s="63">
        <f t="shared" si="3"/>
        <v>40.234300000000005</v>
      </c>
      <c r="H39" s="549"/>
      <c r="J39" s="583"/>
    </row>
    <row r="40" spans="1:10">
      <c r="A40" s="145">
        <f t="shared" si="1"/>
        <v>2012</v>
      </c>
      <c r="B40" s="63">
        <f>IF(COUNTIF(STATSSA_Monthly!$A$3:$A$500,'floor space forecast_SA'!$A40)&lt;12,,((VLOOKUP($A40,STATSSA_Annual!$A$3:$E$44,2,)+VLOOKUP($A40,STATSSA_Annual!$A$3:$E$44,3,)+VLOOKUP($A40,STATSSA_Annual!$A$3:$E$44,5,))/1000000))</f>
        <v>1.192385</v>
      </c>
      <c r="C40" s="63">
        <f t="shared" si="0"/>
        <v>132.81548999999998</v>
      </c>
      <c r="E40" s="145">
        <f t="shared" si="2"/>
        <v>2012</v>
      </c>
      <c r="F40" s="63">
        <f>IF(COUNTIF(STATSSA_Monthly!$A$3:$A$500,'floor space forecast_SA'!$E40)&lt;12,($F39*(1+$H40)),((VLOOKUP($E40,STATSSA_Annual!$A$3:$I$44,6,)+VLOOKUP($E40,STATSSA_Annual!$A$3:$I$44,7,)+VLOOKUP($E40,STATSSA_Annual!$A$3:$I$44,9,))/1000000))</f>
        <v>0.24381700000000001</v>
      </c>
      <c r="G40" s="63">
        <f t="shared" si="3"/>
        <v>40.478117000000005</v>
      </c>
      <c r="H40" s="549"/>
      <c r="J40" s="583"/>
    </row>
    <row r="41" spans="1:10">
      <c r="A41" s="145">
        <f t="shared" si="1"/>
        <v>2013</v>
      </c>
      <c r="B41" s="63">
        <f>IF(COUNTIF(STATSSA_Monthly!$A$3:$A$500,'floor space forecast_SA'!$A41)&lt;12,,((VLOOKUP($A41,STATSSA_Annual!$A$3:$E$44,2,)+VLOOKUP($A41,STATSSA_Annual!$A$3:$E$44,3,)+VLOOKUP($A41,STATSSA_Annual!$A$3:$E$44,5,))/1000000))</f>
        <v>1.5909759999999999</v>
      </c>
      <c r="C41" s="63">
        <f t="shared" si="0"/>
        <v>134.00787499999998</v>
      </c>
      <c r="E41" s="145">
        <f t="shared" si="2"/>
        <v>2013</v>
      </c>
      <c r="F41" s="63">
        <f>IF(COUNTIF(STATSSA_Monthly!$A$3:$A$500,'floor space forecast_SA'!$E41)&lt;12,($F40*(1+$H41)),((VLOOKUP($E41,STATSSA_Annual!$A$3:$I$44,6,)+VLOOKUP($E41,STATSSA_Annual!$A$3:$I$44,7,)+VLOOKUP($E41,STATSSA_Annual!$A$3:$I$44,9,))/1000000))</f>
        <v>0.45617000000000002</v>
      </c>
      <c r="G41" s="63">
        <f t="shared" si="3"/>
        <v>40.934287000000005</v>
      </c>
      <c r="H41" s="549"/>
      <c r="J41" s="583"/>
    </row>
    <row r="42" spans="1:10">
      <c r="A42" s="145">
        <f t="shared" si="1"/>
        <v>2014</v>
      </c>
      <c r="B42" s="63">
        <f>IF(COUNTIF(STATSSA_Monthly!$A$3:$A$500,'floor space forecast_SA'!$A42)&lt;12,,((VLOOKUP($A42,STATSSA_Annual!$A$3:$E$44,2,)+VLOOKUP($A42,STATSSA_Annual!$A$3:$E$44,3,)+VLOOKUP($A42,STATSSA_Annual!$A$3:$E$44,5,))/1000000))</f>
        <v>1.395365</v>
      </c>
      <c r="C42" s="63">
        <f t="shared" si="0"/>
        <v>135.598851</v>
      </c>
      <c r="E42" s="145">
        <f t="shared" si="2"/>
        <v>2014</v>
      </c>
      <c r="F42" s="63">
        <f>IF(COUNTIF(STATSSA_Monthly!$A$3:$A$500,'floor space forecast_SA'!$E42)&lt;12,($F41*(1+$H42)),((VLOOKUP($E42,STATSSA_Annual!$A$3:$I$44,6,)+VLOOKUP($E42,STATSSA_Annual!$A$3:$I$44,7,)+VLOOKUP($E42,STATSSA_Annual!$A$3:$I$44,9,))/1000000))</f>
        <v>0.21743999999999999</v>
      </c>
      <c r="G42" s="63">
        <f t="shared" si="3"/>
        <v>41.151727000000008</v>
      </c>
      <c r="H42" s="549"/>
      <c r="J42" s="583"/>
    </row>
    <row r="43" spans="1:10">
      <c r="A43" s="145">
        <f t="shared" si="1"/>
        <v>2015</v>
      </c>
      <c r="B43" s="63">
        <f>IF(COUNTIF(STATSSA_Monthly!$A$3:$A$500,'floor space forecast_SA'!$A43)&lt;12,,((VLOOKUP($A43,STATSSA_Annual!$A$3:$E$44,2,)+VLOOKUP($A43,STATSSA_Annual!$A$3:$E$44,3,)+VLOOKUP($A43,STATSSA_Annual!$A$3:$E$44,5,))/1000000))</f>
        <v>1.33402</v>
      </c>
      <c r="C43" s="63">
        <f>C44-B43</f>
        <v>136.99421599999999</v>
      </c>
      <c r="E43" s="145">
        <f t="shared" si="2"/>
        <v>2015</v>
      </c>
      <c r="F43" s="63">
        <f>IF(COUNTIF(STATSSA_Monthly!$A$3:$A$500,'floor space forecast_SA'!$E43)&lt;12,($F42*(1+$H43)),((VLOOKUP($E43,STATSSA_Annual!$A$3:$I$44,6,)+VLOOKUP($E43,STATSSA_Annual!$A$3:$I$44,7,)+VLOOKUP($E43,STATSSA_Annual!$A$3:$I$44,9,))/1000000))</f>
        <v>0.39952900000000002</v>
      </c>
      <c r="G43" s="63">
        <f t="shared" si="3"/>
        <v>41.551256000000009</v>
      </c>
      <c r="H43" s="549"/>
      <c r="J43" s="583"/>
    </row>
    <row r="44" spans="1:10">
      <c r="A44" s="145">
        <f t="shared" si="1"/>
        <v>2016</v>
      </c>
      <c r="B44" s="63">
        <f>IF(COUNTIF(STATSSA_Monthly!$A$3:$A$500,'floor space forecast_SA'!$A44)&lt;12,,((VLOOKUP($A44,STATSSA_Annual!$A$3:$E$44,2,)+VLOOKUP($A44,STATSSA_Annual!$A$3:$E$44,3,)+VLOOKUP($A44,STATSSA_Annual!$A$3:$E$44,5,))/1000000))</f>
        <v>1.328236</v>
      </c>
      <c r="C44" s="63">
        <f>B13+B44</f>
        <v>138.328236</v>
      </c>
      <c r="E44" s="145">
        <f t="shared" si="2"/>
        <v>2016</v>
      </c>
      <c r="F44" s="63">
        <f>IF(COUNTIF(STATSSA_Monthly!$A$3:$A$500,'floor space forecast_SA'!$E44)&lt;12,($F43*(1+$H44)),((VLOOKUP($E44,STATSSA_Annual!$A$3:$I$44,6,)+VLOOKUP($E44,STATSSA_Annual!$A$3:$I$44,7,)+VLOOKUP($E44,STATSSA_Annual!$A$3:$I$44,9,))/1000000))</f>
        <v>0.35659600000000002</v>
      </c>
      <c r="G44" s="63">
        <f t="shared" si="3"/>
        <v>41.907852000000013</v>
      </c>
      <c r="H44" s="549"/>
      <c r="J44" s="583"/>
    </row>
    <row r="45" spans="1:10">
      <c r="A45" s="145">
        <f t="shared" si="1"/>
        <v>2017</v>
      </c>
      <c r="B45" s="63">
        <f>IF(COUNTIF(STATSSA_Monthly!$A$3:$A$500,'floor space forecast_SA'!$A45)&lt;12,,((VLOOKUP($A45,STATSSA_Annual!$A$3:$E$44,2,)+VLOOKUP($A45,STATSSA_Annual!$A$3:$E$44,3,)+VLOOKUP($A45,STATSSA_Annual!$A$3:$E$44,5,))/1000000))</f>
        <v>1.8608290000000001</v>
      </c>
      <c r="C45" s="63">
        <f t="shared" ref="C45:C53" si="4">C44+B45</f>
        <v>140.189065</v>
      </c>
      <c r="E45" s="145">
        <f t="shared" si="2"/>
        <v>2017</v>
      </c>
      <c r="F45" s="63">
        <f>IF(COUNTIF(STATSSA_Monthly!$A$3:$A$500,'floor space forecast_SA'!$E45)&lt;12,($F44*(1+$H45)),((VLOOKUP($E45,STATSSA_Annual!$A$3:$I$44,6,)+VLOOKUP($E45,STATSSA_Annual!$A$3:$I$44,7,)+VLOOKUP($E45,STATSSA_Annual!$A$3:$I$44,9,))/1000000))</f>
        <v>0.42534899999999998</v>
      </c>
      <c r="G45" s="63">
        <f t="shared" si="3"/>
        <v>42.33320100000001</v>
      </c>
      <c r="H45" s="549">
        <v>0.1</v>
      </c>
      <c r="J45" s="583"/>
    </row>
    <row r="46" spans="1:10">
      <c r="A46" s="145">
        <f t="shared" si="1"/>
        <v>2018</v>
      </c>
      <c r="B46" s="63">
        <f>IF(COUNTIF(STATSSA_Monthly!$A$3:$A$500,'floor space forecast_SA'!$A46)&lt;12,,((VLOOKUP($A46,STATSSA_Annual!$A$3:$E$44,2,)+VLOOKUP($A46,STATSSA_Annual!$A$3:$E$44,3,)+VLOOKUP($A46,STATSSA_Annual!$A$3:$E$44,5,))/1000000))</f>
        <v>1.193211</v>
      </c>
      <c r="C46" s="63">
        <f t="shared" si="4"/>
        <v>141.38227599999999</v>
      </c>
      <c r="E46" s="145">
        <f t="shared" si="2"/>
        <v>2018</v>
      </c>
      <c r="F46" s="63">
        <f>IF(COUNTIF(STATSSA_Monthly!$A$3:$A$500,'floor space forecast_SA'!$E46)&lt;12,($F45*(1+$H46)),((VLOOKUP($E46,STATSSA_Annual!$A$3:$I$44,6,)+VLOOKUP($E46,STATSSA_Annual!$A$3:$I$44,7,)+VLOOKUP($E46,STATSSA_Annual!$A$3:$I$44,9,))/1000000))</f>
        <v>0.36171500000000001</v>
      </c>
      <c r="G46" s="63">
        <f t="shared" si="3"/>
        <v>42.694916000000006</v>
      </c>
      <c r="H46" s="549">
        <v>0.1</v>
      </c>
    </row>
    <row r="47" spans="1:10">
      <c r="A47" s="668">
        <f t="shared" si="1"/>
        <v>2019</v>
      </c>
      <c r="B47" s="669">
        <f>IF(COUNTIF(STATSSA_Monthly!$A$3:$A$500,'floor space forecast_SA'!$A47)&lt;12,,((VLOOKUP($A47,STATSSA_Annual!$A$3:$E$44,2,)+VLOOKUP($A47,STATSSA_Annual!$A$3:$E$44,3,)+VLOOKUP($A47,STATSSA_Annual!$A$3:$E$44,5,))/1000000))</f>
        <v>1.6075520000000001</v>
      </c>
      <c r="C47" s="669">
        <f t="shared" si="4"/>
        <v>142.98982799999999</v>
      </c>
      <c r="D47" s="670"/>
      <c r="E47" s="668">
        <f t="shared" si="2"/>
        <v>2019</v>
      </c>
      <c r="F47" s="669">
        <f>IF(COUNTIF(STATSSA_Monthly!$A$3:$A$500,'floor space forecast_SA'!$E47)&lt;12,($F46*(1+$H47)),((VLOOKUP($E47,STATSSA_Annual!$A$3:$I$44,6,)+VLOOKUP($E47,STATSSA_Annual!$A$3:$I$44,7,)+VLOOKUP($E47,STATSSA_Annual!$A$3:$I$44,9,))/1000000))</f>
        <v>0.366591</v>
      </c>
      <c r="G47" s="669">
        <f t="shared" si="3"/>
        <v>43.061507000000006</v>
      </c>
      <c r="H47" s="676">
        <v>0.1</v>
      </c>
    </row>
    <row r="48" spans="1:10">
      <c r="A48" s="668">
        <f t="shared" si="1"/>
        <v>2020</v>
      </c>
      <c r="B48" s="669">
        <f>IF(COUNTIF(STATSSA_Monthly!$A$3:$A$500,'floor space forecast_SA'!$A48)&lt;12,,((VLOOKUP($A48,STATSSA_Annual!$A$3:$E$44,2,)+VLOOKUP($A48,STATSSA_Annual!$A$3:$E$44,3,)+VLOOKUP($A48,STATSSA_Annual!$A$3:$E$44,5,))/1000000))</f>
        <v>0.77193599999999996</v>
      </c>
      <c r="C48" s="669">
        <f t="shared" si="4"/>
        <v>143.761764</v>
      </c>
      <c r="D48" s="670"/>
      <c r="E48" s="668">
        <f t="shared" si="2"/>
        <v>2020</v>
      </c>
      <c r="F48" s="669">
        <f>IF(COUNTIF(STATSSA_Monthly!$A$3:$A$500,'floor space forecast_SA'!$E48)&lt;12,($F47*(1+$H48)),((VLOOKUP($E48,STATSSA_Annual!$A$3:$I$44,6,)+VLOOKUP($E48,STATSSA_Annual!$A$3:$I$44,7,)+VLOOKUP($E48,STATSSA_Annual!$A$3:$I$44,9,))/1000000))</f>
        <v>0.25261400000000001</v>
      </c>
      <c r="G48" s="669">
        <f t="shared" si="3"/>
        <v>43.314121000000007</v>
      </c>
      <c r="H48" s="676">
        <v>0.1</v>
      </c>
      <c r="I48" s="105"/>
    </row>
    <row r="49" spans="1:8">
      <c r="A49" s="668">
        <f t="shared" si="1"/>
        <v>2021</v>
      </c>
      <c r="B49" s="669">
        <f>IF(COUNTIF(STATSSA_Monthly!$A$3:$A$500,'floor space forecast_SA'!$A49)&lt;12,,((VLOOKUP($A49,STATSSA_Annual!$A$3:$E$44,2,)+VLOOKUP($A49,STATSSA_Annual!$A$3:$E$44,3,)+VLOOKUP($A49,STATSSA_Annual!$A$3:$E$44,5,))/1000000))</f>
        <v>0.83393399999999995</v>
      </c>
      <c r="C49" s="669">
        <f t="shared" si="4"/>
        <v>144.595698</v>
      </c>
      <c r="D49" s="670"/>
      <c r="E49" s="668">
        <f t="shared" si="2"/>
        <v>2021</v>
      </c>
      <c r="F49" s="669">
        <f>IF(COUNTIF(STATSSA_Monthly!$A$3:$A$500,'floor space forecast_SA'!$E49)&lt;12,($F48*(1+$H49)),((VLOOKUP($E49,STATSSA_Annual!$A$3:$I$44,6,)+VLOOKUP($E49,STATSSA_Annual!$A$3:$I$44,7,)+VLOOKUP($E49,STATSSA_Annual!$A$3:$I$44,9,))/1000000))</f>
        <v>0.26883200000000002</v>
      </c>
      <c r="G49" s="669">
        <f t="shared" si="3"/>
        <v>43.58295300000001</v>
      </c>
      <c r="H49" s="676">
        <v>0.1</v>
      </c>
    </row>
    <row r="50" spans="1:8">
      <c r="A50" s="668">
        <f>A49+1</f>
        <v>2022</v>
      </c>
      <c r="B50" s="669">
        <f>IF(COUNTIF(STATSSA_Monthly!$A$3:$A$500,'floor space forecast_SA'!$A50)&lt;12,,((VLOOKUP($A50,STATSSA_Annual!$A$3:$E$44,2,)+VLOOKUP($A50,STATSSA_Annual!$A$3:$E$44,3,)+VLOOKUP($A50,STATSSA_Annual!$A$3:$E$44,5,))/1000000))</f>
        <v>0.78185000000000004</v>
      </c>
      <c r="C50" s="669">
        <f t="shared" si="4"/>
        <v>145.37754799999999</v>
      </c>
      <c r="D50" s="670"/>
      <c r="E50" s="668">
        <f t="shared" si="2"/>
        <v>2022</v>
      </c>
      <c r="F50" s="669">
        <f>IF(COUNTIF(STATSSA_Monthly!$A$3:$A$500,'floor space forecast_SA'!$E50)&lt;12,($F49*(1+$H50)),((VLOOKUP($E50,STATSSA_Annual!$A$3:$I$44,6,)+VLOOKUP($E50,STATSSA_Annual!$A$3:$I$44,7,)+VLOOKUP($E50,STATSSA_Annual!$A$3:$I$44,9,))/1000000))</f>
        <v>0.311691</v>
      </c>
      <c r="G50" s="669">
        <f t="shared" si="3"/>
        <v>43.894644000000014</v>
      </c>
      <c r="H50" s="676">
        <v>0.1</v>
      </c>
    </row>
    <row r="51" spans="1:8">
      <c r="A51" s="145">
        <f t="shared" si="1"/>
        <v>2023</v>
      </c>
      <c r="B51" s="63">
        <f t="array" ref="B51">IF(COUNTIF(STATSSA_Monthly!$A$3:$A$400,'floor space forecast_SA'!$A51)&lt;12,(VLOOKUP($A51,'SA GDP'!$F$6:$I$62,3,)),((VLOOKUP($A51,STATSSA_Annual!$A$3:$E$44,2,)+VLOOKUP($A51,STATSSA_Annual!$A$3:$E$44,3,)+VLOOKUP($A51,STATSSA_Annual!$A$3:$E$44,5,))/1000000))</f>
        <v>4.3026355581673963</v>
      </c>
      <c r="C51" s="63">
        <f t="shared" si="4"/>
        <v>149.68018355816739</v>
      </c>
      <c r="E51" s="145">
        <f t="shared" si="2"/>
        <v>2023</v>
      </c>
      <c r="F51" s="63">
        <f>IF(COUNTIF(STATSSA_Monthly!$A$3:$A$400,'floor space forecast_SA'!$E51)&lt;12,($F50*(1+$H51)),((VLOOKUP($E51,STATSSA_Annual!$A$3:$I$44,6,)+VLOOKUP($E51,STATSSA_Annual!$A$3:$I$44,7,)+VLOOKUP($E51,STATSSA_Annual!$A$3:$I$44,9,))/1000000))</f>
        <v>0.3428601</v>
      </c>
      <c r="G51" s="63">
        <f t="shared" si="3"/>
        <v>44.237504100000017</v>
      </c>
      <c r="H51" s="549">
        <v>0.1</v>
      </c>
    </row>
    <row r="52" spans="1:8">
      <c r="A52" s="145">
        <f t="shared" si="1"/>
        <v>2024</v>
      </c>
      <c r="B52" s="63">
        <f t="array" ref="B52">IF(COUNTIF(STATSSA_Monthly!$A$3:$A$400,'floor space forecast_SA'!$A52)&lt;12,(VLOOKUP($A52,'SA GDP'!$F$6:$I$62,3,)),((VLOOKUP($A52,STATSSA_Annual!$A$3:$E$44,2,)+VLOOKUP($A52,STATSSA_Annual!$A$3:$E$44,3,)+VLOOKUP($A52,STATSSA_Annual!$A$3:$E$44,5,))/1000000))</f>
        <v>1.6496092878046134</v>
      </c>
      <c r="C52" s="63">
        <f t="shared" si="4"/>
        <v>151.32979284597201</v>
      </c>
      <c r="E52" s="145">
        <f t="shared" si="2"/>
        <v>2024</v>
      </c>
      <c r="F52" s="63">
        <f>IF(COUNTIF(STATSSA_Monthly!$A$3:$A$400,'floor space forecast_SA'!$E52)&lt;12,($F51*(1+$H52)),((VLOOKUP($E52,STATSSA_Annual!$A$3:$I$44,6,)+VLOOKUP($E52,STATSSA_Annual!$A$3:$I$44,7,)+VLOOKUP($E52,STATSSA_Annual!$A$3:$I$44,9,))/1000000))</f>
        <v>0.37714611000000003</v>
      </c>
      <c r="G52" s="63">
        <f t="shared" si="3"/>
        <v>44.614650210000015</v>
      </c>
      <c r="H52" s="549">
        <v>0.1</v>
      </c>
    </row>
    <row r="53" spans="1:8">
      <c r="A53" s="145">
        <f t="shared" si="1"/>
        <v>2025</v>
      </c>
      <c r="B53" s="63">
        <f>IF(COUNTIF(STATSSA_Monthly!$A$3:$A$400,'floor space forecast_SA'!$A53)&lt;12,(VLOOKUP($A53,'SA GDP'!$F$6:$I$62,3,)),((VLOOKUP($A53,STATSSA_Annual!$A$3:$E$44,2,)+VLOOKUP($A53,STATSSA_Annual!$A$3:$E$44,3,)+VLOOKUP($A53,STATSSA_Annual!$A$3:$E$44,5,))/1000000))</f>
        <v>0.6955869105744239</v>
      </c>
      <c r="C53" s="63">
        <f t="shared" si="4"/>
        <v>152.02537975654644</v>
      </c>
      <c r="E53" s="145">
        <f t="shared" si="2"/>
        <v>2025</v>
      </c>
      <c r="F53" s="63">
        <f>IF(COUNTIF(STATSSA_Monthly!$A$3:$A$400,'floor space forecast_SA'!$E53)&lt;12,($F52*(1+$H53)),((VLOOKUP($E53,STATSSA_Annual!$A$3:$I$44,6,)+VLOOKUP($E53,STATSSA_Annual!$A$3:$I$44,7,)+VLOOKUP($E53,STATSSA_Annual!$A$3:$I$44,9,))/1000000))</f>
        <v>0.4148607210000001</v>
      </c>
      <c r="G53" s="63">
        <f t="shared" si="3"/>
        <v>45.029510931000011</v>
      </c>
      <c r="H53" s="549">
        <v>0.1</v>
      </c>
    </row>
    <row r="54" spans="1:8">
      <c r="A54" s="145">
        <f t="shared" ref="A54:A78" si="5">A53+1</f>
        <v>2026</v>
      </c>
      <c r="B54" s="63">
        <f t="array" ref="B54">IF(COUNTIF(STATSSA_Monthly!$A$3:$A$400,'floor space forecast_SA'!$A54)&lt;12,(VLOOKUP($A54,'SA GDP'!$F$6:$I$62,3,)),((VLOOKUP($A54,STATSSA_Annual!$A$3:$E$44,2,)+VLOOKUP($A54,STATSSA_Annual!$A$3:$E$44,3,)+VLOOKUP($A54,STATSSA_Annual!$A$3:$E$44,5,))/1000000))</f>
        <v>1.2847856319772157</v>
      </c>
      <c r="C54" s="63">
        <f t="shared" ref="C54:C78" si="6">C53+B54</f>
        <v>153.31016538852367</v>
      </c>
      <c r="E54" s="145">
        <f t="shared" ref="E54:E78" si="7">E53+1</f>
        <v>2026</v>
      </c>
      <c r="F54" s="63">
        <f>IF(COUNTIF(STATSSA_Monthly!$A$3:$A$400,'floor space forecast_SA'!$E54)&lt;12,($F53*(1+$H54)),((VLOOKUP($E54,STATSSA_Annual!$A$3:$I$44,6,)+VLOOKUP($E54,STATSSA_Annual!$A$3:$I$44,7,)+VLOOKUP($E54,STATSSA_Annual!$A$3:$I$44,9,))/1000000))</f>
        <v>0.45634679310000015</v>
      </c>
      <c r="G54" s="63">
        <f t="shared" ref="G54:G78" si="8">G53+F54</f>
        <v>45.485857724100015</v>
      </c>
      <c r="H54" s="549">
        <v>0.1</v>
      </c>
    </row>
    <row r="55" spans="1:8">
      <c r="A55" s="145">
        <f t="shared" si="5"/>
        <v>2027</v>
      </c>
      <c r="B55" s="63">
        <f t="array" ref="B55">IF(COUNTIF(STATSSA_Monthly!$A$3:$A$400,'floor space forecast_SA'!$A55)&lt;12,(VLOOKUP($A55,'SA GDP'!$F$6:$I$62,3,)),((VLOOKUP($A55,STATSSA_Annual!$A$3:$E$44,2,)+VLOOKUP($A55,STATSSA_Annual!$A$3:$E$44,3,)+VLOOKUP($A55,STATSSA_Annual!$A$3:$E$44,5,))/1000000))</f>
        <v>1.1619400854706488</v>
      </c>
      <c r="C55" s="63">
        <f t="shared" si="6"/>
        <v>154.47210547399433</v>
      </c>
      <c r="E55" s="145">
        <f t="shared" si="7"/>
        <v>2027</v>
      </c>
      <c r="F55" s="63">
        <f>IF(COUNTIF(STATSSA_Monthly!$A$3:$A$400,'floor space forecast_SA'!$E55)&lt;12,($F54*(1+$H55)),((VLOOKUP($E55,STATSSA_Annual!$A$3:$I$44,6,)+VLOOKUP($E55,STATSSA_Annual!$A$3:$I$44,7,)+VLOOKUP($E55,STATSSA_Annual!$A$3:$I$44,9,))/1000000))</f>
        <v>0.50198147241000024</v>
      </c>
      <c r="G55" s="63">
        <f t="shared" si="8"/>
        <v>45.987839196510016</v>
      </c>
      <c r="H55" s="549">
        <v>0.1</v>
      </c>
    </row>
    <row r="56" spans="1:8">
      <c r="A56" s="145">
        <f t="shared" si="5"/>
        <v>2028</v>
      </c>
      <c r="B56" s="63">
        <f t="array" ref="B56">IF(COUNTIF(STATSSA_Monthly!$A$3:$A$400,'floor space forecast_SA'!$A56)&lt;12,(VLOOKUP($A56,'SA GDP'!$F$6:$I$62,3,)),((VLOOKUP($A56,STATSSA_Annual!$A$3:$E$44,2,)+VLOOKUP($A56,STATSSA_Annual!$A$3:$E$44,3,)+VLOOKUP($A56,STATSSA_Annual!$A$3:$E$44,5,))/1000000))</f>
        <v>1.4250191524608407</v>
      </c>
      <c r="C56" s="63">
        <f t="shared" si="6"/>
        <v>155.89712462645517</v>
      </c>
      <c r="E56" s="145">
        <f t="shared" si="7"/>
        <v>2028</v>
      </c>
      <c r="F56" s="63">
        <f>IF(COUNTIF(STATSSA_Monthly!$A$3:$A$400,'floor space forecast_SA'!$E56)&lt;12,($F55*(1+$H56)),((VLOOKUP($E56,STATSSA_Annual!$A$3:$I$44,6,)+VLOOKUP($E56,STATSSA_Annual!$A$3:$I$44,7,)+VLOOKUP($E56,STATSSA_Annual!$A$3:$I$44,9,))/1000000))</f>
        <v>0.55217961965100026</v>
      </c>
      <c r="G56" s="63">
        <f t="shared" si="8"/>
        <v>46.540018816161016</v>
      </c>
      <c r="H56" s="549">
        <v>0.1</v>
      </c>
    </row>
    <row r="57" spans="1:8">
      <c r="A57" s="145">
        <f t="shared" si="5"/>
        <v>2029</v>
      </c>
      <c r="B57" s="63">
        <f t="array" ref="B57">IF(COUNTIF(STATSSA_Monthly!$A$3:$A$400,'floor space forecast_SA'!$A57)&lt;12,(VLOOKUP($A57,'SA GDP'!$F$6:$I$62,3,)),((VLOOKUP($A57,STATSSA_Annual!$A$3:$E$44,2,)+VLOOKUP($A57,STATSSA_Annual!$A$3:$E$44,3,)+VLOOKUP($A57,STATSSA_Annual!$A$3:$E$44,5,))/1000000))</f>
        <v>1.3947529497683251</v>
      </c>
      <c r="C57" s="63">
        <f t="shared" si="6"/>
        <v>157.2918775762235</v>
      </c>
      <c r="E57" s="145">
        <f t="shared" si="7"/>
        <v>2029</v>
      </c>
      <c r="F57" s="63">
        <f>IF(COUNTIF(STATSSA_Monthly!$A$3:$A$400,'floor space forecast_SA'!$E57)&lt;12,($F56*(1+$H57)),((VLOOKUP($E57,STATSSA_Annual!$A$3:$I$44,6,)+VLOOKUP($E57,STATSSA_Annual!$A$3:$I$44,7,)+VLOOKUP($E57,STATSSA_Annual!$A$3:$I$44,9,))/1000000))</f>
        <v>0.60739758161610036</v>
      </c>
      <c r="G57" s="63">
        <f t="shared" si="8"/>
        <v>47.147416397777114</v>
      </c>
      <c r="H57" s="549">
        <v>0.1</v>
      </c>
    </row>
    <row r="58" spans="1:8">
      <c r="A58" s="145">
        <f t="shared" si="5"/>
        <v>2030</v>
      </c>
      <c r="B58" s="63">
        <f t="array" ref="B58">IF(COUNTIF(STATSSA_Monthly!$A$3:$A$400,'floor space forecast_SA'!$A58)&lt;12,(VLOOKUP($A58,'SA GDP'!$F$6:$I$62,3,)),((VLOOKUP($A58,STATSSA_Annual!$A$3:$E$44,2,)+VLOOKUP($A58,STATSSA_Annual!$A$3:$E$44,3,)+VLOOKUP($A58,STATSSA_Annual!$A$3:$E$44,5,))/1000000))</f>
        <v>1.3829257534442643</v>
      </c>
      <c r="C58" s="63">
        <f t="shared" si="6"/>
        <v>158.67480332966775</v>
      </c>
      <c r="E58" s="145">
        <f t="shared" si="7"/>
        <v>2030</v>
      </c>
      <c r="F58" s="63">
        <f>IF(COUNTIF(STATSSA_Monthly!$A$3:$A$400,'floor space forecast_SA'!$E58)&lt;12,($F57*(1+$H58)),((VLOOKUP($E58,STATSSA_Annual!$A$3:$I$44,6,)+VLOOKUP($E58,STATSSA_Annual!$A$3:$I$44,7,)+VLOOKUP($E58,STATSSA_Annual!$A$3:$I$44,9,))/1000000))</f>
        <v>0.66813733977771039</v>
      </c>
      <c r="G58" s="63">
        <f t="shared" si="8"/>
        <v>47.815553737554822</v>
      </c>
      <c r="H58" s="549">
        <v>0.1</v>
      </c>
    </row>
    <row r="59" spans="1:8">
      <c r="A59" s="145">
        <f t="shared" si="5"/>
        <v>2031</v>
      </c>
      <c r="B59" s="63">
        <f t="array" ref="B59">IF(COUNTIF(STATSSA_Monthly!$A$3:$A$400,'floor space forecast_SA'!$A59)&lt;12,(VLOOKUP($A59,'SA GDP'!$F$6:$I$62,3,)),((VLOOKUP($A59,STATSSA_Annual!$A$3:$E$44,2,)+VLOOKUP($A59,STATSSA_Annual!$A$3:$E$44,3,)+VLOOKUP($A59,STATSSA_Annual!$A$3:$E$44,5,))/1000000))</f>
        <v>1.3812761399033475</v>
      </c>
      <c r="C59" s="63">
        <f t="shared" si="6"/>
        <v>160.0560794695711</v>
      </c>
      <c r="E59" s="145">
        <f t="shared" si="7"/>
        <v>2031</v>
      </c>
      <c r="F59" s="63">
        <f>IF(COUNTIF(STATSSA_Monthly!$A$3:$A$400,'floor space forecast_SA'!$E59)&lt;12,($F58*(1+$H59)),((VLOOKUP($E59,STATSSA_Annual!$A$3:$I$44,6,)+VLOOKUP($E59,STATSSA_Annual!$A$3:$I$44,7,)+VLOOKUP($E59,STATSSA_Annual!$A$3:$I$44,9,))/1000000))</f>
        <v>0.73495107375548152</v>
      </c>
      <c r="G59" s="63">
        <f t="shared" si="8"/>
        <v>48.550504811310304</v>
      </c>
      <c r="H59" s="549">
        <v>0.1</v>
      </c>
    </row>
    <row r="60" spans="1:8">
      <c r="A60" s="145">
        <f t="shared" si="5"/>
        <v>2032</v>
      </c>
      <c r="B60" s="63">
        <f t="array" ref="B60">IF(COUNTIF(STATSSA_Monthly!$A$3:$A$400,'floor space forecast_SA'!$A60)&lt;12,(VLOOKUP($A60,'SA GDP'!$F$6:$I$62,3,)),((VLOOKUP($A60,STATSSA_Annual!$A$3:$E$44,2,)+VLOOKUP($A60,STATSSA_Annual!$A$3:$E$44,3,)+VLOOKUP($A60,STATSSA_Annual!$A$3:$E$44,5,))/1000000))</f>
        <v>1.4990920180105392</v>
      </c>
      <c r="C60" s="63">
        <f t="shared" si="6"/>
        <v>161.55517148758165</v>
      </c>
      <c r="E60" s="145">
        <f t="shared" si="7"/>
        <v>2032</v>
      </c>
      <c r="F60" s="63">
        <f>IF(COUNTIF(STATSSA_Monthly!$A$3:$A$400,'floor space forecast_SA'!$E60)&lt;12,($F59*(1+$H60)),((VLOOKUP($E60,STATSSA_Annual!$A$3:$I$44,6,)+VLOOKUP($E60,STATSSA_Annual!$A$3:$I$44,7,)+VLOOKUP($E60,STATSSA_Annual!$A$3:$I$44,9,))/1000000))</f>
        <v>0.80844618113102973</v>
      </c>
      <c r="G60" s="63">
        <f t="shared" si="8"/>
        <v>49.358950992441336</v>
      </c>
      <c r="H60" s="549">
        <v>0.1</v>
      </c>
    </row>
    <row r="61" spans="1:8">
      <c r="A61" s="145">
        <f t="shared" si="5"/>
        <v>2033</v>
      </c>
      <c r="B61" s="63">
        <f t="array" ref="B61">IF(COUNTIF(STATSSA_Monthly!$A$3:$A$400,'floor space forecast_SA'!$A61)&lt;12,(VLOOKUP($A61,'SA GDP'!$F$6:$I$62,3,)),((VLOOKUP($A61,STATSSA_Annual!$A$3:$E$44,2,)+VLOOKUP($A61,STATSSA_Annual!$A$3:$E$44,3,)+VLOOKUP($A61,STATSSA_Annual!$A$3:$E$44,5,))/1000000))</f>
        <v>1.5407015137302804</v>
      </c>
      <c r="C61" s="63">
        <f t="shared" si="6"/>
        <v>163.09587300131193</v>
      </c>
      <c r="E61" s="145">
        <f t="shared" si="7"/>
        <v>2033</v>
      </c>
      <c r="F61" s="63">
        <f>IF(COUNTIF(STATSSA_Monthly!$A$3:$A$400,'floor space forecast_SA'!$E61)&lt;12,($F60*(1+$H61)),((VLOOKUP($E61,STATSSA_Annual!$A$3:$I$44,6,)+VLOOKUP($E61,STATSSA_Annual!$A$3:$I$44,7,)+VLOOKUP($E61,STATSSA_Annual!$A$3:$I$44,9,))/1000000))</f>
        <v>0.88929079924413279</v>
      </c>
      <c r="G61" s="63">
        <f t="shared" si="8"/>
        <v>50.248241791685466</v>
      </c>
      <c r="H61" s="549">
        <v>0.1</v>
      </c>
    </row>
    <row r="62" spans="1:8">
      <c r="A62" s="145">
        <f t="shared" si="5"/>
        <v>2034</v>
      </c>
      <c r="B62" s="63">
        <f t="array" ref="B62">IF(COUNTIF(STATSSA_Monthly!$A$3:$A$400,'floor space forecast_SA'!$A62)&lt;12,(VLOOKUP($A62,'SA GDP'!$F$6:$I$62,3,)),((VLOOKUP($A62,STATSSA_Annual!$A$3:$E$44,2,)+VLOOKUP($A62,STATSSA_Annual!$A$3:$E$44,3,)+VLOOKUP($A62,STATSSA_Annual!$A$3:$E$44,5,))/1000000))</f>
        <v>1.5321708937072611</v>
      </c>
      <c r="C62" s="63">
        <f t="shared" si="6"/>
        <v>164.6280438950192</v>
      </c>
      <c r="E62" s="145">
        <f t="shared" si="7"/>
        <v>2034</v>
      </c>
      <c r="F62" s="63">
        <f>IF(COUNTIF(STATSSA_Monthly!$A$3:$A$400,'floor space forecast_SA'!$E62)&lt;12,($F61*(1+$H62)),((VLOOKUP($E62,STATSSA_Annual!$A$3:$I$44,6,)+VLOOKUP($E62,STATSSA_Annual!$A$3:$I$44,7,)+VLOOKUP($E62,STATSSA_Annual!$A$3:$I$44,9,))/1000000))</f>
        <v>0.97821987916854614</v>
      </c>
      <c r="G62" s="63">
        <f t="shared" si="8"/>
        <v>51.226461670854015</v>
      </c>
      <c r="H62" s="549">
        <v>0.1</v>
      </c>
    </row>
    <row r="63" spans="1:8">
      <c r="A63" s="145">
        <f t="shared" si="5"/>
        <v>2035</v>
      </c>
      <c r="B63" s="63">
        <f t="array" ref="B63">IF(COUNTIF(STATSSA_Monthly!$A$3:$A$400,'floor space forecast_SA'!$A63)&lt;12,(VLOOKUP($A63,'SA GDP'!$F$6:$I$62,3,)),((VLOOKUP($A63,STATSSA_Annual!$A$3:$E$44,2,)+VLOOKUP($A63,STATSSA_Annual!$A$3:$E$44,3,)+VLOOKUP($A63,STATSSA_Annual!$A$3:$E$44,5,))/1000000))</f>
        <v>1.5286599725001966</v>
      </c>
      <c r="C63" s="63">
        <f t="shared" si="6"/>
        <v>166.15670386751941</v>
      </c>
      <c r="E63" s="145">
        <f t="shared" si="7"/>
        <v>2035</v>
      </c>
      <c r="F63" s="63">
        <f>IF(COUNTIF(STATSSA_Monthly!$A$3:$A$400,'floor space forecast_SA'!$E63)&lt;12,($F62*(1+$H63)),((VLOOKUP($E63,STATSSA_Annual!$A$3:$I$44,6,)+VLOOKUP($E63,STATSSA_Annual!$A$3:$I$44,7,)+VLOOKUP($E63,STATSSA_Annual!$A$3:$I$44,9,))/1000000))</f>
        <v>1.0760418670854008</v>
      </c>
      <c r="G63" s="63">
        <f t="shared" si="8"/>
        <v>52.302503537939415</v>
      </c>
      <c r="H63" s="549">
        <v>0.1</v>
      </c>
    </row>
    <row r="64" spans="1:8">
      <c r="A64" s="145">
        <f t="shared" si="5"/>
        <v>2036</v>
      </c>
      <c r="B64" s="63">
        <f t="array" ref="B64">IF(COUNTIF(STATSSA_Monthly!$A$3:$A$400,'floor space forecast_SA'!$A64)&lt;12,(VLOOKUP($A64,'SA GDP'!$F$6:$I$62,3,)),((VLOOKUP($A64,STATSSA_Annual!$A$3:$E$44,2,)+VLOOKUP($A64,STATSSA_Annual!$A$3:$E$44,3,)+VLOOKUP($A64,STATSSA_Annual!$A$3:$E$44,5,))/1000000))</f>
        <v>1.5270751329015102</v>
      </c>
      <c r="C64" s="63">
        <f t="shared" si="6"/>
        <v>167.68377900042091</v>
      </c>
      <c r="E64" s="145">
        <f t="shared" si="7"/>
        <v>2036</v>
      </c>
      <c r="F64" s="63">
        <f>IF(COUNTIF(STATSSA_Monthly!$A$3:$A$400,'floor space forecast_SA'!$E64)&lt;12,($F63*(1+$H64)),((VLOOKUP($E64,STATSSA_Annual!$A$3:$I$44,6,)+VLOOKUP($E64,STATSSA_Annual!$A$3:$I$44,7,)+VLOOKUP($E64,STATSSA_Annual!$A$3:$I$44,9,))/1000000))</f>
        <v>1.1836460537939411</v>
      </c>
      <c r="G64" s="63">
        <f t="shared" si="8"/>
        <v>53.486149591733358</v>
      </c>
      <c r="H64" s="549">
        <v>0.1</v>
      </c>
    </row>
    <row r="65" spans="1:8">
      <c r="A65" s="145">
        <f t="shared" si="5"/>
        <v>2037</v>
      </c>
      <c r="B65" s="63">
        <f t="array" ref="B65">IF(COUNTIF(STATSSA_Monthly!$A$3:$A$400,'floor space forecast_SA'!$A65)&lt;12,(VLOOKUP($A65,'SA GDP'!$F$6:$I$62,3,)),((VLOOKUP($A65,STATSSA_Annual!$A$3:$E$44,2,)+VLOOKUP($A65,STATSSA_Annual!$A$3:$E$44,3,)+VLOOKUP($A65,STATSSA_Annual!$A$3:$E$44,5,))/1000000))</f>
        <v>1.5255399061699575</v>
      </c>
      <c r="C65" s="63">
        <f t="shared" si="6"/>
        <v>169.20931890659088</v>
      </c>
      <c r="E65" s="145">
        <f t="shared" si="7"/>
        <v>2037</v>
      </c>
      <c r="F65" s="63">
        <f>IF(COUNTIF(STATSSA_Monthly!$A$3:$A$400,'floor space forecast_SA'!$E65)&lt;12,($F64*(1+$H65)),((VLOOKUP($E65,STATSSA_Annual!$A$3:$I$44,6,)+VLOOKUP($E65,STATSSA_Annual!$A$3:$I$44,7,)+VLOOKUP($E65,STATSSA_Annual!$A$3:$I$44,9,))/1000000))</f>
        <v>1.3020106591733354</v>
      </c>
      <c r="G65" s="63">
        <f t="shared" si="8"/>
        <v>54.788160250906692</v>
      </c>
      <c r="H65" s="549">
        <v>0.1</v>
      </c>
    </row>
    <row r="66" spans="1:8">
      <c r="A66" s="145">
        <f t="shared" si="5"/>
        <v>2038</v>
      </c>
      <c r="B66" s="63">
        <f>IF(COUNTIF(STATSSA_Monthly!$A$3:$A$400,'floor space forecast_SA'!$A66)&lt;12,(VLOOKUP($A66,'SA GDP'!$F$6:$I$62,3,)),((VLOOKUP($A66,STATSSA_Annual!$A$3:$E$44,2,)+VLOOKUP($A66,STATSSA_Annual!$A$3:$E$44,3,)+VLOOKUP($A66,STATSSA_Annual!$A$3:$E$44,5,))/1000000))</f>
        <v>1.5308294838018413</v>
      </c>
      <c r="C66" s="63">
        <f t="shared" si="6"/>
        <v>170.74014839039273</v>
      </c>
      <c r="E66" s="145">
        <f t="shared" si="7"/>
        <v>2038</v>
      </c>
      <c r="F66" s="63">
        <f>IF(COUNTIF(STATSSA_Monthly!$A$3:$A$400,'floor space forecast_SA'!$E66)&lt;12,($F65*(1+$H66)),((VLOOKUP($E66,STATSSA_Annual!$A$3:$I$44,6,)+VLOOKUP($E66,STATSSA_Annual!$A$3:$I$44,7,)+VLOOKUP($E66,STATSSA_Annual!$A$3:$I$44,9,))/1000000))</f>
        <v>1.432211725090669</v>
      </c>
      <c r="G66" s="63">
        <f t="shared" si="8"/>
        <v>56.220371975997359</v>
      </c>
      <c r="H66" s="549">
        <v>0.1</v>
      </c>
    </row>
    <row r="67" spans="1:8">
      <c r="A67" s="145">
        <f t="shared" si="5"/>
        <v>2039</v>
      </c>
      <c r="B67" s="63">
        <f t="array" ref="B67">IF(COUNTIF(STATSSA_Monthly!$A$3:$A$400,'floor space forecast_SA'!$A67)&lt;12,(VLOOKUP($A67,'SA GDP'!$F$6:$I$62,3,)),((VLOOKUP($A67,STATSSA_Annual!$A$3:$E$44,2,)+VLOOKUP($A67,STATSSA_Annual!$A$3:$E$44,3,)+VLOOKUP($A67,STATSSA_Annual!$A$3:$E$44,5,))/1000000))</f>
        <v>1.5288550778161534</v>
      </c>
      <c r="C67" s="63">
        <f t="shared" si="6"/>
        <v>172.26900346820889</v>
      </c>
      <c r="E67" s="145">
        <f t="shared" si="7"/>
        <v>2039</v>
      </c>
      <c r="F67" s="63">
        <f>IF(COUNTIF(STATSSA_Monthly!$A$3:$A$400,'floor space forecast_SA'!$E67)&lt;12,($F66*(1+$H67)),((VLOOKUP($E67,STATSSA_Annual!$A$3:$I$44,6,)+VLOOKUP($E67,STATSSA_Annual!$A$3:$I$44,7,)+VLOOKUP($E67,STATSSA_Annual!$A$3:$I$44,9,))/1000000))</f>
        <v>1.575432897599736</v>
      </c>
      <c r="G67" s="63">
        <f t="shared" si="8"/>
        <v>57.795804873597092</v>
      </c>
      <c r="H67" s="549">
        <v>0.1</v>
      </c>
    </row>
    <row r="68" spans="1:8">
      <c r="A68" s="145">
        <f t="shared" si="5"/>
        <v>2040</v>
      </c>
      <c r="B68" s="63">
        <f t="array" ref="B68">IF(COUNTIF(STATSSA_Monthly!$A$3:$A$400,'floor space forecast_SA'!$A68)&lt;12,(VLOOKUP($A68,'SA GDP'!$F$6:$I$62,3,)),((VLOOKUP($A68,STATSSA_Annual!$A$3:$E$44,2,)+VLOOKUP($A68,STATSSA_Annual!$A$3:$E$44,3,)+VLOOKUP($A68,STATSSA_Annual!$A$3:$E$44,5,))/1000000))</f>
        <v>1.5281919146379317</v>
      </c>
      <c r="C68" s="63">
        <f t="shared" si="6"/>
        <v>173.79719538284684</v>
      </c>
      <c r="E68" s="145">
        <f t="shared" si="7"/>
        <v>2040</v>
      </c>
      <c r="F68" s="63">
        <f>IF(COUNTIF(STATSSA_Monthly!$A$3:$A$400,'floor space forecast_SA'!$E68)&lt;12,($F67*(1+$H68)),((VLOOKUP($E68,STATSSA_Annual!$A$3:$I$44,6,)+VLOOKUP($E68,STATSSA_Annual!$A$3:$I$44,7,)+VLOOKUP($E68,STATSSA_Annual!$A$3:$I$44,9,))/1000000))</f>
        <v>1.7329761873597098</v>
      </c>
      <c r="G68" s="63">
        <f t="shared" si="8"/>
        <v>59.528781060956803</v>
      </c>
      <c r="H68" s="549">
        <v>0.1</v>
      </c>
    </row>
    <row r="69" spans="1:8">
      <c r="A69" s="145">
        <f t="shared" si="5"/>
        <v>2041</v>
      </c>
      <c r="B69" s="63">
        <f t="array" ref="B69">IF(COUNTIF(STATSSA_Monthly!$A$3:$A$400,'floor space forecast_SA'!$A69)&lt;12,(VLOOKUP($A69,'SA GDP'!$F$6:$I$62,3,)),((VLOOKUP($A69,STATSSA_Annual!$A$3:$E$44,2,)+VLOOKUP($A69,STATSSA_Annual!$A$3:$E$44,3,)+VLOOKUP($A69,STATSSA_Annual!$A$3:$E$44,5,))/1000000))</f>
        <v>1.5280983030654789</v>
      </c>
      <c r="C69" s="63">
        <f t="shared" si="6"/>
        <v>175.32529368591233</v>
      </c>
      <c r="E69" s="145">
        <f t="shared" si="7"/>
        <v>2041</v>
      </c>
      <c r="F69" s="63">
        <f>IF(COUNTIF(STATSSA_Monthly!$A$3:$A$400,'floor space forecast_SA'!$E69)&lt;12,($F68*(1+$H69)),((VLOOKUP($E69,STATSSA_Annual!$A$3:$I$44,6,)+VLOOKUP($E69,STATSSA_Annual!$A$3:$I$44,7,)+VLOOKUP($E69,STATSSA_Annual!$A$3:$I$44,9,))/1000000))</f>
        <v>1.906273806095681</v>
      </c>
      <c r="G69" s="63">
        <f t="shared" si="8"/>
        <v>61.435054867052486</v>
      </c>
      <c r="H69" s="549">
        <v>0.1</v>
      </c>
    </row>
    <row r="70" spans="1:8">
      <c r="A70" s="145">
        <f t="shared" si="5"/>
        <v>2042</v>
      </c>
      <c r="B70" s="63">
        <f t="array" ref="B70">IF(COUNTIF(STATSSA_Monthly!$A$3:$A$400,'floor space forecast_SA'!$A70)&lt;12,(VLOOKUP($A70,'SA GDP'!$F$6:$I$62,3,)),((VLOOKUP($A70,STATSSA_Annual!$A$3:$E$44,2,)+VLOOKUP($A70,STATSSA_Annual!$A$3:$E$44,3,)+VLOOKUP($A70,STATSSA_Annual!$A$3:$E$44,5,))/1000000))</f>
        <v>1.5283029370982724</v>
      </c>
      <c r="C70" s="63">
        <f t="shared" si="6"/>
        <v>176.85359662301059</v>
      </c>
      <c r="E70" s="145">
        <f t="shared" si="7"/>
        <v>2042</v>
      </c>
      <c r="F70" s="63">
        <f>IF(COUNTIF(STATSSA_Monthly!$A$3:$A$400,'floor space forecast_SA'!$E70)&lt;12,($F69*(1+$H70)),((VLOOKUP($E70,STATSSA_Annual!$A$3:$I$44,6,)+VLOOKUP($E70,STATSSA_Annual!$A$3:$I$44,7,)+VLOOKUP($E70,STATSSA_Annual!$A$3:$I$44,9,))/1000000))</f>
        <v>2.0969011867052494</v>
      </c>
      <c r="G70" s="63">
        <f t="shared" si="8"/>
        <v>63.531956053757739</v>
      </c>
      <c r="H70" s="549">
        <v>0.1</v>
      </c>
    </row>
    <row r="71" spans="1:8">
      <c r="A71" s="145">
        <f t="shared" si="5"/>
        <v>2043</v>
      </c>
      <c r="B71" s="63">
        <f t="array" ref="B71">IF(COUNTIF(STATSSA_Monthly!$A$3:$A$400,'floor space forecast_SA'!$A71)&lt;12,(VLOOKUP($A71,'SA GDP'!$F$6:$I$62,3,)),((VLOOKUP($A71,STATSSA_Annual!$A$3:$E$44,2,)+VLOOKUP($A71,STATSSA_Annual!$A$3:$E$44,3,)+VLOOKUP($A71,STATSSA_Annual!$A$3:$E$44,5,))/1000000))</f>
        <v>1.5288555432839357</v>
      </c>
      <c r="C71" s="63">
        <f t="shared" si="6"/>
        <v>178.38245216629451</v>
      </c>
      <c r="E71" s="145">
        <f t="shared" si="7"/>
        <v>2043</v>
      </c>
      <c r="F71" s="63">
        <f>IF(COUNTIF(STATSSA_Monthly!$A$3:$A$400,'floor space forecast_SA'!$E71)&lt;12,($F70*(1+$H71)),((VLOOKUP($E71,STATSSA_Annual!$A$3:$I$44,6,)+VLOOKUP($E71,STATSSA_Annual!$A$3:$I$44,7,)+VLOOKUP($E71,STATSSA_Annual!$A$3:$I$44,9,))/1000000))</f>
        <v>2.3065913053757745</v>
      </c>
      <c r="G71" s="63">
        <f t="shared" si="8"/>
        <v>65.838547359133514</v>
      </c>
      <c r="H71" s="549">
        <v>0.1</v>
      </c>
    </row>
    <row r="72" spans="1:8">
      <c r="A72" s="145">
        <f t="shared" si="5"/>
        <v>2044</v>
      </c>
      <c r="B72" s="63">
        <f t="array" ref="B72">IF(COUNTIF(STATSSA_Monthly!$A$3:$A$400,'floor space forecast_SA'!$A72)&lt;12,(VLOOKUP($A72,'SA GDP'!$F$6:$I$62,3,)),((VLOOKUP($A72,STATSSA_Annual!$A$3:$E$44,2,)+VLOOKUP($A72,STATSSA_Annual!$A$3:$E$44,3,)+VLOOKUP($A72,STATSSA_Annual!$A$3:$E$44,5,))/1000000))</f>
        <v>1.5284607551803542</v>
      </c>
      <c r="C72" s="63">
        <f t="shared" si="6"/>
        <v>179.91091292147487</v>
      </c>
      <c r="E72" s="145">
        <f t="shared" si="7"/>
        <v>2044</v>
      </c>
      <c r="F72" s="63">
        <f>IF(COUNTIF(STATSSA_Monthly!$A$3:$A$400,'floor space forecast_SA'!$E72)&lt;12,($F71*(1+$H72)),((VLOOKUP($E72,STATSSA_Annual!$A$3:$I$44,6,)+VLOOKUP($E72,STATSSA_Annual!$A$3:$I$44,7,)+VLOOKUP($E72,STATSSA_Annual!$A$3:$I$44,9,))/1000000))</f>
        <v>2.5372504359133523</v>
      </c>
      <c r="G72" s="63">
        <f t="shared" si="8"/>
        <v>68.375797795046864</v>
      </c>
      <c r="H72" s="549">
        <v>0.1</v>
      </c>
    </row>
    <row r="73" spans="1:8">
      <c r="A73" s="145">
        <f t="shared" si="5"/>
        <v>2045</v>
      </c>
      <c r="B73" s="63">
        <f t="array" ref="B73">IF(COUNTIF(STATSSA_Monthly!$A$3:$A$400,'floor space forecast_SA'!$A73)&lt;12,(VLOOKUP($A73,'SA GDP'!$F$6:$I$62,3,)),((VLOOKUP($A73,STATSSA_Annual!$A$3:$E$44,2,)+VLOOKUP($A73,STATSSA_Annual!$A$3:$E$44,3,)+VLOOKUP($A73,STATSSA_Annual!$A$3:$E$44,5,))/1000000))</f>
        <v>1.5283818906531945</v>
      </c>
      <c r="C73" s="63">
        <f t="shared" si="6"/>
        <v>181.43929481212808</v>
      </c>
      <c r="E73" s="145">
        <f t="shared" si="7"/>
        <v>2045</v>
      </c>
      <c r="F73" s="63">
        <f>IF(COUNTIF(STATSSA_Monthly!$A$3:$A$400,'floor space forecast_SA'!$E73)&lt;12,($F72*(1+$H73)),((VLOOKUP($E73,STATSSA_Annual!$A$3:$I$44,6,)+VLOOKUP($E73,STATSSA_Annual!$A$3:$I$44,7,)+VLOOKUP($E73,STATSSA_Annual!$A$3:$I$44,9,))/1000000))</f>
        <v>2.7909754795046879</v>
      </c>
      <c r="G73" s="63">
        <f t="shared" si="8"/>
        <v>71.166773274551559</v>
      </c>
      <c r="H73" s="549">
        <v>0.1</v>
      </c>
    </row>
    <row r="74" spans="1:8">
      <c r="A74" s="145">
        <f t="shared" si="5"/>
        <v>2046</v>
      </c>
      <c r="B74" s="63">
        <f t="array" ref="B74">IF(COUNTIF(STATSSA_Monthly!$A$3:$A$400,'floor space forecast_SA'!$A74)&lt;12,(VLOOKUP($A74,'SA GDP'!$F$6:$I$62,3,)),((VLOOKUP($A74,STATSSA_Annual!$A$3:$E$44,2,)+VLOOKUP($A74,STATSSA_Annual!$A$3:$E$44,3,)+VLOOKUP($A74,STATSSA_Annual!$A$3:$E$44,5,))/1000000))</f>
        <v>1.528419885856247</v>
      </c>
      <c r="C74" s="63">
        <f t="shared" si="6"/>
        <v>182.96771469798432</v>
      </c>
      <c r="E74" s="145">
        <f t="shared" si="7"/>
        <v>2046</v>
      </c>
      <c r="F74" s="63">
        <f>IF(COUNTIF(STATSSA_Monthly!$A$3:$A$400,'floor space forecast_SA'!$E74)&lt;12,($F73*(1+$H74)),((VLOOKUP($E74,STATSSA_Annual!$A$3:$I$44,6,)+VLOOKUP($E74,STATSSA_Annual!$A$3:$I$44,7,)+VLOOKUP($E74,STATSSA_Annual!$A$3:$I$44,9,))/1000000))</f>
        <v>3.0700730274551571</v>
      </c>
      <c r="G74" s="63">
        <f t="shared" si="8"/>
        <v>74.236846302006711</v>
      </c>
      <c r="H74" s="549">
        <v>0.1</v>
      </c>
    </row>
    <row r="75" spans="1:8">
      <c r="A75" s="145">
        <f t="shared" si="5"/>
        <v>2047</v>
      </c>
      <c r="B75" s="63">
        <f t="array" ref="B75">IF(COUNTIF(STATSSA_Monthly!$A$3:$A$400,'floor space forecast_SA'!$A75)&lt;12,(VLOOKUP($A75,'SA GDP'!$F$6:$I$62,3,)),((VLOOKUP($A75,STATSSA_Annual!$A$3:$E$44,2,)+VLOOKUP($A75,STATSSA_Annual!$A$3:$E$44,3,)+VLOOKUP($A75,STATSSA_Annual!$A$3:$E$44,5,))/1000000))</f>
        <v>1.528484202414401</v>
      </c>
      <c r="C75" s="63">
        <f t="shared" si="6"/>
        <v>184.49619890039872</v>
      </c>
      <c r="E75" s="145">
        <f t="shared" si="7"/>
        <v>2047</v>
      </c>
      <c r="F75" s="63">
        <f>IF(COUNTIF(STATSSA_Monthly!$A$3:$A$400,'floor space forecast_SA'!$E75)&lt;12,($F74*(1+$H75)),((VLOOKUP($E75,STATSSA_Annual!$A$3:$I$44,6,)+VLOOKUP($E75,STATSSA_Annual!$A$3:$I$44,7,)+VLOOKUP($E75,STATSSA_Annual!$A$3:$I$44,9,))/1000000))</f>
        <v>3.3770803302006729</v>
      </c>
      <c r="G75" s="63">
        <f t="shared" si="8"/>
        <v>77.613926632207381</v>
      </c>
      <c r="H75" s="549">
        <v>0.1</v>
      </c>
    </row>
    <row r="76" spans="1:8">
      <c r="A76" s="145">
        <f t="shared" si="5"/>
        <v>2048</v>
      </c>
      <c r="B76" s="63">
        <f t="array" ref="B76">IF(COUNTIF(STATSSA_Monthly!$A$3:$A$400,'floor space forecast_SA'!$A76)&lt;12,(VLOOKUP($A76,'SA GDP'!$F$6:$I$62,3,)),((VLOOKUP($A76,STATSSA_Annual!$A$3:$E$44,2,)+VLOOKUP($A76,STATSSA_Annual!$A$3:$E$44,3,)+VLOOKUP($A76,STATSSA_Annual!$A$3:$E$44,5,))/1000000))</f>
        <v>1.5285204554776264</v>
      </c>
      <c r="C76" s="63">
        <f t="shared" si="6"/>
        <v>186.02471935587636</v>
      </c>
      <c r="E76" s="145">
        <f t="shared" si="7"/>
        <v>2048</v>
      </c>
      <c r="F76" s="63">
        <f>IF(COUNTIF(STATSSA_Monthly!$A$3:$A$400,'floor space forecast_SA'!$E76)&lt;12,($F75*(1+$H76)),((VLOOKUP($E76,STATSSA_Annual!$A$3:$I$44,6,)+VLOOKUP($E76,STATSSA_Annual!$A$3:$I$44,7,)+VLOOKUP($E76,STATSSA_Annual!$A$3:$I$44,9,))/1000000))</f>
        <v>3.7147883632207406</v>
      </c>
      <c r="G76" s="63">
        <f t="shared" si="8"/>
        <v>81.328714995428115</v>
      </c>
      <c r="H76" s="549">
        <v>0.1</v>
      </c>
    </row>
    <row r="77" spans="1:8">
      <c r="A77" s="145">
        <f t="shared" si="5"/>
        <v>2049</v>
      </c>
      <c r="B77" s="63">
        <f t="array" ref="B77">IF(COUNTIF(STATSSA_Monthly!$A$3:$A$400,'floor space forecast_SA'!$A77)&lt;12,(VLOOKUP($A77,'SA GDP'!$F$6:$I$62,3,)),((VLOOKUP($A77,STATSSA_Annual!$A$3:$E$44,2,)+VLOOKUP($A77,STATSSA_Annual!$A$3:$E$44,3,)+VLOOKUP($A77,STATSSA_Annual!$A$3:$E$44,5,))/1000000))</f>
        <v>1.5284534379163648</v>
      </c>
      <c r="C77" s="63">
        <f t="shared" si="6"/>
        <v>187.55317279379273</v>
      </c>
      <c r="E77" s="145">
        <f t="shared" si="7"/>
        <v>2049</v>
      </c>
      <c r="F77" s="63">
        <f>IF(COUNTIF(STATSSA_Monthly!$A$3:$A$400,'floor space forecast_SA'!$E77)&lt;12,($F76*(1+$H77)),((VLOOKUP($E77,STATSSA_Annual!$A$3:$I$44,6,)+VLOOKUP($E77,STATSSA_Annual!$A$3:$I$44,7,)+VLOOKUP($E77,STATSSA_Annual!$A$3:$I$44,9,))/1000000))</f>
        <v>4.0862671995428146</v>
      </c>
      <c r="G77" s="63">
        <f t="shared" si="8"/>
        <v>85.414982194970932</v>
      </c>
      <c r="H77" s="549">
        <v>0.1</v>
      </c>
    </row>
    <row r="78" spans="1:8">
      <c r="A78" s="145">
        <f t="shared" si="5"/>
        <v>2050</v>
      </c>
      <c r="B78" s="63">
        <f t="array" ref="B78">IF(COUNTIF(STATSSA_Monthly!$A$3:$A$400,'floor space forecast_SA'!$A78)&lt;12,(VLOOKUP($A78,'SA GDP'!$F$6:$I$62,3,)),((VLOOKUP($A78,STATSSA_Annual!$A$3:$E$44,2,)+VLOOKUP($A78,STATSSA_Annual!$A$3:$E$44,3,)+VLOOKUP($A78,STATSSA_Annual!$A$3:$E$44,5,))/1000000))</f>
        <v>1.5284519744635667</v>
      </c>
      <c r="C78" s="63">
        <f t="shared" si="6"/>
        <v>189.08162476825629</v>
      </c>
      <c r="E78" s="145">
        <f t="shared" si="7"/>
        <v>2050</v>
      </c>
      <c r="F78" s="63">
        <f>IF(COUNTIF(STATSSA_Monthly!$A$3:$A$400,'floor space forecast_SA'!$E78)&lt;12,($F77*(1+$H78)),((VLOOKUP($E78,STATSSA_Annual!$A$3:$I$44,6,)+VLOOKUP($E78,STATSSA_Annual!$A$3:$I$44,7,)+VLOOKUP($E78,STATSSA_Annual!$A$3:$I$44,9,))/1000000))</f>
        <v>4.4948939194970965</v>
      </c>
      <c r="G78" s="63">
        <f t="shared" si="8"/>
        <v>89.909876114468034</v>
      </c>
      <c r="H78" s="549">
        <v>0.1</v>
      </c>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r:id="rId1"/>
  <headerFooter alignWithMargins="0">
    <oddHeader>&amp;C&amp;A</oddHeader>
    <oddFooter>&amp;CPage &amp;P</oddFooter>
  </headerFooter>
  <drawing r:id="rId2"/>
  <legacyDrawing r:id="rId3"/>
  <oleObjects>
    <mc:AlternateContent xmlns:mc="http://schemas.openxmlformats.org/markup-compatibility/2006">
      <mc:Choice Requires="x14">
        <oleObject progId="opendocument.MathDocument.1" shapeId="1332226" r:id="rId4">
          <objectPr defaultSize="0" r:id="rId5">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1332226" r:id="rId4"/>
      </mc:Fallback>
    </mc:AlternateContent>
  </oleObjects>
  <extLst>
    <ext xmlns:x14="http://schemas.microsoft.com/office/spreadsheetml/2009/9/main" uri="{78C0D931-6437-407d-A8EE-F0AAD7539E65}">
      <x14:conditionalFormattings>
        <x14:conditionalFormatting xmlns:xm="http://schemas.microsoft.com/office/excel/2006/main">
          <x14:cfRule type="expression" priority="5" id="{E67B83FA-C98A-4593-AFE5-A36DE9DCF2D8}">
            <xm:f>COUNTIF(STATSSA_Monthly!$A$3:$A$400,$A21)&lt;12</xm:f>
            <x14:dxf>
              <font>
                <color rgb="FFFF0000"/>
              </font>
            </x14:dxf>
          </x14:cfRule>
          <xm:sqref>A21:C78</xm:sqref>
        </x14:conditionalFormatting>
        <x14:conditionalFormatting xmlns:xm="http://schemas.microsoft.com/office/excel/2006/main">
          <x14:cfRule type="expression" priority="1" id="{65760BCA-9150-436E-9502-37CD4AA2307F}">
            <xm:f>COUNTIF(STATSSA_Monthly!$A$3:$A$400,$A21)&lt;12</xm:f>
            <x14:dxf>
              <font>
                <color rgb="FFFF0000"/>
              </font>
            </x14:dxf>
          </x14:cfRule>
          <xm:sqref>E21:H78</xm:sqref>
        </x14:conditionalFormatting>
      </x14:conditionalFormattings>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5F0B-D87F-4966-A1B4-E72D41952751}">
  <sheetPr>
    <tabColor theme="2" tint="-0.249977111117893"/>
  </sheetPr>
  <dimension ref="A1:CE42"/>
  <sheetViews>
    <sheetView topLeftCell="A3" zoomScale="72" zoomScaleNormal="100" workbookViewId="0">
      <selection activeCell="Q24" sqref="Q24"/>
    </sheetView>
  </sheetViews>
  <sheetFormatPr defaultColWidth="8.85546875" defaultRowHeight="12.75"/>
  <cols>
    <col min="3" max="3" width="9.42578125" bestFit="1" customWidth="1"/>
    <col min="21" max="23" width="17" customWidth="1"/>
  </cols>
  <sheetData>
    <row r="1" spans="1:83">
      <c r="A1" t="s">
        <v>1478</v>
      </c>
    </row>
    <row r="8" spans="1:83">
      <c r="B8" t="s">
        <v>1441</v>
      </c>
      <c r="D8" s="645">
        <v>1000</v>
      </c>
    </row>
    <row r="9" spans="1:83" ht="15">
      <c r="B9" t="s">
        <v>1442</v>
      </c>
      <c r="H9" s="646">
        <v>1.6</v>
      </c>
    </row>
    <row r="10" spans="1:83">
      <c r="B10" t="s">
        <v>210</v>
      </c>
      <c r="C10" t="s">
        <v>80</v>
      </c>
      <c r="D10" t="s">
        <v>72</v>
      </c>
      <c r="E10" t="s">
        <v>77</v>
      </c>
      <c r="F10" t="s">
        <v>79</v>
      </c>
      <c r="G10" t="s">
        <v>74</v>
      </c>
      <c r="H10" t="s">
        <v>70</v>
      </c>
      <c r="I10" t="s">
        <v>78</v>
      </c>
      <c r="J10" t="s">
        <v>83</v>
      </c>
      <c r="K10" t="s">
        <v>213</v>
      </c>
      <c r="L10" t="s">
        <v>1443</v>
      </c>
    </row>
    <row r="11" spans="1:83">
      <c r="B11" t="s">
        <v>211</v>
      </c>
      <c r="C11">
        <v>6</v>
      </c>
      <c r="D11">
        <v>6</v>
      </c>
      <c r="E11">
        <v>6</v>
      </c>
      <c r="F11">
        <v>6</v>
      </c>
      <c r="G11">
        <v>8</v>
      </c>
      <c r="H11">
        <v>9</v>
      </c>
      <c r="I11">
        <v>9</v>
      </c>
      <c r="J11">
        <v>9</v>
      </c>
      <c r="M11" t="s">
        <v>1444</v>
      </c>
      <c r="N11" t="s">
        <v>1445</v>
      </c>
      <c r="O11" t="s">
        <v>1446</v>
      </c>
      <c r="P11" t="s">
        <v>1447</v>
      </c>
      <c r="Q11" t="s">
        <v>1448</v>
      </c>
      <c r="R11" t="s">
        <v>1449</v>
      </c>
      <c r="S11" t="s">
        <v>1450</v>
      </c>
    </row>
    <row r="12" spans="1:83">
      <c r="B12" t="s">
        <v>212</v>
      </c>
      <c r="C12" s="647">
        <v>0.11</v>
      </c>
      <c r="D12">
        <v>0.18</v>
      </c>
      <c r="E12">
        <v>0.04</v>
      </c>
      <c r="F12">
        <v>0.04</v>
      </c>
      <c r="G12">
        <v>0.30000000000000004</v>
      </c>
      <c r="H12">
        <v>0.12</v>
      </c>
      <c r="I12">
        <v>7.0000000000000007E-2</v>
      </c>
      <c r="J12">
        <v>0.14000000000000001</v>
      </c>
      <c r="K12">
        <v>0.99999999999999989</v>
      </c>
      <c r="P12" t="s">
        <v>497</v>
      </c>
      <c r="Q12" t="s">
        <v>1451</v>
      </c>
      <c r="S12" t="s">
        <v>1452</v>
      </c>
    </row>
    <row r="13" spans="1:83">
      <c r="B13">
        <v>1990</v>
      </c>
      <c r="C13">
        <v>7.15</v>
      </c>
      <c r="D13">
        <v>11.7</v>
      </c>
      <c r="E13">
        <v>2.6</v>
      </c>
      <c r="F13">
        <v>2.6</v>
      </c>
      <c r="G13">
        <v>19.500000000000004</v>
      </c>
      <c r="H13">
        <v>7.8</v>
      </c>
      <c r="I13">
        <v>4.5500000000000007</v>
      </c>
      <c r="J13">
        <v>9.1000000000000014</v>
      </c>
      <c r="K13">
        <v>65</v>
      </c>
      <c r="L13">
        <f>K13-C13</f>
        <v>57.85</v>
      </c>
    </row>
    <row r="14" spans="1:83">
      <c r="B14">
        <v>1991</v>
      </c>
      <c r="C14" s="389">
        <v>7.2465965000000008</v>
      </c>
      <c r="D14" s="389">
        <v>11.858067</v>
      </c>
      <c r="E14" s="389">
        <v>2.6351260000000001</v>
      </c>
      <c r="F14" s="389">
        <v>2.6351260000000001</v>
      </c>
      <c r="G14" s="389">
        <v>19.929975000000002</v>
      </c>
      <c r="H14" s="389">
        <v>7.7568659999999996</v>
      </c>
      <c r="I14" s="389">
        <v>4.5248385000000004</v>
      </c>
      <c r="J14" s="389">
        <v>9.0496770000000009</v>
      </c>
      <c r="K14" s="389">
        <v>65.636272000000005</v>
      </c>
      <c r="L14">
        <f>K14-C14</f>
        <v>58.389675500000003</v>
      </c>
      <c r="Z14" t="s">
        <v>1453</v>
      </c>
    </row>
    <row r="15" spans="1:83">
      <c r="B15">
        <v>1992</v>
      </c>
      <c r="C15" s="389">
        <v>7.3444980187150009</v>
      </c>
      <c r="D15" s="389">
        <v>12.01826948517</v>
      </c>
      <c r="E15" s="389">
        <v>2.6707265522600001</v>
      </c>
      <c r="F15" s="389">
        <v>2.6707265522600001</v>
      </c>
      <c r="G15" s="389">
        <v>20.369430948750001</v>
      </c>
      <c r="H15" s="389">
        <v>7.7139705310199993</v>
      </c>
      <c r="I15" s="389">
        <v>4.4998161430950008</v>
      </c>
      <c r="J15" s="389">
        <v>8.9996322861900016</v>
      </c>
      <c r="K15" s="389">
        <v>66.287070517460009</v>
      </c>
      <c r="L15">
        <f>K15-C15</f>
        <v>58.942572498745008</v>
      </c>
      <c r="Z15" t="s">
        <v>441</v>
      </c>
      <c r="AD15" t="s">
        <v>1182</v>
      </c>
      <c r="AH15" t="s">
        <v>1183</v>
      </c>
      <c r="AL15" t="s">
        <v>1184</v>
      </c>
      <c r="AP15" t="s">
        <v>1185</v>
      </c>
      <c r="AT15" t="s">
        <v>1186</v>
      </c>
      <c r="AX15" t="s">
        <v>1187</v>
      </c>
      <c r="BB15" t="s">
        <v>1188</v>
      </c>
      <c r="BF15" t="s">
        <v>1189</v>
      </c>
      <c r="BJ15" t="s">
        <v>1190</v>
      </c>
    </row>
    <row r="16" spans="1:83" ht="15">
      <c r="B16">
        <v>1993</v>
      </c>
      <c r="C16" s="389">
        <v>7.4573265269206006</v>
      </c>
      <c r="D16" s="389">
        <v>12.2028979531428</v>
      </c>
      <c r="E16" s="389">
        <v>2.7117551006984004</v>
      </c>
      <c r="F16" s="389">
        <v>2.7117551006984004</v>
      </c>
      <c r="G16" s="389">
        <v>20.338163255238005</v>
      </c>
      <c r="H16" s="389">
        <v>8.1352653020952008</v>
      </c>
      <c r="I16" s="389">
        <v>4.7455714262222006</v>
      </c>
      <c r="J16" s="389">
        <v>9.4911428524444013</v>
      </c>
      <c r="K16" s="389">
        <v>67.793877517460004</v>
      </c>
      <c r="L16">
        <f>K16-C16</f>
        <v>60.336550990539401</v>
      </c>
      <c r="M16">
        <v>45446.911214400003</v>
      </c>
      <c r="N16">
        <f>M16/3600</f>
        <v>12.624142004000001</v>
      </c>
      <c r="O16" s="389">
        <v>21.515580795000002</v>
      </c>
      <c r="P16" s="389"/>
      <c r="Q16" s="389"/>
      <c r="R16" s="389">
        <f>O16/K15*1000</f>
        <v>324.5818623004738</v>
      </c>
      <c r="S16" s="389">
        <f>O16/L15*1000</f>
        <v>365.0261582230417</v>
      </c>
      <c r="Z16" t="s">
        <v>1192</v>
      </c>
      <c r="AA16" t="s">
        <v>1193</v>
      </c>
      <c r="AB16" t="s">
        <v>1194</v>
      </c>
      <c r="AC16" t="s">
        <v>83</v>
      </c>
      <c r="AD16" t="s">
        <v>1192</v>
      </c>
      <c r="AE16" t="s">
        <v>1193</v>
      </c>
      <c r="AF16" t="s">
        <v>1194</v>
      </c>
      <c r="AG16" t="s">
        <v>83</v>
      </c>
      <c r="AH16" t="s">
        <v>1192</v>
      </c>
      <c r="AI16" t="s">
        <v>1193</v>
      </c>
      <c r="AJ16" t="s">
        <v>1194</v>
      </c>
      <c r="AK16" t="s">
        <v>83</v>
      </c>
      <c r="AL16" t="s">
        <v>1192</v>
      </c>
      <c r="AM16" t="s">
        <v>1193</v>
      </c>
      <c r="AN16" t="s">
        <v>1194</v>
      </c>
      <c r="AO16" t="s">
        <v>83</v>
      </c>
      <c r="AP16" t="s">
        <v>1192</v>
      </c>
      <c r="AQ16" t="s">
        <v>1193</v>
      </c>
      <c r="AR16" t="s">
        <v>1194</v>
      </c>
      <c r="AS16" t="s">
        <v>83</v>
      </c>
      <c r="AT16" t="s">
        <v>1192</v>
      </c>
      <c r="AU16" t="s">
        <v>1193</v>
      </c>
      <c r="AV16" t="s">
        <v>1194</v>
      </c>
      <c r="AW16" t="s">
        <v>83</v>
      </c>
      <c r="AX16" t="s">
        <v>1192</v>
      </c>
      <c r="AY16" t="s">
        <v>1193</v>
      </c>
      <c r="AZ16" t="s">
        <v>1194</v>
      </c>
      <c r="BA16" t="s">
        <v>83</v>
      </c>
      <c r="BB16" t="s">
        <v>1192</v>
      </c>
      <c r="BC16" t="s">
        <v>1193</v>
      </c>
      <c r="BD16" t="s">
        <v>1194</v>
      </c>
      <c r="BE16" t="s">
        <v>83</v>
      </c>
      <c r="BF16" t="s">
        <v>1192</v>
      </c>
      <c r="BG16" t="s">
        <v>1193</v>
      </c>
      <c r="BH16" t="s">
        <v>1194</v>
      </c>
      <c r="BI16" t="s">
        <v>83</v>
      </c>
      <c r="BJ16" t="s">
        <v>1192</v>
      </c>
      <c r="BK16" t="s">
        <v>1193</v>
      </c>
      <c r="BL16" t="s">
        <v>1194</v>
      </c>
      <c r="BM16" t="s">
        <v>83</v>
      </c>
      <c r="BN16" s="648" t="s">
        <v>1454</v>
      </c>
      <c r="BO16" t="s">
        <v>1455</v>
      </c>
      <c r="BP16" t="s">
        <v>1456</v>
      </c>
      <c r="BQ16" t="s">
        <v>1457</v>
      </c>
      <c r="BR16" t="s">
        <v>1458</v>
      </c>
      <c r="BS16" t="s">
        <v>1459</v>
      </c>
      <c r="BT16" t="s">
        <v>1460</v>
      </c>
      <c r="BU16" t="s">
        <v>1461</v>
      </c>
      <c r="BV16" t="s">
        <v>1462</v>
      </c>
      <c r="BW16" t="s">
        <v>1463</v>
      </c>
      <c r="BX16" t="s">
        <v>1464</v>
      </c>
      <c r="BY16" t="s">
        <v>1465</v>
      </c>
      <c r="BZ16" t="s">
        <v>1466</v>
      </c>
      <c r="CA16" t="s">
        <v>1467</v>
      </c>
      <c r="CB16" t="s">
        <v>1468</v>
      </c>
      <c r="CC16" t="s">
        <v>1469</v>
      </c>
      <c r="CD16" t="s">
        <v>1470</v>
      </c>
      <c r="CE16" t="s">
        <v>1471</v>
      </c>
    </row>
    <row r="17" spans="2:65" ht="15">
      <c r="B17" t="s">
        <v>1472</v>
      </c>
      <c r="C17" s="649">
        <f>C16*$H$9</f>
        <v>11.931722443072962</v>
      </c>
      <c r="D17" s="649">
        <f t="shared" ref="D17:J17" si="0">D16*$H$9</f>
        <v>19.524636725028483</v>
      </c>
      <c r="E17" s="649">
        <f t="shared" si="0"/>
        <v>4.3388081611174405</v>
      </c>
      <c r="F17" s="649">
        <f t="shared" si="0"/>
        <v>4.3388081611174405</v>
      </c>
      <c r="G17" s="649">
        <f t="shared" si="0"/>
        <v>32.54106120838081</v>
      </c>
      <c r="H17" s="649">
        <f t="shared" si="0"/>
        <v>13.016424483352322</v>
      </c>
      <c r="I17" s="649">
        <f t="shared" si="0"/>
        <v>7.5929142819555215</v>
      </c>
      <c r="J17" s="649">
        <f t="shared" si="0"/>
        <v>15.185828563911043</v>
      </c>
      <c r="K17" s="389">
        <f>SUM(C17:J17)</f>
        <v>108.47020402793602</v>
      </c>
      <c r="L17">
        <f>K17-C17</f>
        <v>96.538481584863064</v>
      </c>
      <c r="M17">
        <v>48911.546095199999</v>
      </c>
      <c r="N17">
        <f t="shared" ref="N17:N39" si="1">M17/3600</f>
        <v>13.586540582</v>
      </c>
      <c r="O17" s="389">
        <v>22.027138284999999</v>
      </c>
      <c r="P17" s="389">
        <v>77</v>
      </c>
      <c r="Q17" s="389">
        <f>O17-(P17*C17)/1000</f>
        <v>21.108395656883381</v>
      </c>
      <c r="R17" s="389">
        <f>O17/K17*1000</f>
        <v>203.07086616456448</v>
      </c>
      <c r="S17" s="389">
        <f>Q17/L17*1000</f>
        <v>218.65265861187018</v>
      </c>
      <c r="U17" t="s">
        <v>1473</v>
      </c>
      <c r="V17" t="s">
        <v>1474</v>
      </c>
      <c r="W17" t="s">
        <v>1475</v>
      </c>
      <c r="X17" t="s">
        <v>1476</v>
      </c>
      <c r="Y17" t="s">
        <v>1477</v>
      </c>
      <c r="Z17" t="s">
        <v>1143</v>
      </c>
      <c r="AA17" t="s">
        <v>1144</v>
      </c>
      <c r="AB17" t="s">
        <v>1145</v>
      </c>
      <c r="AC17" t="s">
        <v>1146</v>
      </c>
      <c r="AD17" t="s">
        <v>1147</v>
      </c>
      <c r="AE17" t="s">
        <v>1148</v>
      </c>
      <c r="AF17" t="s">
        <v>1149</v>
      </c>
      <c r="AG17" t="s">
        <v>1191</v>
      </c>
      <c r="AH17" t="s">
        <v>1150</v>
      </c>
      <c r="AI17" t="s">
        <v>1151</v>
      </c>
      <c r="AJ17" t="s">
        <v>1152</v>
      </c>
      <c r="AK17" t="s">
        <v>1153</v>
      </c>
      <c r="AL17" t="s">
        <v>1154</v>
      </c>
      <c r="AM17" t="s">
        <v>1155</v>
      </c>
      <c r="AN17" t="s">
        <v>1156</v>
      </c>
      <c r="AO17" t="s">
        <v>1157</v>
      </c>
      <c r="AP17" t="s">
        <v>1161</v>
      </c>
      <c r="AQ17" t="s">
        <v>1158</v>
      </c>
      <c r="AR17" t="s">
        <v>1159</v>
      </c>
      <c r="AS17" t="s">
        <v>1160</v>
      </c>
      <c r="AT17" t="s">
        <v>1162</v>
      </c>
      <c r="AU17" t="s">
        <v>1163</v>
      </c>
      <c r="AV17" t="s">
        <v>1164</v>
      </c>
      <c r="AW17" t="s">
        <v>1165</v>
      </c>
      <c r="AX17" t="s">
        <v>1166</v>
      </c>
      <c r="AY17" t="s">
        <v>1167</v>
      </c>
      <c r="AZ17" t="s">
        <v>1168</v>
      </c>
      <c r="BA17" t="s">
        <v>1169</v>
      </c>
      <c r="BB17" t="s">
        <v>1170</v>
      </c>
      <c r="BC17" t="s">
        <v>1171</v>
      </c>
      <c r="BD17" t="s">
        <v>1172</v>
      </c>
      <c r="BE17" t="s">
        <v>1173</v>
      </c>
      <c r="BF17" t="s">
        <v>1174</v>
      </c>
      <c r="BG17" t="s">
        <v>1175</v>
      </c>
      <c r="BH17" t="s">
        <v>1176</v>
      </c>
      <c r="BI17" t="s">
        <v>1177</v>
      </c>
      <c r="BJ17" t="s">
        <v>1178</v>
      </c>
      <c r="BK17" t="s">
        <v>1179</v>
      </c>
      <c r="BL17" t="s">
        <v>1180</v>
      </c>
      <c r="BM17" t="s">
        <v>1181</v>
      </c>
    </row>
    <row r="18" spans="2:65">
      <c r="B18">
        <v>1994</v>
      </c>
      <c r="C18" s="647">
        <f>Y18+C17</f>
        <v>12.068782690263973</v>
      </c>
      <c r="D18" s="389">
        <f t="shared" ref="D18:D40" si="2">D17+AA18/1000000</f>
        <v>19.837185725028483</v>
      </c>
      <c r="E18" s="389"/>
      <c r="F18" s="389"/>
      <c r="G18" s="389">
        <f t="shared" ref="G18:G40" si="3">G17+Z18/1000000</f>
        <v>32.975895208380813</v>
      </c>
      <c r="H18" s="389"/>
      <c r="I18" s="389"/>
      <c r="J18" s="389">
        <f>E17+F17+H17+I17+J17+AC18/1000000</f>
        <v>44.834342651453767</v>
      </c>
      <c r="K18" s="389">
        <f>SUM(C18:J18)</f>
        <v>109.71620627512704</v>
      </c>
      <c r="L18">
        <f t="shared" ref="L18:L40" si="4">K18-C18</f>
        <v>97.647423584863063</v>
      </c>
      <c r="M18">
        <v>50609.800799999997</v>
      </c>
      <c r="N18">
        <f t="shared" si="1"/>
        <v>14.058278</v>
      </c>
      <c r="O18" s="389">
        <v>22.348402840000002</v>
      </c>
      <c r="P18" s="389">
        <f>P17*R18/R17</f>
        <v>77.235829067951911</v>
      </c>
      <c r="Q18" s="389">
        <f t="shared" ref="Q18:Q42" si="5">O18-(P18*C18)/1000</f>
        <v>21.416260403076517</v>
      </c>
      <c r="R18" s="389">
        <f t="shared" ref="R18:R40" si="6">O18/K18*1000</f>
        <v>203.69281438658754</v>
      </c>
      <c r="S18" s="389">
        <f t="shared" ref="S18:S40" si="7">Q18/L18*1000</f>
        <v>219.32232942596946</v>
      </c>
      <c r="T18">
        <v>1994</v>
      </c>
      <c r="U18" s="650">
        <f>(Z18+AA18+AC18)/1000000</f>
        <v>1.1089420000000001</v>
      </c>
      <c r="V18" s="651">
        <f>U18/L18</f>
        <v>1.1356592517120996E-2</v>
      </c>
      <c r="W18" s="652">
        <f>(Y18+Z18+AA18+AC18)/1000000</f>
        <v>1.108942137060247</v>
      </c>
      <c r="X18">
        <f>SUM(Z18:AC18)/1000000</f>
        <v>1.6818280000000001</v>
      </c>
      <c r="Y18">
        <f t="shared" ref="Y18:Y40" si="8">$C$12/(1-$C$12)*(Z18+AA18+AC18)/1000000</f>
        <v>0.13706024719101123</v>
      </c>
      <c r="Z18" s="645">
        <v>434834</v>
      </c>
      <c r="AA18" s="645">
        <v>312549</v>
      </c>
      <c r="AB18" s="645">
        <v>572886</v>
      </c>
      <c r="AC18" s="645">
        <v>361559</v>
      </c>
      <c r="AD18">
        <v>110770</v>
      </c>
      <c r="AE18">
        <v>58495</v>
      </c>
      <c r="AF18">
        <v>167976</v>
      </c>
      <c r="AG18">
        <v>131923</v>
      </c>
      <c r="AH18">
        <v>29383</v>
      </c>
      <c r="AI18">
        <v>25879</v>
      </c>
      <c r="AJ18">
        <v>14572</v>
      </c>
      <c r="AK18">
        <v>14621</v>
      </c>
      <c r="AL18">
        <v>70</v>
      </c>
      <c r="AM18">
        <v>6471</v>
      </c>
      <c r="AN18">
        <v>8925</v>
      </c>
      <c r="AO18">
        <v>799</v>
      </c>
      <c r="AP18">
        <v>14319</v>
      </c>
      <c r="AQ18">
        <v>4207</v>
      </c>
      <c r="AR18">
        <v>11476</v>
      </c>
      <c r="AS18">
        <v>11052</v>
      </c>
      <c r="AT18">
        <v>36195</v>
      </c>
      <c r="AU18">
        <v>89064</v>
      </c>
      <c r="AV18">
        <v>148698</v>
      </c>
      <c r="AW18">
        <v>36880</v>
      </c>
      <c r="AX18">
        <v>1256</v>
      </c>
      <c r="AY18">
        <v>31797</v>
      </c>
      <c r="AZ18">
        <v>3713</v>
      </c>
      <c r="BA18">
        <v>3802</v>
      </c>
      <c r="BB18">
        <v>234873</v>
      </c>
      <c r="BC18">
        <v>87434</v>
      </c>
      <c r="BD18">
        <v>206400</v>
      </c>
      <c r="BE18">
        <v>134761</v>
      </c>
      <c r="BF18">
        <v>6466</v>
      </c>
      <c r="BG18">
        <v>6313</v>
      </c>
      <c r="BH18">
        <v>7068</v>
      </c>
      <c r="BI18">
        <v>23368</v>
      </c>
      <c r="BJ18">
        <v>1502</v>
      </c>
      <c r="BK18">
        <v>2889</v>
      </c>
      <c r="BL18">
        <v>4058</v>
      </c>
      <c r="BM18">
        <v>4353</v>
      </c>
    </row>
    <row r="19" spans="2:65">
      <c r="B19">
        <v>1995</v>
      </c>
      <c r="C19" s="647">
        <f t="shared" ref="C19:C40" si="9">Y19+C18</f>
        <v>12.196196679028018</v>
      </c>
      <c r="D19" s="389">
        <f t="shared" si="2"/>
        <v>20.203271725028483</v>
      </c>
      <c r="E19" s="389"/>
      <c r="F19" s="389"/>
      <c r="G19" s="389">
        <f t="shared" si="3"/>
        <v>33.315373208380812</v>
      </c>
      <c r="H19" s="389"/>
      <c r="I19" s="389"/>
      <c r="J19" s="389">
        <f t="shared" ref="J19:J40" si="10">J18+AC19/1000000</f>
        <v>45.159673651453765</v>
      </c>
      <c r="K19" s="389">
        <f>SUM(C19:J19)</f>
        <v>110.87451526389108</v>
      </c>
      <c r="L19">
        <f t="shared" si="4"/>
        <v>98.678318584863064</v>
      </c>
      <c r="M19">
        <v>75793.759999999995</v>
      </c>
      <c r="N19">
        <f t="shared" si="1"/>
        <v>21.05382222222222</v>
      </c>
      <c r="O19" s="389">
        <v>23.071475335000002</v>
      </c>
      <c r="P19" s="389">
        <f t="shared" ref="P19:P40" si="11">P18*R19/R18</f>
        <v>78.901768347070345</v>
      </c>
      <c r="Q19" s="389">
        <f t="shared" si="5"/>
        <v>22.109173849916026</v>
      </c>
      <c r="R19" s="389">
        <f t="shared" si="6"/>
        <v>208.08636935266742</v>
      </c>
      <c r="S19" s="389">
        <f t="shared" si="7"/>
        <v>224.05300543201091</v>
      </c>
      <c r="T19">
        <v>1995</v>
      </c>
      <c r="U19" s="650">
        <f t="shared" ref="U19:U40" si="12">(Z19+AA19+AC19)/1000000</f>
        <v>1.0308949999999999</v>
      </c>
      <c r="V19" s="651">
        <f t="shared" ref="V19:V40" si="13">U19/L19</f>
        <v>1.0447026406448477E-2</v>
      </c>
      <c r="W19" s="652">
        <f t="shared" ref="W19:W40" si="14">(Y19+Z19+AA19+AC19)/1000000</f>
        <v>1.0308951274139888</v>
      </c>
      <c r="X19">
        <f t="shared" ref="X19:X40" si="15">SUM(Z19:AC19)/1000000</f>
        <v>1.818449</v>
      </c>
      <c r="Y19">
        <f t="shared" si="8"/>
        <v>0.12741398876404494</v>
      </c>
      <c r="Z19">
        <v>339478</v>
      </c>
      <c r="AA19">
        <v>366086</v>
      </c>
      <c r="AB19">
        <v>787554</v>
      </c>
      <c r="AC19">
        <v>325331</v>
      </c>
      <c r="AD19">
        <v>79983</v>
      </c>
      <c r="AE19">
        <v>66922</v>
      </c>
      <c r="AF19">
        <v>141044</v>
      </c>
      <c r="AG19">
        <v>164619</v>
      </c>
      <c r="AH19">
        <v>9228</v>
      </c>
      <c r="AI19">
        <v>26397</v>
      </c>
      <c r="AJ19">
        <v>33274</v>
      </c>
      <c r="AK19">
        <v>15949</v>
      </c>
      <c r="AL19">
        <v>167</v>
      </c>
      <c r="AM19">
        <v>2266</v>
      </c>
      <c r="AN19">
        <v>4709</v>
      </c>
      <c r="AO19">
        <v>2163</v>
      </c>
      <c r="AP19">
        <v>14282</v>
      </c>
      <c r="AQ19">
        <v>11706</v>
      </c>
      <c r="AR19">
        <v>15132</v>
      </c>
      <c r="AS19">
        <v>7792</v>
      </c>
      <c r="AT19">
        <v>46147</v>
      </c>
      <c r="AU19">
        <v>95527</v>
      </c>
      <c r="AV19">
        <v>186634</v>
      </c>
      <c r="AW19">
        <v>51553</v>
      </c>
      <c r="AX19">
        <v>4751</v>
      </c>
      <c r="AY19">
        <v>33938</v>
      </c>
      <c r="AZ19">
        <v>3610</v>
      </c>
      <c r="BA19">
        <v>15997</v>
      </c>
      <c r="BB19">
        <v>172642</v>
      </c>
      <c r="BC19">
        <v>68971</v>
      </c>
      <c r="BD19">
        <v>368780</v>
      </c>
      <c r="BE19">
        <v>56066</v>
      </c>
      <c r="BF19">
        <v>8761</v>
      </c>
      <c r="BG19">
        <v>48910</v>
      </c>
      <c r="BH19">
        <v>20977</v>
      </c>
      <c r="BI19">
        <v>9817</v>
      </c>
      <c r="BJ19">
        <v>3517</v>
      </c>
      <c r="BK19">
        <v>11449</v>
      </c>
      <c r="BL19">
        <v>13394</v>
      </c>
      <c r="BM19">
        <v>1375</v>
      </c>
    </row>
    <row r="20" spans="2:65">
      <c r="B20">
        <v>1996</v>
      </c>
      <c r="C20" s="647">
        <f t="shared" si="9"/>
        <v>12.375138252061726</v>
      </c>
      <c r="D20" s="389">
        <f t="shared" si="2"/>
        <v>20.695290725028482</v>
      </c>
      <c r="E20" s="389"/>
      <c r="F20" s="389"/>
      <c r="G20" s="389">
        <f t="shared" si="3"/>
        <v>33.854123208380813</v>
      </c>
      <c r="H20" s="389"/>
      <c r="I20" s="389"/>
      <c r="J20" s="389">
        <f t="shared" si="10"/>
        <v>45.576704651453767</v>
      </c>
      <c r="K20" s="389">
        <f t="shared" ref="K20:K40" si="16">SUM(C20:J20)</f>
        <v>112.50125683692478</v>
      </c>
      <c r="L20">
        <f t="shared" si="4"/>
        <v>100.12611858486305</v>
      </c>
      <c r="M20">
        <v>53520.930756000002</v>
      </c>
      <c r="N20">
        <f t="shared" si="1"/>
        <v>14.86692521</v>
      </c>
      <c r="O20" s="389">
        <v>24.326279675000002</v>
      </c>
      <c r="P20" s="389">
        <f t="shared" si="11"/>
        <v>81.990101693965272</v>
      </c>
      <c r="Q20" s="389">
        <f t="shared" si="5"/>
        <v>23.311640831236581</v>
      </c>
      <c r="R20" s="389">
        <f t="shared" si="6"/>
        <v>216.23118140148381</v>
      </c>
      <c r="S20" s="389">
        <f t="shared" si="7"/>
        <v>232.82277552263778</v>
      </c>
      <c r="T20">
        <v>1996</v>
      </c>
      <c r="U20" s="650">
        <f t="shared" si="12"/>
        <v>1.4478</v>
      </c>
      <c r="V20" s="651">
        <f t="shared" si="13"/>
        <v>1.4459763550835144E-2</v>
      </c>
      <c r="W20" s="652">
        <f t="shared" si="14"/>
        <v>1.4478001789415731</v>
      </c>
      <c r="X20">
        <f t="shared" si="15"/>
        <v>2.335331</v>
      </c>
      <c r="Y20">
        <f t="shared" si="8"/>
        <v>0.17894157303370786</v>
      </c>
      <c r="Z20">
        <v>538750</v>
      </c>
      <c r="AA20">
        <v>492019</v>
      </c>
      <c r="AB20">
        <v>887531</v>
      </c>
      <c r="AC20">
        <v>417031</v>
      </c>
      <c r="AD20">
        <v>48203</v>
      </c>
      <c r="AE20">
        <v>76663</v>
      </c>
      <c r="AF20">
        <v>180178</v>
      </c>
      <c r="AG20">
        <v>158251</v>
      </c>
      <c r="AH20">
        <v>10449</v>
      </c>
      <c r="AI20">
        <v>31443</v>
      </c>
      <c r="AJ20">
        <v>29306</v>
      </c>
      <c r="AK20">
        <v>17020</v>
      </c>
      <c r="AL20">
        <v>9301</v>
      </c>
      <c r="AM20">
        <v>8333</v>
      </c>
      <c r="AN20">
        <v>7446</v>
      </c>
      <c r="AO20">
        <v>7771</v>
      </c>
      <c r="AP20">
        <v>18030</v>
      </c>
      <c r="AQ20">
        <v>25566</v>
      </c>
      <c r="AR20">
        <v>54879</v>
      </c>
      <c r="AS20">
        <v>8014</v>
      </c>
      <c r="AT20">
        <v>53839</v>
      </c>
      <c r="AU20">
        <v>162956</v>
      </c>
      <c r="AV20">
        <v>249020</v>
      </c>
      <c r="AW20">
        <v>46680</v>
      </c>
      <c r="AX20">
        <v>17187</v>
      </c>
      <c r="AY20">
        <v>25326</v>
      </c>
      <c r="AZ20">
        <v>17612</v>
      </c>
      <c r="BA20">
        <v>24663</v>
      </c>
      <c r="BB20">
        <v>356473</v>
      </c>
      <c r="BC20">
        <v>122547</v>
      </c>
      <c r="BD20">
        <v>319315</v>
      </c>
      <c r="BE20">
        <v>125102</v>
      </c>
      <c r="BF20">
        <v>20895</v>
      </c>
      <c r="BG20">
        <v>18243</v>
      </c>
      <c r="BH20">
        <v>17822</v>
      </c>
      <c r="BI20">
        <v>27255</v>
      </c>
      <c r="BJ20">
        <v>4373</v>
      </c>
      <c r="BK20">
        <v>20942</v>
      </c>
      <c r="BL20">
        <v>11953</v>
      </c>
      <c r="BM20">
        <v>2275</v>
      </c>
    </row>
    <row r="21" spans="2:65">
      <c r="B21">
        <v>1997</v>
      </c>
      <c r="C21" s="647">
        <f t="shared" si="9"/>
        <v>12.577484858803299</v>
      </c>
      <c r="D21" s="389">
        <f t="shared" si="2"/>
        <v>21.266486725028482</v>
      </c>
      <c r="E21" s="389"/>
      <c r="F21" s="389"/>
      <c r="G21" s="389">
        <f t="shared" si="3"/>
        <v>34.510067208380811</v>
      </c>
      <c r="H21" s="389"/>
      <c r="I21" s="389"/>
      <c r="J21" s="389">
        <f t="shared" si="10"/>
        <v>45.986732651453764</v>
      </c>
      <c r="K21" s="389">
        <f t="shared" si="16"/>
        <v>114.34077144366636</v>
      </c>
      <c r="L21">
        <f t="shared" si="4"/>
        <v>101.76328658486305</v>
      </c>
      <c r="M21">
        <v>75743.03</v>
      </c>
      <c r="N21">
        <f t="shared" si="1"/>
        <v>21.039730555555554</v>
      </c>
      <c r="O21" s="389">
        <v>24.043091215</v>
      </c>
      <c r="P21" s="389">
        <f t="shared" si="11"/>
        <v>79.731932420834625</v>
      </c>
      <c r="Q21" s="389">
        <f t="shared" si="5"/>
        <v>23.040264042213824</v>
      </c>
      <c r="R21" s="389">
        <f t="shared" si="6"/>
        <v>210.27574776199231</v>
      </c>
      <c r="S21" s="389">
        <f t="shared" si="7"/>
        <v>226.41037662438259</v>
      </c>
      <c r="T21">
        <v>1997</v>
      </c>
      <c r="U21" s="650">
        <f t="shared" si="12"/>
        <v>1.637168</v>
      </c>
      <c r="V21" s="651">
        <f t="shared" si="13"/>
        <v>1.6088002411702013E-2</v>
      </c>
      <c r="W21" s="652">
        <f t="shared" si="14"/>
        <v>1.6371682023466065</v>
      </c>
      <c r="X21">
        <f t="shared" si="15"/>
        <v>2.6668970000000001</v>
      </c>
      <c r="Y21">
        <f t="shared" si="8"/>
        <v>0.20234660674157301</v>
      </c>
      <c r="Z21">
        <v>655944</v>
      </c>
      <c r="AA21">
        <v>571196</v>
      </c>
      <c r="AB21">
        <v>1029729</v>
      </c>
      <c r="AC21">
        <v>410028</v>
      </c>
      <c r="AD21">
        <v>76734</v>
      </c>
      <c r="AE21">
        <v>70205</v>
      </c>
      <c r="AF21">
        <v>267068</v>
      </c>
      <c r="AG21">
        <v>160815</v>
      </c>
      <c r="AH21">
        <v>17132</v>
      </c>
      <c r="AI21">
        <v>39294</v>
      </c>
      <c r="AJ21">
        <v>41961</v>
      </c>
      <c r="AK21">
        <v>16741</v>
      </c>
      <c r="AL21">
        <v>3071</v>
      </c>
      <c r="AM21">
        <v>5635</v>
      </c>
      <c r="AN21">
        <v>12503</v>
      </c>
      <c r="AO21">
        <v>7409</v>
      </c>
      <c r="AP21">
        <v>23785</v>
      </c>
      <c r="AQ21">
        <v>34606</v>
      </c>
      <c r="AR21">
        <v>16188</v>
      </c>
      <c r="AS21">
        <v>13783</v>
      </c>
      <c r="AT21">
        <v>52596</v>
      </c>
      <c r="AU21">
        <v>83556</v>
      </c>
      <c r="AV21">
        <v>338851</v>
      </c>
      <c r="AW21">
        <v>54269</v>
      </c>
      <c r="AX21">
        <v>6948</v>
      </c>
      <c r="AY21">
        <v>52620</v>
      </c>
      <c r="AZ21">
        <v>12373</v>
      </c>
      <c r="BA21">
        <v>14752</v>
      </c>
      <c r="BB21">
        <v>427837</v>
      </c>
      <c r="BC21">
        <v>225839</v>
      </c>
      <c r="BD21">
        <v>305594</v>
      </c>
      <c r="BE21">
        <v>108683</v>
      </c>
      <c r="BF21">
        <v>43233</v>
      </c>
      <c r="BG21">
        <v>21047</v>
      </c>
      <c r="BH21">
        <v>25929</v>
      </c>
      <c r="BI21">
        <v>27867</v>
      </c>
      <c r="BJ21">
        <v>4608</v>
      </c>
      <c r="BK21">
        <v>38394</v>
      </c>
      <c r="BL21">
        <v>9262</v>
      </c>
      <c r="BM21">
        <v>5709</v>
      </c>
    </row>
    <row r="22" spans="2:65">
      <c r="B22">
        <v>1998</v>
      </c>
      <c r="C22" s="647">
        <f t="shared" si="9"/>
        <v>12.783141476780827</v>
      </c>
      <c r="D22" s="389">
        <f t="shared" si="2"/>
        <v>21.842564725028481</v>
      </c>
      <c r="E22" s="389"/>
      <c r="F22" s="389"/>
      <c r="G22" s="389">
        <f t="shared" si="3"/>
        <v>35.169643208380812</v>
      </c>
      <c r="H22" s="389"/>
      <c r="I22" s="389"/>
      <c r="J22" s="389">
        <f t="shared" si="10"/>
        <v>46.415027651453762</v>
      </c>
      <c r="K22" s="389">
        <f t="shared" si="16"/>
        <v>116.21037706164387</v>
      </c>
      <c r="L22">
        <f t="shared" si="4"/>
        <v>103.42723558486304</v>
      </c>
      <c r="M22">
        <v>50305.4568</v>
      </c>
      <c r="N22">
        <f t="shared" si="1"/>
        <v>13.973737999999999</v>
      </c>
      <c r="O22" s="389">
        <v>24.053710910000003</v>
      </c>
      <c r="P22" s="389">
        <f t="shared" si="11"/>
        <v>78.483846681862261</v>
      </c>
      <c r="Q22" s="389">
        <f t="shared" si="5"/>
        <v>23.050440794223782</v>
      </c>
      <c r="R22" s="389">
        <f t="shared" si="6"/>
        <v>206.98419124172273</v>
      </c>
      <c r="S22" s="389">
        <f t="shared" si="7"/>
        <v>222.86625629968302</v>
      </c>
      <c r="T22">
        <v>1998</v>
      </c>
      <c r="U22" s="650">
        <f t="shared" si="12"/>
        <v>1.6639489999999999</v>
      </c>
      <c r="V22" s="651">
        <f t="shared" si="13"/>
        <v>1.6088112484015041E-2</v>
      </c>
      <c r="W22" s="652">
        <f t="shared" si="14"/>
        <v>1.6639492056566179</v>
      </c>
      <c r="X22">
        <f t="shared" si="15"/>
        <v>2.5094609999999999</v>
      </c>
      <c r="Y22">
        <f t="shared" si="8"/>
        <v>0.20565661797752807</v>
      </c>
      <c r="Z22">
        <v>659576</v>
      </c>
      <c r="AA22">
        <v>576078</v>
      </c>
      <c r="AB22">
        <v>845512</v>
      </c>
      <c r="AC22">
        <v>428295</v>
      </c>
      <c r="AD22">
        <v>118514</v>
      </c>
      <c r="AE22">
        <v>65569</v>
      </c>
      <c r="AF22">
        <v>235634</v>
      </c>
      <c r="AG22">
        <v>114521</v>
      </c>
      <c r="AH22">
        <v>40756</v>
      </c>
      <c r="AI22">
        <v>32982</v>
      </c>
      <c r="AJ22">
        <v>41318</v>
      </c>
      <c r="AK22">
        <v>22663</v>
      </c>
      <c r="AL22">
        <v>1394</v>
      </c>
      <c r="AM22">
        <v>5997</v>
      </c>
      <c r="AN22">
        <v>15125</v>
      </c>
      <c r="AO22">
        <v>6164</v>
      </c>
      <c r="AP22">
        <v>19258</v>
      </c>
      <c r="AQ22">
        <v>42563</v>
      </c>
      <c r="AR22">
        <v>14607</v>
      </c>
      <c r="AS22">
        <v>20074</v>
      </c>
      <c r="AT22">
        <v>76180</v>
      </c>
      <c r="AU22">
        <v>74926</v>
      </c>
      <c r="AV22">
        <v>240336</v>
      </c>
      <c r="AW22">
        <v>24839</v>
      </c>
      <c r="AX22">
        <v>7477</v>
      </c>
      <c r="AY22">
        <v>88543</v>
      </c>
      <c r="AZ22">
        <v>16854</v>
      </c>
      <c r="BA22">
        <v>16426</v>
      </c>
      <c r="BB22">
        <v>350205</v>
      </c>
      <c r="BC22">
        <v>185493</v>
      </c>
      <c r="BD22">
        <v>247625</v>
      </c>
      <c r="BE22">
        <v>190367</v>
      </c>
      <c r="BF22">
        <v>28229</v>
      </c>
      <c r="BG22">
        <v>69339</v>
      </c>
      <c r="BH22">
        <v>29353</v>
      </c>
      <c r="BI22">
        <v>32032</v>
      </c>
      <c r="BJ22">
        <v>17563</v>
      </c>
      <c r="BK22">
        <v>10666</v>
      </c>
      <c r="BL22">
        <v>4660</v>
      </c>
      <c r="BM22">
        <v>1209</v>
      </c>
    </row>
    <row r="23" spans="2:65">
      <c r="B23">
        <v>1999</v>
      </c>
      <c r="C23" s="647">
        <f t="shared" si="9"/>
        <v>12.931599825095434</v>
      </c>
      <c r="D23" s="389">
        <f t="shared" si="2"/>
        <v>22.256832725028481</v>
      </c>
      <c r="E23" s="389"/>
      <c r="F23" s="389"/>
      <c r="G23" s="389">
        <f t="shared" si="3"/>
        <v>35.606193208380809</v>
      </c>
      <c r="H23" s="389"/>
      <c r="I23" s="389"/>
      <c r="J23" s="389">
        <f t="shared" si="10"/>
        <v>46.76537265145376</v>
      </c>
      <c r="K23" s="389">
        <f t="shared" si="16"/>
        <v>117.55999840995848</v>
      </c>
      <c r="L23">
        <f t="shared" si="4"/>
        <v>104.62839858486305</v>
      </c>
      <c r="M23">
        <v>63751.752</v>
      </c>
      <c r="N23">
        <f t="shared" si="1"/>
        <v>17.708819999999999</v>
      </c>
      <c r="O23" s="389">
        <v>24.26046449</v>
      </c>
      <c r="P23" s="389">
        <f t="shared" si="11"/>
        <v>78.249693301681887</v>
      </c>
      <c r="Q23" s="389">
        <f t="shared" si="5"/>
        <v>23.248570769786198</v>
      </c>
      <c r="R23" s="389">
        <f t="shared" si="6"/>
        <v>206.36666228420859</v>
      </c>
      <c r="S23" s="389">
        <f t="shared" si="7"/>
        <v>222.2013438438467</v>
      </c>
      <c r="T23">
        <v>1999</v>
      </c>
      <c r="U23" s="650">
        <f t="shared" si="12"/>
        <v>1.201163</v>
      </c>
      <c r="V23" s="651">
        <f t="shared" si="13"/>
        <v>1.1480277020829566E-2</v>
      </c>
      <c r="W23" s="652">
        <f t="shared" si="14"/>
        <v>1.2011631484583483</v>
      </c>
      <c r="X23">
        <f t="shared" si="15"/>
        <v>2.035857</v>
      </c>
      <c r="Y23">
        <f t="shared" si="8"/>
        <v>0.14845834831460672</v>
      </c>
      <c r="Z23">
        <v>436550</v>
      </c>
      <c r="AA23">
        <v>414268</v>
      </c>
      <c r="AB23">
        <v>834694</v>
      </c>
      <c r="AC23">
        <v>350345</v>
      </c>
      <c r="AD23">
        <v>139376</v>
      </c>
      <c r="AE23">
        <v>74549</v>
      </c>
      <c r="AF23">
        <v>315394</v>
      </c>
      <c r="AG23">
        <v>128069</v>
      </c>
      <c r="AH23">
        <v>5614</v>
      </c>
      <c r="AI23">
        <v>38725</v>
      </c>
      <c r="AJ23">
        <v>34730</v>
      </c>
      <c r="AK23">
        <v>24730</v>
      </c>
      <c r="AL23">
        <v>0</v>
      </c>
      <c r="AM23">
        <v>5473</v>
      </c>
      <c r="AN23">
        <v>7907</v>
      </c>
      <c r="AO23">
        <v>8550</v>
      </c>
      <c r="AP23">
        <v>19644</v>
      </c>
      <c r="AQ23">
        <v>28896</v>
      </c>
      <c r="AR23">
        <v>4287</v>
      </c>
      <c r="AS23">
        <v>10020</v>
      </c>
      <c r="AT23">
        <v>75120</v>
      </c>
      <c r="AU23">
        <v>49205</v>
      </c>
      <c r="AV23">
        <v>174391</v>
      </c>
      <c r="AW23">
        <v>48504</v>
      </c>
      <c r="AX23">
        <v>11923</v>
      </c>
      <c r="AY23">
        <v>16842</v>
      </c>
      <c r="AZ23">
        <v>11517</v>
      </c>
      <c r="BA23">
        <v>19646</v>
      </c>
      <c r="BB23">
        <v>174184</v>
      </c>
      <c r="BC23">
        <v>111405</v>
      </c>
      <c r="BD23">
        <v>226115</v>
      </c>
      <c r="BE23">
        <v>86155</v>
      </c>
      <c r="BF23">
        <v>9096</v>
      </c>
      <c r="BG23">
        <v>81467</v>
      </c>
      <c r="BH23">
        <v>55133</v>
      </c>
      <c r="BI23">
        <v>23230</v>
      </c>
      <c r="BJ23">
        <v>1593</v>
      </c>
      <c r="BK23">
        <v>7706</v>
      </c>
      <c r="BL23">
        <v>5220</v>
      </c>
      <c r="BM23">
        <v>1441</v>
      </c>
    </row>
    <row r="24" spans="2:65">
      <c r="B24">
        <v>2000</v>
      </c>
      <c r="C24" s="647">
        <f t="shared" si="9"/>
        <v>13.102870443072963</v>
      </c>
      <c r="D24" s="389">
        <f t="shared" si="2"/>
        <v>22.77917572502848</v>
      </c>
      <c r="E24" s="389"/>
      <c r="F24" s="389"/>
      <c r="G24" s="389">
        <f t="shared" si="3"/>
        <v>36.195975208380808</v>
      </c>
      <c r="H24" s="389"/>
      <c r="I24" s="389"/>
      <c r="J24" s="389">
        <f t="shared" si="10"/>
        <v>47.038982651453757</v>
      </c>
      <c r="K24" s="389">
        <f t="shared" si="16"/>
        <v>119.11700402793599</v>
      </c>
      <c r="L24">
        <f t="shared" si="4"/>
        <v>106.01413358486303</v>
      </c>
      <c r="M24">
        <v>61790.425199999998</v>
      </c>
      <c r="N24">
        <f t="shared" si="1"/>
        <v>17.164006999999998</v>
      </c>
      <c r="O24" s="389">
        <v>25.277680945</v>
      </c>
      <c r="P24" s="389">
        <f t="shared" si="11"/>
        <v>80.464917455059577</v>
      </c>
      <c r="Q24" s="389">
        <f t="shared" si="5"/>
        <v>24.223359556373794</v>
      </c>
      <c r="R24" s="389">
        <f t="shared" si="6"/>
        <v>212.20883744752123</v>
      </c>
      <c r="S24" s="389">
        <f t="shared" si="7"/>
        <v>228.49179385108388</v>
      </c>
      <c r="T24">
        <v>2000</v>
      </c>
      <c r="U24" s="650">
        <f t="shared" si="12"/>
        <v>1.3857349999999999</v>
      </c>
      <c r="V24" s="651">
        <f t="shared" si="13"/>
        <v>1.307122883658466E-2</v>
      </c>
      <c r="W24" s="652">
        <f t="shared" si="14"/>
        <v>1.3857351712706181</v>
      </c>
      <c r="X24">
        <f t="shared" si="15"/>
        <v>2.0903679999999998</v>
      </c>
      <c r="Y24">
        <f t="shared" si="8"/>
        <v>0.17127061797752807</v>
      </c>
      <c r="Z24">
        <v>589782</v>
      </c>
      <c r="AA24">
        <v>522343</v>
      </c>
      <c r="AB24">
        <v>704633</v>
      </c>
      <c r="AC24">
        <v>273610</v>
      </c>
      <c r="AD24">
        <v>143440</v>
      </c>
      <c r="AE24">
        <v>77981</v>
      </c>
      <c r="AF24">
        <v>213670</v>
      </c>
      <c r="AG24">
        <v>115067</v>
      </c>
      <c r="AH24">
        <v>2810</v>
      </c>
      <c r="AI24">
        <v>66978</v>
      </c>
      <c r="AJ24">
        <v>37431</v>
      </c>
      <c r="AK24">
        <v>9128</v>
      </c>
      <c r="AL24">
        <v>0</v>
      </c>
      <c r="AM24">
        <v>9543</v>
      </c>
      <c r="AN24">
        <v>8239</v>
      </c>
      <c r="AO24">
        <v>1869</v>
      </c>
      <c r="AP24">
        <v>7362</v>
      </c>
      <c r="AQ24">
        <v>18138</v>
      </c>
      <c r="AR24">
        <v>17928</v>
      </c>
      <c r="AS24">
        <v>6258</v>
      </c>
      <c r="AT24">
        <v>70659</v>
      </c>
      <c r="AU24">
        <v>33801</v>
      </c>
      <c r="AV24">
        <v>194909</v>
      </c>
      <c r="AW24">
        <v>27142</v>
      </c>
      <c r="AX24">
        <v>12362</v>
      </c>
      <c r="AY24">
        <v>26126</v>
      </c>
      <c r="AZ24">
        <v>16299</v>
      </c>
      <c r="BA24">
        <v>12867</v>
      </c>
      <c r="BB24">
        <v>340637</v>
      </c>
      <c r="BC24">
        <v>268178</v>
      </c>
      <c r="BD24">
        <v>189224</v>
      </c>
      <c r="BE24">
        <v>91983</v>
      </c>
      <c r="BF24">
        <v>9241</v>
      </c>
      <c r="BG24">
        <v>8860</v>
      </c>
      <c r="BH24">
        <v>20284</v>
      </c>
      <c r="BI24">
        <v>7145</v>
      </c>
      <c r="BJ24">
        <v>3271</v>
      </c>
      <c r="BK24">
        <v>12738</v>
      </c>
      <c r="BL24">
        <v>6649</v>
      </c>
      <c r="BM24">
        <v>2151</v>
      </c>
    </row>
    <row r="25" spans="2:65">
      <c r="B25">
        <v>2001</v>
      </c>
      <c r="C25" s="647">
        <f t="shared" si="9"/>
        <v>13.291037802623524</v>
      </c>
      <c r="D25" s="389">
        <f t="shared" si="2"/>
        <v>23.509128725028479</v>
      </c>
      <c r="E25" s="389"/>
      <c r="F25" s="389"/>
      <c r="G25" s="389">
        <f t="shared" si="3"/>
        <v>36.783764208380809</v>
      </c>
      <c r="H25" s="389"/>
      <c r="I25" s="389"/>
      <c r="J25" s="389">
        <f t="shared" si="10"/>
        <v>47.24368565145376</v>
      </c>
      <c r="K25" s="389">
        <f t="shared" si="16"/>
        <v>120.82761638748657</v>
      </c>
      <c r="L25">
        <f t="shared" si="4"/>
        <v>107.53657858486305</v>
      </c>
      <c r="M25">
        <v>65882.3796</v>
      </c>
      <c r="N25">
        <f t="shared" si="1"/>
        <v>18.300661000000002</v>
      </c>
      <c r="O25" s="389">
        <v>30.852722015000005</v>
      </c>
      <c r="P25" s="389">
        <f t="shared" si="11"/>
        <v>96.82118239974163</v>
      </c>
      <c r="Q25" s="389">
        <f t="shared" si="5"/>
        <v>29.565868019630333</v>
      </c>
      <c r="R25" s="389">
        <f t="shared" si="6"/>
        <v>255.34495289601068</v>
      </c>
      <c r="S25" s="389">
        <f t="shared" si="7"/>
        <v>274.9377784629653</v>
      </c>
      <c r="T25">
        <v>2001</v>
      </c>
      <c r="U25" s="650">
        <f t="shared" si="12"/>
        <v>1.522445</v>
      </c>
      <c r="V25" s="651">
        <f t="shared" si="13"/>
        <v>1.4157461768216428E-2</v>
      </c>
      <c r="W25" s="652">
        <f t="shared" si="14"/>
        <v>1.5224451881673597</v>
      </c>
      <c r="X25">
        <f t="shared" si="15"/>
        <v>2.178058</v>
      </c>
      <c r="Y25">
        <f t="shared" si="8"/>
        <v>0.1881673595505618</v>
      </c>
      <c r="Z25">
        <v>587789</v>
      </c>
      <c r="AA25">
        <v>729953</v>
      </c>
      <c r="AB25">
        <v>655613</v>
      </c>
      <c r="AC25">
        <v>204703</v>
      </c>
      <c r="AD25">
        <v>128099</v>
      </c>
      <c r="AE25">
        <v>131713</v>
      </c>
      <c r="AF25">
        <v>140922</v>
      </c>
      <c r="AG25">
        <v>74597</v>
      </c>
      <c r="AH25">
        <v>28383</v>
      </c>
      <c r="AI25">
        <v>35920</v>
      </c>
      <c r="AJ25">
        <v>119195</v>
      </c>
      <c r="AK25">
        <v>22938</v>
      </c>
      <c r="AL25">
        <v>7171</v>
      </c>
      <c r="AM25">
        <v>12039</v>
      </c>
      <c r="AN25">
        <v>854</v>
      </c>
      <c r="AO25">
        <v>1822</v>
      </c>
      <c r="AP25">
        <v>18746</v>
      </c>
      <c r="AQ25">
        <v>12444</v>
      </c>
      <c r="AR25">
        <v>14990</v>
      </c>
      <c r="AS25">
        <v>14645</v>
      </c>
      <c r="AT25">
        <v>76389</v>
      </c>
      <c r="AU25">
        <v>364679</v>
      </c>
      <c r="AV25">
        <v>157258</v>
      </c>
      <c r="AW25">
        <v>30084</v>
      </c>
      <c r="AX25">
        <v>2008</v>
      </c>
      <c r="AY25">
        <v>8755</v>
      </c>
      <c r="AZ25">
        <v>10155</v>
      </c>
      <c r="BA25">
        <v>21039</v>
      </c>
      <c r="BB25">
        <v>317058</v>
      </c>
      <c r="BC25">
        <v>128582</v>
      </c>
      <c r="BD25">
        <v>206929</v>
      </c>
      <c r="BE25">
        <v>35920</v>
      </c>
      <c r="BF25">
        <v>8937</v>
      </c>
      <c r="BG25">
        <v>30373</v>
      </c>
      <c r="BH25">
        <v>3453</v>
      </c>
      <c r="BI25">
        <v>3234</v>
      </c>
      <c r="BJ25">
        <v>998</v>
      </c>
      <c r="BK25">
        <v>5448</v>
      </c>
      <c r="BL25">
        <v>1857</v>
      </c>
      <c r="BM25">
        <v>424</v>
      </c>
    </row>
    <row r="26" spans="2:65">
      <c r="B26">
        <v>2002</v>
      </c>
      <c r="C26" s="647">
        <f t="shared" si="9"/>
        <v>13.428526679028019</v>
      </c>
      <c r="D26" s="389">
        <f t="shared" si="2"/>
        <v>23.79040072502848</v>
      </c>
      <c r="E26" s="389"/>
      <c r="F26" s="389"/>
      <c r="G26" s="389">
        <f t="shared" si="3"/>
        <v>37.38322420838081</v>
      </c>
      <c r="H26" s="389"/>
      <c r="I26" s="389"/>
      <c r="J26" s="389">
        <f t="shared" si="10"/>
        <v>47.475363651453762</v>
      </c>
      <c r="K26" s="389">
        <f t="shared" si="16"/>
        <v>122.07751526389107</v>
      </c>
      <c r="L26">
        <f t="shared" si="4"/>
        <v>108.64898858486305</v>
      </c>
      <c r="M26">
        <v>65618.172000000006</v>
      </c>
      <c r="N26">
        <f t="shared" si="1"/>
        <v>18.227270000000001</v>
      </c>
      <c r="O26" s="389">
        <v>31.75736186</v>
      </c>
      <c r="P26" s="389">
        <f t="shared" si="11"/>
        <v>98.639722183972282</v>
      </c>
      <c r="Q26" s="389">
        <f t="shared" si="5"/>
        <v>30.432775719040617</v>
      </c>
      <c r="R26" s="389">
        <f t="shared" si="6"/>
        <v>260.14095872897741</v>
      </c>
      <c r="S26" s="389">
        <f t="shared" si="7"/>
        <v>280.10178571768597</v>
      </c>
      <c r="T26">
        <v>2002</v>
      </c>
      <c r="U26" s="650">
        <f t="shared" si="12"/>
        <v>1.1124099999999999</v>
      </c>
      <c r="V26" s="651">
        <f t="shared" si="13"/>
        <v>1.0238567468404217E-2</v>
      </c>
      <c r="W26" s="652">
        <f t="shared" si="14"/>
        <v>1.1124101374888764</v>
      </c>
      <c r="X26">
        <f t="shared" si="15"/>
        <v>1.6951099999999999</v>
      </c>
      <c r="Y26">
        <f t="shared" si="8"/>
        <v>0.13748887640449436</v>
      </c>
      <c r="Z26">
        <v>599460</v>
      </c>
      <c r="AA26">
        <v>281272</v>
      </c>
      <c r="AB26">
        <v>582700</v>
      </c>
      <c r="AC26">
        <v>231678</v>
      </c>
      <c r="AD26">
        <v>102365</v>
      </c>
      <c r="AE26">
        <v>85209</v>
      </c>
      <c r="AF26">
        <v>155913</v>
      </c>
      <c r="AG26">
        <v>94817</v>
      </c>
      <c r="AH26">
        <v>6334</v>
      </c>
      <c r="AI26">
        <v>9071</v>
      </c>
      <c r="AJ26">
        <v>37525</v>
      </c>
      <c r="AK26">
        <v>4832</v>
      </c>
      <c r="AL26">
        <v>0</v>
      </c>
      <c r="AM26">
        <v>784</v>
      </c>
      <c r="AN26">
        <v>1572</v>
      </c>
      <c r="AO26">
        <v>1129</v>
      </c>
      <c r="AP26">
        <v>10135</v>
      </c>
      <c r="AQ26">
        <v>12017</v>
      </c>
      <c r="AR26">
        <v>8045</v>
      </c>
      <c r="AS26">
        <v>14809</v>
      </c>
      <c r="AT26">
        <v>93773</v>
      </c>
      <c r="AU26">
        <v>77834</v>
      </c>
      <c r="AV26">
        <v>167347</v>
      </c>
      <c r="AW26">
        <v>42714</v>
      </c>
      <c r="AX26">
        <v>6729</v>
      </c>
      <c r="AY26">
        <v>16077</v>
      </c>
      <c r="AZ26">
        <v>13760</v>
      </c>
      <c r="BA26">
        <v>6599</v>
      </c>
      <c r="BB26">
        <v>376739</v>
      </c>
      <c r="BC26">
        <v>62173</v>
      </c>
      <c r="BD26">
        <v>188421</v>
      </c>
      <c r="BE26">
        <v>51183</v>
      </c>
      <c r="BF26">
        <v>2969</v>
      </c>
      <c r="BG26">
        <v>9576</v>
      </c>
      <c r="BH26">
        <v>8794</v>
      </c>
      <c r="BI26">
        <v>14854</v>
      </c>
      <c r="BJ26">
        <v>416</v>
      </c>
      <c r="BK26">
        <v>8531</v>
      </c>
      <c r="BL26">
        <v>1323</v>
      </c>
      <c r="BM26">
        <v>741</v>
      </c>
    </row>
    <row r="27" spans="2:65">
      <c r="B27">
        <v>2003</v>
      </c>
      <c r="C27" s="647">
        <f t="shared" si="9"/>
        <v>13.570860993634762</v>
      </c>
      <c r="D27" s="389">
        <f t="shared" si="2"/>
        <v>24.081539725028481</v>
      </c>
      <c r="E27" s="389"/>
      <c r="F27" s="389"/>
      <c r="G27" s="389">
        <f t="shared" si="3"/>
        <v>37.864501208380808</v>
      </c>
      <c r="H27" s="389"/>
      <c r="I27" s="389"/>
      <c r="J27" s="389">
        <f t="shared" si="10"/>
        <v>47.854561651453764</v>
      </c>
      <c r="K27" s="389">
        <f t="shared" si="16"/>
        <v>123.37146357849781</v>
      </c>
      <c r="L27">
        <f t="shared" si="4"/>
        <v>109.80060258486304</v>
      </c>
      <c r="M27">
        <v>75856.237200000003</v>
      </c>
      <c r="N27">
        <f t="shared" si="1"/>
        <v>21.071177000000002</v>
      </c>
      <c r="O27" s="389">
        <v>33.00859965977245</v>
      </c>
      <c r="P27" s="389">
        <f t="shared" si="11"/>
        <v>101.45080267192255</v>
      </c>
      <c r="Q27" s="389">
        <f t="shared" si="5"/>
        <v>31.63182491901912</v>
      </c>
      <c r="R27" s="389">
        <f t="shared" si="6"/>
        <v>267.55457625555363</v>
      </c>
      <c r="S27" s="389">
        <f t="shared" si="7"/>
        <v>288.08425613667657</v>
      </c>
      <c r="T27">
        <v>2003</v>
      </c>
      <c r="U27" s="650">
        <f t="shared" si="12"/>
        <v>1.1516139999999999</v>
      </c>
      <c r="V27" s="651">
        <f t="shared" si="13"/>
        <v>1.0488230236349903E-2</v>
      </c>
      <c r="W27" s="652">
        <f t="shared" si="14"/>
        <v>1.1516141423343145</v>
      </c>
      <c r="X27">
        <f t="shared" si="15"/>
        <v>1.6856549999999999</v>
      </c>
      <c r="Y27">
        <f t="shared" si="8"/>
        <v>0.14233431460674156</v>
      </c>
      <c r="Z27">
        <v>481277</v>
      </c>
      <c r="AA27">
        <v>291139</v>
      </c>
      <c r="AB27">
        <v>534041</v>
      </c>
      <c r="AC27">
        <v>379198</v>
      </c>
      <c r="AD27">
        <v>119599</v>
      </c>
      <c r="AE27">
        <v>28935</v>
      </c>
      <c r="AF27">
        <v>166430</v>
      </c>
      <c r="AG27">
        <v>44990</v>
      </c>
      <c r="AH27">
        <v>4438</v>
      </c>
      <c r="AI27">
        <v>17644</v>
      </c>
      <c r="AJ27">
        <v>17703</v>
      </c>
      <c r="AK27">
        <v>11268</v>
      </c>
      <c r="AL27">
        <v>134</v>
      </c>
      <c r="AM27">
        <v>5875</v>
      </c>
      <c r="AN27">
        <v>2685</v>
      </c>
      <c r="AO27">
        <v>125</v>
      </c>
      <c r="AP27">
        <v>8605</v>
      </c>
      <c r="AQ27">
        <v>22767</v>
      </c>
      <c r="AR27">
        <v>11779</v>
      </c>
      <c r="AS27">
        <v>8885</v>
      </c>
      <c r="AT27">
        <v>36811</v>
      </c>
      <c r="AU27">
        <v>44381</v>
      </c>
      <c r="AV27">
        <v>94871</v>
      </c>
      <c r="AW27">
        <v>27780</v>
      </c>
      <c r="AX27">
        <v>8229</v>
      </c>
      <c r="AY27">
        <v>17631</v>
      </c>
      <c r="AZ27">
        <v>17502</v>
      </c>
      <c r="BA27">
        <v>13041</v>
      </c>
      <c r="BB27">
        <v>292134</v>
      </c>
      <c r="BC27">
        <v>91568</v>
      </c>
      <c r="BD27">
        <v>202089</v>
      </c>
      <c r="BE27">
        <v>271585</v>
      </c>
      <c r="BF27">
        <v>6701</v>
      </c>
      <c r="BG27">
        <v>55837</v>
      </c>
      <c r="BH27">
        <v>19093</v>
      </c>
      <c r="BI27">
        <v>371</v>
      </c>
      <c r="BJ27">
        <v>4626</v>
      </c>
      <c r="BK27">
        <v>6501</v>
      </c>
      <c r="BL27">
        <v>1889</v>
      </c>
      <c r="BM27">
        <v>1153</v>
      </c>
    </row>
    <row r="28" spans="2:65">
      <c r="B28">
        <v>2004</v>
      </c>
      <c r="C28" s="647">
        <f t="shared" si="9"/>
        <v>13.69402070149993</v>
      </c>
      <c r="D28" s="389">
        <f t="shared" si="2"/>
        <v>24.559809725028479</v>
      </c>
      <c r="E28" s="389"/>
      <c r="F28" s="389"/>
      <c r="G28" s="389">
        <f t="shared" si="3"/>
        <v>38.22271320838081</v>
      </c>
      <c r="H28" s="389"/>
      <c r="I28" s="389"/>
      <c r="J28" s="389">
        <f t="shared" si="10"/>
        <v>48.014553651453767</v>
      </c>
      <c r="K28" s="389">
        <f t="shared" si="16"/>
        <v>124.49109728636299</v>
      </c>
      <c r="L28">
        <f t="shared" si="4"/>
        <v>110.79707658486305</v>
      </c>
      <c r="M28">
        <v>89963.042400000006</v>
      </c>
      <c r="N28">
        <f t="shared" si="1"/>
        <v>24.989734000000002</v>
      </c>
      <c r="O28" s="389">
        <v>34.564508284060693</v>
      </c>
      <c r="P28" s="389">
        <f t="shared" si="11"/>
        <v>105.27740999479175</v>
      </c>
      <c r="Q28" s="389">
        <f t="shared" si="5"/>
        <v>33.122837252191722</v>
      </c>
      <c r="R28" s="389">
        <f t="shared" si="6"/>
        <v>277.64642643122528</v>
      </c>
      <c r="S28" s="389">
        <f t="shared" si="7"/>
        <v>298.95046217055983</v>
      </c>
      <c r="T28">
        <v>2004</v>
      </c>
      <c r="U28" s="650">
        <f t="shared" si="12"/>
        <v>0.99647399999999997</v>
      </c>
      <c r="V28" s="651">
        <f t="shared" si="13"/>
        <v>8.9936849483277514E-3</v>
      </c>
      <c r="W28" s="652">
        <f t="shared" si="14"/>
        <v>0.99647412315970785</v>
      </c>
      <c r="X28">
        <f t="shared" si="15"/>
        <v>1.7412829999999999</v>
      </c>
      <c r="Y28">
        <f t="shared" si="8"/>
        <v>0.12315970786516853</v>
      </c>
      <c r="Z28">
        <v>358212</v>
      </c>
      <c r="AA28">
        <v>478270</v>
      </c>
      <c r="AB28">
        <v>744809</v>
      </c>
      <c r="AC28">
        <v>159992</v>
      </c>
      <c r="AD28">
        <v>51924</v>
      </c>
      <c r="AE28">
        <v>121470</v>
      </c>
      <c r="AF28">
        <v>203491</v>
      </c>
      <c r="AG28">
        <v>31793</v>
      </c>
      <c r="AH28">
        <v>9674</v>
      </c>
      <c r="AI28">
        <v>4223</v>
      </c>
      <c r="AJ28">
        <v>10379</v>
      </c>
      <c r="AK28">
        <v>8785</v>
      </c>
      <c r="AL28">
        <v>2390</v>
      </c>
      <c r="AM28">
        <v>2299</v>
      </c>
      <c r="AN28">
        <v>2930</v>
      </c>
      <c r="AO28">
        <v>3175</v>
      </c>
      <c r="AP28">
        <v>10125</v>
      </c>
      <c r="AQ28">
        <v>7270</v>
      </c>
      <c r="AR28">
        <v>12262</v>
      </c>
      <c r="AS28">
        <v>6157</v>
      </c>
      <c r="AT28">
        <v>47005</v>
      </c>
      <c r="AU28">
        <v>85504</v>
      </c>
      <c r="AV28">
        <v>162947</v>
      </c>
      <c r="AW28">
        <v>17029</v>
      </c>
      <c r="AX28">
        <v>9104</v>
      </c>
      <c r="AY28">
        <v>26203</v>
      </c>
      <c r="AZ28">
        <v>12332</v>
      </c>
      <c r="BA28">
        <v>2325</v>
      </c>
      <c r="BB28">
        <v>220641</v>
      </c>
      <c r="BC28">
        <v>219375</v>
      </c>
      <c r="BD28">
        <v>327078</v>
      </c>
      <c r="BE28">
        <v>86754</v>
      </c>
      <c r="BF28">
        <v>4512</v>
      </c>
      <c r="BG28">
        <v>5235</v>
      </c>
      <c r="BH28">
        <v>10274</v>
      </c>
      <c r="BI28">
        <v>802</v>
      </c>
      <c r="BJ28">
        <v>2837</v>
      </c>
      <c r="BK28">
        <v>6691</v>
      </c>
      <c r="BL28">
        <v>3116</v>
      </c>
      <c r="BM28">
        <v>3172</v>
      </c>
    </row>
    <row r="29" spans="2:65">
      <c r="B29">
        <v>2005</v>
      </c>
      <c r="C29" s="647">
        <f t="shared" si="9"/>
        <v>13.822367589140379</v>
      </c>
      <c r="D29" s="389">
        <f t="shared" si="2"/>
        <v>24.958728725028479</v>
      </c>
      <c r="E29" s="389"/>
      <c r="F29" s="389"/>
      <c r="G29" s="389">
        <f t="shared" si="3"/>
        <v>38.717727208380808</v>
      </c>
      <c r="H29" s="389"/>
      <c r="I29" s="389"/>
      <c r="J29" s="389">
        <f t="shared" si="10"/>
        <v>48.159063651453764</v>
      </c>
      <c r="K29" s="389">
        <f t="shared" si="16"/>
        <v>125.65788717400342</v>
      </c>
      <c r="L29">
        <f t="shared" si="4"/>
        <v>111.83551958486304</v>
      </c>
      <c r="M29">
        <v>97571.808000000005</v>
      </c>
      <c r="N29">
        <f t="shared" si="1"/>
        <v>27.103280000000002</v>
      </c>
      <c r="O29" s="389">
        <v>34.927136611110605</v>
      </c>
      <c r="P29" s="389">
        <f t="shared" si="11"/>
        <v>105.39410826190303</v>
      </c>
      <c r="Q29" s="389">
        <f t="shared" si="5"/>
        <v>33.470340504984925</v>
      </c>
      <c r="R29" s="389">
        <f t="shared" si="6"/>
        <v>277.95419290112386</v>
      </c>
      <c r="S29" s="389">
        <f t="shared" si="7"/>
        <v>299.2818438115894</v>
      </c>
      <c r="T29">
        <v>2005</v>
      </c>
      <c r="U29" s="650">
        <f t="shared" si="12"/>
        <v>1.038443</v>
      </c>
      <c r="V29" s="651">
        <f t="shared" si="13"/>
        <v>9.2854488793429231E-3</v>
      </c>
      <c r="W29" s="652">
        <f t="shared" si="14"/>
        <v>1.0384431283468876</v>
      </c>
      <c r="X29">
        <f t="shared" si="15"/>
        <v>1.789005</v>
      </c>
      <c r="Y29">
        <f t="shared" si="8"/>
        <v>0.12834688764044944</v>
      </c>
      <c r="Z29">
        <v>495014</v>
      </c>
      <c r="AA29">
        <v>398919</v>
      </c>
      <c r="AB29">
        <v>750562</v>
      </c>
      <c r="AC29">
        <v>144510</v>
      </c>
      <c r="AD29">
        <v>103369</v>
      </c>
      <c r="AE29">
        <v>112024</v>
      </c>
      <c r="AF29">
        <v>252638</v>
      </c>
      <c r="AG29">
        <v>48555</v>
      </c>
      <c r="AH29">
        <v>2356</v>
      </c>
      <c r="AI29">
        <v>12542</v>
      </c>
      <c r="AJ29">
        <v>27233</v>
      </c>
      <c r="AK29">
        <v>2786</v>
      </c>
      <c r="AL29">
        <v>268</v>
      </c>
      <c r="AM29">
        <v>2068</v>
      </c>
      <c r="AN29">
        <v>2250</v>
      </c>
      <c r="AO29">
        <v>482</v>
      </c>
      <c r="AP29">
        <v>4947</v>
      </c>
      <c r="AQ29">
        <v>10149</v>
      </c>
      <c r="AR29">
        <v>10944</v>
      </c>
      <c r="AS29">
        <v>2758</v>
      </c>
      <c r="AT29">
        <v>71645</v>
      </c>
      <c r="AU29">
        <v>48989</v>
      </c>
      <c r="AV29">
        <v>187763</v>
      </c>
      <c r="AW29">
        <v>70093</v>
      </c>
      <c r="AX29">
        <v>4688</v>
      </c>
      <c r="AY29">
        <v>45807</v>
      </c>
      <c r="AZ29">
        <v>10440</v>
      </c>
      <c r="BA29">
        <v>4163</v>
      </c>
      <c r="BB29">
        <v>298382</v>
      </c>
      <c r="BC29">
        <v>146064</v>
      </c>
      <c r="BD29">
        <v>239123</v>
      </c>
      <c r="BE29">
        <v>11945</v>
      </c>
      <c r="BF29">
        <v>3758</v>
      </c>
      <c r="BG29">
        <v>14112</v>
      </c>
      <c r="BH29">
        <v>14184</v>
      </c>
      <c r="BI29">
        <v>2004</v>
      </c>
      <c r="BJ29">
        <v>5601</v>
      </c>
      <c r="BK29">
        <v>7164</v>
      </c>
      <c r="BL29">
        <v>5987</v>
      </c>
      <c r="BM29">
        <v>1724</v>
      </c>
    </row>
    <row r="30" spans="2:65">
      <c r="B30">
        <v>2006</v>
      </c>
      <c r="C30" s="647">
        <f t="shared" si="9"/>
        <v>13.960080667792065</v>
      </c>
      <c r="D30" s="389">
        <f t="shared" si="2"/>
        <v>25.632735725028478</v>
      </c>
      <c r="E30" s="389"/>
      <c r="F30" s="389"/>
      <c r="G30" s="389">
        <f t="shared" si="3"/>
        <v>39.045917208380807</v>
      </c>
      <c r="H30" s="389"/>
      <c r="I30" s="389"/>
      <c r="J30" s="389">
        <f t="shared" si="10"/>
        <v>48.271090651453761</v>
      </c>
      <c r="K30" s="389">
        <f t="shared" si="16"/>
        <v>126.90982425265511</v>
      </c>
      <c r="L30">
        <f t="shared" si="4"/>
        <v>112.94974358486304</v>
      </c>
      <c r="M30">
        <v>103798.06200000001</v>
      </c>
      <c r="N30">
        <f t="shared" si="1"/>
        <v>28.832795000000001</v>
      </c>
      <c r="O30" s="389">
        <v>36.648005318570384</v>
      </c>
      <c r="P30" s="389">
        <f t="shared" si="11"/>
        <v>109.49598709102115</v>
      </c>
      <c r="Q30" s="389">
        <f t="shared" si="5"/>
        <v>35.119432505980207</v>
      </c>
      <c r="R30" s="389">
        <f t="shared" si="6"/>
        <v>288.77201220932005</v>
      </c>
      <c r="S30" s="389">
        <f t="shared" si="7"/>
        <v>310.92972317899739</v>
      </c>
      <c r="T30">
        <v>2006</v>
      </c>
      <c r="U30" s="650">
        <f t="shared" si="12"/>
        <v>1.1142240000000001</v>
      </c>
      <c r="V30" s="651">
        <f t="shared" si="13"/>
        <v>9.8647767107398979E-3</v>
      </c>
      <c r="W30" s="652">
        <f t="shared" si="14"/>
        <v>1.1142241377130786</v>
      </c>
      <c r="X30">
        <f t="shared" si="15"/>
        <v>1.9936370000000001</v>
      </c>
      <c r="Y30">
        <f t="shared" si="8"/>
        <v>0.13771307865168539</v>
      </c>
      <c r="Z30">
        <v>328190</v>
      </c>
      <c r="AA30">
        <v>674007</v>
      </c>
      <c r="AB30">
        <v>879413</v>
      </c>
      <c r="AC30">
        <v>112027</v>
      </c>
      <c r="AD30">
        <v>69263</v>
      </c>
      <c r="AE30">
        <v>128466</v>
      </c>
      <c r="AF30">
        <v>324784</v>
      </c>
      <c r="AG30">
        <v>41984</v>
      </c>
      <c r="AH30">
        <v>11222</v>
      </c>
      <c r="AI30">
        <v>14308</v>
      </c>
      <c r="AJ30">
        <v>39017</v>
      </c>
      <c r="AK30">
        <v>6395</v>
      </c>
      <c r="AL30">
        <v>2488</v>
      </c>
      <c r="AM30">
        <v>5285</v>
      </c>
      <c r="AN30">
        <v>9116</v>
      </c>
      <c r="AO30">
        <v>1224</v>
      </c>
      <c r="AP30">
        <v>2131</v>
      </c>
      <c r="AQ30">
        <v>22209</v>
      </c>
      <c r="AR30">
        <v>19363</v>
      </c>
      <c r="AS30">
        <v>4436</v>
      </c>
      <c r="AT30">
        <v>56794</v>
      </c>
      <c r="AU30">
        <v>91596</v>
      </c>
      <c r="AV30">
        <v>161240</v>
      </c>
      <c r="AW30">
        <v>27805</v>
      </c>
      <c r="AX30">
        <v>3195</v>
      </c>
      <c r="AY30">
        <v>44695</v>
      </c>
      <c r="AZ30">
        <v>7012</v>
      </c>
      <c r="BA30">
        <v>6864</v>
      </c>
      <c r="BB30">
        <v>168377</v>
      </c>
      <c r="BC30">
        <v>319097</v>
      </c>
      <c r="BD30">
        <v>266396</v>
      </c>
      <c r="BE30">
        <v>19858</v>
      </c>
      <c r="BF30">
        <v>10427</v>
      </c>
      <c r="BG30">
        <v>31552</v>
      </c>
      <c r="BH30">
        <v>49032</v>
      </c>
      <c r="BI30">
        <v>1966</v>
      </c>
      <c r="BJ30">
        <v>4293</v>
      </c>
      <c r="BK30">
        <v>16799</v>
      </c>
      <c r="BL30">
        <v>3453</v>
      </c>
      <c r="BM30">
        <v>1495</v>
      </c>
    </row>
    <row r="31" spans="2:65">
      <c r="B31">
        <v>2007</v>
      </c>
      <c r="C31" s="647">
        <f t="shared" si="9"/>
        <v>14.157497049814536</v>
      </c>
      <c r="D31" s="389">
        <f t="shared" si="2"/>
        <v>26.42405472502848</v>
      </c>
      <c r="E31" s="389"/>
      <c r="F31" s="389"/>
      <c r="G31" s="389">
        <f t="shared" si="3"/>
        <v>39.682647208380807</v>
      </c>
      <c r="H31" s="389"/>
      <c r="I31" s="389"/>
      <c r="J31" s="389">
        <f t="shared" si="10"/>
        <v>48.440319651453763</v>
      </c>
      <c r="K31" s="389">
        <f>SUM(C31:J31)</f>
        <v>128.70451863467758</v>
      </c>
      <c r="L31">
        <f t="shared" si="4"/>
        <v>114.54702158486305</v>
      </c>
      <c r="M31">
        <v>103798.0625</v>
      </c>
      <c r="N31">
        <f t="shared" si="1"/>
        <v>28.832795138888891</v>
      </c>
      <c r="O31" s="389">
        <v>38.752440155566703</v>
      </c>
      <c r="P31" s="389">
        <f t="shared" si="11"/>
        <v>114.16904375939254</v>
      </c>
      <c r="Q31" s="389">
        <f t="shared" si="5"/>
        <v>37.136092255362954</v>
      </c>
      <c r="R31" s="389">
        <f t="shared" si="6"/>
        <v>301.09618968051842</v>
      </c>
      <c r="S31" s="389">
        <f t="shared" si="7"/>
        <v>324.19954479436547</v>
      </c>
      <c r="T31">
        <v>2007</v>
      </c>
      <c r="U31" s="650">
        <f t="shared" si="12"/>
        <v>1.597278</v>
      </c>
      <c r="V31" s="651">
        <f t="shared" si="13"/>
        <v>1.3944299711159616E-2</v>
      </c>
      <c r="W31" s="652">
        <f t="shared" si="14"/>
        <v>1.5972781974163819</v>
      </c>
      <c r="X31">
        <f t="shared" si="15"/>
        <v>3.1139749999999999</v>
      </c>
      <c r="Y31">
        <f t="shared" si="8"/>
        <v>0.19741638202247189</v>
      </c>
      <c r="Z31">
        <v>636730</v>
      </c>
      <c r="AA31">
        <v>791319</v>
      </c>
      <c r="AB31">
        <v>1516697</v>
      </c>
      <c r="AC31">
        <v>169229</v>
      </c>
      <c r="AD31">
        <v>236040</v>
      </c>
      <c r="AE31">
        <v>105443</v>
      </c>
      <c r="AF31">
        <v>460990</v>
      </c>
      <c r="AG31">
        <v>72156</v>
      </c>
      <c r="AH31">
        <v>17659</v>
      </c>
      <c r="AI31">
        <v>29816</v>
      </c>
      <c r="AJ31">
        <v>46647</v>
      </c>
      <c r="AK31">
        <v>5499</v>
      </c>
      <c r="AL31">
        <v>6485</v>
      </c>
      <c r="AM31">
        <v>41393</v>
      </c>
      <c r="AN31">
        <v>7633</v>
      </c>
      <c r="AO31">
        <v>498</v>
      </c>
      <c r="AP31">
        <v>8607</v>
      </c>
      <c r="AQ31">
        <v>10830</v>
      </c>
      <c r="AR31">
        <v>15639</v>
      </c>
      <c r="AS31">
        <v>4994</v>
      </c>
      <c r="AT31">
        <v>49872</v>
      </c>
      <c r="AU31">
        <v>130258</v>
      </c>
      <c r="AV31">
        <v>321652</v>
      </c>
      <c r="AW31">
        <v>29476</v>
      </c>
      <c r="AX31">
        <v>10782</v>
      </c>
      <c r="AY31">
        <v>43405</v>
      </c>
      <c r="AZ31">
        <v>12265</v>
      </c>
      <c r="BA31">
        <v>6302</v>
      </c>
      <c r="BB31">
        <v>284020</v>
      </c>
      <c r="BC31">
        <v>355230</v>
      </c>
      <c r="BD31">
        <v>577736</v>
      </c>
      <c r="BE31">
        <v>45125</v>
      </c>
      <c r="BF31">
        <v>21247</v>
      </c>
      <c r="BG31">
        <v>69855</v>
      </c>
      <c r="BH31">
        <v>64192</v>
      </c>
      <c r="BI31">
        <v>4006</v>
      </c>
      <c r="BJ31">
        <v>2018</v>
      </c>
      <c r="BK31">
        <v>5089</v>
      </c>
      <c r="BL31">
        <v>9943</v>
      </c>
      <c r="BM31">
        <v>1173</v>
      </c>
    </row>
    <row r="32" spans="2:65">
      <c r="B32">
        <v>2008</v>
      </c>
      <c r="C32" s="647">
        <f t="shared" si="9"/>
        <v>14.474582555432514</v>
      </c>
      <c r="D32" s="389">
        <f t="shared" si="2"/>
        <v>27.797306725028481</v>
      </c>
      <c r="E32" s="389"/>
      <c r="F32" s="389"/>
      <c r="G32" s="389">
        <f t="shared" si="3"/>
        <v>40.720465208380809</v>
      </c>
      <c r="H32" s="389"/>
      <c r="I32" s="389"/>
      <c r="J32" s="389">
        <f t="shared" si="10"/>
        <v>48.594759651453764</v>
      </c>
      <c r="K32" s="389">
        <f t="shared" si="16"/>
        <v>131.58711414029557</v>
      </c>
      <c r="L32">
        <f t="shared" si="4"/>
        <v>117.11253158486305</v>
      </c>
      <c r="M32">
        <v>103798.0625</v>
      </c>
      <c r="N32">
        <f t="shared" si="1"/>
        <v>28.832795138888891</v>
      </c>
      <c r="O32" s="389">
        <v>38.580454446907758</v>
      </c>
      <c r="P32" s="389">
        <f t="shared" si="11"/>
        <v>111.17242537549008</v>
      </c>
      <c r="Q32" s="389">
        <f t="shared" si="5"/>
        <v>36.971279997922565</v>
      </c>
      <c r="R32" s="389">
        <f t="shared" si="6"/>
        <v>293.19325603397647</v>
      </c>
      <c r="S32" s="389">
        <f t="shared" si="7"/>
        <v>315.69021263221629</v>
      </c>
      <c r="T32">
        <v>2008</v>
      </c>
      <c r="U32" s="650">
        <f t="shared" si="12"/>
        <v>2.5655100000000002</v>
      </c>
      <c r="V32" s="651">
        <f t="shared" si="13"/>
        <v>2.1906366170053794E-2</v>
      </c>
      <c r="W32" s="652">
        <f t="shared" si="14"/>
        <v>2.5655103170855056</v>
      </c>
      <c r="X32">
        <f t="shared" si="15"/>
        <v>3.850139</v>
      </c>
      <c r="Y32">
        <f t="shared" si="8"/>
        <v>0.31708550561797755</v>
      </c>
      <c r="Z32">
        <v>1037818</v>
      </c>
      <c r="AA32">
        <v>1373252</v>
      </c>
      <c r="AB32">
        <v>1284629</v>
      </c>
      <c r="AC32">
        <v>154440</v>
      </c>
      <c r="AD32">
        <v>247990</v>
      </c>
      <c r="AE32">
        <v>172528</v>
      </c>
      <c r="AF32">
        <v>424994</v>
      </c>
      <c r="AG32">
        <v>52469</v>
      </c>
      <c r="AH32">
        <v>24022</v>
      </c>
      <c r="AI32">
        <v>178306</v>
      </c>
      <c r="AJ32">
        <v>44961</v>
      </c>
      <c r="AK32">
        <v>12400</v>
      </c>
      <c r="AL32">
        <v>9610</v>
      </c>
      <c r="AM32">
        <v>24668</v>
      </c>
      <c r="AN32">
        <v>5719</v>
      </c>
      <c r="AO32">
        <v>3664</v>
      </c>
      <c r="AP32">
        <v>6530</v>
      </c>
      <c r="AQ32">
        <v>43589</v>
      </c>
      <c r="AR32">
        <v>14117</v>
      </c>
      <c r="AS32">
        <v>6595</v>
      </c>
      <c r="AT32">
        <v>120869</v>
      </c>
      <c r="AU32">
        <v>156262</v>
      </c>
      <c r="AV32">
        <v>273067</v>
      </c>
      <c r="AW32">
        <v>15255</v>
      </c>
      <c r="AX32">
        <v>28390</v>
      </c>
      <c r="AY32">
        <v>162807</v>
      </c>
      <c r="AZ32">
        <v>14229</v>
      </c>
      <c r="BA32">
        <v>5444</v>
      </c>
      <c r="BB32">
        <v>566798</v>
      </c>
      <c r="BC32">
        <v>619410</v>
      </c>
      <c r="BD32">
        <v>452171</v>
      </c>
      <c r="BE32">
        <v>52307</v>
      </c>
      <c r="BF32">
        <v>27682</v>
      </c>
      <c r="BG32">
        <v>9892</v>
      </c>
      <c r="BH32">
        <v>38296</v>
      </c>
      <c r="BI32">
        <v>1806</v>
      </c>
      <c r="BJ32">
        <v>5927</v>
      </c>
      <c r="BK32">
        <v>5790</v>
      </c>
      <c r="BL32">
        <v>17075</v>
      </c>
      <c r="BM32">
        <v>4500</v>
      </c>
    </row>
    <row r="33" spans="2:83">
      <c r="B33">
        <v>2009</v>
      </c>
      <c r="C33" s="647">
        <f t="shared" si="9"/>
        <v>14.748975825095435</v>
      </c>
      <c r="D33" s="389">
        <f t="shared" si="2"/>
        <v>28.81779372502848</v>
      </c>
      <c r="E33" s="389"/>
      <c r="F33" s="389"/>
      <c r="G33" s="389">
        <f t="shared" si="3"/>
        <v>41.694616208380808</v>
      </c>
      <c r="H33" s="389"/>
      <c r="I33" s="389"/>
      <c r="J33" s="389">
        <f t="shared" si="10"/>
        <v>48.820212651453765</v>
      </c>
      <c r="K33" s="389">
        <f t="shared" si="16"/>
        <v>134.0815984099585</v>
      </c>
      <c r="L33">
        <f t="shared" si="4"/>
        <v>119.33262258486306</v>
      </c>
      <c r="M33">
        <v>103798.0625</v>
      </c>
      <c r="N33">
        <f t="shared" si="1"/>
        <v>28.832795138888891</v>
      </c>
      <c r="O33" s="389">
        <v>39.249792268173771</v>
      </c>
      <c r="P33" s="389">
        <f t="shared" si="11"/>
        <v>110.99701199792013</v>
      </c>
      <c r="Q33" s="389">
        <f t="shared" si="5"/>
        <v>37.612700021558616</v>
      </c>
      <c r="R33" s="389">
        <f t="shared" si="6"/>
        <v>292.73064114410658</v>
      </c>
      <c r="S33" s="389">
        <f t="shared" si="7"/>
        <v>315.19210092621944</v>
      </c>
      <c r="T33">
        <v>2009</v>
      </c>
      <c r="U33" s="650">
        <f t="shared" si="12"/>
        <v>2.220091</v>
      </c>
      <c r="V33" s="651">
        <f t="shared" si="13"/>
        <v>1.8604225331771189E-2</v>
      </c>
      <c r="W33" s="652">
        <f t="shared" si="14"/>
        <v>2.2200912743932699</v>
      </c>
      <c r="X33">
        <f t="shared" si="15"/>
        <v>3.6511740000000001</v>
      </c>
      <c r="Y33">
        <f t="shared" si="8"/>
        <v>0.27439326966292132</v>
      </c>
      <c r="Z33">
        <v>974151</v>
      </c>
      <c r="AA33">
        <v>1020487</v>
      </c>
      <c r="AB33">
        <v>1431083</v>
      </c>
      <c r="AC33">
        <v>225453</v>
      </c>
      <c r="AD33">
        <v>248378</v>
      </c>
      <c r="AE33">
        <v>193537</v>
      </c>
      <c r="AF33">
        <v>362463</v>
      </c>
      <c r="AG33">
        <v>59589</v>
      </c>
      <c r="AH33">
        <v>37108</v>
      </c>
      <c r="AI33">
        <v>168497</v>
      </c>
      <c r="AJ33">
        <v>111227</v>
      </c>
      <c r="AK33">
        <v>27338</v>
      </c>
      <c r="AL33">
        <v>3482</v>
      </c>
      <c r="AM33">
        <v>3452</v>
      </c>
      <c r="AN33">
        <v>4768</v>
      </c>
      <c r="AO33">
        <v>475</v>
      </c>
      <c r="AP33">
        <v>21456</v>
      </c>
      <c r="AQ33">
        <v>25488</v>
      </c>
      <c r="AR33">
        <v>33667</v>
      </c>
      <c r="AS33">
        <v>15780</v>
      </c>
      <c r="AT33">
        <v>88497</v>
      </c>
      <c r="AU33">
        <v>179184</v>
      </c>
      <c r="AV33">
        <v>357768</v>
      </c>
      <c r="AW33">
        <v>41657</v>
      </c>
      <c r="AX33">
        <v>10590</v>
      </c>
      <c r="AY33">
        <v>36998</v>
      </c>
      <c r="AZ33">
        <v>11193</v>
      </c>
      <c r="BA33">
        <v>8035</v>
      </c>
      <c r="BB33">
        <v>498176</v>
      </c>
      <c r="BC33">
        <v>377864</v>
      </c>
      <c r="BD33">
        <v>472196</v>
      </c>
      <c r="BE33">
        <v>64626</v>
      </c>
      <c r="BF33">
        <v>45645</v>
      </c>
      <c r="BG33">
        <v>25416</v>
      </c>
      <c r="BH33">
        <v>45969</v>
      </c>
      <c r="BI33">
        <v>4701</v>
      </c>
      <c r="BJ33">
        <v>20819</v>
      </c>
      <c r="BK33">
        <v>10051</v>
      </c>
      <c r="BL33">
        <v>31832</v>
      </c>
      <c r="BM33">
        <v>3252</v>
      </c>
      <c r="BN33" s="389" t="e">
        <f t="shared" ref="BN33:BN40" si="17">BN34-BP33</f>
        <v>#REF!</v>
      </c>
      <c r="BO33" s="653" t="e">
        <f>BP33/BN33</f>
        <v>#REF!</v>
      </c>
      <c r="BP33">
        <f>(BW33+BX33+BZ33+CA33+CB33+CD33)/1000000</f>
        <v>0.43474299999999999</v>
      </c>
      <c r="BQ33">
        <v>4394</v>
      </c>
      <c r="BR33">
        <v>230066</v>
      </c>
      <c r="BS33">
        <v>569460</v>
      </c>
      <c r="BT33">
        <v>282073</v>
      </c>
      <c r="BU33">
        <v>77640</v>
      </c>
      <c r="BV33">
        <v>88929</v>
      </c>
      <c r="BW33">
        <v>217839</v>
      </c>
      <c r="BX33">
        <v>152349</v>
      </c>
      <c r="BY33">
        <v>317220</v>
      </c>
      <c r="BZ33">
        <v>35404</v>
      </c>
      <c r="CA33">
        <v>11454</v>
      </c>
      <c r="CB33">
        <v>1740</v>
      </c>
      <c r="CC33">
        <v>790469</v>
      </c>
      <c r="CD33">
        <v>15957</v>
      </c>
      <c r="CE33">
        <v>227993</v>
      </c>
    </row>
    <row r="34" spans="2:83">
      <c r="B34">
        <v>2010</v>
      </c>
      <c r="C34" s="647">
        <f t="shared" si="9"/>
        <v>14.924475263297682</v>
      </c>
      <c r="D34" s="389">
        <f t="shared" si="2"/>
        <v>29.427363725028481</v>
      </c>
      <c r="E34" s="389">
        <f>C34-C33</f>
        <v>0.17549943820224634</v>
      </c>
      <c r="F34" s="389"/>
      <c r="G34" s="389">
        <f t="shared" si="3"/>
        <v>42.283608208380805</v>
      </c>
      <c r="H34" s="389"/>
      <c r="I34" s="389"/>
      <c r="J34" s="389">
        <f t="shared" si="10"/>
        <v>49.041600651453763</v>
      </c>
      <c r="K34" s="389">
        <f t="shared" si="16"/>
        <v>135.85254728636298</v>
      </c>
      <c r="L34">
        <f t="shared" si="4"/>
        <v>120.9280720230653</v>
      </c>
      <c r="M34">
        <v>103798.0625</v>
      </c>
      <c r="N34">
        <f t="shared" si="1"/>
        <v>28.832795138888891</v>
      </c>
      <c r="O34" s="389">
        <v>39.850135012173851</v>
      </c>
      <c r="P34" s="389">
        <f t="shared" si="11"/>
        <v>111.22569164703243</v>
      </c>
      <c r="Q34" s="389">
        <f t="shared" si="5"/>
        <v>38.190149928544542</v>
      </c>
      <c r="R34" s="389">
        <f t="shared" si="6"/>
        <v>293.3337343183851</v>
      </c>
      <c r="S34" s="389">
        <f t="shared" si="7"/>
        <v>315.80880509911975</v>
      </c>
      <c r="T34">
        <v>2010</v>
      </c>
      <c r="U34" s="650">
        <f t="shared" si="12"/>
        <v>1.41995</v>
      </c>
      <c r="V34" s="651">
        <f t="shared" si="13"/>
        <v>1.1742104014766438E-2</v>
      </c>
      <c r="W34" s="652">
        <f t="shared" si="14"/>
        <v>1.4199501754994384</v>
      </c>
      <c r="X34">
        <f t="shared" si="15"/>
        <v>2.438186</v>
      </c>
      <c r="Y34">
        <f t="shared" si="8"/>
        <v>0.1754994382022472</v>
      </c>
      <c r="Z34">
        <v>588992</v>
      </c>
      <c r="AA34">
        <v>609570</v>
      </c>
      <c r="AB34">
        <v>1018236</v>
      </c>
      <c r="AC34">
        <v>221388</v>
      </c>
      <c r="AD34">
        <v>66465</v>
      </c>
      <c r="AE34">
        <v>134086</v>
      </c>
      <c r="AF34">
        <v>201072</v>
      </c>
      <c r="AG34">
        <v>106963</v>
      </c>
      <c r="AH34">
        <v>13095</v>
      </c>
      <c r="AI34">
        <v>39388</v>
      </c>
      <c r="AJ34">
        <v>150874</v>
      </c>
      <c r="AK34">
        <v>7106</v>
      </c>
      <c r="AL34">
        <v>206</v>
      </c>
      <c r="AM34">
        <v>4750</v>
      </c>
      <c r="AN34">
        <v>17165</v>
      </c>
      <c r="AO34">
        <v>4653</v>
      </c>
      <c r="AP34">
        <v>6474</v>
      </c>
      <c r="AQ34">
        <v>46668</v>
      </c>
      <c r="AR34">
        <v>14357</v>
      </c>
      <c r="AS34">
        <v>1774</v>
      </c>
      <c r="AT34">
        <v>150312</v>
      </c>
      <c r="AU34">
        <v>78662</v>
      </c>
      <c r="AV34">
        <v>132676</v>
      </c>
      <c r="AW34">
        <v>15512</v>
      </c>
      <c r="AX34">
        <v>8119</v>
      </c>
      <c r="AY34">
        <v>58468</v>
      </c>
      <c r="AZ34">
        <v>3786</v>
      </c>
      <c r="BA34">
        <v>9778</v>
      </c>
      <c r="BB34">
        <v>318916</v>
      </c>
      <c r="BC34">
        <v>161601</v>
      </c>
      <c r="BD34">
        <v>446566</v>
      </c>
      <c r="BE34">
        <v>67994</v>
      </c>
      <c r="BF34">
        <v>16219</v>
      </c>
      <c r="BG34">
        <v>57545</v>
      </c>
      <c r="BH34">
        <v>37208</v>
      </c>
      <c r="BI34">
        <v>5340</v>
      </c>
      <c r="BJ34">
        <v>9186</v>
      </c>
      <c r="BK34">
        <v>28402</v>
      </c>
      <c r="BL34">
        <v>14532</v>
      </c>
      <c r="BM34">
        <v>2268</v>
      </c>
      <c r="BN34" s="389" t="e">
        <f t="shared" si="17"/>
        <v>#REF!</v>
      </c>
      <c r="BO34" s="653" t="e">
        <f t="shared" ref="BO34:BO41" si="18">BP34/BN34</f>
        <v>#REF!</v>
      </c>
      <c r="BP34">
        <f t="shared" ref="BP34:BP41" si="19">(BW34+BX34+BZ34+CA34+CB34+CD34)/1000000</f>
        <v>0.25000299999999998</v>
      </c>
      <c r="BQ34">
        <v>1835</v>
      </c>
      <c r="BR34">
        <v>224754</v>
      </c>
      <c r="BS34">
        <v>384830</v>
      </c>
      <c r="BT34">
        <v>191219</v>
      </c>
      <c r="BU34">
        <v>47577</v>
      </c>
      <c r="BV34">
        <v>48300</v>
      </c>
      <c r="BW34">
        <v>49645</v>
      </c>
      <c r="BX34">
        <v>113390</v>
      </c>
      <c r="BY34">
        <v>151647</v>
      </c>
      <c r="BZ34">
        <v>23696</v>
      </c>
      <c r="CA34">
        <v>18950</v>
      </c>
      <c r="CB34">
        <v>25595</v>
      </c>
      <c r="CC34">
        <v>529725</v>
      </c>
      <c r="CD34">
        <v>18727</v>
      </c>
      <c r="CE34">
        <v>208215</v>
      </c>
    </row>
    <row r="35" spans="2:83">
      <c r="B35">
        <v>2011</v>
      </c>
      <c r="C35" s="647">
        <f t="shared" si="9"/>
        <v>15.07422876891566</v>
      </c>
      <c r="D35" s="389">
        <f t="shared" si="2"/>
        <v>30.010506725028481</v>
      </c>
      <c r="E35" s="389"/>
      <c r="F35" s="389"/>
      <c r="G35" s="389">
        <f t="shared" si="3"/>
        <v>42.665530208380808</v>
      </c>
      <c r="H35" s="389"/>
      <c r="I35" s="389"/>
      <c r="J35" s="389">
        <f t="shared" si="10"/>
        <v>49.288177651453765</v>
      </c>
      <c r="K35" s="389">
        <f t="shared" si="16"/>
        <v>137.03844335377872</v>
      </c>
      <c r="L35">
        <f t="shared" si="4"/>
        <v>121.96421458486306</v>
      </c>
      <c r="M35">
        <v>105724.796875</v>
      </c>
      <c r="N35">
        <f t="shared" si="1"/>
        <v>29.367999131944444</v>
      </c>
      <c r="O35" s="389">
        <v>40.438346211940534</v>
      </c>
      <c r="P35" s="389">
        <f t="shared" si="11"/>
        <v>111.89072125178488</v>
      </c>
      <c r="Q35" s="389">
        <f t="shared" si="5"/>
        <v>38.751679882672157</v>
      </c>
      <c r="R35" s="389">
        <f t="shared" si="6"/>
        <v>295.08760623867283</v>
      </c>
      <c r="S35" s="389">
        <f t="shared" si="7"/>
        <v>317.72991786626579</v>
      </c>
      <c r="T35">
        <v>2011</v>
      </c>
      <c r="U35" s="650">
        <f t="shared" si="12"/>
        <v>1.2116420000000001</v>
      </c>
      <c r="V35" s="651">
        <f t="shared" si="13"/>
        <v>9.9344057937333415E-3</v>
      </c>
      <c r="W35" s="652">
        <f t="shared" si="14"/>
        <v>1.2116421497535057</v>
      </c>
      <c r="X35">
        <f t="shared" si="15"/>
        <v>1.996996</v>
      </c>
      <c r="Y35">
        <f t="shared" si="8"/>
        <v>0.14975350561797754</v>
      </c>
      <c r="Z35">
        <v>381922</v>
      </c>
      <c r="AA35">
        <v>583143</v>
      </c>
      <c r="AB35">
        <v>785354</v>
      </c>
      <c r="AC35">
        <v>246577</v>
      </c>
      <c r="AD35">
        <v>72778</v>
      </c>
      <c r="AE35">
        <v>136953</v>
      </c>
      <c r="AF35">
        <v>173393</v>
      </c>
      <c r="AG35">
        <v>83834</v>
      </c>
      <c r="AH35">
        <v>8766</v>
      </c>
      <c r="AI35">
        <v>36899</v>
      </c>
      <c r="AJ35">
        <v>27599</v>
      </c>
      <c r="AK35">
        <v>3353</v>
      </c>
      <c r="AL35">
        <v>5412</v>
      </c>
      <c r="AM35">
        <v>2187</v>
      </c>
      <c r="AN35">
        <v>3633</v>
      </c>
      <c r="AO35">
        <v>1148</v>
      </c>
      <c r="AP35">
        <v>365</v>
      </c>
      <c r="AQ35">
        <v>9963</v>
      </c>
      <c r="AR35">
        <v>13365</v>
      </c>
      <c r="AS35">
        <v>1050</v>
      </c>
      <c r="AT35">
        <v>64710</v>
      </c>
      <c r="AU35">
        <v>128714</v>
      </c>
      <c r="AV35">
        <v>208758</v>
      </c>
      <c r="AW35">
        <v>103968</v>
      </c>
      <c r="AX35">
        <v>11105</v>
      </c>
      <c r="AY35">
        <v>10893</v>
      </c>
      <c r="AZ35">
        <v>4699</v>
      </c>
      <c r="BA35">
        <v>4809</v>
      </c>
      <c r="BB35">
        <v>201078</v>
      </c>
      <c r="BC35">
        <v>216266</v>
      </c>
      <c r="BD35">
        <v>303525</v>
      </c>
      <c r="BE35">
        <v>41819</v>
      </c>
      <c r="BF35">
        <v>10334</v>
      </c>
      <c r="BG35">
        <v>30179</v>
      </c>
      <c r="BH35">
        <v>38383</v>
      </c>
      <c r="BI35">
        <v>6548</v>
      </c>
      <c r="BJ35">
        <v>7374</v>
      </c>
      <c r="BK35">
        <v>11089</v>
      </c>
      <c r="BL35">
        <v>11999</v>
      </c>
      <c r="BM35">
        <v>48</v>
      </c>
      <c r="BN35" s="389" t="e">
        <f t="shared" si="17"/>
        <v>#REF!</v>
      </c>
      <c r="BO35" s="653" t="e">
        <f t="shared" si="18"/>
        <v>#REF!</v>
      </c>
      <c r="BP35">
        <f t="shared" si="19"/>
        <v>0.261131</v>
      </c>
      <c r="BQ35">
        <v>631</v>
      </c>
      <c r="BR35">
        <v>152161</v>
      </c>
      <c r="BS35">
        <v>471797</v>
      </c>
      <c r="BT35">
        <v>141925</v>
      </c>
      <c r="BU35">
        <v>62164</v>
      </c>
      <c r="BV35">
        <v>36049</v>
      </c>
      <c r="BW35">
        <v>69342</v>
      </c>
      <c r="BX35">
        <v>104146</v>
      </c>
      <c r="BY35">
        <v>131181</v>
      </c>
      <c r="BZ35">
        <v>11955</v>
      </c>
      <c r="CA35">
        <v>15891</v>
      </c>
      <c r="CB35">
        <v>45278</v>
      </c>
      <c r="CC35">
        <v>539235</v>
      </c>
      <c r="CD35">
        <v>14519</v>
      </c>
      <c r="CE35">
        <v>202812</v>
      </c>
    </row>
    <row r="36" spans="2:83" ht="15">
      <c r="B36">
        <v>2012</v>
      </c>
      <c r="C36" s="647">
        <f t="shared" si="9"/>
        <v>15.221602195881951</v>
      </c>
      <c r="D36" s="389">
        <f t="shared" si="2"/>
        <v>30.539665725028481</v>
      </c>
      <c r="E36" s="389"/>
      <c r="F36" s="389"/>
      <c r="G36" s="389">
        <f t="shared" si="3"/>
        <v>43.12811620838081</v>
      </c>
      <c r="H36" s="389"/>
      <c r="I36" s="389"/>
      <c r="J36" s="389">
        <f t="shared" si="10"/>
        <v>49.488817651453765</v>
      </c>
      <c r="K36" s="389">
        <f t="shared" si="16"/>
        <v>138.378201780745</v>
      </c>
      <c r="L36">
        <f t="shared" si="4"/>
        <v>123.15659958486305</v>
      </c>
      <c r="M36" s="648">
        <v>101458.796875</v>
      </c>
      <c r="N36">
        <f t="shared" si="1"/>
        <v>28.182999131944445</v>
      </c>
      <c r="O36" s="389">
        <v>40.580897428294612</v>
      </c>
      <c r="P36" s="389">
        <f t="shared" si="11"/>
        <v>111.19802360301331</v>
      </c>
      <c r="Q36" s="389">
        <f t="shared" si="5"/>
        <v>38.888285348041251</v>
      </c>
      <c r="R36" s="389">
        <f t="shared" si="6"/>
        <v>293.26076582924168</v>
      </c>
      <c r="S36" s="389">
        <f t="shared" si="7"/>
        <v>315.76290250888786</v>
      </c>
      <c r="T36">
        <v>2012</v>
      </c>
      <c r="U36" s="650">
        <f t="shared" si="12"/>
        <v>1.192385</v>
      </c>
      <c r="V36" s="651">
        <f t="shared" si="13"/>
        <v>9.6818603633041025E-3</v>
      </c>
      <c r="W36" s="652">
        <f t="shared" si="14"/>
        <v>1.192385147373427</v>
      </c>
      <c r="X36">
        <f t="shared" si="15"/>
        <v>2.3222459999999998</v>
      </c>
      <c r="Y36">
        <f t="shared" si="8"/>
        <v>0.14737342696629213</v>
      </c>
      <c r="Z36">
        <v>462586</v>
      </c>
      <c r="AA36">
        <v>529159</v>
      </c>
      <c r="AB36">
        <v>1129861</v>
      </c>
      <c r="AC36">
        <v>200640</v>
      </c>
      <c r="AD36">
        <v>63040</v>
      </c>
      <c r="AE36">
        <v>138144</v>
      </c>
      <c r="AF36">
        <v>286006</v>
      </c>
      <c r="AG36">
        <v>42633</v>
      </c>
      <c r="AH36">
        <v>23823</v>
      </c>
      <c r="AI36">
        <v>6414</v>
      </c>
      <c r="AJ36">
        <v>35207</v>
      </c>
      <c r="AK36">
        <v>2869</v>
      </c>
      <c r="AL36">
        <v>190</v>
      </c>
      <c r="AM36">
        <v>721</v>
      </c>
      <c r="AN36">
        <v>8789</v>
      </c>
      <c r="AO36">
        <v>497</v>
      </c>
      <c r="AP36">
        <v>2909</v>
      </c>
      <c r="AQ36">
        <v>51188</v>
      </c>
      <c r="AR36">
        <v>9208</v>
      </c>
      <c r="AS36">
        <v>5372</v>
      </c>
      <c r="AT36">
        <v>84039</v>
      </c>
      <c r="AU36">
        <v>63339</v>
      </c>
      <c r="AV36">
        <v>223627</v>
      </c>
      <c r="AW36">
        <v>55059</v>
      </c>
      <c r="AX36">
        <v>17897</v>
      </c>
      <c r="AY36">
        <v>12731</v>
      </c>
      <c r="AZ36">
        <v>18862</v>
      </c>
      <c r="BA36">
        <v>3500</v>
      </c>
      <c r="BB36">
        <v>261703</v>
      </c>
      <c r="BC36">
        <v>220388</v>
      </c>
      <c r="BD36">
        <v>475277</v>
      </c>
      <c r="BE36">
        <v>72661</v>
      </c>
      <c r="BF36">
        <v>7521</v>
      </c>
      <c r="BG36">
        <v>35805</v>
      </c>
      <c r="BH36">
        <v>49269</v>
      </c>
      <c r="BI36">
        <v>17156</v>
      </c>
      <c r="BJ36">
        <v>1464</v>
      </c>
      <c r="BK36">
        <v>429</v>
      </c>
      <c r="BL36">
        <v>23616</v>
      </c>
      <c r="BM36">
        <v>893</v>
      </c>
      <c r="BN36" s="389" t="e">
        <f t="shared" si="17"/>
        <v>#REF!</v>
      </c>
      <c r="BO36" s="653" t="e">
        <f t="shared" si="18"/>
        <v>#REF!</v>
      </c>
      <c r="BP36">
        <f t="shared" si="19"/>
        <v>0.226801</v>
      </c>
      <c r="BQ36">
        <v>1720</v>
      </c>
      <c r="BR36">
        <v>216423</v>
      </c>
      <c r="BS36">
        <v>448976</v>
      </c>
      <c r="BT36">
        <v>179828</v>
      </c>
      <c r="BU36">
        <v>66570</v>
      </c>
      <c r="BV36">
        <v>1549</v>
      </c>
      <c r="BW36">
        <v>56662</v>
      </c>
      <c r="BX36">
        <v>124813</v>
      </c>
      <c r="BY36">
        <v>262232</v>
      </c>
      <c r="BZ36">
        <v>20419</v>
      </c>
      <c r="CA36">
        <v>7266</v>
      </c>
      <c r="CB36">
        <v>2162</v>
      </c>
      <c r="CC36">
        <v>477123</v>
      </c>
      <c r="CD36">
        <v>15479</v>
      </c>
      <c r="CE36">
        <v>141207</v>
      </c>
    </row>
    <row r="37" spans="2:83">
      <c r="B37">
        <v>2013</v>
      </c>
      <c r="C37" s="647">
        <f t="shared" si="9"/>
        <v>15.418239679028019</v>
      </c>
      <c r="D37" s="389">
        <f t="shared" si="2"/>
        <v>31.105518725028482</v>
      </c>
      <c r="E37" s="389"/>
      <c r="F37" s="389"/>
      <c r="G37" s="389">
        <f t="shared" si="3"/>
        <v>43.923676208380812</v>
      </c>
      <c r="H37" s="389"/>
      <c r="I37" s="389"/>
      <c r="J37" s="389">
        <f t="shared" si="10"/>
        <v>49.718380651453764</v>
      </c>
      <c r="K37" s="389">
        <f t="shared" si="16"/>
        <v>140.16581526389109</v>
      </c>
      <c r="L37">
        <f t="shared" si="4"/>
        <v>124.74757558486307</v>
      </c>
      <c r="M37">
        <v>101109.6015625</v>
      </c>
      <c r="N37">
        <f t="shared" si="1"/>
        <v>28.086000434027778</v>
      </c>
      <c r="O37" s="389">
        <v>40.459948459850779</v>
      </c>
      <c r="P37" s="389">
        <f t="shared" si="11"/>
        <v>109.45266029260024</v>
      </c>
      <c r="Q37" s="389">
        <f t="shared" si="5"/>
        <v>38.772381109952235</v>
      </c>
      <c r="R37" s="389">
        <f t="shared" si="6"/>
        <v>288.65774713810617</v>
      </c>
      <c r="S37" s="389">
        <f t="shared" si="7"/>
        <v>310.80669045609005</v>
      </c>
      <c r="T37">
        <v>2013</v>
      </c>
      <c r="U37" s="650">
        <f t="shared" si="12"/>
        <v>1.5909759999999999</v>
      </c>
      <c r="V37" s="651">
        <f t="shared" si="13"/>
        <v>1.2753562484408312E-2</v>
      </c>
      <c r="W37" s="652">
        <f t="shared" si="14"/>
        <v>1.5909761966374834</v>
      </c>
      <c r="X37">
        <f t="shared" si="15"/>
        <v>2.546459</v>
      </c>
      <c r="Y37">
        <f t="shared" si="8"/>
        <v>0.19663748314606741</v>
      </c>
      <c r="Z37">
        <v>795560</v>
      </c>
      <c r="AA37">
        <v>565853</v>
      </c>
      <c r="AB37">
        <v>955483</v>
      </c>
      <c r="AC37">
        <v>229563</v>
      </c>
      <c r="AD37">
        <v>173534</v>
      </c>
      <c r="AE37">
        <v>183026</v>
      </c>
      <c r="AF37">
        <v>269280</v>
      </c>
      <c r="AG37">
        <v>99610</v>
      </c>
      <c r="AH37">
        <v>23823</v>
      </c>
      <c r="AI37">
        <v>60743</v>
      </c>
      <c r="AJ37">
        <v>119229</v>
      </c>
      <c r="AK37">
        <v>15001</v>
      </c>
      <c r="AL37">
        <v>2428</v>
      </c>
      <c r="AM37">
        <v>6401</v>
      </c>
      <c r="AN37">
        <v>7249</v>
      </c>
      <c r="AO37">
        <v>679</v>
      </c>
      <c r="AP37">
        <v>0</v>
      </c>
      <c r="AQ37">
        <v>27291</v>
      </c>
      <c r="AR37">
        <v>21121</v>
      </c>
      <c r="AS37">
        <v>16601</v>
      </c>
      <c r="AT37">
        <v>127157</v>
      </c>
      <c r="AU37">
        <v>77785</v>
      </c>
      <c r="AV37">
        <v>66557</v>
      </c>
      <c r="AW37">
        <v>49814</v>
      </c>
      <c r="AX37">
        <v>5056</v>
      </c>
      <c r="AY37">
        <v>59374</v>
      </c>
      <c r="AZ37">
        <v>27453</v>
      </c>
      <c r="BA37">
        <v>4846</v>
      </c>
      <c r="BB37">
        <v>451730</v>
      </c>
      <c r="BC37">
        <v>121347</v>
      </c>
      <c r="BD37">
        <v>377165</v>
      </c>
      <c r="BE37">
        <v>28519</v>
      </c>
      <c r="BF37">
        <v>6103</v>
      </c>
      <c r="BG37">
        <v>4734</v>
      </c>
      <c r="BH37">
        <v>59931</v>
      </c>
      <c r="BI37">
        <v>13531</v>
      </c>
      <c r="BJ37">
        <v>5729</v>
      </c>
      <c r="BK37">
        <v>25152</v>
      </c>
      <c r="BL37">
        <v>7498</v>
      </c>
      <c r="BM37">
        <v>962</v>
      </c>
      <c r="BN37" s="389" t="e">
        <f t="shared" si="17"/>
        <v>#REF!</v>
      </c>
      <c r="BO37" s="653" t="e">
        <f t="shared" si="18"/>
        <v>#REF!</v>
      </c>
      <c r="BP37">
        <f t="shared" si="19"/>
        <v>0.44920900000000002</v>
      </c>
      <c r="BQ37">
        <v>2357</v>
      </c>
      <c r="BR37">
        <v>276034</v>
      </c>
      <c r="BS37">
        <v>543460</v>
      </c>
      <c r="BT37">
        <v>240072</v>
      </c>
      <c r="BU37">
        <v>102284</v>
      </c>
      <c r="BV37">
        <v>30203</v>
      </c>
      <c r="BW37">
        <v>167193</v>
      </c>
      <c r="BX37">
        <v>169383</v>
      </c>
      <c r="BY37">
        <v>244808</v>
      </c>
      <c r="BZ37">
        <v>30481</v>
      </c>
      <c r="CA37">
        <v>18897</v>
      </c>
      <c r="CB37">
        <v>18782</v>
      </c>
      <c r="CC37">
        <v>721546</v>
      </c>
      <c r="CD37">
        <v>44473</v>
      </c>
      <c r="CE37">
        <v>293669</v>
      </c>
    </row>
    <row r="38" spans="2:83">
      <c r="B38">
        <v>2014</v>
      </c>
      <c r="C38" s="647">
        <f t="shared" si="9"/>
        <v>15.590700521724649</v>
      </c>
      <c r="D38" s="389">
        <f t="shared" si="2"/>
        <v>31.678382725028481</v>
      </c>
      <c r="E38" s="389"/>
      <c r="F38" s="389"/>
      <c r="G38" s="389">
        <f t="shared" si="3"/>
        <v>44.53294220838081</v>
      </c>
      <c r="H38" s="389"/>
      <c r="I38" s="389"/>
      <c r="J38" s="389">
        <f t="shared" si="10"/>
        <v>49.931615651453761</v>
      </c>
      <c r="K38" s="389">
        <f t="shared" si="16"/>
        <v>141.7336411065877</v>
      </c>
      <c r="L38">
        <f t="shared" si="4"/>
        <v>126.14294058486306</v>
      </c>
      <c r="O38" s="389">
        <v>40.568617004213557</v>
      </c>
      <c r="P38" s="389">
        <f t="shared" si="11"/>
        <v>108.53263883796733</v>
      </c>
      <c r="Q38" s="389">
        <f t="shared" si="5"/>
        <v>38.876517135258304</v>
      </c>
      <c r="R38" s="389">
        <f t="shared" si="6"/>
        <v>286.23138929807646</v>
      </c>
      <c r="S38" s="389">
        <f t="shared" si="7"/>
        <v>308.19415620887639</v>
      </c>
      <c r="T38">
        <v>2014</v>
      </c>
      <c r="U38" s="650">
        <f t="shared" si="12"/>
        <v>1.395365</v>
      </c>
      <c r="V38" s="651">
        <f t="shared" si="13"/>
        <v>1.1061776374725179E-2</v>
      </c>
      <c r="W38" s="652">
        <f t="shared" si="14"/>
        <v>1.3953651724608427</v>
      </c>
      <c r="X38">
        <f t="shared" si="15"/>
        <v>2.5201760000000002</v>
      </c>
      <c r="Y38">
        <f t="shared" si="8"/>
        <v>0.1724608426966292</v>
      </c>
      <c r="Z38">
        <v>609266</v>
      </c>
      <c r="AA38">
        <v>572864</v>
      </c>
      <c r="AB38">
        <v>1124811</v>
      </c>
      <c r="AC38">
        <v>213235</v>
      </c>
      <c r="AD38">
        <v>131674</v>
      </c>
      <c r="AE38">
        <v>25102</v>
      </c>
      <c r="AF38">
        <v>207652</v>
      </c>
      <c r="AG38">
        <v>60664</v>
      </c>
      <c r="AH38">
        <v>12058</v>
      </c>
      <c r="AI38">
        <v>41473</v>
      </c>
      <c r="AJ38">
        <v>97390</v>
      </c>
      <c r="AK38">
        <v>8638</v>
      </c>
      <c r="AL38">
        <v>18129</v>
      </c>
      <c r="AM38">
        <v>2911</v>
      </c>
      <c r="AN38">
        <v>10275</v>
      </c>
      <c r="AO38">
        <v>242</v>
      </c>
      <c r="AP38">
        <v>895</v>
      </c>
      <c r="AQ38">
        <v>1884</v>
      </c>
      <c r="AR38">
        <v>0</v>
      </c>
      <c r="AS38">
        <v>1442</v>
      </c>
      <c r="AT38">
        <v>56894</v>
      </c>
      <c r="AU38">
        <v>21136</v>
      </c>
      <c r="AV38">
        <v>163378</v>
      </c>
      <c r="AW38">
        <v>53443</v>
      </c>
      <c r="AX38">
        <v>8510</v>
      </c>
      <c r="AY38">
        <v>158207</v>
      </c>
      <c r="AZ38">
        <v>20194</v>
      </c>
      <c r="BA38">
        <v>4759</v>
      </c>
      <c r="BB38">
        <v>367908</v>
      </c>
      <c r="BC38">
        <v>288024</v>
      </c>
      <c r="BD38">
        <v>563886</v>
      </c>
      <c r="BE38">
        <v>70414</v>
      </c>
      <c r="BF38">
        <v>8113</v>
      </c>
      <c r="BG38">
        <v>22310</v>
      </c>
      <c r="BH38">
        <v>52984</v>
      </c>
      <c r="BI38">
        <v>13555</v>
      </c>
      <c r="BJ38">
        <v>5085</v>
      </c>
      <c r="BK38">
        <v>11817</v>
      </c>
      <c r="BL38">
        <v>9052</v>
      </c>
      <c r="BM38">
        <v>78</v>
      </c>
      <c r="BN38" s="389" t="e">
        <f t="shared" si="17"/>
        <v>#REF!</v>
      </c>
      <c r="BO38" s="653" t="e">
        <f t="shared" si="18"/>
        <v>#REF!</v>
      </c>
      <c r="BP38">
        <f t="shared" si="19"/>
        <v>0.20161100000000001</v>
      </c>
      <c r="BQ38">
        <v>28</v>
      </c>
      <c r="BR38">
        <v>199070</v>
      </c>
      <c r="BS38">
        <v>352300</v>
      </c>
      <c r="BT38">
        <v>141730</v>
      </c>
      <c r="BU38">
        <v>30925</v>
      </c>
      <c r="BV38">
        <v>26727</v>
      </c>
      <c r="BW38">
        <v>127656</v>
      </c>
      <c r="BX38">
        <v>20994</v>
      </c>
      <c r="BY38">
        <v>193190</v>
      </c>
      <c r="BZ38">
        <v>26460</v>
      </c>
      <c r="CA38">
        <v>2629</v>
      </c>
      <c r="CB38">
        <v>12563</v>
      </c>
      <c r="CC38">
        <v>294310</v>
      </c>
      <c r="CD38">
        <v>11309</v>
      </c>
      <c r="CE38">
        <v>134375</v>
      </c>
    </row>
    <row r="39" spans="2:83">
      <c r="B39">
        <v>2015</v>
      </c>
      <c r="C39" s="647">
        <f t="shared" si="9"/>
        <v>15.755579398129143</v>
      </c>
      <c r="D39" s="389">
        <f t="shared" si="2"/>
        <v>32.224222725028483</v>
      </c>
      <c r="E39" s="389"/>
      <c r="F39" s="389"/>
      <c r="G39" s="389">
        <f t="shared" si="3"/>
        <v>45.137546208380812</v>
      </c>
      <c r="H39" s="389"/>
      <c r="I39" s="389"/>
      <c r="J39" s="389">
        <f t="shared" si="10"/>
        <v>50.115191651453763</v>
      </c>
      <c r="K39" s="389">
        <f t="shared" si="16"/>
        <v>143.23253998299219</v>
      </c>
      <c r="L39">
        <f t="shared" si="4"/>
        <v>127.47696058486305</v>
      </c>
      <c r="M39">
        <v>103798.0625</v>
      </c>
      <c r="N39">
        <f t="shared" si="1"/>
        <v>28.832795138888891</v>
      </c>
      <c r="O39" s="389">
        <v>40.30421996124393</v>
      </c>
      <c r="P39" s="389">
        <f t="shared" si="11"/>
        <v>106.69693177007383</v>
      </c>
      <c r="Q39" s="389">
        <f t="shared" si="5"/>
        <v>38.623147981203765</v>
      </c>
      <c r="R39" s="389">
        <f t="shared" si="6"/>
        <v>281.39010846299146</v>
      </c>
      <c r="S39" s="389">
        <f t="shared" si="7"/>
        <v>302.98139996436328</v>
      </c>
      <c r="T39">
        <v>2015</v>
      </c>
      <c r="U39" s="650">
        <f t="shared" si="12"/>
        <v>1.33402</v>
      </c>
      <c r="V39" s="651">
        <f t="shared" si="13"/>
        <v>1.0464792962426538E-2</v>
      </c>
      <c r="W39" s="652">
        <f t="shared" si="14"/>
        <v>1.3340201648788763</v>
      </c>
      <c r="X39">
        <f t="shared" si="15"/>
        <v>2.3280400000000001</v>
      </c>
      <c r="Y39">
        <f t="shared" si="8"/>
        <v>0.16487887640449436</v>
      </c>
      <c r="Z39">
        <v>604604</v>
      </c>
      <c r="AA39">
        <v>545840</v>
      </c>
      <c r="AB39">
        <v>994020</v>
      </c>
      <c r="AC39">
        <v>183576</v>
      </c>
      <c r="AD39">
        <v>202912</v>
      </c>
      <c r="AE39">
        <v>118193</v>
      </c>
      <c r="AF39">
        <v>240136</v>
      </c>
      <c r="AG39">
        <v>78424</v>
      </c>
      <c r="AH39">
        <v>3484</v>
      </c>
      <c r="AI39">
        <v>61100</v>
      </c>
      <c r="AJ39">
        <v>109628</v>
      </c>
      <c r="AK39">
        <v>4355</v>
      </c>
      <c r="AL39">
        <v>2557</v>
      </c>
      <c r="AM39">
        <v>1149</v>
      </c>
      <c r="AN39">
        <v>3198</v>
      </c>
      <c r="AO39">
        <v>1505</v>
      </c>
      <c r="AP39">
        <v>4627</v>
      </c>
      <c r="AQ39">
        <v>21331</v>
      </c>
      <c r="AR39">
        <v>5621</v>
      </c>
      <c r="AS39">
        <v>6362</v>
      </c>
      <c r="AT39">
        <v>100681</v>
      </c>
      <c r="AU39">
        <v>96539</v>
      </c>
      <c r="AV39">
        <v>209407</v>
      </c>
      <c r="AW39">
        <v>15030</v>
      </c>
      <c r="AX39">
        <v>12826</v>
      </c>
      <c r="AY39">
        <v>56338</v>
      </c>
      <c r="AZ39">
        <v>25245</v>
      </c>
      <c r="BA39">
        <v>6484</v>
      </c>
      <c r="BB39">
        <v>259500</v>
      </c>
      <c r="BC39">
        <v>150466</v>
      </c>
      <c r="BD39">
        <v>358320</v>
      </c>
      <c r="BE39">
        <v>52233</v>
      </c>
      <c r="BF39">
        <v>12625</v>
      </c>
      <c r="BG39">
        <v>36736</v>
      </c>
      <c r="BH39">
        <v>32430</v>
      </c>
      <c r="BI39">
        <v>2558</v>
      </c>
      <c r="BJ39">
        <v>5392</v>
      </c>
      <c r="BK39">
        <v>3988</v>
      </c>
      <c r="BL39">
        <v>10035</v>
      </c>
      <c r="BM39">
        <v>16625</v>
      </c>
      <c r="BN39" s="389" t="e">
        <f t="shared" si="17"/>
        <v>#REF!</v>
      </c>
      <c r="BO39" s="653" t="e">
        <f t="shared" si="18"/>
        <v>#REF!</v>
      </c>
      <c r="BP39">
        <f t="shared" si="19"/>
        <v>0.36855300000000002</v>
      </c>
      <c r="BQ39">
        <v>60</v>
      </c>
      <c r="BR39">
        <v>229587</v>
      </c>
      <c r="BS39">
        <v>526241</v>
      </c>
      <c r="BT39">
        <v>202213</v>
      </c>
      <c r="BU39">
        <v>58179</v>
      </c>
      <c r="BV39">
        <v>9610</v>
      </c>
      <c r="BW39">
        <v>202595</v>
      </c>
      <c r="BX39">
        <v>99686</v>
      </c>
      <c r="BY39">
        <v>206942</v>
      </c>
      <c r="BZ39">
        <v>31489</v>
      </c>
      <c r="CA39">
        <v>11047</v>
      </c>
      <c r="CB39">
        <v>18959</v>
      </c>
      <c r="CC39">
        <v>384268</v>
      </c>
      <c r="CD39">
        <v>4777</v>
      </c>
      <c r="CE39">
        <v>95879</v>
      </c>
    </row>
    <row r="40" spans="2:83" ht="15">
      <c r="B40">
        <v>2016</v>
      </c>
      <c r="C40" s="647">
        <f t="shared" si="9"/>
        <v>15.919743398129143</v>
      </c>
      <c r="D40" s="389">
        <f t="shared" si="2"/>
        <v>32.740386725028486</v>
      </c>
      <c r="E40" s="389"/>
      <c r="F40" s="389"/>
      <c r="G40" s="389">
        <f t="shared" si="3"/>
        <v>45.642472208380809</v>
      </c>
      <c r="H40" s="389"/>
      <c r="I40" s="389"/>
      <c r="J40" s="389">
        <f t="shared" si="10"/>
        <v>50.422337651453766</v>
      </c>
      <c r="K40" s="389">
        <f t="shared" si="16"/>
        <v>144.7249399829922</v>
      </c>
      <c r="L40">
        <f t="shared" si="4"/>
        <v>128.80519658486304</v>
      </c>
      <c r="M40">
        <v>133200</v>
      </c>
      <c r="N40" s="648">
        <f>N39</f>
        <v>28.832795138888891</v>
      </c>
      <c r="O40" s="389">
        <v>40.829586896751628</v>
      </c>
      <c r="P40" s="389">
        <f t="shared" si="11"/>
        <v>106.97313205905364</v>
      </c>
      <c r="Q40" s="389">
        <f t="shared" si="5"/>
        <v>39.126602083877316</v>
      </c>
      <c r="R40" s="389">
        <f t="shared" si="6"/>
        <v>282.11852705932955</v>
      </c>
      <c r="S40" s="389">
        <f t="shared" si="7"/>
        <v>303.76571071104905</v>
      </c>
      <c r="T40">
        <v>2016</v>
      </c>
      <c r="U40" s="650">
        <f t="shared" si="12"/>
        <v>1.328236</v>
      </c>
      <c r="V40" s="651">
        <f t="shared" si="13"/>
        <v>1.0311975255787871E-2</v>
      </c>
      <c r="W40" s="652">
        <f t="shared" si="14"/>
        <v>1.3282361641639999</v>
      </c>
      <c r="X40">
        <f t="shared" si="15"/>
        <v>2.4060600000000001</v>
      </c>
      <c r="Y40">
        <f t="shared" si="8"/>
        <v>0.164164</v>
      </c>
      <c r="Z40">
        <v>504926</v>
      </c>
      <c r="AA40">
        <v>516164</v>
      </c>
      <c r="AB40">
        <v>1077824</v>
      </c>
      <c r="AC40">
        <v>307146</v>
      </c>
      <c r="AD40">
        <v>148919</v>
      </c>
      <c r="AE40">
        <v>77611</v>
      </c>
      <c r="AF40">
        <v>261430</v>
      </c>
      <c r="AG40">
        <v>130066</v>
      </c>
      <c r="AH40">
        <v>4836</v>
      </c>
      <c r="AI40">
        <v>6470</v>
      </c>
      <c r="AJ40">
        <v>10228</v>
      </c>
      <c r="AK40">
        <v>446</v>
      </c>
      <c r="AL40">
        <v>325</v>
      </c>
      <c r="AM40">
        <v>860</v>
      </c>
      <c r="AN40">
        <v>8200</v>
      </c>
      <c r="AO40">
        <v>1197</v>
      </c>
      <c r="AP40">
        <v>6572</v>
      </c>
      <c r="AQ40">
        <v>18668</v>
      </c>
      <c r="AR40">
        <v>40159</v>
      </c>
      <c r="AS40">
        <v>980</v>
      </c>
      <c r="AT40">
        <v>102320</v>
      </c>
      <c r="AU40">
        <v>184373</v>
      </c>
      <c r="AV40">
        <v>213270</v>
      </c>
      <c r="AW40">
        <v>19820</v>
      </c>
      <c r="AX40">
        <v>7360</v>
      </c>
      <c r="AY40">
        <v>23039</v>
      </c>
      <c r="AZ40">
        <v>11393</v>
      </c>
      <c r="BA40">
        <v>6571</v>
      </c>
      <c r="BB40">
        <v>221439</v>
      </c>
      <c r="BC40">
        <v>154475</v>
      </c>
      <c r="BD40">
        <v>487918</v>
      </c>
      <c r="BE40">
        <v>131877</v>
      </c>
      <c r="BF40">
        <v>9265</v>
      </c>
      <c r="BG40">
        <v>17631</v>
      </c>
      <c r="BH40">
        <v>37413</v>
      </c>
      <c r="BI40">
        <v>7500</v>
      </c>
      <c r="BJ40">
        <v>3890</v>
      </c>
      <c r="BK40">
        <v>33037</v>
      </c>
      <c r="BL40">
        <v>7813</v>
      </c>
      <c r="BM40">
        <v>8689</v>
      </c>
      <c r="BN40" s="389" t="e">
        <f t="shared" si="17"/>
        <v>#REF!</v>
      </c>
      <c r="BO40" s="653" t="e">
        <f t="shared" si="18"/>
        <v>#REF!</v>
      </c>
      <c r="BP40">
        <f t="shared" si="19"/>
        <v>0.32119999999999999</v>
      </c>
      <c r="BQ40">
        <v>217</v>
      </c>
      <c r="BR40">
        <v>185895</v>
      </c>
      <c r="BS40">
        <v>521777</v>
      </c>
      <c r="BT40">
        <v>281185</v>
      </c>
      <c r="BU40">
        <v>76898</v>
      </c>
      <c r="BV40">
        <v>9181</v>
      </c>
      <c r="BW40">
        <v>134716</v>
      </c>
      <c r="BX40">
        <v>71837</v>
      </c>
      <c r="BY40">
        <v>243218</v>
      </c>
      <c r="BZ40">
        <v>82086</v>
      </c>
      <c r="CA40">
        <v>4775</v>
      </c>
      <c r="CB40">
        <v>12686</v>
      </c>
      <c r="CC40">
        <v>461509</v>
      </c>
      <c r="CD40">
        <v>15100</v>
      </c>
      <c r="CE40">
        <v>105811</v>
      </c>
    </row>
    <row r="41" spans="2:83">
      <c r="B41">
        <v>2017</v>
      </c>
      <c r="P41" s="389"/>
      <c r="Q41" s="389">
        <f t="shared" si="5"/>
        <v>0</v>
      </c>
      <c r="BN41" s="389" t="e">
        <f>BN42-BP41</f>
        <v>#REF!</v>
      </c>
      <c r="BO41" s="653" t="e">
        <f t="shared" si="18"/>
        <v>#REF!</v>
      </c>
      <c r="BP41">
        <f t="shared" si="19"/>
        <v>0.426118</v>
      </c>
      <c r="BQ41">
        <v>199</v>
      </c>
      <c r="BR41">
        <v>227051</v>
      </c>
      <c r="BS41">
        <v>569733</v>
      </c>
      <c r="BT41">
        <v>252478</v>
      </c>
      <c r="BU41">
        <v>120001</v>
      </c>
      <c r="BV41">
        <v>70475</v>
      </c>
      <c r="BW41">
        <v>122684</v>
      </c>
      <c r="BX41">
        <v>177163</v>
      </c>
      <c r="BY41">
        <v>270694</v>
      </c>
      <c r="BZ41">
        <v>34294</v>
      </c>
      <c r="CA41">
        <v>9495</v>
      </c>
      <c r="CB41">
        <v>56691</v>
      </c>
      <c r="CC41">
        <v>493261</v>
      </c>
      <c r="CD41">
        <v>25791</v>
      </c>
      <c r="CE41">
        <v>113556</v>
      </c>
    </row>
    <row r="42" spans="2:83">
      <c r="B42">
        <v>2018</v>
      </c>
      <c r="P42" s="389"/>
      <c r="Q42" s="389">
        <f t="shared" si="5"/>
        <v>0</v>
      </c>
      <c r="BN42" s="389" t="e">
        <f>#REF!</f>
        <v>#REF!</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0">
    <tabColor rgb="FF0070C0"/>
  </sheetPr>
  <dimension ref="A1:AU53"/>
  <sheetViews>
    <sheetView workbookViewId="0">
      <selection activeCell="D8" sqref="D8"/>
    </sheetView>
  </sheetViews>
  <sheetFormatPr defaultColWidth="8.28515625" defaultRowHeight="12.75"/>
  <cols>
    <col min="1" max="1" width="19.7109375" style="1" customWidth="1"/>
    <col min="2" max="2" width="16.42578125" style="1" customWidth="1"/>
    <col min="3" max="6" width="8.42578125" style="599" bestFit="1" customWidth="1"/>
    <col min="7" max="14" width="8.85546875" style="599" bestFit="1" customWidth="1"/>
    <col min="15" max="15" width="9.85546875" style="599" bestFit="1" customWidth="1"/>
    <col min="16" max="18" width="8.85546875" style="599" bestFit="1" customWidth="1"/>
    <col min="19" max="19" width="9.85546875" style="599" bestFit="1" customWidth="1"/>
    <col min="20" max="22" width="8.85546875" style="599" bestFit="1" customWidth="1"/>
    <col min="23" max="23" width="9.85546875" style="599" bestFit="1" customWidth="1"/>
    <col min="24" max="28" width="8.85546875" style="599" bestFit="1" customWidth="1"/>
    <col min="29" max="29" width="9.85546875" style="599" bestFit="1" customWidth="1"/>
    <col min="30" max="43" width="8.85546875" style="599" bestFit="1" customWidth="1"/>
    <col min="44" max="16384" width="8.28515625" style="599"/>
  </cols>
  <sheetData>
    <row r="1" spans="1:47" s="598" customFormat="1">
      <c r="A1" s="42" t="s">
        <v>179</v>
      </c>
      <c r="B1" s="43"/>
    </row>
    <row r="2" spans="1:47">
      <c r="A2" s="45" t="s">
        <v>180</v>
      </c>
    </row>
    <row r="3" spans="1:47">
      <c r="A3" s="21" t="s">
        <v>181</v>
      </c>
    </row>
    <row r="4" spans="1:47">
      <c r="A4" s="46" t="s">
        <v>182</v>
      </c>
    </row>
    <row r="5" spans="1:47">
      <c r="A5" s="47" t="s">
        <v>183</v>
      </c>
      <c r="B5" s="41"/>
    </row>
    <row r="7" spans="1:47" s="600" customFormat="1" ht="13.5" thickBot="1">
      <c r="A7" s="123" t="s">
        <v>631</v>
      </c>
      <c r="B7" s="85" t="s">
        <v>632</v>
      </c>
      <c r="C7" s="600">
        <v>2006</v>
      </c>
      <c r="D7" s="600">
        <v>2007</v>
      </c>
      <c r="E7" s="600">
        <v>2008</v>
      </c>
      <c r="F7" s="600">
        <v>2009</v>
      </c>
      <c r="G7" s="600">
        <v>2010</v>
      </c>
      <c r="H7" s="600">
        <v>2011</v>
      </c>
      <c r="I7" s="600">
        <v>2012</v>
      </c>
      <c r="J7" s="600">
        <v>2013</v>
      </c>
      <c r="K7" s="600">
        <v>2014</v>
      </c>
      <c r="L7" s="600">
        <v>2015</v>
      </c>
      <c r="M7" s="600">
        <v>2016</v>
      </c>
      <c r="N7" s="600">
        <v>2017</v>
      </c>
      <c r="O7" s="600">
        <v>2018</v>
      </c>
      <c r="P7" s="600">
        <v>2019</v>
      </c>
      <c r="Q7" s="600">
        <v>2020</v>
      </c>
      <c r="R7" s="600">
        <v>2021</v>
      </c>
      <c r="S7" s="600">
        <v>2022</v>
      </c>
      <c r="T7" s="600">
        <v>2023</v>
      </c>
      <c r="U7" s="600">
        <v>2024</v>
      </c>
      <c r="V7" s="600">
        <v>2025</v>
      </c>
      <c r="W7" s="600">
        <v>2026</v>
      </c>
      <c r="X7" s="600">
        <v>2027</v>
      </c>
      <c r="Y7" s="600">
        <v>2028</v>
      </c>
      <c r="Z7" s="600">
        <v>2029</v>
      </c>
      <c r="AA7" s="600">
        <v>2030</v>
      </c>
      <c r="AB7" s="600">
        <v>2031</v>
      </c>
      <c r="AC7" s="600">
        <v>2032</v>
      </c>
      <c r="AD7" s="600">
        <v>2033</v>
      </c>
      <c r="AE7" s="600">
        <v>2034</v>
      </c>
      <c r="AF7" s="600">
        <v>2035</v>
      </c>
      <c r="AG7" s="600">
        <v>2036</v>
      </c>
      <c r="AH7" s="600">
        <v>2037</v>
      </c>
      <c r="AI7" s="600">
        <v>2038</v>
      </c>
      <c r="AJ7" s="600">
        <v>2039</v>
      </c>
      <c r="AK7" s="600">
        <v>2040</v>
      </c>
      <c r="AL7" s="600">
        <v>2041</v>
      </c>
      <c r="AM7" s="600">
        <v>2042</v>
      </c>
      <c r="AN7" s="600">
        <v>2043</v>
      </c>
      <c r="AO7" s="600">
        <v>2044</v>
      </c>
      <c r="AP7" s="600">
        <v>2045</v>
      </c>
      <c r="AQ7" s="600">
        <v>2046</v>
      </c>
      <c r="AR7" s="600">
        <v>2047</v>
      </c>
      <c r="AS7" s="600">
        <v>2048</v>
      </c>
      <c r="AT7" s="600">
        <v>2049</v>
      </c>
      <c r="AU7" s="600">
        <v>2050</v>
      </c>
    </row>
    <row r="8" spans="1:47" s="602" customFormat="1">
      <c r="A8" s="299" t="s">
        <v>633</v>
      </c>
      <c r="B8" s="6"/>
      <c r="C8" s="601">
        <f>VLOOKUP(C$7,'floor space forecast_SA'!$A$21:$C$78,3,)</f>
        <v>122.68679499999996</v>
      </c>
      <c r="D8" s="601">
        <f>VLOOKUP(D$7,'floor space forecast_SA'!$A$21:$C$78,3,)</f>
        <v>123.80101899999997</v>
      </c>
      <c r="E8" s="601">
        <f>VLOOKUP(E$7,'floor space forecast_SA'!$A$21:$C$78,3,)</f>
        <v>125.39829699999997</v>
      </c>
      <c r="F8" s="601">
        <f>VLOOKUP(F$7,'floor space forecast_SA'!$A$21:$C$78,3,)</f>
        <v>127.96380699999997</v>
      </c>
      <c r="G8" s="601">
        <f>VLOOKUP(G$7,'floor space forecast_SA'!$A$21:$C$78,3,)</f>
        <v>130.18389799999997</v>
      </c>
      <c r="H8" s="601">
        <f>VLOOKUP(H$7,'floor space forecast_SA'!$A$21:$C$78,3,)</f>
        <v>131.60384799999997</v>
      </c>
      <c r="I8" s="601">
        <f>VLOOKUP(I$7,'floor space forecast_SA'!$A$21:$C$78,3,)</f>
        <v>132.81548999999998</v>
      </c>
      <c r="J8" s="601">
        <f>VLOOKUP(J$7,'floor space forecast_SA'!$A$21:$C$78,3,)</f>
        <v>134.00787499999998</v>
      </c>
      <c r="K8" s="601">
        <f>VLOOKUP(K$7,'floor space forecast_SA'!$A$21:$C$78,3,)</f>
        <v>135.598851</v>
      </c>
      <c r="L8" s="601">
        <f>VLOOKUP(L$7,'floor space forecast_SA'!$A$21:$C$78,3,)</f>
        <v>136.99421599999999</v>
      </c>
      <c r="M8" s="601">
        <f>VLOOKUP(M$7,'floor space forecast_SA'!$A$21:$C$78,3,)</f>
        <v>138.328236</v>
      </c>
      <c r="N8" s="601">
        <f>VLOOKUP(N$7,'floor space forecast_SA'!$A$21:$C$78,3,)</f>
        <v>140.189065</v>
      </c>
      <c r="O8" s="601">
        <f>VLOOKUP(O$7,'floor space forecast_SA'!$A$21:$C$78,3,)</f>
        <v>141.38227599999999</v>
      </c>
      <c r="P8" s="601">
        <f>VLOOKUP(P$7,'floor space forecast_SA'!$A$21:$C$78,3,)</f>
        <v>142.98982799999999</v>
      </c>
      <c r="Q8" s="601">
        <f>VLOOKUP(Q$7,'floor space forecast_SA'!$A$21:$C$78,3,)</f>
        <v>143.761764</v>
      </c>
      <c r="R8" s="601">
        <f>VLOOKUP(R$7,'floor space forecast_SA'!$A$21:$C$78,3,)</f>
        <v>144.595698</v>
      </c>
      <c r="S8" s="601">
        <f>VLOOKUP(S$7,'floor space forecast_SA'!$A$21:$C$78,3,)</f>
        <v>145.37754799999999</v>
      </c>
      <c r="T8" s="601">
        <f>VLOOKUP(T$7,'floor space forecast_SA'!$A$21:$C$78,3,)</f>
        <v>149.68018355816739</v>
      </c>
      <c r="U8" s="601">
        <f>VLOOKUP(U$7,'floor space forecast_SA'!$A$21:$C$78,3,)</f>
        <v>151.32979284597201</v>
      </c>
      <c r="V8" s="601">
        <f>VLOOKUP(V$7,'floor space forecast_SA'!$A$21:$C$78,3,)</f>
        <v>152.02537975654644</v>
      </c>
      <c r="W8" s="601">
        <f>VLOOKUP(W$7,'floor space forecast_SA'!$A$21:$C$78,3,)</f>
        <v>153.31016538852367</v>
      </c>
      <c r="X8" s="601">
        <f>VLOOKUP(X$7,'floor space forecast_SA'!$A$21:$C$78,3,)</f>
        <v>154.47210547399433</v>
      </c>
      <c r="Y8" s="601">
        <f>VLOOKUP(Y$7,'floor space forecast_SA'!$A$21:$C$78,3,)</f>
        <v>155.89712462645517</v>
      </c>
      <c r="Z8" s="601">
        <f>VLOOKUP(Z$7,'floor space forecast_SA'!$A$21:$C$78,3,)</f>
        <v>157.2918775762235</v>
      </c>
      <c r="AA8" s="601">
        <f>VLOOKUP(AA$7,'floor space forecast_SA'!$A$21:$C$78,3,)</f>
        <v>158.67480332966775</v>
      </c>
      <c r="AB8" s="601">
        <f>VLOOKUP(AB$7,'floor space forecast_SA'!$A$21:$C$78,3,)</f>
        <v>160.0560794695711</v>
      </c>
      <c r="AC8" s="601">
        <f>VLOOKUP(AC$7,'floor space forecast_SA'!$A$21:$C$78,3,)</f>
        <v>161.55517148758165</v>
      </c>
      <c r="AD8" s="601">
        <f>VLOOKUP(AD$7,'floor space forecast_SA'!$A$21:$C$78,3,)</f>
        <v>163.09587300131193</v>
      </c>
      <c r="AE8" s="601">
        <f>VLOOKUP(AE$7,'floor space forecast_SA'!$A$21:$C$78,3,)</f>
        <v>164.6280438950192</v>
      </c>
      <c r="AF8" s="601">
        <f>VLOOKUP(AF$7,'floor space forecast_SA'!$A$21:$C$78,3,)</f>
        <v>166.15670386751941</v>
      </c>
      <c r="AG8" s="601">
        <f>VLOOKUP(AG$7,'floor space forecast_SA'!$A$21:$C$78,3,)</f>
        <v>167.68377900042091</v>
      </c>
      <c r="AH8" s="601">
        <f>VLOOKUP(AH$7,'floor space forecast_SA'!$A$21:$C$78,3,)</f>
        <v>169.20931890659088</v>
      </c>
      <c r="AI8" s="601">
        <f>VLOOKUP(AI$7,'floor space forecast_SA'!$A$21:$C$78,3,)</f>
        <v>170.74014839039273</v>
      </c>
      <c r="AJ8" s="601">
        <f>VLOOKUP(AJ$7,'floor space forecast_SA'!$A$21:$C$78,3,)</f>
        <v>172.26900346820889</v>
      </c>
      <c r="AK8" s="601">
        <f>VLOOKUP(AK$7,'floor space forecast_SA'!$A$21:$C$78,3,)</f>
        <v>173.79719538284684</v>
      </c>
      <c r="AL8" s="601">
        <f>VLOOKUP(AL$7,'floor space forecast_SA'!$A$21:$C$78,3,)</f>
        <v>175.32529368591233</v>
      </c>
      <c r="AM8" s="601">
        <f>VLOOKUP(AM$7,'floor space forecast_SA'!$A$21:$C$78,3,)</f>
        <v>176.85359662301059</v>
      </c>
      <c r="AN8" s="601">
        <f>VLOOKUP(AN$7,'floor space forecast_SA'!$A$21:$C$78,3,)</f>
        <v>178.38245216629451</v>
      </c>
      <c r="AO8" s="601">
        <f>VLOOKUP(AO$7,'floor space forecast_SA'!$A$21:$C$78,3,)</f>
        <v>179.91091292147487</v>
      </c>
      <c r="AP8" s="601">
        <f>VLOOKUP(AP$7,'floor space forecast_SA'!$A$21:$C$78,3,)</f>
        <v>181.43929481212808</v>
      </c>
      <c r="AQ8" s="601">
        <f>VLOOKUP(AQ$7,'floor space forecast_SA'!$A$21:$C$78,3,)</f>
        <v>182.96771469798432</v>
      </c>
      <c r="AR8" s="601">
        <f>VLOOKUP(AR$7,'floor space forecast_SA'!$A$21:$C$78,3,)</f>
        <v>184.49619890039872</v>
      </c>
      <c r="AS8" s="601">
        <f>VLOOKUP(AS$7,'floor space forecast_SA'!$A$21:$C$78,3,)</f>
        <v>186.02471935587636</v>
      </c>
      <c r="AT8" s="601">
        <f>VLOOKUP(AT$7,'floor space forecast_SA'!$A$21:$C$78,3,)</f>
        <v>187.55317279379273</v>
      </c>
      <c r="AU8" s="601">
        <f>VLOOKUP(AU$7,'floor space forecast_SA'!$A$21:$C$78,3,)</f>
        <v>189.08162476825629</v>
      </c>
    </row>
    <row r="9" spans="1:47" s="602" customFormat="1">
      <c r="A9" s="6"/>
      <c r="B9" s="6"/>
    </row>
    <row r="10" spans="1:47" s="603" customFormat="1" ht="13.5" thickBot="1">
      <c r="A10" s="85" t="s">
        <v>634</v>
      </c>
      <c r="B10" s="85"/>
    </row>
    <row r="11" spans="1:47">
      <c r="A11" s="12" t="s">
        <v>531</v>
      </c>
      <c r="B11" s="300">
        <v>1</v>
      </c>
      <c r="C11" s="604">
        <f>Appliances!$D87*C$8*$B11</f>
        <v>10502.496265860675</v>
      </c>
      <c r="D11" s="604">
        <f>Appliances!$D87*D$8*$B11</f>
        <v>10597.878441255611</v>
      </c>
      <c r="E11" s="604">
        <f>Appliances!$D87*E$8*$B11</f>
        <v>10734.612033738333</v>
      </c>
      <c r="F11" s="604">
        <f>Appliances!$D87*F$8*$B11</f>
        <v>10954.230283567325</v>
      </c>
      <c r="G11" s="604">
        <f>Appliances!$D87*G$8*$B11</f>
        <v>11144.27924064841</v>
      </c>
      <c r="H11" s="604">
        <f>Appliances!$D87*H$8*$B11</f>
        <v>11265.832824085885</v>
      </c>
      <c r="I11" s="604">
        <f>Appliances!$D87*I$8*$B11</f>
        <v>11369.554382551571</v>
      </c>
      <c r="J11" s="604">
        <f>Appliances!$D87*J$8*$B11</f>
        <v>11471.627462298809</v>
      </c>
      <c r="K11" s="604">
        <f>Appliances!$D87*K$8*$B11</f>
        <v>11607.821577558518</v>
      </c>
      <c r="L11" s="604">
        <f>Appliances!$D87*L$8*$B11</f>
        <v>11727.270583476495</v>
      </c>
      <c r="M11" s="604">
        <f>Appliances!$D87*M$8*$B11</f>
        <v>11841.468204080926</v>
      </c>
      <c r="N11" s="604">
        <f>Appliances!$D87*N$8*$B11</f>
        <v>12000.762850451834</v>
      </c>
      <c r="O11" s="604">
        <f>Appliances!$D87*O$8*$B11</f>
        <v>12102.906639209898</v>
      </c>
      <c r="P11" s="604">
        <f>Appliances!$D87*P$8*$B11</f>
        <v>12240.519728517324</v>
      </c>
      <c r="Q11" s="604">
        <f>Appliances!$D87*Q$8*$B11</f>
        <v>12306.600637693275</v>
      </c>
      <c r="R11" s="604">
        <f>Appliances!$D87*R$8*$B11</f>
        <v>12377.988831679222</v>
      </c>
      <c r="S11" s="604">
        <f>Appliances!$D87*S$8*$B11</f>
        <v>12444.918420193317</v>
      </c>
      <c r="T11" s="604">
        <f>Appliances!$D87*T$8*$B11</f>
        <v>12813.241790960419</v>
      </c>
      <c r="U11" s="604">
        <f>Appliances!$D87*U$8*$B11</f>
        <v>12954.455157772203</v>
      </c>
      <c r="V11" s="604">
        <f>Appliances!$D87*V$8*$B11</f>
        <v>13014.000269622991</v>
      </c>
      <c r="W11" s="604">
        <f>Appliances!$D87*W$8*$B11</f>
        <v>13123.98322501988</v>
      </c>
      <c r="X11" s="604">
        <f>Appliances!$D87*X$8*$B11</f>
        <v>13223.45009436641</v>
      </c>
      <c r="Y11" s="604">
        <f>Appliances!$D87*Y$8*$B11</f>
        <v>13345.437618186717</v>
      </c>
      <c r="Z11" s="604">
        <f>Appliances!$D87*Z$8*$B11</f>
        <v>13464.834230077509</v>
      </c>
      <c r="AA11" s="604">
        <f>Appliances!$D87*AA$8*$B11</f>
        <v>13583.218385124603</v>
      </c>
      <c r="AB11" s="604">
        <f>Appliances!$D87*AB$8*$B11</f>
        <v>13701.4613264408</v>
      </c>
      <c r="AC11" s="604">
        <f>Appliances!$D87*AC$8*$B11</f>
        <v>13829.789793423226</v>
      </c>
      <c r="AD11" s="604">
        <f>Appliances!$D87*AD$8*$B11</f>
        <v>13961.680205058467</v>
      </c>
      <c r="AE11" s="604">
        <f>Appliances!$D87*AE$8*$B11</f>
        <v>14092.840360394019</v>
      </c>
      <c r="AF11" s="604">
        <f>Appliances!$D87*AF$8*$B11</f>
        <v>14223.699966376505</v>
      </c>
      <c r="AG11" s="604">
        <f>Appliances!$D87*AG$8*$B11</f>
        <v>14354.423903545021</v>
      </c>
      <c r="AH11" s="604">
        <f>Appliances!$D87*AH$8*$B11</f>
        <v>14485.016418965866</v>
      </c>
      <c r="AI11" s="604">
        <f>Appliances!$D87*AI$8*$B11</f>
        <v>14616.061744074395</v>
      </c>
      <c r="AJ11" s="604">
        <f>Appliances!$D87*AJ$8*$B11</f>
        <v>14746.938051877582</v>
      </c>
      <c r="AK11" s="604">
        <f>Appliances!$D87*AK$8*$B11</f>
        <v>14877.757590174293</v>
      </c>
      <c r="AL11" s="604">
        <f>Appliances!$D87*AL$8*$B11</f>
        <v>15008.569114933853</v>
      </c>
      <c r="AM11" s="604">
        <f>Appliances!$D87*AM$8*$B11</f>
        <v>15139.398157211617</v>
      </c>
      <c r="AN11" s="604">
        <f>Appliances!$D87*AN$8*$B11</f>
        <v>15270.274504860765</v>
      </c>
      <c r="AO11" s="604">
        <f>Appliances!$D87*AO$8*$B11</f>
        <v>15401.11705701804</v>
      </c>
      <c r="AP11" s="604">
        <f>Appliances!$D87*AP$8*$B11</f>
        <v>15531.952858046132</v>
      </c>
      <c r="AQ11" s="604">
        <f>Appliances!$D87*AQ$8*$B11</f>
        <v>15662.791911620499</v>
      </c>
      <c r="AR11" s="604">
        <f>Appliances!$D87*AR$8*$B11</f>
        <v>15793.636470957828</v>
      </c>
      <c r="AS11" s="604">
        <f>Appliances!$D87*AS$8*$B11</f>
        <v>15924.484133707072</v>
      </c>
      <c r="AT11" s="604">
        <f>Appliances!$D87*AT$8*$B11</f>
        <v>16055.326059476332</v>
      </c>
      <c r="AU11" s="604">
        <f>Appliances!$D87*AU$8*$B11</f>
        <v>16186.167859967991</v>
      </c>
    </row>
    <row r="12" spans="1:47">
      <c r="A12" s="12" t="s">
        <v>551</v>
      </c>
      <c r="B12" s="300">
        <v>1</v>
      </c>
      <c r="C12" s="604">
        <f>Appliances!$D88*C$8*$B12</f>
        <v>13368.179748425346</v>
      </c>
      <c r="D12" s="604">
        <f>Appliances!$D88*D$8*$B12</f>
        <v>13489.587653098459</v>
      </c>
      <c r="E12" s="604">
        <f>Appliances!$D88*E$8*$B12</f>
        <v>13663.630013665505</v>
      </c>
      <c r="F12" s="604">
        <f>Appliances!$D88*F$8*$B12</f>
        <v>13943.172720982806</v>
      </c>
      <c r="G12" s="604">
        <f>Appliances!$D88*G$8*$B12</f>
        <v>14185.077936176189</v>
      </c>
      <c r="H12" s="604">
        <f>Appliances!$D88*H$8*$B12</f>
        <v>14339.798310392311</v>
      </c>
      <c r="I12" s="604">
        <f>Appliances!$D88*I$8*$B12</f>
        <v>14471.821060246863</v>
      </c>
      <c r="J12" s="604">
        <f>Appliances!$D88*J$8*$B12</f>
        <v>14601.745531819586</v>
      </c>
      <c r="K12" s="604">
        <f>Appliances!$D88*K$8*$B12</f>
        <v>14775.101214828755</v>
      </c>
      <c r="L12" s="604">
        <f>Appliances!$D88*L$8*$B12</f>
        <v>14927.142762043854</v>
      </c>
      <c r="M12" s="604">
        <f>Appliances!$D88*M$8*$B12</f>
        <v>15072.50004477338</v>
      </c>
      <c r="N12" s="604">
        <f>Appliances!$D88*N$8*$B12</f>
        <v>15275.259408999031</v>
      </c>
      <c r="O12" s="604">
        <f>Appliances!$D88*O$8*$B12</f>
        <v>15405.273883057123</v>
      </c>
      <c r="P12" s="604">
        <f>Appliances!$D88*P$8*$B12</f>
        <v>15580.435717637127</v>
      </c>
      <c r="Q12" s="604">
        <f>Appliances!$D88*Q$8*$B12</f>
        <v>15664.547289728325</v>
      </c>
      <c r="R12" s="604">
        <f>Appliances!$D88*R$8*$B12</f>
        <v>15755.414278390987</v>
      </c>
      <c r="S12" s="604">
        <f>Appliances!$D88*S$8*$B12</f>
        <v>15840.60609823033</v>
      </c>
      <c r="T12" s="604">
        <f>Appliances!$D88*T$8*$B12</f>
        <v>16309.429214308535</v>
      </c>
      <c r="U12" s="604">
        <f>Appliances!$D88*U$8*$B12</f>
        <v>16489.173688634761</v>
      </c>
      <c r="V12" s="604">
        <f>Appliances!$D88*V$8*$B12</f>
        <v>16564.966122948583</v>
      </c>
      <c r="W12" s="604">
        <f>Appliances!$D88*W$8*$B12</f>
        <v>16704.958738017431</v>
      </c>
      <c r="X12" s="604">
        <f>Appliances!$D88*X$8*$B12</f>
        <v>16831.565875480534</v>
      </c>
      <c r="Y12" s="604">
        <f>Appliances!$D88*Y$8*$B12</f>
        <v>16986.838593909972</v>
      </c>
      <c r="Z12" s="604">
        <f>Appliances!$D88*Z$8*$B12</f>
        <v>17138.813451001555</v>
      </c>
      <c r="AA12" s="604">
        <f>Appliances!$D88*AA$8*$B12</f>
        <v>17289.499594940433</v>
      </c>
      <c r="AB12" s="604">
        <f>Appliances!$D88*AB$8*$B12</f>
        <v>17440.005993941555</v>
      </c>
      <c r="AC12" s="604">
        <f>Appliances!$D88*AC$8*$B12</f>
        <v>17603.349828591363</v>
      </c>
      <c r="AD12" s="604">
        <f>Appliances!$D88*AD$8*$B12</f>
        <v>17771.227510734883</v>
      </c>
      <c r="AE12" s="604">
        <f>Appliances!$D88*AE$8*$B12</f>
        <v>17938.175680767235</v>
      </c>
      <c r="AF12" s="604">
        <f>Appliances!$D88*AF$8*$B12</f>
        <v>18104.741294341264</v>
      </c>
      <c r="AG12" s="604">
        <f>Appliances!$D88*AG$8*$B12</f>
        <v>18271.134220865897</v>
      </c>
      <c r="AH12" s="604">
        <f>Appliances!$D88*AH$8*$B12</f>
        <v>18437.359866250765</v>
      </c>
      <c r="AI12" s="604">
        <f>Appliances!$D88*AI$8*$B12</f>
        <v>18604.161873782647</v>
      </c>
      <c r="AJ12" s="604">
        <f>Appliances!$D88*AJ$8*$B12</f>
        <v>18770.748746392197</v>
      </c>
      <c r="AK12" s="604">
        <f>Appliances!$D88*AK$8*$B12</f>
        <v>18937.26335951719</v>
      </c>
      <c r="AL12" s="604">
        <f>Appliances!$D88*AL$8*$B12</f>
        <v>19103.767772552379</v>
      </c>
      <c r="AM12" s="604">
        <f>Appliances!$D88*AM$8*$B12</f>
        <v>19270.294482889673</v>
      </c>
      <c r="AN12" s="604">
        <f>Appliances!$D88*AN$8*$B12</f>
        <v>19436.88140621745</v>
      </c>
      <c r="AO12" s="604">
        <f>Appliances!$D88*AO$8*$B12</f>
        <v>19603.425312704414</v>
      </c>
      <c r="AP12" s="604">
        <f>Appliances!$D88*AP$8*$B12</f>
        <v>19769.960625966858</v>
      </c>
      <c r="AQ12" s="604">
        <f>Appliances!$D88*AQ$8*$B12</f>
        <v>19936.500079256788</v>
      </c>
      <c r="AR12" s="604">
        <f>Appliances!$D88*AR$8*$B12</f>
        <v>20103.046540597672</v>
      </c>
      <c r="AS12" s="604">
        <f>Appliances!$D88*AS$8*$B12</f>
        <v>20269.596952139273</v>
      </c>
      <c r="AT12" s="604">
        <f>Appliances!$D88*AT$8*$B12</f>
        <v>20436.140061323636</v>
      </c>
      <c r="AU12" s="604">
        <f>Appliances!$D88*AU$8*$B12</f>
        <v>20602.68301104748</v>
      </c>
    </row>
    <row r="13" spans="1:47">
      <c r="A13" s="12" t="s">
        <v>149</v>
      </c>
      <c r="B13" s="300">
        <v>1</v>
      </c>
      <c r="C13" s="604">
        <f>Appliances!$D89*C$8*$B13</f>
        <v>9925.8504994442337</v>
      </c>
      <c r="D13" s="604">
        <f>Appliances!$D89*D$8*$B13</f>
        <v>10015.995660110406</v>
      </c>
      <c r="E13" s="604">
        <f>Appliances!$D89*E$8*$B13</f>
        <v>10145.221813862741</v>
      </c>
      <c r="F13" s="604">
        <f>Appliances!$D89*F$8*$B13</f>
        <v>10352.781793849417</v>
      </c>
      <c r="G13" s="604">
        <f>Appliances!$D89*G$8*$B13</f>
        <v>10532.396000587491</v>
      </c>
      <c r="H13" s="604">
        <f>Appliances!$D89*H$8*$B13</f>
        <v>10647.275612665431</v>
      </c>
      <c r="I13" s="604">
        <f>Appliances!$D89*I$8*$B13</f>
        <v>10745.30227764472</v>
      </c>
      <c r="J13" s="604">
        <f>Appliances!$D89*J$8*$B13</f>
        <v>10841.770974604158</v>
      </c>
      <c r="K13" s="604">
        <f>Appliances!$D89*K$8*$B13</f>
        <v>10970.487271449339</v>
      </c>
      <c r="L13" s="604">
        <f>Appliances!$D89*L$8*$B13</f>
        <v>11083.377859080691</v>
      </c>
      <c r="M13" s="604">
        <f>Appliances!$D89*M$8*$B13</f>
        <v>11191.305391813685</v>
      </c>
      <c r="N13" s="604">
        <f>Appliances!$D89*N$8*$B13</f>
        <v>11341.853871452673</v>
      </c>
      <c r="O13" s="604">
        <f>Appliances!$D89*O$8*$B13</f>
        <v>11438.389395102895</v>
      </c>
      <c r="P13" s="604">
        <f>Appliances!$D89*P$8*$B13</f>
        <v>11568.446756386826</v>
      </c>
      <c r="Q13" s="604">
        <f>Appliances!$D89*Q$8*$B13</f>
        <v>11630.899454178296</v>
      </c>
      <c r="R13" s="604">
        <f>Appliances!$D89*R$8*$B13</f>
        <v>11698.368037169672</v>
      </c>
      <c r="S13" s="604">
        <f>Appliances!$D89*S$8*$B13</f>
        <v>11761.622817058496</v>
      </c>
      <c r="T13" s="604">
        <f>Appliances!$D89*T$8*$B13</f>
        <v>12109.723175405639</v>
      </c>
      <c r="U13" s="604">
        <f>Appliances!$D89*U$8*$B13</f>
        <v>12243.183138829114</v>
      </c>
      <c r="V13" s="604">
        <f>Appliances!$D89*V$8*$B13</f>
        <v>12299.458891111437</v>
      </c>
      <c r="W13" s="604">
        <f>Appliances!$D89*W$8*$B13</f>
        <v>12403.403167321765</v>
      </c>
      <c r="X13" s="604">
        <f>Appliances!$D89*X$8*$B13</f>
        <v>12497.408749403303</v>
      </c>
      <c r="Y13" s="604">
        <f>Appliances!$D89*Y$8*$B13</f>
        <v>12612.698476110818</v>
      </c>
      <c r="Z13" s="604">
        <f>Appliances!$D89*Z$8*$B13</f>
        <v>12725.539546440019</v>
      </c>
      <c r="AA13" s="604">
        <f>Appliances!$D89*AA$8*$B13</f>
        <v>12837.423749467078</v>
      </c>
      <c r="AB13" s="604">
        <f>Appliances!$D89*AB$8*$B13</f>
        <v>12949.174492186617</v>
      </c>
      <c r="AC13" s="604">
        <f>Appliances!$D89*AC$8*$B13</f>
        <v>13070.457008823252</v>
      </c>
      <c r="AD13" s="604">
        <f>Appliances!$D89*AD$8*$B13</f>
        <v>13195.105899435761</v>
      </c>
      <c r="AE13" s="604">
        <f>Appliances!$D89*AE$8*$B13</f>
        <v>13319.064628902433</v>
      </c>
      <c r="AF13" s="604">
        <f>Appliances!$D89*AF$8*$B13</f>
        <v>13442.739310855954</v>
      </c>
      <c r="AG13" s="604">
        <f>Appliances!$D89*AG$8*$B13</f>
        <v>13566.28577297194</v>
      </c>
      <c r="AH13" s="604">
        <f>Appliances!$D89*AH$8*$B13</f>
        <v>13689.708029129004</v>
      </c>
      <c r="AI13" s="604">
        <f>Appliances!$D89*AI$8*$B13</f>
        <v>13813.558233190155</v>
      </c>
      <c r="AJ13" s="604">
        <f>Appliances!$D89*AJ$8*$B13</f>
        <v>13937.248699941034</v>
      </c>
      <c r="AK13" s="604">
        <f>Appliances!$D89*AK$8*$B13</f>
        <v>14060.885514148755</v>
      </c>
      <c r="AL13" s="604">
        <f>Appliances!$D89*AL$8*$B13</f>
        <v>14184.514754807315</v>
      </c>
      <c r="AM13" s="604">
        <f>Appliances!$D89*AM$8*$B13</f>
        <v>14308.160551174387</v>
      </c>
      <c r="AN13" s="604">
        <f>Appliances!$D89*AN$8*$B13</f>
        <v>14431.851055583464</v>
      </c>
      <c r="AO13" s="604">
        <f>Appliances!$D89*AO$8*$B13</f>
        <v>14555.509620062126</v>
      </c>
      <c r="AP13" s="604">
        <f>Appliances!$D89*AP$8*$B13</f>
        <v>14679.161804086345</v>
      </c>
      <c r="AQ13" s="604">
        <f>Appliances!$D89*AQ$8*$B13</f>
        <v>14802.817062073862</v>
      </c>
      <c r="AR13" s="604">
        <f>Appliances!$D89*AR$8*$B13</f>
        <v>14926.477523527172</v>
      </c>
      <c r="AS13" s="604">
        <f>Appliances!$D89*AS$8*$B13</f>
        <v>15050.140917997729</v>
      </c>
      <c r="AT13" s="604">
        <f>Appliances!$D89*AT$8*$B13</f>
        <v>15173.798890480582</v>
      </c>
      <c r="AU13" s="604">
        <f>Appliances!$D89*AU$8*$B13</f>
        <v>15297.456744564273</v>
      </c>
    </row>
    <row r="14" spans="1:47">
      <c r="A14" s="12" t="s">
        <v>83</v>
      </c>
      <c r="B14" s="300">
        <v>1</v>
      </c>
      <c r="C14" s="604">
        <f>Appliances!$D90*C$8*$B14</f>
        <v>24775.622040202335</v>
      </c>
      <c r="D14" s="604">
        <f>Appliances!$D90*D$8*$B14</f>
        <v>25000.630711201709</v>
      </c>
      <c r="E14" s="604">
        <f>Appliances!$D90*E$8*$B14</f>
        <v>25323.188293874977</v>
      </c>
      <c r="F14" s="604">
        <f>Appliances!$D90*F$8*$B14</f>
        <v>25841.272624795507</v>
      </c>
      <c r="G14" s="604">
        <f>Appliances!$D90*G$8*$B14</f>
        <v>26289.602337140303</v>
      </c>
      <c r="H14" s="604">
        <f>Appliances!$D90*H$8*$B14</f>
        <v>26576.349941199773</v>
      </c>
      <c r="I14" s="604">
        <f>Appliances!$D90*I$8*$B14</f>
        <v>26821.031402151093</v>
      </c>
      <c r="J14" s="604">
        <f>Appliances!$D90*J$8*$B14</f>
        <v>27061.824065178982</v>
      </c>
      <c r="K14" s="604">
        <f>Appliances!$D90*K$8*$B14</f>
        <v>27383.109009096814</v>
      </c>
      <c r="L14" s="604">
        <f>Appliances!$D90*L$8*$B14</f>
        <v>27664.891868027367</v>
      </c>
      <c r="M14" s="604">
        <f>Appliances!$D90*M$8*$B14</f>
        <v>27934.286592325698</v>
      </c>
      <c r="N14" s="604">
        <f>Appliances!$D90*N$8*$B14</f>
        <v>28310.066202392518</v>
      </c>
      <c r="O14" s="604">
        <f>Appliances!$D90*O$8*$B14</f>
        <v>28551.02566954798</v>
      </c>
      <c r="P14" s="604">
        <f>Appliances!$D90*P$8*$B14</f>
        <v>28875.658004771762</v>
      </c>
      <c r="Q14" s="604">
        <f>Appliances!$D90*Q$8*$B14</f>
        <v>29031.544337732255</v>
      </c>
      <c r="R14" s="604">
        <f>Appliances!$D90*R$8*$B14</f>
        <v>29199.950673479099</v>
      </c>
      <c r="S14" s="604">
        <f>Appliances!$D90*S$8*$B14</f>
        <v>29357.839059854599</v>
      </c>
      <c r="T14" s="604">
        <f>Appliances!$D90*T$8*$B14</f>
        <v>30226.722075063291</v>
      </c>
      <c r="U14" s="604">
        <f>Appliances!$D90*U$8*$B14</f>
        <v>30559.847544912387</v>
      </c>
      <c r="V14" s="604">
        <f>Appliances!$D90*V$8*$B14</f>
        <v>30700.315786767627</v>
      </c>
      <c r="W14" s="604">
        <f>Appliances!$D90*W$8*$B14</f>
        <v>30959.768022198099</v>
      </c>
      <c r="X14" s="604">
        <f>Appliances!$D90*X$8*$B14</f>
        <v>31194.412576984796</v>
      </c>
      <c r="Y14" s="604">
        <f>Appliances!$D90*Y$8*$B14</f>
        <v>31482.183856048847</v>
      </c>
      <c r="Z14" s="604">
        <f>Appliances!$D90*Z$8*$B14</f>
        <v>31763.843116305157</v>
      </c>
      <c r="AA14" s="604">
        <f>Appliances!$D90*AA$8*$B14</f>
        <v>32043.113968371974</v>
      </c>
      <c r="AB14" s="604">
        <f>Appliances!$D90*AB$8*$B14</f>
        <v>32322.051694110061</v>
      </c>
      <c r="AC14" s="604">
        <f>Appliances!$D90*AC$8*$B14</f>
        <v>32624.781398979387</v>
      </c>
      <c r="AD14" s="604">
        <f>Appliances!$D90*AD$8*$B14</f>
        <v>32935.913810425533</v>
      </c>
      <c r="AE14" s="604">
        <f>Appliances!$D90*AE$8*$B14</f>
        <v>33245.323531035567</v>
      </c>
      <c r="AF14" s="604">
        <f>Appliances!$D90*AF$8*$B14</f>
        <v>33554.024249043985</v>
      </c>
      <c r="AG14" s="604">
        <f>Appliances!$D90*AG$8*$B14</f>
        <v>33862.404921305897</v>
      </c>
      <c r="AH14" s="604">
        <f>Appliances!$D90*AH$8*$B14</f>
        <v>34170.475566745066</v>
      </c>
      <c r="AI14" s="604">
        <f>Appliances!$D90*AI$8*$B14</f>
        <v>34479.614400298196</v>
      </c>
      <c r="AJ14" s="604">
        <f>Appliances!$D90*AJ$8*$B14</f>
        <v>34788.354518272732</v>
      </c>
      <c r="AK14" s="604">
        <f>Appliances!$D90*AK$8*$B14</f>
        <v>35096.960715720168</v>
      </c>
      <c r="AL14" s="604">
        <f>Appliances!$D90*AL$8*$B14</f>
        <v>35405.548009055405</v>
      </c>
      <c r="AM14" s="604">
        <f>Appliances!$D90*AM$8*$B14</f>
        <v>35714.176626605302</v>
      </c>
      <c r="AN14" s="604">
        <f>Appliances!$D90*AN$8*$B14</f>
        <v>36022.916838577345</v>
      </c>
      <c r="AO14" s="604">
        <f>Appliances!$D90*AO$8*$B14</f>
        <v>36331.577326233179</v>
      </c>
      <c r="AP14" s="604">
        <f>Appliances!$D90*AP$8*$B14</f>
        <v>36640.221887825268</v>
      </c>
      <c r="AQ14" s="604">
        <f>Appliances!$D90*AQ$8*$B14</f>
        <v>36948.874122246285</v>
      </c>
      <c r="AR14" s="604">
        <f>Appliances!$D90*AR$8*$B14</f>
        <v>37257.539344884462</v>
      </c>
      <c r="AS14" s="604">
        <f>Appliances!$D90*AS$8*$B14</f>
        <v>37566.211888540296</v>
      </c>
      <c r="AT14" s="604">
        <f>Appliances!$D90*AT$8*$B14</f>
        <v>37874.870898532885</v>
      </c>
      <c r="AU14" s="604">
        <f>Appliances!$D90*AU$8*$B14</f>
        <v>38183.529612992825</v>
      </c>
    </row>
    <row r="15" spans="1:47">
      <c r="A15" s="12" t="s">
        <v>40</v>
      </c>
      <c r="B15" s="300">
        <v>1</v>
      </c>
      <c r="C15" s="604">
        <f>Appliances!$D91*C$8*$B15</f>
        <v>49454.076632960212</v>
      </c>
      <c r="D15" s="604">
        <f>Appliances!$D91*D$8*$B15</f>
        <v>49903.211514039169</v>
      </c>
      <c r="E15" s="604">
        <f>Appliances!$D91*E$8*$B15</f>
        <v>50547.061641643704</v>
      </c>
      <c r="F15" s="604">
        <f>Appliances!$D91*F$8*$B15</f>
        <v>51581.198429898919</v>
      </c>
      <c r="G15" s="604">
        <f>Appliances!$D91*G$8*$B15</f>
        <v>52476.099551459272</v>
      </c>
      <c r="H15" s="604">
        <f>Appliances!$D91*H$8*$B15</f>
        <v>53048.470164897924</v>
      </c>
      <c r="I15" s="604">
        <f>Appliances!$D91*I$8*$B15</f>
        <v>53536.873471217186</v>
      </c>
      <c r="J15" s="604">
        <f>Appliances!$D91*J$8*$B15</f>
        <v>54017.514433156022</v>
      </c>
      <c r="K15" s="604">
        <f>Appliances!$D91*K$8*$B15</f>
        <v>54658.824274408304</v>
      </c>
      <c r="L15" s="604">
        <f>Appliances!$D91*L$8*$B15</f>
        <v>55221.284868810093</v>
      </c>
      <c r="M15" s="604">
        <f>Appliances!$D91*M$8*$B15</f>
        <v>55759.017778940331</v>
      </c>
      <c r="N15" s="604">
        <f>Appliances!$D91*N$8*$B15</f>
        <v>56509.103230001587</v>
      </c>
      <c r="O15" s="604">
        <f>Appliances!$D91*O$8*$B15</f>
        <v>56990.077146006894</v>
      </c>
      <c r="P15" s="604">
        <f>Appliances!$D91*P$8*$B15</f>
        <v>57638.068641745849</v>
      </c>
      <c r="Q15" s="604">
        <f>Appliances!$D91*Q$8*$B15</f>
        <v>57949.229937464275</v>
      </c>
      <c r="R15" s="604">
        <f>Appliances!$D91*R$8*$B15</f>
        <v>58285.382136589142</v>
      </c>
      <c r="S15" s="604">
        <f>Appliances!$D91*S$8*$B15</f>
        <v>58600.539687289514</v>
      </c>
      <c r="T15" s="604">
        <f>Appliances!$D91*T$8*$B15</f>
        <v>60334.898047676303</v>
      </c>
      <c r="U15" s="604">
        <f>Appliances!$D91*U$8*$B15</f>
        <v>60999.842503463362</v>
      </c>
      <c r="V15" s="604">
        <f>Appliances!$D91*V$8*$B15</f>
        <v>61280.22808514256</v>
      </c>
      <c r="W15" s="604">
        <f>Appliances!$D91*W$8*$B15</f>
        <v>61798.115010958238</v>
      </c>
      <c r="X15" s="604">
        <f>Appliances!$D91*X$8*$B15</f>
        <v>62266.483868664356</v>
      </c>
      <c r="Y15" s="604">
        <f>Appliances!$D91*Y$8*$B15</f>
        <v>62840.897817363839</v>
      </c>
      <c r="Z15" s="604">
        <f>Appliances!$D91*Z$8*$B15</f>
        <v>63403.111699158457</v>
      </c>
      <c r="AA15" s="604">
        <f>Appliances!$D91*AA$8*$B15</f>
        <v>63960.558131665937</v>
      </c>
      <c r="AB15" s="604">
        <f>Appliances!$D91*AB$8*$B15</f>
        <v>64517.339618003236</v>
      </c>
      <c r="AC15" s="604">
        <f>Appliances!$D91*AC$8*$B15</f>
        <v>65121.611752902121</v>
      </c>
      <c r="AD15" s="604">
        <f>Appliances!$D91*AD$8*$B15</f>
        <v>65742.656346401651</v>
      </c>
      <c r="AE15" s="604">
        <f>Appliances!$D91*AE$8*$B15</f>
        <v>66360.262314445659</v>
      </c>
      <c r="AF15" s="604">
        <f>Appliances!$D91*AF$8*$B15</f>
        <v>66976.45305792187</v>
      </c>
      <c r="AG15" s="604">
        <f>Appliances!$D91*AG$8*$B15</f>
        <v>67592.004965091663</v>
      </c>
      <c r="AH15" s="604">
        <f>Appliances!$D91*AH$8*$B15</f>
        <v>68206.938034509352</v>
      </c>
      <c r="AI15" s="604">
        <f>Appliances!$D91*AI$8*$B15</f>
        <v>68824.003290830791</v>
      </c>
      <c r="AJ15" s="604">
        <f>Appliances!$D91*AJ$8*$B15</f>
        <v>69440.272679716625</v>
      </c>
      <c r="AK15" s="604">
        <f>Appliances!$D91*AK$8*$B15</f>
        <v>70056.274752770812</v>
      </c>
      <c r="AL15" s="604">
        <f>Appliances!$D91*AL$8*$B15</f>
        <v>70672.239091740601</v>
      </c>
      <c r="AM15" s="604">
        <f>Appliances!$D91*AM$8*$B15</f>
        <v>71288.285917070389</v>
      </c>
      <c r="AN15" s="604">
        <f>Appliances!$D91*AN$8*$B15</f>
        <v>71904.555493582593</v>
      </c>
      <c r="AO15" s="604">
        <f>Appliances!$D91*AO$8*$B15</f>
        <v>72520.66593413295</v>
      </c>
      <c r="AP15" s="604">
        <f>Appliances!$D91*AP$8*$B15</f>
        <v>73136.744585016218</v>
      </c>
      <c r="AQ15" s="604">
        <f>Appliances!$D91*AQ$8*$B15</f>
        <v>73752.838551465291</v>
      </c>
      <c r="AR15" s="604">
        <f>Appliances!$D91*AR$8*$B15</f>
        <v>74368.958443410229</v>
      </c>
      <c r="AS15" s="604">
        <f>Appliances!$D91*AS$8*$B15</f>
        <v>74985.092948678212</v>
      </c>
      <c r="AT15" s="604">
        <f>Appliances!$D91*AT$8*$B15</f>
        <v>75601.200439697335</v>
      </c>
      <c r="AU15" s="604">
        <f>Appliances!$D91*AU$8*$B15</f>
        <v>76217.307340810206</v>
      </c>
    </row>
    <row r="16" spans="1:47">
      <c r="A16" s="12" t="s">
        <v>150</v>
      </c>
      <c r="B16" s="300">
        <v>1</v>
      </c>
      <c r="C16" s="604">
        <f>Appliances!$D92*C$8*$B16</f>
        <v>29627.918225338759</v>
      </c>
      <c r="D16" s="604">
        <f>Appliances!$D92*D$8*$B16</f>
        <v>29896.994759261666</v>
      </c>
      <c r="E16" s="604">
        <f>Appliances!$D92*E$8*$B16</f>
        <v>30282.725122232943</v>
      </c>
      <c r="F16" s="604">
        <f>Appliances!$D92*F$8*$B16</f>
        <v>30902.276072979428</v>
      </c>
      <c r="G16" s="604">
        <f>Appliances!$D92*G$8*$B16</f>
        <v>31438.41098954327</v>
      </c>
      <c r="H16" s="604">
        <f>Appliances!$D92*H$8*$B16</f>
        <v>31781.318003163356</v>
      </c>
      <c r="I16" s="604">
        <f>Appliances!$D92*I$8*$B16</f>
        <v>32073.92023549314</v>
      </c>
      <c r="J16" s="604">
        <f>Appliances!$D92*J$8*$B16</f>
        <v>32361.872050300273</v>
      </c>
      <c r="K16" s="604">
        <f>Appliances!$D92*K$8*$B16</f>
        <v>32746.080528698269</v>
      </c>
      <c r="L16" s="604">
        <f>Appliances!$D92*L$8*$B16</f>
        <v>33083.05045373788</v>
      </c>
      <c r="M16" s="604">
        <f>Appliances!$D92*M$8*$B16</f>
        <v>33405.206032673384</v>
      </c>
      <c r="N16" s="604">
        <f>Appliances!$D92*N$8*$B16</f>
        <v>33854.581936928917</v>
      </c>
      <c r="O16" s="604">
        <f>Appliances!$D92*O$8*$B16</f>
        <v>34142.733224388787</v>
      </c>
      <c r="P16" s="604">
        <f>Appliances!$D92*P$8*$B16</f>
        <v>34530.944679411143</v>
      </c>
      <c r="Q16" s="604">
        <f>Appliances!$D92*Q$8*$B16</f>
        <v>34717.36129159174</v>
      </c>
      <c r="R16" s="604">
        <f>Appliances!$D92*R$8*$B16</f>
        <v>34918.749944358562</v>
      </c>
      <c r="S16" s="604">
        <f>Appliances!$D92*S$8*$B16</f>
        <v>35107.5607113566</v>
      </c>
      <c r="T16" s="604">
        <f>Appliances!$D92*T$8*$B16</f>
        <v>36146.614135735472</v>
      </c>
      <c r="U16" s="604">
        <f>Appliances!$D92*U$8*$B16</f>
        <v>36544.982102580107</v>
      </c>
      <c r="V16" s="604">
        <f>Appliances!$D92*V$8*$B16</f>
        <v>36712.960996356858</v>
      </c>
      <c r="W16" s="604">
        <f>Appliances!$D92*W$8*$B16</f>
        <v>37023.226853748536</v>
      </c>
      <c r="X16" s="604">
        <f>Appliances!$D92*X$8*$B16</f>
        <v>37303.826455645933</v>
      </c>
      <c r="Y16" s="604">
        <f>Appliances!$D92*Y$8*$B16</f>
        <v>37647.95763063222</v>
      </c>
      <c r="Z16" s="604">
        <f>Appliances!$D92*Z$8*$B16</f>
        <v>37984.779750244081</v>
      </c>
      <c r="AA16" s="604">
        <f>Appliances!$D92*AA$8*$B16</f>
        <v>38318.745692827884</v>
      </c>
      <c r="AB16" s="604">
        <f>Appliances!$D92*AB$8*$B16</f>
        <v>38652.313266417761</v>
      </c>
      <c r="AC16" s="604">
        <f>Appliances!$D92*AC$8*$B16</f>
        <v>39014.332469233144</v>
      </c>
      <c r="AD16" s="604">
        <f>Appliances!$D92*AD$8*$B16</f>
        <v>39386.400045523296</v>
      </c>
      <c r="AE16" s="604">
        <f>Appliances!$D92*AE$8*$B16</f>
        <v>39756.407542630077</v>
      </c>
      <c r="AF16" s="604">
        <f>Appliances!$D92*AF$8*$B16</f>
        <v>40125.567179244477</v>
      </c>
      <c r="AG16" s="604">
        <f>Appliances!$D92*AG$8*$B16</f>
        <v>40494.344089274229</v>
      </c>
      <c r="AH16" s="604">
        <f>Appliances!$D92*AH$8*$B16</f>
        <v>40862.750253845523</v>
      </c>
      <c r="AI16" s="604">
        <f>Appliances!$D92*AI$8*$B16</f>
        <v>41232.433810768001</v>
      </c>
      <c r="AJ16" s="604">
        <f>Appliances!$D92*AJ$8*$B16</f>
        <v>41601.640563816945</v>
      </c>
      <c r="AK16" s="604">
        <f>Appliances!$D92*AK$8*$B16</f>
        <v>41970.687168054319</v>
      </c>
      <c r="AL16" s="604">
        <f>Appliances!$D92*AL$8*$B16</f>
        <v>42339.71116581629</v>
      </c>
      <c r="AM16" s="604">
        <f>Appliances!$D92*AM$8*$B16</f>
        <v>42708.784581124695</v>
      </c>
      <c r="AN16" s="604">
        <f>Appliances!$D92*AN$8*$B16</f>
        <v>43077.991446580527</v>
      </c>
      <c r="AO16" s="604">
        <f>Appliances!$D92*AO$8*$B16</f>
        <v>43447.102973743029</v>
      </c>
      <c r="AP16" s="604">
        <f>Appliances!$D92*AP$8*$B16</f>
        <v>43816.195455728252</v>
      </c>
      <c r="AQ16" s="604">
        <f>Appliances!$D92*AQ$8*$B16</f>
        <v>44185.297113263034</v>
      </c>
      <c r="AR16" s="604">
        <f>Appliances!$D92*AR$8*$B16</f>
        <v>44554.41430275239</v>
      </c>
      <c r="AS16" s="604">
        <f>Appliances!$D92*AS$8*$B16</f>
        <v>44923.540247077923</v>
      </c>
      <c r="AT16" s="604">
        <f>Appliances!$D92*AT$8*$B16</f>
        <v>45292.650007177406</v>
      </c>
      <c r="AU16" s="604">
        <f>Appliances!$D92*AU$8*$B16</f>
        <v>45661.759413864282</v>
      </c>
    </row>
    <row r="17" spans="1:47">
      <c r="A17" s="12" t="s">
        <v>148</v>
      </c>
      <c r="B17" s="300">
        <v>1</v>
      </c>
      <c r="C17" s="604">
        <f>Appliances!$D93*C$8*$B17</f>
        <v>26767.735825455264</v>
      </c>
      <c r="D17" s="604">
        <f>Appliances!$D93*D$8*$B17</f>
        <v>27010.836590149476</v>
      </c>
      <c r="E17" s="604">
        <f>Appliances!$D93*E$8*$B17</f>
        <v>27359.329804466564</v>
      </c>
      <c r="F17" s="604">
        <f>Appliances!$D93*F$8*$B17</f>
        <v>27919.071331152987</v>
      </c>
      <c r="G17" s="604">
        <f>Appliances!$D93*G$8*$B17</f>
        <v>28403.449534988784</v>
      </c>
      <c r="H17" s="604">
        <f>Appliances!$D93*H$8*$B17</f>
        <v>28713.253426152092</v>
      </c>
      <c r="I17" s="604">
        <f>Appliances!$D93*I$8*$B17</f>
        <v>28977.6087952122</v>
      </c>
      <c r="J17" s="604">
        <f>Appliances!$D93*J$8*$B17</f>
        <v>29237.762682859484</v>
      </c>
      <c r="K17" s="604">
        <f>Appliances!$D93*K$8*$B17</f>
        <v>29584.880930366395</v>
      </c>
      <c r="L17" s="604">
        <f>Appliances!$D93*L$8*$B17</f>
        <v>29889.32088007807</v>
      </c>
      <c r="M17" s="604">
        <f>Appliances!$D93*M$8*$B17</f>
        <v>30180.376612244469</v>
      </c>
      <c r="N17" s="604">
        <f>Appliances!$D93*N$8*$B17</f>
        <v>30586.371235287203</v>
      </c>
      <c r="O17" s="604">
        <f>Appliances!$D93*O$8*$B17</f>
        <v>30846.705339149212</v>
      </c>
      <c r="P17" s="604">
        <f>Appliances!$D93*P$8*$B17</f>
        <v>31197.440128999107</v>
      </c>
      <c r="Q17" s="604">
        <f>Appliances!$D93*Q$8*$B17</f>
        <v>31365.860690659058</v>
      </c>
      <c r="R17" s="604">
        <f>Appliances!$D93*R$8*$B17</f>
        <v>31547.807941036452</v>
      </c>
      <c r="S17" s="604">
        <f>Appliances!$D93*S$8*$B17</f>
        <v>31718.391533631988</v>
      </c>
      <c r="T17" s="604">
        <f>Appliances!$D93*T$8*$B17</f>
        <v>32657.138136102407</v>
      </c>
      <c r="U17" s="604">
        <f>Appliances!$D93*U$8*$B17</f>
        <v>33017.048961315275</v>
      </c>
      <c r="V17" s="604">
        <f>Appliances!$D93*V$8*$B17</f>
        <v>33168.811721650658</v>
      </c>
      <c r="W17" s="604">
        <f>Appliances!$D93*W$8*$B17</f>
        <v>33449.125527134835</v>
      </c>
      <c r="X17" s="604">
        <f>Appliances!$D93*X$8*$B17</f>
        <v>33702.636960479271</v>
      </c>
      <c r="Y17" s="604">
        <f>Appliances!$D93*Y$8*$B17</f>
        <v>34013.546836471105</v>
      </c>
      <c r="Z17" s="604">
        <f>Appliances!$D93*Z$8*$B17</f>
        <v>34317.853249407992</v>
      </c>
      <c r="AA17" s="604">
        <f>Appliances!$D93*AA$8*$B17</f>
        <v>34619.579211312979</v>
      </c>
      <c r="AB17" s="604">
        <f>Appliances!$D93*AB$8*$B17</f>
        <v>34920.945261464811</v>
      </c>
      <c r="AC17" s="604">
        <f>Appliances!$D93*AC$8*$B17</f>
        <v>35248.016313538137</v>
      </c>
      <c r="AD17" s="604">
        <f>Appliances!$D93*AD$8*$B17</f>
        <v>35584.165701949591</v>
      </c>
      <c r="AE17" s="604">
        <f>Appliances!$D93*AE$8*$B17</f>
        <v>35918.453884489594</v>
      </c>
      <c r="AF17" s="604">
        <f>Appliances!$D93*AF$8*$B17</f>
        <v>36251.976056218293</v>
      </c>
      <c r="AG17" s="604">
        <f>Appliances!$D93*AG$8*$B17</f>
        <v>36585.152448536057</v>
      </c>
      <c r="AH17" s="604">
        <f>Appliances!$D93*AH$8*$B17</f>
        <v>36917.993885950309</v>
      </c>
      <c r="AI17" s="604">
        <f>Appliances!$D93*AI$8*$B17</f>
        <v>37251.989400432743</v>
      </c>
      <c r="AJ17" s="604">
        <f>Appliances!$D93*AJ$8*$B17</f>
        <v>37585.554140129374</v>
      </c>
      <c r="AK17" s="604">
        <f>Appliances!$D93*AK$8*$B17</f>
        <v>37918.97419125733</v>
      </c>
      <c r="AL17" s="604">
        <f>Appliances!$D93*AL$8*$B17</f>
        <v>38252.373818265136</v>
      </c>
      <c r="AM17" s="604">
        <f>Appliances!$D93*AM$8*$B17</f>
        <v>38585.818092210953</v>
      </c>
      <c r="AN17" s="604">
        <f>Appliances!$D93*AN$8*$B17</f>
        <v>38919.382933463079</v>
      </c>
      <c r="AO17" s="604">
        <f>Appliances!$D93*AO$8*$B17</f>
        <v>39252.861640069146</v>
      </c>
      <c r="AP17" s="604">
        <f>Appliances!$D93*AP$8*$B17</f>
        <v>39586.323140057102</v>
      </c>
      <c r="AQ17" s="604">
        <f>Appliances!$D93*AQ$8*$B17</f>
        <v>39919.792929817049</v>
      </c>
      <c r="AR17" s="604">
        <f>Appliances!$D93*AR$8*$B17</f>
        <v>40253.276752127436</v>
      </c>
      <c r="AS17" s="604">
        <f>Appliances!$D93*AS$8*$B17</f>
        <v>40586.768484110733</v>
      </c>
      <c r="AT17" s="604">
        <f>Appliances!$D93*AT$8*$B17</f>
        <v>40920.245594240267</v>
      </c>
      <c r="AU17" s="604">
        <f>Appliances!$D93*AU$8*$B17</f>
        <v>41253.722385074485</v>
      </c>
    </row>
    <row r="18" spans="1:47">
      <c r="A18" s="12" t="s">
        <v>224</v>
      </c>
      <c r="B18" s="300">
        <v>1</v>
      </c>
      <c r="C18" s="604">
        <f t="shared" ref="C18:AG18" si="0">SUM(C11:C17)</f>
        <v>164421.87923768684</v>
      </c>
      <c r="D18" s="604">
        <f t="shared" si="0"/>
        <v>165915.13532911649</v>
      </c>
      <c r="E18" s="604">
        <f t="shared" si="0"/>
        <v>168055.76872348477</v>
      </c>
      <c r="F18" s="604">
        <f t="shared" si="0"/>
        <v>171494.0032572264</v>
      </c>
      <c r="G18" s="604">
        <f t="shared" si="0"/>
        <v>174469.31559054373</v>
      </c>
      <c r="H18" s="604">
        <f t="shared" si="0"/>
        <v>176372.29828255676</v>
      </c>
      <c r="I18" s="604">
        <f t="shared" si="0"/>
        <v>177996.11162451678</v>
      </c>
      <c r="J18" s="604">
        <f t="shared" si="0"/>
        <v>179594.11720021733</v>
      </c>
      <c r="K18" s="604">
        <f t="shared" si="0"/>
        <v>181726.30480640641</v>
      </c>
      <c r="L18" s="604">
        <f t="shared" si="0"/>
        <v>183596.33927525446</v>
      </c>
      <c r="M18" s="604">
        <f t="shared" si="0"/>
        <v>185384.16065685186</v>
      </c>
      <c r="N18" s="604">
        <f t="shared" si="0"/>
        <v>187877.99873551374</v>
      </c>
      <c r="O18" s="604">
        <f t="shared" si="0"/>
        <v>189477.1112964628</v>
      </c>
      <c r="P18" s="604">
        <f t="shared" si="0"/>
        <v>191631.51365746913</v>
      </c>
      <c r="Q18" s="604">
        <f t="shared" si="0"/>
        <v>192666.04363904722</v>
      </c>
      <c r="R18" s="604">
        <f t="shared" si="0"/>
        <v>193783.66184270315</v>
      </c>
      <c r="S18" s="604">
        <f t="shared" si="0"/>
        <v>194831.47832761484</v>
      </c>
      <c r="T18" s="604">
        <f t="shared" si="0"/>
        <v>200597.76657525206</v>
      </c>
      <c r="U18" s="604">
        <f t="shared" si="0"/>
        <v>202808.5330975072</v>
      </c>
      <c r="V18" s="604">
        <f t="shared" si="0"/>
        <v>203740.74187360069</v>
      </c>
      <c r="W18" s="604">
        <f t="shared" si="0"/>
        <v>205462.58054439878</v>
      </c>
      <c r="X18" s="604">
        <f t="shared" si="0"/>
        <v>207019.78458102461</v>
      </c>
      <c r="Y18" s="604">
        <f t="shared" si="0"/>
        <v>208929.56082872351</v>
      </c>
      <c r="Z18" s="604">
        <f t="shared" si="0"/>
        <v>210798.77504263475</v>
      </c>
      <c r="AA18" s="604">
        <f t="shared" si="0"/>
        <v>212652.13873371089</v>
      </c>
      <c r="AB18" s="604">
        <f t="shared" si="0"/>
        <v>214503.29165256483</v>
      </c>
      <c r="AC18" s="604">
        <f t="shared" si="0"/>
        <v>216512.33856549062</v>
      </c>
      <c r="AD18" s="604">
        <f t="shared" si="0"/>
        <v>218577.14951952916</v>
      </c>
      <c r="AE18" s="604">
        <f t="shared" si="0"/>
        <v>220630.5279426646</v>
      </c>
      <c r="AF18" s="604">
        <f t="shared" si="0"/>
        <v>222679.20111400235</v>
      </c>
      <c r="AG18" s="604">
        <f t="shared" si="0"/>
        <v>224725.75032159075</v>
      </c>
      <c r="AH18" s="604">
        <f t="shared" ref="AH18:AU18" si="1">SUM(AH11:AH17)</f>
        <v>226770.24205539591</v>
      </c>
      <c r="AI18" s="604">
        <f t="shared" si="1"/>
        <v>228821.82275337694</v>
      </c>
      <c r="AJ18" s="604">
        <f t="shared" si="1"/>
        <v>230870.75740014645</v>
      </c>
      <c r="AK18" s="604">
        <f t="shared" si="1"/>
        <v>232918.80329164283</v>
      </c>
      <c r="AL18" s="604">
        <f t="shared" si="1"/>
        <v>234966.72372717099</v>
      </c>
      <c r="AM18" s="604">
        <f t="shared" si="1"/>
        <v>237014.91840828699</v>
      </c>
      <c r="AN18" s="604">
        <f t="shared" si="1"/>
        <v>239063.85367886524</v>
      </c>
      <c r="AO18" s="604">
        <f t="shared" si="1"/>
        <v>241112.25986396288</v>
      </c>
      <c r="AP18" s="604">
        <f t="shared" si="1"/>
        <v>243160.56035672617</v>
      </c>
      <c r="AQ18" s="604">
        <f t="shared" si="1"/>
        <v>245208.91176974284</v>
      </c>
      <c r="AR18" s="604">
        <f t="shared" si="1"/>
        <v>247257.34937825717</v>
      </c>
      <c r="AS18" s="604">
        <f t="shared" si="1"/>
        <v>249305.83557225126</v>
      </c>
      <c r="AT18" s="604">
        <f t="shared" si="1"/>
        <v>251354.23195092843</v>
      </c>
      <c r="AU18" s="604">
        <f t="shared" si="1"/>
        <v>253402.62636832154</v>
      </c>
    </row>
    <row r="19" spans="1:47">
      <c r="B19" s="301"/>
    </row>
    <row r="20" spans="1:47" s="603" customFormat="1" ht="13.5" thickBot="1">
      <c r="A20" s="85" t="s">
        <v>635</v>
      </c>
      <c r="B20" s="302"/>
    </row>
    <row r="21" spans="1:47">
      <c r="A21" s="12" t="s">
        <v>531</v>
      </c>
      <c r="B21" s="300">
        <v>1</v>
      </c>
      <c r="C21" s="604">
        <f>Appliances!$F87*C$8*$B21</f>
        <v>7483.9057739845139</v>
      </c>
      <c r="D21" s="604">
        <f>Appliances!$F87*D$8*$B21</f>
        <v>7551.8735404186455</v>
      </c>
      <c r="E21" s="604">
        <f>Appliances!$F87*E$8*$B21</f>
        <v>7649.3076452614569</v>
      </c>
      <c r="F21" s="604">
        <f>Appliances!$F87*F$8*$B21</f>
        <v>7805.8039911168935</v>
      </c>
      <c r="G21" s="604">
        <f>Appliances!$F87*G$8*$B21</f>
        <v>7941.2297462168699</v>
      </c>
      <c r="H21" s="604">
        <f>Appliances!$F87*H$8*$B21</f>
        <v>8027.846826757358</v>
      </c>
      <c r="I21" s="604">
        <f>Appliances!$F87*I$8*$B21</f>
        <v>8101.7571001474344</v>
      </c>
      <c r="J21" s="604">
        <f>Appliances!$F87*J$8*$B21</f>
        <v>8174.4926947671529</v>
      </c>
      <c r="K21" s="604">
        <f>Appliances!$F87*K$8*$B21</f>
        <v>8271.5423770306024</v>
      </c>
      <c r="L21" s="604">
        <f>Appliances!$F87*L$8*$B21</f>
        <v>8356.6597703109128</v>
      </c>
      <c r="M21" s="604">
        <f>Appliances!$F87*M$8*$B21</f>
        <v>8438.0351129515839</v>
      </c>
      <c r="N21" s="604">
        <f>Appliances!$F87*N$8*$B21</f>
        <v>8551.54585302347</v>
      </c>
      <c r="O21" s="604">
        <f>Appliances!$F87*O$8*$B21</f>
        <v>8624.3318337191267</v>
      </c>
      <c r="P21" s="604">
        <f>Appliances!$F87*P$8*$B21</f>
        <v>8722.3926535064584</v>
      </c>
      <c r="Q21" s="604">
        <f>Appliances!$F87*Q$8*$B21</f>
        <v>8769.4808204729725</v>
      </c>
      <c r="R21" s="604">
        <f>Appliances!$F87*R$8*$B21</f>
        <v>8820.3508711391587</v>
      </c>
      <c r="S21" s="604">
        <f>Appliances!$F87*S$8*$B21</f>
        <v>8868.0437930170974</v>
      </c>
      <c r="T21" s="604">
        <f>Appliances!$F87*T$8*$B21</f>
        <v>9130.5049576201836</v>
      </c>
      <c r="U21" s="604">
        <f>Appliances!$F87*U$8*$B21</f>
        <v>9231.1312758300573</v>
      </c>
      <c r="V21" s="604">
        <f>Appliances!$F87*V$8*$B21</f>
        <v>9273.5621413225999</v>
      </c>
      <c r="W21" s="604">
        <f>Appliances!$F87*W$8*$B21</f>
        <v>9351.9341829876103</v>
      </c>
      <c r="X21" s="604">
        <f>Appliances!$F87*X$8*$B21</f>
        <v>9422.8126350221428</v>
      </c>
      <c r="Y21" s="604">
        <f>Appliances!$F87*Y$8*$B21</f>
        <v>9509.738934328765</v>
      </c>
      <c r="Z21" s="604">
        <f>Appliances!$F87*Z$8*$B21</f>
        <v>9594.8189924886756</v>
      </c>
      <c r="AA21" s="604">
        <f>Appliances!$F87*AA$8*$B21</f>
        <v>9679.1775905855084</v>
      </c>
      <c r="AB21" s="604">
        <f>Appliances!$F87*AB$8*$B21</f>
        <v>9763.4355621046889</v>
      </c>
      <c r="AC21" s="604">
        <f>Appliances!$F87*AC$8*$B21</f>
        <v>9854.8803130195956</v>
      </c>
      <c r="AD21" s="604">
        <f>Appliances!$F87*AD$8*$B21</f>
        <v>9948.8632469986987</v>
      </c>
      <c r="AE21" s="604">
        <f>Appliances!$F87*AE$8*$B21</f>
        <v>10042.325812372152</v>
      </c>
      <c r="AF21" s="604">
        <f>Appliances!$F87*AF$8*$B21</f>
        <v>10135.574211229203</v>
      </c>
      <c r="AG21" s="604">
        <f>Appliances!$F87*AG$8*$B21</f>
        <v>10228.725934725035</v>
      </c>
      <c r="AH21" s="604">
        <f>Appliances!$F87*AH$8*$B21</f>
        <v>10321.784009249104</v>
      </c>
      <c r="AI21" s="604">
        <f>Appliances!$F87*AI$8*$B21</f>
        <v>10415.164748495006</v>
      </c>
      <c r="AJ21" s="604">
        <f>Appliances!$F87*AJ$8*$B21</f>
        <v>10508.425048794268</v>
      </c>
      <c r="AK21" s="604">
        <f>Appliances!$F87*AK$8*$B21</f>
        <v>10601.644896078691</v>
      </c>
      <c r="AL21" s="604">
        <f>Appliances!$F87*AL$8*$B21</f>
        <v>10694.859033048588</v>
      </c>
      <c r="AM21" s="604">
        <f>Appliances!$F87*AM$8*$B21</f>
        <v>10788.085652713298</v>
      </c>
      <c r="AN21" s="604">
        <f>Appliances!$F87*AN$8*$B21</f>
        <v>10881.345981406135</v>
      </c>
      <c r="AO21" s="604">
        <f>Appliances!$F87*AO$8*$B21</f>
        <v>10974.582227988361</v>
      </c>
      <c r="AP21" s="604">
        <f>Appliances!$F87*AP$8*$B21</f>
        <v>11067.813663827181</v>
      </c>
      <c r="AQ21" s="604">
        <f>Appliances!$F87*AQ$8*$B21</f>
        <v>11161.047417376878</v>
      </c>
      <c r="AR21" s="604">
        <f>Appliances!$F87*AR$8*$B21</f>
        <v>11254.285094242538</v>
      </c>
      <c r="AS21" s="604">
        <f>Appliances!$F87*AS$8*$B21</f>
        <v>11347.524982548386</v>
      </c>
      <c r="AT21" s="604">
        <f>Appliances!$F87*AT$8*$B21</f>
        <v>11440.760782776835</v>
      </c>
      <c r="AU21" s="604">
        <f>Appliances!$F87*AU$8*$B21</f>
        <v>11533.99649373453</v>
      </c>
    </row>
    <row r="22" spans="1:47">
      <c r="A22" s="12" t="s">
        <v>551</v>
      </c>
      <c r="B22" s="300">
        <v>1</v>
      </c>
      <c r="C22" s="604">
        <f>Appliances!$F88*C$8*$B22</f>
        <v>9045.9079857746838</v>
      </c>
      <c r="D22" s="604">
        <f>Appliances!$F88*D$8*$B22</f>
        <v>9128.0616338469299</v>
      </c>
      <c r="E22" s="604">
        <f>Appliances!$F88*E$8*$B22</f>
        <v>9245.8316824956237</v>
      </c>
      <c r="F22" s="604">
        <f>Appliances!$F88*F$8*$B22</f>
        <v>9434.9911384630304</v>
      </c>
      <c r="G22" s="604">
        <f>Appliances!$F88*G$8*$B22</f>
        <v>9598.6822586528324</v>
      </c>
      <c r="H22" s="604">
        <f>Appliances!$F88*H$8*$B22</f>
        <v>9703.3776094801215</v>
      </c>
      <c r="I22" s="604">
        <f>Appliances!$F88*I$8*$B22</f>
        <v>9792.714053909207</v>
      </c>
      <c r="J22" s="604">
        <f>Appliances!$F88*J$8*$B22</f>
        <v>9880.6306466738806</v>
      </c>
      <c r="K22" s="604">
        <f>Appliances!$F88*K$8*$B22</f>
        <v>9997.9360380452654</v>
      </c>
      <c r="L22" s="604">
        <f>Appliances!$F88*L$8*$B22</f>
        <v>10100.818694622696</v>
      </c>
      <c r="M22" s="604">
        <f>Appliances!$F88*M$8*$B22</f>
        <v>10199.178279052163</v>
      </c>
      <c r="N22" s="604">
        <f>Appliances!$F88*N$8*$B22</f>
        <v>10336.380395313012</v>
      </c>
      <c r="O22" s="604">
        <f>Appliances!$F88*O$8*$B22</f>
        <v>10424.357890475505</v>
      </c>
      <c r="P22" s="604">
        <f>Appliances!$F88*P$8*$B22</f>
        <v>10542.885458779396</v>
      </c>
      <c r="Q22" s="604">
        <f>Appliances!$F88*Q$8*$B22</f>
        <v>10599.801625078362</v>
      </c>
      <c r="R22" s="604">
        <f>Appliances!$F88*R$8*$B22</f>
        <v>10661.289010336155</v>
      </c>
      <c r="S22" s="604">
        <f>Appliances!$F88*S$8*$B22</f>
        <v>10718.936152872382</v>
      </c>
      <c r="T22" s="604">
        <f>Appliances!$F88*T$8*$B22</f>
        <v>11036.176857998835</v>
      </c>
      <c r="U22" s="604">
        <f>Appliances!$F88*U$8*$B22</f>
        <v>11157.805382323397</v>
      </c>
      <c r="V22" s="604">
        <f>Appliances!$F88*V$8*$B22</f>
        <v>11209.092199206711</v>
      </c>
      <c r="W22" s="604">
        <f>Appliances!$F88*W$8*$B22</f>
        <v>11303.82164917165</v>
      </c>
      <c r="X22" s="604">
        <f>Appliances!$F88*X$8*$B22</f>
        <v>11389.493486129742</v>
      </c>
      <c r="Y22" s="604">
        <f>Appliances!$F88*Y$8*$B22</f>
        <v>11494.562594269108</v>
      </c>
      <c r="Z22" s="604">
        <f>Appliances!$F88*Z$8*$B22</f>
        <v>11597.40012333238</v>
      </c>
      <c r="AA22" s="604">
        <f>Appliances!$F88*AA$8*$B22</f>
        <v>11699.365612909436</v>
      </c>
      <c r="AB22" s="604">
        <f>Appliances!$F88*AB$8*$B22</f>
        <v>11801.209473648578</v>
      </c>
      <c r="AC22" s="604">
        <f>Appliances!$F88*AC$8*$B22</f>
        <v>11911.740101310119</v>
      </c>
      <c r="AD22" s="604">
        <f>Appliances!$F88*AD$8*$B22</f>
        <v>12025.338668513279</v>
      </c>
      <c r="AE22" s="604">
        <f>Appliances!$F88*AE$8*$B22</f>
        <v>12138.308258459436</v>
      </c>
      <c r="AF22" s="604">
        <f>Appliances!$F88*AF$8*$B22</f>
        <v>12251.018982158541</v>
      </c>
      <c r="AG22" s="604">
        <f>Appliances!$F88*AG$8*$B22</f>
        <v>12363.612852913675</v>
      </c>
      <c r="AH22" s="604">
        <f>Appliances!$F88*AH$8*$B22</f>
        <v>12476.093528766694</v>
      </c>
      <c r="AI22" s="604">
        <f>Appliances!$F88*AI$8*$B22</f>
        <v>12588.964214258011</v>
      </c>
      <c r="AJ22" s="604">
        <f>Appliances!$F88*AJ$8*$B22</f>
        <v>12701.689323406956</v>
      </c>
      <c r="AK22" s="604">
        <f>Appliances!$F88*AK$8*$B22</f>
        <v>12814.365536396461</v>
      </c>
      <c r="AL22" s="604">
        <f>Appliances!$F88*AL$8*$B22</f>
        <v>12927.034847244046</v>
      </c>
      <c r="AM22" s="604">
        <f>Appliances!$F88*AM$8*$B22</f>
        <v>13039.719246110117</v>
      </c>
      <c r="AN22" s="604">
        <f>Appliances!$F88*AN$8*$B22</f>
        <v>13152.444389578801</v>
      </c>
      <c r="AO22" s="604">
        <f>Appliances!$F88*AO$8*$B22</f>
        <v>13265.140424642959</v>
      </c>
      <c r="AP22" s="604">
        <f>Appliances!$F88*AP$8*$B22</f>
        <v>13377.83064489016</v>
      </c>
      <c r="AQ22" s="604">
        <f>Appliances!$F88*AQ$8*$B22</f>
        <v>13490.523666588901</v>
      </c>
      <c r="AR22" s="604">
        <f>Appliances!$F88*AR$8*$B22</f>
        <v>13603.221430457872</v>
      </c>
      <c r="AS22" s="604">
        <f>Appliances!$F88*AS$8*$B22</f>
        <v>13715.921867327423</v>
      </c>
      <c r="AT22" s="604">
        <f>Appliances!$F88*AT$8*$B22</f>
        <v>13828.617362877148</v>
      </c>
      <c r="AU22" s="604">
        <f>Appliances!$F88*AU$8*$B22</f>
        <v>13941.312750523985</v>
      </c>
    </row>
    <row r="23" spans="1:47">
      <c r="A23" s="12" t="s">
        <v>149</v>
      </c>
      <c r="B23" s="300">
        <v>1</v>
      </c>
      <c r="C23" s="604">
        <f>Appliances!$F89*C$8*$B23</f>
        <v>9878.2871436836122</v>
      </c>
      <c r="D23" s="604">
        <f>Appliances!$F89*D$8*$B23</f>
        <v>9968.0003407264066</v>
      </c>
      <c r="E23" s="604">
        <f>Appliances!$F89*E$8*$B23</f>
        <v>10096.607259933064</v>
      </c>
      <c r="F23" s="604">
        <f>Appliances!$F89*F$8*$B23</f>
        <v>10303.172640094734</v>
      </c>
      <c r="G23" s="604">
        <f>Appliances!$F89*G$8*$B23</f>
        <v>10481.92615943728</v>
      </c>
      <c r="H23" s="604">
        <f>Appliances!$F89*H$8*$B23</f>
        <v>10596.255283689597</v>
      </c>
      <c r="I23" s="604">
        <f>Appliances!$F89*I$8*$B23</f>
        <v>10693.812217924837</v>
      </c>
      <c r="J23" s="604">
        <f>Appliances!$F89*J$8*$B23</f>
        <v>10789.818649715815</v>
      </c>
      <c r="K23" s="604">
        <f>Appliances!$F89*K$8*$B23</f>
        <v>10917.91815518182</v>
      </c>
      <c r="L23" s="604">
        <f>Appliances!$F89*L$8*$B23</f>
        <v>11030.267786128215</v>
      </c>
      <c r="M23" s="604">
        <f>Appliances!$F89*M$8*$B23</f>
        <v>11137.678144475396</v>
      </c>
      <c r="N23" s="604">
        <f>Appliances!$F89*N$8*$B23</f>
        <v>11287.50521581827</v>
      </c>
      <c r="O23" s="604">
        <f>Appliances!$F89*O$8*$B23</f>
        <v>11383.578154075412</v>
      </c>
      <c r="P23" s="604">
        <f>Appliances!$F89*P$8*$B23</f>
        <v>11513.012297777699</v>
      </c>
      <c r="Q23" s="604">
        <f>Appliances!$F89*Q$8*$B23</f>
        <v>11575.165730545639</v>
      </c>
      <c r="R23" s="604">
        <f>Appliances!$F89*R$8*$B23</f>
        <v>11642.311013058566</v>
      </c>
      <c r="S23" s="604">
        <f>Appliances!$F89*S$8*$B23</f>
        <v>11705.262684453104</v>
      </c>
      <c r="T23" s="604">
        <f>Appliances!$F89*T$8*$B23</f>
        <v>12051.694992169685</v>
      </c>
      <c r="U23" s="604">
        <f>Appliances!$F89*U$8*$B23</f>
        <v>12184.515433194503</v>
      </c>
      <c r="V23" s="604">
        <f>Appliances!$F89*V$8*$B23</f>
        <v>12240.521519554832</v>
      </c>
      <c r="W23" s="604">
        <f>Appliances!$F89*W$8*$B23</f>
        <v>12343.967708614951</v>
      </c>
      <c r="X23" s="604">
        <f>Appliances!$F89*X$8*$B23</f>
        <v>12437.522828447005</v>
      </c>
      <c r="Y23" s="604">
        <f>Appliances!$F89*Y$8*$B23</f>
        <v>12552.260102114124</v>
      </c>
      <c r="Z23" s="604">
        <f>Appliances!$F89*Z$8*$B23</f>
        <v>12664.560453038697</v>
      </c>
      <c r="AA23" s="604">
        <f>Appliances!$F89*AA$8*$B23</f>
        <v>12775.908521842006</v>
      </c>
      <c r="AB23" s="604">
        <f>Appliances!$F89*AB$8*$B23</f>
        <v>12887.123769861846</v>
      </c>
      <c r="AC23" s="604">
        <f>Appliances!$F89*AC$8*$B23</f>
        <v>13007.825116805599</v>
      </c>
      <c r="AD23" s="604">
        <f>Appliances!$F89*AD$8*$B23</f>
        <v>13131.87670650876</v>
      </c>
      <c r="AE23" s="604">
        <f>Appliances!$F89*AE$8*$B23</f>
        <v>13255.241442226526</v>
      </c>
      <c r="AF23" s="604">
        <f>Appliances!$F89*AF$8*$B23</f>
        <v>13378.323491549052</v>
      </c>
      <c r="AG23" s="604">
        <f>Appliances!$F89*AG$8*$B23</f>
        <v>13501.277935446456</v>
      </c>
      <c r="AH23" s="604">
        <f>Appliances!$F89*AH$8*$B23</f>
        <v>13624.108768563379</v>
      </c>
      <c r="AI23" s="604">
        <f>Appliances!$F89*AI$8*$B23</f>
        <v>13747.365498914935</v>
      </c>
      <c r="AJ23" s="604">
        <f>Appliances!$F89*AJ$8*$B23</f>
        <v>13870.46325739617</v>
      </c>
      <c r="AK23" s="604">
        <f>Appliances!$F89*AK$8*$B23</f>
        <v>13993.5076204301</v>
      </c>
      <c r="AL23" s="604">
        <f>Appliances!$F89*AL$8*$B23</f>
        <v>14116.54444620631</v>
      </c>
      <c r="AM23" s="604">
        <f>Appliances!$F89*AM$8*$B23</f>
        <v>14239.597748358279</v>
      </c>
      <c r="AN23" s="604">
        <f>Appliances!$F89*AN$8*$B23</f>
        <v>14362.695544317257</v>
      </c>
      <c r="AO23" s="604">
        <f>Appliances!$F89*AO$8*$B23</f>
        <v>14485.761553397722</v>
      </c>
      <c r="AP23" s="604">
        <f>Appliances!$F89*AP$8*$B23</f>
        <v>14608.821212598034</v>
      </c>
      <c r="AQ23" s="604">
        <f>Appliances!$F89*AQ$8*$B23</f>
        <v>14731.883931031618</v>
      </c>
      <c r="AR23" s="604">
        <f>Appliances!$F89*AR$8*$B23</f>
        <v>14854.951827996681</v>
      </c>
      <c r="AS23" s="604">
        <f>Appliances!$F89*AS$8*$B23</f>
        <v>14978.022643924362</v>
      </c>
      <c r="AT23" s="604">
        <f>Appliances!$F89*AT$8*$B23</f>
        <v>15101.088063845782</v>
      </c>
      <c r="AU23" s="604">
        <f>Appliances!$F89*AU$8*$B23</f>
        <v>15224.153365935394</v>
      </c>
    </row>
    <row r="24" spans="1:47">
      <c r="A24" s="12" t="s">
        <v>83</v>
      </c>
      <c r="B24" s="300">
        <v>1</v>
      </c>
      <c r="C24" s="604">
        <f>Appliances!$F90*C$8*$B24</f>
        <v>18774.630197640661</v>
      </c>
      <c r="D24" s="604">
        <f>Appliances!$F90*D$8*$B24</f>
        <v>18945.138715344921</v>
      </c>
      <c r="E24" s="604">
        <f>Appliances!$F90*E$8*$B24</f>
        <v>19189.568474658685</v>
      </c>
      <c r="F24" s="604">
        <f>Appliances!$F90*F$8*$B24</f>
        <v>19582.16575066014</v>
      </c>
      <c r="G24" s="604">
        <f>Appliances!$F90*G$8*$B24</f>
        <v>19921.903923216611</v>
      </c>
      <c r="H24" s="604">
        <f>Appliances!$F90*H$8*$B24</f>
        <v>20139.197366648237</v>
      </c>
      <c r="I24" s="604">
        <f>Appliances!$F90*I$8*$B24</f>
        <v>20324.613657634807</v>
      </c>
      <c r="J24" s="604">
        <f>Appliances!$F90*J$8*$B24</f>
        <v>20507.083070322733</v>
      </c>
      <c r="K24" s="604">
        <f>Appliances!$F90*K$8*$B24</f>
        <v>20750.548441256269</v>
      </c>
      <c r="L24" s="604">
        <f>Appliances!$F90*L$8*$B24</f>
        <v>20964.079668196631</v>
      </c>
      <c r="M24" s="604">
        <f>Appliances!$F90*M$8*$B24</f>
        <v>21168.2233348093</v>
      </c>
      <c r="N24" s="604">
        <f>Appliances!$F90*N$8*$B24</f>
        <v>21452.984024303598</v>
      </c>
      <c r="O24" s="604">
        <f>Appliances!$F90*O$8*$B24</f>
        <v>21635.579838896007</v>
      </c>
      <c r="P24" s="604">
        <f>Appliances!$F90*P$8*$B24</f>
        <v>21881.5818175399</v>
      </c>
      <c r="Q24" s="604">
        <f>Appliances!$F90*Q$8*$B24</f>
        <v>21999.710365410483</v>
      </c>
      <c r="R24" s="604">
        <f>Appliances!$F90*R$8*$B24</f>
        <v>22127.32640150662</v>
      </c>
      <c r="S24" s="604">
        <f>Appliances!$F90*S$8*$B24</f>
        <v>22246.972078288913</v>
      </c>
      <c r="T24" s="604">
        <f>Appliances!$F90*T$8*$B24</f>
        <v>22905.39983719982</v>
      </c>
      <c r="U24" s="604">
        <f>Appliances!$F90*U$8*$B24</f>
        <v>23157.837798018059</v>
      </c>
      <c r="V24" s="604">
        <f>Appliances!$F90*V$8*$B24</f>
        <v>23264.282725659654</v>
      </c>
      <c r="W24" s="604">
        <f>Appliances!$F90*W$8*$B24</f>
        <v>23460.892109119501</v>
      </c>
      <c r="X24" s="604">
        <f>Appliances!$F90*X$8*$B24</f>
        <v>23638.702568806922</v>
      </c>
      <c r="Y24" s="604">
        <f>Appliances!$F90*Y$8*$B24</f>
        <v>23856.771739266609</v>
      </c>
      <c r="Z24" s="604">
        <f>Appliances!$F90*Z$8*$B24</f>
        <v>24070.209304808759</v>
      </c>
      <c r="AA24" s="604">
        <f>Appliances!$F90*AA$8*$B24</f>
        <v>24281.836967033611</v>
      </c>
      <c r="AB24" s="604">
        <f>Appliances!$F90*AB$8*$B24</f>
        <v>24493.212190646795</v>
      </c>
      <c r="AC24" s="604">
        <f>Appliances!$F90*AC$8*$B24</f>
        <v>24722.616653208417</v>
      </c>
      <c r="AD24" s="604">
        <f>Appliances!$F90*AD$8*$B24</f>
        <v>24958.38857279627</v>
      </c>
      <c r="AE24" s="604">
        <f>Appliances!$F90*AE$8*$B24</f>
        <v>25192.855060643982</v>
      </c>
      <c r="AF24" s="604">
        <f>Appliances!$F90*AF$8*$B24</f>
        <v>25426.784275940765</v>
      </c>
      <c r="AG24" s="604">
        <f>Appliances!$F90*AG$8*$B24</f>
        <v>25660.470964913598</v>
      </c>
      <c r="AH24" s="604">
        <f>Appliances!$F90*AH$8*$B24</f>
        <v>25893.922719766957</v>
      </c>
      <c r="AI24" s="604">
        <f>Appliances!$F90*AI$8*$B24</f>
        <v>26128.183933078668</v>
      </c>
      <c r="AJ24" s="604">
        <f>Appliances!$F90*AJ$8*$B24</f>
        <v>26362.143005135145</v>
      </c>
      <c r="AK24" s="604">
        <f>Appliances!$F90*AK$8*$B24</f>
        <v>26596.000594033379</v>
      </c>
      <c r="AL24" s="604">
        <f>Appliances!$F90*AL$8*$B24</f>
        <v>26829.843857651904</v>
      </c>
      <c r="AM24" s="604">
        <f>Appliances!$F90*AM$8*$B24</f>
        <v>27063.718436199564</v>
      </c>
      <c r="AN24" s="604">
        <f>Appliances!$F90*AN$8*$B24</f>
        <v>27297.677579486081</v>
      </c>
      <c r="AO24" s="604">
        <f>Appliances!$F90*AO$8*$B24</f>
        <v>27531.576308767566</v>
      </c>
      <c r="AP24" s="604">
        <f>Appliances!$F90*AP$8*$B24</f>
        <v>27765.462969494049</v>
      </c>
      <c r="AQ24" s="604">
        <f>Appliances!$F90*AQ$8*$B24</f>
        <v>27999.355444586181</v>
      </c>
      <c r="AR24" s="604">
        <f>Appliances!$F90*AR$8*$B24</f>
        <v>28233.25776197304</v>
      </c>
      <c r="AS24" s="604">
        <f>Appliances!$F90*AS$8*$B24</f>
        <v>28467.165627127735</v>
      </c>
      <c r="AT24" s="604">
        <f>Appliances!$F90*AT$8*$B24</f>
        <v>28701.063236656064</v>
      </c>
      <c r="AU24" s="604">
        <f>Appliances!$F90*AU$8*$B24</f>
        <v>28934.960622233764</v>
      </c>
    </row>
    <row r="25" spans="1:47">
      <c r="A25" s="12" t="s">
        <v>40</v>
      </c>
      <c r="B25" s="300">
        <v>1</v>
      </c>
      <c r="C25" s="604">
        <f>Appliances!$F91*C$8*$B25</f>
        <v>139955.03687127741</v>
      </c>
      <c r="D25" s="604">
        <f>Appliances!$F91*D$8*$B25</f>
        <v>141226.08858473087</v>
      </c>
      <c r="E25" s="604">
        <f>Appliances!$F91*E$8*$B25</f>
        <v>143048.18444585169</v>
      </c>
      <c r="F25" s="604">
        <f>Appliances!$F91*F$8*$B25</f>
        <v>145974.79155661396</v>
      </c>
      <c r="G25" s="604">
        <f>Appliances!$F91*G$8*$B25</f>
        <v>148507.36173062975</v>
      </c>
      <c r="H25" s="604">
        <f>Appliances!$F91*H$8*$B25</f>
        <v>150127.17056666114</v>
      </c>
      <c r="I25" s="604">
        <f>Appliances!$F91*I$8*$B25</f>
        <v>151509.35192354466</v>
      </c>
      <c r="J25" s="604">
        <f>Appliances!$F91*J$8*$B25</f>
        <v>152869.56584583156</v>
      </c>
      <c r="K25" s="604">
        <f>Appliances!$F91*K$8*$B25</f>
        <v>154684.47269657551</v>
      </c>
      <c r="L25" s="604">
        <f>Appliances!$F91*L$8*$B25</f>
        <v>156276.23617873256</v>
      </c>
      <c r="M25" s="604">
        <f>Appliances!$F91*M$8*$B25</f>
        <v>157798.02031440113</v>
      </c>
      <c r="N25" s="604">
        <f>Appliances!$F91*N$8*$B25</f>
        <v>159920.7621409045</v>
      </c>
      <c r="O25" s="604">
        <f>Appliances!$F91*O$8*$B25</f>
        <v>161281.91832319953</v>
      </c>
      <c r="P25" s="604">
        <f>Appliances!$F91*P$8*$B25</f>
        <v>163115.73425614074</v>
      </c>
      <c r="Q25" s="604">
        <f>Appliances!$F91*Q$8*$B25</f>
        <v>163996.32072302391</v>
      </c>
      <c r="R25" s="604">
        <f>Appliances!$F91*R$8*$B25</f>
        <v>164947.63144654728</v>
      </c>
      <c r="S25" s="604">
        <f>Appliances!$F91*S$8*$B25</f>
        <v>165839.52731502935</v>
      </c>
      <c r="T25" s="604">
        <f>Appliances!$F91*T$8*$B25</f>
        <v>170747.76147492396</v>
      </c>
      <c r="U25" s="604">
        <f>Appliances!$F91*U$8*$B25</f>
        <v>172629.5542848013</v>
      </c>
      <c r="V25" s="604">
        <f>Appliances!$F91*V$8*$B25</f>
        <v>173423.04548095344</v>
      </c>
      <c r="W25" s="604">
        <f>Appliances!$F91*W$8*$B25</f>
        <v>174888.66548101182</v>
      </c>
      <c r="X25" s="604">
        <f>Appliances!$F91*X$8*$B25</f>
        <v>176214.14934832012</v>
      </c>
      <c r="Y25" s="604">
        <f>Appliances!$F91*Y$8*$B25</f>
        <v>177839.74082313967</v>
      </c>
      <c r="Z25" s="604">
        <f>Appliances!$F91*Z$8*$B25</f>
        <v>179430.80610861845</v>
      </c>
      <c r="AA25" s="604">
        <f>Appliances!$F91*AA$8*$B25</f>
        <v>181008.3795126146</v>
      </c>
      <c r="AB25" s="604">
        <f>Appliances!$F91*AB$8*$B25</f>
        <v>182584.07111894916</v>
      </c>
      <c r="AC25" s="604">
        <f>Appliances!$F91*AC$8*$B25</f>
        <v>184294.16126071301</v>
      </c>
      <c r="AD25" s="604">
        <f>Appliances!$F91*AD$8*$B25</f>
        <v>186051.71746031669</v>
      </c>
      <c r="AE25" s="604">
        <f>Appliances!$F91*AE$8*$B25</f>
        <v>187799.5423498812</v>
      </c>
      <c r="AF25" s="604">
        <f>Appliances!$F91*AF$8*$B25</f>
        <v>189543.36215391889</v>
      </c>
      <c r="AG25" s="604">
        <f>Appliances!$F91*AG$8*$B25</f>
        <v>191285.37405120939</v>
      </c>
      <c r="AH25" s="604">
        <f>Appliances!$F91*AH$8*$B25</f>
        <v>193025.63463766145</v>
      </c>
      <c r="AI25" s="604">
        <f>Appliances!$F91*AI$8*$B25</f>
        <v>194771.92931305114</v>
      </c>
      <c r="AJ25" s="604">
        <f>Appliances!$F91*AJ$8*$B25</f>
        <v>196515.97168359804</v>
      </c>
      <c r="AK25" s="604">
        <f>Appliances!$F91*AK$8*$B25</f>
        <v>198259.25755034143</v>
      </c>
      <c r="AL25" s="604">
        <f>Appliances!$F91*AL$8*$B25</f>
        <v>200002.43662962591</v>
      </c>
      <c r="AM25" s="604">
        <f>Appliances!$F91*AM$8*$B25</f>
        <v>201745.84914530921</v>
      </c>
      <c r="AN25" s="604">
        <f>Appliances!$F91*AN$8*$B25</f>
        <v>203489.89204683874</v>
      </c>
      <c r="AO25" s="604">
        <f>Appliances!$F91*AO$8*$B25</f>
        <v>205233.48459359625</v>
      </c>
      <c r="AP25" s="604">
        <f>Appliances!$F91*AP$8*$B25</f>
        <v>206976.98717559592</v>
      </c>
      <c r="AQ25" s="604">
        <f>Appliances!$F91*AQ$8*$B25</f>
        <v>208720.5331006468</v>
      </c>
      <c r="AR25" s="604">
        <f>Appliances!$F91*AR$8*$B25</f>
        <v>210464.15239485097</v>
      </c>
      <c r="AS25" s="604">
        <f>Appliances!$F91*AS$8*$B25</f>
        <v>212207.81304475933</v>
      </c>
      <c r="AT25" s="604">
        <f>Appliances!$F91*AT$8*$B25</f>
        <v>213951.39724434345</v>
      </c>
      <c r="AU25" s="604">
        <f>Appliances!$F91*AU$8*$B25</f>
        <v>215694.97977449288</v>
      </c>
    </row>
    <row r="26" spans="1:47">
      <c r="A26" s="12" t="s">
        <v>150</v>
      </c>
      <c r="B26" s="300">
        <v>1</v>
      </c>
      <c r="C26" s="604">
        <f>Appliances!$F92*C$8*$B26</f>
        <v>29627.918225338759</v>
      </c>
      <c r="D26" s="604">
        <f>Appliances!$F92*D$8*$B26</f>
        <v>29896.994759261666</v>
      </c>
      <c r="E26" s="604">
        <f>Appliances!$F92*E$8*$B26</f>
        <v>30282.725122232943</v>
      </c>
      <c r="F26" s="604">
        <f>Appliances!$F92*F$8*$B26</f>
        <v>30902.276072979428</v>
      </c>
      <c r="G26" s="604">
        <f>Appliances!$F92*G$8*$B26</f>
        <v>31438.41098954327</v>
      </c>
      <c r="H26" s="604">
        <f>Appliances!$F92*H$8*$B26</f>
        <v>31781.318003163356</v>
      </c>
      <c r="I26" s="604">
        <f>Appliances!$F92*I$8*$B26</f>
        <v>32073.92023549314</v>
      </c>
      <c r="J26" s="604">
        <f>Appliances!$F92*J$8*$B26</f>
        <v>32361.872050300273</v>
      </c>
      <c r="K26" s="604">
        <f>Appliances!$F92*K$8*$B26</f>
        <v>32746.080528698269</v>
      </c>
      <c r="L26" s="604">
        <f>Appliances!$F92*L$8*$B26</f>
        <v>33083.05045373788</v>
      </c>
      <c r="M26" s="604">
        <f>Appliances!$F92*M$8*$B26</f>
        <v>33405.206032673384</v>
      </c>
      <c r="N26" s="604">
        <f>Appliances!$F92*N$8*$B26</f>
        <v>33854.581936928917</v>
      </c>
      <c r="O26" s="604">
        <f>Appliances!$F92*O$8*$B26</f>
        <v>34142.733224388787</v>
      </c>
      <c r="P26" s="604">
        <f>Appliances!$F92*P$8*$B26</f>
        <v>34530.944679411143</v>
      </c>
      <c r="Q26" s="604">
        <f>Appliances!$F92*Q$8*$B26</f>
        <v>34717.36129159174</v>
      </c>
      <c r="R26" s="604">
        <f>Appliances!$F92*R$8*$B26</f>
        <v>34918.749944358562</v>
      </c>
      <c r="S26" s="604">
        <f>Appliances!$F92*S$8*$B26</f>
        <v>35107.5607113566</v>
      </c>
      <c r="T26" s="604">
        <f>Appliances!$F92*T$8*$B26</f>
        <v>36146.614135735472</v>
      </c>
      <c r="U26" s="604">
        <f>Appliances!$F92*U$8*$B26</f>
        <v>36544.982102580107</v>
      </c>
      <c r="V26" s="604">
        <f>Appliances!$F92*V$8*$B26</f>
        <v>36712.960996356858</v>
      </c>
      <c r="W26" s="604">
        <f>Appliances!$F92*W$8*$B26</f>
        <v>37023.226853748536</v>
      </c>
      <c r="X26" s="604">
        <f>Appliances!$F92*X$8*$B26</f>
        <v>37303.826455645933</v>
      </c>
      <c r="Y26" s="604">
        <f>Appliances!$F92*Y$8*$B26</f>
        <v>37647.95763063222</v>
      </c>
      <c r="Z26" s="604">
        <f>Appliances!$F92*Z$8*$B26</f>
        <v>37984.779750244081</v>
      </c>
      <c r="AA26" s="604">
        <f>Appliances!$F92*AA$8*$B26</f>
        <v>38318.745692827884</v>
      </c>
      <c r="AB26" s="604">
        <f>Appliances!$F92*AB$8*$B26</f>
        <v>38652.313266417761</v>
      </c>
      <c r="AC26" s="604">
        <f>Appliances!$F92*AC$8*$B26</f>
        <v>39014.332469233144</v>
      </c>
      <c r="AD26" s="604">
        <f>Appliances!$F92*AD$8*$B26</f>
        <v>39386.400045523296</v>
      </c>
      <c r="AE26" s="604">
        <f>Appliances!$F92*AE$8*$B26</f>
        <v>39756.407542630077</v>
      </c>
      <c r="AF26" s="604">
        <f>Appliances!$F92*AF$8*$B26</f>
        <v>40125.567179244477</v>
      </c>
      <c r="AG26" s="604">
        <f>Appliances!$F92*AG$8*$B26</f>
        <v>40494.344089274229</v>
      </c>
      <c r="AH26" s="604">
        <f>Appliances!$F92*AH$8*$B26</f>
        <v>40862.750253845523</v>
      </c>
      <c r="AI26" s="604">
        <f>Appliances!$F92*AI$8*$B26</f>
        <v>41232.433810768001</v>
      </c>
      <c r="AJ26" s="604">
        <f>Appliances!$F92*AJ$8*$B26</f>
        <v>41601.640563816945</v>
      </c>
      <c r="AK26" s="604">
        <f>Appliances!$F92*AK$8*$B26</f>
        <v>41970.687168054319</v>
      </c>
      <c r="AL26" s="604">
        <f>Appliances!$F92*AL$8*$B26</f>
        <v>42339.71116581629</v>
      </c>
      <c r="AM26" s="604">
        <f>Appliances!$F92*AM$8*$B26</f>
        <v>42708.784581124695</v>
      </c>
      <c r="AN26" s="604">
        <f>Appliances!$F92*AN$8*$B26</f>
        <v>43077.991446580527</v>
      </c>
      <c r="AO26" s="604">
        <f>Appliances!$F92*AO$8*$B26</f>
        <v>43447.102973743029</v>
      </c>
      <c r="AP26" s="604">
        <f>Appliances!$F92*AP$8*$B26</f>
        <v>43816.195455728252</v>
      </c>
      <c r="AQ26" s="604">
        <f>Appliances!$F92*AQ$8*$B26</f>
        <v>44185.297113263034</v>
      </c>
      <c r="AR26" s="604">
        <f>Appliances!$F92*AR$8*$B26</f>
        <v>44554.41430275239</v>
      </c>
      <c r="AS26" s="604">
        <f>Appliances!$F92*AS$8*$B26</f>
        <v>44923.540247077923</v>
      </c>
      <c r="AT26" s="604">
        <f>Appliances!$F92*AT$8*$B26</f>
        <v>45292.650007177406</v>
      </c>
      <c r="AU26" s="604">
        <f>Appliances!$F92*AU$8*$B26</f>
        <v>45661.759413864282</v>
      </c>
    </row>
    <row r="27" spans="1:47">
      <c r="A27" s="12" t="s">
        <v>148</v>
      </c>
      <c r="B27" s="300">
        <v>1</v>
      </c>
      <c r="C27" s="604">
        <f>Appliances!$F93*C$8*$B27</f>
        <v>121793.19800582144</v>
      </c>
      <c r="D27" s="604">
        <f>Appliances!$F93*D$8*$B27</f>
        <v>122899.30648518012</v>
      </c>
      <c r="E27" s="604">
        <f>Appliances!$F93*E$8*$B27</f>
        <v>124484.95061032286</v>
      </c>
      <c r="F27" s="604">
        <f>Appliances!$F93*F$8*$B27</f>
        <v>127031.77455674608</v>
      </c>
      <c r="G27" s="604">
        <f>Appliances!$F93*G$8*$B27</f>
        <v>129235.69538419896</v>
      </c>
      <c r="H27" s="604">
        <f>Appliances!$F93*H$8*$B27</f>
        <v>130645.30308899202</v>
      </c>
      <c r="I27" s="604">
        <f>Appliances!$F93*I$8*$B27</f>
        <v>131848.1200182155</v>
      </c>
      <c r="J27" s="604">
        <f>Appliances!$F93*J$8*$B27</f>
        <v>133031.82020701063</v>
      </c>
      <c r="K27" s="604">
        <f>Appliances!$F93*K$8*$B27</f>
        <v>134611.2082331671</v>
      </c>
      <c r="L27" s="604">
        <f>Appliances!$F93*L$8*$B27</f>
        <v>135996.41000435522</v>
      </c>
      <c r="M27" s="604">
        <f>Appliances!$F93*M$8*$B27</f>
        <v>137320.71358571234</v>
      </c>
      <c r="N27" s="604">
        <f>Appliances!$F93*N$8*$B27</f>
        <v>139167.98912055677</v>
      </c>
      <c r="O27" s="604">
        <f>Appliances!$F93*O$8*$B27</f>
        <v>140352.50929312891</v>
      </c>
      <c r="P27" s="604">
        <f>Appliances!$F93*P$8*$B27</f>
        <v>141948.35258694593</v>
      </c>
      <c r="Q27" s="604">
        <f>Appliances!$F93*Q$8*$B27</f>
        <v>142714.6661424987</v>
      </c>
      <c r="R27" s="604">
        <f>Appliances!$F93*R$8*$B27</f>
        <v>143542.52613171586</v>
      </c>
      <c r="S27" s="604">
        <f>Appliances!$F93*S$8*$B27</f>
        <v>144318.68147802554</v>
      </c>
      <c r="T27" s="604">
        <f>Appliances!$F93*T$8*$B27</f>
        <v>148589.97851926595</v>
      </c>
      <c r="U27" s="604">
        <f>Appliances!$F93*U$8*$B27</f>
        <v>150227.57277398449</v>
      </c>
      <c r="V27" s="604">
        <f>Appliances!$F93*V$8*$B27</f>
        <v>150918.09333351048</v>
      </c>
      <c r="W27" s="604">
        <f>Appliances!$F93*W$8*$B27</f>
        <v>152193.52114846348</v>
      </c>
      <c r="X27" s="604">
        <f>Appliances!$F93*X$8*$B27</f>
        <v>153346.99817018068</v>
      </c>
      <c r="Y27" s="604">
        <f>Appliances!$F93*Y$8*$B27</f>
        <v>154761.63810594354</v>
      </c>
      <c r="Z27" s="604">
        <f>Appliances!$F93*Z$8*$B27</f>
        <v>156146.23228480638</v>
      </c>
      <c r="AA27" s="604">
        <f>Appliances!$F93*AA$8*$B27</f>
        <v>157519.08541147405</v>
      </c>
      <c r="AB27" s="604">
        <f>Appliances!$F93*AB$8*$B27</f>
        <v>158890.30093966488</v>
      </c>
      <c r="AC27" s="604">
        <f>Appliances!$F93*AC$8*$B27</f>
        <v>160378.47422659851</v>
      </c>
      <c r="AD27" s="604">
        <f>Appliances!$F93*AD$8*$B27</f>
        <v>161907.95394387064</v>
      </c>
      <c r="AE27" s="604">
        <f>Appliances!$F93*AE$8*$B27</f>
        <v>163428.96517442766</v>
      </c>
      <c r="AF27" s="604">
        <f>Appliances!$F93*AF$8*$B27</f>
        <v>164946.49105579322</v>
      </c>
      <c r="AG27" s="604">
        <f>Appliances!$F93*AG$8*$B27</f>
        <v>166462.44364083905</v>
      </c>
      <c r="AH27" s="604">
        <f>Appliances!$F93*AH$8*$B27</f>
        <v>167976.87218107391</v>
      </c>
      <c r="AI27" s="604">
        <f>Appliances!$F93*AI$8*$B27</f>
        <v>169496.55177196898</v>
      </c>
      <c r="AJ27" s="604">
        <f>Appliances!$F93*AJ$8*$B27</f>
        <v>171014.27133758864</v>
      </c>
      <c r="AK27" s="604">
        <f>Appliances!$F93*AK$8*$B27</f>
        <v>172531.33257022084</v>
      </c>
      <c r="AL27" s="604">
        <f>Appliances!$F93*AL$8*$B27</f>
        <v>174048.30087310637</v>
      </c>
      <c r="AM27" s="604">
        <f>Appliances!$F93*AM$8*$B27</f>
        <v>175565.47231955983</v>
      </c>
      <c r="AN27" s="604">
        <f>Appliances!$F93*AN$8*$B27</f>
        <v>177083.19234725699</v>
      </c>
      <c r="AO27" s="604">
        <f>Appliances!$F93*AO$8*$B27</f>
        <v>178600.5204623146</v>
      </c>
      <c r="AP27" s="604">
        <f>Appliances!$F93*AP$8*$B27</f>
        <v>180117.7702872598</v>
      </c>
      <c r="AQ27" s="604">
        <f>Appliances!$F93*AQ$8*$B27</f>
        <v>181635.05783066759</v>
      </c>
      <c r="AR27" s="604">
        <f>Appliances!$F93*AR$8*$B27</f>
        <v>183152.40922217982</v>
      </c>
      <c r="AS27" s="604">
        <f>Appliances!$F93*AS$8*$B27</f>
        <v>184669.79660270383</v>
      </c>
      <c r="AT27" s="604">
        <f>Appliances!$F93*AT$8*$B27</f>
        <v>186187.11745379321</v>
      </c>
      <c r="AU27" s="604">
        <f>Appliances!$F93*AU$8*$B27</f>
        <v>187704.43685208893</v>
      </c>
    </row>
    <row r="28" spans="1:47">
      <c r="A28" s="12" t="s">
        <v>224</v>
      </c>
      <c r="B28" s="300">
        <v>1</v>
      </c>
      <c r="C28" s="604">
        <f t="shared" ref="C28:AG28" si="2">SUM(C21:C27)</f>
        <v>336558.88420352107</v>
      </c>
      <c r="D28" s="604">
        <f t="shared" si="2"/>
        <v>339615.46405950957</v>
      </c>
      <c r="E28" s="604">
        <f t="shared" si="2"/>
        <v>343997.1752407563</v>
      </c>
      <c r="F28" s="604">
        <f t="shared" si="2"/>
        <v>351034.97570667427</v>
      </c>
      <c r="G28" s="605">
        <f t="shared" si="2"/>
        <v>357125.2101918956</v>
      </c>
      <c r="H28" s="605">
        <f t="shared" si="2"/>
        <v>361020.46874539182</v>
      </c>
      <c r="I28" s="605">
        <f t="shared" si="2"/>
        <v>364344.28920686955</v>
      </c>
      <c r="J28" s="605">
        <f t="shared" si="2"/>
        <v>367615.28316462203</v>
      </c>
      <c r="K28" s="605">
        <f t="shared" si="2"/>
        <v>371979.70646995481</v>
      </c>
      <c r="L28" s="605">
        <f t="shared" si="2"/>
        <v>375807.52255608409</v>
      </c>
      <c r="M28" s="605">
        <f t="shared" si="2"/>
        <v>379467.05480407528</v>
      </c>
      <c r="N28" s="605">
        <f t="shared" si="2"/>
        <v>384571.74868684856</v>
      </c>
      <c r="O28" s="605">
        <f t="shared" si="2"/>
        <v>387845.00855788327</v>
      </c>
      <c r="P28" s="605">
        <f t="shared" si="2"/>
        <v>392254.90375010128</v>
      </c>
      <c r="Q28" s="605">
        <f t="shared" si="2"/>
        <v>394372.50669862179</v>
      </c>
      <c r="R28" s="605">
        <f t="shared" si="2"/>
        <v>396660.18481866224</v>
      </c>
      <c r="S28" s="605">
        <f t="shared" si="2"/>
        <v>398804.984213043</v>
      </c>
      <c r="T28" s="605">
        <f t="shared" si="2"/>
        <v>410608.13077491394</v>
      </c>
      <c r="U28" s="605">
        <f t="shared" si="2"/>
        <v>415133.39905073191</v>
      </c>
      <c r="V28" s="605">
        <f t="shared" si="2"/>
        <v>417041.55839656456</v>
      </c>
      <c r="W28" s="605">
        <f t="shared" si="2"/>
        <v>420566.02913311752</v>
      </c>
      <c r="X28" s="605">
        <f t="shared" si="2"/>
        <v>423753.50549255253</v>
      </c>
      <c r="Y28" s="605">
        <f t="shared" si="2"/>
        <v>427662.66992969404</v>
      </c>
      <c r="Z28" s="605">
        <f t="shared" si="2"/>
        <v>431488.80701733741</v>
      </c>
      <c r="AA28" s="605">
        <f t="shared" si="2"/>
        <v>435282.49930928712</v>
      </c>
      <c r="AB28" s="605">
        <f t="shared" si="2"/>
        <v>439071.66632129368</v>
      </c>
      <c r="AC28" s="605">
        <f t="shared" si="2"/>
        <v>443184.03014088841</v>
      </c>
      <c r="AD28" s="605">
        <f t="shared" si="2"/>
        <v>447410.53864452767</v>
      </c>
      <c r="AE28" s="605">
        <f t="shared" si="2"/>
        <v>451613.64564064104</v>
      </c>
      <c r="AF28" s="605">
        <f t="shared" si="2"/>
        <v>455807.12134983414</v>
      </c>
      <c r="AG28" s="605">
        <f t="shared" si="2"/>
        <v>459996.24946932145</v>
      </c>
      <c r="AH28" s="605">
        <f t="shared" ref="AH28:AU28" si="3">SUM(AH21:AH27)</f>
        <v>464181.16609892703</v>
      </c>
      <c r="AI28" s="605">
        <f t="shared" si="3"/>
        <v>468380.59329053469</v>
      </c>
      <c r="AJ28" s="605">
        <f t="shared" si="3"/>
        <v>472574.60421973618</v>
      </c>
      <c r="AK28" s="605">
        <f t="shared" si="3"/>
        <v>476766.79593555524</v>
      </c>
      <c r="AL28" s="605">
        <f t="shared" si="3"/>
        <v>480958.73085269937</v>
      </c>
      <c r="AM28" s="605">
        <f t="shared" si="3"/>
        <v>485151.22712937504</v>
      </c>
      <c r="AN28" s="605">
        <f t="shared" si="3"/>
        <v>489345.23933546449</v>
      </c>
      <c r="AO28" s="605">
        <f t="shared" si="3"/>
        <v>493538.16854445048</v>
      </c>
      <c r="AP28" s="605">
        <f t="shared" si="3"/>
        <v>497730.88140939339</v>
      </c>
      <c r="AQ28" s="605">
        <f t="shared" si="3"/>
        <v>501923.69850416103</v>
      </c>
      <c r="AR28" s="605">
        <f t="shared" si="3"/>
        <v>506116.69203445339</v>
      </c>
      <c r="AS28" s="605">
        <f t="shared" si="3"/>
        <v>510309.78501546907</v>
      </c>
      <c r="AT28" s="605">
        <f t="shared" si="3"/>
        <v>514502.69415146986</v>
      </c>
      <c r="AU28" s="605">
        <f t="shared" si="3"/>
        <v>518695.59927287372</v>
      </c>
    </row>
    <row r="33" spans="2:8">
      <c r="B33" s="309"/>
      <c r="C33" s="606"/>
      <c r="D33" s="606"/>
      <c r="E33" s="606"/>
      <c r="F33" s="606"/>
      <c r="G33" s="606"/>
      <c r="H33" s="606"/>
    </row>
    <row r="34" spans="2:8">
      <c r="B34" s="309"/>
      <c r="C34" s="606"/>
      <c r="D34" s="606"/>
      <c r="E34" s="606"/>
      <c r="F34" s="606"/>
      <c r="G34" s="606"/>
      <c r="H34" s="606"/>
    </row>
    <row r="35" spans="2:8">
      <c r="B35" s="307"/>
      <c r="C35" s="607"/>
      <c r="D35" s="480"/>
      <c r="E35" s="607"/>
      <c r="F35" s="607"/>
      <c r="G35" s="607"/>
      <c r="H35" s="480"/>
    </row>
    <row r="36" spans="2:8">
      <c r="B36" s="309"/>
      <c r="C36" s="606"/>
      <c r="D36" s="606"/>
      <c r="E36" s="606"/>
      <c r="F36" s="606"/>
      <c r="G36" s="606"/>
      <c r="H36" s="606"/>
    </row>
    <row r="37" spans="2:8">
      <c r="B37" s="307"/>
      <c r="C37" s="607"/>
      <c r="D37" s="480"/>
      <c r="E37" s="607"/>
      <c r="F37" s="607"/>
      <c r="G37" s="480"/>
      <c r="H37" s="607"/>
    </row>
    <row r="38" spans="2:8">
      <c r="B38" s="307"/>
      <c r="C38" s="480"/>
      <c r="D38" s="607"/>
      <c r="E38" s="608"/>
      <c r="F38" s="607"/>
      <c r="G38" s="607"/>
      <c r="H38" s="609"/>
    </row>
    <row r="39" spans="2:8">
      <c r="B39" s="307"/>
      <c r="C39" s="480"/>
      <c r="D39" s="607"/>
      <c r="E39" s="608"/>
      <c r="F39" s="607"/>
      <c r="G39" s="607"/>
      <c r="H39" s="609"/>
    </row>
    <row r="40" spans="2:8">
      <c r="B40" s="307"/>
      <c r="C40" s="480"/>
      <c r="D40" s="607"/>
      <c r="E40" s="608"/>
      <c r="F40" s="607"/>
      <c r="G40" s="607"/>
      <c r="H40" s="607"/>
    </row>
    <row r="41" spans="2:8">
      <c r="B41" s="307"/>
      <c r="C41" s="480"/>
      <c r="D41" s="480"/>
      <c r="E41" s="608"/>
      <c r="F41" s="607"/>
      <c r="G41" s="607"/>
      <c r="H41" s="607"/>
    </row>
    <row r="42" spans="2:8">
      <c r="B42" s="307"/>
      <c r="C42" s="480"/>
      <c r="D42" s="480"/>
      <c r="E42" s="608"/>
      <c r="F42" s="607"/>
      <c r="G42" s="607"/>
      <c r="H42" s="607"/>
    </row>
    <row r="43" spans="2:8">
      <c r="B43" s="307"/>
      <c r="C43" s="480"/>
      <c r="D43" s="480"/>
      <c r="E43" s="608"/>
      <c r="F43" s="607"/>
      <c r="G43" s="607"/>
      <c r="H43" s="609"/>
    </row>
    <row r="44" spans="2:8">
      <c r="B44" s="307"/>
      <c r="C44" s="480"/>
      <c r="D44" s="480"/>
      <c r="E44" s="608"/>
      <c r="F44" s="607"/>
      <c r="G44" s="607"/>
      <c r="H44" s="609"/>
    </row>
    <row r="45" spans="2:8">
      <c r="B45" s="307"/>
      <c r="C45" s="480"/>
      <c r="D45" s="480"/>
      <c r="E45" s="608"/>
      <c r="F45" s="607"/>
      <c r="G45" s="607"/>
      <c r="H45" s="607"/>
    </row>
    <row r="46" spans="2:8">
      <c r="B46" s="307"/>
      <c r="C46" s="480"/>
      <c r="D46" s="480"/>
      <c r="E46" s="608"/>
      <c r="F46" s="607"/>
      <c r="G46" s="607"/>
      <c r="H46" s="607"/>
    </row>
    <row r="47" spans="2:8">
      <c r="B47" s="307"/>
      <c r="C47" s="607"/>
      <c r="D47" s="607"/>
      <c r="E47" s="608"/>
      <c r="F47" s="607"/>
      <c r="G47" s="607"/>
      <c r="H47" s="609"/>
    </row>
    <row r="48" spans="2:8">
      <c r="B48" s="307"/>
      <c r="C48" s="607"/>
      <c r="D48" s="607"/>
      <c r="E48" s="607"/>
      <c r="F48" s="607"/>
      <c r="G48" s="607"/>
      <c r="H48" s="607"/>
    </row>
    <row r="49" spans="2:8">
      <c r="B49" s="307"/>
      <c r="C49" s="607"/>
      <c r="D49" s="480"/>
      <c r="E49" s="607"/>
      <c r="F49" s="607"/>
      <c r="G49" s="607"/>
      <c r="H49" s="607"/>
    </row>
    <row r="50" spans="2:8">
      <c r="B50" s="307"/>
      <c r="C50" s="480"/>
      <c r="D50" s="607"/>
      <c r="E50" s="480"/>
      <c r="F50" s="607"/>
      <c r="G50" s="607"/>
      <c r="H50" s="607"/>
    </row>
    <row r="51" spans="2:8">
      <c r="B51" s="307"/>
      <c r="C51" s="607"/>
      <c r="D51" s="607"/>
      <c r="E51" s="480"/>
      <c r="F51" s="607"/>
      <c r="G51" s="607"/>
      <c r="H51" s="607"/>
    </row>
    <row r="52" spans="2:8">
      <c r="B52" s="307"/>
      <c r="C52" s="607"/>
      <c r="D52" s="607"/>
      <c r="E52" s="607"/>
      <c r="F52" s="607"/>
      <c r="G52" s="607"/>
      <c r="H52" s="607"/>
    </row>
    <row r="53" spans="2:8">
      <c r="B53" s="307"/>
      <c r="C53" s="607"/>
      <c r="D53" s="607"/>
      <c r="E53" s="607"/>
      <c r="F53" s="607"/>
      <c r="G53" s="607"/>
      <c r="H53" s="607"/>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9">
    <tabColor rgb="FF0070C0"/>
  </sheetPr>
  <dimension ref="A1:L14"/>
  <sheetViews>
    <sheetView workbookViewId="0"/>
  </sheetViews>
  <sheetFormatPr defaultColWidth="9.140625" defaultRowHeight="12"/>
  <cols>
    <col min="1" max="1" width="25.140625" style="617" bestFit="1" customWidth="1"/>
    <col min="2" max="16384" width="9.140625" style="617"/>
  </cols>
  <sheetData>
    <row r="1" spans="1:12">
      <c r="A1" s="617" t="s">
        <v>1258</v>
      </c>
      <c r="B1" s="617">
        <v>2012</v>
      </c>
      <c r="H1" s="617" t="s">
        <v>1261</v>
      </c>
      <c r="I1" s="617">
        <v>1</v>
      </c>
    </row>
    <row r="2" spans="1:12" s="621" customFormat="1" ht="24">
      <c r="C2" s="621" t="s">
        <v>1267</v>
      </c>
      <c r="D2" s="621" t="s">
        <v>1266</v>
      </c>
      <c r="G2" s="621" t="s">
        <v>1281</v>
      </c>
    </row>
    <row r="3" spans="1:12">
      <c r="B3" s="617" t="s">
        <v>750</v>
      </c>
    </row>
    <row r="4" spans="1:12">
      <c r="A4" s="617" t="s">
        <v>40</v>
      </c>
      <c r="B4" s="617" t="s">
        <v>910</v>
      </c>
      <c r="C4" s="633">
        <f>'TS BYDem'!J10</f>
        <v>139.66439435388435</v>
      </c>
      <c r="D4" s="633">
        <f>VLOOKUP(A4,Forecast!$A$21:$I$28,COLUMNS(Forecast!$A$21:$I$21),)/1000</f>
        <v>151.50935192354467</v>
      </c>
      <c r="E4" s="618"/>
      <c r="G4" s="619">
        <f>D4/C4</f>
        <v>1.0848101452374994</v>
      </c>
      <c r="K4" s="633"/>
      <c r="L4" s="619"/>
    </row>
    <row r="5" spans="1:12">
      <c r="A5" s="617" t="s">
        <v>531</v>
      </c>
      <c r="B5" s="617" t="s">
        <v>902</v>
      </c>
      <c r="C5" s="633">
        <f>'TS BYDem'!J11</f>
        <v>7.8517549075018991</v>
      </c>
      <c r="D5" s="633">
        <f>VLOOKUP(A5,Forecast!$A$21:$I$28,COLUMNS(Forecast!$A$21:$I$21),)/1000</f>
        <v>8.1017571001474344</v>
      </c>
      <c r="E5" s="618"/>
      <c r="G5" s="619">
        <f t="shared" ref="G5:G14" si="0">D5/C5</f>
        <v>1.0318402950156624</v>
      </c>
      <c r="K5" s="633"/>
      <c r="L5" s="619"/>
    </row>
    <row r="6" spans="1:12">
      <c r="A6" s="617" t="s">
        <v>149</v>
      </c>
      <c r="B6" s="617" t="s">
        <v>903</v>
      </c>
      <c r="C6" s="633">
        <f>'TS BYDem'!J12</f>
        <v>9.894499756529763</v>
      </c>
      <c r="D6" s="633">
        <f>VLOOKUP(A6,Forecast!$A$21:$I$28,COLUMNS(Forecast!$A$21:$I$21),)/1000</f>
        <v>10.693812217924837</v>
      </c>
      <c r="E6" s="618"/>
      <c r="G6" s="619">
        <f t="shared" si="0"/>
        <v>1.0807835141809545</v>
      </c>
      <c r="K6" s="633"/>
      <c r="L6" s="619"/>
    </row>
    <row r="7" spans="1:12">
      <c r="A7" s="617" t="s">
        <v>148</v>
      </c>
      <c r="B7" s="617" t="s">
        <v>904</v>
      </c>
      <c r="C7" s="633">
        <f>'TS BYDem'!J13</f>
        <v>121.5402719056889</v>
      </c>
      <c r="D7" s="633">
        <f>VLOOKUP(A7,Forecast!$A$21:$I$28,COLUMNS(Forecast!$A$21:$I$21),)/1000</f>
        <v>131.8481200182155</v>
      </c>
      <c r="E7" s="618"/>
      <c r="G7" s="619">
        <f t="shared" si="0"/>
        <v>1.084810145237499</v>
      </c>
      <c r="K7" s="633"/>
      <c r="L7" s="619"/>
    </row>
    <row r="8" spans="1:12">
      <c r="A8" s="617" t="s">
        <v>150</v>
      </c>
      <c r="B8" s="617" t="s">
        <v>905</v>
      </c>
      <c r="C8" s="633">
        <f>'TS BYDem'!J14</f>
        <v>29.566390373747051</v>
      </c>
      <c r="D8" s="633">
        <f>VLOOKUP(A8,Forecast!$A$21:$I$28,COLUMNS(Forecast!$A$21:$I$21),)/1000</f>
        <v>32.073920235493141</v>
      </c>
      <c r="E8" s="618"/>
      <c r="G8" s="619">
        <f t="shared" si="0"/>
        <v>1.0848101452374994</v>
      </c>
      <c r="K8" s="633"/>
      <c r="L8" s="619"/>
    </row>
    <row r="9" spans="1:12">
      <c r="A9" s="617" t="s">
        <v>551</v>
      </c>
      <c r="B9" s="617" t="s">
        <v>906</v>
      </c>
      <c r="C9" s="633">
        <f>'TS BYDem'!J15</f>
        <v>9.6831090230750316</v>
      </c>
      <c r="D9" s="633">
        <f>VLOOKUP(A9,Forecast!$A$21:$I$28,COLUMNS(Forecast!$A$21:$I$21),)/1000</f>
        <v>9.7927140539092061</v>
      </c>
      <c r="E9" s="618"/>
      <c r="G9" s="619">
        <f t="shared" si="0"/>
        <v>1.0113191982629735</v>
      </c>
      <c r="K9" s="633"/>
      <c r="L9" s="619"/>
    </row>
    <row r="10" spans="1:12">
      <c r="A10" s="620" t="s">
        <v>1259</v>
      </c>
      <c r="B10" s="617" t="s">
        <v>907</v>
      </c>
      <c r="C10" s="633">
        <f>'TS BYDem'!J16</f>
        <v>10.30055287377321</v>
      </c>
      <c r="D10" s="633"/>
      <c r="E10" s="618"/>
      <c r="G10" s="619"/>
      <c r="K10" s="633"/>
      <c r="L10" s="619"/>
    </row>
    <row r="11" spans="1:12">
      <c r="A11" s="620" t="s">
        <v>1260</v>
      </c>
      <c r="B11" s="617" t="s">
        <v>908</v>
      </c>
      <c r="C11" s="633">
        <f>'TS BYDem'!J17</f>
        <v>3.5593512487513528</v>
      </c>
      <c r="D11" s="633"/>
      <c r="E11" s="618"/>
      <c r="G11" s="619"/>
      <c r="K11" s="633"/>
      <c r="L11" s="619"/>
    </row>
    <row r="12" spans="1:12">
      <c r="A12" s="617" t="s">
        <v>83</v>
      </c>
      <c r="B12" s="617" t="s">
        <v>909</v>
      </c>
      <c r="C12" s="633">
        <f>'TS BYDem'!J18</f>
        <v>18.760184357078931</v>
      </c>
      <c r="D12" s="633">
        <f>VLOOKUP(A12,Forecast!$A$21:$I$28,COLUMNS(Forecast!$A$21:$I$21),)/1000</f>
        <v>20.324613657634806</v>
      </c>
      <c r="E12" s="618"/>
      <c r="G12" s="619">
        <f t="shared" si="0"/>
        <v>1.0833909342668884</v>
      </c>
      <c r="K12" s="633"/>
      <c r="L12" s="619"/>
    </row>
    <row r="13" spans="1:12">
      <c r="C13" s="633"/>
      <c r="D13" s="633"/>
      <c r="E13" s="618"/>
      <c r="G13" s="619"/>
    </row>
    <row r="14" spans="1:12">
      <c r="C14" s="633">
        <f>SUM(C4:C12)</f>
        <v>350.82050880003044</v>
      </c>
      <c r="D14" s="633">
        <f>SUM(D4:D12)</f>
        <v>364.34428920686958</v>
      </c>
      <c r="E14" s="618"/>
      <c r="G14" s="619">
        <f t="shared" si="0"/>
        <v>1.0385490017476366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0"/>
  <dimension ref="B1:F57"/>
  <sheetViews>
    <sheetView workbookViewId="0"/>
  </sheetViews>
  <sheetFormatPr defaultColWidth="9.140625" defaultRowHeight="12.75"/>
  <cols>
    <col min="1" max="1" width="9.140625" style="513"/>
    <col min="2" max="2" width="12.7109375" style="513" customWidth="1"/>
    <col min="3" max="3" width="26.5703125" style="513" bestFit="1" customWidth="1"/>
    <col min="4" max="4" width="4.140625" style="513" customWidth="1"/>
    <col min="5" max="5" width="13.85546875" style="513" customWidth="1"/>
    <col min="6" max="6" width="49.85546875" style="513" bestFit="1" customWidth="1"/>
    <col min="7" max="16384" width="9.140625" style="513"/>
  </cols>
  <sheetData>
    <row r="1" spans="2:6">
      <c r="B1" s="514" t="s">
        <v>1084</v>
      </c>
      <c r="C1" s="514" t="s">
        <v>712</v>
      </c>
      <c r="E1" s="514" t="s">
        <v>1084</v>
      </c>
      <c r="F1" s="514" t="s">
        <v>712</v>
      </c>
    </row>
    <row r="3" spans="2:6">
      <c r="B3" s="518" t="s">
        <v>1085</v>
      </c>
      <c r="C3" s="519"/>
      <c r="D3" s="519"/>
      <c r="E3" s="520" t="s">
        <v>1085</v>
      </c>
      <c r="F3" s="521"/>
    </row>
    <row r="4" spans="2:6">
      <c r="B4" s="515" t="s">
        <v>910</v>
      </c>
      <c r="C4" s="514" t="s">
        <v>1094</v>
      </c>
      <c r="E4" s="513" t="s">
        <v>911</v>
      </c>
      <c r="F4" s="522" t="s">
        <v>1095</v>
      </c>
    </row>
    <row r="5" spans="2:6">
      <c r="B5" s="515" t="s">
        <v>902</v>
      </c>
      <c r="C5" s="523" t="s">
        <v>1086</v>
      </c>
      <c r="E5" s="513" t="s">
        <v>958</v>
      </c>
      <c r="F5" s="524" t="s">
        <v>1086</v>
      </c>
    </row>
    <row r="6" spans="2:6">
      <c r="B6" s="515" t="s">
        <v>903</v>
      </c>
      <c r="C6" s="523" t="s">
        <v>1087</v>
      </c>
      <c r="E6" s="513" t="s">
        <v>912</v>
      </c>
      <c r="F6" s="524" t="s">
        <v>1087</v>
      </c>
    </row>
    <row r="7" spans="2:6">
      <c r="B7" s="515" t="s">
        <v>904</v>
      </c>
      <c r="C7" s="523" t="s">
        <v>1088</v>
      </c>
      <c r="E7" s="513" t="s">
        <v>913</v>
      </c>
      <c r="F7" s="524" t="s">
        <v>1088</v>
      </c>
    </row>
    <row r="8" spans="2:6">
      <c r="B8" s="515" t="s">
        <v>905</v>
      </c>
      <c r="C8" s="523" t="s">
        <v>1089</v>
      </c>
      <c r="E8" s="513" t="s">
        <v>914</v>
      </c>
      <c r="F8" s="524" t="s">
        <v>1089</v>
      </c>
    </row>
    <row r="9" spans="2:6">
      <c r="B9" s="515" t="s">
        <v>906</v>
      </c>
      <c r="C9" s="523" t="s">
        <v>1091</v>
      </c>
      <c r="E9" s="513" t="s">
        <v>915</v>
      </c>
      <c r="F9" s="524" t="s">
        <v>1091</v>
      </c>
    </row>
    <row r="10" spans="2:6">
      <c r="B10" s="515" t="s">
        <v>907</v>
      </c>
      <c r="C10" s="523" t="s">
        <v>1090</v>
      </c>
      <c r="E10" s="513" t="s">
        <v>916</v>
      </c>
      <c r="F10" s="524" t="s">
        <v>1090</v>
      </c>
    </row>
    <row r="11" spans="2:6">
      <c r="B11" s="515" t="s">
        <v>908</v>
      </c>
      <c r="C11" s="523" t="s">
        <v>1092</v>
      </c>
      <c r="E11" s="513" t="s">
        <v>917</v>
      </c>
      <c r="F11" s="524" t="s">
        <v>1092</v>
      </c>
    </row>
    <row r="12" spans="2:6">
      <c r="B12" s="515" t="s">
        <v>909</v>
      </c>
      <c r="C12" s="523" t="s">
        <v>1093</v>
      </c>
      <c r="E12" s="513" t="s">
        <v>918</v>
      </c>
      <c r="F12" s="524" t="s">
        <v>1093</v>
      </c>
    </row>
    <row r="13" spans="2:6">
      <c r="B13" s="515"/>
      <c r="F13" s="516"/>
    </row>
    <row r="14" spans="2:6">
      <c r="B14" s="525" t="s">
        <v>1109</v>
      </c>
      <c r="E14" s="529" t="s">
        <v>1128</v>
      </c>
      <c r="F14" s="516"/>
    </row>
    <row r="15" spans="2:6">
      <c r="B15" s="515" t="s">
        <v>1096</v>
      </c>
      <c r="C15" s="514" t="s">
        <v>1097</v>
      </c>
      <c r="E15" s="513" t="s">
        <v>731</v>
      </c>
      <c r="F15" s="522" t="s">
        <v>1121</v>
      </c>
    </row>
    <row r="16" spans="2:6">
      <c r="B16" s="515" t="s">
        <v>1098</v>
      </c>
      <c r="C16" s="523" t="s">
        <v>1110</v>
      </c>
      <c r="E16" s="513" t="s">
        <v>736</v>
      </c>
      <c r="F16" s="522" t="s">
        <v>1129</v>
      </c>
    </row>
    <row r="17" spans="2:6">
      <c r="B17" s="515" t="s">
        <v>1040</v>
      </c>
      <c r="C17" s="526" t="s">
        <v>1111</v>
      </c>
      <c r="E17" s="514" t="s">
        <v>1035</v>
      </c>
      <c r="F17" s="522" t="s">
        <v>1139</v>
      </c>
    </row>
    <row r="18" spans="2:6">
      <c r="B18" s="515" t="s">
        <v>1034</v>
      </c>
      <c r="C18" s="526" t="s">
        <v>1112</v>
      </c>
      <c r="E18" s="513" t="s">
        <v>739</v>
      </c>
      <c r="F18" s="522" t="s">
        <v>1123</v>
      </c>
    </row>
    <row r="19" spans="2:6">
      <c r="B19" s="515" t="s">
        <v>1099</v>
      </c>
      <c r="C19" s="526" t="s">
        <v>1113</v>
      </c>
      <c r="E19" s="513" t="s">
        <v>741</v>
      </c>
      <c r="F19" s="522" t="s">
        <v>1124</v>
      </c>
    </row>
    <row r="20" spans="2:6">
      <c r="B20" s="515" t="s">
        <v>1100</v>
      </c>
      <c r="C20" s="526" t="s">
        <v>1114</v>
      </c>
      <c r="E20" s="513" t="s">
        <v>762</v>
      </c>
      <c r="F20" s="522" t="s">
        <v>1125</v>
      </c>
    </row>
    <row r="21" spans="2:6">
      <c r="B21" s="515" t="s">
        <v>1101</v>
      </c>
      <c r="C21" s="526" t="s">
        <v>1115</v>
      </c>
      <c r="E21" s="513" t="s">
        <v>776</v>
      </c>
      <c r="F21" s="522" t="s">
        <v>1127</v>
      </c>
    </row>
    <row r="22" spans="2:6">
      <c r="B22" s="515" t="s">
        <v>1102</v>
      </c>
      <c r="C22" s="526" t="s">
        <v>1116</v>
      </c>
      <c r="E22" s="514" t="s">
        <v>1036</v>
      </c>
      <c r="F22" s="522" t="s">
        <v>1140</v>
      </c>
    </row>
    <row r="23" spans="2:6">
      <c r="B23" s="515"/>
      <c r="C23" s="526"/>
      <c r="E23" s="513" t="s">
        <v>743</v>
      </c>
      <c r="F23" s="522" t="s">
        <v>1126</v>
      </c>
    </row>
    <row r="24" spans="2:6">
      <c r="B24" s="515"/>
      <c r="E24" s="514" t="s">
        <v>795</v>
      </c>
      <c r="F24" s="522" t="s">
        <v>1122</v>
      </c>
    </row>
    <row r="25" spans="2:6">
      <c r="B25" s="525" t="s">
        <v>758</v>
      </c>
      <c r="E25" s="514" t="s">
        <v>746</v>
      </c>
      <c r="F25" s="522" t="s">
        <v>1131</v>
      </c>
    </row>
    <row r="26" spans="2:6">
      <c r="B26" s="515" t="s">
        <v>1103</v>
      </c>
      <c r="C26" s="513" t="s">
        <v>1104</v>
      </c>
      <c r="E26" s="514" t="s">
        <v>748</v>
      </c>
      <c r="F26" s="522" t="s">
        <v>1132</v>
      </c>
    </row>
    <row r="27" spans="2:6">
      <c r="B27" s="515" t="s">
        <v>1105</v>
      </c>
      <c r="C27" s="526" t="s">
        <v>1117</v>
      </c>
      <c r="E27" s="514" t="s">
        <v>1038</v>
      </c>
      <c r="F27" s="522" t="s">
        <v>1141</v>
      </c>
    </row>
    <row r="28" spans="2:6">
      <c r="B28" s="515" t="s">
        <v>1106</v>
      </c>
      <c r="C28" s="526" t="s">
        <v>1118</v>
      </c>
      <c r="E28" s="514" t="s">
        <v>1130</v>
      </c>
      <c r="F28" s="522" t="s">
        <v>1133</v>
      </c>
    </row>
    <row r="29" spans="2:6">
      <c r="B29" s="515" t="s">
        <v>1107</v>
      </c>
      <c r="C29" s="526" t="s">
        <v>1119</v>
      </c>
      <c r="E29" s="514" t="s">
        <v>751</v>
      </c>
      <c r="F29" s="522" t="s">
        <v>1134</v>
      </c>
    </row>
    <row r="30" spans="2:6">
      <c r="B30" s="515" t="s">
        <v>1108</v>
      </c>
      <c r="C30" s="526" t="s">
        <v>1120</v>
      </c>
      <c r="E30" s="514" t="s">
        <v>761</v>
      </c>
      <c r="F30" s="522" t="s">
        <v>1135</v>
      </c>
    </row>
    <row r="31" spans="2:6">
      <c r="B31" s="515"/>
      <c r="C31" s="526"/>
      <c r="E31" s="514" t="s">
        <v>767</v>
      </c>
      <c r="F31" s="522" t="s">
        <v>1137</v>
      </c>
    </row>
    <row r="32" spans="2:6">
      <c r="B32" s="517"/>
      <c r="C32" s="527"/>
      <c r="D32" s="528"/>
      <c r="E32" s="530" t="s">
        <v>1039</v>
      </c>
      <c r="F32" s="531" t="s">
        <v>1138</v>
      </c>
    </row>
    <row r="35" spans="2:3">
      <c r="B35" s="513" t="s">
        <v>990</v>
      </c>
      <c r="C35" s="513" t="s">
        <v>991</v>
      </c>
    </row>
    <row r="36" spans="2:3">
      <c r="B36" s="513" t="s">
        <v>993</v>
      </c>
      <c r="C36" s="513" t="s">
        <v>994</v>
      </c>
    </row>
    <row r="37" spans="2:3">
      <c r="B37" s="513" t="s">
        <v>995</v>
      </c>
      <c r="C37" s="513" t="s">
        <v>996</v>
      </c>
    </row>
    <row r="38" spans="2:3">
      <c r="B38" s="513" t="s">
        <v>997</v>
      </c>
      <c r="C38" s="513" t="s">
        <v>998</v>
      </c>
    </row>
    <row r="39" spans="2:3">
      <c r="B39" s="513" t="s">
        <v>999</v>
      </c>
      <c r="C39" s="513" t="s">
        <v>1000</v>
      </c>
    </row>
    <row r="40" spans="2:3">
      <c r="B40" s="513" t="s">
        <v>1002</v>
      </c>
      <c r="C40" s="513" t="s">
        <v>1003</v>
      </c>
    </row>
    <row r="41" spans="2:3">
      <c r="B41" s="513" t="s">
        <v>1004</v>
      </c>
      <c r="C41" s="513" t="s">
        <v>1005</v>
      </c>
    </row>
    <row r="42" spans="2:3">
      <c r="B42" s="513" t="s">
        <v>1006</v>
      </c>
      <c r="C42" s="513" t="s">
        <v>1007</v>
      </c>
    </row>
    <row r="43" spans="2:3">
      <c r="B43" s="513" t="s">
        <v>1008</v>
      </c>
      <c r="C43" s="513" t="s">
        <v>1009</v>
      </c>
    </row>
    <row r="44" spans="2:3">
      <c r="B44" s="513" t="s">
        <v>1010</v>
      </c>
      <c r="C44" s="513" t="s">
        <v>1011</v>
      </c>
    </row>
    <row r="45" spans="2:3">
      <c r="B45" s="513" t="s">
        <v>1012</v>
      </c>
      <c r="C45" s="513" t="s">
        <v>1013</v>
      </c>
    </row>
    <row r="46" spans="2:3">
      <c r="B46" s="513" t="s">
        <v>1016</v>
      </c>
      <c r="C46" s="513" t="s">
        <v>1017</v>
      </c>
    </row>
    <row r="47" spans="2:3">
      <c r="B47" s="513" t="s">
        <v>1018</v>
      </c>
      <c r="C47" s="513" t="s">
        <v>1019</v>
      </c>
    </row>
    <row r="48" spans="2:3">
      <c r="B48" s="513" t="s">
        <v>1020</v>
      </c>
      <c r="C48" s="513" t="s">
        <v>1021</v>
      </c>
    </row>
    <row r="49" spans="2:3">
      <c r="B49" s="513" t="s">
        <v>1022</v>
      </c>
      <c r="C49" s="513" t="s">
        <v>1023</v>
      </c>
    </row>
    <row r="50" spans="2:3">
      <c r="B50" s="513" t="s">
        <v>1025</v>
      </c>
      <c r="C50" s="513" t="s">
        <v>1026</v>
      </c>
    </row>
    <row r="51" spans="2:3">
      <c r="B51" s="513" t="s">
        <v>1027</v>
      </c>
      <c r="C51" s="513" t="s">
        <v>1028</v>
      </c>
    </row>
    <row r="52" spans="2:3">
      <c r="B52" s="513" t="s">
        <v>1031</v>
      </c>
      <c r="C52" s="513" t="s">
        <v>1032</v>
      </c>
    </row>
    <row r="55" spans="2:3">
      <c r="B55" s="514" t="s">
        <v>989</v>
      </c>
      <c r="C55" s="514" t="s">
        <v>1136</v>
      </c>
    </row>
    <row r="56" spans="2:3">
      <c r="B56" s="514" t="s">
        <v>754</v>
      </c>
      <c r="C56" s="514" t="s">
        <v>1136</v>
      </c>
    </row>
    <row r="57" spans="2:3">
      <c r="B57" s="514" t="s">
        <v>821</v>
      </c>
      <c r="C57" s="514" t="s">
        <v>1136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20"/>
  <dimension ref="A1:BC105"/>
  <sheetViews>
    <sheetView workbookViewId="0"/>
  </sheetViews>
  <sheetFormatPr defaultColWidth="11.42578125" defaultRowHeight="12.75"/>
  <cols>
    <col min="1" max="1" width="43.140625" style="1" customWidth="1"/>
    <col min="2" max="2" width="12.140625" style="41" customWidth="1"/>
    <col min="3" max="3" width="15.140625" style="41" customWidth="1"/>
    <col min="4" max="4" width="11.28515625" style="41" customWidth="1"/>
    <col min="5" max="5" width="16.42578125" style="41" customWidth="1"/>
    <col min="6" max="6" width="13.140625" style="41" customWidth="1"/>
    <col min="7" max="16" width="10.7109375" style="41" customWidth="1"/>
    <col min="17" max="17" width="12.42578125" style="41" customWidth="1"/>
    <col min="18" max="18" width="10" style="41" customWidth="1"/>
    <col min="19" max="19" width="18.7109375" style="41" customWidth="1"/>
    <col min="20" max="20" width="32.42578125" style="41" customWidth="1"/>
    <col min="21" max="21" width="13.85546875" style="41" customWidth="1"/>
    <col min="22" max="16384" width="11.42578125" style="1"/>
  </cols>
  <sheetData>
    <row r="1" spans="1:21" s="44" customFormat="1">
      <c r="A1" s="42" t="s">
        <v>179</v>
      </c>
      <c r="B1" s="43"/>
      <c r="C1" s="43"/>
      <c r="D1" s="43"/>
      <c r="E1" s="43"/>
      <c r="F1" s="43"/>
      <c r="G1" s="43"/>
      <c r="H1" s="43"/>
      <c r="I1" s="43"/>
      <c r="J1" s="43"/>
      <c r="K1" s="43"/>
      <c r="L1" s="43"/>
      <c r="M1" s="43"/>
      <c r="N1" s="43"/>
      <c r="O1" s="43"/>
      <c r="P1" s="43"/>
      <c r="Q1" s="43"/>
      <c r="R1" s="43"/>
      <c r="S1" s="43"/>
      <c r="T1" s="43"/>
      <c r="U1" s="43"/>
    </row>
    <row r="2" spans="1:21">
      <c r="A2" s="45" t="s">
        <v>180</v>
      </c>
      <c r="B2" s="1"/>
      <c r="C2" s="1"/>
      <c r="D2" s="1"/>
      <c r="E2" s="1"/>
      <c r="F2" s="1"/>
      <c r="G2" s="1"/>
      <c r="H2" s="1"/>
      <c r="I2" s="1"/>
      <c r="J2" s="1"/>
      <c r="K2" s="1"/>
      <c r="L2" s="1"/>
      <c r="M2" s="1"/>
      <c r="N2" s="1"/>
      <c r="O2" s="1"/>
      <c r="P2" s="1"/>
      <c r="Q2" s="1"/>
      <c r="R2" s="1"/>
      <c r="S2" s="1"/>
      <c r="T2" s="1"/>
      <c r="U2" s="1"/>
    </row>
    <row r="3" spans="1:21">
      <c r="A3" s="21" t="s">
        <v>181</v>
      </c>
      <c r="B3" s="1"/>
      <c r="C3" s="1"/>
      <c r="D3" s="1"/>
      <c r="E3" s="1"/>
      <c r="F3" s="1"/>
      <c r="G3" s="1"/>
      <c r="H3" s="1"/>
      <c r="I3" s="1"/>
      <c r="J3" s="1"/>
      <c r="K3" s="1"/>
      <c r="L3" s="1"/>
      <c r="M3" s="1"/>
      <c r="N3" s="1"/>
      <c r="O3" s="1"/>
      <c r="P3" s="1"/>
      <c r="Q3" s="1"/>
      <c r="R3" s="1"/>
      <c r="S3" s="1"/>
      <c r="T3" s="1"/>
      <c r="U3" s="1"/>
    </row>
    <row r="4" spans="1:21">
      <c r="A4" s="46" t="s">
        <v>182</v>
      </c>
      <c r="B4" s="1"/>
      <c r="C4" s="1"/>
      <c r="D4" s="1"/>
      <c r="E4" s="1"/>
      <c r="F4" s="1"/>
      <c r="G4" s="1"/>
      <c r="H4" s="1"/>
      <c r="I4" s="1"/>
      <c r="J4" s="1"/>
      <c r="K4" s="1"/>
      <c r="L4" s="1"/>
      <c r="M4" s="1"/>
      <c r="N4" s="1"/>
      <c r="O4" s="1"/>
      <c r="P4" s="1"/>
      <c r="Q4" s="1"/>
      <c r="R4" s="1"/>
      <c r="S4" s="1"/>
      <c r="T4" s="1"/>
      <c r="U4" s="1"/>
    </row>
    <row r="5" spans="1:21">
      <c r="A5" s="47" t="s">
        <v>183</v>
      </c>
      <c r="H5" s="1"/>
      <c r="I5" s="1"/>
      <c r="J5" s="1"/>
      <c r="K5" s="1"/>
      <c r="L5" s="1"/>
      <c r="M5" s="1"/>
    </row>
    <row r="6" spans="1:21">
      <c r="A6" s="48"/>
      <c r="B6" s="49"/>
      <c r="C6" s="49"/>
      <c r="D6" s="49"/>
      <c r="E6" s="49"/>
      <c r="F6" s="50"/>
      <c r="G6" s="50"/>
      <c r="H6" s="49"/>
      <c r="I6" s="49"/>
      <c r="J6" s="50"/>
      <c r="K6" s="50"/>
    </row>
    <row r="7" spans="1:21" s="55" customFormat="1">
      <c r="A7" s="51" t="s">
        <v>184</v>
      </c>
      <c r="B7" s="52"/>
      <c r="C7" s="52"/>
      <c r="D7" s="52"/>
      <c r="E7" s="52"/>
      <c r="F7" s="53"/>
      <c r="G7" s="53"/>
      <c r="H7" s="52"/>
      <c r="I7" s="52"/>
      <c r="J7" s="53"/>
      <c r="K7" s="53"/>
      <c r="L7" s="54"/>
      <c r="M7" s="54"/>
      <c r="N7" s="54"/>
      <c r="O7" s="54"/>
      <c r="P7" s="54"/>
      <c r="Q7" s="54"/>
      <c r="R7" s="54"/>
      <c r="S7" s="54"/>
      <c r="T7" s="54"/>
      <c r="U7" s="54"/>
    </row>
    <row r="8" spans="1:21" s="6" customFormat="1">
      <c r="A8" s="9"/>
      <c r="B8" s="14" t="s">
        <v>185</v>
      </c>
      <c r="C8" s="14" t="s">
        <v>186</v>
      </c>
      <c r="D8" s="14">
        <v>1990</v>
      </c>
      <c r="E8" s="14">
        <f>D8+1</f>
        <v>1991</v>
      </c>
      <c r="F8" s="14">
        <f>E8+1</f>
        <v>1992</v>
      </c>
      <c r="G8" s="14">
        <v>1993</v>
      </c>
      <c r="H8" s="14">
        <v>1994</v>
      </c>
      <c r="I8" s="14">
        <v>1995</v>
      </c>
      <c r="J8" s="14">
        <v>1996</v>
      </c>
      <c r="K8" s="14">
        <v>1997</v>
      </c>
      <c r="L8" s="14">
        <v>1998</v>
      </c>
      <c r="M8" s="14">
        <v>1999</v>
      </c>
      <c r="N8" s="14">
        <v>2000</v>
      </c>
      <c r="O8" s="14">
        <v>2001</v>
      </c>
      <c r="P8" s="14">
        <v>2002</v>
      </c>
      <c r="Q8" s="14">
        <v>2003</v>
      </c>
      <c r="R8" s="14">
        <v>2004</v>
      </c>
      <c r="S8" s="14">
        <v>2005</v>
      </c>
      <c r="T8" s="14">
        <v>2006</v>
      </c>
      <c r="U8" s="14">
        <v>2007</v>
      </c>
    </row>
    <row r="9" spans="1:21" ht="38.25">
      <c r="A9" s="56" t="s">
        <v>187</v>
      </c>
      <c r="B9" s="57" t="s">
        <v>188</v>
      </c>
      <c r="C9" s="58"/>
      <c r="D9" s="59"/>
      <c r="E9" s="59"/>
      <c r="F9" s="59"/>
      <c r="G9" s="60">
        <v>1.506807</v>
      </c>
      <c r="H9" s="60">
        <v>1.993409</v>
      </c>
      <c r="I9" s="60">
        <v>2.265422</v>
      </c>
      <c r="J9" s="60">
        <v>3.0239099999999999</v>
      </c>
      <c r="K9" s="60">
        <v>2.8521139999999998</v>
      </c>
      <c r="L9" s="60">
        <v>2.5233559999999997</v>
      </c>
      <c r="M9" s="60">
        <v>2.553267</v>
      </c>
      <c r="N9" s="60">
        <v>2.2886959999999998</v>
      </c>
      <c r="O9" s="60">
        <v>1.5543450000000001</v>
      </c>
      <c r="P9" s="60">
        <v>1.4746779999999999</v>
      </c>
      <c r="Q9" s="60">
        <v>1.4266429999999999</v>
      </c>
      <c r="R9" s="60">
        <v>1.7764700000000002</v>
      </c>
      <c r="S9" s="60">
        <v>2.2105480000000002</v>
      </c>
      <c r="T9" s="60">
        <v>2.5350239999999999</v>
      </c>
      <c r="U9" s="60">
        <v>2.463543</v>
      </c>
    </row>
    <row r="10" spans="1:21">
      <c r="A10" s="56" t="s">
        <v>189</v>
      </c>
      <c r="B10" s="61"/>
      <c r="C10" s="61"/>
      <c r="D10" s="62">
        <f>D45</f>
        <v>65</v>
      </c>
      <c r="E10" s="63">
        <f>E45</f>
        <v>65.636272000000005</v>
      </c>
      <c r="F10" s="63">
        <f>F45</f>
        <v>66.287070517460009</v>
      </c>
      <c r="G10" s="64">
        <f t="shared" ref="G10:U10" si="0">F10+G9</f>
        <v>67.793877517460004</v>
      </c>
      <c r="H10" s="64">
        <f t="shared" si="0"/>
        <v>69.787286517460004</v>
      </c>
      <c r="I10" s="64">
        <f t="shared" si="0"/>
        <v>72.052708517460005</v>
      </c>
      <c r="J10" s="64">
        <f t="shared" si="0"/>
        <v>75.076618517460005</v>
      </c>
      <c r="K10" s="64">
        <f t="shared" si="0"/>
        <v>77.928732517460006</v>
      </c>
      <c r="L10" s="64">
        <f t="shared" si="0"/>
        <v>80.452088517459998</v>
      </c>
      <c r="M10" s="64">
        <f t="shared" si="0"/>
        <v>83.005355517460004</v>
      </c>
      <c r="N10" s="64">
        <f t="shared" si="0"/>
        <v>85.294051517460005</v>
      </c>
      <c r="O10" s="64">
        <f t="shared" si="0"/>
        <v>86.848396517460003</v>
      </c>
      <c r="P10" s="64">
        <f t="shared" si="0"/>
        <v>88.32307451746</v>
      </c>
      <c r="Q10" s="64">
        <f t="shared" si="0"/>
        <v>89.749717517459999</v>
      </c>
      <c r="R10" s="64">
        <f t="shared" si="0"/>
        <v>91.526187517460002</v>
      </c>
      <c r="S10" s="64">
        <f t="shared" si="0"/>
        <v>93.736735517460005</v>
      </c>
      <c r="T10" s="64">
        <f t="shared" si="0"/>
        <v>96.271759517459998</v>
      </c>
      <c r="U10" s="64">
        <f t="shared" si="0"/>
        <v>98.735302517459999</v>
      </c>
    </row>
    <row r="11" spans="1:21">
      <c r="A11" s="56" t="s">
        <v>190</v>
      </c>
      <c r="B11" s="61"/>
      <c r="C11" s="65">
        <f>AVERAGE(H11:U11)</f>
        <v>2.7246279711980872E-2</v>
      </c>
      <c r="D11" s="66"/>
      <c r="E11" s="67"/>
      <c r="F11" s="67"/>
      <c r="G11" s="65">
        <f t="shared" ref="G11:U11" si="1">G10/F10-1</f>
        <v>2.2731537058997109E-2</v>
      </c>
      <c r="H11" s="65">
        <f t="shared" si="1"/>
        <v>2.9403967924487073E-2</v>
      </c>
      <c r="I11" s="65">
        <f t="shared" si="1"/>
        <v>3.2461815225230506E-2</v>
      </c>
      <c r="J11" s="65">
        <f t="shared" si="1"/>
        <v>4.1968026771224576E-2</v>
      </c>
      <c r="K11" s="65">
        <f t="shared" si="1"/>
        <v>3.7989377469587415E-2</v>
      </c>
      <c r="L11" s="65">
        <f t="shared" si="1"/>
        <v>3.2380303368011676E-2</v>
      </c>
      <c r="M11" s="65">
        <f t="shared" si="1"/>
        <v>3.173649120924793E-2</v>
      </c>
      <c r="N11" s="65">
        <f t="shared" si="1"/>
        <v>2.7572871481992278E-2</v>
      </c>
      <c r="O11" s="65">
        <f t="shared" si="1"/>
        <v>1.8223369301220371E-2</v>
      </c>
      <c r="P11" s="65">
        <f t="shared" si="1"/>
        <v>1.6979910500748652E-2</v>
      </c>
      <c r="Q11" s="65">
        <f t="shared" si="1"/>
        <v>1.6152551389251979E-2</v>
      </c>
      <c r="R11" s="65">
        <f t="shared" si="1"/>
        <v>1.9793599903580761E-2</v>
      </c>
      <c r="S11" s="65">
        <f t="shared" si="1"/>
        <v>2.4152082152206988E-2</v>
      </c>
      <c r="T11" s="65">
        <f t="shared" si="1"/>
        <v>2.7044082408095083E-2</v>
      </c>
      <c r="U11" s="65">
        <f t="shared" si="1"/>
        <v>2.558946686284691E-2</v>
      </c>
    </row>
    <row r="12" spans="1:21">
      <c r="A12" s="68"/>
      <c r="B12" s="69"/>
      <c r="C12" s="69"/>
      <c r="D12" s="69"/>
      <c r="E12" s="69"/>
      <c r="F12" s="69"/>
      <c r="G12" s="69"/>
      <c r="H12" s="69"/>
      <c r="I12" s="69"/>
      <c r="J12" s="69"/>
      <c r="K12" s="69"/>
      <c r="L12" s="69"/>
      <c r="M12" s="69"/>
      <c r="N12" s="69"/>
      <c r="O12" s="69"/>
      <c r="P12" s="69"/>
      <c r="Q12" s="69"/>
      <c r="R12" s="69"/>
      <c r="S12" s="69"/>
      <c r="T12" s="69"/>
      <c r="U12" s="69"/>
    </row>
    <row r="13" spans="1:21" s="55" customFormat="1">
      <c r="A13" s="51" t="s">
        <v>191</v>
      </c>
      <c r="B13" s="52"/>
      <c r="C13" s="52"/>
      <c r="D13" s="52"/>
      <c r="E13" s="52"/>
      <c r="F13" s="53"/>
      <c r="G13" s="53"/>
      <c r="H13" s="52"/>
      <c r="I13" s="52"/>
      <c r="J13" s="53"/>
      <c r="K13" s="53"/>
      <c r="L13" s="54"/>
      <c r="M13" s="54"/>
      <c r="N13" s="54"/>
      <c r="O13" s="54"/>
      <c r="P13" s="54"/>
      <c r="Q13" s="54"/>
      <c r="R13" s="54"/>
      <c r="S13" s="54"/>
      <c r="T13" s="54"/>
      <c r="U13" s="54"/>
    </row>
    <row r="14" spans="1:21" s="6" customFormat="1">
      <c r="A14" s="9"/>
      <c r="B14" s="14" t="s">
        <v>185</v>
      </c>
      <c r="C14" s="14" t="s">
        <v>186</v>
      </c>
      <c r="D14" s="14">
        <v>1990</v>
      </c>
      <c r="E14" s="14">
        <f>D14+1</f>
        <v>1991</v>
      </c>
      <c r="F14" s="14">
        <f>E14+1</f>
        <v>1992</v>
      </c>
      <c r="G14" s="14">
        <v>1993</v>
      </c>
      <c r="H14" s="14">
        <v>1994</v>
      </c>
      <c r="I14" s="14">
        <v>1995</v>
      </c>
      <c r="J14" s="14">
        <v>1996</v>
      </c>
      <c r="K14" s="14">
        <v>1997</v>
      </c>
      <c r="L14" s="14">
        <v>1998</v>
      </c>
      <c r="M14" s="14">
        <v>1999</v>
      </c>
      <c r="N14" s="14">
        <v>2000</v>
      </c>
      <c r="O14" s="14">
        <v>2001</v>
      </c>
      <c r="P14" s="14">
        <v>2002</v>
      </c>
      <c r="Q14" s="14">
        <v>2003</v>
      </c>
      <c r="R14" s="14">
        <v>2004</v>
      </c>
      <c r="S14" s="14">
        <v>2005</v>
      </c>
      <c r="T14" s="14">
        <v>2006</v>
      </c>
      <c r="U14" s="14">
        <v>2007</v>
      </c>
    </row>
    <row r="15" spans="1:21" ht="65.25">
      <c r="A15" s="12" t="s">
        <v>192</v>
      </c>
      <c r="B15" s="57" t="s">
        <v>193</v>
      </c>
      <c r="C15" s="58"/>
      <c r="D15" s="59"/>
      <c r="E15" s="70">
        <v>139268.93951197501</v>
      </c>
      <c r="F15" s="70">
        <v>139268.93951197501</v>
      </c>
      <c r="G15" s="70">
        <v>139268.93951197501</v>
      </c>
      <c r="H15" s="70">
        <v>156367.67879209301</v>
      </c>
      <c r="I15" s="70">
        <v>181474.95638271101</v>
      </c>
      <c r="J15" s="70">
        <v>204624.71589890899</v>
      </c>
      <c r="K15" s="70">
        <v>231522.924240589</v>
      </c>
      <c r="L15" s="70">
        <v>252148.7</v>
      </c>
      <c r="M15" s="70">
        <v>287867.7</v>
      </c>
      <c r="N15" s="70">
        <v>330336.55</v>
      </c>
      <c r="O15" s="70">
        <v>364231</v>
      </c>
      <c r="P15" s="70">
        <v>415377.6</v>
      </c>
      <c r="Q15" s="70">
        <v>462775.3</v>
      </c>
      <c r="R15" s="70">
        <v>518381.2</v>
      </c>
      <c r="S15" s="70">
        <v>578971</v>
      </c>
      <c r="T15" s="70">
        <v>653169.30000000005</v>
      </c>
      <c r="U15" s="70">
        <v>753782.6</v>
      </c>
    </row>
    <row r="16" spans="1:21">
      <c r="A16" s="71" t="s">
        <v>194</v>
      </c>
      <c r="B16" s="65"/>
      <c r="C16" s="65">
        <f>AVERAGE(H16:U16)</f>
        <v>0.12835732389233709</v>
      </c>
      <c r="D16" s="65"/>
      <c r="E16" s="65"/>
      <c r="F16" s="65"/>
      <c r="G16" s="65"/>
      <c r="H16" s="65">
        <f t="shared" ref="H16:U16" si="2">(H15/G15-1)</f>
        <v>0.12277496576074487</v>
      </c>
      <c r="I16" s="65">
        <f t="shared" si="2"/>
        <v>0.16056564748269198</v>
      </c>
      <c r="J16" s="65">
        <f t="shared" si="2"/>
        <v>0.12756448590833469</v>
      </c>
      <c r="K16" s="65">
        <f t="shared" si="2"/>
        <v>0.13145141447609165</v>
      </c>
      <c r="L16" s="65">
        <f t="shared" si="2"/>
        <v>8.9087401720866266E-2</v>
      </c>
      <c r="M16" s="65">
        <f t="shared" si="2"/>
        <v>0.14165847374981499</v>
      </c>
      <c r="N16" s="65">
        <f t="shared" si="2"/>
        <v>0.14752905588226795</v>
      </c>
      <c r="O16" s="65">
        <f t="shared" si="2"/>
        <v>0.10260581216338305</v>
      </c>
      <c r="P16" s="65">
        <f t="shared" si="2"/>
        <v>0.14042352243493816</v>
      </c>
      <c r="Q16" s="65">
        <f t="shared" si="2"/>
        <v>0.11410750122298374</v>
      </c>
      <c r="R16" s="65">
        <f t="shared" si="2"/>
        <v>0.12015745006269785</v>
      </c>
      <c r="S16" s="65">
        <f t="shared" si="2"/>
        <v>0.1168827110242423</v>
      </c>
      <c r="T16" s="65">
        <f t="shared" si="2"/>
        <v>0.12815546892676832</v>
      </c>
      <c r="U16" s="65">
        <f t="shared" si="2"/>
        <v>0.15403862367689336</v>
      </c>
    </row>
    <row r="17" spans="1:21">
      <c r="C17" s="1"/>
      <c r="E17" s="1"/>
      <c r="F17" s="1"/>
      <c r="G17" s="1"/>
      <c r="H17" s="1"/>
      <c r="I17" s="1"/>
      <c r="J17" s="1"/>
      <c r="K17" s="1"/>
      <c r="L17" s="1"/>
      <c r="M17" s="1"/>
      <c r="N17" s="1"/>
      <c r="O17" s="1"/>
      <c r="P17" s="1"/>
      <c r="Q17" s="1"/>
      <c r="R17" s="1"/>
      <c r="S17" s="1"/>
      <c r="T17" s="1"/>
      <c r="U17" s="1"/>
    </row>
    <row r="18" spans="1:21">
      <c r="B18" s="59" t="s">
        <v>195</v>
      </c>
      <c r="C18" s="59" t="s">
        <v>196</v>
      </c>
      <c r="E18" s="1"/>
      <c r="F18" s="1"/>
      <c r="G18" s="1"/>
      <c r="H18" s="1"/>
      <c r="I18" s="1"/>
      <c r="J18" s="1"/>
      <c r="K18" s="1"/>
      <c r="L18" s="1"/>
      <c r="M18" s="1"/>
      <c r="N18" s="1"/>
      <c r="O18" s="1"/>
      <c r="P18" s="1"/>
      <c r="Q18" s="1"/>
      <c r="R18" s="1"/>
      <c r="S18" s="1"/>
      <c r="T18" s="1"/>
      <c r="U18" s="1"/>
    </row>
    <row r="19" spans="1:21">
      <c r="A19" s="72" t="s">
        <v>197</v>
      </c>
      <c r="B19" s="65">
        <f>AVERAGE(H16:U16)</f>
        <v>0.12835732389233709</v>
      </c>
      <c r="C19" s="65">
        <f>AVERAGE(N16:U16)</f>
        <v>0.12798751817427184</v>
      </c>
      <c r="D19" s="1"/>
      <c r="E19" s="1"/>
      <c r="F19" s="1"/>
      <c r="G19" s="1"/>
      <c r="H19" s="73"/>
      <c r="I19" s="1"/>
      <c r="J19" s="1"/>
      <c r="K19" s="1"/>
      <c r="L19" s="1"/>
      <c r="M19" s="1"/>
      <c r="N19" s="1"/>
      <c r="O19" s="1"/>
      <c r="P19" s="1"/>
      <c r="Q19" s="1"/>
      <c r="R19" s="1"/>
      <c r="S19" s="1"/>
      <c r="T19" s="1"/>
      <c r="U19" s="1"/>
    </row>
    <row r="20" spans="1:21">
      <c r="A20" s="72" t="s">
        <v>198</v>
      </c>
      <c r="B20" s="65">
        <f>AVERAGE(H11:U11)</f>
        <v>2.7246279711980872E-2</v>
      </c>
      <c r="C20" s="65">
        <f>AVERAGE(N11:U11)</f>
        <v>2.1938491749992878E-2</v>
      </c>
      <c r="D20" s="1"/>
      <c r="E20" s="1"/>
      <c r="F20" s="1"/>
      <c r="G20" s="1"/>
      <c r="H20" s="1"/>
      <c r="I20" s="1"/>
      <c r="J20" s="1"/>
      <c r="K20" s="1"/>
      <c r="L20" s="1"/>
      <c r="M20" s="1"/>
      <c r="N20" s="1"/>
      <c r="O20" s="1"/>
      <c r="P20" s="1"/>
      <c r="Q20" s="1"/>
      <c r="R20" s="1"/>
      <c r="S20" s="1"/>
      <c r="T20" s="1"/>
      <c r="U20" s="1"/>
    </row>
    <row r="21" spans="1:21">
      <c r="A21" s="74" t="s">
        <v>199</v>
      </c>
      <c r="B21" s="65">
        <f>B20/B19</f>
        <v>0.21226899163801802</v>
      </c>
      <c r="C21" s="65">
        <f>C20/C19</f>
        <v>0.17141118183197157</v>
      </c>
      <c r="D21" s="1"/>
      <c r="E21" s="1"/>
      <c r="F21" s="1"/>
      <c r="G21" s="1"/>
      <c r="H21" s="1"/>
      <c r="I21" s="1"/>
      <c r="J21" s="1"/>
      <c r="K21" s="1"/>
      <c r="L21" s="1"/>
      <c r="M21" s="1"/>
      <c r="N21" s="1"/>
      <c r="O21" s="1"/>
      <c r="P21" s="1"/>
      <c r="Q21" s="1"/>
      <c r="R21" s="1"/>
      <c r="S21" s="1"/>
      <c r="T21" s="1"/>
      <c r="U21" s="1"/>
    </row>
    <row r="22" spans="1:21">
      <c r="A22" s="17"/>
      <c r="B22" s="69"/>
      <c r="C22" s="69"/>
      <c r="D22" s="69"/>
      <c r="M22" s="1"/>
      <c r="N22" s="1"/>
      <c r="O22" s="1"/>
      <c r="P22" s="1"/>
      <c r="Q22" s="1"/>
      <c r="R22" s="1"/>
      <c r="S22" s="1"/>
      <c r="T22" s="1"/>
      <c r="U22" s="1"/>
    </row>
    <row r="23" spans="1:21" s="55" customFormat="1">
      <c r="A23" s="51" t="s">
        <v>200</v>
      </c>
      <c r="B23" s="52"/>
      <c r="C23" s="52"/>
      <c r="D23" s="52"/>
      <c r="E23" s="52"/>
      <c r="F23" s="53"/>
      <c r="G23" s="53"/>
      <c r="H23" s="52"/>
      <c r="I23" s="52"/>
      <c r="J23" s="53"/>
      <c r="K23" s="53"/>
      <c r="L23" s="54"/>
      <c r="M23" s="54"/>
      <c r="N23" s="54"/>
      <c r="O23" s="54"/>
      <c r="P23" s="54"/>
      <c r="Q23" s="54"/>
      <c r="R23" s="54"/>
      <c r="S23" s="54"/>
      <c r="T23" s="54"/>
      <c r="U23" s="54"/>
    </row>
    <row r="24" spans="1:21">
      <c r="A24" s="17"/>
      <c r="B24" s="69"/>
      <c r="C24" s="69"/>
      <c r="D24" s="69"/>
      <c r="M24" s="1"/>
      <c r="N24" s="1"/>
      <c r="O24" s="1"/>
      <c r="P24" s="1"/>
      <c r="Q24" s="1"/>
      <c r="R24" s="1"/>
      <c r="S24" s="1"/>
      <c r="T24" s="1"/>
      <c r="U24" s="1"/>
    </row>
    <row r="25" spans="1:21" s="6" customFormat="1">
      <c r="A25" s="9"/>
      <c r="B25" s="14" t="s">
        <v>185</v>
      </c>
      <c r="C25" s="14" t="s">
        <v>186</v>
      </c>
      <c r="D25" s="14">
        <v>1990</v>
      </c>
      <c r="E25" s="14">
        <f>D25+1</f>
        <v>1991</v>
      </c>
      <c r="F25" s="14">
        <f>E25+1</f>
        <v>1992</v>
      </c>
      <c r="G25" s="14">
        <v>1993</v>
      </c>
      <c r="H25" s="14">
        <v>1994</v>
      </c>
      <c r="I25" s="14">
        <v>1995</v>
      </c>
      <c r="J25" s="14">
        <v>1996</v>
      </c>
      <c r="K25" s="14">
        <v>1997</v>
      </c>
      <c r="L25" s="14">
        <v>1998</v>
      </c>
      <c r="M25" s="14">
        <v>1999</v>
      </c>
      <c r="N25" s="14">
        <v>2000</v>
      </c>
      <c r="O25" s="14">
        <v>2001</v>
      </c>
      <c r="P25" s="14">
        <v>2002</v>
      </c>
      <c r="Q25" s="14">
        <v>2003</v>
      </c>
      <c r="R25" s="14">
        <v>2004</v>
      </c>
      <c r="S25" s="14">
        <v>2005</v>
      </c>
      <c r="T25" s="14">
        <v>2006</v>
      </c>
      <c r="U25" s="14">
        <v>2007</v>
      </c>
    </row>
    <row r="26" spans="1:21" ht="24" customHeight="1">
      <c r="A26" s="58" t="s">
        <v>201</v>
      </c>
      <c r="B26" s="791" t="s">
        <v>202</v>
      </c>
      <c r="C26" s="65">
        <f>AVERAGE(E26:U26)</f>
        <v>3.7868750000000007E-2</v>
      </c>
      <c r="D26" s="59"/>
      <c r="E26" s="75">
        <v>1.9300000000000001E-2</v>
      </c>
      <c r="F26" s="76">
        <v>1.9300000000000001E-2</v>
      </c>
      <c r="G26" s="76">
        <v>1.9300000000000001E-2</v>
      </c>
      <c r="H26" s="77">
        <v>2.5000000000000001E-2</v>
      </c>
      <c r="I26" s="77">
        <v>5.9000000000000004E-2</v>
      </c>
      <c r="J26" s="77">
        <v>3.6999999999999998E-2</v>
      </c>
      <c r="K26" s="77">
        <v>4.0000000000000001E-3</v>
      </c>
      <c r="L26" s="77">
        <v>1.3000000000000001E-2</v>
      </c>
      <c r="M26" s="77">
        <v>7.5999999999999998E-2</v>
      </c>
      <c r="N26" s="77">
        <v>8.1000000000000003E-2</v>
      </c>
      <c r="O26" s="77">
        <v>1.9E-2</v>
      </c>
      <c r="P26" s="77">
        <v>2.3E-2</v>
      </c>
      <c r="Q26" s="77">
        <v>2.7E-2</v>
      </c>
      <c r="R26" s="77">
        <v>5.3999999999999999E-2</v>
      </c>
      <c r="S26" s="77">
        <v>7.0000000000000007E-2</v>
      </c>
      <c r="T26" s="77">
        <v>0.06</v>
      </c>
      <c r="U26" s="77"/>
    </row>
    <row r="27" spans="1:21" ht="25.5">
      <c r="A27" s="58" t="s">
        <v>203</v>
      </c>
      <c r="B27" s="791"/>
      <c r="C27" s="65">
        <f>AVERAGE(E27:U27)</f>
        <v>5.0281250000000013E-2</v>
      </c>
      <c r="D27" s="59"/>
      <c r="E27" s="75">
        <v>3.15E-2</v>
      </c>
      <c r="F27" s="76">
        <v>3.15E-2</v>
      </c>
      <c r="G27" s="76">
        <v>3.15E-2</v>
      </c>
      <c r="H27" s="77">
        <v>3.6999999999999998E-2</v>
      </c>
      <c r="I27" s="77">
        <v>3.5000000000000003E-2</v>
      </c>
      <c r="J27" s="77">
        <v>6.8000000000000005E-2</v>
      </c>
      <c r="K27" s="77">
        <v>4.7E-2</v>
      </c>
      <c r="L27" s="77">
        <v>2.3E-2</v>
      </c>
      <c r="M27" s="77">
        <v>5.1000000000000004E-2</v>
      </c>
      <c r="N27" s="77">
        <v>3.2000000000000001E-2</v>
      </c>
      <c r="O27" s="77">
        <v>8.2000000000000003E-2</v>
      </c>
      <c r="P27" s="77">
        <v>6.3E-2</v>
      </c>
      <c r="Q27" s="77">
        <v>4.8000000000000001E-2</v>
      </c>
      <c r="R27" s="77">
        <v>7.1000000000000008E-2</v>
      </c>
      <c r="S27" s="77">
        <v>5.7000000000000002E-2</v>
      </c>
      <c r="T27" s="77">
        <v>9.6000000000000002E-2</v>
      </c>
      <c r="U27" s="77"/>
    </row>
    <row r="28" spans="1:21" ht="25.5">
      <c r="A28" s="58" t="s">
        <v>204</v>
      </c>
      <c r="B28" s="791"/>
      <c r="C28" s="65">
        <f>AVERAGE(E28:U28)</f>
        <v>2.9143750000000003E-2</v>
      </c>
      <c r="D28" s="59"/>
      <c r="E28" s="75">
        <v>-7.9000000000000008E-3</v>
      </c>
      <c r="F28" s="76">
        <v>-7.9000000000000008E-3</v>
      </c>
      <c r="G28" s="76">
        <v>-7.9000000000000008E-3</v>
      </c>
      <c r="H28" s="77">
        <v>4.9000000000000002E-2</v>
      </c>
      <c r="I28" s="77">
        <v>5.5E-2</v>
      </c>
      <c r="J28" s="77">
        <v>2.7E-2</v>
      </c>
      <c r="K28" s="77">
        <v>0</v>
      </c>
      <c r="L28" s="77">
        <v>6.2E-2</v>
      </c>
      <c r="M28" s="77">
        <v>3.9E-2</v>
      </c>
      <c r="N28" s="77">
        <v>4.8000000000000001E-2</v>
      </c>
      <c r="O28" s="77">
        <v>2.1999999999999999E-2</v>
      </c>
      <c r="P28" s="77">
        <v>2.5000000000000001E-2</v>
      </c>
      <c r="Q28" s="77">
        <v>5.6000000000000001E-2</v>
      </c>
      <c r="R28" s="77">
        <v>1.7000000000000001E-2</v>
      </c>
      <c r="S28" s="77">
        <v>3.7999999999999999E-2</v>
      </c>
      <c r="T28" s="77">
        <v>5.2000000000000005E-2</v>
      </c>
      <c r="U28" s="77"/>
    </row>
    <row r="29" spans="1:21">
      <c r="A29" s="17"/>
      <c r="B29" s="69"/>
      <c r="C29" s="69"/>
      <c r="D29" s="69"/>
      <c r="M29" s="1"/>
      <c r="N29" s="1"/>
      <c r="O29" s="1"/>
      <c r="P29" s="1"/>
      <c r="Q29" s="1"/>
      <c r="R29" s="1"/>
      <c r="S29" s="1"/>
      <c r="T29" s="1"/>
      <c r="U29" s="1"/>
    </row>
    <row r="30" spans="1:21">
      <c r="A30" s="17"/>
      <c r="B30" s="69"/>
      <c r="C30" s="69"/>
      <c r="D30" s="69"/>
      <c r="M30" s="1"/>
      <c r="N30" s="1"/>
      <c r="O30" s="1"/>
      <c r="P30" s="1"/>
      <c r="Q30" s="1"/>
      <c r="R30" s="1"/>
      <c r="S30" s="1"/>
      <c r="T30" s="1"/>
      <c r="U30" s="1"/>
    </row>
    <row r="31" spans="1:21" s="55" customFormat="1">
      <c r="A31" s="51" t="s">
        <v>205</v>
      </c>
      <c r="B31" s="52"/>
      <c r="C31" s="52"/>
      <c r="D31" s="52"/>
      <c r="E31" s="52"/>
      <c r="F31" s="53"/>
      <c r="G31" s="53"/>
      <c r="H31" s="52"/>
      <c r="I31" s="52"/>
      <c r="J31" s="53"/>
      <c r="K31" s="53"/>
      <c r="L31" s="54"/>
      <c r="M31" s="54"/>
      <c r="N31" s="54"/>
      <c r="O31" s="54"/>
      <c r="P31" s="54"/>
      <c r="Q31" s="54"/>
      <c r="R31" s="54"/>
      <c r="S31" s="54"/>
      <c r="T31" s="54"/>
      <c r="U31" s="54"/>
    </row>
    <row r="32" spans="1:21">
      <c r="A32" s="17"/>
      <c r="B32" s="78"/>
      <c r="C32" s="69"/>
      <c r="D32" s="69"/>
      <c r="M32" s="1"/>
      <c r="N32" s="1"/>
      <c r="O32" s="1"/>
      <c r="P32" s="1"/>
      <c r="Q32" s="1"/>
      <c r="R32" s="1"/>
      <c r="S32" s="1"/>
      <c r="T32" s="1"/>
      <c r="U32" s="1"/>
    </row>
    <row r="33" spans="1:55">
      <c r="A33" s="79" t="s">
        <v>206</v>
      </c>
      <c r="B33" s="80">
        <v>0.7</v>
      </c>
      <c r="C33" s="69" t="s">
        <v>207</v>
      </c>
      <c r="D33" s="69"/>
      <c r="M33" s="1"/>
      <c r="N33" s="1"/>
      <c r="O33" s="1"/>
      <c r="P33" s="1"/>
      <c r="Q33" s="1"/>
      <c r="R33" s="1"/>
      <c r="S33" s="1"/>
      <c r="T33" s="1"/>
      <c r="U33" s="1"/>
    </row>
    <row r="34" spans="1:55">
      <c r="A34" s="79" t="s">
        <v>208</v>
      </c>
      <c r="B34" s="81">
        <v>0.24</v>
      </c>
      <c r="C34" s="69" t="s">
        <v>207</v>
      </c>
      <c r="D34" s="69"/>
      <c r="M34" s="1"/>
      <c r="N34" s="1"/>
      <c r="O34" s="1"/>
      <c r="P34" s="1"/>
      <c r="Q34" s="1"/>
      <c r="R34" s="1"/>
      <c r="S34" s="1"/>
      <c r="T34" s="1"/>
      <c r="U34" s="1"/>
    </row>
    <row r="35" spans="1:55">
      <c r="A35" s="69"/>
      <c r="E35" s="1"/>
      <c r="F35" s="1"/>
      <c r="G35" s="1" t="s">
        <v>209</v>
      </c>
      <c r="H35" s="1"/>
      <c r="I35" s="1"/>
      <c r="J35" s="1"/>
      <c r="K35" s="1"/>
      <c r="L35" s="1"/>
      <c r="M35" s="1"/>
      <c r="N35" s="1"/>
      <c r="O35" s="1"/>
      <c r="P35" s="1"/>
    </row>
    <row r="36" spans="1:55" s="85" customFormat="1" ht="39" thickBot="1">
      <c r="A36" s="9" t="s">
        <v>210</v>
      </c>
      <c r="B36" s="14" t="s">
        <v>211</v>
      </c>
      <c r="C36" s="82" t="s">
        <v>212</v>
      </c>
      <c r="D36" s="83">
        <v>1990</v>
      </c>
      <c r="E36" s="14">
        <f t="shared" ref="E36:U36" si="3">D36+1</f>
        <v>1991</v>
      </c>
      <c r="F36" s="14">
        <f t="shared" si="3"/>
        <v>1992</v>
      </c>
      <c r="G36" s="84">
        <f t="shared" si="3"/>
        <v>1993</v>
      </c>
      <c r="H36" s="84">
        <f t="shared" si="3"/>
        <v>1994</v>
      </c>
      <c r="I36" s="84">
        <f t="shared" si="3"/>
        <v>1995</v>
      </c>
      <c r="J36" s="84">
        <f t="shared" si="3"/>
        <v>1996</v>
      </c>
      <c r="K36" s="84">
        <f t="shared" si="3"/>
        <v>1997</v>
      </c>
      <c r="L36" s="84">
        <f t="shared" si="3"/>
        <v>1998</v>
      </c>
      <c r="M36" s="84">
        <f t="shared" si="3"/>
        <v>1999</v>
      </c>
      <c r="N36" s="84">
        <f t="shared" si="3"/>
        <v>2000</v>
      </c>
      <c r="O36" s="84">
        <f t="shared" si="3"/>
        <v>2001</v>
      </c>
      <c r="P36" s="84">
        <f t="shared" si="3"/>
        <v>2002</v>
      </c>
      <c r="Q36" s="84">
        <f t="shared" si="3"/>
        <v>2003</v>
      </c>
      <c r="R36" s="84">
        <f t="shared" si="3"/>
        <v>2004</v>
      </c>
      <c r="S36" s="84">
        <f t="shared" si="3"/>
        <v>2005</v>
      </c>
      <c r="T36" s="84">
        <f t="shared" si="3"/>
        <v>2006</v>
      </c>
      <c r="U36" s="84">
        <f t="shared" si="3"/>
        <v>2007</v>
      </c>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spans="1:55" s="90" customFormat="1">
      <c r="A37" s="86" t="s">
        <v>80</v>
      </c>
      <c r="B37" s="59">
        <v>6</v>
      </c>
      <c r="C37" s="87">
        <v>0.11</v>
      </c>
      <c r="D37" s="88">
        <f t="shared" ref="D37:D44" si="4">C37*$D$45</f>
        <v>7.15</v>
      </c>
      <c r="E37" s="64">
        <f t="shared" ref="E37:F40" si="5">D37+($B$33*E$26*D37)</f>
        <v>7.2465965000000008</v>
      </c>
      <c r="F37" s="64">
        <f t="shared" si="5"/>
        <v>7.3444980187150009</v>
      </c>
      <c r="G37" s="89">
        <f t="shared" ref="G37:U44" si="6">$C37*G$10</f>
        <v>7.4573265269206006</v>
      </c>
      <c r="H37" s="89">
        <f t="shared" si="6"/>
        <v>7.6766015169206003</v>
      </c>
      <c r="I37" s="89">
        <f t="shared" si="6"/>
        <v>7.9257979369206009</v>
      </c>
      <c r="J37" s="89">
        <f t="shared" si="6"/>
        <v>8.2584280369206002</v>
      </c>
      <c r="K37" s="89">
        <f t="shared" si="6"/>
        <v>8.5721605769206004</v>
      </c>
      <c r="L37" s="89">
        <f t="shared" si="6"/>
        <v>8.8497297369205992</v>
      </c>
      <c r="M37" s="89">
        <f t="shared" si="6"/>
        <v>9.1305891069206009</v>
      </c>
      <c r="N37" s="89">
        <f t="shared" si="6"/>
        <v>9.3823456669206013</v>
      </c>
      <c r="O37" s="89">
        <f t="shared" si="6"/>
        <v>9.5533236169206006</v>
      </c>
      <c r="P37" s="89">
        <f t="shared" si="6"/>
        <v>9.7155381969205994</v>
      </c>
      <c r="Q37" s="89">
        <f t="shared" si="6"/>
        <v>9.8724689269206003</v>
      </c>
      <c r="R37" s="89">
        <f t="shared" si="6"/>
        <v>10.0678806269206</v>
      </c>
      <c r="S37" s="89">
        <f t="shared" si="6"/>
        <v>10.311040906920601</v>
      </c>
      <c r="T37" s="89">
        <f t="shared" si="6"/>
        <v>10.589893546920599</v>
      </c>
      <c r="U37" s="89">
        <f t="shared" si="6"/>
        <v>10.8608832769206</v>
      </c>
    </row>
    <row r="38" spans="1:55" s="90" customFormat="1">
      <c r="A38" s="86" t="s">
        <v>72</v>
      </c>
      <c r="B38" s="59">
        <v>6</v>
      </c>
      <c r="C38" s="87">
        <v>0.18</v>
      </c>
      <c r="D38" s="91">
        <f t="shared" si="4"/>
        <v>11.7</v>
      </c>
      <c r="E38" s="64">
        <f t="shared" si="5"/>
        <v>11.858067</v>
      </c>
      <c r="F38" s="64">
        <f t="shared" si="5"/>
        <v>12.01826948517</v>
      </c>
      <c r="G38" s="89">
        <f t="shared" si="6"/>
        <v>12.2028979531428</v>
      </c>
      <c r="H38" s="89">
        <f t="shared" si="6"/>
        <v>12.5617115731428</v>
      </c>
      <c r="I38" s="89">
        <f t="shared" si="6"/>
        <v>12.9694875331428</v>
      </c>
      <c r="J38" s="89">
        <f t="shared" si="6"/>
        <v>13.5137913331428</v>
      </c>
      <c r="K38" s="89">
        <f t="shared" si="6"/>
        <v>14.0271718531428</v>
      </c>
      <c r="L38" s="89">
        <f t="shared" si="6"/>
        <v>14.481375933142798</v>
      </c>
      <c r="M38" s="89">
        <f t="shared" si="6"/>
        <v>14.9409639931428</v>
      </c>
      <c r="N38" s="89">
        <f t="shared" si="6"/>
        <v>15.3529292731428</v>
      </c>
      <c r="O38" s="89">
        <f t="shared" si="6"/>
        <v>15.632711373142801</v>
      </c>
      <c r="P38" s="89">
        <f t="shared" si="6"/>
        <v>15.898153413142799</v>
      </c>
      <c r="Q38" s="89">
        <f t="shared" si="6"/>
        <v>16.154949153142798</v>
      </c>
      <c r="R38" s="89">
        <f t="shared" si="6"/>
        <v>16.474713753142801</v>
      </c>
      <c r="S38" s="89">
        <f t="shared" si="6"/>
        <v>16.872612393142802</v>
      </c>
      <c r="T38" s="89">
        <f t="shared" si="6"/>
        <v>17.328916713142799</v>
      </c>
      <c r="U38" s="89">
        <f t="shared" si="6"/>
        <v>17.7723544531428</v>
      </c>
    </row>
    <row r="39" spans="1:55" s="90" customFormat="1">
      <c r="A39" s="86" t="s">
        <v>77</v>
      </c>
      <c r="B39" s="59">
        <v>6</v>
      </c>
      <c r="C39" s="87">
        <v>0.04</v>
      </c>
      <c r="D39" s="91">
        <f t="shared" si="4"/>
        <v>2.6</v>
      </c>
      <c r="E39" s="64">
        <f t="shared" si="5"/>
        <v>2.6351260000000001</v>
      </c>
      <c r="F39" s="64">
        <f t="shared" si="5"/>
        <v>2.6707265522600001</v>
      </c>
      <c r="G39" s="89">
        <f t="shared" si="6"/>
        <v>2.7117551006984004</v>
      </c>
      <c r="H39" s="89">
        <f t="shared" si="6"/>
        <v>2.7914914606984</v>
      </c>
      <c r="I39" s="89">
        <f t="shared" si="6"/>
        <v>2.8821083406984003</v>
      </c>
      <c r="J39" s="89">
        <f t="shared" si="6"/>
        <v>3.0030647406984001</v>
      </c>
      <c r="K39" s="89">
        <f t="shared" si="6"/>
        <v>3.1171493006984003</v>
      </c>
      <c r="L39" s="89">
        <f t="shared" si="6"/>
        <v>3.2180835406983999</v>
      </c>
      <c r="M39" s="89">
        <f t="shared" si="6"/>
        <v>3.3202142206984</v>
      </c>
      <c r="N39" s="89">
        <f t="shared" si="6"/>
        <v>3.4117620606984005</v>
      </c>
      <c r="O39" s="89">
        <f t="shared" si="6"/>
        <v>3.4739358606984001</v>
      </c>
      <c r="P39" s="89">
        <f t="shared" si="6"/>
        <v>3.5329229806983999</v>
      </c>
      <c r="Q39" s="89">
        <f t="shared" si="6"/>
        <v>3.5899887006984001</v>
      </c>
      <c r="R39" s="89">
        <f t="shared" si="6"/>
        <v>3.6610475006984</v>
      </c>
      <c r="S39" s="89">
        <f t="shared" si="6"/>
        <v>3.7494694206984001</v>
      </c>
      <c r="T39" s="89">
        <f t="shared" si="6"/>
        <v>3.8508703806983999</v>
      </c>
      <c r="U39" s="89">
        <f t="shared" si="6"/>
        <v>3.9494121006984</v>
      </c>
    </row>
    <row r="40" spans="1:55" s="90" customFormat="1">
      <c r="A40" s="86" t="s">
        <v>79</v>
      </c>
      <c r="B40" s="59">
        <v>6</v>
      </c>
      <c r="C40" s="87">
        <v>0.04</v>
      </c>
      <c r="D40" s="91">
        <f t="shared" si="4"/>
        <v>2.6</v>
      </c>
      <c r="E40" s="64">
        <f t="shared" si="5"/>
        <v>2.6351260000000001</v>
      </c>
      <c r="F40" s="64">
        <f t="shared" si="5"/>
        <v>2.6707265522600001</v>
      </c>
      <c r="G40" s="89">
        <f t="shared" si="6"/>
        <v>2.7117551006984004</v>
      </c>
      <c r="H40" s="89">
        <f t="shared" si="6"/>
        <v>2.7914914606984</v>
      </c>
      <c r="I40" s="89">
        <f t="shared" si="6"/>
        <v>2.8821083406984003</v>
      </c>
      <c r="J40" s="89">
        <f t="shared" si="6"/>
        <v>3.0030647406984001</v>
      </c>
      <c r="K40" s="89">
        <f t="shared" si="6"/>
        <v>3.1171493006984003</v>
      </c>
      <c r="L40" s="89">
        <f t="shared" si="6"/>
        <v>3.2180835406983999</v>
      </c>
      <c r="M40" s="89">
        <f t="shared" si="6"/>
        <v>3.3202142206984</v>
      </c>
      <c r="N40" s="89">
        <f t="shared" si="6"/>
        <v>3.4117620606984005</v>
      </c>
      <c r="O40" s="89">
        <f t="shared" si="6"/>
        <v>3.4739358606984001</v>
      </c>
      <c r="P40" s="89">
        <f t="shared" si="6"/>
        <v>3.5329229806983999</v>
      </c>
      <c r="Q40" s="89">
        <f t="shared" si="6"/>
        <v>3.5899887006984001</v>
      </c>
      <c r="R40" s="89">
        <f t="shared" si="6"/>
        <v>3.6610475006984</v>
      </c>
      <c r="S40" s="89">
        <f t="shared" si="6"/>
        <v>3.7494694206984001</v>
      </c>
      <c r="T40" s="89">
        <f t="shared" si="6"/>
        <v>3.8508703806983999</v>
      </c>
      <c r="U40" s="89">
        <f t="shared" si="6"/>
        <v>3.9494121006984</v>
      </c>
    </row>
    <row r="41" spans="1:55" s="90" customFormat="1">
      <c r="A41" s="86" t="s">
        <v>74</v>
      </c>
      <c r="B41" s="59">
        <v>8</v>
      </c>
      <c r="C41" s="87">
        <v>0.30000000000000004</v>
      </c>
      <c r="D41" s="91">
        <f t="shared" si="4"/>
        <v>19.500000000000004</v>
      </c>
      <c r="E41" s="64">
        <f>D41+($B$33*E$27*D41)</f>
        <v>19.929975000000002</v>
      </c>
      <c r="F41" s="64">
        <f>E41+($B$33*F$27*E41)</f>
        <v>20.369430948750001</v>
      </c>
      <c r="G41" s="89">
        <f t="shared" si="6"/>
        <v>20.338163255238005</v>
      </c>
      <c r="H41" s="89">
        <f t="shared" si="6"/>
        <v>20.936185955238003</v>
      </c>
      <c r="I41" s="89">
        <f t="shared" si="6"/>
        <v>21.615812555238005</v>
      </c>
      <c r="J41" s="89">
        <f t="shared" si="6"/>
        <v>22.522985555238005</v>
      </c>
      <c r="K41" s="89">
        <f t="shared" si="6"/>
        <v>23.378619755238006</v>
      </c>
      <c r="L41" s="89">
        <f t="shared" si="6"/>
        <v>24.135626555238002</v>
      </c>
      <c r="M41" s="89">
        <f t="shared" si="6"/>
        <v>24.901606655238005</v>
      </c>
      <c r="N41" s="89">
        <f t="shared" si="6"/>
        <v>25.588215455238004</v>
      </c>
      <c r="O41" s="89">
        <f t="shared" si="6"/>
        <v>26.054518955238006</v>
      </c>
      <c r="P41" s="89">
        <f t="shared" si="6"/>
        <v>26.496922355238006</v>
      </c>
      <c r="Q41" s="89">
        <f t="shared" si="6"/>
        <v>26.924915255238005</v>
      </c>
      <c r="R41" s="89">
        <f t="shared" si="6"/>
        <v>27.457856255238006</v>
      </c>
      <c r="S41" s="89">
        <f t="shared" si="6"/>
        <v>28.121020655238006</v>
      </c>
      <c r="T41" s="89">
        <f t="shared" si="6"/>
        <v>28.881527855238005</v>
      </c>
      <c r="U41" s="89">
        <f t="shared" si="6"/>
        <v>29.620590755238005</v>
      </c>
    </row>
    <row r="42" spans="1:55" s="90" customFormat="1">
      <c r="A42" s="86" t="s">
        <v>70</v>
      </c>
      <c r="B42" s="59">
        <v>9</v>
      </c>
      <c r="C42" s="87">
        <v>0.12</v>
      </c>
      <c r="D42" s="91">
        <f t="shared" si="4"/>
        <v>7.8</v>
      </c>
      <c r="E42" s="64">
        <f t="shared" ref="E42:F44" si="7">D42+($B$33*E$28*D42)</f>
        <v>7.7568659999999996</v>
      </c>
      <c r="F42" s="64">
        <f t="shared" si="7"/>
        <v>7.7139705310199993</v>
      </c>
      <c r="G42" s="89">
        <f t="shared" si="6"/>
        <v>8.1352653020952008</v>
      </c>
      <c r="H42" s="89">
        <f t="shared" si="6"/>
        <v>8.374474382095201</v>
      </c>
      <c r="I42" s="89">
        <f t="shared" si="6"/>
        <v>8.6463250220951995</v>
      </c>
      <c r="J42" s="89">
        <f t="shared" si="6"/>
        <v>9.0091942220951999</v>
      </c>
      <c r="K42" s="89">
        <f t="shared" si="6"/>
        <v>9.3514479020952006</v>
      </c>
      <c r="L42" s="89">
        <f t="shared" si="6"/>
        <v>9.6542506220951996</v>
      </c>
      <c r="M42" s="89">
        <f t="shared" si="6"/>
        <v>9.9606426620952</v>
      </c>
      <c r="N42" s="89">
        <f t="shared" si="6"/>
        <v>10.2352861820952</v>
      </c>
      <c r="O42" s="89">
        <f t="shared" si="6"/>
        <v>10.4218075820952</v>
      </c>
      <c r="P42" s="89">
        <f t="shared" si="6"/>
        <v>10.5987689420952</v>
      </c>
      <c r="Q42" s="89">
        <f t="shared" si="6"/>
        <v>10.7699661020952</v>
      </c>
      <c r="R42" s="89">
        <f t="shared" si="6"/>
        <v>10.9831425020952</v>
      </c>
      <c r="S42" s="89">
        <f t="shared" si="6"/>
        <v>11.2484082620952</v>
      </c>
      <c r="T42" s="89">
        <f t="shared" si="6"/>
        <v>11.552611142095198</v>
      </c>
      <c r="U42" s="89">
        <f t="shared" si="6"/>
        <v>11.848236302095199</v>
      </c>
    </row>
    <row r="43" spans="1:55" s="90" customFormat="1">
      <c r="A43" s="86" t="s">
        <v>78</v>
      </c>
      <c r="B43" s="59">
        <v>9</v>
      </c>
      <c r="C43" s="87">
        <v>7.0000000000000007E-2</v>
      </c>
      <c r="D43" s="91">
        <f t="shared" si="4"/>
        <v>4.5500000000000007</v>
      </c>
      <c r="E43" s="64">
        <f t="shared" si="7"/>
        <v>4.5248385000000004</v>
      </c>
      <c r="F43" s="64">
        <f t="shared" si="7"/>
        <v>4.4998161430950008</v>
      </c>
      <c r="G43" s="89">
        <f>$C43*G$10</f>
        <v>4.7455714262222006</v>
      </c>
      <c r="H43" s="89">
        <f t="shared" si="6"/>
        <v>4.8851100562222003</v>
      </c>
      <c r="I43" s="89">
        <f t="shared" si="6"/>
        <v>5.043689596222201</v>
      </c>
      <c r="J43" s="89">
        <f t="shared" si="6"/>
        <v>5.2553632962222006</v>
      </c>
      <c r="K43" s="89">
        <f t="shared" si="6"/>
        <v>5.4550112762222005</v>
      </c>
      <c r="L43" s="89">
        <f t="shared" si="6"/>
        <v>5.6316461962222002</v>
      </c>
      <c r="M43" s="89">
        <f t="shared" si="6"/>
        <v>5.8103748862222009</v>
      </c>
      <c r="N43" s="89">
        <f t="shared" si="6"/>
        <v>5.9705836062222009</v>
      </c>
      <c r="O43" s="89">
        <f t="shared" si="6"/>
        <v>6.079387756222201</v>
      </c>
      <c r="P43" s="89">
        <f t="shared" si="6"/>
        <v>6.1826152162222003</v>
      </c>
      <c r="Q43" s="89">
        <f t="shared" si="6"/>
        <v>6.2824802262222006</v>
      </c>
      <c r="R43" s="89">
        <f t="shared" si="6"/>
        <v>6.4068331262222005</v>
      </c>
      <c r="S43" s="89">
        <f t="shared" si="6"/>
        <v>6.561571486222201</v>
      </c>
      <c r="T43" s="89">
        <f t="shared" si="6"/>
        <v>6.7390231662222009</v>
      </c>
      <c r="U43" s="89">
        <f t="shared" si="6"/>
        <v>6.911471176222201</v>
      </c>
    </row>
    <row r="44" spans="1:55" s="90" customFormat="1">
      <c r="A44" s="86" t="s">
        <v>83</v>
      </c>
      <c r="B44" s="59">
        <v>9</v>
      </c>
      <c r="C44" s="87">
        <v>0.14000000000000001</v>
      </c>
      <c r="D44" s="91">
        <f t="shared" si="4"/>
        <v>9.1000000000000014</v>
      </c>
      <c r="E44" s="64">
        <f t="shared" si="7"/>
        <v>9.0496770000000009</v>
      </c>
      <c r="F44" s="64">
        <f t="shared" si="7"/>
        <v>8.9996322861900016</v>
      </c>
      <c r="G44" s="89">
        <f t="shared" si="6"/>
        <v>9.4911428524444013</v>
      </c>
      <c r="H44" s="89">
        <f t="shared" si="6"/>
        <v>9.7702201124444006</v>
      </c>
      <c r="I44" s="89">
        <f t="shared" si="6"/>
        <v>10.087379192444402</v>
      </c>
      <c r="J44" s="89">
        <f t="shared" si="6"/>
        <v>10.510726592444401</v>
      </c>
      <c r="K44" s="89">
        <f t="shared" si="6"/>
        <v>10.910022552444401</v>
      </c>
      <c r="L44" s="89">
        <f t="shared" si="6"/>
        <v>11.2632923924444</v>
      </c>
      <c r="M44" s="89">
        <f t="shared" si="6"/>
        <v>11.620749772444402</v>
      </c>
      <c r="N44" s="89">
        <f t="shared" si="6"/>
        <v>11.941167212444402</v>
      </c>
      <c r="O44" s="89">
        <f t="shared" si="6"/>
        <v>12.158775512444402</v>
      </c>
      <c r="P44" s="89">
        <f t="shared" si="6"/>
        <v>12.365230432444401</v>
      </c>
      <c r="Q44" s="89">
        <f t="shared" si="6"/>
        <v>12.564960452444401</v>
      </c>
      <c r="R44" s="89">
        <f t="shared" si="6"/>
        <v>12.813666252444401</v>
      </c>
      <c r="S44" s="89">
        <f t="shared" si="6"/>
        <v>13.123142972444402</v>
      </c>
      <c r="T44" s="89">
        <f t="shared" si="6"/>
        <v>13.478046332444402</v>
      </c>
      <c r="U44" s="89">
        <f t="shared" si="6"/>
        <v>13.822942352444402</v>
      </c>
    </row>
    <row r="45" spans="1:55" s="90" customFormat="1">
      <c r="A45" s="92" t="s">
        <v>213</v>
      </c>
      <c r="B45" s="9"/>
      <c r="C45" s="93">
        <f>SUM(C37:C44)</f>
        <v>0.99999999999999989</v>
      </c>
      <c r="D45" s="94">
        <v>65</v>
      </c>
      <c r="E45" s="95">
        <f t="shared" ref="E45:U45" si="8">SUM(E37:E44)</f>
        <v>65.636272000000005</v>
      </c>
      <c r="F45" s="95">
        <f t="shared" si="8"/>
        <v>66.287070517460009</v>
      </c>
      <c r="G45" s="95">
        <f t="shared" si="8"/>
        <v>67.793877517460004</v>
      </c>
      <c r="H45" s="95">
        <f t="shared" si="8"/>
        <v>69.787286517460004</v>
      </c>
      <c r="I45" s="95">
        <f t="shared" si="8"/>
        <v>72.052708517460019</v>
      </c>
      <c r="J45" s="95">
        <f t="shared" si="8"/>
        <v>75.076618517460005</v>
      </c>
      <c r="K45" s="95">
        <f t="shared" si="8"/>
        <v>77.928732517460006</v>
      </c>
      <c r="L45" s="95">
        <f t="shared" si="8"/>
        <v>80.452088517459998</v>
      </c>
      <c r="M45" s="95">
        <f t="shared" si="8"/>
        <v>83.005355517460004</v>
      </c>
      <c r="N45" s="95">
        <f t="shared" si="8"/>
        <v>85.294051517460005</v>
      </c>
      <c r="O45" s="95">
        <f t="shared" si="8"/>
        <v>86.848396517460017</v>
      </c>
      <c r="P45" s="95">
        <f t="shared" si="8"/>
        <v>88.323074517460014</v>
      </c>
      <c r="Q45" s="95">
        <f t="shared" si="8"/>
        <v>89.749717517459999</v>
      </c>
      <c r="R45" s="95">
        <f t="shared" si="8"/>
        <v>91.526187517460016</v>
      </c>
      <c r="S45" s="95">
        <f t="shared" si="8"/>
        <v>93.736735517460019</v>
      </c>
      <c r="T45" s="95">
        <f t="shared" si="8"/>
        <v>96.271759517460012</v>
      </c>
      <c r="U45" s="95">
        <f t="shared" si="8"/>
        <v>98.735302517460028</v>
      </c>
    </row>
    <row r="46" spans="1:55" s="90" customFormat="1">
      <c r="A46" s="92"/>
      <c r="B46" s="9"/>
      <c r="C46" s="93"/>
      <c r="D46" s="94"/>
      <c r="E46" s="95"/>
      <c r="F46" s="95"/>
      <c r="G46" s="95"/>
      <c r="H46" s="95"/>
      <c r="I46" s="95"/>
      <c r="J46" s="95"/>
      <c r="K46" s="95"/>
      <c r="L46" s="95"/>
      <c r="M46" s="95"/>
      <c r="N46" s="95"/>
      <c r="O46" s="95"/>
      <c r="P46" s="95"/>
      <c r="Q46" s="95"/>
      <c r="R46" s="95"/>
      <c r="S46" s="95"/>
      <c r="T46" s="95"/>
      <c r="U46" s="95"/>
    </row>
    <row r="47" spans="1:55" s="99" customFormat="1">
      <c r="A47" s="96" t="s">
        <v>214</v>
      </c>
      <c r="B47" s="97"/>
      <c r="C47" s="93"/>
      <c r="D47" s="94"/>
      <c r="E47" s="98"/>
      <c r="F47" s="98"/>
      <c r="G47" s="98"/>
      <c r="H47" s="98"/>
      <c r="I47" s="98"/>
      <c r="J47" s="98"/>
      <c r="K47" s="98"/>
      <c r="L47" s="98"/>
      <c r="M47" s="98"/>
      <c r="N47" s="98"/>
      <c r="O47" s="98"/>
      <c r="P47" s="98"/>
      <c r="Q47" s="98"/>
      <c r="R47" s="98"/>
      <c r="S47" s="98"/>
      <c r="T47" s="98"/>
      <c r="U47" s="98"/>
    </row>
    <row r="48" spans="1:55">
      <c r="B48" s="1"/>
      <c r="C48" s="1"/>
      <c r="D48" s="1"/>
      <c r="E48" s="1"/>
      <c r="F48" s="1"/>
      <c r="G48" s="1"/>
      <c r="H48" s="1"/>
      <c r="I48" s="1"/>
      <c r="J48" s="1"/>
      <c r="K48" s="1"/>
      <c r="L48" s="1"/>
      <c r="M48" s="1"/>
      <c r="N48" s="1"/>
      <c r="O48" s="1"/>
      <c r="P48" s="1"/>
      <c r="Q48" s="1"/>
      <c r="R48" s="1"/>
      <c r="S48" s="1"/>
      <c r="T48" s="1"/>
      <c r="U48" s="1"/>
    </row>
    <row r="49" spans="1:21" ht="38.25">
      <c r="A49" s="9" t="s">
        <v>210</v>
      </c>
      <c r="B49" s="14" t="s">
        <v>211</v>
      </c>
      <c r="C49" s="82" t="s">
        <v>212</v>
      </c>
      <c r="D49" s="83">
        <v>1990</v>
      </c>
      <c r="E49" s="14">
        <f t="shared" ref="E49:U49" si="9">D49+1</f>
        <v>1991</v>
      </c>
      <c r="F49" s="14">
        <f t="shared" si="9"/>
        <v>1992</v>
      </c>
      <c r="G49" s="84">
        <f t="shared" si="9"/>
        <v>1993</v>
      </c>
      <c r="H49" s="84">
        <f t="shared" si="9"/>
        <v>1994</v>
      </c>
      <c r="I49" s="84">
        <f t="shared" si="9"/>
        <v>1995</v>
      </c>
      <c r="J49" s="84">
        <f t="shared" si="9"/>
        <v>1996</v>
      </c>
      <c r="K49" s="84">
        <f t="shared" si="9"/>
        <v>1997</v>
      </c>
      <c r="L49" s="84">
        <f t="shared" si="9"/>
        <v>1998</v>
      </c>
      <c r="M49" s="84">
        <f t="shared" si="9"/>
        <v>1999</v>
      </c>
      <c r="N49" s="84">
        <f t="shared" si="9"/>
        <v>2000</v>
      </c>
      <c r="O49" s="84">
        <f t="shared" si="9"/>
        <v>2001</v>
      </c>
      <c r="P49" s="84">
        <f t="shared" si="9"/>
        <v>2002</v>
      </c>
      <c r="Q49" s="84">
        <f t="shared" si="9"/>
        <v>2003</v>
      </c>
      <c r="R49" s="84">
        <f t="shared" si="9"/>
        <v>2004</v>
      </c>
      <c r="S49" s="84">
        <f t="shared" si="9"/>
        <v>2005</v>
      </c>
      <c r="T49" s="84">
        <f t="shared" si="9"/>
        <v>2006</v>
      </c>
      <c r="U49" s="84">
        <f t="shared" si="9"/>
        <v>2007</v>
      </c>
    </row>
    <row r="50" spans="1:21">
      <c r="A50" s="86" t="s">
        <v>80</v>
      </c>
      <c r="B50" s="59">
        <v>6</v>
      </c>
      <c r="C50" s="87">
        <v>0.11</v>
      </c>
      <c r="D50" s="88">
        <f t="shared" ref="D50:D57" si="10">C50*$D$45</f>
        <v>7.15</v>
      </c>
      <c r="E50" s="64">
        <f t="shared" ref="E50:T50" si="11">D50+($B$33*E$26*D50)</f>
        <v>7.2465965000000008</v>
      </c>
      <c r="F50" s="64">
        <f t="shared" si="11"/>
        <v>7.3444980187150009</v>
      </c>
      <c r="G50" s="64">
        <f t="shared" si="11"/>
        <v>7.4437221869478405</v>
      </c>
      <c r="H50" s="64">
        <f t="shared" si="11"/>
        <v>7.5739873252194281</v>
      </c>
      <c r="I50" s="64">
        <f t="shared" si="11"/>
        <v>7.8867930017509904</v>
      </c>
      <c r="J50" s="64">
        <f t="shared" si="11"/>
        <v>8.0910609404963409</v>
      </c>
      <c r="K50" s="64">
        <f t="shared" si="11"/>
        <v>8.1137159111297308</v>
      </c>
      <c r="L50" s="64">
        <f t="shared" si="11"/>
        <v>8.1875507259210121</v>
      </c>
      <c r="M50" s="64">
        <f t="shared" si="11"/>
        <v>8.6231284245400097</v>
      </c>
      <c r="N50" s="64">
        <f t="shared" si="11"/>
        <v>9.1120598062114286</v>
      </c>
      <c r="O50" s="64">
        <f t="shared" si="11"/>
        <v>9.233250201634041</v>
      </c>
      <c r="P50" s="64">
        <f t="shared" si="11"/>
        <v>9.3819055298803491</v>
      </c>
      <c r="Q50" s="64">
        <f t="shared" si="11"/>
        <v>9.5592235443950884</v>
      </c>
      <c r="R50" s="64">
        <f t="shared" si="11"/>
        <v>9.9205621943732218</v>
      </c>
      <c r="S50" s="64">
        <f t="shared" si="11"/>
        <v>10.40666974189751</v>
      </c>
      <c r="T50" s="64">
        <f t="shared" si="11"/>
        <v>10.843749871057206</v>
      </c>
      <c r="U50" s="64">
        <f t="shared" ref="E50:U53" si="12">T50+($B$33*U$26*T50)</f>
        <v>10.843749871057206</v>
      </c>
    </row>
    <row r="51" spans="1:21">
      <c r="A51" s="86" t="s">
        <v>72</v>
      </c>
      <c r="B51" s="59">
        <v>6</v>
      </c>
      <c r="C51" s="87">
        <v>0.18</v>
      </c>
      <c r="D51" s="91">
        <f t="shared" si="10"/>
        <v>11.7</v>
      </c>
      <c r="E51" s="64">
        <f t="shared" si="12"/>
        <v>11.858067</v>
      </c>
      <c r="F51" s="64">
        <f t="shared" si="12"/>
        <v>12.01826948517</v>
      </c>
      <c r="G51" s="64">
        <f t="shared" si="12"/>
        <v>12.180636305914646</v>
      </c>
      <c r="H51" s="64">
        <f t="shared" si="12"/>
        <v>12.393797441268152</v>
      </c>
      <c r="I51" s="64">
        <f t="shared" si="12"/>
        <v>12.905661275592527</v>
      </c>
      <c r="J51" s="64">
        <f t="shared" si="12"/>
        <v>13.239917902630372</v>
      </c>
      <c r="K51" s="64">
        <f t="shared" si="12"/>
        <v>13.276989672757738</v>
      </c>
      <c r="L51" s="64">
        <f t="shared" si="12"/>
        <v>13.397810278779833</v>
      </c>
      <c r="M51" s="64">
        <f t="shared" si="12"/>
        <v>14.110573785610919</v>
      </c>
      <c r="N51" s="64">
        <f t="shared" si="12"/>
        <v>14.910643319255058</v>
      </c>
      <c r="O51" s="64">
        <f t="shared" si="12"/>
        <v>15.108954875401151</v>
      </c>
      <c r="P51" s="64">
        <f t="shared" si="12"/>
        <v>15.35220904889511</v>
      </c>
      <c r="Q51" s="64">
        <f t="shared" si="12"/>
        <v>15.642365799919228</v>
      </c>
      <c r="R51" s="64">
        <f t="shared" si="12"/>
        <v>16.233647227156176</v>
      </c>
      <c r="S51" s="64">
        <f t="shared" si="12"/>
        <v>17.02909594128683</v>
      </c>
      <c r="T51" s="64">
        <f t="shared" si="12"/>
        <v>17.744317970820877</v>
      </c>
      <c r="U51" s="64">
        <f t="shared" si="12"/>
        <v>17.744317970820877</v>
      </c>
    </row>
    <row r="52" spans="1:21">
      <c r="A52" s="86" t="s">
        <v>77</v>
      </c>
      <c r="B52" s="59">
        <v>6</v>
      </c>
      <c r="C52" s="87">
        <v>0.04</v>
      </c>
      <c r="D52" s="91">
        <f t="shared" si="10"/>
        <v>2.6</v>
      </c>
      <c r="E52" s="64">
        <f t="shared" si="12"/>
        <v>2.6351260000000001</v>
      </c>
      <c r="F52" s="64">
        <f t="shared" si="12"/>
        <v>2.6707265522600001</v>
      </c>
      <c r="G52" s="64">
        <f t="shared" si="12"/>
        <v>2.7068080679810329</v>
      </c>
      <c r="H52" s="64">
        <f t="shared" si="12"/>
        <v>2.7541772091707011</v>
      </c>
      <c r="I52" s="64">
        <f t="shared" si="12"/>
        <v>2.8679247279094509</v>
      </c>
      <c r="J52" s="64">
        <f t="shared" si="12"/>
        <v>2.9422039783623055</v>
      </c>
      <c r="K52" s="64">
        <f t="shared" si="12"/>
        <v>2.9504421495017201</v>
      </c>
      <c r="L52" s="64">
        <f t="shared" si="12"/>
        <v>2.9772911730621856</v>
      </c>
      <c r="M52" s="64">
        <f t="shared" si="12"/>
        <v>3.1356830634690938</v>
      </c>
      <c r="N52" s="64">
        <f t="shared" si="12"/>
        <v>3.3134762931677915</v>
      </c>
      <c r="O52" s="64">
        <f t="shared" si="12"/>
        <v>3.3575455278669231</v>
      </c>
      <c r="P52" s="64">
        <f t="shared" si="12"/>
        <v>3.4116020108655807</v>
      </c>
      <c r="Q52" s="64">
        <f t="shared" si="12"/>
        <v>3.4760812888709403</v>
      </c>
      <c r="R52" s="64">
        <f t="shared" si="12"/>
        <v>3.6074771615902619</v>
      </c>
      <c r="S52" s="64">
        <f t="shared" si="12"/>
        <v>3.7842435425081846</v>
      </c>
      <c r="T52" s="64">
        <f t="shared" si="12"/>
        <v>3.9431817712935282</v>
      </c>
      <c r="U52" s="64">
        <f t="shared" si="12"/>
        <v>3.9431817712935282</v>
      </c>
    </row>
    <row r="53" spans="1:21">
      <c r="A53" s="86" t="s">
        <v>79</v>
      </c>
      <c r="B53" s="59">
        <v>6</v>
      </c>
      <c r="C53" s="87">
        <v>0.04</v>
      </c>
      <c r="D53" s="91">
        <f t="shared" si="10"/>
        <v>2.6</v>
      </c>
      <c r="E53" s="64">
        <f t="shared" si="12"/>
        <v>2.6351260000000001</v>
      </c>
      <c r="F53" s="64">
        <f t="shared" si="12"/>
        <v>2.6707265522600001</v>
      </c>
      <c r="G53" s="64">
        <f t="shared" si="12"/>
        <v>2.7068080679810329</v>
      </c>
      <c r="H53" s="64">
        <f t="shared" si="12"/>
        <v>2.7541772091707011</v>
      </c>
      <c r="I53" s="64">
        <f t="shared" si="12"/>
        <v>2.8679247279094509</v>
      </c>
      <c r="J53" s="64">
        <f t="shared" si="12"/>
        <v>2.9422039783623055</v>
      </c>
      <c r="K53" s="64">
        <f t="shared" si="12"/>
        <v>2.9504421495017201</v>
      </c>
      <c r="L53" s="64">
        <f t="shared" si="12"/>
        <v>2.9772911730621856</v>
      </c>
      <c r="M53" s="64">
        <f t="shared" si="12"/>
        <v>3.1356830634690938</v>
      </c>
      <c r="N53" s="64">
        <f t="shared" si="12"/>
        <v>3.3134762931677915</v>
      </c>
      <c r="O53" s="64">
        <f t="shared" si="12"/>
        <v>3.3575455278669231</v>
      </c>
      <c r="P53" s="64">
        <f t="shared" si="12"/>
        <v>3.4116020108655807</v>
      </c>
      <c r="Q53" s="64">
        <f t="shared" si="12"/>
        <v>3.4760812888709403</v>
      </c>
      <c r="R53" s="64">
        <f t="shared" si="12"/>
        <v>3.6074771615902619</v>
      </c>
      <c r="S53" s="64">
        <f t="shared" si="12"/>
        <v>3.7842435425081846</v>
      </c>
      <c r="T53" s="64">
        <f t="shared" si="12"/>
        <v>3.9431817712935282</v>
      </c>
      <c r="U53" s="64">
        <f t="shared" si="12"/>
        <v>3.9431817712935282</v>
      </c>
    </row>
    <row r="54" spans="1:21">
      <c r="A54" s="86" t="s">
        <v>74</v>
      </c>
      <c r="B54" s="59">
        <v>8</v>
      </c>
      <c r="C54" s="87">
        <v>0.30000000000000004</v>
      </c>
      <c r="D54" s="91">
        <f t="shared" si="10"/>
        <v>19.500000000000004</v>
      </c>
      <c r="E54" s="64">
        <f t="shared" ref="E54:U54" si="13">D54+($B$33*E$27*D54)</f>
        <v>19.929975000000002</v>
      </c>
      <c r="F54" s="64">
        <f t="shared" si="13"/>
        <v>20.369430948750001</v>
      </c>
      <c r="G54" s="64">
        <f t="shared" si="13"/>
        <v>20.818576901169937</v>
      </c>
      <c r="H54" s="64">
        <f t="shared" si="13"/>
        <v>21.357778042910237</v>
      </c>
      <c r="I54" s="64">
        <f t="shared" si="13"/>
        <v>21.881043604961537</v>
      </c>
      <c r="J54" s="64">
        <f t="shared" si="13"/>
        <v>22.922581280557708</v>
      </c>
      <c r="K54" s="64">
        <f t="shared" si="13"/>
        <v>23.676734204688056</v>
      </c>
      <c r="L54" s="64">
        <f t="shared" si="13"/>
        <v>24.057929625383533</v>
      </c>
      <c r="M54" s="64">
        <f t="shared" si="13"/>
        <v>24.916797713009725</v>
      </c>
      <c r="N54" s="64">
        <f t="shared" si="13"/>
        <v>25.474933981781142</v>
      </c>
      <c r="O54" s="64">
        <f t="shared" si="13"/>
        <v>26.937195192335381</v>
      </c>
      <c r="P54" s="64">
        <f t="shared" si="13"/>
        <v>28.12512550031737</v>
      </c>
      <c r="Q54" s="64">
        <f t="shared" si="13"/>
        <v>29.070129717128033</v>
      </c>
      <c r="R54" s="64">
        <f t="shared" si="13"/>
        <v>30.514915164069297</v>
      </c>
      <c r="S54" s="64">
        <f t="shared" si="13"/>
        <v>31.732460279115664</v>
      </c>
      <c r="T54" s="64">
        <f t="shared" si="13"/>
        <v>33.864881609872235</v>
      </c>
      <c r="U54" s="64">
        <f t="shared" si="13"/>
        <v>33.864881609872235</v>
      </c>
    </row>
    <row r="55" spans="1:21">
      <c r="A55" s="86" t="s">
        <v>70</v>
      </c>
      <c r="B55" s="59">
        <v>9</v>
      </c>
      <c r="C55" s="87">
        <v>0.12</v>
      </c>
      <c r="D55" s="91">
        <f t="shared" si="10"/>
        <v>7.8</v>
      </c>
      <c r="E55" s="64">
        <f t="shared" ref="E55:T55" si="14">D55+($B$33*E$28*D55)</f>
        <v>7.7568659999999996</v>
      </c>
      <c r="F55" s="64">
        <f t="shared" si="14"/>
        <v>7.7139705310199993</v>
      </c>
      <c r="G55" s="64">
        <f t="shared" si="14"/>
        <v>7.6713122739834585</v>
      </c>
      <c r="H55" s="64">
        <f t="shared" si="14"/>
        <v>7.9344382849810913</v>
      </c>
      <c r="I55" s="64">
        <f t="shared" si="14"/>
        <v>8.2399141589528639</v>
      </c>
      <c r="J55" s="64">
        <f t="shared" si="14"/>
        <v>8.3956485365570739</v>
      </c>
      <c r="K55" s="64">
        <f t="shared" si="14"/>
        <v>8.3956485365570739</v>
      </c>
      <c r="L55" s="64">
        <f t="shared" si="14"/>
        <v>8.7600196830436516</v>
      </c>
      <c r="M55" s="64">
        <f t="shared" si="14"/>
        <v>8.999168220390743</v>
      </c>
      <c r="N55" s="64">
        <f t="shared" si="14"/>
        <v>9.3015402725958722</v>
      </c>
      <c r="O55" s="64">
        <f t="shared" si="14"/>
        <v>9.4447839927938482</v>
      </c>
      <c r="P55" s="64">
        <f t="shared" si="14"/>
        <v>9.6100677126677407</v>
      </c>
      <c r="Q55" s="64">
        <f t="shared" si="14"/>
        <v>9.9867823670043165</v>
      </c>
      <c r="R55" s="64">
        <f t="shared" si="14"/>
        <v>10.105625077171668</v>
      </c>
      <c r="S55" s="64">
        <f t="shared" si="14"/>
        <v>10.374434704224434</v>
      </c>
      <c r="T55" s="64">
        <f t="shared" si="14"/>
        <v>10.752064127458203</v>
      </c>
      <c r="U55" s="64">
        <f t="shared" ref="E55:U57" si="15">T55+($B$33*U$28*T55)</f>
        <v>10.752064127458203</v>
      </c>
    </row>
    <row r="56" spans="1:21">
      <c r="A56" s="86" t="s">
        <v>78</v>
      </c>
      <c r="B56" s="59">
        <v>9</v>
      </c>
      <c r="C56" s="87">
        <v>7.0000000000000007E-2</v>
      </c>
      <c r="D56" s="91">
        <f t="shared" si="10"/>
        <v>4.5500000000000007</v>
      </c>
      <c r="E56" s="64">
        <f t="shared" si="15"/>
        <v>4.5248385000000004</v>
      </c>
      <c r="F56" s="64">
        <f t="shared" si="15"/>
        <v>4.4998161430950008</v>
      </c>
      <c r="G56" s="64">
        <f t="shared" si="15"/>
        <v>4.4749321598236858</v>
      </c>
      <c r="H56" s="64">
        <f t="shared" si="15"/>
        <v>4.6284223329056378</v>
      </c>
      <c r="I56" s="64">
        <f t="shared" si="15"/>
        <v>4.8066165927225049</v>
      </c>
      <c r="J56" s="64">
        <f t="shared" si="15"/>
        <v>4.8974616463249605</v>
      </c>
      <c r="K56" s="64">
        <f t="shared" si="15"/>
        <v>4.8974616463249605</v>
      </c>
      <c r="L56" s="64">
        <f t="shared" si="15"/>
        <v>5.110011481775464</v>
      </c>
      <c r="M56" s="64">
        <f t="shared" si="15"/>
        <v>5.2495147952279346</v>
      </c>
      <c r="N56" s="64">
        <f t="shared" si="15"/>
        <v>5.425898492347593</v>
      </c>
      <c r="O56" s="64">
        <f t="shared" si="15"/>
        <v>5.509457329129746</v>
      </c>
      <c r="P56" s="64">
        <f t="shared" si="15"/>
        <v>5.6058728323895162</v>
      </c>
      <c r="Q56" s="64">
        <f t="shared" si="15"/>
        <v>5.8256230474191852</v>
      </c>
      <c r="R56" s="64">
        <f t="shared" si="15"/>
        <v>5.8949479616834735</v>
      </c>
      <c r="S56" s="64">
        <f t="shared" si="15"/>
        <v>6.0517535774642539</v>
      </c>
      <c r="T56" s="64">
        <f t="shared" si="15"/>
        <v>6.2720374076839525</v>
      </c>
      <c r="U56" s="64">
        <f t="shared" si="15"/>
        <v>6.2720374076839525</v>
      </c>
    </row>
    <row r="57" spans="1:21">
      <c r="A57" s="86" t="s">
        <v>83</v>
      </c>
      <c r="B57" s="59">
        <v>9</v>
      </c>
      <c r="C57" s="87">
        <v>0.14000000000000001</v>
      </c>
      <c r="D57" s="91">
        <f t="shared" si="10"/>
        <v>9.1000000000000014</v>
      </c>
      <c r="E57" s="64">
        <f t="shared" si="15"/>
        <v>9.0496770000000009</v>
      </c>
      <c r="F57" s="64">
        <f t="shared" si="15"/>
        <v>8.9996322861900016</v>
      </c>
      <c r="G57" s="64">
        <f t="shared" si="15"/>
        <v>8.9498643196473715</v>
      </c>
      <c r="H57" s="64">
        <f t="shared" si="15"/>
        <v>9.2568446658112755</v>
      </c>
      <c r="I57" s="64">
        <f t="shared" si="15"/>
        <v>9.6132331854450097</v>
      </c>
      <c r="J57" s="64">
        <f t="shared" si="15"/>
        <v>9.794923292649921</v>
      </c>
      <c r="K57" s="64">
        <f t="shared" si="15"/>
        <v>9.794923292649921</v>
      </c>
      <c r="L57" s="64">
        <f t="shared" si="15"/>
        <v>10.220022963550928</v>
      </c>
      <c r="M57" s="64">
        <f t="shared" si="15"/>
        <v>10.499029590455869</v>
      </c>
      <c r="N57" s="64">
        <f t="shared" si="15"/>
        <v>10.851796984695186</v>
      </c>
      <c r="O57" s="64">
        <f t="shared" si="15"/>
        <v>11.018914658259492</v>
      </c>
      <c r="P57" s="64">
        <f t="shared" si="15"/>
        <v>11.211745664779032</v>
      </c>
      <c r="Q57" s="64">
        <f t="shared" si="15"/>
        <v>11.65124609483837</v>
      </c>
      <c r="R57" s="64">
        <f t="shared" si="15"/>
        <v>11.789895923366947</v>
      </c>
      <c r="S57" s="64">
        <f t="shared" si="15"/>
        <v>12.103507154928508</v>
      </c>
      <c r="T57" s="64">
        <f t="shared" si="15"/>
        <v>12.544074815367905</v>
      </c>
      <c r="U57" s="64">
        <f t="shared" si="15"/>
        <v>12.544074815367905</v>
      </c>
    </row>
    <row r="58" spans="1:21">
      <c r="A58" s="92" t="s">
        <v>213</v>
      </c>
      <c r="B58" s="9"/>
      <c r="C58" s="93">
        <f>SUM(C50:C57)</f>
        <v>0.99999999999999989</v>
      </c>
      <c r="D58" s="94">
        <v>65</v>
      </c>
      <c r="E58" s="95">
        <f t="shared" ref="E58:U58" si="16">SUM(E50:E57)</f>
        <v>65.636272000000005</v>
      </c>
      <c r="F58" s="95">
        <f t="shared" si="16"/>
        <v>66.287070517460009</v>
      </c>
      <c r="G58" s="95">
        <f t="shared" si="16"/>
        <v>66.952660283449006</v>
      </c>
      <c r="H58" s="95">
        <f t="shared" si="16"/>
        <v>68.65362251143722</v>
      </c>
      <c r="I58" s="95">
        <f t="shared" si="16"/>
        <v>71.069111275244325</v>
      </c>
      <c r="J58" s="95">
        <f t="shared" si="16"/>
        <v>73.226001555940996</v>
      </c>
      <c r="K58" s="95">
        <f t="shared" si="16"/>
        <v>74.056357563110922</v>
      </c>
      <c r="L58" s="95">
        <f t="shared" si="16"/>
        <v>75.68792710457879</v>
      </c>
      <c r="M58" s="95">
        <f t="shared" si="16"/>
        <v>78.6695786561734</v>
      </c>
      <c r="N58" s="95">
        <f t="shared" si="16"/>
        <v>81.703825443221859</v>
      </c>
      <c r="O58" s="95">
        <f t="shared" si="16"/>
        <v>83.9676473052875</v>
      </c>
      <c r="P58" s="95">
        <f t="shared" si="16"/>
        <v>86.110130310660281</v>
      </c>
      <c r="Q58" s="95">
        <f t="shared" si="16"/>
        <v>88.687533148446107</v>
      </c>
      <c r="R58" s="95">
        <f t="shared" si="16"/>
        <v>91.674547871001295</v>
      </c>
      <c r="S58" s="95">
        <f t="shared" si="16"/>
        <v>95.266408483933574</v>
      </c>
      <c r="T58" s="95">
        <f t="shared" si="16"/>
        <v>99.907489344847434</v>
      </c>
      <c r="U58" s="95">
        <f t="shared" si="16"/>
        <v>99.907489344847434</v>
      </c>
    </row>
    <row r="59" spans="1:21">
      <c r="A59" s="92"/>
      <c r="B59" s="9"/>
      <c r="C59" s="93"/>
      <c r="D59" s="94"/>
      <c r="E59" s="95"/>
      <c r="F59" s="95"/>
      <c r="G59" s="95"/>
      <c r="H59" s="95"/>
      <c r="I59" s="95"/>
      <c r="J59" s="95"/>
      <c r="K59" s="95"/>
      <c r="L59" s="95"/>
      <c r="M59" s="95"/>
      <c r="N59" s="95"/>
      <c r="O59" s="95"/>
      <c r="P59" s="95"/>
      <c r="Q59" s="95"/>
      <c r="R59" s="95"/>
      <c r="S59" s="95"/>
      <c r="T59" s="95"/>
      <c r="U59" s="95"/>
    </row>
    <row r="60" spans="1:21" s="99" customFormat="1">
      <c r="A60" s="96" t="s">
        <v>215</v>
      </c>
      <c r="B60" s="97"/>
      <c r="C60" s="93"/>
      <c r="D60" s="94"/>
      <c r="E60" s="98"/>
      <c r="F60" s="98"/>
      <c r="G60" s="98"/>
      <c r="H60" s="98"/>
      <c r="I60" s="98"/>
      <c r="J60" s="98"/>
      <c r="K60" s="98"/>
      <c r="L60" s="98"/>
      <c r="M60" s="98"/>
      <c r="N60" s="98"/>
      <c r="O60" s="98"/>
      <c r="P60" s="98"/>
      <c r="Q60" s="98"/>
      <c r="R60" s="98"/>
      <c r="S60" s="98"/>
      <c r="T60" s="98"/>
      <c r="U60" s="98"/>
    </row>
    <row r="61" spans="1:21">
      <c r="A61" s="92"/>
      <c r="B61" s="9"/>
      <c r="C61" s="93"/>
      <c r="D61" s="94"/>
      <c r="E61" s="95"/>
      <c r="F61" s="95"/>
      <c r="G61" s="95"/>
      <c r="H61" s="95"/>
      <c r="I61" s="95"/>
      <c r="J61" s="95"/>
      <c r="K61" s="95"/>
      <c r="L61" s="95"/>
      <c r="M61" s="95"/>
      <c r="N61" s="95"/>
      <c r="O61" s="95"/>
      <c r="P61" s="95"/>
      <c r="Q61" s="95"/>
      <c r="R61" s="95"/>
      <c r="S61" s="95"/>
      <c r="T61" s="95"/>
      <c r="U61" s="95"/>
    </row>
    <row r="62" spans="1:21" ht="38.25">
      <c r="A62" s="9" t="s">
        <v>210</v>
      </c>
      <c r="B62" s="14" t="s">
        <v>211</v>
      </c>
      <c r="C62" s="82" t="s">
        <v>212</v>
      </c>
      <c r="D62" s="83">
        <v>1990</v>
      </c>
      <c r="E62" s="14">
        <f t="shared" ref="E62:U62" si="17">D62+1</f>
        <v>1991</v>
      </c>
      <c r="F62" s="14">
        <f t="shared" si="17"/>
        <v>1992</v>
      </c>
      <c r="G62" s="84">
        <f t="shared" si="17"/>
        <v>1993</v>
      </c>
      <c r="H62" s="84">
        <f t="shared" si="17"/>
        <v>1994</v>
      </c>
      <c r="I62" s="84">
        <f t="shared" si="17"/>
        <v>1995</v>
      </c>
      <c r="J62" s="84">
        <f t="shared" si="17"/>
        <v>1996</v>
      </c>
      <c r="K62" s="84">
        <f t="shared" si="17"/>
        <v>1997</v>
      </c>
      <c r="L62" s="84">
        <f t="shared" si="17"/>
        <v>1998</v>
      </c>
      <c r="M62" s="84">
        <f t="shared" si="17"/>
        <v>1999</v>
      </c>
      <c r="N62" s="84">
        <f t="shared" si="17"/>
        <v>2000</v>
      </c>
      <c r="O62" s="84">
        <f t="shared" si="17"/>
        <v>2001</v>
      </c>
      <c r="P62" s="84">
        <f t="shared" si="17"/>
        <v>2002</v>
      </c>
      <c r="Q62" s="84">
        <f t="shared" si="17"/>
        <v>2003</v>
      </c>
      <c r="R62" s="84">
        <f t="shared" si="17"/>
        <v>2004</v>
      </c>
      <c r="S62" s="84">
        <f t="shared" si="17"/>
        <v>2005</v>
      </c>
      <c r="T62" s="84">
        <f t="shared" si="17"/>
        <v>2006</v>
      </c>
      <c r="U62" s="84">
        <f t="shared" si="17"/>
        <v>2007</v>
      </c>
    </row>
    <row r="63" spans="1:21">
      <c r="A63" s="86" t="s">
        <v>80</v>
      </c>
      <c r="B63" s="59">
        <v>6</v>
      </c>
      <c r="C63" s="87">
        <v>0.11</v>
      </c>
      <c r="D63" s="88">
        <f t="shared" ref="D63:D70" si="18">C63*$D$45</f>
        <v>7.15</v>
      </c>
      <c r="E63" s="64">
        <f t="shared" ref="E63:F70" si="19">D63+($B$33*E$26*D63)</f>
        <v>7.2465965000000008</v>
      </c>
      <c r="F63" s="64">
        <f t="shared" si="19"/>
        <v>7.3444980187150009</v>
      </c>
      <c r="G63" s="64">
        <f t="shared" ref="G63:U70" si="20">F63+($B$34*G$26*F63)</f>
        <v>7.3785177335376888</v>
      </c>
      <c r="H63" s="64">
        <f t="shared" si="20"/>
        <v>7.4227888399389146</v>
      </c>
      <c r="I63" s="64">
        <f t="shared" si="20"/>
        <v>7.5278955299124499</v>
      </c>
      <c r="J63" s="64">
        <f t="shared" si="20"/>
        <v>7.5947432422180725</v>
      </c>
      <c r="K63" s="64">
        <f t="shared" si="20"/>
        <v>7.6020341957306021</v>
      </c>
      <c r="L63" s="64">
        <f t="shared" si="20"/>
        <v>7.6257525424212815</v>
      </c>
      <c r="M63" s="64">
        <f t="shared" si="20"/>
        <v>7.7648462687950452</v>
      </c>
      <c r="N63" s="64">
        <f t="shared" si="20"/>
        <v>7.915794880260421</v>
      </c>
      <c r="O63" s="64">
        <f t="shared" si="20"/>
        <v>7.9518909049144089</v>
      </c>
      <c r="P63" s="64">
        <f t="shared" si="20"/>
        <v>7.995785342709536</v>
      </c>
      <c r="Q63" s="64">
        <f t="shared" si="20"/>
        <v>8.0475980317302938</v>
      </c>
      <c r="R63" s="64">
        <f t="shared" si="20"/>
        <v>8.1518949022215175</v>
      </c>
      <c r="S63" s="64">
        <f t="shared" si="20"/>
        <v>8.2888467365788383</v>
      </c>
      <c r="T63" s="100">
        <f t="shared" si="20"/>
        <v>8.4082061295855741</v>
      </c>
      <c r="U63" s="100">
        <f t="shared" si="20"/>
        <v>8.4082061295855741</v>
      </c>
    </row>
    <row r="64" spans="1:21">
      <c r="A64" s="86" t="s">
        <v>72</v>
      </c>
      <c r="B64" s="59">
        <v>6</v>
      </c>
      <c r="C64" s="87">
        <v>0.18</v>
      </c>
      <c r="D64" s="91">
        <f t="shared" si="18"/>
        <v>11.7</v>
      </c>
      <c r="E64" s="64">
        <f t="shared" si="19"/>
        <v>11.858067</v>
      </c>
      <c r="F64" s="64">
        <f t="shared" si="19"/>
        <v>12.01826948517</v>
      </c>
      <c r="G64" s="64">
        <f t="shared" si="20"/>
        <v>12.073938109425308</v>
      </c>
      <c r="H64" s="64">
        <f t="shared" si="20"/>
        <v>12.14638173808186</v>
      </c>
      <c r="I64" s="64">
        <f t="shared" si="20"/>
        <v>12.3183745034931</v>
      </c>
      <c r="J64" s="64">
        <f t="shared" si="20"/>
        <v>12.427761669084118</v>
      </c>
      <c r="K64" s="64">
        <f t="shared" si="20"/>
        <v>12.439692320286438</v>
      </c>
      <c r="L64" s="64">
        <f t="shared" si="20"/>
        <v>12.478504160325732</v>
      </c>
      <c r="M64" s="64">
        <f t="shared" si="20"/>
        <v>12.706112076210074</v>
      </c>
      <c r="N64" s="64">
        <f t="shared" si="20"/>
        <v>12.953118894971597</v>
      </c>
      <c r="O64" s="64">
        <f t="shared" si="20"/>
        <v>13.012185117132667</v>
      </c>
      <c r="P64" s="64">
        <f t="shared" si="20"/>
        <v>13.084012378979239</v>
      </c>
      <c r="Q64" s="64">
        <f t="shared" si="20"/>
        <v>13.168796779195024</v>
      </c>
      <c r="R64" s="64">
        <f t="shared" si="20"/>
        <v>13.339464385453391</v>
      </c>
      <c r="S64" s="64">
        <f t="shared" si="20"/>
        <v>13.563567387129009</v>
      </c>
      <c r="T64" s="100">
        <f t="shared" si="20"/>
        <v>13.758882757503667</v>
      </c>
      <c r="U64" s="100">
        <f t="shared" si="20"/>
        <v>13.758882757503667</v>
      </c>
    </row>
    <row r="65" spans="1:21">
      <c r="A65" s="86" t="s">
        <v>77</v>
      </c>
      <c r="B65" s="59">
        <v>6</v>
      </c>
      <c r="C65" s="87">
        <v>0.04</v>
      </c>
      <c r="D65" s="91">
        <f t="shared" si="18"/>
        <v>2.6</v>
      </c>
      <c r="E65" s="64">
        <f t="shared" si="19"/>
        <v>2.6351260000000001</v>
      </c>
      <c r="F65" s="64">
        <f t="shared" si="19"/>
        <v>2.6707265522600001</v>
      </c>
      <c r="G65" s="64">
        <f t="shared" si="20"/>
        <v>2.6830973576500683</v>
      </c>
      <c r="H65" s="64">
        <f t="shared" si="20"/>
        <v>2.6991959417959688</v>
      </c>
      <c r="I65" s="64">
        <f t="shared" si="20"/>
        <v>2.7374165563317998</v>
      </c>
      <c r="J65" s="64">
        <f t="shared" si="20"/>
        <v>2.7617248153520264</v>
      </c>
      <c r="K65" s="64">
        <f t="shared" si="20"/>
        <v>2.7643760711747642</v>
      </c>
      <c r="L65" s="64">
        <f t="shared" si="20"/>
        <v>2.7730009245168294</v>
      </c>
      <c r="M65" s="64">
        <f t="shared" si="20"/>
        <v>2.8235804613800166</v>
      </c>
      <c r="N65" s="64">
        <f t="shared" si="20"/>
        <v>2.8784708655492439</v>
      </c>
      <c r="O65" s="64">
        <f t="shared" si="20"/>
        <v>2.8915966926961483</v>
      </c>
      <c r="P65" s="64">
        <f t="shared" si="20"/>
        <v>2.9075583064398312</v>
      </c>
      <c r="Q65" s="64">
        <f t="shared" si="20"/>
        <v>2.9263992842655613</v>
      </c>
      <c r="R65" s="64">
        <f t="shared" si="20"/>
        <v>2.9643254189896431</v>
      </c>
      <c r="S65" s="64">
        <f t="shared" si="20"/>
        <v>3.0141260860286692</v>
      </c>
      <c r="T65" s="100">
        <f t="shared" si="20"/>
        <v>3.0575295016674819</v>
      </c>
      <c r="U65" s="100">
        <f t="shared" si="20"/>
        <v>3.0575295016674819</v>
      </c>
    </row>
    <row r="66" spans="1:21">
      <c r="A66" s="86" t="s">
        <v>79</v>
      </c>
      <c r="B66" s="59">
        <v>6</v>
      </c>
      <c r="C66" s="87">
        <v>0.04</v>
      </c>
      <c r="D66" s="91">
        <f t="shared" si="18"/>
        <v>2.6</v>
      </c>
      <c r="E66" s="64">
        <f t="shared" si="19"/>
        <v>2.6351260000000001</v>
      </c>
      <c r="F66" s="64">
        <f t="shared" si="19"/>
        <v>2.6707265522600001</v>
      </c>
      <c r="G66" s="64">
        <f t="shared" si="20"/>
        <v>2.6830973576500683</v>
      </c>
      <c r="H66" s="64">
        <f t="shared" si="20"/>
        <v>2.6991959417959688</v>
      </c>
      <c r="I66" s="64">
        <f t="shared" si="20"/>
        <v>2.7374165563317998</v>
      </c>
      <c r="J66" s="64">
        <f t="shared" si="20"/>
        <v>2.7617248153520264</v>
      </c>
      <c r="K66" s="64">
        <f t="shared" si="20"/>
        <v>2.7643760711747642</v>
      </c>
      <c r="L66" s="64">
        <f t="shared" si="20"/>
        <v>2.7730009245168294</v>
      </c>
      <c r="M66" s="64">
        <f t="shared" si="20"/>
        <v>2.8235804613800166</v>
      </c>
      <c r="N66" s="64">
        <f t="shared" si="20"/>
        <v>2.8784708655492439</v>
      </c>
      <c r="O66" s="64">
        <f t="shared" si="20"/>
        <v>2.8915966926961483</v>
      </c>
      <c r="P66" s="64">
        <f t="shared" si="20"/>
        <v>2.9075583064398312</v>
      </c>
      <c r="Q66" s="64">
        <f t="shared" si="20"/>
        <v>2.9263992842655613</v>
      </c>
      <c r="R66" s="64">
        <f t="shared" si="20"/>
        <v>2.9643254189896431</v>
      </c>
      <c r="S66" s="64">
        <f t="shared" si="20"/>
        <v>3.0141260860286692</v>
      </c>
      <c r="T66" s="100">
        <f t="shared" si="20"/>
        <v>3.0575295016674819</v>
      </c>
      <c r="U66" s="100">
        <f t="shared" si="20"/>
        <v>3.0575295016674819</v>
      </c>
    </row>
    <row r="67" spans="1:21">
      <c r="A67" s="86" t="s">
        <v>74</v>
      </c>
      <c r="B67" s="59">
        <v>8</v>
      </c>
      <c r="C67" s="87">
        <v>0.30000000000000004</v>
      </c>
      <c r="D67" s="91">
        <f t="shared" si="18"/>
        <v>19.500000000000004</v>
      </c>
      <c r="E67" s="64">
        <f t="shared" si="19"/>
        <v>19.763445000000004</v>
      </c>
      <c r="F67" s="64">
        <f t="shared" si="19"/>
        <v>20.030449141950005</v>
      </c>
      <c r="G67" s="64">
        <f t="shared" si="20"/>
        <v>20.123230182375519</v>
      </c>
      <c r="H67" s="64">
        <f t="shared" si="20"/>
        <v>20.243969563469772</v>
      </c>
      <c r="I67" s="64">
        <f t="shared" si="20"/>
        <v>20.530624172488505</v>
      </c>
      <c r="J67" s="64">
        <f t="shared" si="20"/>
        <v>20.712936115140202</v>
      </c>
      <c r="K67" s="64">
        <f t="shared" si="20"/>
        <v>20.732820533810738</v>
      </c>
      <c r="L67" s="64">
        <f t="shared" si="20"/>
        <v>20.797506933876228</v>
      </c>
      <c r="M67" s="64">
        <f t="shared" si="20"/>
        <v>21.176853460350131</v>
      </c>
      <c r="N67" s="64">
        <f t="shared" si="20"/>
        <v>21.588531491619339</v>
      </c>
      <c r="O67" s="64">
        <f t="shared" si="20"/>
        <v>21.686975195221123</v>
      </c>
      <c r="P67" s="64">
        <f t="shared" si="20"/>
        <v>21.806687298298744</v>
      </c>
      <c r="Q67" s="64">
        <f t="shared" si="20"/>
        <v>21.947994631991719</v>
      </c>
      <c r="R67" s="64">
        <f t="shared" si="20"/>
        <v>22.232440642422333</v>
      </c>
      <c r="S67" s="64">
        <f t="shared" si="20"/>
        <v>22.605945645215026</v>
      </c>
      <c r="T67" s="100">
        <f t="shared" si="20"/>
        <v>22.931471262506122</v>
      </c>
      <c r="U67" s="100">
        <f t="shared" si="20"/>
        <v>22.931471262506122</v>
      </c>
    </row>
    <row r="68" spans="1:21">
      <c r="A68" s="86" t="s">
        <v>70</v>
      </c>
      <c r="B68" s="59">
        <v>9</v>
      </c>
      <c r="C68" s="87">
        <v>0.12</v>
      </c>
      <c r="D68" s="91">
        <f t="shared" si="18"/>
        <v>7.8</v>
      </c>
      <c r="E68" s="64">
        <f t="shared" si="19"/>
        <v>7.9053779999999998</v>
      </c>
      <c r="F68" s="64">
        <f t="shared" si="19"/>
        <v>8.012179656779999</v>
      </c>
      <c r="G68" s="64">
        <f t="shared" si="20"/>
        <v>8.0492920729502035</v>
      </c>
      <c r="H68" s="64">
        <f t="shared" si="20"/>
        <v>8.0975878253879046</v>
      </c>
      <c r="I68" s="64">
        <f t="shared" si="20"/>
        <v>8.2122496689953977</v>
      </c>
      <c r="J68" s="64">
        <f t="shared" si="20"/>
        <v>8.285174446056077</v>
      </c>
      <c r="K68" s="64">
        <f t="shared" si="20"/>
        <v>8.293128213524291</v>
      </c>
      <c r="L68" s="64">
        <f t="shared" si="20"/>
        <v>8.319002773550487</v>
      </c>
      <c r="M68" s="64">
        <f t="shared" si="20"/>
        <v>8.4707413841400481</v>
      </c>
      <c r="N68" s="64">
        <f t="shared" si="20"/>
        <v>8.6354125966477309</v>
      </c>
      <c r="O68" s="64">
        <f t="shared" si="20"/>
        <v>8.6747900780884439</v>
      </c>
      <c r="P68" s="64">
        <f t="shared" si="20"/>
        <v>8.722674919319493</v>
      </c>
      <c r="Q68" s="64">
        <f t="shared" si="20"/>
        <v>8.779197852796683</v>
      </c>
      <c r="R68" s="64">
        <f t="shared" si="20"/>
        <v>8.8929762569689288</v>
      </c>
      <c r="S68" s="64">
        <f t="shared" si="20"/>
        <v>9.042378258086007</v>
      </c>
      <c r="T68" s="100">
        <f t="shared" si="20"/>
        <v>9.1725885050024463</v>
      </c>
      <c r="U68" s="100">
        <f t="shared" si="20"/>
        <v>9.1725885050024463</v>
      </c>
    </row>
    <row r="69" spans="1:21">
      <c r="A69" s="86" t="s">
        <v>78</v>
      </c>
      <c r="B69" s="59">
        <v>9</v>
      </c>
      <c r="C69" s="87">
        <v>7.0000000000000007E-2</v>
      </c>
      <c r="D69" s="91">
        <f t="shared" si="18"/>
        <v>4.5500000000000007</v>
      </c>
      <c r="E69" s="64">
        <f t="shared" si="19"/>
        <v>4.6114705000000011</v>
      </c>
      <c r="F69" s="64">
        <f t="shared" si="19"/>
        <v>4.6737714664550012</v>
      </c>
      <c r="G69" s="64">
        <f t="shared" si="20"/>
        <v>4.695420375887621</v>
      </c>
      <c r="H69" s="64">
        <f t="shared" si="20"/>
        <v>4.7235928981429467</v>
      </c>
      <c r="I69" s="64">
        <f t="shared" si="20"/>
        <v>4.790478973580651</v>
      </c>
      <c r="J69" s="64">
        <f t="shared" si="20"/>
        <v>4.8330184268660474</v>
      </c>
      <c r="K69" s="64">
        <f t="shared" si="20"/>
        <v>4.8376581245558388</v>
      </c>
      <c r="L69" s="64">
        <f t="shared" si="20"/>
        <v>4.8527516179044534</v>
      </c>
      <c r="M69" s="64">
        <f t="shared" si="20"/>
        <v>4.9412658074150304</v>
      </c>
      <c r="N69" s="64">
        <f t="shared" si="20"/>
        <v>5.0373240147111789</v>
      </c>
      <c r="O69" s="64">
        <f t="shared" si="20"/>
        <v>5.0602942122182615</v>
      </c>
      <c r="P69" s="64">
        <f t="shared" si="20"/>
        <v>5.0882270362697062</v>
      </c>
      <c r="Q69" s="64">
        <f t="shared" si="20"/>
        <v>5.1211987474647342</v>
      </c>
      <c r="R69" s="64">
        <f t="shared" si="20"/>
        <v>5.1875694832318775</v>
      </c>
      <c r="S69" s="64">
        <f t="shared" si="20"/>
        <v>5.2747206505501731</v>
      </c>
      <c r="T69" s="100">
        <f t="shared" si="20"/>
        <v>5.3506766279180953</v>
      </c>
      <c r="U69" s="100">
        <f t="shared" si="20"/>
        <v>5.3506766279180953</v>
      </c>
    </row>
    <row r="70" spans="1:21">
      <c r="A70" s="86" t="s">
        <v>83</v>
      </c>
      <c r="B70" s="59">
        <v>9</v>
      </c>
      <c r="C70" s="87">
        <v>0.14000000000000001</v>
      </c>
      <c r="D70" s="91">
        <f t="shared" si="18"/>
        <v>9.1000000000000014</v>
      </c>
      <c r="E70" s="64">
        <f t="shared" si="19"/>
        <v>9.2229410000000023</v>
      </c>
      <c r="F70" s="64">
        <f t="shared" si="19"/>
        <v>9.3475429329100024</v>
      </c>
      <c r="G70" s="64">
        <f t="shared" si="20"/>
        <v>9.3908407517752419</v>
      </c>
      <c r="H70" s="64">
        <f t="shared" si="20"/>
        <v>9.4471857962858934</v>
      </c>
      <c r="I70" s="64">
        <f t="shared" si="20"/>
        <v>9.580957947161302</v>
      </c>
      <c r="J70" s="64">
        <f t="shared" si="20"/>
        <v>9.6660368537320949</v>
      </c>
      <c r="K70" s="64">
        <f t="shared" si="20"/>
        <v>9.6753162491116775</v>
      </c>
      <c r="L70" s="64">
        <f t="shared" si="20"/>
        <v>9.7055032358089068</v>
      </c>
      <c r="M70" s="64">
        <f t="shared" si="20"/>
        <v>9.8825316148300608</v>
      </c>
      <c r="N70" s="64">
        <f t="shared" si="20"/>
        <v>10.074648029422358</v>
      </c>
      <c r="O70" s="64">
        <f t="shared" si="20"/>
        <v>10.120588424436523</v>
      </c>
      <c r="P70" s="64">
        <f t="shared" si="20"/>
        <v>10.176454072539412</v>
      </c>
      <c r="Q70" s="64">
        <f t="shared" si="20"/>
        <v>10.242397494929468</v>
      </c>
      <c r="R70" s="64">
        <f t="shared" si="20"/>
        <v>10.375138966463755</v>
      </c>
      <c r="S70" s="64">
        <f t="shared" si="20"/>
        <v>10.549441301100346</v>
      </c>
      <c r="T70" s="100">
        <f t="shared" si="20"/>
        <v>10.701353255836191</v>
      </c>
      <c r="U70" s="100">
        <f t="shared" si="20"/>
        <v>10.701353255836191</v>
      </c>
    </row>
    <row r="71" spans="1:21">
      <c r="A71" s="92" t="s">
        <v>213</v>
      </c>
      <c r="B71" s="9"/>
      <c r="C71" s="93">
        <f>SUM(C63:C70)</f>
        <v>0.99999999999999989</v>
      </c>
      <c r="D71" s="94">
        <v>65</v>
      </c>
      <c r="E71" s="95">
        <f t="shared" ref="E71:U71" si="21">SUM(E63:E70)</f>
        <v>65.878150000000005</v>
      </c>
      <c r="F71" s="95">
        <f t="shared" si="21"/>
        <v>66.768163806500013</v>
      </c>
      <c r="G71" s="95">
        <f t="shared" si="21"/>
        <v>67.077433941251712</v>
      </c>
      <c r="H71" s="95">
        <f t="shared" si="21"/>
        <v>67.479898544899243</v>
      </c>
      <c r="I71" s="95">
        <f t="shared" si="21"/>
        <v>68.435413908295004</v>
      </c>
      <c r="J71" s="95">
        <f t="shared" si="21"/>
        <v>69.04312038380067</v>
      </c>
      <c r="K71" s="95">
        <f t="shared" si="21"/>
        <v>69.109401779369108</v>
      </c>
      <c r="L71" s="95">
        <f t="shared" si="21"/>
        <v>69.325023112920746</v>
      </c>
      <c r="M71" s="95">
        <f t="shared" si="21"/>
        <v>70.589511534500417</v>
      </c>
      <c r="N71" s="95">
        <f t="shared" si="21"/>
        <v>71.961771638731122</v>
      </c>
      <c r="O71" s="95">
        <f t="shared" si="21"/>
        <v>72.28991731740372</v>
      </c>
      <c r="P71" s="95">
        <f t="shared" si="21"/>
        <v>72.688957660995797</v>
      </c>
      <c r="Q71" s="95">
        <f t="shared" si="21"/>
        <v>73.159982106639035</v>
      </c>
      <c r="R71" s="95">
        <f t="shared" si="21"/>
        <v>74.10813547474109</v>
      </c>
      <c r="S71" s="95">
        <f t="shared" si="21"/>
        <v>75.353152150716738</v>
      </c>
      <c r="T71" s="101">
        <f t="shared" si="21"/>
        <v>76.438237541687059</v>
      </c>
      <c r="U71" s="101">
        <f t="shared" si="21"/>
        <v>76.438237541687059</v>
      </c>
    </row>
    <row r="73" spans="1:21" s="99" customFormat="1">
      <c r="A73" s="96" t="s">
        <v>216</v>
      </c>
      <c r="B73" s="97"/>
      <c r="C73" s="93"/>
      <c r="D73" s="94"/>
      <c r="E73" s="98"/>
      <c r="F73" s="98"/>
      <c r="G73" s="98"/>
      <c r="H73" s="98"/>
      <c r="I73" s="98"/>
      <c r="J73" s="98"/>
      <c r="K73" s="98"/>
      <c r="L73" s="98"/>
      <c r="M73" s="98"/>
      <c r="N73" s="98"/>
      <c r="O73" s="98"/>
      <c r="P73" s="98"/>
      <c r="Q73" s="98"/>
      <c r="R73" s="98"/>
      <c r="S73" s="98"/>
      <c r="T73" s="98"/>
      <c r="U73" s="98"/>
    </row>
    <row r="75" spans="1:21">
      <c r="A75" s="1" t="s">
        <v>217</v>
      </c>
    </row>
    <row r="76" spans="1:21">
      <c r="A76" s="1" t="s">
        <v>218</v>
      </c>
      <c r="E76" s="41">
        <f>5.346/100000</f>
        <v>5.346E-5</v>
      </c>
    </row>
    <row r="77" spans="1:21">
      <c r="A77" s="1" t="s">
        <v>219</v>
      </c>
      <c r="E77" s="41">
        <v>57.12</v>
      </c>
    </row>
    <row r="80" spans="1:21" ht="38.25">
      <c r="A80" s="9" t="s">
        <v>210</v>
      </c>
      <c r="B80" s="14" t="s">
        <v>211</v>
      </c>
      <c r="C80" s="82" t="s">
        <v>212</v>
      </c>
      <c r="D80" s="102">
        <v>1990</v>
      </c>
      <c r="E80" s="14">
        <f t="shared" ref="E80:U80" si="22">D80+1</f>
        <v>1991</v>
      </c>
      <c r="F80" s="14">
        <f t="shared" si="22"/>
        <v>1992</v>
      </c>
      <c r="G80" s="84">
        <f t="shared" si="22"/>
        <v>1993</v>
      </c>
      <c r="H80" s="84">
        <f t="shared" si="22"/>
        <v>1994</v>
      </c>
      <c r="I80" s="84">
        <f t="shared" si="22"/>
        <v>1995</v>
      </c>
      <c r="J80" s="84">
        <f t="shared" si="22"/>
        <v>1996</v>
      </c>
      <c r="K80" s="84">
        <f t="shared" si="22"/>
        <v>1997</v>
      </c>
      <c r="L80" s="84">
        <f t="shared" si="22"/>
        <v>1998</v>
      </c>
      <c r="M80" s="84">
        <f t="shared" si="22"/>
        <v>1999</v>
      </c>
      <c r="N80" s="84">
        <f t="shared" si="22"/>
        <v>2000</v>
      </c>
      <c r="O80" s="84">
        <f t="shared" si="22"/>
        <v>2001</v>
      </c>
      <c r="P80" s="84">
        <f t="shared" si="22"/>
        <v>2002</v>
      </c>
      <c r="Q80" s="84">
        <f t="shared" si="22"/>
        <v>2003</v>
      </c>
      <c r="R80" s="84">
        <f t="shared" si="22"/>
        <v>2004</v>
      </c>
      <c r="S80" s="84">
        <f t="shared" si="22"/>
        <v>2005</v>
      </c>
      <c r="T80" s="84">
        <f t="shared" si="22"/>
        <v>2006</v>
      </c>
      <c r="U80" s="84">
        <f t="shared" si="22"/>
        <v>2007</v>
      </c>
    </row>
    <row r="81" spans="1:21">
      <c r="A81" s="86" t="s">
        <v>80</v>
      </c>
      <c r="B81" s="59">
        <v>6</v>
      </c>
      <c r="C81" s="87">
        <v>0.11</v>
      </c>
      <c r="D81" s="102">
        <f t="shared" ref="D81:U88" si="23">$C81*D$89</f>
        <v>7.15</v>
      </c>
      <c r="E81" s="102">
        <f t="shared" si="23"/>
        <v>7.1021849256941199</v>
      </c>
      <c r="F81" s="102">
        <f t="shared" si="23"/>
        <v>7.1021849256941199</v>
      </c>
      <c r="G81" s="102">
        <f t="shared" si="23"/>
        <v>7.1021849256941199</v>
      </c>
      <c r="H81" s="102">
        <f t="shared" si="23"/>
        <v>7.2027357719047824</v>
      </c>
      <c r="I81" s="102">
        <f t="shared" si="23"/>
        <v>7.3503816285041701</v>
      </c>
      <c r="J81" s="102">
        <f t="shared" si="23"/>
        <v>7.4865161043151236</v>
      </c>
      <c r="K81" s="102">
        <f t="shared" si="23"/>
        <v>7.644693708289207</v>
      </c>
      <c r="L81" s="102">
        <f t="shared" si="23"/>
        <v>7.7659856452200007</v>
      </c>
      <c r="M81" s="102">
        <f t="shared" si="23"/>
        <v>7.9760347966199996</v>
      </c>
      <c r="N81" s="102">
        <f t="shared" si="23"/>
        <v>8.2257771159299988</v>
      </c>
      <c r="O81" s="102">
        <f t="shared" si="23"/>
        <v>8.4250968186000001</v>
      </c>
      <c r="P81" s="102">
        <f t="shared" si="23"/>
        <v>8.7258695145599994</v>
      </c>
      <c r="Q81" s="102">
        <f t="shared" si="23"/>
        <v>9.0045964291799994</v>
      </c>
      <c r="R81" s="102">
        <f t="shared" si="23"/>
        <v>9.3315924847199998</v>
      </c>
      <c r="S81" s="102">
        <f t="shared" si="23"/>
        <v>9.6878968625999988</v>
      </c>
      <c r="T81" s="102">
        <f t="shared" si="23"/>
        <v>10.124227385579999</v>
      </c>
      <c r="U81" s="102">
        <f t="shared" si="23"/>
        <v>10.715893957559999</v>
      </c>
    </row>
    <row r="82" spans="1:21">
      <c r="A82" s="86" t="s">
        <v>72</v>
      </c>
      <c r="B82" s="59">
        <v>6</v>
      </c>
      <c r="C82" s="87">
        <v>0.18</v>
      </c>
      <c r="D82" s="102">
        <f t="shared" ref="D82:D88" si="24">C82*D$89</f>
        <v>11.7</v>
      </c>
      <c r="E82" s="102">
        <f t="shared" si="23"/>
        <v>11.621757151135832</v>
      </c>
      <c r="F82" s="102">
        <f t="shared" si="23"/>
        <v>11.621757151135832</v>
      </c>
      <c r="G82" s="102">
        <f t="shared" si="23"/>
        <v>11.621757151135832</v>
      </c>
      <c r="H82" s="102">
        <f t="shared" si="23"/>
        <v>11.786294899480552</v>
      </c>
      <c r="I82" s="102">
        <f t="shared" si="23"/>
        <v>12.027897210279551</v>
      </c>
      <c r="J82" s="102">
        <f t="shared" si="23"/>
        <v>12.25066271615202</v>
      </c>
      <c r="K82" s="102">
        <f t="shared" si="23"/>
        <v>12.509498795382338</v>
      </c>
      <c r="L82" s="102">
        <f t="shared" si="23"/>
        <v>12.70797651036</v>
      </c>
      <c r="M82" s="102">
        <f t="shared" si="23"/>
        <v>13.051693303559999</v>
      </c>
      <c r="N82" s="102">
        <f t="shared" si="23"/>
        <v>13.460362553339998</v>
      </c>
      <c r="O82" s="102">
        <f t="shared" si="23"/>
        <v>13.7865220668</v>
      </c>
      <c r="P82" s="102">
        <f t="shared" si="23"/>
        <v>14.278695569279998</v>
      </c>
      <c r="Q82" s="102">
        <f t="shared" si="23"/>
        <v>14.734794156839998</v>
      </c>
      <c r="R82" s="102">
        <f t="shared" si="23"/>
        <v>15.269878611359999</v>
      </c>
      <c r="S82" s="102">
        <f t="shared" si="23"/>
        <v>15.852922138799999</v>
      </c>
      <c r="T82" s="102">
        <f t="shared" si="23"/>
        <v>16.566917540039999</v>
      </c>
      <c r="U82" s="102">
        <f t="shared" si="23"/>
        <v>17.535099203279998</v>
      </c>
    </row>
    <row r="83" spans="1:21">
      <c r="A83" s="86" t="s">
        <v>77</v>
      </c>
      <c r="B83" s="59">
        <v>6</v>
      </c>
      <c r="C83" s="87">
        <v>0.04</v>
      </c>
      <c r="D83" s="102">
        <f t="shared" si="24"/>
        <v>2.6</v>
      </c>
      <c r="E83" s="102">
        <f t="shared" si="23"/>
        <v>2.5826127002524073</v>
      </c>
      <c r="F83" s="102">
        <f t="shared" si="23"/>
        <v>2.5826127002524073</v>
      </c>
      <c r="G83" s="102">
        <f t="shared" si="23"/>
        <v>2.5826127002524073</v>
      </c>
      <c r="H83" s="102">
        <f t="shared" si="23"/>
        <v>2.6191766443290119</v>
      </c>
      <c r="I83" s="102">
        <f t="shared" si="23"/>
        <v>2.6728660467287892</v>
      </c>
      <c r="J83" s="102">
        <f t="shared" si="23"/>
        <v>2.7223694924782267</v>
      </c>
      <c r="K83" s="102">
        <f t="shared" si="23"/>
        <v>2.7798886211960752</v>
      </c>
      <c r="L83" s="102">
        <f t="shared" si="23"/>
        <v>2.82399478008</v>
      </c>
      <c r="M83" s="102">
        <f t="shared" si="23"/>
        <v>2.9003762896800001</v>
      </c>
      <c r="N83" s="102">
        <f t="shared" si="23"/>
        <v>2.9911916785199999</v>
      </c>
      <c r="O83" s="102">
        <f t="shared" si="23"/>
        <v>3.0636715703999999</v>
      </c>
      <c r="P83" s="102">
        <f t="shared" si="23"/>
        <v>3.1730434598399997</v>
      </c>
      <c r="Q83" s="102">
        <f t="shared" si="23"/>
        <v>3.2743987015199996</v>
      </c>
      <c r="R83" s="102">
        <f t="shared" si="23"/>
        <v>3.3933063580800003</v>
      </c>
      <c r="S83" s="102">
        <f t="shared" si="23"/>
        <v>3.5228715864</v>
      </c>
      <c r="T83" s="102">
        <f t="shared" si="23"/>
        <v>3.6815372311199996</v>
      </c>
      <c r="U83" s="102">
        <f t="shared" si="23"/>
        <v>3.8966887118399995</v>
      </c>
    </row>
    <row r="84" spans="1:21">
      <c r="A84" s="86" t="s">
        <v>79</v>
      </c>
      <c r="B84" s="59">
        <v>6</v>
      </c>
      <c r="C84" s="87">
        <v>0.04</v>
      </c>
      <c r="D84" s="102">
        <f t="shared" si="24"/>
        <v>2.6</v>
      </c>
      <c r="E84" s="102">
        <f t="shared" si="23"/>
        <v>2.5826127002524073</v>
      </c>
      <c r="F84" s="102">
        <f t="shared" si="23"/>
        <v>2.5826127002524073</v>
      </c>
      <c r="G84" s="102">
        <f t="shared" si="23"/>
        <v>2.5826127002524073</v>
      </c>
      <c r="H84" s="102">
        <f t="shared" si="23"/>
        <v>2.6191766443290119</v>
      </c>
      <c r="I84" s="102">
        <f t="shared" si="23"/>
        <v>2.6728660467287892</v>
      </c>
      <c r="J84" s="102">
        <f t="shared" si="23"/>
        <v>2.7223694924782267</v>
      </c>
      <c r="K84" s="102">
        <f t="shared" si="23"/>
        <v>2.7798886211960752</v>
      </c>
      <c r="L84" s="102">
        <f t="shared" si="23"/>
        <v>2.82399478008</v>
      </c>
      <c r="M84" s="102">
        <f t="shared" si="23"/>
        <v>2.9003762896800001</v>
      </c>
      <c r="N84" s="102">
        <f t="shared" si="23"/>
        <v>2.9911916785199999</v>
      </c>
      <c r="O84" s="102">
        <f t="shared" si="23"/>
        <v>3.0636715703999999</v>
      </c>
      <c r="P84" s="102">
        <f t="shared" si="23"/>
        <v>3.1730434598399997</v>
      </c>
      <c r="Q84" s="102">
        <f t="shared" si="23"/>
        <v>3.2743987015199996</v>
      </c>
      <c r="R84" s="102">
        <f t="shared" si="23"/>
        <v>3.3933063580800003</v>
      </c>
      <c r="S84" s="102">
        <f t="shared" si="23"/>
        <v>3.5228715864</v>
      </c>
      <c r="T84" s="102">
        <f t="shared" si="23"/>
        <v>3.6815372311199996</v>
      </c>
      <c r="U84" s="102">
        <f t="shared" si="23"/>
        <v>3.8966887118399995</v>
      </c>
    </row>
    <row r="85" spans="1:21">
      <c r="A85" s="86" t="s">
        <v>74</v>
      </c>
      <c r="B85" s="59">
        <v>8</v>
      </c>
      <c r="C85" s="87">
        <v>0.30000000000000004</v>
      </c>
      <c r="D85" s="102">
        <f t="shared" si="24"/>
        <v>19.500000000000004</v>
      </c>
      <c r="E85" s="102">
        <f t="shared" si="23"/>
        <v>19.369595251893056</v>
      </c>
      <c r="F85" s="102">
        <f t="shared" si="23"/>
        <v>19.369595251893056</v>
      </c>
      <c r="G85" s="102">
        <f t="shared" si="23"/>
        <v>19.369595251893056</v>
      </c>
      <c r="H85" s="102">
        <f t="shared" si="23"/>
        <v>19.64382483246759</v>
      </c>
      <c r="I85" s="102">
        <f t="shared" si="23"/>
        <v>20.046495350465921</v>
      </c>
      <c r="J85" s="102">
        <f t="shared" si="23"/>
        <v>20.417771193586702</v>
      </c>
      <c r="K85" s="102">
        <f t="shared" si="23"/>
        <v>20.849164658970565</v>
      </c>
      <c r="L85" s="102">
        <f t="shared" si="23"/>
        <v>21.179960850600004</v>
      </c>
      <c r="M85" s="102">
        <f t="shared" si="23"/>
        <v>21.752822172600002</v>
      </c>
      <c r="N85" s="102">
        <f t="shared" si="23"/>
        <v>22.433937588900001</v>
      </c>
      <c r="O85" s="102">
        <f t="shared" si="23"/>
        <v>22.977536778000005</v>
      </c>
      <c r="P85" s="102">
        <f t="shared" si="23"/>
        <v>23.7978259488</v>
      </c>
      <c r="Q85" s="102">
        <f t="shared" si="23"/>
        <v>24.557990261400001</v>
      </c>
      <c r="R85" s="102">
        <f t="shared" si="23"/>
        <v>25.449797685600004</v>
      </c>
      <c r="S85" s="102">
        <f t="shared" si="23"/>
        <v>26.421536898000003</v>
      </c>
      <c r="T85" s="102">
        <f t="shared" si="23"/>
        <v>27.611529233400002</v>
      </c>
      <c r="U85" s="102">
        <f t="shared" si="23"/>
        <v>29.2251653388</v>
      </c>
    </row>
    <row r="86" spans="1:21">
      <c r="A86" s="86" t="s">
        <v>70</v>
      </c>
      <c r="B86" s="59">
        <v>9</v>
      </c>
      <c r="C86" s="87">
        <v>0.12</v>
      </c>
      <c r="D86" s="102">
        <f t="shared" si="24"/>
        <v>7.8</v>
      </c>
      <c r="E86" s="102">
        <f t="shared" si="23"/>
        <v>7.747838100757221</v>
      </c>
      <c r="F86" s="102">
        <f t="shared" si="23"/>
        <v>7.747838100757221</v>
      </c>
      <c r="G86" s="102">
        <f t="shared" si="23"/>
        <v>7.747838100757221</v>
      </c>
      <c r="H86" s="102">
        <f t="shared" si="23"/>
        <v>7.8575299329870347</v>
      </c>
      <c r="I86" s="102">
        <f t="shared" si="23"/>
        <v>8.0185981401863682</v>
      </c>
      <c r="J86" s="102">
        <f t="shared" si="23"/>
        <v>8.1671084774346809</v>
      </c>
      <c r="K86" s="102">
        <f t="shared" si="23"/>
        <v>8.339665863588225</v>
      </c>
      <c r="L86" s="102">
        <f t="shared" si="23"/>
        <v>8.4719843402400006</v>
      </c>
      <c r="M86" s="102">
        <f t="shared" si="23"/>
        <v>8.7011288690399997</v>
      </c>
      <c r="N86" s="102">
        <f t="shared" si="23"/>
        <v>8.9735750355599997</v>
      </c>
      <c r="O86" s="102">
        <f t="shared" si="23"/>
        <v>9.1910147111999994</v>
      </c>
      <c r="P86" s="102">
        <f t="shared" si="23"/>
        <v>9.5191303795199982</v>
      </c>
      <c r="Q86" s="102">
        <f t="shared" si="23"/>
        <v>9.8231961045599991</v>
      </c>
      <c r="R86" s="102">
        <f t="shared" si="23"/>
        <v>10.179919074240001</v>
      </c>
      <c r="S86" s="102">
        <f t="shared" si="23"/>
        <v>10.568614759199999</v>
      </c>
      <c r="T86" s="102">
        <f t="shared" si="23"/>
        <v>11.044611693359998</v>
      </c>
      <c r="U86" s="102">
        <f t="shared" si="23"/>
        <v>11.690066135519999</v>
      </c>
    </row>
    <row r="87" spans="1:21">
      <c r="A87" s="86" t="s">
        <v>78</v>
      </c>
      <c r="B87" s="59">
        <v>9</v>
      </c>
      <c r="C87" s="87">
        <v>7.0000000000000007E-2</v>
      </c>
      <c r="D87" s="102">
        <f t="shared" si="24"/>
        <v>4.5500000000000007</v>
      </c>
      <c r="E87" s="102">
        <f t="shared" si="23"/>
        <v>4.5195722254417134</v>
      </c>
      <c r="F87" s="102">
        <f t="shared" si="23"/>
        <v>4.5195722254417134</v>
      </c>
      <c r="G87" s="102">
        <f t="shared" si="23"/>
        <v>4.5195722254417134</v>
      </c>
      <c r="H87" s="102">
        <f t="shared" si="23"/>
        <v>4.5835591275757714</v>
      </c>
      <c r="I87" s="102">
        <f t="shared" si="23"/>
        <v>4.6775155817753813</v>
      </c>
      <c r="J87" s="102">
        <f t="shared" si="23"/>
        <v>4.7641466118368969</v>
      </c>
      <c r="K87" s="102">
        <f t="shared" si="23"/>
        <v>4.8648050870931323</v>
      </c>
      <c r="L87" s="102">
        <f t="shared" si="23"/>
        <v>4.9419908651400011</v>
      </c>
      <c r="M87" s="102">
        <f t="shared" si="23"/>
        <v>5.07565850694</v>
      </c>
      <c r="N87" s="102">
        <f t="shared" si="23"/>
        <v>5.2345854374099998</v>
      </c>
      <c r="O87" s="102">
        <f t="shared" si="23"/>
        <v>5.3614252482000007</v>
      </c>
      <c r="P87" s="102">
        <f t="shared" si="23"/>
        <v>5.5528260547199997</v>
      </c>
      <c r="Q87" s="102">
        <f t="shared" si="23"/>
        <v>5.7301977276600002</v>
      </c>
      <c r="R87" s="102">
        <f t="shared" si="23"/>
        <v>5.9382861266400004</v>
      </c>
      <c r="S87" s="102">
        <f t="shared" si="23"/>
        <v>6.1650252761999997</v>
      </c>
      <c r="T87" s="102">
        <f t="shared" si="23"/>
        <v>6.4426901544600002</v>
      </c>
      <c r="U87" s="102">
        <f t="shared" si="23"/>
        <v>6.8192052457200001</v>
      </c>
    </row>
    <row r="88" spans="1:21">
      <c r="A88" s="86" t="s">
        <v>83</v>
      </c>
      <c r="B88" s="59">
        <v>9</v>
      </c>
      <c r="C88" s="87">
        <v>0.14000000000000001</v>
      </c>
      <c r="D88" s="102">
        <f t="shared" si="24"/>
        <v>9.1000000000000014</v>
      </c>
      <c r="E88" s="102">
        <f t="shared" si="23"/>
        <v>9.0391444508834269</v>
      </c>
      <c r="F88" s="102">
        <f t="shared" si="23"/>
        <v>9.0391444508834269</v>
      </c>
      <c r="G88" s="102">
        <f t="shared" si="23"/>
        <v>9.0391444508834269</v>
      </c>
      <c r="H88" s="102">
        <f t="shared" si="23"/>
        <v>9.1671182551515429</v>
      </c>
      <c r="I88" s="102">
        <f t="shared" si="23"/>
        <v>9.3550311635507626</v>
      </c>
      <c r="J88" s="102">
        <f t="shared" si="23"/>
        <v>9.5282932236737938</v>
      </c>
      <c r="K88" s="102">
        <f t="shared" si="23"/>
        <v>9.7296101741862646</v>
      </c>
      <c r="L88" s="102">
        <f t="shared" si="23"/>
        <v>9.8839817302800022</v>
      </c>
      <c r="M88" s="102">
        <f t="shared" si="23"/>
        <v>10.15131701388</v>
      </c>
      <c r="N88" s="102">
        <f t="shared" si="23"/>
        <v>10.46917087482</v>
      </c>
      <c r="O88" s="102">
        <f t="shared" si="23"/>
        <v>10.722850496400001</v>
      </c>
      <c r="P88" s="102">
        <f t="shared" si="23"/>
        <v>11.105652109439999</v>
      </c>
      <c r="Q88" s="102">
        <f t="shared" si="23"/>
        <v>11.46039545532</v>
      </c>
      <c r="R88" s="102">
        <f t="shared" si="23"/>
        <v>11.876572253280001</v>
      </c>
      <c r="S88" s="102">
        <f t="shared" si="23"/>
        <v>12.330050552399999</v>
      </c>
      <c r="T88" s="102">
        <f t="shared" si="23"/>
        <v>12.88538030892</v>
      </c>
      <c r="U88" s="102">
        <f t="shared" si="23"/>
        <v>13.63841049144</v>
      </c>
    </row>
    <row r="89" spans="1:21">
      <c r="A89" s="92" t="s">
        <v>213</v>
      </c>
      <c r="B89" s="9"/>
      <c r="C89" s="93">
        <f>SUM(C81:C88)</f>
        <v>0.99999999999999989</v>
      </c>
      <c r="D89" s="94">
        <v>65</v>
      </c>
      <c r="E89" s="95">
        <f t="shared" ref="E89:U89" si="25">E15*$E$76+$E$77</f>
        <v>64.56531750631018</v>
      </c>
      <c r="F89" s="95">
        <f t="shared" si="25"/>
        <v>64.56531750631018</v>
      </c>
      <c r="G89" s="95">
        <f t="shared" si="25"/>
        <v>64.56531750631018</v>
      </c>
      <c r="H89" s="95">
        <f t="shared" si="25"/>
        <v>65.479416108225294</v>
      </c>
      <c r="I89" s="95">
        <f t="shared" si="25"/>
        <v>66.821651168219731</v>
      </c>
      <c r="J89" s="95">
        <f t="shared" si="25"/>
        <v>68.05923731195567</v>
      </c>
      <c r="K89" s="95">
        <f t="shared" si="25"/>
        <v>69.497215529901879</v>
      </c>
      <c r="L89" s="95">
        <f t="shared" si="25"/>
        <v>70.599869502000004</v>
      </c>
      <c r="M89" s="95">
        <f t="shared" si="25"/>
        <v>72.509407241999995</v>
      </c>
      <c r="N89" s="95">
        <f t="shared" si="25"/>
        <v>74.779791962999994</v>
      </c>
      <c r="O89" s="95">
        <f t="shared" si="25"/>
        <v>76.591789259999999</v>
      </c>
      <c r="P89" s="95">
        <f t="shared" si="25"/>
        <v>79.326086495999988</v>
      </c>
      <c r="Q89" s="95">
        <f t="shared" si="25"/>
        <v>81.859967537999992</v>
      </c>
      <c r="R89" s="95">
        <f t="shared" si="25"/>
        <v>84.832658952000003</v>
      </c>
      <c r="S89" s="95">
        <f t="shared" si="25"/>
        <v>88.071789659999993</v>
      </c>
      <c r="T89" s="95">
        <f t="shared" si="25"/>
        <v>92.038430777999992</v>
      </c>
      <c r="U89" s="95">
        <f t="shared" si="25"/>
        <v>97.417217795999989</v>
      </c>
    </row>
    <row r="93" spans="1:21">
      <c r="B93" s="1"/>
      <c r="C93" s="1"/>
      <c r="D93" s="1"/>
      <c r="E93" s="1"/>
      <c r="F93" s="1"/>
      <c r="G93" s="1"/>
    </row>
    <row r="94" spans="1:21">
      <c r="B94" s="1"/>
      <c r="C94" s="1"/>
      <c r="D94" s="1"/>
      <c r="E94" s="1"/>
      <c r="F94" s="1"/>
      <c r="G94" s="1"/>
    </row>
    <row r="95" spans="1:21">
      <c r="B95" s="1"/>
      <c r="C95" s="1"/>
      <c r="D95" s="1"/>
      <c r="E95" s="1"/>
      <c r="F95" s="1"/>
      <c r="G95" s="1"/>
    </row>
    <row r="96" spans="1:21">
      <c r="B96" s="1"/>
      <c r="C96" s="1"/>
      <c r="D96" s="1"/>
      <c r="E96" s="1"/>
      <c r="F96" s="1"/>
      <c r="G96" s="1"/>
    </row>
    <row r="97" spans="2:7">
      <c r="B97" s="1"/>
      <c r="C97" s="1"/>
      <c r="D97" s="1"/>
      <c r="E97" s="1"/>
      <c r="F97" s="1"/>
      <c r="G97" s="1"/>
    </row>
    <row r="98" spans="2:7">
      <c r="B98" s="1"/>
      <c r="C98" s="1"/>
      <c r="D98" s="1"/>
      <c r="E98" s="1"/>
      <c r="F98" s="1"/>
      <c r="G98" s="1"/>
    </row>
    <row r="99" spans="2:7">
      <c r="B99" s="1"/>
      <c r="C99" s="1"/>
      <c r="D99" s="1"/>
      <c r="E99" s="1"/>
      <c r="F99" s="1"/>
      <c r="G99" s="1"/>
    </row>
    <row r="100" spans="2:7">
      <c r="B100" s="1"/>
      <c r="C100" s="1"/>
      <c r="D100" s="1"/>
      <c r="E100" s="1"/>
      <c r="F100" s="1"/>
      <c r="G100" s="1"/>
    </row>
    <row r="101" spans="2:7">
      <c r="B101" s="1"/>
      <c r="C101" s="1"/>
      <c r="D101" s="1"/>
      <c r="E101" s="1"/>
      <c r="F101" s="1"/>
      <c r="G101" s="1"/>
    </row>
    <row r="102" spans="2:7">
      <c r="B102" s="1"/>
      <c r="C102" s="1"/>
      <c r="D102" s="1"/>
      <c r="E102" s="1"/>
      <c r="F102" s="1"/>
      <c r="G102" s="1"/>
    </row>
    <row r="103" spans="2:7">
      <c r="B103" s="1"/>
      <c r="C103" s="1"/>
      <c r="D103" s="1"/>
      <c r="E103" s="1"/>
      <c r="F103" s="1"/>
      <c r="G103" s="1"/>
    </row>
    <row r="104" spans="2:7">
      <c r="B104" s="103"/>
      <c r="C104" s="103"/>
      <c r="D104" s="104"/>
      <c r="E104" s="104"/>
      <c r="F104" s="104"/>
    </row>
    <row r="105" spans="2:7">
      <c r="B105" s="103"/>
      <c r="C105" s="103"/>
      <c r="D105" s="104"/>
      <c r="E105" s="104"/>
      <c r="F105" s="104"/>
      <c r="G105" s="105"/>
    </row>
  </sheetData>
  <sheetProtection selectLockedCells="1" selectUnlockedCells="1"/>
  <mergeCells count="1">
    <mergeCell ref="B26:B28"/>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Microsoft Equation 3.0" shapeId="1025" r:id="rId3">
          <objectPr defaultSize="0" r:id="rId4">
            <anchor moveWithCells="1" sizeWithCells="1">
              <from>
                <xdr:col>20</xdr:col>
                <xdr:colOff>904875</xdr:colOff>
                <xdr:row>15</xdr:row>
                <xdr:rowOff>152400</xdr:rowOff>
              </from>
              <to>
                <xdr:col>21</xdr:col>
                <xdr:colOff>66675</xdr:colOff>
                <xdr:row>17</xdr:row>
                <xdr:rowOff>9525</xdr:rowOff>
              </to>
            </anchor>
          </objectPr>
        </oleObject>
      </mc:Choice>
      <mc:Fallback>
        <oleObject progId="Microsoft Equation 3.0" shapeId="1025"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21"/>
  <dimension ref="A1:IV33"/>
  <sheetViews>
    <sheetView workbookViewId="0"/>
  </sheetViews>
  <sheetFormatPr defaultColWidth="12.7109375" defaultRowHeight="12.75"/>
  <cols>
    <col min="1" max="2" width="12.7109375" style="107"/>
    <col min="3" max="3" width="12.28515625" style="107" customWidth="1"/>
    <col min="4" max="18" width="12.7109375" style="107"/>
    <col min="19" max="19" width="18.140625" style="108" customWidth="1"/>
    <col min="20" max="16384" width="12.7109375" style="107"/>
  </cols>
  <sheetData>
    <row r="1" spans="1:256" ht="15">
      <c r="A1" s="106" t="s">
        <v>220</v>
      </c>
    </row>
    <row r="2" spans="1:256" ht="15">
      <c r="A2" s="106" t="s">
        <v>221</v>
      </c>
    </row>
    <row r="3" spans="1:256" ht="13.5" thickBot="1">
      <c r="A3" s="107" t="s">
        <v>222</v>
      </c>
      <c r="Q3" s="1"/>
      <c r="R3" s="1"/>
      <c r="S3" s="41"/>
      <c r="T3" s="1"/>
    </row>
    <row r="4" spans="1:256" ht="15.75">
      <c r="A4" s="109" t="s">
        <v>223</v>
      </c>
      <c r="B4" s="110">
        <v>1993</v>
      </c>
      <c r="C4" s="110">
        <v>1994</v>
      </c>
      <c r="D4" s="111">
        <v>1995</v>
      </c>
      <c r="E4" s="111">
        <v>1996</v>
      </c>
      <c r="F4" s="111">
        <v>1997</v>
      </c>
      <c r="G4" s="111">
        <v>1998</v>
      </c>
      <c r="H4" s="111">
        <v>1999</v>
      </c>
      <c r="I4" s="111">
        <v>2000</v>
      </c>
      <c r="J4" s="111">
        <v>2001</v>
      </c>
      <c r="K4" s="111">
        <v>2002</v>
      </c>
      <c r="L4" s="111">
        <v>2003</v>
      </c>
      <c r="M4" s="111">
        <v>2004</v>
      </c>
      <c r="N4" s="111">
        <v>2005</v>
      </c>
      <c r="O4" s="111">
        <v>2006</v>
      </c>
      <c r="P4" s="111">
        <v>2007</v>
      </c>
      <c r="Q4" s="111" t="s">
        <v>224</v>
      </c>
      <c r="R4" s="111" t="s">
        <v>225</v>
      </c>
      <c r="S4" s="1"/>
      <c r="T4" s="1"/>
    </row>
    <row r="5" spans="1:256" ht="45">
      <c r="A5" s="112" t="s">
        <v>226</v>
      </c>
      <c r="B5" s="113">
        <f>SUM(B12:M12)</f>
        <v>524258</v>
      </c>
      <c r="C5" s="112">
        <f>SUM(N12:Y12)</f>
        <v>786759</v>
      </c>
      <c r="D5" s="112">
        <f>SUM(Z12:AK12)</f>
        <v>1001967</v>
      </c>
      <c r="E5" s="112">
        <f>SUM(AL12:AW12)</f>
        <v>1331479</v>
      </c>
      <c r="F5" s="112">
        <f>SUM(AX12:BI12)</f>
        <v>1210605</v>
      </c>
      <c r="G5" s="112">
        <f>SUM(BJ12:BU12)</f>
        <v>911463</v>
      </c>
      <c r="H5" s="112">
        <f>SUM(BV12:CG12)</f>
        <v>1092502</v>
      </c>
      <c r="I5" s="112">
        <f>SUM(CH12:CS12)</f>
        <v>1146762</v>
      </c>
      <c r="J5" s="112">
        <f>SUM(CT12:DE12)</f>
        <v>736748</v>
      </c>
      <c r="K5" s="112">
        <f>SUM(DF12:DQ12)</f>
        <v>447633</v>
      </c>
      <c r="L5" s="112">
        <f>SUM(DR12:EC12)</f>
        <v>437632</v>
      </c>
      <c r="M5" s="112">
        <f>SUM(ED12:EO12)</f>
        <v>514389</v>
      </c>
      <c r="N5" s="112">
        <f>SUM(EP12:FA12)</f>
        <v>609630</v>
      </c>
      <c r="O5" s="112">
        <f>SUM(FB12:FM12)</f>
        <v>973300</v>
      </c>
      <c r="P5" s="112">
        <f>SUM(FN12:FY12)</f>
        <v>911049</v>
      </c>
      <c r="Q5" s="112">
        <f>SUM(B5:O5)</f>
        <v>11725127</v>
      </c>
      <c r="R5" s="114">
        <f>Q5/$Q$8</f>
        <v>0.39103713898783476</v>
      </c>
      <c r="S5" s="1"/>
      <c r="T5" s="1"/>
    </row>
    <row r="6" spans="1:256" ht="30">
      <c r="A6" s="112" t="s">
        <v>73</v>
      </c>
      <c r="B6" s="113">
        <f>SUM(B13:M13)</f>
        <v>473160</v>
      </c>
      <c r="C6" s="112">
        <f>SUM(N13:Y13)</f>
        <v>604803</v>
      </c>
      <c r="D6" s="112">
        <f>SUM(Z13:AK13)</f>
        <v>639001</v>
      </c>
      <c r="E6" s="112">
        <f>SUM(AL13:AW13)</f>
        <v>913311</v>
      </c>
      <c r="F6" s="112">
        <f>SUM(AX13:BI13)</f>
        <v>886877</v>
      </c>
      <c r="G6" s="112">
        <f>SUM(BJ13:BU13)</f>
        <v>1046152</v>
      </c>
      <c r="H6" s="112">
        <f>SUM(BV13:CG13)</f>
        <v>828921</v>
      </c>
      <c r="I6" s="112">
        <f>SUM(CH13:CS13)</f>
        <v>599295</v>
      </c>
      <c r="J6" s="112">
        <f>SUM(CT13:DE13)</f>
        <v>450973</v>
      </c>
      <c r="K6" s="112">
        <f>SUM(DF13:DQ13)</f>
        <v>499150</v>
      </c>
      <c r="L6" s="112">
        <f>SUM(DR13:EC13)</f>
        <v>675746</v>
      </c>
      <c r="M6" s="112">
        <f>SUM(ED13:EO13)</f>
        <v>865220</v>
      </c>
      <c r="N6" s="112">
        <f>SUM(EP13:FA13)</f>
        <v>1254332</v>
      </c>
      <c r="O6" s="112">
        <f>SUM(FB13:FM13)</f>
        <v>1185866</v>
      </c>
      <c r="P6" s="112">
        <f>SUM(FN13:FY13)</f>
        <v>1191675</v>
      </c>
      <c r="Q6" s="112">
        <f>SUM(B6:O6)</f>
        <v>10922807</v>
      </c>
      <c r="R6" s="114">
        <f>Q6/$Q$8</f>
        <v>0.3642794827720241</v>
      </c>
      <c r="S6" s="1"/>
      <c r="T6" s="1"/>
    </row>
    <row r="7" spans="1:256" ht="45">
      <c r="A7" s="112" t="s">
        <v>227</v>
      </c>
      <c r="B7" s="113">
        <f>SUM(B14:M14)</f>
        <v>509389</v>
      </c>
      <c r="C7" s="112">
        <f>SUM(N14:Y14)</f>
        <v>601847</v>
      </c>
      <c r="D7" s="112">
        <f>SUM(Z14:AK14)</f>
        <v>624454</v>
      </c>
      <c r="E7" s="112">
        <f>SUM(AL14:AW14)</f>
        <v>779120</v>
      </c>
      <c r="F7" s="112">
        <f>SUM(AX14:BI14)</f>
        <v>754632</v>
      </c>
      <c r="G7" s="112">
        <f>SUM(BJ14:BU14)</f>
        <v>565741</v>
      </c>
      <c r="H7" s="112">
        <f>SUM(BV14:CG14)</f>
        <v>631844</v>
      </c>
      <c r="I7" s="112">
        <f>SUM(CH14:CS14)</f>
        <v>542639</v>
      </c>
      <c r="J7" s="112">
        <f>SUM(CT14:DE14)</f>
        <v>366624</v>
      </c>
      <c r="K7" s="112">
        <f>SUM(DF14:DQ14)</f>
        <v>527895</v>
      </c>
      <c r="L7" s="112">
        <f>SUM(DR14:EC14)</f>
        <v>313265</v>
      </c>
      <c r="M7" s="112">
        <f>SUM(ED14:EO14)</f>
        <v>396861</v>
      </c>
      <c r="N7" s="112">
        <f>SUM(EP14:FA14)</f>
        <v>346586</v>
      </c>
      <c r="O7" s="112">
        <f>SUM(FB14:FM14)</f>
        <v>375858</v>
      </c>
      <c r="P7" s="112">
        <f>SUM(FN14:FY14)</f>
        <v>360819</v>
      </c>
      <c r="Q7" s="112">
        <f>SUM(B7:O7)</f>
        <v>7336755</v>
      </c>
      <c r="R7" s="114">
        <f>Q7/$Q$8</f>
        <v>0.24468337824014116</v>
      </c>
      <c r="S7" s="1"/>
      <c r="T7" s="1"/>
    </row>
    <row r="8" spans="1:256" ht="15">
      <c r="A8" s="112" t="s">
        <v>224</v>
      </c>
      <c r="B8" s="113">
        <f t="shared" ref="B8:P8" si="0">SUM(B5:B7)</f>
        <v>1506807</v>
      </c>
      <c r="C8" s="113">
        <f t="shared" si="0"/>
        <v>1993409</v>
      </c>
      <c r="D8" s="115">
        <f t="shared" si="0"/>
        <v>2265422</v>
      </c>
      <c r="E8" s="115">
        <f t="shared" si="0"/>
        <v>3023910</v>
      </c>
      <c r="F8" s="115">
        <f t="shared" si="0"/>
        <v>2852114</v>
      </c>
      <c r="G8" s="115">
        <f t="shared" si="0"/>
        <v>2523356</v>
      </c>
      <c r="H8" s="115">
        <f t="shared" si="0"/>
        <v>2553267</v>
      </c>
      <c r="I8" s="115">
        <f t="shared" si="0"/>
        <v>2288696</v>
      </c>
      <c r="J8" s="115">
        <f t="shared" si="0"/>
        <v>1554345</v>
      </c>
      <c r="K8" s="115">
        <f t="shared" si="0"/>
        <v>1474678</v>
      </c>
      <c r="L8" s="115">
        <f t="shared" si="0"/>
        <v>1426643</v>
      </c>
      <c r="M8" s="115">
        <f t="shared" si="0"/>
        <v>1776470</v>
      </c>
      <c r="N8" s="115">
        <f t="shared" si="0"/>
        <v>2210548</v>
      </c>
      <c r="O8" s="115">
        <f t="shared" si="0"/>
        <v>2535024</v>
      </c>
      <c r="P8" s="115">
        <f t="shared" si="0"/>
        <v>2463543</v>
      </c>
      <c r="Q8" s="112">
        <f>SUM(B8:O8)</f>
        <v>29984689</v>
      </c>
      <c r="R8" s="115"/>
      <c r="S8" s="1"/>
      <c r="T8" s="1"/>
    </row>
    <row r="10" spans="1:256" ht="31.5">
      <c r="B10" s="109" t="s">
        <v>228</v>
      </c>
      <c r="C10" s="109" t="s">
        <v>229</v>
      </c>
      <c r="D10" s="109" t="s">
        <v>230</v>
      </c>
      <c r="E10" s="109" t="s">
        <v>231</v>
      </c>
      <c r="F10" s="109" t="s">
        <v>232</v>
      </c>
      <c r="G10" s="109" t="s">
        <v>233</v>
      </c>
      <c r="H10" s="109" t="s">
        <v>234</v>
      </c>
      <c r="I10" s="109" t="s">
        <v>235</v>
      </c>
      <c r="J10" s="109" t="s">
        <v>236</v>
      </c>
      <c r="K10" s="109" t="s">
        <v>237</v>
      </c>
      <c r="L10" s="109" t="s">
        <v>238</v>
      </c>
      <c r="M10" s="116" t="s">
        <v>239</v>
      </c>
      <c r="N10" s="109" t="s">
        <v>240</v>
      </c>
      <c r="O10" s="109" t="s">
        <v>241</v>
      </c>
      <c r="P10" s="109" t="s">
        <v>242</v>
      </c>
      <c r="Q10" s="109" t="s">
        <v>243</v>
      </c>
      <c r="R10" s="109" t="s">
        <v>244</v>
      </c>
      <c r="S10" s="109" t="s">
        <v>245</v>
      </c>
      <c r="T10" s="109" t="s">
        <v>246</v>
      </c>
      <c r="U10" s="109" t="s">
        <v>247</v>
      </c>
      <c r="V10" s="109" t="s">
        <v>248</v>
      </c>
      <c r="W10" s="109" t="s">
        <v>249</v>
      </c>
      <c r="X10" s="109" t="s">
        <v>250</v>
      </c>
      <c r="Y10" s="109" t="s">
        <v>251</v>
      </c>
      <c r="Z10" s="109" t="s">
        <v>252</v>
      </c>
      <c r="AA10" s="109" t="s">
        <v>253</v>
      </c>
      <c r="AB10" s="109" t="s">
        <v>254</v>
      </c>
      <c r="AC10" s="109" t="s">
        <v>255</v>
      </c>
      <c r="AD10" s="109" t="s">
        <v>256</v>
      </c>
      <c r="AE10" s="109" t="s">
        <v>257</v>
      </c>
      <c r="AF10" s="109" t="s">
        <v>258</v>
      </c>
      <c r="AG10" s="109" t="s">
        <v>259</v>
      </c>
      <c r="AH10" s="109" t="s">
        <v>260</v>
      </c>
      <c r="AI10" s="109" t="s">
        <v>261</v>
      </c>
      <c r="AJ10" s="109" t="s">
        <v>262</v>
      </c>
      <c r="AK10" s="109" t="s">
        <v>263</v>
      </c>
      <c r="AL10" s="109" t="s">
        <v>264</v>
      </c>
      <c r="AM10" s="109" t="s">
        <v>265</v>
      </c>
      <c r="AN10" s="109" t="s">
        <v>266</v>
      </c>
      <c r="AO10" s="109" t="s">
        <v>267</v>
      </c>
      <c r="AP10" s="109" t="s">
        <v>268</v>
      </c>
      <c r="AQ10" s="109" t="s">
        <v>269</v>
      </c>
      <c r="AR10" s="109" t="s">
        <v>270</v>
      </c>
      <c r="AS10" s="109" t="s">
        <v>271</v>
      </c>
      <c r="AT10" s="109" t="s">
        <v>272</v>
      </c>
      <c r="AU10" s="109" t="s">
        <v>273</v>
      </c>
      <c r="AV10" s="109" t="s">
        <v>274</v>
      </c>
      <c r="AW10" s="109" t="s">
        <v>275</v>
      </c>
      <c r="AX10" s="109" t="s">
        <v>276</v>
      </c>
      <c r="AY10" s="109" t="s">
        <v>277</v>
      </c>
      <c r="AZ10" s="109" t="s">
        <v>278</v>
      </c>
      <c r="BA10" s="109" t="s">
        <v>279</v>
      </c>
      <c r="BB10" s="109" t="s">
        <v>280</v>
      </c>
      <c r="BC10" s="109" t="s">
        <v>281</v>
      </c>
      <c r="BD10" s="109" t="s">
        <v>282</v>
      </c>
      <c r="BE10" s="109" t="s">
        <v>283</v>
      </c>
      <c r="BF10" s="109" t="s">
        <v>284</v>
      </c>
      <c r="BG10" s="109" t="s">
        <v>285</v>
      </c>
      <c r="BH10" s="109" t="s">
        <v>286</v>
      </c>
      <c r="BI10" s="109" t="s">
        <v>287</v>
      </c>
      <c r="BJ10" s="109" t="s">
        <v>288</v>
      </c>
      <c r="BK10" s="109" t="s">
        <v>289</v>
      </c>
      <c r="BL10" s="109" t="s">
        <v>290</v>
      </c>
      <c r="BM10" s="109" t="s">
        <v>291</v>
      </c>
      <c r="BN10" s="109" t="s">
        <v>292</v>
      </c>
      <c r="BO10" s="109" t="s">
        <v>293</v>
      </c>
      <c r="BP10" s="109" t="s">
        <v>294</v>
      </c>
      <c r="BQ10" s="109" t="s">
        <v>295</v>
      </c>
      <c r="BR10" s="109" t="s">
        <v>296</v>
      </c>
      <c r="BS10" s="109" t="s">
        <v>297</v>
      </c>
      <c r="BT10" s="109" t="s">
        <v>298</v>
      </c>
      <c r="BU10" s="109" t="s">
        <v>299</v>
      </c>
      <c r="BV10" s="109" t="s">
        <v>300</v>
      </c>
      <c r="BW10" s="109" t="s">
        <v>301</v>
      </c>
      <c r="BX10" s="109" t="s">
        <v>302</v>
      </c>
      <c r="BY10" s="109" t="s">
        <v>303</v>
      </c>
      <c r="BZ10" s="109" t="s">
        <v>304</v>
      </c>
      <c r="CA10" s="109" t="s">
        <v>305</v>
      </c>
      <c r="CB10" s="109" t="s">
        <v>306</v>
      </c>
      <c r="CC10" s="109" t="s">
        <v>307</v>
      </c>
      <c r="CD10" s="109" t="s">
        <v>308</v>
      </c>
      <c r="CE10" s="109" t="s">
        <v>309</v>
      </c>
      <c r="CF10" s="109" t="s">
        <v>310</v>
      </c>
      <c r="CG10" s="117" t="s">
        <v>311</v>
      </c>
      <c r="CH10" s="109" t="s">
        <v>312</v>
      </c>
      <c r="CI10" s="109" t="s">
        <v>313</v>
      </c>
      <c r="CJ10" s="109" t="s">
        <v>314</v>
      </c>
      <c r="CK10" s="109" t="s">
        <v>315</v>
      </c>
      <c r="CL10" s="109" t="s">
        <v>316</v>
      </c>
      <c r="CM10" s="109" t="s">
        <v>317</v>
      </c>
      <c r="CN10" s="109" t="s">
        <v>318</v>
      </c>
      <c r="CO10" s="109" t="s">
        <v>319</v>
      </c>
      <c r="CP10" s="109" t="s">
        <v>320</v>
      </c>
      <c r="CQ10" s="109" t="s">
        <v>321</v>
      </c>
      <c r="CR10" s="109" t="s">
        <v>322</v>
      </c>
      <c r="CS10" s="109" t="s">
        <v>323</v>
      </c>
      <c r="CT10" s="109" t="s">
        <v>324</v>
      </c>
      <c r="CU10" s="109" t="s">
        <v>325</v>
      </c>
      <c r="CV10" s="109" t="s">
        <v>326</v>
      </c>
      <c r="CW10" s="109" t="s">
        <v>327</v>
      </c>
      <c r="CX10" s="109" t="s">
        <v>328</v>
      </c>
      <c r="CY10" s="109" t="s">
        <v>329</v>
      </c>
      <c r="CZ10" s="109" t="s">
        <v>330</v>
      </c>
      <c r="DA10" s="109" t="s">
        <v>331</v>
      </c>
      <c r="DB10" s="109" t="s">
        <v>332</v>
      </c>
      <c r="DC10" s="109" t="s">
        <v>333</v>
      </c>
      <c r="DD10" s="109" t="s">
        <v>334</v>
      </c>
      <c r="DE10" s="109" t="s">
        <v>335</v>
      </c>
      <c r="DF10" s="109" t="s">
        <v>336</v>
      </c>
      <c r="DG10" s="109" t="s">
        <v>337</v>
      </c>
      <c r="DH10" s="109" t="s">
        <v>338</v>
      </c>
      <c r="DI10" s="109" t="s">
        <v>339</v>
      </c>
      <c r="DJ10" s="109" t="s">
        <v>340</v>
      </c>
      <c r="DK10" s="109" t="s">
        <v>341</v>
      </c>
      <c r="DL10" s="109" t="s">
        <v>342</v>
      </c>
      <c r="DM10" s="109" t="s">
        <v>343</v>
      </c>
      <c r="DN10" s="109" t="s">
        <v>344</v>
      </c>
      <c r="DO10" s="109" t="s">
        <v>345</v>
      </c>
      <c r="DP10" s="109" t="s">
        <v>346</v>
      </c>
      <c r="DQ10" s="109" t="s">
        <v>347</v>
      </c>
      <c r="DR10" s="109" t="s">
        <v>348</v>
      </c>
      <c r="DS10" s="109" t="s">
        <v>349</v>
      </c>
      <c r="DT10" s="109" t="s">
        <v>350</v>
      </c>
      <c r="DU10" s="109" t="s">
        <v>351</v>
      </c>
      <c r="DV10" s="109" t="s">
        <v>352</v>
      </c>
      <c r="DW10" s="109" t="s">
        <v>353</v>
      </c>
      <c r="DX10" s="109" t="s">
        <v>354</v>
      </c>
      <c r="DY10" s="109" t="s">
        <v>355</v>
      </c>
      <c r="DZ10" s="109" t="s">
        <v>356</v>
      </c>
      <c r="EA10" s="109" t="s">
        <v>357</v>
      </c>
      <c r="EB10" s="109" t="s">
        <v>358</v>
      </c>
      <c r="EC10" s="109" t="s">
        <v>359</v>
      </c>
      <c r="ED10" s="109" t="s">
        <v>360</v>
      </c>
      <c r="EE10" s="109" t="s">
        <v>361</v>
      </c>
      <c r="EF10" s="109" t="s">
        <v>362</v>
      </c>
      <c r="EG10" s="109" t="s">
        <v>363</v>
      </c>
      <c r="EH10" s="109" t="s">
        <v>364</v>
      </c>
      <c r="EI10" s="109" t="s">
        <v>365</v>
      </c>
      <c r="EJ10" s="109" t="s">
        <v>366</v>
      </c>
      <c r="EK10" s="109" t="s">
        <v>367</v>
      </c>
      <c r="EL10" s="109" t="s">
        <v>368</v>
      </c>
      <c r="EM10" s="109" t="s">
        <v>369</v>
      </c>
      <c r="EN10" s="109" t="s">
        <v>370</v>
      </c>
      <c r="EO10" s="109" t="s">
        <v>371</v>
      </c>
      <c r="EP10" s="109" t="s">
        <v>372</v>
      </c>
      <c r="EQ10" s="109" t="s">
        <v>373</v>
      </c>
      <c r="ER10" s="109" t="s">
        <v>374</v>
      </c>
      <c r="ES10" s="109" t="s">
        <v>375</v>
      </c>
      <c r="ET10" s="109" t="s">
        <v>376</v>
      </c>
      <c r="EU10" s="109" t="s">
        <v>377</v>
      </c>
      <c r="EV10" s="109" t="s">
        <v>378</v>
      </c>
      <c r="EW10" s="109" t="s">
        <v>379</v>
      </c>
      <c r="EX10" s="109" t="s">
        <v>380</v>
      </c>
      <c r="EY10" s="109" t="s">
        <v>381</v>
      </c>
      <c r="EZ10" s="109" t="s">
        <v>382</v>
      </c>
      <c r="FA10" s="109" t="s">
        <v>383</v>
      </c>
      <c r="FB10" s="109" t="s">
        <v>384</v>
      </c>
      <c r="FC10" s="109" t="s">
        <v>385</v>
      </c>
      <c r="FD10" s="109" t="s">
        <v>386</v>
      </c>
      <c r="FE10" s="109" t="s">
        <v>387</v>
      </c>
      <c r="FF10" s="109" t="s">
        <v>388</v>
      </c>
      <c r="FG10" s="109" t="s">
        <v>389</v>
      </c>
      <c r="FH10" s="109" t="s">
        <v>390</v>
      </c>
      <c r="FI10" s="109" t="s">
        <v>391</v>
      </c>
      <c r="FJ10" s="109" t="s">
        <v>392</v>
      </c>
      <c r="FK10" s="109" t="s">
        <v>393</v>
      </c>
      <c r="FL10" s="109" t="s">
        <v>394</v>
      </c>
      <c r="FM10" s="109" t="s">
        <v>395</v>
      </c>
      <c r="FN10" s="109" t="s">
        <v>396</v>
      </c>
      <c r="FO10" s="109" t="s">
        <v>397</v>
      </c>
      <c r="FP10" s="109" t="s">
        <v>398</v>
      </c>
      <c r="FQ10" s="109" t="s">
        <v>399</v>
      </c>
      <c r="FR10" s="109" t="s">
        <v>400</v>
      </c>
      <c r="FS10" s="109" t="s">
        <v>401</v>
      </c>
      <c r="FT10" s="109" t="s">
        <v>402</v>
      </c>
      <c r="FU10" s="109" t="s">
        <v>403</v>
      </c>
      <c r="FV10" s="109" t="s">
        <v>404</v>
      </c>
      <c r="FW10" s="109" t="s">
        <v>405</v>
      </c>
      <c r="FX10" s="109" t="s">
        <v>406</v>
      </c>
      <c r="FY10" s="109" t="s">
        <v>407</v>
      </c>
      <c r="FZ10" s="109" t="s">
        <v>408</v>
      </c>
      <c r="GA10" s="109" t="s">
        <v>409</v>
      </c>
      <c r="GB10" s="109" t="s">
        <v>410</v>
      </c>
      <c r="GC10" s="109" t="s">
        <v>411</v>
      </c>
      <c r="GD10" s="109" t="s">
        <v>412</v>
      </c>
      <c r="GE10" s="109" t="s">
        <v>413</v>
      </c>
      <c r="GF10" s="109" t="s">
        <v>414</v>
      </c>
      <c r="GG10" s="109" t="s">
        <v>415</v>
      </c>
      <c r="GH10" s="109" t="s">
        <v>416</v>
      </c>
      <c r="GI10" s="109" t="s">
        <v>417</v>
      </c>
      <c r="GJ10" s="109" t="s">
        <v>418</v>
      </c>
      <c r="GK10" s="109" t="s">
        <v>419</v>
      </c>
      <c r="GL10" s="116" t="s">
        <v>420</v>
      </c>
      <c r="GM10" s="109" t="s">
        <v>421</v>
      </c>
      <c r="GN10" s="109" t="s">
        <v>422</v>
      </c>
      <c r="GO10" s="109" t="s">
        <v>423</v>
      </c>
      <c r="GP10" s="109" t="s">
        <v>424</v>
      </c>
      <c r="GQ10" s="109" t="s">
        <v>425</v>
      </c>
      <c r="GR10" s="109" t="s">
        <v>426</v>
      </c>
      <c r="GS10" s="109" t="s">
        <v>427</v>
      </c>
      <c r="GT10" s="109" t="s">
        <v>428</v>
      </c>
      <c r="GU10" s="109" t="s">
        <v>429</v>
      </c>
      <c r="GV10" s="109" t="s">
        <v>430</v>
      </c>
      <c r="GW10" s="116" t="s">
        <v>431</v>
      </c>
      <c r="GX10" s="117" t="s">
        <v>432</v>
      </c>
    </row>
    <row r="11" spans="1:256">
      <c r="A11" s="1"/>
      <c r="B11" s="1"/>
      <c r="C11" s="1"/>
      <c r="D11" s="1"/>
      <c r="E11" s="1"/>
      <c r="F11" s="1"/>
      <c r="G11" s="1"/>
      <c r="H11" s="1"/>
      <c r="I11" s="1"/>
      <c r="J11" s="1"/>
      <c r="K11" s="1"/>
      <c r="L11" s="1"/>
      <c r="M11" s="1"/>
      <c r="N11" s="1"/>
      <c r="O11" s="1"/>
      <c r="P11" s="1"/>
      <c r="Q11" s="1"/>
      <c r="R11" s="1"/>
      <c r="S11" s="4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s="121" customFormat="1" ht="45">
      <c r="A12" s="112" t="s">
        <v>226</v>
      </c>
      <c r="B12" s="112">
        <v>13400</v>
      </c>
      <c r="C12" s="112">
        <v>129721</v>
      </c>
      <c r="D12" s="112">
        <v>27664</v>
      </c>
      <c r="E12" s="112">
        <v>53449</v>
      </c>
      <c r="F12" s="112">
        <v>27099</v>
      </c>
      <c r="G12" s="112">
        <v>44914</v>
      </c>
      <c r="H12" s="112">
        <v>63477</v>
      </c>
      <c r="I12" s="112">
        <v>32917</v>
      </c>
      <c r="J12" s="112">
        <v>50685</v>
      </c>
      <c r="K12" s="112">
        <v>35854</v>
      </c>
      <c r="L12" s="112">
        <v>26595</v>
      </c>
      <c r="M12" s="118">
        <v>18483</v>
      </c>
      <c r="N12" s="112">
        <v>104039</v>
      </c>
      <c r="O12" s="112">
        <v>68775</v>
      </c>
      <c r="P12" s="112">
        <v>58182</v>
      </c>
      <c r="Q12" s="112">
        <v>65834</v>
      </c>
      <c r="R12" s="112">
        <v>54477</v>
      </c>
      <c r="S12" s="119">
        <v>54750</v>
      </c>
      <c r="T12" s="112">
        <v>48839</v>
      </c>
      <c r="U12" s="112">
        <v>56919</v>
      </c>
      <c r="V12" s="112">
        <v>61948</v>
      </c>
      <c r="W12" s="112">
        <v>102127</v>
      </c>
      <c r="X12" s="112">
        <v>78323</v>
      </c>
      <c r="Y12" s="112">
        <v>32546</v>
      </c>
      <c r="Z12" s="112">
        <v>27851</v>
      </c>
      <c r="AA12" s="112">
        <v>57535</v>
      </c>
      <c r="AB12" s="112">
        <v>72286</v>
      </c>
      <c r="AC12" s="112">
        <v>74286</v>
      </c>
      <c r="AD12" s="112">
        <v>55252</v>
      </c>
      <c r="AE12" s="112">
        <v>77080</v>
      </c>
      <c r="AF12" s="112">
        <v>85242</v>
      </c>
      <c r="AG12" s="112">
        <v>116992</v>
      </c>
      <c r="AH12" s="112">
        <v>95305</v>
      </c>
      <c r="AI12" s="112">
        <v>103092</v>
      </c>
      <c r="AJ12" s="112">
        <v>134930</v>
      </c>
      <c r="AK12" s="112">
        <v>102116</v>
      </c>
      <c r="AL12" s="112">
        <v>50167</v>
      </c>
      <c r="AM12" s="112">
        <v>131756</v>
      </c>
      <c r="AN12" s="112">
        <v>183230</v>
      </c>
      <c r="AO12" s="112">
        <v>136522</v>
      </c>
      <c r="AP12" s="112">
        <v>63621</v>
      </c>
      <c r="AQ12" s="112">
        <v>60344</v>
      </c>
      <c r="AR12" s="112">
        <v>120284</v>
      </c>
      <c r="AS12" s="112">
        <v>176269</v>
      </c>
      <c r="AT12" s="112">
        <v>94173</v>
      </c>
      <c r="AU12" s="112">
        <v>150231</v>
      </c>
      <c r="AV12" s="112">
        <v>107919</v>
      </c>
      <c r="AW12" s="112">
        <v>56963</v>
      </c>
      <c r="AX12" s="112">
        <v>83961</v>
      </c>
      <c r="AY12" s="112">
        <v>140346</v>
      </c>
      <c r="AZ12" s="112">
        <v>76784</v>
      </c>
      <c r="BA12" s="112">
        <v>60620</v>
      </c>
      <c r="BB12" s="112">
        <v>70135</v>
      </c>
      <c r="BC12" s="112">
        <v>116953</v>
      </c>
      <c r="BD12" s="112">
        <v>71589</v>
      </c>
      <c r="BE12" s="112">
        <v>99467</v>
      </c>
      <c r="BF12" s="112">
        <v>190286</v>
      </c>
      <c r="BG12" s="112">
        <v>108331</v>
      </c>
      <c r="BH12" s="112">
        <v>127293</v>
      </c>
      <c r="BI12" s="112">
        <v>64840</v>
      </c>
      <c r="BJ12" s="112">
        <v>57609</v>
      </c>
      <c r="BK12" s="112">
        <v>73076</v>
      </c>
      <c r="BL12" s="112">
        <v>94148</v>
      </c>
      <c r="BM12" s="112">
        <v>66951</v>
      </c>
      <c r="BN12" s="112">
        <v>46406</v>
      </c>
      <c r="BO12" s="112">
        <v>40279</v>
      </c>
      <c r="BP12" s="112">
        <v>83187</v>
      </c>
      <c r="BQ12" s="112">
        <v>66153</v>
      </c>
      <c r="BR12" s="112">
        <v>98054</v>
      </c>
      <c r="BS12" s="112">
        <v>71434</v>
      </c>
      <c r="BT12" s="112">
        <v>143128</v>
      </c>
      <c r="BU12" s="112">
        <v>71038</v>
      </c>
      <c r="BV12" s="112">
        <v>19267</v>
      </c>
      <c r="BW12" s="112">
        <v>77971</v>
      </c>
      <c r="BX12" s="112">
        <v>121210</v>
      </c>
      <c r="BY12" s="112">
        <v>73201</v>
      </c>
      <c r="BZ12" s="112">
        <v>62098</v>
      </c>
      <c r="CA12" s="112">
        <v>126631</v>
      </c>
      <c r="CB12" s="112">
        <v>175455</v>
      </c>
      <c r="CC12" s="112">
        <v>93422</v>
      </c>
      <c r="CD12" s="112">
        <v>63642</v>
      </c>
      <c r="CE12" s="112">
        <v>65882</v>
      </c>
      <c r="CF12" s="112">
        <v>154303</v>
      </c>
      <c r="CG12" s="120">
        <v>59420</v>
      </c>
      <c r="CH12" s="112">
        <v>26362</v>
      </c>
      <c r="CI12" s="112">
        <v>104087</v>
      </c>
      <c r="CJ12" s="112">
        <v>95609</v>
      </c>
      <c r="CK12" s="112">
        <v>55876</v>
      </c>
      <c r="CL12" s="112">
        <v>186914</v>
      </c>
      <c r="CM12" s="112">
        <v>71578</v>
      </c>
      <c r="CN12" s="112">
        <v>98584</v>
      </c>
      <c r="CO12" s="112">
        <v>87306</v>
      </c>
      <c r="CP12" s="112">
        <v>89916</v>
      </c>
      <c r="CQ12" s="112">
        <v>118851</v>
      </c>
      <c r="CR12" s="112">
        <v>141154</v>
      </c>
      <c r="CS12" s="112">
        <v>70525</v>
      </c>
      <c r="CT12" s="112">
        <v>118138</v>
      </c>
      <c r="CU12" s="112">
        <v>74201</v>
      </c>
      <c r="CV12" s="112">
        <v>29770</v>
      </c>
      <c r="CW12" s="112">
        <v>30431</v>
      </c>
      <c r="CX12" s="112">
        <v>74390</v>
      </c>
      <c r="CY12" s="112">
        <v>70060</v>
      </c>
      <c r="CZ12" s="112">
        <v>94989</v>
      </c>
      <c r="DA12" s="112">
        <v>72947</v>
      </c>
      <c r="DB12" s="112">
        <v>57707</v>
      </c>
      <c r="DC12" s="112">
        <v>38449</v>
      </c>
      <c r="DD12" s="112">
        <v>51609</v>
      </c>
      <c r="DE12" s="112">
        <v>24057</v>
      </c>
      <c r="DF12" s="112">
        <v>23409</v>
      </c>
      <c r="DG12" s="112">
        <v>108370</v>
      </c>
      <c r="DH12" s="112">
        <v>34957</v>
      </c>
      <c r="DI12" s="112">
        <v>60163</v>
      </c>
      <c r="DJ12" s="112">
        <v>22804</v>
      </c>
      <c r="DK12" s="112">
        <v>24554</v>
      </c>
      <c r="DL12" s="112">
        <v>38869</v>
      </c>
      <c r="DM12" s="112">
        <v>18899</v>
      </c>
      <c r="DN12" s="112">
        <v>24220</v>
      </c>
      <c r="DO12" s="112">
        <v>37314</v>
      </c>
      <c r="DP12" s="112">
        <v>34445</v>
      </c>
      <c r="DQ12" s="112">
        <v>19629</v>
      </c>
      <c r="DR12" s="112">
        <v>25876</v>
      </c>
      <c r="DS12" s="112">
        <v>31485</v>
      </c>
      <c r="DT12" s="112">
        <v>36351</v>
      </c>
      <c r="DU12" s="112">
        <v>25801</v>
      </c>
      <c r="DV12" s="112">
        <v>50504</v>
      </c>
      <c r="DW12" s="112">
        <v>42245</v>
      </c>
      <c r="DX12" s="112">
        <v>21570</v>
      </c>
      <c r="DY12" s="112">
        <v>61796</v>
      </c>
      <c r="DZ12" s="112">
        <v>27047</v>
      </c>
      <c r="EA12" s="112">
        <v>37556</v>
      </c>
      <c r="EB12" s="112">
        <v>47224</v>
      </c>
      <c r="EC12" s="112">
        <v>30177</v>
      </c>
      <c r="ED12" s="112">
        <v>16720</v>
      </c>
      <c r="EE12" s="112">
        <v>19811</v>
      </c>
      <c r="EF12" s="112">
        <v>66630</v>
      </c>
      <c r="EG12" s="112">
        <v>38346</v>
      </c>
      <c r="EH12" s="112">
        <v>42945</v>
      </c>
      <c r="EI12" s="112">
        <v>36377</v>
      </c>
      <c r="EJ12" s="112">
        <v>46459</v>
      </c>
      <c r="EK12" s="112">
        <v>63426</v>
      </c>
      <c r="EL12" s="112">
        <v>36076</v>
      </c>
      <c r="EM12" s="112">
        <v>37165</v>
      </c>
      <c r="EN12" s="112">
        <v>37617</v>
      </c>
      <c r="EO12" s="112">
        <v>72817</v>
      </c>
      <c r="EP12" s="112">
        <v>51927</v>
      </c>
      <c r="EQ12" s="112">
        <v>71214</v>
      </c>
      <c r="ER12" s="112">
        <v>57715</v>
      </c>
      <c r="ES12" s="112">
        <v>44279</v>
      </c>
      <c r="ET12" s="112">
        <v>32506</v>
      </c>
      <c r="EU12" s="112">
        <v>58297</v>
      </c>
      <c r="EV12" s="112">
        <v>82492</v>
      </c>
      <c r="EW12" s="112">
        <v>83189</v>
      </c>
      <c r="EX12" s="112">
        <v>27837</v>
      </c>
      <c r="EY12" s="112">
        <v>35127</v>
      </c>
      <c r="EZ12" s="112">
        <v>36069</v>
      </c>
      <c r="FA12" s="112">
        <v>28978</v>
      </c>
      <c r="FB12" s="112">
        <v>59496</v>
      </c>
      <c r="FC12" s="112">
        <v>83665</v>
      </c>
      <c r="FD12" s="112">
        <v>85155</v>
      </c>
      <c r="FE12" s="112">
        <v>70920</v>
      </c>
      <c r="FF12" s="112">
        <v>70355</v>
      </c>
      <c r="FG12" s="112">
        <v>39706</v>
      </c>
      <c r="FH12" s="112">
        <v>113045</v>
      </c>
      <c r="FI12" s="112">
        <v>113259</v>
      </c>
      <c r="FJ12" s="112">
        <v>101624</v>
      </c>
      <c r="FK12" s="112">
        <v>93010</v>
      </c>
      <c r="FL12" s="112">
        <v>74606</v>
      </c>
      <c r="FM12" s="112">
        <v>68459</v>
      </c>
      <c r="FN12" s="112">
        <v>32661</v>
      </c>
      <c r="FO12" s="112">
        <v>82477</v>
      </c>
      <c r="FP12" s="112">
        <v>102156</v>
      </c>
      <c r="FQ12" s="112">
        <v>84035</v>
      </c>
      <c r="FR12" s="112">
        <v>75908</v>
      </c>
      <c r="FS12" s="112">
        <v>95599</v>
      </c>
      <c r="FT12" s="112">
        <v>64806</v>
      </c>
      <c r="FU12" s="112">
        <v>102165</v>
      </c>
      <c r="FV12" s="112">
        <v>53931</v>
      </c>
      <c r="FW12" s="112">
        <v>93890</v>
      </c>
      <c r="FX12" s="112">
        <v>30198</v>
      </c>
      <c r="FY12" s="112">
        <v>93223</v>
      </c>
      <c r="FZ12" s="112">
        <v>32989</v>
      </c>
      <c r="GA12" s="112">
        <v>103342</v>
      </c>
      <c r="GB12" s="112">
        <v>125409</v>
      </c>
      <c r="GC12" s="112">
        <v>126941</v>
      </c>
      <c r="GD12" s="112">
        <v>127371</v>
      </c>
      <c r="GE12" s="112">
        <v>65957</v>
      </c>
      <c r="GF12" s="112">
        <v>49610</v>
      </c>
      <c r="GG12" s="112">
        <v>52241</v>
      </c>
      <c r="GH12" s="112">
        <v>103522</v>
      </c>
      <c r="GI12" s="112">
        <v>98773</v>
      </c>
      <c r="GJ12" s="112">
        <v>93937</v>
      </c>
      <c r="GK12" s="112">
        <v>38121</v>
      </c>
      <c r="GL12" s="112">
        <v>50305</v>
      </c>
      <c r="GM12" s="112">
        <v>74168</v>
      </c>
      <c r="GN12" s="112">
        <v>58426</v>
      </c>
      <c r="GO12" s="112">
        <v>109021</v>
      </c>
      <c r="GP12" s="112">
        <v>103532</v>
      </c>
      <c r="GQ12" s="112">
        <v>40799</v>
      </c>
      <c r="GR12" s="112">
        <v>58961</v>
      </c>
      <c r="GS12" s="112">
        <v>31543</v>
      </c>
      <c r="GT12" s="112">
        <v>61059</v>
      </c>
      <c r="GU12" s="112">
        <v>36329</v>
      </c>
      <c r="GV12" s="112">
        <v>39688</v>
      </c>
      <c r="GW12" s="112">
        <v>25334</v>
      </c>
      <c r="GX12" s="120">
        <v>10563</v>
      </c>
    </row>
    <row r="13" spans="1:256" s="121" customFormat="1" ht="30">
      <c r="A13" s="112" t="s">
        <v>73</v>
      </c>
      <c r="B13" s="112">
        <v>16592</v>
      </c>
      <c r="C13" s="112">
        <v>50761</v>
      </c>
      <c r="D13" s="112">
        <v>38501</v>
      </c>
      <c r="E13" s="112">
        <v>47092</v>
      </c>
      <c r="F13" s="112">
        <v>20055</v>
      </c>
      <c r="G13" s="112">
        <v>42800</v>
      </c>
      <c r="H13" s="112">
        <v>26261</v>
      </c>
      <c r="I13" s="112">
        <v>86677</v>
      </c>
      <c r="J13" s="112">
        <v>32815</v>
      </c>
      <c r="K13" s="112">
        <v>32169</v>
      </c>
      <c r="L13" s="112">
        <v>38942</v>
      </c>
      <c r="M13" s="118">
        <v>40495</v>
      </c>
      <c r="N13" s="112">
        <v>53476</v>
      </c>
      <c r="O13" s="112">
        <v>59343</v>
      </c>
      <c r="P13" s="112">
        <v>39684</v>
      </c>
      <c r="Q13" s="112">
        <v>32210</v>
      </c>
      <c r="R13" s="112">
        <v>69160</v>
      </c>
      <c r="S13" s="119">
        <v>37272</v>
      </c>
      <c r="T13" s="112">
        <v>49627</v>
      </c>
      <c r="U13" s="112">
        <v>77290</v>
      </c>
      <c r="V13" s="112">
        <v>41129</v>
      </c>
      <c r="W13" s="112">
        <v>19900</v>
      </c>
      <c r="X13" s="112">
        <v>76707</v>
      </c>
      <c r="Y13" s="112">
        <v>49005</v>
      </c>
      <c r="Z13" s="112">
        <v>37691</v>
      </c>
      <c r="AA13" s="112">
        <v>45037</v>
      </c>
      <c r="AB13" s="112">
        <v>39806</v>
      </c>
      <c r="AC13" s="112">
        <v>71519</v>
      </c>
      <c r="AD13" s="112">
        <v>94895</v>
      </c>
      <c r="AE13" s="112">
        <v>62343</v>
      </c>
      <c r="AF13" s="112">
        <v>66465</v>
      </c>
      <c r="AG13" s="112">
        <v>41162</v>
      </c>
      <c r="AH13" s="112">
        <v>40116</v>
      </c>
      <c r="AI13" s="112">
        <v>73610</v>
      </c>
      <c r="AJ13" s="112">
        <v>23434</v>
      </c>
      <c r="AK13" s="112">
        <v>42923</v>
      </c>
      <c r="AL13" s="112">
        <v>50658</v>
      </c>
      <c r="AM13" s="112">
        <v>58385</v>
      </c>
      <c r="AN13" s="112">
        <v>32662</v>
      </c>
      <c r="AO13" s="112">
        <v>28926</v>
      </c>
      <c r="AP13" s="112">
        <v>129037</v>
      </c>
      <c r="AQ13" s="112">
        <v>107691</v>
      </c>
      <c r="AR13" s="112">
        <v>72336</v>
      </c>
      <c r="AS13" s="112">
        <v>155080</v>
      </c>
      <c r="AT13" s="112">
        <v>48733</v>
      </c>
      <c r="AU13" s="112">
        <v>60249</v>
      </c>
      <c r="AV13" s="112">
        <v>131575</v>
      </c>
      <c r="AW13" s="112">
        <v>37979</v>
      </c>
      <c r="AX13" s="112">
        <v>82479</v>
      </c>
      <c r="AY13" s="112">
        <v>160962</v>
      </c>
      <c r="AZ13" s="112">
        <v>121031</v>
      </c>
      <c r="BA13" s="112">
        <v>88849</v>
      </c>
      <c r="BB13" s="112">
        <v>65513</v>
      </c>
      <c r="BC13" s="112">
        <v>62090</v>
      </c>
      <c r="BD13" s="112">
        <v>73872</v>
      </c>
      <c r="BE13" s="112">
        <v>58439</v>
      </c>
      <c r="BF13" s="112">
        <v>33035</v>
      </c>
      <c r="BG13" s="112">
        <v>60191</v>
      </c>
      <c r="BH13" s="112">
        <v>59381</v>
      </c>
      <c r="BI13" s="112">
        <v>21035</v>
      </c>
      <c r="BJ13" s="112">
        <v>131600</v>
      </c>
      <c r="BK13" s="112">
        <v>51858</v>
      </c>
      <c r="BL13" s="112">
        <v>62469</v>
      </c>
      <c r="BM13" s="112">
        <v>85160</v>
      </c>
      <c r="BN13" s="112">
        <v>98388</v>
      </c>
      <c r="BO13" s="112">
        <v>119184</v>
      </c>
      <c r="BP13" s="112">
        <v>97477</v>
      </c>
      <c r="BQ13" s="112">
        <v>80024</v>
      </c>
      <c r="BR13" s="112">
        <v>52395</v>
      </c>
      <c r="BS13" s="112">
        <v>121100</v>
      </c>
      <c r="BT13" s="112">
        <v>84605</v>
      </c>
      <c r="BU13" s="112">
        <v>61892</v>
      </c>
      <c r="BV13" s="112">
        <v>57083</v>
      </c>
      <c r="BW13" s="112">
        <v>35036</v>
      </c>
      <c r="BX13" s="112">
        <v>316266</v>
      </c>
      <c r="BY13" s="112">
        <v>76778</v>
      </c>
      <c r="BZ13" s="112">
        <v>20456</v>
      </c>
      <c r="CA13" s="112">
        <v>69962</v>
      </c>
      <c r="CB13" s="112">
        <v>28828</v>
      </c>
      <c r="CC13" s="112">
        <v>42304</v>
      </c>
      <c r="CD13" s="112">
        <v>38099</v>
      </c>
      <c r="CE13" s="112">
        <v>41503</v>
      </c>
      <c r="CF13" s="112">
        <v>78313</v>
      </c>
      <c r="CG13" s="120">
        <v>24293</v>
      </c>
      <c r="CH13" s="112">
        <v>28174</v>
      </c>
      <c r="CI13" s="112">
        <v>73060</v>
      </c>
      <c r="CJ13" s="112">
        <v>28765</v>
      </c>
      <c r="CK13" s="112">
        <v>25916</v>
      </c>
      <c r="CL13" s="112">
        <v>53631</v>
      </c>
      <c r="CM13" s="112">
        <v>63954</v>
      </c>
      <c r="CN13" s="112">
        <v>56873</v>
      </c>
      <c r="CO13" s="112">
        <v>45405</v>
      </c>
      <c r="CP13" s="112">
        <v>64428</v>
      </c>
      <c r="CQ13" s="112">
        <v>38832</v>
      </c>
      <c r="CR13" s="112">
        <v>39772</v>
      </c>
      <c r="CS13" s="112">
        <v>80485</v>
      </c>
      <c r="CT13" s="112">
        <v>100460</v>
      </c>
      <c r="CU13" s="112">
        <v>21392</v>
      </c>
      <c r="CV13" s="112">
        <v>38436</v>
      </c>
      <c r="CW13" s="112">
        <v>21413</v>
      </c>
      <c r="CX13" s="112">
        <v>33575</v>
      </c>
      <c r="CY13" s="112">
        <v>37673</v>
      </c>
      <c r="CZ13" s="112">
        <v>42069</v>
      </c>
      <c r="DA13" s="112">
        <v>26684</v>
      </c>
      <c r="DB13" s="112">
        <v>15109</v>
      </c>
      <c r="DC13" s="112">
        <v>17331</v>
      </c>
      <c r="DD13" s="112">
        <v>62179</v>
      </c>
      <c r="DE13" s="112">
        <v>34652</v>
      </c>
      <c r="DF13" s="112">
        <v>31830</v>
      </c>
      <c r="DG13" s="112">
        <v>18035</v>
      </c>
      <c r="DH13" s="112">
        <v>39300</v>
      </c>
      <c r="DI13" s="112">
        <v>28761</v>
      </c>
      <c r="DJ13" s="112">
        <v>37992</v>
      </c>
      <c r="DK13" s="112">
        <v>30311</v>
      </c>
      <c r="DL13" s="112">
        <v>26962</v>
      </c>
      <c r="DM13" s="112">
        <v>112311</v>
      </c>
      <c r="DN13" s="112">
        <v>44163</v>
      </c>
      <c r="DO13" s="112">
        <v>49902</v>
      </c>
      <c r="DP13" s="112">
        <v>49473</v>
      </c>
      <c r="DQ13" s="112">
        <v>30110</v>
      </c>
      <c r="DR13" s="112">
        <v>82717</v>
      </c>
      <c r="DS13" s="112">
        <v>23943</v>
      </c>
      <c r="DT13" s="112">
        <v>21499</v>
      </c>
      <c r="DU13" s="112">
        <v>33181</v>
      </c>
      <c r="DV13" s="112">
        <v>80847</v>
      </c>
      <c r="DW13" s="112">
        <v>38790</v>
      </c>
      <c r="DX13" s="112">
        <v>93772</v>
      </c>
      <c r="DY13" s="112">
        <v>46924</v>
      </c>
      <c r="DZ13" s="112">
        <v>110939</v>
      </c>
      <c r="EA13" s="112">
        <v>65430</v>
      </c>
      <c r="EB13" s="112">
        <v>34483</v>
      </c>
      <c r="EC13" s="112">
        <v>43221</v>
      </c>
      <c r="ED13" s="112">
        <v>69610</v>
      </c>
      <c r="EE13" s="112">
        <v>65228</v>
      </c>
      <c r="EF13" s="112">
        <v>121379</v>
      </c>
      <c r="EG13" s="112">
        <v>30229</v>
      </c>
      <c r="EH13" s="112">
        <v>26323</v>
      </c>
      <c r="EI13" s="112">
        <v>57895</v>
      </c>
      <c r="EJ13" s="112">
        <v>65799</v>
      </c>
      <c r="EK13" s="112">
        <v>105848</v>
      </c>
      <c r="EL13" s="112">
        <v>87090</v>
      </c>
      <c r="EM13" s="112">
        <v>102629</v>
      </c>
      <c r="EN13" s="112">
        <v>73492</v>
      </c>
      <c r="EO13" s="112">
        <v>59698</v>
      </c>
      <c r="EP13" s="112">
        <v>97789</v>
      </c>
      <c r="EQ13" s="112">
        <v>55196</v>
      </c>
      <c r="ER13" s="112">
        <v>78303</v>
      </c>
      <c r="ES13" s="112">
        <v>74440</v>
      </c>
      <c r="ET13" s="112">
        <v>97441</v>
      </c>
      <c r="EU13" s="112">
        <v>104560</v>
      </c>
      <c r="EV13" s="112">
        <v>101564</v>
      </c>
      <c r="EW13" s="112">
        <v>169437</v>
      </c>
      <c r="EX13" s="112">
        <v>87076</v>
      </c>
      <c r="EY13" s="112">
        <v>114278</v>
      </c>
      <c r="EZ13" s="112">
        <v>190800</v>
      </c>
      <c r="FA13" s="112">
        <v>83448</v>
      </c>
      <c r="FB13" s="112">
        <v>80967</v>
      </c>
      <c r="FC13" s="112">
        <v>42160</v>
      </c>
      <c r="FD13" s="112">
        <v>81632</v>
      </c>
      <c r="FE13" s="112">
        <v>192986</v>
      </c>
      <c r="FF13" s="112">
        <v>67136</v>
      </c>
      <c r="FG13" s="112">
        <v>59321</v>
      </c>
      <c r="FH13" s="112">
        <v>137880</v>
      </c>
      <c r="FI13" s="112">
        <v>58966</v>
      </c>
      <c r="FJ13" s="112">
        <v>37733</v>
      </c>
      <c r="FK13" s="112">
        <v>212808</v>
      </c>
      <c r="FL13" s="112">
        <v>137861</v>
      </c>
      <c r="FM13" s="112">
        <v>76416</v>
      </c>
      <c r="FN13" s="112">
        <v>68219</v>
      </c>
      <c r="FO13" s="112">
        <v>121582</v>
      </c>
      <c r="FP13" s="112">
        <v>87880</v>
      </c>
      <c r="FQ13" s="112">
        <v>88187</v>
      </c>
      <c r="FR13" s="112">
        <v>177481</v>
      </c>
      <c r="FS13" s="112">
        <v>80021</v>
      </c>
      <c r="FT13" s="112">
        <v>118985</v>
      </c>
      <c r="FU13" s="112">
        <v>147885</v>
      </c>
      <c r="FV13" s="112">
        <v>104024</v>
      </c>
      <c r="FW13" s="112">
        <v>92030</v>
      </c>
      <c r="FX13" s="112">
        <v>54270</v>
      </c>
      <c r="FY13" s="112">
        <v>51111</v>
      </c>
      <c r="FZ13" s="112">
        <v>266184</v>
      </c>
      <c r="GA13" s="112">
        <v>75754</v>
      </c>
      <c r="GB13" s="112">
        <v>119960</v>
      </c>
      <c r="GC13" s="112">
        <v>229752</v>
      </c>
      <c r="GD13" s="112">
        <v>46617</v>
      </c>
      <c r="GE13" s="112">
        <v>56470</v>
      </c>
      <c r="GF13" s="112">
        <v>134344</v>
      </c>
      <c r="GG13" s="112">
        <v>78166</v>
      </c>
      <c r="GH13" s="112">
        <v>67531</v>
      </c>
      <c r="GI13" s="112">
        <v>104667</v>
      </c>
      <c r="GJ13" s="112">
        <v>98310</v>
      </c>
      <c r="GK13" s="112">
        <v>85874</v>
      </c>
      <c r="GL13" s="112">
        <v>38310</v>
      </c>
      <c r="GM13" s="112">
        <v>94147</v>
      </c>
      <c r="GN13" s="112">
        <v>145046</v>
      </c>
      <c r="GO13" s="112">
        <v>21356</v>
      </c>
      <c r="GP13" s="112">
        <v>332313</v>
      </c>
      <c r="GQ13" s="112">
        <v>37377</v>
      </c>
      <c r="GR13" s="112">
        <v>147556</v>
      </c>
      <c r="GS13" s="112">
        <v>51865</v>
      </c>
      <c r="GT13" s="112">
        <v>117137</v>
      </c>
      <c r="GU13" s="112">
        <v>119203</v>
      </c>
      <c r="GV13" s="112">
        <v>39247</v>
      </c>
      <c r="GW13" s="112">
        <v>32395</v>
      </c>
      <c r="GX13" s="120">
        <v>32232</v>
      </c>
    </row>
    <row r="14" spans="1:256" s="121" customFormat="1" ht="45">
      <c r="A14" s="112" t="s">
        <v>227</v>
      </c>
      <c r="B14" s="112">
        <v>34077</v>
      </c>
      <c r="C14" s="112">
        <v>29748</v>
      </c>
      <c r="D14" s="112">
        <v>27378</v>
      </c>
      <c r="E14" s="112">
        <v>31611</v>
      </c>
      <c r="F14" s="112">
        <v>50782</v>
      </c>
      <c r="G14" s="112">
        <v>49260</v>
      </c>
      <c r="H14" s="112">
        <v>45509</v>
      </c>
      <c r="I14" s="112">
        <v>72185</v>
      </c>
      <c r="J14" s="112">
        <v>38733</v>
      </c>
      <c r="K14" s="112">
        <v>51015</v>
      </c>
      <c r="L14" s="112">
        <v>51657</v>
      </c>
      <c r="M14" s="118">
        <v>27434</v>
      </c>
      <c r="N14" s="112">
        <v>35354</v>
      </c>
      <c r="O14" s="112">
        <v>35170</v>
      </c>
      <c r="P14" s="112">
        <v>52691</v>
      </c>
      <c r="Q14" s="112">
        <v>31584</v>
      </c>
      <c r="R14" s="112">
        <v>43205</v>
      </c>
      <c r="S14" s="119">
        <v>48808</v>
      </c>
      <c r="T14" s="112">
        <v>48767</v>
      </c>
      <c r="U14" s="112">
        <v>56477</v>
      </c>
      <c r="V14" s="112">
        <v>99181</v>
      </c>
      <c r="W14" s="112">
        <v>54036</v>
      </c>
      <c r="X14" s="112">
        <v>62881</v>
      </c>
      <c r="Y14" s="112">
        <v>33693</v>
      </c>
      <c r="Z14" s="112">
        <v>40232</v>
      </c>
      <c r="AA14" s="112">
        <v>35414</v>
      </c>
      <c r="AB14" s="112">
        <v>51936</v>
      </c>
      <c r="AC14" s="112">
        <v>33066</v>
      </c>
      <c r="AD14" s="112">
        <v>58564</v>
      </c>
      <c r="AE14" s="112">
        <v>51016</v>
      </c>
      <c r="AF14" s="112">
        <v>76079</v>
      </c>
      <c r="AG14" s="112">
        <v>42284</v>
      </c>
      <c r="AH14" s="112">
        <v>66437</v>
      </c>
      <c r="AI14" s="112">
        <v>62450</v>
      </c>
      <c r="AJ14" s="112">
        <v>50961</v>
      </c>
      <c r="AK14" s="112">
        <v>56015</v>
      </c>
      <c r="AL14" s="112">
        <v>36689</v>
      </c>
      <c r="AM14" s="112">
        <v>63287</v>
      </c>
      <c r="AN14" s="112">
        <v>77829</v>
      </c>
      <c r="AO14" s="112">
        <v>74461</v>
      </c>
      <c r="AP14" s="112">
        <v>68933</v>
      </c>
      <c r="AQ14" s="112">
        <v>43914</v>
      </c>
      <c r="AR14" s="112">
        <v>45363</v>
      </c>
      <c r="AS14" s="112">
        <v>82885</v>
      </c>
      <c r="AT14" s="112">
        <v>53743</v>
      </c>
      <c r="AU14" s="112">
        <v>112478</v>
      </c>
      <c r="AV14" s="112">
        <v>52557</v>
      </c>
      <c r="AW14" s="112">
        <v>66981</v>
      </c>
      <c r="AX14" s="112">
        <v>40938</v>
      </c>
      <c r="AY14" s="112">
        <v>56558</v>
      </c>
      <c r="AZ14" s="112">
        <v>57120</v>
      </c>
      <c r="BA14" s="112">
        <v>134865</v>
      </c>
      <c r="BB14" s="112">
        <v>67442</v>
      </c>
      <c r="BC14" s="112">
        <v>55152</v>
      </c>
      <c r="BD14" s="112">
        <v>51259</v>
      </c>
      <c r="BE14" s="112">
        <v>40746</v>
      </c>
      <c r="BF14" s="112">
        <v>62624</v>
      </c>
      <c r="BG14" s="112">
        <v>43513</v>
      </c>
      <c r="BH14" s="112">
        <v>98073</v>
      </c>
      <c r="BI14" s="112">
        <v>46342</v>
      </c>
      <c r="BJ14" s="112">
        <v>37761</v>
      </c>
      <c r="BK14" s="112">
        <v>64583</v>
      </c>
      <c r="BL14" s="112">
        <v>43328</v>
      </c>
      <c r="BM14" s="112">
        <v>42326</v>
      </c>
      <c r="BN14" s="112">
        <v>49146</v>
      </c>
      <c r="BO14" s="112">
        <v>51709</v>
      </c>
      <c r="BP14" s="112">
        <v>43318</v>
      </c>
      <c r="BQ14" s="112">
        <v>43694</v>
      </c>
      <c r="BR14" s="112">
        <v>54913</v>
      </c>
      <c r="BS14" s="112">
        <v>47502</v>
      </c>
      <c r="BT14" s="112">
        <v>34758</v>
      </c>
      <c r="BU14" s="112">
        <v>52703</v>
      </c>
      <c r="BV14" s="112">
        <v>38778</v>
      </c>
      <c r="BW14" s="112">
        <v>49042</v>
      </c>
      <c r="BX14" s="112">
        <v>107916</v>
      </c>
      <c r="BY14" s="112">
        <v>20696</v>
      </c>
      <c r="BZ14" s="112">
        <v>47483</v>
      </c>
      <c r="CA14" s="112">
        <v>38798</v>
      </c>
      <c r="CB14" s="112">
        <v>77930</v>
      </c>
      <c r="CC14" s="112">
        <v>96935</v>
      </c>
      <c r="CD14" s="112">
        <v>53754</v>
      </c>
      <c r="CE14" s="112">
        <v>38943</v>
      </c>
      <c r="CF14" s="112">
        <v>32989</v>
      </c>
      <c r="CG14" s="120">
        <v>28580</v>
      </c>
      <c r="CH14" s="112">
        <v>23913</v>
      </c>
      <c r="CI14" s="112">
        <v>33186</v>
      </c>
      <c r="CJ14" s="112">
        <v>49267</v>
      </c>
      <c r="CK14" s="112">
        <v>40671</v>
      </c>
      <c r="CL14" s="112">
        <v>50288</v>
      </c>
      <c r="CM14" s="112">
        <v>24531</v>
      </c>
      <c r="CN14" s="112">
        <v>32932</v>
      </c>
      <c r="CO14" s="112">
        <v>30841</v>
      </c>
      <c r="CP14" s="112">
        <v>29126</v>
      </c>
      <c r="CQ14" s="112">
        <v>55648</v>
      </c>
      <c r="CR14" s="112">
        <v>42912</v>
      </c>
      <c r="CS14" s="112">
        <v>129324</v>
      </c>
      <c r="CT14" s="112">
        <v>17351</v>
      </c>
      <c r="CU14" s="112">
        <v>34243</v>
      </c>
      <c r="CV14" s="112">
        <v>48519</v>
      </c>
      <c r="CW14" s="112">
        <v>38628</v>
      </c>
      <c r="CX14" s="112">
        <v>36345</v>
      </c>
      <c r="CY14" s="112">
        <v>20126</v>
      </c>
      <c r="CZ14" s="112">
        <v>39746</v>
      </c>
      <c r="DA14" s="112">
        <v>22734</v>
      </c>
      <c r="DB14" s="112">
        <v>31050</v>
      </c>
      <c r="DC14" s="112">
        <v>12583</v>
      </c>
      <c r="DD14" s="112">
        <v>53753</v>
      </c>
      <c r="DE14" s="112">
        <v>11546</v>
      </c>
      <c r="DF14" s="112">
        <v>15740</v>
      </c>
      <c r="DG14" s="112">
        <v>146585</v>
      </c>
      <c r="DH14" s="112">
        <v>129993</v>
      </c>
      <c r="DI14" s="112">
        <v>29017</v>
      </c>
      <c r="DJ14" s="112">
        <v>24554</v>
      </c>
      <c r="DK14" s="112">
        <v>38638</v>
      </c>
      <c r="DL14" s="112">
        <v>25374</v>
      </c>
      <c r="DM14" s="112">
        <v>22946</v>
      </c>
      <c r="DN14" s="112">
        <v>31488</v>
      </c>
      <c r="DO14" s="112">
        <v>30564</v>
      </c>
      <c r="DP14" s="112">
        <v>21152</v>
      </c>
      <c r="DQ14" s="112">
        <v>11844</v>
      </c>
      <c r="DR14" s="112">
        <v>18852</v>
      </c>
      <c r="DS14" s="112">
        <v>17862</v>
      </c>
      <c r="DT14" s="112">
        <v>23007</v>
      </c>
      <c r="DU14" s="112">
        <v>28378</v>
      </c>
      <c r="DV14" s="112">
        <v>44611</v>
      </c>
      <c r="DW14" s="112">
        <v>30407</v>
      </c>
      <c r="DX14" s="112">
        <v>34401</v>
      </c>
      <c r="DY14" s="112">
        <v>29564</v>
      </c>
      <c r="DZ14" s="112">
        <v>24408</v>
      </c>
      <c r="EA14" s="112">
        <v>11464</v>
      </c>
      <c r="EB14" s="112">
        <v>21734</v>
      </c>
      <c r="EC14" s="112">
        <v>28577</v>
      </c>
      <c r="ED14" s="112">
        <v>24761</v>
      </c>
      <c r="EE14" s="112">
        <v>15380</v>
      </c>
      <c r="EF14" s="112">
        <v>32343</v>
      </c>
      <c r="EG14" s="112">
        <v>65908</v>
      </c>
      <c r="EH14" s="112">
        <v>35874</v>
      </c>
      <c r="EI14" s="112">
        <v>33585</v>
      </c>
      <c r="EJ14" s="112">
        <v>21164</v>
      </c>
      <c r="EK14" s="112">
        <v>28137</v>
      </c>
      <c r="EL14" s="112">
        <v>28873</v>
      </c>
      <c r="EM14" s="112">
        <v>43773</v>
      </c>
      <c r="EN14" s="112">
        <v>45768</v>
      </c>
      <c r="EO14" s="112">
        <v>21295</v>
      </c>
      <c r="EP14" s="112">
        <v>7394</v>
      </c>
      <c r="EQ14" s="112">
        <v>52263</v>
      </c>
      <c r="ER14" s="112">
        <v>22697</v>
      </c>
      <c r="ES14" s="112">
        <v>26856</v>
      </c>
      <c r="ET14" s="112">
        <v>41937</v>
      </c>
      <c r="EU14" s="112">
        <v>38799</v>
      </c>
      <c r="EV14" s="112">
        <v>24411</v>
      </c>
      <c r="EW14" s="112">
        <v>33652</v>
      </c>
      <c r="EX14" s="112">
        <v>26446</v>
      </c>
      <c r="EY14" s="112">
        <v>25370</v>
      </c>
      <c r="EZ14" s="112">
        <v>30426</v>
      </c>
      <c r="FA14" s="112">
        <v>16335</v>
      </c>
      <c r="FB14" s="112">
        <v>13499</v>
      </c>
      <c r="FC14" s="112">
        <v>50607</v>
      </c>
      <c r="FD14" s="112">
        <v>34840</v>
      </c>
      <c r="FE14" s="112">
        <v>15835</v>
      </c>
      <c r="FF14" s="112">
        <v>31303</v>
      </c>
      <c r="FG14" s="112">
        <v>32893</v>
      </c>
      <c r="FH14" s="112">
        <v>49011</v>
      </c>
      <c r="FI14" s="112">
        <v>35408</v>
      </c>
      <c r="FJ14" s="112">
        <v>20931</v>
      </c>
      <c r="FK14" s="112">
        <v>24771</v>
      </c>
      <c r="FL14" s="112">
        <v>55649</v>
      </c>
      <c r="FM14" s="112">
        <v>11111</v>
      </c>
      <c r="FN14" s="112">
        <v>15563</v>
      </c>
      <c r="FO14" s="112">
        <v>54346</v>
      </c>
      <c r="FP14" s="112">
        <v>14721</v>
      </c>
      <c r="FQ14" s="112">
        <v>14201</v>
      </c>
      <c r="FR14" s="112">
        <v>44965</v>
      </c>
      <c r="FS14" s="112">
        <v>48952</v>
      </c>
      <c r="FT14" s="112">
        <v>31276</v>
      </c>
      <c r="FU14" s="112">
        <v>28137</v>
      </c>
      <c r="FV14" s="112">
        <v>37087</v>
      </c>
      <c r="FW14" s="112">
        <v>27982</v>
      </c>
      <c r="FX14" s="112">
        <v>22259</v>
      </c>
      <c r="FY14" s="112">
        <v>21330</v>
      </c>
      <c r="FZ14" s="112">
        <v>15478</v>
      </c>
      <c r="GA14" s="112">
        <v>16394</v>
      </c>
      <c r="GB14" s="112">
        <v>8732</v>
      </c>
      <c r="GC14" s="112">
        <v>45088</v>
      </c>
      <c r="GD14" s="112">
        <v>23579</v>
      </c>
      <c r="GE14" s="112">
        <v>28466</v>
      </c>
      <c r="GF14" s="112">
        <v>22980</v>
      </c>
      <c r="GG14" s="112">
        <v>28939</v>
      </c>
      <c r="GH14" s="112">
        <v>27558</v>
      </c>
      <c r="GI14" s="112">
        <v>36694</v>
      </c>
      <c r="GJ14" s="112">
        <v>17274</v>
      </c>
      <c r="GK14" s="112">
        <v>14366</v>
      </c>
      <c r="GL14" s="112">
        <v>40449</v>
      </c>
      <c r="GM14" s="112">
        <v>25181</v>
      </c>
      <c r="GN14" s="112">
        <v>41685</v>
      </c>
      <c r="GO14" s="112">
        <v>15079</v>
      </c>
      <c r="GP14" s="112">
        <v>26794</v>
      </c>
      <c r="GQ14" s="112">
        <v>41826</v>
      </c>
      <c r="GR14" s="112">
        <v>27622</v>
      </c>
      <c r="GS14" s="112">
        <v>73847</v>
      </c>
      <c r="GT14" s="112">
        <v>12910</v>
      </c>
      <c r="GU14" s="112">
        <v>27487</v>
      </c>
      <c r="GV14" s="112">
        <v>33195</v>
      </c>
      <c r="GW14" s="112">
        <v>24438</v>
      </c>
      <c r="GX14" s="120">
        <v>15881</v>
      </c>
    </row>
    <row r="31" spans="13:13">
      <c r="M31" s="122"/>
    </row>
    <row r="32" spans="13:13">
      <c r="M32" s="122"/>
    </row>
    <row r="33" spans="13:13">
      <c r="M33" s="1"/>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23"/>
  <dimension ref="A1:Q36"/>
  <sheetViews>
    <sheetView workbookViewId="0"/>
  </sheetViews>
  <sheetFormatPr defaultColWidth="11.42578125" defaultRowHeight="12.75"/>
  <cols>
    <col min="1" max="1" width="22.42578125" style="17" customWidth="1"/>
    <col min="2" max="2" width="16.42578125" style="17" customWidth="1"/>
    <col min="3" max="3" width="16.42578125" style="41" customWidth="1"/>
    <col min="4" max="17" width="10.42578125" style="41" customWidth="1"/>
    <col min="18" max="16384" width="11.42578125" style="1"/>
  </cols>
  <sheetData>
    <row r="1" spans="1:17" s="123" customFormat="1" ht="13.5" thickBot="1">
      <c r="A1" s="132" t="s">
        <v>179</v>
      </c>
      <c r="B1" s="132"/>
      <c r="C1" s="124"/>
      <c r="D1" s="124"/>
      <c r="E1" s="124"/>
      <c r="F1" s="124"/>
      <c r="G1" s="124"/>
      <c r="H1" s="124"/>
      <c r="I1" s="124"/>
      <c r="J1" s="124"/>
      <c r="K1" s="124"/>
      <c r="L1" s="124"/>
      <c r="M1" s="124"/>
      <c r="N1" s="124"/>
      <c r="O1" s="124"/>
      <c r="P1" s="124"/>
      <c r="Q1" s="124"/>
    </row>
    <row r="2" spans="1:17">
      <c r="D2" s="105"/>
    </row>
    <row r="3" spans="1:17">
      <c r="A3" s="133" t="s">
        <v>433</v>
      </c>
      <c r="B3" s="133"/>
      <c r="E3" s="1"/>
      <c r="F3" s="1"/>
      <c r="G3" s="1"/>
      <c r="H3" s="1"/>
      <c r="I3" s="1"/>
      <c r="J3" s="1"/>
    </row>
    <row r="4" spans="1:17" s="6" customFormat="1">
      <c r="A4" s="134" t="s">
        <v>434</v>
      </c>
      <c r="B4" s="134"/>
      <c r="C4" s="125"/>
      <c r="D4" s="125"/>
      <c r="E4" s="125"/>
      <c r="F4" s="125"/>
      <c r="G4" s="125"/>
      <c r="H4" s="125"/>
      <c r="I4" s="125"/>
      <c r="J4" s="125"/>
      <c r="K4" s="125"/>
      <c r="L4" s="125"/>
      <c r="M4" s="125"/>
      <c r="N4" s="125"/>
      <c r="O4" s="125"/>
      <c r="P4" s="125"/>
      <c r="Q4" s="125"/>
    </row>
    <row r="5" spans="1:17" s="6" customFormat="1">
      <c r="A5" s="135" t="s">
        <v>435</v>
      </c>
      <c r="B5" s="135"/>
      <c r="C5" s="125"/>
      <c r="D5" s="41"/>
      <c r="E5" s="41"/>
      <c r="F5" s="41"/>
      <c r="G5" s="41"/>
      <c r="H5" s="41"/>
      <c r="I5" s="41"/>
      <c r="J5" s="41"/>
      <c r="K5" s="41"/>
      <c r="L5" s="41"/>
      <c r="M5" s="41"/>
      <c r="N5" s="41"/>
      <c r="O5" s="41"/>
      <c r="P5" s="41"/>
      <c r="Q5" s="41"/>
    </row>
    <row r="6" spans="1:17" s="6" customFormat="1">
      <c r="A6" s="136" t="s">
        <v>436</v>
      </c>
      <c r="B6" s="136"/>
      <c r="C6" s="125"/>
      <c r="D6" s="41"/>
      <c r="E6" s="41"/>
      <c r="F6" s="41"/>
      <c r="G6" s="41"/>
      <c r="H6" s="41"/>
      <c r="I6" s="41"/>
      <c r="J6" s="41"/>
      <c r="K6" s="41"/>
      <c r="L6" s="41"/>
      <c r="M6" s="41"/>
      <c r="N6" s="41"/>
      <c r="O6" s="41"/>
      <c r="P6" s="41"/>
      <c r="Q6" s="41"/>
    </row>
    <row r="7" spans="1:17" s="6" customFormat="1">
      <c r="A7" s="137" t="s">
        <v>437</v>
      </c>
      <c r="B7" s="137"/>
      <c r="C7" s="125"/>
      <c r="D7" s="41"/>
      <c r="E7" s="41"/>
      <c r="F7" s="41"/>
      <c r="G7" s="41"/>
      <c r="H7" s="41"/>
      <c r="I7" s="41"/>
      <c r="J7" s="41"/>
      <c r="K7" s="41"/>
      <c r="L7" s="41"/>
      <c r="M7" s="41"/>
      <c r="N7" s="41"/>
      <c r="O7" s="41"/>
      <c r="P7" s="41"/>
      <c r="Q7" s="41"/>
    </row>
    <row r="8" spans="1:17">
      <c r="A8" s="48"/>
      <c r="B8" s="48"/>
      <c r="C8" s="49"/>
      <c r="D8" s="50"/>
      <c r="E8" s="49"/>
      <c r="F8" s="49"/>
      <c r="G8" s="50"/>
      <c r="H8" s="50"/>
    </row>
    <row r="9" spans="1:17">
      <c r="A9" s="138" t="s">
        <v>440</v>
      </c>
      <c r="B9" s="138"/>
      <c r="C9" s="49"/>
      <c r="D9" s="50"/>
      <c r="E9" s="49"/>
      <c r="F9" s="49"/>
      <c r="G9" s="50"/>
      <c r="H9" s="50"/>
    </row>
    <row r="10" spans="1:17" s="55" customFormat="1">
      <c r="A10" s="51"/>
      <c r="B10" s="51"/>
      <c r="C10" s="52"/>
      <c r="D10" s="53"/>
      <c r="E10" s="52"/>
      <c r="F10" s="52"/>
      <c r="G10" s="53"/>
      <c r="H10" s="53"/>
      <c r="I10" s="54"/>
      <c r="J10" s="54"/>
      <c r="K10" s="54"/>
      <c r="L10" s="54"/>
      <c r="M10" s="54"/>
      <c r="N10" s="54"/>
      <c r="O10" s="54"/>
      <c r="P10" s="54"/>
      <c r="Q10" s="54"/>
    </row>
    <row r="11" spans="1:17">
      <c r="A11" s="48"/>
      <c r="B11" s="48"/>
      <c r="C11" s="49"/>
      <c r="D11" s="50"/>
      <c r="E11" s="49"/>
      <c r="F11" s="49"/>
      <c r="G11" s="50"/>
      <c r="H11" s="50"/>
    </row>
    <row r="12" spans="1:17">
      <c r="A12" s="48"/>
      <c r="B12" s="139" t="s">
        <v>441</v>
      </c>
      <c r="C12" s="1"/>
      <c r="D12" s="50"/>
      <c r="E12" s="49"/>
      <c r="F12" s="49"/>
      <c r="G12" s="50"/>
    </row>
    <row r="13" spans="1:17">
      <c r="A13" s="140">
        <v>1992</v>
      </c>
      <c r="B13" s="63">
        <f>'floor space projections 1990-19'!F46</f>
        <v>58.942572498745008</v>
      </c>
      <c r="C13" s="1"/>
      <c r="D13" s="49"/>
      <c r="E13" s="49"/>
      <c r="F13" s="50"/>
      <c r="G13" s="50"/>
      <c r="H13" s="1"/>
      <c r="Q13" s="1"/>
    </row>
    <row r="14" spans="1:17">
      <c r="A14" s="48"/>
      <c r="B14" s="141"/>
      <c r="C14" s="1"/>
      <c r="D14" s="49"/>
      <c r="E14" s="49"/>
      <c r="F14" s="50"/>
      <c r="G14" s="50"/>
      <c r="H14" s="1"/>
      <c r="Q14" s="1"/>
    </row>
    <row r="15" spans="1:17">
      <c r="A15" s="48"/>
      <c r="B15" s="142"/>
      <c r="C15" s="1"/>
      <c r="D15" s="49"/>
      <c r="E15" s="49"/>
      <c r="F15" s="50"/>
      <c r="G15" s="50"/>
      <c r="H15" s="1"/>
      <c r="Q15" s="1"/>
    </row>
    <row r="16" spans="1:17">
      <c r="A16" s="18"/>
      <c r="B16" s="18"/>
      <c r="C16" s="69"/>
      <c r="D16" s="1"/>
      <c r="E16" s="73"/>
      <c r="F16" s="1"/>
      <c r="G16" s="1"/>
      <c r="H16" s="1"/>
      <c r="I16" s="1"/>
      <c r="J16" s="1"/>
      <c r="K16" s="1"/>
      <c r="L16" s="1"/>
      <c r="M16" s="1"/>
      <c r="N16" s="1"/>
      <c r="O16" s="1"/>
      <c r="P16" s="1"/>
      <c r="Q16" s="1"/>
    </row>
    <row r="17" spans="1:17">
      <c r="C17" s="69"/>
      <c r="J17" s="1"/>
      <c r="K17" s="1"/>
      <c r="L17" s="1"/>
      <c r="M17" s="1"/>
      <c r="N17" s="1"/>
      <c r="O17" s="1"/>
      <c r="P17" s="1"/>
      <c r="Q17" s="1"/>
    </row>
    <row r="18" spans="1:17" s="55" customFormat="1">
      <c r="A18" s="51"/>
      <c r="B18" s="51"/>
      <c r="C18" s="52"/>
      <c r="D18" s="53"/>
      <c r="E18" s="52"/>
      <c r="F18" s="52"/>
      <c r="G18" s="53"/>
      <c r="H18" s="53"/>
      <c r="I18" s="54"/>
      <c r="J18" s="54"/>
      <c r="K18" s="54"/>
      <c r="L18" s="54"/>
      <c r="M18" s="54"/>
      <c r="N18" s="54"/>
      <c r="O18" s="54"/>
      <c r="P18" s="54"/>
      <c r="Q18" s="54"/>
    </row>
    <row r="19" spans="1:17">
      <c r="A19" s="48"/>
      <c r="B19" s="48"/>
      <c r="C19" s="49"/>
      <c r="D19" s="50"/>
      <c r="E19" s="49"/>
      <c r="F19" s="49"/>
      <c r="G19" s="50"/>
      <c r="H19" s="50"/>
    </row>
    <row r="20" spans="1:17" ht="33.75">
      <c r="A20" s="143" t="s">
        <v>442</v>
      </c>
      <c r="B20" s="144" t="s">
        <v>443</v>
      </c>
      <c r="C20" s="144" t="s">
        <v>444</v>
      </c>
      <c r="Q20" s="1"/>
    </row>
    <row r="21" spans="1:17">
      <c r="A21" s="145">
        <v>1993</v>
      </c>
      <c r="B21" s="63">
        <f>'Stats SA floor 1993-2006'!B8/1000000</f>
        <v>1.506807</v>
      </c>
      <c r="C21" s="63">
        <f>B13+B21</f>
        <v>60.44937949874501</v>
      </c>
      <c r="Q21" s="1"/>
    </row>
    <row r="22" spans="1:17">
      <c r="A22" s="145">
        <v>1994</v>
      </c>
      <c r="B22" s="63">
        <f>'Stats SA floor 1993-2006'!C8/1000000</f>
        <v>1.993409</v>
      </c>
      <c r="C22" s="63">
        <f t="shared" ref="C22:C34" si="0">C21+B22</f>
        <v>62.44278849874501</v>
      </c>
      <c r="Q22" s="1"/>
    </row>
    <row r="23" spans="1:17">
      <c r="A23" s="145">
        <v>1995</v>
      </c>
      <c r="B23" s="63">
        <f>'Stats SA floor 1993-2006'!D8/1000000</f>
        <v>2.265422</v>
      </c>
      <c r="C23" s="63">
        <f t="shared" si="0"/>
        <v>64.708210498745004</v>
      </c>
    </row>
    <row r="24" spans="1:17">
      <c r="A24" s="145">
        <v>1996</v>
      </c>
      <c r="B24" s="63">
        <f>'Stats SA floor 1993-2006'!E8/1000000</f>
        <v>3.0239099999999999</v>
      </c>
      <c r="C24" s="63">
        <f t="shared" si="0"/>
        <v>67.732120498745005</v>
      </c>
    </row>
    <row r="25" spans="1:17">
      <c r="A25" s="145">
        <v>1997</v>
      </c>
      <c r="B25" s="63">
        <f>'Stats SA floor 1993-2006'!F8/1000000</f>
        <v>2.8521139999999998</v>
      </c>
      <c r="C25" s="63">
        <f t="shared" si="0"/>
        <v>70.584234498745005</v>
      </c>
    </row>
    <row r="26" spans="1:17">
      <c r="A26" s="145">
        <v>1998</v>
      </c>
      <c r="B26" s="63">
        <f>'Stats SA floor 1993-2006'!G8/1000000</f>
        <v>2.5233560000000002</v>
      </c>
      <c r="C26" s="63">
        <f t="shared" si="0"/>
        <v>73.107590498745012</v>
      </c>
    </row>
    <row r="27" spans="1:17">
      <c r="A27" s="145">
        <v>1999</v>
      </c>
      <c r="B27" s="63">
        <f>'Stats SA floor 1993-2006'!H8/1000000</f>
        <v>2.553267</v>
      </c>
      <c r="C27" s="63">
        <f t="shared" si="0"/>
        <v>75.660857498745017</v>
      </c>
    </row>
    <row r="28" spans="1:17">
      <c r="A28" s="145">
        <v>2000</v>
      </c>
      <c r="B28" s="63">
        <f>'Stats SA floor 1993-2006'!I8/1000000</f>
        <v>2.2886959999999998</v>
      </c>
      <c r="C28" s="63">
        <f t="shared" si="0"/>
        <v>77.949553498745018</v>
      </c>
    </row>
    <row r="29" spans="1:17">
      <c r="A29" s="145">
        <v>2001</v>
      </c>
      <c r="B29" s="63">
        <f>'Stats SA floor 1993-2006'!J8/1000000</f>
        <v>1.5543450000000001</v>
      </c>
      <c r="C29" s="63">
        <f t="shared" si="0"/>
        <v>79.503898498745016</v>
      </c>
    </row>
    <row r="30" spans="1:17">
      <c r="A30" s="145">
        <v>2002</v>
      </c>
      <c r="B30" s="63">
        <f>'Stats SA floor 1993-2006'!K8/1000000</f>
        <v>1.4746779999999999</v>
      </c>
      <c r="C30" s="63">
        <f t="shared" si="0"/>
        <v>80.978576498745014</v>
      </c>
    </row>
    <row r="31" spans="1:17">
      <c r="A31" s="145">
        <v>2003</v>
      </c>
      <c r="B31" s="63">
        <f>'Stats SA floor 1993-2006'!L8/1000000</f>
        <v>1.4266430000000001</v>
      </c>
      <c r="C31" s="63">
        <f t="shared" si="0"/>
        <v>82.405219498745012</v>
      </c>
    </row>
    <row r="32" spans="1:17">
      <c r="A32" s="145">
        <v>2004</v>
      </c>
      <c r="B32" s="63">
        <f>'Stats SA floor 1993-2006'!M8/1000000</f>
        <v>1.77647</v>
      </c>
      <c r="C32" s="63">
        <f t="shared" si="0"/>
        <v>84.181689498745015</v>
      </c>
    </row>
    <row r="33" spans="1:3">
      <c r="A33" s="145">
        <v>2005</v>
      </c>
      <c r="B33" s="63">
        <f>'Stats SA floor 1993-2006'!N8/1000000</f>
        <v>2.2105480000000002</v>
      </c>
      <c r="C33" s="63">
        <f t="shared" si="0"/>
        <v>86.392237498745018</v>
      </c>
    </row>
    <row r="34" spans="1:3">
      <c r="A34" s="145">
        <v>2006</v>
      </c>
      <c r="B34" s="63">
        <f>'Stats SA floor 1993-2006'!O8/1000000</f>
        <v>2.5350239999999999</v>
      </c>
      <c r="C34" s="63">
        <f t="shared" si="0"/>
        <v>88.927261498745025</v>
      </c>
    </row>
    <row r="35" spans="1:3">
      <c r="B35" s="104"/>
    </row>
    <row r="36" spans="1:3">
      <c r="B36" s="146"/>
    </row>
  </sheetData>
  <sheetProtection selectLockedCells="1" selectUnlockedCells="1"/>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drawing r:id="rId1"/>
  <legacyDrawing r:id="rId2"/>
  <oleObjects>
    <mc:AlternateContent xmlns:mc="http://schemas.openxmlformats.org/markup-compatibility/2006">
      <mc:Choice Requires="x14">
        <oleObject progId="opendocument.MathDocument.1" shapeId="3073" r:id="rId3">
          <objectPr defaultSize="0" r:id="rId4">
            <anchor moveWithCells="1" sizeWithCells="1">
              <from>
                <xdr:col>9</xdr:col>
                <xdr:colOff>542925</xdr:colOff>
                <xdr:row>13</xdr:row>
                <xdr:rowOff>133350</xdr:rowOff>
              </from>
              <to>
                <xdr:col>9</xdr:col>
                <xdr:colOff>609600</xdr:colOff>
                <xdr:row>15</xdr:row>
                <xdr:rowOff>9525</xdr:rowOff>
              </to>
            </anchor>
          </objectPr>
        </oleObject>
      </mc:Choice>
      <mc:Fallback>
        <oleObject progId="opendocument.MathDocument.1" shapeId="3073" r:id="rId3"/>
      </mc:Fallback>
    </mc:AlternateContent>
    <mc:AlternateContent xmlns:mc="http://schemas.openxmlformats.org/markup-compatibility/2006">
      <mc:Choice Requires="x14">
        <oleObject progId="opendocument.MathDocument.1" shapeId="3074" r:id="rId5">
          <objectPr defaultSize="0" r:id="rId4">
            <anchor moveWithCells="1" sizeWithCells="1">
              <from>
                <xdr:col>16</xdr:col>
                <xdr:colOff>676275</xdr:colOff>
                <xdr:row>17</xdr:row>
                <xdr:rowOff>133350</xdr:rowOff>
              </from>
              <to>
                <xdr:col>17</xdr:col>
                <xdr:colOff>66675</xdr:colOff>
                <xdr:row>19</xdr:row>
                <xdr:rowOff>28575</xdr:rowOff>
              </to>
            </anchor>
          </objectPr>
        </oleObject>
      </mc:Choice>
      <mc:Fallback>
        <oleObject progId="opendocument.MathDocument.1" shapeId="3074" r:id="rId5"/>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4"/>
  <dimension ref="A1:W39"/>
  <sheetViews>
    <sheetView workbookViewId="0">
      <selection activeCell="B18" sqref="B18"/>
    </sheetView>
  </sheetViews>
  <sheetFormatPr defaultColWidth="11.42578125" defaultRowHeight="12.75"/>
  <cols>
    <col min="1" max="1" width="40.28515625" style="1" customWidth="1"/>
    <col min="2" max="2" width="10.140625" style="41" customWidth="1"/>
    <col min="3" max="3" width="58.7109375" style="1" customWidth="1"/>
    <col min="4" max="4" width="34.42578125" style="1" customWidth="1"/>
    <col min="5" max="5" width="14.140625" style="1" customWidth="1"/>
    <col min="6" max="6" width="17" style="1" customWidth="1"/>
    <col min="7" max="16384" width="11.42578125" style="1"/>
  </cols>
  <sheetData>
    <row r="1" spans="1:23" s="44" customFormat="1">
      <c r="A1" s="42" t="s">
        <v>179</v>
      </c>
      <c r="B1" s="43"/>
      <c r="C1" s="43"/>
      <c r="D1" s="43"/>
      <c r="E1" s="43"/>
      <c r="F1" s="43"/>
      <c r="G1" s="43"/>
      <c r="H1" s="43"/>
      <c r="I1" s="43"/>
      <c r="J1" s="43"/>
      <c r="K1" s="43"/>
      <c r="L1" s="43"/>
      <c r="M1" s="43"/>
      <c r="N1" s="43"/>
      <c r="O1" s="43"/>
      <c r="P1" s="43"/>
      <c r="Q1" s="43"/>
      <c r="R1" s="43"/>
      <c r="S1" s="43"/>
      <c r="T1" s="43"/>
      <c r="U1" s="43"/>
      <c r="V1" s="43"/>
      <c r="W1" s="43"/>
    </row>
    <row r="2" spans="1:23">
      <c r="A2" s="45" t="s">
        <v>180</v>
      </c>
      <c r="B2" s="1"/>
    </row>
    <row r="3" spans="1:23">
      <c r="A3" s="21" t="s">
        <v>181</v>
      </c>
      <c r="B3" s="1"/>
    </row>
    <row r="4" spans="1:23">
      <c r="A4" s="46" t="s">
        <v>182</v>
      </c>
      <c r="B4" s="1"/>
    </row>
    <row r="5" spans="1:23">
      <c r="A5" s="47" t="s">
        <v>183</v>
      </c>
      <c r="C5" s="41"/>
      <c r="D5" s="41"/>
      <c r="E5" s="41"/>
      <c r="F5" s="41"/>
      <c r="G5" s="41"/>
      <c r="N5" s="41"/>
      <c r="O5" s="41"/>
      <c r="P5" s="41"/>
      <c r="Q5" s="41"/>
      <c r="R5" s="41"/>
      <c r="S5" s="41"/>
      <c r="T5" s="41"/>
      <c r="U5" s="41"/>
      <c r="V5" s="41"/>
      <c r="W5" s="41"/>
    </row>
    <row r="6" spans="1:23">
      <c r="C6" s="41"/>
      <c r="D6" s="41"/>
      <c r="E6" s="41"/>
      <c r="F6" s="41"/>
      <c r="G6" s="41"/>
      <c r="N6" s="41"/>
      <c r="O6" s="41"/>
      <c r="P6" s="41"/>
      <c r="Q6" s="41"/>
      <c r="R6" s="41"/>
      <c r="S6" s="41"/>
      <c r="T6" s="41"/>
      <c r="U6" s="41"/>
      <c r="V6" s="41"/>
      <c r="W6" s="41"/>
    </row>
    <row r="7" spans="1:23" s="20" customFormat="1">
      <c r="A7" s="42" t="s">
        <v>445</v>
      </c>
      <c r="B7" s="147"/>
      <c r="D7" s="42"/>
    </row>
    <row r="8" spans="1:23">
      <c r="D8" s="6"/>
    </row>
    <row r="9" spans="1:23">
      <c r="B9" s="6"/>
    </row>
    <row r="10" spans="1:23">
      <c r="A10" s="148" t="s">
        <v>446</v>
      </c>
      <c r="B10" s="149" t="s">
        <v>447</v>
      </c>
      <c r="C10" s="12"/>
      <c r="D10" s="9" t="s">
        <v>448</v>
      </c>
    </row>
    <row r="11" spans="1:23">
      <c r="A11" s="150" t="s">
        <v>449</v>
      </c>
      <c r="B11" s="151">
        <v>134716.5874136934</v>
      </c>
      <c r="C11" s="414" t="s">
        <v>808</v>
      </c>
      <c r="D11" s="802" t="s">
        <v>450</v>
      </c>
    </row>
    <row r="12" spans="1:23">
      <c r="A12" s="150" t="s">
        <v>138</v>
      </c>
      <c r="B12" s="152">
        <v>12</v>
      </c>
      <c r="C12" s="12" t="s">
        <v>451</v>
      </c>
      <c r="D12" s="802"/>
    </row>
    <row r="13" spans="1:23">
      <c r="A13" s="150" t="s">
        <v>452</v>
      </c>
      <c r="B13" s="151">
        <v>322</v>
      </c>
      <c r="C13" s="12"/>
      <c r="D13" s="802"/>
    </row>
    <row r="14" spans="1:23">
      <c r="A14" s="150" t="s">
        <v>453</v>
      </c>
      <c r="B14" s="151">
        <v>74788</v>
      </c>
      <c r="C14" s="12" t="s">
        <v>454</v>
      </c>
      <c r="D14" s="802"/>
    </row>
    <row r="15" spans="1:23">
      <c r="A15" s="150" t="s">
        <v>142</v>
      </c>
      <c r="B15" s="151">
        <v>17766.61</v>
      </c>
      <c r="C15" s="12" t="s">
        <v>455</v>
      </c>
      <c r="D15" s="802"/>
    </row>
    <row r="16" spans="1:23">
      <c r="A16" s="150" t="s">
        <v>456</v>
      </c>
      <c r="B16" s="151">
        <v>864.23</v>
      </c>
      <c r="C16" s="12" t="s">
        <v>457</v>
      </c>
      <c r="D16" s="802"/>
    </row>
    <row r="17" spans="1:4">
      <c r="A17" s="150" t="s">
        <v>458</v>
      </c>
      <c r="B17" s="151">
        <v>237.1</v>
      </c>
      <c r="C17" s="12" t="s">
        <v>459</v>
      </c>
      <c r="D17" s="802"/>
    </row>
    <row r="18" spans="1:4">
      <c r="A18" s="150" t="s">
        <v>460</v>
      </c>
      <c r="B18" s="151">
        <v>1742.02</v>
      </c>
      <c r="C18" s="12" t="s">
        <v>461</v>
      </c>
      <c r="D18" s="802"/>
    </row>
    <row r="19" spans="1:4">
      <c r="A19" s="150" t="s">
        <v>462</v>
      </c>
      <c r="B19" s="151" t="s">
        <v>463</v>
      </c>
      <c r="C19" s="12"/>
      <c r="D19" s="802"/>
    </row>
    <row r="20" spans="1:4">
      <c r="A20" s="148" t="s">
        <v>224</v>
      </c>
      <c r="B20" s="153">
        <f>SUM(B11:B19)</f>
        <v>230448.54741369342</v>
      </c>
      <c r="C20" s="12"/>
      <c r="D20" s="12"/>
    </row>
    <row r="21" spans="1:4">
      <c r="B21" s="1"/>
    </row>
    <row r="22" spans="1:4">
      <c r="B22" s="1"/>
    </row>
    <row r="23" spans="1:4">
      <c r="B23" s="1"/>
    </row>
    <row r="24" spans="1:4">
      <c r="B24" s="1"/>
    </row>
    <row r="25" spans="1:4">
      <c r="B25" s="1"/>
    </row>
    <row r="26" spans="1:4">
      <c r="B26" s="1"/>
    </row>
    <row r="27" spans="1:4">
      <c r="B27" s="1"/>
    </row>
    <row r="28" spans="1:4">
      <c r="B28" s="1"/>
    </row>
    <row r="29" spans="1:4">
      <c r="B29" s="1"/>
    </row>
    <row r="30" spans="1:4">
      <c r="B30" s="154"/>
    </row>
    <row r="31" spans="1:4">
      <c r="B31" s="154"/>
    </row>
    <row r="35" spans="2:2">
      <c r="B35" s="154"/>
    </row>
    <row r="36" spans="2:2">
      <c r="B36" s="154"/>
    </row>
    <row r="37" spans="2:2">
      <c r="B37" s="155"/>
    </row>
    <row r="38" spans="2:2">
      <c r="B38" s="154"/>
    </row>
    <row r="39" spans="2:2">
      <c r="B39" s="154"/>
    </row>
  </sheetData>
  <sheetProtection selectLockedCells="1" selectUnlockedCells="1"/>
  <mergeCells count="1">
    <mergeCell ref="D11:D19"/>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legacy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dimension ref="A1:IV122"/>
  <sheetViews>
    <sheetView workbookViewId="0"/>
  </sheetViews>
  <sheetFormatPr defaultColWidth="9" defaultRowHeight="12.75"/>
  <cols>
    <col min="1" max="1" width="24.140625" style="68" customWidth="1"/>
    <col min="2" max="3" width="7.7109375" style="68" customWidth="1"/>
    <col min="4" max="6" width="9" style="68"/>
    <col min="7" max="7" width="12.85546875" style="68" customWidth="1"/>
    <col min="8" max="11" width="9" style="68"/>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s="1" customFormat="1">
      <c r="B6" s="41"/>
      <c r="C6" s="41"/>
      <c r="D6" s="41"/>
      <c r="E6" s="41"/>
      <c r="F6" s="41"/>
      <c r="G6" s="41"/>
      <c r="N6" s="41"/>
      <c r="O6" s="41"/>
      <c r="P6" s="41"/>
      <c r="Q6" s="41"/>
      <c r="R6" s="41"/>
      <c r="S6" s="41"/>
      <c r="T6" s="41"/>
      <c r="U6" s="41"/>
      <c r="V6" s="41"/>
      <c r="W6" s="41"/>
    </row>
    <row r="7" spans="1:256" s="1" customFormat="1">
      <c r="A7" s="9" t="s">
        <v>110</v>
      </c>
      <c r="B7" s="14">
        <v>1994</v>
      </c>
      <c r="C7" s="41"/>
      <c r="D7" s="41"/>
      <c r="E7" s="41"/>
      <c r="F7" s="41"/>
      <c r="G7" s="41"/>
      <c r="N7" s="41"/>
      <c r="O7" s="41"/>
      <c r="P7" s="41"/>
      <c r="Q7" s="41"/>
      <c r="R7" s="41"/>
      <c r="S7" s="41"/>
      <c r="T7" s="41"/>
      <c r="U7" s="41"/>
      <c r="V7" s="41"/>
      <c r="W7" s="41"/>
    </row>
    <row r="8" spans="1:256" s="1" customFormat="1">
      <c r="A8" s="12" t="s">
        <v>137</v>
      </c>
      <c r="B8" s="100">
        <f>J19*'devilliers floor space projecti'!$H$45</f>
        <v>56953.286606752925</v>
      </c>
      <c r="C8" s="41"/>
      <c r="D8" s="41"/>
      <c r="E8" s="41"/>
      <c r="F8" s="41"/>
      <c r="G8" s="41"/>
      <c r="N8" s="41"/>
      <c r="O8" s="41"/>
      <c r="P8" s="41"/>
      <c r="Q8" s="41"/>
      <c r="R8" s="41"/>
      <c r="S8" s="41"/>
      <c r="T8" s="41"/>
      <c r="U8" s="41"/>
      <c r="V8" s="41"/>
      <c r="W8" s="41"/>
    </row>
    <row r="9" spans="1:256" s="1" customFormat="1">
      <c r="A9" s="12" t="s">
        <v>138</v>
      </c>
      <c r="B9" s="100">
        <f>J20*'devilliers floor space projecti'!$H$45</f>
        <v>2160.0826779213812</v>
      </c>
      <c r="C9" s="41"/>
      <c r="D9" s="41"/>
      <c r="E9" s="41"/>
      <c r="F9" s="41"/>
      <c r="G9" s="41"/>
      <c r="N9" s="41"/>
      <c r="O9" s="41"/>
      <c r="P9" s="41"/>
      <c r="Q9" s="41"/>
      <c r="R9" s="41"/>
      <c r="S9" s="41"/>
      <c r="T9" s="41"/>
      <c r="U9" s="41"/>
      <c r="V9" s="41"/>
      <c r="W9" s="41"/>
    </row>
    <row r="10" spans="1:256" s="1" customFormat="1">
      <c r="A10" s="12" t="s">
        <v>139</v>
      </c>
      <c r="B10" s="100">
        <f>J21*'devilliers floor space projecti'!$H$45</f>
        <v>164.01620333596591</v>
      </c>
      <c r="C10" s="41"/>
      <c r="D10" s="41"/>
      <c r="E10" s="41"/>
      <c r="F10" s="41"/>
      <c r="G10" s="41"/>
      <c r="N10" s="41"/>
      <c r="O10" s="41"/>
      <c r="P10" s="41"/>
      <c r="Q10" s="41"/>
      <c r="R10" s="41"/>
      <c r="S10" s="41"/>
      <c r="T10" s="41"/>
      <c r="U10" s="41"/>
      <c r="V10" s="41"/>
      <c r="W10" s="41"/>
    </row>
    <row r="11" spans="1:256" s="1" customFormat="1">
      <c r="A11" s="12" t="s">
        <v>141</v>
      </c>
      <c r="B11" s="100">
        <f>J22*'devilliers floor space projecti'!$H$45</f>
        <v>17473.621662589834</v>
      </c>
      <c r="C11" s="41"/>
      <c r="D11" s="41"/>
      <c r="E11" s="41"/>
      <c r="F11" s="41"/>
      <c r="G11" s="41"/>
      <c r="N11" s="41"/>
      <c r="O11" s="41"/>
      <c r="P11" s="41"/>
      <c r="Q11" s="41"/>
      <c r="R11" s="41"/>
      <c r="S11" s="41"/>
      <c r="T11" s="41"/>
      <c r="U11" s="41"/>
      <c r="V11" s="41"/>
      <c r="W11" s="41"/>
    </row>
    <row r="12" spans="1:256" s="1" customFormat="1">
      <c r="A12" s="12" t="s">
        <v>464</v>
      </c>
      <c r="B12" s="100">
        <f>J23*'devilliers floor space projecti'!$H$45</f>
        <v>3058.4197916177177</v>
      </c>
      <c r="C12" s="41"/>
      <c r="D12" s="41"/>
      <c r="E12" s="41"/>
      <c r="F12" s="41"/>
      <c r="G12" s="41"/>
      <c r="N12" s="41"/>
      <c r="O12" s="41"/>
      <c r="P12" s="41"/>
      <c r="Q12" s="41"/>
      <c r="R12" s="41"/>
      <c r="S12" s="41"/>
      <c r="T12" s="41"/>
      <c r="U12" s="41"/>
      <c r="V12" s="41"/>
      <c r="W12" s="41"/>
    </row>
    <row r="13" spans="1:256" s="1" customFormat="1">
      <c r="A13" s="12" t="s">
        <v>465</v>
      </c>
      <c r="B13" s="100">
        <f>J24*'devilliers floor space projecti'!$H$45</f>
        <v>427.19252960380663</v>
      </c>
      <c r="C13" s="41"/>
      <c r="D13" s="41"/>
      <c r="E13" s="41"/>
      <c r="F13" s="41"/>
      <c r="G13" s="41"/>
      <c r="N13" s="41"/>
      <c r="O13" s="41"/>
      <c r="P13" s="41"/>
      <c r="Q13" s="41"/>
      <c r="R13" s="41"/>
      <c r="S13" s="41"/>
      <c r="T13" s="41"/>
      <c r="U13" s="41"/>
      <c r="V13" s="41"/>
      <c r="W13" s="41"/>
    </row>
    <row r="14" spans="1:256" s="1" customFormat="1">
      <c r="B14" s="41"/>
      <c r="C14" s="41"/>
      <c r="D14" s="41"/>
      <c r="E14" s="41"/>
      <c r="F14" s="41"/>
      <c r="G14" s="41"/>
      <c r="N14" s="41"/>
      <c r="O14" s="41"/>
      <c r="P14" s="41"/>
      <c r="Q14" s="41"/>
      <c r="R14" s="41"/>
      <c r="S14" s="41"/>
      <c r="T14" s="41"/>
      <c r="U14" s="41"/>
      <c r="V14" s="41"/>
      <c r="W14" s="41"/>
    </row>
    <row r="15" spans="1:256" s="1" customFormat="1">
      <c r="B15" s="41"/>
      <c r="C15" s="41"/>
      <c r="D15" s="41"/>
      <c r="E15" s="41"/>
      <c r="F15" s="41"/>
      <c r="G15" s="41"/>
      <c r="N15" s="41"/>
      <c r="O15" s="41"/>
      <c r="P15" s="41"/>
      <c r="Q15" s="41"/>
      <c r="R15" s="41"/>
      <c r="S15" s="41"/>
      <c r="T15" s="41"/>
      <c r="U15" s="41"/>
      <c r="V15" s="41"/>
      <c r="W15" s="41"/>
    </row>
    <row r="16" spans="1:256" s="158" customFormat="1" ht="12.75" customHeight="1">
      <c r="A16" s="799" t="s">
        <v>466</v>
      </c>
      <c r="B16" s="799"/>
      <c r="C16" s="799"/>
      <c r="D16" s="799"/>
      <c r="E16" s="799"/>
      <c r="F16" s="799"/>
      <c r="G16" s="799"/>
      <c r="H16" s="799"/>
      <c r="I16" s="799"/>
      <c r="J16" s="799"/>
      <c r="K16" s="156"/>
      <c r="L16" s="156"/>
      <c r="M16" s="156"/>
      <c r="N16" s="156"/>
      <c r="O16" s="156"/>
      <c r="P16" s="156"/>
      <c r="Q16" s="156"/>
      <c r="R16" s="156"/>
      <c r="S16" s="157"/>
    </row>
    <row r="17" spans="1:2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row>
    <row r="18" spans="1:256" ht="38.25">
      <c r="A18" s="159" t="s">
        <v>467</v>
      </c>
      <c r="C18" s="160" t="s">
        <v>42</v>
      </c>
      <c r="D18" s="160" t="s">
        <v>468</v>
      </c>
      <c r="E18" s="160" t="s">
        <v>469</v>
      </c>
      <c r="F18" s="160" t="s">
        <v>470</v>
      </c>
      <c r="G18" s="160" t="s">
        <v>471</v>
      </c>
      <c r="H18" s="160" t="s">
        <v>472</v>
      </c>
      <c r="I18" s="160" t="s">
        <v>43</v>
      </c>
      <c r="J18" s="160" t="s">
        <v>224</v>
      </c>
      <c r="K18" s="161"/>
      <c r="L18" s="160" t="s">
        <v>42</v>
      </c>
      <c r="M18" s="160" t="s">
        <v>468</v>
      </c>
      <c r="N18" s="160" t="s">
        <v>469</v>
      </c>
      <c r="O18" s="160" t="s">
        <v>470</v>
      </c>
      <c r="P18" s="160" t="s">
        <v>471</v>
      </c>
      <c r="Q18" s="160" t="s">
        <v>472</v>
      </c>
      <c r="R18" s="160" t="s">
        <v>43</v>
      </c>
      <c r="S18" s="161"/>
    </row>
    <row r="19" spans="1:256">
      <c r="A19" s="68" t="s">
        <v>137</v>
      </c>
      <c r="C19" s="162">
        <f t="shared" ref="C19:J19" si="0">C51</f>
        <v>215.19201228878651</v>
      </c>
      <c r="D19" s="162">
        <f t="shared" si="0"/>
        <v>65.437788018433181</v>
      </c>
      <c r="E19" s="162">
        <f t="shared" si="0"/>
        <v>26.236559139784948</v>
      </c>
      <c r="F19" s="162">
        <f t="shared" si="0"/>
        <v>352.04301075268819</v>
      </c>
      <c r="G19" s="162">
        <f t="shared" si="0"/>
        <v>47.588325652841789</v>
      </c>
      <c r="H19" s="162">
        <f t="shared" si="0"/>
        <v>4.7926267281105996</v>
      </c>
      <c r="I19" s="162">
        <f t="shared" si="0"/>
        <v>104.80798771121353</v>
      </c>
      <c r="J19" s="163">
        <f t="shared" si="0"/>
        <v>816.09831029185875</v>
      </c>
      <c r="L19" s="164">
        <f>C19/$J19</f>
        <v>0.26368393314259903</v>
      </c>
      <c r="M19" s="164">
        <f t="shared" ref="L19:R25" si="1">D19/$J19</f>
        <v>8.0183707273001045E-2</v>
      </c>
      <c r="N19" s="164">
        <f t="shared" si="1"/>
        <v>3.2148772775184457E-2</v>
      </c>
      <c r="O19" s="164">
        <f t="shared" si="1"/>
        <v>0.43137328715554885</v>
      </c>
      <c r="P19" s="164">
        <f t="shared" si="1"/>
        <v>5.8312001204637857E-2</v>
      </c>
      <c r="Q19" s="164">
        <f t="shared" si="1"/>
        <v>5.8726095467550067E-3</v>
      </c>
      <c r="R19" s="164">
        <f t="shared" si="1"/>
        <v>0.12842568890227377</v>
      </c>
      <c r="S19" s="161"/>
    </row>
    <row r="20" spans="1:256">
      <c r="A20" s="68" t="s">
        <v>138</v>
      </c>
      <c r="C20" s="165">
        <f t="shared" ref="C20:J20" si="2">C63</f>
        <v>0</v>
      </c>
      <c r="D20" s="165">
        <f t="shared" si="2"/>
        <v>0</v>
      </c>
      <c r="E20" s="165">
        <f t="shared" si="2"/>
        <v>21.597542242703536</v>
      </c>
      <c r="F20" s="165">
        <f t="shared" si="2"/>
        <v>0</v>
      </c>
      <c r="G20" s="165">
        <f t="shared" si="2"/>
        <v>0</v>
      </c>
      <c r="H20" s="165">
        <f t="shared" si="2"/>
        <v>9.3548387096774199</v>
      </c>
      <c r="I20" s="165">
        <f t="shared" si="2"/>
        <v>0</v>
      </c>
      <c r="J20" s="166">
        <f t="shared" si="2"/>
        <v>30.952380952380956</v>
      </c>
      <c r="L20" s="164">
        <f t="shared" si="1"/>
        <v>0</v>
      </c>
      <c r="M20" s="164">
        <f t="shared" si="1"/>
        <v>0</v>
      </c>
      <c r="N20" s="164">
        <f t="shared" si="1"/>
        <v>0.69776674937965266</v>
      </c>
      <c r="O20" s="164">
        <f t="shared" si="1"/>
        <v>0</v>
      </c>
      <c r="P20" s="164">
        <f t="shared" si="1"/>
        <v>0</v>
      </c>
      <c r="Q20" s="164">
        <f t="shared" si="1"/>
        <v>0.30223325062034739</v>
      </c>
      <c r="R20" s="164">
        <f t="shared" si="1"/>
        <v>0</v>
      </c>
      <c r="S20" s="161"/>
    </row>
    <row r="21" spans="1:256">
      <c r="A21" s="68" t="s">
        <v>139</v>
      </c>
      <c r="C21" s="165">
        <f t="shared" ref="C21:J21" si="3">C74</f>
        <v>0</v>
      </c>
      <c r="D21" s="165">
        <f t="shared" si="3"/>
        <v>0</v>
      </c>
      <c r="E21" s="165">
        <f t="shared" si="3"/>
        <v>2.350230414746544</v>
      </c>
      <c r="F21" s="165">
        <f t="shared" si="3"/>
        <v>0</v>
      </c>
      <c r="G21" s="165">
        <f t="shared" si="3"/>
        <v>0</v>
      </c>
      <c r="H21" s="165">
        <f t="shared" si="3"/>
        <v>0</v>
      </c>
      <c r="I21" s="165">
        <f t="shared" si="3"/>
        <v>0</v>
      </c>
      <c r="J21" s="166">
        <f t="shared" si="3"/>
        <v>2.350230414746544</v>
      </c>
      <c r="L21" s="164">
        <f t="shared" si="1"/>
        <v>0</v>
      </c>
      <c r="M21" s="164">
        <f t="shared" si="1"/>
        <v>0</v>
      </c>
      <c r="N21" s="164">
        <f t="shared" si="1"/>
        <v>1</v>
      </c>
      <c r="O21" s="164">
        <f t="shared" si="1"/>
        <v>0</v>
      </c>
      <c r="P21" s="164">
        <f t="shared" si="1"/>
        <v>0</v>
      </c>
      <c r="Q21" s="164">
        <f t="shared" si="1"/>
        <v>0</v>
      </c>
      <c r="R21" s="164">
        <f t="shared" si="1"/>
        <v>0</v>
      </c>
      <c r="S21" s="161"/>
    </row>
    <row r="22" spans="1:256">
      <c r="A22" s="68" t="s">
        <v>141</v>
      </c>
      <c r="C22" s="167">
        <f t="shared" ref="C22:J22" si="4">C86</f>
        <v>0</v>
      </c>
      <c r="D22" s="167">
        <f>D86</f>
        <v>112.1351766513057</v>
      </c>
      <c r="E22" s="167">
        <f t="shared" si="4"/>
        <v>94.162826420890951</v>
      </c>
      <c r="F22" s="167">
        <f t="shared" si="4"/>
        <v>0</v>
      </c>
      <c r="G22" s="167">
        <f t="shared" si="4"/>
        <v>0</v>
      </c>
      <c r="H22" s="167">
        <f t="shared" si="4"/>
        <v>1.9969278033794164</v>
      </c>
      <c r="I22" s="167">
        <f t="shared" si="4"/>
        <v>42.08909370199693</v>
      </c>
      <c r="J22" s="168">
        <f t="shared" si="4"/>
        <v>250.38402457757297</v>
      </c>
      <c r="L22" s="164">
        <f t="shared" si="1"/>
        <v>0</v>
      </c>
      <c r="M22" s="164">
        <f t="shared" si="1"/>
        <v>0.44785276073619634</v>
      </c>
      <c r="N22" s="164">
        <f t="shared" si="1"/>
        <v>0.37607361963190189</v>
      </c>
      <c r="O22" s="164">
        <f t="shared" si="1"/>
        <v>0</v>
      </c>
      <c r="P22" s="164">
        <f t="shared" si="1"/>
        <v>0</v>
      </c>
      <c r="Q22" s="164">
        <f t="shared" si="1"/>
        <v>7.9754601226993873E-3</v>
      </c>
      <c r="R22" s="164">
        <f t="shared" si="1"/>
        <v>0.16809815950920245</v>
      </c>
      <c r="S22" s="161"/>
    </row>
    <row r="23" spans="1:256">
      <c r="A23" s="68" t="s">
        <v>464</v>
      </c>
      <c r="C23" s="167">
        <f t="shared" ref="C23:J23" si="5">C97</f>
        <v>0</v>
      </c>
      <c r="D23" s="167">
        <f t="shared" si="5"/>
        <v>18.433179723502306</v>
      </c>
      <c r="E23" s="167">
        <f t="shared" si="5"/>
        <v>21.858678955453151</v>
      </c>
      <c r="F23" s="167">
        <f t="shared" si="5"/>
        <v>0</v>
      </c>
      <c r="G23" s="167">
        <f t="shared" si="5"/>
        <v>0</v>
      </c>
      <c r="H23" s="167">
        <f t="shared" si="5"/>
        <v>0</v>
      </c>
      <c r="I23" s="167">
        <f t="shared" si="5"/>
        <v>3.5330261136712746</v>
      </c>
      <c r="J23" s="168">
        <f t="shared" si="5"/>
        <v>43.824884792626733</v>
      </c>
      <c r="L23" s="164">
        <f t="shared" si="1"/>
        <v>0</v>
      </c>
      <c r="M23" s="164">
        <f t="shared" si="1"/>
        <v>0.4206098843322818</v>
      </c>
      <c r="N23" s="164">
        <f t="shared" si="1"/>
        <v>0.4987732211706975</v>
      </c>
      <c r="O23" s="164">
        <f t="shared" si="1"/>
        <v>0</v>
      </c>
      <c r="P23" s="164">
        <f t="shared" si="1"/>
        <v>0</v>
      </c>
      <c r="Q23" s="164">
        <f t="shared" si="1"/>
        <v>0</v>
      </c>
      <c r="R23" s="164">
        <f t="shared" si="1"/>
        <v>8.0616894497020669E-2</v>
      </c>
      <c r="S23" s="161"/>
    </row>
    <row r="24" spans="1:256">
      <c r="A24" s="68" t="s">
        <v>473</v>
      </c>
      <c r="C24" s="167">
        <f t="shared" ref="C24:J24" si="6">C108</f>
        <v>0</v>
      </c>
      <c r="D24" s="167">
        <f t="shared" si="6"/>
        <v>1.7665130568356373</v>
      </c>
      <c r="E24" s="167">
        <f t="shared" si="6"/>
        <v>4.3548387096774199</v>
      </c>
      <c r="F24" s="167">
        <f t="shared" si="6"/>
        <v>0</v>
      </c>
      <c r="G24" s="167">
        <f t="shared" si="6"/>
        <v>0</v>
      </c>
      <c r="H24" s="167">
        <f t="shared" si="6"/>
        <v>0</v>
      </c>
      <c r="I24" s="167">
        <f t="shared" si="6"/>
        <v>0</v>
      </c>
      <c r="J24" s="168">
        <f t="shared" si="6"/>
        <v>6.1213517665130572</v>
      </c>
      <c r="L24" s="164">
        <f t="shared" si="1"/>
        <v>0</v>
      </c>
      <c r="M24" s="164">
        <f t="shared" si="1"/>
        <v>0.288582183186951</v>
      </c>
      <c r="N24" s="164">
        <f t="shared" si="1"/>
        <v>0.71141781681304894</v>
      </c>
      <c r="O24" s="164">
        <f t="shared" si="1"/>
        <v>0</v>
      </c>
      <c r="P24" s="164">
        <f t="shared" si="1"/>
        <v>0</v>
      </c>
      <c r="Q24" s="164">
        <f t="shared" si="1"/>
        <v>0</v>
      </c>
      <c r="R24" s="164">
        <f t="shared" si="1"/>
        <v>0</v>
      </c>
      <c r="S24" s="161"/>
    </row>
    <row r="25" spans="1:256" ht="25.5">
      <c r="A25" s="169" t="s">
        <v>474</v>
      </c>
      <c r="C25" s="168">
        <f>SUM(C19:C24)</f>
        <v>215.19201228878651</v>
      </c>
      <c r="D25" s="168">
        <f>SUM(D19:D24)</f>
        <v>197.77265745007682</v>
      </c>
      <c r="E25" s="168">
        <f t="shared" ref="E25:J25" si="7">SUM(E19:E24)</f>
        <v>170.56067588325652</v>
      </c>
      <c r="F25" s="168">
        <f t="shared" si="7"/>
        <v>352.04301075268819</v>
      </c>
      <c r="G25" s="168">
        <f t="shared" si="7"/>
        <v>47.588325652841789</v>
      </c>
      <c r="H25" s="168">
        <f t="shared" si="7"/>
        <v>16.144393241167435</v>
      </c>
      <c r="I25" s="168">
        <f t="shared" si="7"/>
        <v>150.43010752688173</v>
      </c>
      <c r="J25" s="168">
        <f t="shared" si="7"/>
        <v>1149.7311827956992</v>
      </c>
      <c r="L25" s="164">
        <f>C25/$J25</f>
        <v>0.18716724005477803</v>
      </c>
      <c r="M25" s="164">
        <f t="shared" si="1"/>
        <v>0.17201643341460968</v>
      </c>
      <c r="N25" s="164">
        <f t="shared" si="1"/>
        <v>0.14834830822672765</v>
      </c>
      <c r="O25" s="164">
        <f t="shared" si="1"/>
        <v>0.30619593172784659</v>
      </c>
      <c r="P25" s="164">
        <f t="shared" si="1"/>
        <v>4.1390828016967834E-2</v>
      </c>
      <c r="Q25" s="164">
        <f t="shared" si="1"/>
        <v>1.4041885166505225E-2</v>
      </c>
      <c r="R25" s="164">
        <f t="shared" si="1"/>
        <v>0.13083937339256485</v>
      </c>
      <c r="S25" s="161"/>
    </row>
    <row r="27" spans="1:256" s="158" customFormat="1" ht="12.75" customHeight="1">
      <c r="A27" s="799" t="s">
        <v>475</v>
      </c>
      <c r="B27" s="799"/>
      <c r="C27" s="799"/>
      <c r="D27" s="799"/>
      <c r="E27" s="799"/>
      <c r="F27" s="799"/>
      <c r="G27" s="799"/>
      <c r="H27" s="799"/>
      <c r="I27" s="799"/>
      <c r="J27" s="799"/>
      <c r="K27" s="156"/>
      <c r="L27" s="156"/>
      <c r="M27" s="156"/>
      <c r="N27" s="156"/>
      <c r="O27" s="156"/>
      <c r="P27" s="156"/>
      <c r="Q27" s="156"/>
      <c r="R27" s="156"/>
      <c r="S27" s="157"/>
    </row>
    <row r="29" spans="1:256" ht="38.25">
      <c r="A29" s="159" t="s">
        <v>467</v>
      </c>
      <c r="B29" s="170" t="s">
        <v>476</v>
      </c>
      <c r="C29" s="160" t="s">
        <v>42</v>
      </c>
      <c r="D29" s="160" t="s">
        <v>468</v>
      </c>
      <c r="E29" s="160" t="s">
        <v>469</v>
      </c>
      <c r="F29" s="160" t="s">
        <v>470</v>
      </c>
      <c r="G29" s="160" t="s">
        <v>471</v>
      </c>
      <c r="H29" s="160" t="s">
        <v>472</v>
      </c>
      <c r="I29" s="160" t="s">
        <v>43</v>
      </c>
      <c r="J29" s="160" t="s">
        <v>224</v>
      </c>
      <c r="L29" s="160" t="s">
        <v>42</v>
      </c>
      <c r="M29" s="160" t="s">
        <v>468</v>
      </c>
      <c r="N29" s="160" t="s">
        <v>469</v>
      </c>
      <c r="O29" s="160" t="s">
        <v>470</v>
      </c>
      <c r="P29" s="160" t="s">
        <v>471</v>
      </c>
      <c r="Q29" s="160" t="s">
        <v>472</v>
      </c>
      <c r="R29" s="160" t="s">
        <v>43</v>
      </c>
    </row>
    <row r="30" spans="1:256">
      <c r="A30" s="171" t="s">
        <v>80</v>
      </c>
      <c r="B30" s="135">
        <v>7.2</v>
      </c>
      <c r="C30" s="166">
        <f t="shared" ref="C30:F37" si="8">C43+C78+C100+C66+C89+C55</f>
        <v>120</v>
      </c>
      <c r="D30" s="166"/>
      <c r="E30" s="166"/>
      <c r="F30" s="166">
        <f>F43+F78+F100+F66+F89+F55</f>
        <v>40</v>
      </c>
      <c r="G30" s="166">
        <f>G43+G78+G100+G66+G89+G55</f>
        <v>50</v>
      </c>
      <c r="H30" s="166"/>
      <c r="I30" s="166">
        <f t="shared" ref="I30:I37" si="9">I43+I78+I100+I66+I89+I55</f>
        <v>70</v>
      </c>
      <c r="J30" s="166">
        <f t="shared" ref="J30:J37" si="10">SUM(C30:I30)</f>
        <v>280</v>
      </c>
      <c r="L30" s="164">
        <f t="shared" ref="L30:R38" si="11">C30/$J30</f>
        <v>0.42857142857142855</v>
      </c>
      <c r="M30" s="164">
        <f t="shared" si="11"/>
        <v>0</v>
      </c>
      <c r="N30" s="164">
        <f t="shared" si="11"/>
        <v>0</v>
      </c>
      <c r="O30" s="164">
        <f t="shared" si="11"/>
        <v>0.14285714285714285</v>
      </c>
      <c r="P30" s="164">
        <f t="shared" si="11"/>
        <v>0.17857142857142858</v>
      </c>
      <c r="Q30" s="164">
        <f t="shared" si="11"/>
        <v>0</v>
      </c>
      <c r="R30" s="164">
        <f t="shared" si="11"/>
        <v>0.25</v>
      </c>
      <c r="S30" s="1"/>
    </row>
    <row r="31" spans="1:256">
      <c r="A31" s="171" t="s">
        <v>72</v>
      </c>
      <c r="B31" s="135">
        <v>11.7</v>
      </c>
      <c r="C31" s="166">
        <f t="shared" si="8"/>
        <v>200</v>
      </c>
      <c r="D31" s="166">
        <f t="shared" si="8"/>
        <v>50</v>
      </c>
      <c r="E31" s="166">
        <f t="shared" si="8"/>
        <v>25</v>
      </c>
      <c r="F31" s="166">
        <f>F44+F79+F101+F67+F90+F56</f>
        <v>400</v>
      </c>
      <c r="G31" s="166">
        <f>G44+G79+G101+G67+G90+G56</f>
        <v>150</v>
      </c>
      <c r="H31" s="166"/>
      <c r="I31" s="166">
        <f t="shared" si="9"/>
        <v>150</v>
      </c>
      <c r="J31" s="166">
        <f t="shared" si="10"/>
        <v>975</v>
      </c>
      <c r="L31" s="164">
        <f t="shared" si="11"/>
        <v>0.20512820512820512</v>
      </c>
      <c r="M31" s="164">
        <f t="shared" si="11"/>
        <v>5.128205128205128E-2</v>
      </c>
      <c r="N31" s="164">
        <f t="shared" si="11"/>
        <v>2.564102564102564E-2</v>
      </c>
      <c r="O31" s="164">
        <f t="shared" si="11"/>
        <v>0.41025641025641024</v>
      </c>
      <c r="P31" s="164">
        <f t="shared" si="11"/>
        <v>0.15384615384615385</v>
      </c>
      <c r="Q31" s="164">
        <f t="shared" si="11"/>
        <v>0</v>
      </c>
      <c r="R31" s="164">
        <f t="shared" si="11"/>
        <v>0.15384615384615385</v>
      </c>
      <c r="S31" s="1"/>
    </row>
    <row r="32" spans="1:256">
      <c r="A32" s="171" t="s">
        <v>77</v>
      </c>
      <c r="B32" s="135">
        <v>2.6</v>
      </c>
      <c r="C32" s="166">
        <f t="shared" si="8"/>
        <v>150</v>
      </c>
      <c r="D32" s="166">
        <f t="shared" si="8"/>
        <v>250</v>
      </c>
      <c r="E32" s="166">
        <f t="shared" si="8"/>
        <v>340</v>
      </c>
      <c r="F32" s="166">
        <f t="shared" si="8"/>
        <v>300</v>
      </c>
      <c r="G32" s="166">
        <v>0</v>
      </c>
      <c r="H32" s="166"/>
      <c r="I32" s="166">
        <f t="shared" si="9"/>
        <v>50</v>
      </c>
      <c r="J32" s="166">
        <f t="shared" si="10"/>
        <v>1090</v>
      </c>
      <c r="L32" s="164">
        <f t="shared" si="11"/>
        <v>0.13761467889908258</v>
      </c>
      <c r="M32" s="164">
        <f t="shared" si="11"/>
        <v>0.22935779816513763</v>
      </c>
      <c r="N32" s="164">
        <f t="shared" si="11"/>
        <v>0.31192660550458717</v>
      </c>
      <c r="O32" s="164">
        <f t="shared" si="11"/>
        <v>0.27522935779816515</v>
      </c>
      <c r="P32" s="164">
        <f t="shared" si="11"/>
        <v>0</v>
      </c>
      <c r="Q32" s="164">
        <f t="shared" si="11"/>
        <v>0</v>
      </c>
      <c r="R32" s="164">
        <f t="shared" si="11"/>
        <v>4.5871559633027525E-2</v>
      </c>
      <c r="S32" s="1"/>
    </row>
    <row r="33" spans="1:19">
      <c r="A33" s="171" t="s">
        <v>79</v>
      </c>
      <c r="B33" s="135">
        <v>2.6</v>
      </c>
      <c r="C33" s="166">
        <f t="shared" si="8"/>
        <v>180</v>
      </c>
      <c r="D33" s="166">
        <f t="shared" si="8"/>
        <v>100</v>
      </c>
      <c r="E33" s="166">
        <f t="shared" si="8"/>
        <v>190</v>
      </c>
      <c r="F33" s="166">
        <f t="shared" si="8"/>
        <v>400</v>
      </c>
      <c r="G33" s="166">
        <f>G46+G81+G103+G69+G92+G58</f>
        <v>150</v>
      </c>
      <c r="H33" s="166">
        <f>H46+H81+H103+H69+H92+H58</f>
        <v>250</v>
      </c>
      <c r="I33" s="166">
        <f t="shared" si="9"/>
        <v>100</v>
      </c>
      <c r="J33" s="166">
        <f t="shared" si="10"/>
        <v>1370</v>
      </c>
      <c r="L33" s="164">
        <f t="shared" si="11"/>
        <v>0.13138686131386862</v>
      </c>
      <c r="M33" s="164">
        <f t="shared" si="11"/>
        <v>7.2992700729927001E-2</v>
      </c>
      <c r="N33" s="164">
        <f t="shared" si="11"/>
        <v>0.13868613138686131</v>
      </c>
      <c r="O33" s="164">
        <f t="shared" si="11"/>
        <v>0.29197080291970801</v>
      </c>
      <c r="P33" s="164">
        <f t="shared" si="11"/>
        <v>0.10948905109489052</v>
      </c>
      <c r="Q33" s="164">
        <f t="shared" si="11"/>
        <v>0.18248175182481752</v>
      </c>
      <c r="R33" s="164">
        <f t="shared" si="11"/>
        <v>7.2992700729927001E-2</v>
      </c>
      <c r="S33" s="1"/>
    </row>
    <row r="34" spans="1:19">
      <c r="A34" s="171" t="s">
        <v>74</v>
      </c>
      <c r="B34" s="135">
        <v>19.5</v>
      </c>
      <c r="C34" s="166">
        <f t="shared" si="8"/>
        <v>270</v>
      </c>
      <c r="D34" s="166">
        <f t="shared" si="8"/>
        <v>170</v>
      </c>
      <c r="E34" s="166">
        <f t="shared" si="8"/>
        <v>110</v>
      </c>
      <c r="F34" s="166">
        <f t="shared" si="8"/>
        <v>600</v>
      </c>
      <c r="G34" s="166">
        <v>0</v>
      </c>
      <c r="H34" s="166"/>
      <c r="I34" s="166">
        <f t="shared" si="9"/>
        <v>100</v>
      </c>
      <c r="J34" s="166">
        <f t="shared" si="10"/>
        <v>1250</v>
      </c>
      <c r="L34" s="164">
        <f t="shared" si="11"/>
        <v>0.216</v>
      </c>
      <c r="M34" s="164">
        <f t="shared" si="11"/>
        <v>0.13600000000000001</v>
      </c>
      <c r="N34" s="164">
        <f t="shared" si="11"/>
        <v>8.7999999999999995E-2</v>
      </c>
      <c r="O34" s="164">
        <f t="shared" si="11"/>
        <v>0.48</v>
      </c>
      <c r="P34" s="164">
        <f t="shared" si="11"/>
        <v>0</v>
      </c>
      <c r="Q34" s="164">
        <f t="shared" si="11"/>
        <v>0</v>
      </c>
      <c r="R34" s="164">
        <f t="shared" si="11"/>
        <v>0.08</v>
      </c>
      <c r="S34" s="1"/>
    </row>
    <row r="35" spans="1:19">
      <c r="A35" s="171" t="s">
        <v>70</v>
      </c>
      <c r="B35" s="135">
        <v>7.8</v>
      </c>
      <c r="C35" s="166">
        <f t="shared" si="8"/>
        <v>190</v>
      </c>
      <c r="D35" s="166">
        <f t="shared" si="8"/>
        <v>380</v>
      </c>
      <c r="E35" s="166">
        <f t="shared" si="8"/>
        <v>160</v>
      </c>
      <c r="F35" s="166">
        <f t="shared" si="8"/>
        <v>100</v>
      </c>
      <c r="G35" s="166">
        <v>0</v>
      </c>
      <c r="H35" s="166">
        <f>H48+H83+H105+H71+H94+H60</f>
        <v>25</v>
      </c>
      <c r="I35" s="166">
        <f t="shared" si="9"/>
        <v>80</v>
      </c>
      <c r="J35" s="166">
        <f t="shared" si="10"/>
        <v>935</v>
      </c>
      <c r="L35" s="164">
        <f t="shared" si="11"/>
        <v>0.20320855614973263</v>
      </c>
      <c r="M35" s="164">
        <f t="shared" si="11"/>
        <v>0.40641711229946526</v>
      </c>
      <c r="N35" s="164">
        <f t="shared" si="11"/>
        <v>0.17112299465240641</v>
      </c>
      <c r="O35" s="164">
        <f t="shared" si="11"/>
        <v>0.10695187165775401</v>
      </c>
      <c r="P35" s="164">
        <f t="shared" si="11"/>
        <v>0</v>
      </c>
      <c r="Q35" s="164">
        <f t="shared" si="11"/>
        <v>2.6737967914438502E-2</v>
      </c>
      <c r="R35" s="164">
        <f t="shared" si="11"/>
        <v>8.5561497326203204E-2</v>
      </c>
      <c r="S35" s="1"/>
    </row>
    <row r="36" spans="1:19">
      <c r="A36" s="171" t="s">
        <v>78</v>
      </c>
      <c r="B36" s="135">
        <v>4.5999999999999996</v>
      </c>
      <c r="C36" s="166">
        <f t="shared" si="8"/>
        <v>300</v>
      </c>
      <c r="D36" s="166">
        <f t="shared" si="8"/>
        <v>555</v>
      </c>
      <c r="E36" s="166">
        <f t="shared" si="8"/>
        <v>680</v>
      </c>
      <c r="F36" s="166">
        <f t="shared" si="8"/>
        <v>200</v>
      </c>
      <c r="G36" s="166">
        <f>G49+G84+G106+G72+G95+G61</f>
        <v>30</v>
      </c>
      <c r="H36" s="166">
        <f>H49+H84+H106+H72+H95+H61</f>
        <v>25</v>
      </c>
      <c r="I36" s="166">
        <f t="shared" si="9"/>
        <v>400</v>
      </c>
      <c r="J36" s="166">
        <f t="shared" si="10"/>
        <v>2190</v>
      </c>
      <c r="L36" s="164">
        <f t="shared" si="11"/>
        <v>0.13698630136986301</v>
      </c>
      <c r="M36" s="164">
        <f t="shared" si="11"/>
        <v>0.25342465753424659</v>
      </c>
      <c r="N36" s="164">
        <f t="shared" si="11"/>
        <v>0.31050228310502281</v>
      </c>
      <c r="O36" s="164">
        <f t="shared" si="11"/>
        <v>9.1324200913242004E-2</v>
      </c>
      <c r="P36" s="164">
        <f t="shared" si="11"/>
        <v>1.3698630136986301E-2</v>
      </c>
      <c r="Q36" s="164">
        <f t="shared" si="11"/>
        <v>1.1415525114155251E-2</v>
      </c>
      <c r="R36" s="164">
        <f t="shared" si="11"/>
        <v>0.18264840182648401</v>
      </c>
      <c r="S36" s="1"/>
    </row>
    <row r="37" spans="1:19">
      <c r="A37" s="171" t="s">
        <v>83</v>
      </c>
      <c r="B37" s="135">
        <v>9.1</v>
      </c>
      <c r="C37" s="166">
        <f t="shared" si="8"/>
        <v>200</v>
      </c>
      <c r="D37" s="166">
        <f t="shared" si="8"/>
        <v>280</v>
      </c>
      <c r="E37" s="166">
        <f t="shared" si="8"/>
        <v>320</v>
      </c>
      <c r="F37" s="166">
        <f t="shared" si="8"/>
        <v>300</v>
      </c>
      <c r="G37" s="166">
        <f>G50+G85+G107+G73+G96+G62</f>
        <v>50</v>
      </c>
      <c r="H37" s="166">
        <f>H50+H85+H107+H73+H96+H62</f>
        <v>10</v>
      </c>
      <c r="I37" s="166">
        <f t="shared" si="9"/>
        <v>300</v>
      </c>
      <c r="J37" s="166">
        <f t="shared" si="10"/>
        <v>1460</v>
      </c>
      <c r="L37" s="164">
        <f t="shared" si="11"/>
        <v>0.13698630136986301</v>
      </c>
      <c r="M37" s="164">
        <f t="shared" si="11"/>
        <v>0.19178082191780821</v>
      </c>
      <c r="N37" s="164">
        <f t="shared" si="11"/>
        <v>0.21917808219178081</v>
      </c>
      <c r="O37" s="164">
        <f t="shared" si="11"/>
        <v>0.20547945205479451</v>
      </c>
      <c r="P37" s="164">
        <f t="shared" si="11"/>
        <v>3.4246575342465752E-2</v>
      </c>
      <c r="Q37" s="164">
        <f t="shared" si="11"/>
        <v>6.8493150684931503E-3</v>
      </c>
      <c r="R37" s="164">
        <f t="shared" si="11"/>
        <v>0.20547945205479451</v>
      </c>
      <c r="S37" s="1"/>
    </row>
    <row r="38" spans="1:19">
      <c r="A38" s="171" t="s">
        <v>477</v>
      </c>
      <c r="B38" s="135">
        <f>SUM(B30:B37)</f>
        <v>65.099999999999994</v>
      </c>
      <c r="C38" s="163">
        <f t="shared" ref="C38:J38" si="12">($B30*C30+$B31*C31+$B32*C32+$B33*C33+$B34*C34+$B35*C35+$B36*C36+$B37*C37)/$B38</f>
        <v>215.19201228878651</v>
      </c>
      <c r="D38" s="163">
        <f t="shared" si="12"/>
        <v>197.77265745007682</v>
      </c>
      <c r="E38" s="163">
        <f t="shared" si="12"/>
        <v>170.56067588325655</v>
      </c>
      <c r="F38" s="163">
        <f t="shared" si="12"/>
        <v>352.04301075268819</v>
      </c>
      <c r="G38" s="163">
        <f t="shared" si="12"/>
        <v>47.588325652841789</v>
      </c>
      <c r="H38" s="163">
        <f t="shared" si="12"/>
        <v>16.144393241167435</v>
      </c>
      <c r="I38" s="163">
        <f t="shared" si="12"/>
        <v>150.43010752688173</v>
      </c>
      <c r="J38" s="163">
        <f t="shared" si="12"/>
        <v>1149.7311827956989</v>
      </c>
      <c r="K38" s="172"/>
      <c r="L38" s="164">
        <f t="shared" si="11"/>
        <v>0.18716724005477808</v>
      </c>
      <c r="M38" s="164">
        <f t="shared" si="11"/>
        <v>0.1720164334146097</v>
      </c>
      <c r="N38" s="164">
        <f t="shared" si="11"/>
        <v>0.1483483082267277</v>
      </c>
      <c r="O38" s="164">
        <f t="shared" si="11"/>
        <v>0.30619593172784665</v>
      </c>
      <c r="P38" s="164">
        <f t="shared" si="11"/>
        <v>4.1390828016967841E-2</v>
      </c>
      <c r="Q38" s="164">
        <f t="shared" si="11"/>
        <v>1.4041885166505228E-2</v>
      </c>
      <c r="R38" s="164">
        <f t="shared" si="11"/>
        <v>0.13083937339256488</v>
      </c>
      <c r="S38" s="1"/>
    </row>
    <row r="39" spans="1:19">
      <c r="L39" s="1"/>
      <c r="M39" s="1"/>
      <c r="N39" s="1"/>
      <c r="O39" s="1"/>
      <c r="P39" s="1"/>
      <c r="Q39" s="1"/>
      <c r="R39" s="1"/>
      <c r="S39" s="1"/>
    </row>
    <row r="40" spans="1:19" s="158" customFormat="1" ht="12.75" customHeight="1">
      <c r="A40" s="799" t="s">
        <v>478</v>
      </c>
      <c r="B40" s="799"/>
      <c r="C40" s="799"/>
      <c r="D40" s="799"/>
      <c r="E40" s="799"/>
      <c r="F40" s="799"/>
      <c r="G40" s="799"/>
      <c r="H40" s="799"/>
      <c r="I40" s="799"/>
      <c r="J40" s="799"/>
      <c r="K40" s="156"/>
      <c r="L40" s="4"/>
      <c r="M40" s="4"/>
      <c r="N40" s="4"/>
      <c r="O40" s="4"/>
      <c r="P40" s="4"/>
      <c r="Q40" s="4"/>
      <c r="R40" s="4"/>
      <c r="S40" s="1"/>
    </row>
    <row r="41" spans="1:19">
      <c r="A41" s="169"/>
      <c r="B41" s="169"/>
      <c r="C41" s="1"/>
      <c r="D41" s="1"/>
      <c r="E41" s="1"/>
      <c r="F41" s="1"/>
      <c r="G41" s="1"/>
      <c r="H41" s="1"/>
      <c r="I41" s="1"/>
      <c r="J41" s="1"/>
      <c r="K41" s="161"/>
      <c r="L41" s="1"/>
      <c r="M41" s="1"/>
      <c r="N41" s="1"/>
      <c r="O41" s="1"/>
      <c r="P41" s="1"/>
      <c r="Q41" s="1"/>
      <c r="R41" s="1"/>
      <c r="S41" s="1"/>
    </row>
    <row r="42" spans="1:19" ht="38.25">
      <c r="A42" s="159" t="s">
        <v>479</v>
      </c>
      <c r="B42" s="170" t="s">
        <v>476</v>
      </c>
      <c r="C42" s="173" t="s">
        <v>42</v>
      </c>
      <c r="D42" s="173" t="s">
        <v>468</v>
      </c>
      <c r="E42" s="173" t="s">
        <v>469</v>
      </c>
      <c r="F42" s="173" t="s">
        <v>470</v>
      </c>
      <c r="G42" s="173" t="s">
        <v>471</v>
      </c>
      <c r="H42" s="173" t="s">
        <v>472</v>
      </c>
      <c r="I42" s="173" t="s">
        <v>43</v>
      </c>
      <c r="J42" s="160" t="s">
        <v>224</v>
      </c>
      <c r="K42" s="161"/>
      <c r="L42" s="160" t="s">
        <v>42</v>
      </c>
      <c r="M42" s="160" t="s">
        <v>468</v>
      </c>
      <c r="N42" s="160" t="s">
        <v>469</v>
      </c>
      <c r="O42" s="160" t="s">
        <v>470</v>
      </c>
      <c r="P42" s="160" t="s">
        <v>471</v>
      </c>
      <c r="Q42" s="160" t="s">
        <v>472</v>
      </c>
      <c r="R42" s="160" t="s">
        <v>43</v>
      </c>
      <c r="S42" s="1"/>
    </row>
    <row r="43" spans="1:19">
      <c r="A43" s="171" t="s">
        <v>80</v>
      </c>
      <c r="B43" s="135">
        <v>7.2</v>
      </c>
      <c r="C43" s="174">
        <v>120</v>
      </c>
      <c r="D43" s="174"/>
      <c r="E43" s="174"/>
      <c r="F43" s="174">
        <v>40</v>
      </c>
      <c r="G43" s="174">
        <v>50</v>
      </c>
      <c r="H43" s="174"/>
      <c r="I43" s="174">
        <v>70</v>
      </c>
      <c r="J43" s="174">
        <v>280</v>
      </c>
      <c r="K43" s="172"/>
      <c r="L43" s="164">
        <f t="shared" ref="L43:R51" si="13">C43/$J43</f>
        <v>0.42857142857142855</v>
      </c>
      <c r="M43" s="164">
        <f t="shared" si="13"/>
        <v>0</v>
      </c>
      <c r="N43" s="164">
        <f t="shared" si="13"/>
        <v>0</v>
      </c>
      <c r="O43" s="164">
        <f t="shared" si="13"/>
        <v>0.14285714285714285</v>
      </c>
      <c r="P43" s="164">
        <f t="shared" si="13"/>
        <v>0.17857142857142858</v>
      </c>
      <c r="Q43" s="164">
        <f t="shared" si="13"/>
        <v>0</v>
      </c>
      <c r="R43" s="164">
        <f t="shared" si="13"/>
        <v>0.25</v>
      </c>
      <c r="S43" s="1"/>
    </row>
    <row r="44" spans="1:19">
      <c r="A44" s="171" t="s">
        <v>72</v>
      </c>
      <c r="B44" s="135">
        <v>11.7</v>
      </c>
      <c r="C44" s="174">
        <v>200</v>
      </c>
      <c r="D44" s="174">
        <v>50</v>
      </c>
      <c r="E44" s="174">
        <v>20</v>
      </c>
      <c r="F44" s="174">
        <v>400</v>
      </c>
      <c r="G44" s="174">
        <v>150</v>
      </c>
      <c r="H44" s="174"/>
      <c r="I44" s="174">
        <v>150</v>
      </c>
      <c r="J44" s="174">
        <v>970</v>
      </c>
      <c r="K44" s="172"/>
      <c r="L44" s="164">
        <f t="shared" si="13"/>
        <v>0.20618556701030927</v>
      </c>
      <c r="M44" s="164">
        <f t="shared" si="13"/>
        <v>5.1546391752577317E-2</v>
      </c>
      <c r="N44" s="164">
        <f t="shared" si="13"/>
        <v>2.0618556701030927E-2</v>
      </c>
      <c r="O44" s="164">
        <f t="shared" si="13"/>
        <v>0.41237113402061853</v>
      </c>
      <c r="P44" s="164">
        <f t="shared" si="13"/>
        <v>0.15463917525773196</v>
      </c>
      <c r="Q44" s="164">
        <f t="shared" si="13"/>
        <v>0</v>
      </c>
      <c r="R44" s="164">
        <f t="shared" si="13"/>
        <v>0.15463917525773196</v>
      </c>
      <c r="S44" s="1"/>
    </row>
    <row r="45" spans="1:19">
      <c r="A45" s="171" t="s">
        <v>77</v>
      </c>
      <c r="B45" s="135">
        <v>2.6</v>
      </c>
      <c r="C45" s="174">
        <v>150</v>
      </c>
      <c r="D45" s="174">
        <v>200</v>
      </c>
      <c r="E45" s="174">
        <v>150</v>
      </c>
      <c r="F45" s="174">
        <v>300</v>
      </c>
      <c r="G45" s="174"/>
      <c r="H45" s="174"/>
      <c r="I45" s="174">
        <v>50</v>
      </c>
      <c r="J45" s="174">
        <v>850</v>
      </c>
      <c r="K45" s="172"/>
      <c r="L45" s="164">
        <f t="shared" si="13"/>
        <v>0.17647058823529413</v>
      </c>
      <c r="M45" s="164">
        <f t="shared" si="13"/>
        <v>0.23529411764705882</v>
      </c>
      <c r="N45" s="164">
        <f t="shared" si="13"/>
        <v>0.17647058823529413</v>
      </c>
      <c r="O45" s="164">
        <f t="shared" si="13"/>
        <v>0.35294117647058826</v>
      </c>
      <c r="P45" s="164">
        <f t="shared" si="13"/>
        <v>0</v>
      </c>
      <c r="Q45" s="164">
        <f t="shared" si="13"/>
        <v>0</v>
      </c>
      <c r="R45" s="164">
        <f t="shared" si="13"/>
        <v>5.8823529411764705E-2</v>
      </c>
      <c r="S45" s="1"/>
    </row>
    <row r="46" spans="1:19">
      <c r="A46" s="171" t="s">
        <v>79</v>
      </c>
      <c r="B46" s="135">
        <v>2.6</v>
      </c>
      <c r="C46" s="174">
        <v>180</v>
      </c>
      <c r="D46" s="174">
        <v>50</v>
      </c>
      <c r="E46" s="174">
        <v>30</v>
      </c>
      <c r="F46" s="174">
        <v>400</v>
      </c>
      <c r="G46" s="174">
        <v>150</v>
      </c>
      <c r="H46" s="174">
        <v>120</v>
      </c>
      <c r="I46" s="174">
        <v>100</v>
      </c>
      <c r="J46" s="174">
        <v>1030</v>
      </c>
      <c r="K46" s="172"/>
      <c r="L46" s="164">
        <f t="shared" si="13"/>
        <v>0.17475728155339806</v>
      </c>
      <c r="M46" s="164">
        <f t="shared" si="13"/>
        <v>4.8543689320388349E-2</v>
      </c>
      <c r="N46" s="164">
        <f t="shared" si="13"/>
        <v>2.9126213592233011E-2</v>
      </c>
      <c r="O46" s="164">
        <f t="shared" si="13"/>
        <v>0.38834951456310679</v>
      </c>
      <c r="P46" s="164">
        <f t="shared" si="13"/>
        <v>0.14563106796116504</v>
      </c>
      <c r="Q46" s="164">
        <f t="shared" si="13"/>
        <v>0.11650485436893204</v>
      </c>
      <c r="R46" s="164">
        <f t="shared" si="13"/>
        <v>9.7087378640776698E-2</v>
      </c>
      <c r="S46" s="1"/>
    </row>
    <row r="47" spans="1:19">
      <c r="A47" s="171" t="s">
        <v>74</v>
      </c>
      <c r="B47" s="135">
        <v>19.5</v>
      </c>
      <c r="C47" s="174">
        <v>270</v>
      </c>
      <c r="D47" s="174">
        <v>100</v>
      </c>
      <c r="E47" s="174">
        <v>10</v>
      </c>
      <c r="F47" s="174">
        <v>600</v>
      </c>
      <c r="G47" s="174"/>
      <c r="H47" s="174"/>
      <c r="I47" s="174">
        <v>100</v>
      </c>
      <c r="J47" s="174">
        <v>1080</v>
      </c>
      <c r="K47" s="172"/>
      <c r="L47" s="164">
        <f t="shared" si="13"/>
        <v>0.25</v>
      </c>
      <c r="M47" s="164">
        <f t="shared" si="13"/>
        <v>9.2592592592592587E-2</v>
      </c>
      <c r="N47" s="164">
        <f t="shared" si="13"/>
        <v>9.2592592592592587E-3</v>
      </c>
      <c r="O47" s="164">
        <f t="shared" si="13"/>
        <v>0.55555555555555558</v>
      </c>
      <c r="P47" s="164">
        <f t="shared" si="13"/>
        <v>0</v>
      </c>
      <c r="Q47" s="164">
        <f t="shared" si="13"/>
        <v>0</v>
      </c>
      <c r="R47" s="164">
        <f t="shared" si="13"/>
        <v>9.2592592592592587E-2</v>
      </c>
      <c r="S47" s="1"/>
    </row>
    <row r="48" spans="1:19">
      <c r="A48" s="171" t="s">
        <v>70</v>
      </c>
      <c r="B48" s="135">
        <v>7.8</v>
      </c>
      <c r="C48" s="174">
        <v>190</v>
      </c>
      <c r="D48" s="174">
        <v>50</v>
      </c>
      <c r="E48" s="174">
        <v>10</v>
      </c>
      <c r="F48" s="174">
        <v>100</v>
      </c>
      <c r="G48" s="174"/>
      <c r="H48" s="174"/>
      <c r="I48" s="174">
        <v>80</v>
      </c>
      <c r="J48" s="174">
        <v>430</v>
      </c>
      <c r="K48" s="172"/>
      <c r="L48" s="164">
        <f t="shared" si="13"/>
        <v>0.44186046511627908</v>
      </c>
      <c r="M48" s="164">
        <f t="shared" si="13"/>
        <v>0.11627906976744186</v>
      </c>
      <c r="N48" s="164">
        <f t="shared" si="13"/>
        <v>2.3255813953488372E-2</v>
      </c>
      <c r="O48" s="164">
        <f t="shared" si="13"/>
        <v>0.23255813953488372</v>
      </c>
      <c r="P48" s="164">
        <f t="shared" si="13"/>
        <v>0</v>
      </c>
      <c r="Q48" s="164">
        <f t="shared" si="13"/>
        <v>0</v>
      </c>
      <c r="R48" s="164">
        <f t="shared" si="13"/>
        <v>0.18604651162790697</v>
      </c>
      <c r="S48" s="1"/>
    </row>
    <row r="49" spans="1:19">
      <c r="A49" s="171" t="s">
        <v>78</v>
      </c>
      <c r="B49" s="135">
        <v>4.5999999999999996</v>
      </c>
      <c r="C49" s="174">
        <v>300</v>
      </c>
      <c r="D49" s="174">
        <v>50</v>
      </c>
      <c r="E49" s="174">
        <v>100</v>
      </c>
      <c r="F49" s="174">
        <v>200</v>
      </c>
      <c r="G49" s="174">
        <v>30</v>
      </c>
      <c r="H49" s="174"/>
      <c r="I49" s="174">
        <v>150</v>
      </c>
      <c r="J49" s="174">
        <v>830</v>
      </c>
      <c r="K49" s="172"/>
      <c r="L49" s="164">
        <f t="shared" si="13"/>
        <v>0.36144578313253012</v>
      </c>
      <c r="M49" s="164">
        <f t="shared" si="13"/>
        <v>6.0240963855421686E-2</v>
      </c>
      <c r="N49" s="164">
        <f t="shared" si="13"/>
        <v>0.12048192771084337</v>
      </c>
      <c r="O49" s="164">
        <f t="shared" si="13"/>
        <v>0.24096385542168675</v>
      </c>
      <c r="P49" s="164">
        <f t="shared" si="13"/>
        <v>3.614457831325301E-2</v>
      </c>
      <c r="Q49" s="164">
        <f t="shared" si="13"/>
        <v>0</v>
      </c>
      <c r="R49" s="164">
        <f t="shared" si="13"/>
        <v>0.18072289156626506</v>
      </c>
      <c r="S49" s="1"/>
    </row>
    <row r="50" spans="1:19">
      <c r="A50" s="171" t="s">
        <v>83</v>
      </c>
      <c r="B50" s="135">
        <v>9.1</v>
      </c>
      <c r="C50" s="174">
        <v>200</v>
      </c>
      <c r="D50" s="174">
        <v>50</v>
      </c>
      <c r="E50" s="174">
        <v>30</v>
      </c>
      <c r="F50" s="174">
        <v>300</v>
      </c>
      <c r="G50" s="174">
        <v>50</v>
      </c>
      <c r="H50" s="174"/>
      <c r="I50" s="174">
        <v>100</v>
      </c>
      <c r="J50" s="174">
        <v>730</v>
      </c>
      <c r="K50" s="172"/>
      <c r="L50" s="164">
        <f t="shared" si="13"/>
        <v>0.27397260273972601</v>
      </c>
      <c r="M50" s="164">
        <f t="shared" si="13"/>
        <v>6.8493150684931503E-2</v>
      </c>
      <c r="N50" s="164">
        <f t="shared" si="13"/>
        <v>4.1095890410958902E-2</v>
      </c>
      <c r="O50" s="164">
        <f t="shared" si="13"/>
        <v>0.41095890410958902</v>
      </c>
      <c r="P50" s="164">
        <f t="shared" si="13"/>
        <v>6.8493150684931503E-2</v>
      </c>
      <c r="Q50" s="164">
        <f t="shared" si="13"/>
        <v>0</v>
      </c>
      <c r="R50" s="164">
        <f t="shared" si="13"/>
        <v>0.13698630136986301</v>
      </c>
      <c r="S50" s="1"/>
    </row>
    <row r="51" spans="1:19">
      <c r="A51" s="171" t="s">
        <v>477</v>
      </c>
      <c r="B51" s="134">
        <f>SUM(B43:B50)</f>
        <v>65.099999999999994</v>
      </c>
      <c r="C51" s="163">
        <f t="shared" ref="C51:J51" si="14">($B43*C43+$B44*C44+$B45*C45+$B46*C46+$B47*C47+$B48*C48+$B49*C49+$B50*C50)/$B51</f>
        <v>215.19201228878651</v>
      </c>
      <c r="D51" s="163">
        <f t="shared" si="14"/>
        <v>65.437788018433181</v>
      </c>
      <c r="E51" s="163">
        <f t="shared" si="14"/>
        <v>26.236559139784948</v>
      </c>
      <c r="F51" s="163">
        <f t="shared" si="14"/>
        <v>352.04301075268819</v>
      </c>
      <c r="G51" s="163">
        <f t="shared" si="14"/>
        <v>47.588325652841789</v>
      </c>
      <c r="H51" s="163">
        <f t="shared" si="14"/>
        <v>4.7926267281105996</v>
      </c>
      <c r="I51" s="163">
        <f t="shared" si="14"/>
        <v>104.80798771121353</v>
      </c>
      <c r="J51" s="163">
        <f t="shared" si="14"/>
        <v>816.09831029185875</v>
      </c>
      <c r="K51" s="172"/>
      <c r="L51" s="164">
        <f t="shared" si="13"/>
        <v>0.26368393314259903</v>
      </c>
      <c r="M51" s="164">
        <f t="shared" si="13"/>
        <v>8.0183707273001045E-2</v>
      </c>
      <c r="N51" s="164">
        <f t="shared" si="13"/>
        <v>3.2148772775184457E-2</v>
      </c>
      <c r="O51" s="164">
        <f t="shared" si="13"/>
        <v>0.43137328715554885</v>
      </c>
      <c r="P51" s="164">
        <f t="shared" si="13"/>
        <v>5.8312001204637857E-2</v>
      </c>
      <c r="Q51" s="164">
        <f t="shared" si="13"/>
        <v>5.8726095467550067E-3</v>
      </c>
      <c r="R51" s="164">
        <f t="shared" si="13"/>
        <v>0.12842568890227377</v>
      </c>
      <c r="S51" s="1"/>
    </row>
    <row r="52" spans="1:19">
      <c r="L52" s="1"/>
      <c r="M52" s="1"/>
      <c r="N52" s="1"/>
      <c r="O52" s="1"/>
      <c r="P52" s="1"/>
      <c r="Q52" s="1"/>
      <c r="R52" s="1"/>
      <c r="S52" s="1"/>
    </row>
    <row r="53" spans="1:19">
      <c r="L53" s="1"/>
      <c r="M53" s="1"/>
      <c r="N53" s="1"/>
      <c r="O53" s="1"/>
      <c r="P53" s="1"/>
      <c r="Q53" s="1"/>
      <c r="R53" s="1"/>
      <c r="S53" s="1"/>
    </row>
    <row r="54" spans="1:19" ht="38.25">
      <c r="A54" s="159" t="s">
        <v>138</v>
      </c>
      <c r="B54" s="159"/>
      <c r="C54" s="160" t="s">
        <v>42</v>
      </c>
      <c r="D54" s="160" t="s">
        <v>468</v>
      </c>
      <c r="E54" s="173" t="s">
        <v>469</v>
      </c>
      <c r="F54" s="160" t="s">
        <v>470</v>
      </c>
      <c r="G54" s="160" t="s">
        <v>471</v>
      </c>
      <c r="H54" s="173" t="s">
        <v>472</v>
      </c>
      <c r="I54" s="160" t="s">
        <v>43</v>
      </c>
      <c r="J54" s="160" t="s">
        <v>224</v>
      </c>
      <c r="L54" s="160" t="s">
        <v>42</v>
      </c>
      <c r="M54" s="160" t="s">
        <v>468</v>
      </c>
      <c r="N54" s="160" t="s">
        <v>469</v>
      </c>
      <c r="O54" s="160" t="s">
        <v>470</v>
      </c>
      <c r="P54" s="160" t="s">
        <v>471</v>
      </c>
      <c r="Q54" s="160" t="s">
        <v>472</v>
      </c>
      <c r="R54" s="160" t="s">
        <v>43</v>
      </c>
      <c r="S54" s="1"/>
    </row>
    <row r="55" spans="1:19">
      <c r="A55" s="171" t="s">
        <v>80</v>
      </c>
      <c r="B55" s="135">
        <v>7.2</v>
      </c>
      <c r="C55" s="175">
        <v>0</v>
      </c>
      <c r="D55" s="175">
        <v>0</v>
      </c>
      <c r="E55" s="175"/>
      <c r="F55" s="175">
        <v>0</v>
      </c>
      <c r="G55" s="175">
        <v>0</v>
      </c>
      <c r="H55" s="175">
        <v>0</v>
      </c>
      <c r="I55" s="175">
        <v>0</v>
      </c>
      <c r="J55" s="175">
        <v>0</v>
      </c>
      <c r="L55" s="164" t="e">
        <f t="shared" ref="L55:R63" si="15">C55/$J55</f>
        <v>#DIV/0!</v>
      </c>
      <c r="M55" s="164" t="e">
        <f t="shared" si="15"/>
        <v>#DIV/0!</v>
      </c>
      <c r="N55" s="164" t="e">
        <f t="shared" si="15"/>
        <v>#DIV/0!</v>
      </c>
      <c r="O55" s="164" t="e">
        <f t="shared" si="15"/>
        <v>#DIV/0!</v>
      </c>
      <c r="P55" s="164" t="e">
        <f t="shared" si="15"/>
        <v>#DIV/0!</v>
      </c>
      <c r="Q55" s="164" t="e">
        <f t="shared" si="15"/>
        <v>#DIV/0!</v>
      </c>
      <c r="R55" s="164" t="e">
        <f t="shared" si="15"/>
        <v>#DIV/0!</v>
      </c>
      <c r="S55" s="1"/>
    </row>
    <row r="56" spans="1:19">
      <c r="A56" s="171" t="s">
        <v>72</v>
      </c>
      <c r="B56" s="135">
        <v>11.7</v>
      </c>
      <c r="C56" s="175">
        <v>0</v>
      </c>
      <c r="D56" s="175">
        <v>0</v>
      </c>
      <c r="E56" s="175"/>
      <c r="F56" s="175">
        <v>0</v>
      </c>
      <c r="G56" s="175">
        <v>0</v>
      </c>
      <c r="H56" s="175">
        <v>0</v>
      </c>
      <c r="I56" s="175">
        <v>0</v>
      </c>
      <c r="J56" s="175">
        <v>0</v>
      </c>
      <c r="L56" s="164" t="e">
        <f t="shared" si="15"/>
        <v>#DIV/0!</v>
      </c>
      <c r="M56" s="164" t="e">
        <f t="shared" si="15"/>
        <v>#DIV/0!</v>
      </c>
      <c r="N56" s="164" t="e">
        <f t="shared" si="15"/>
        <v>#DIV/0!</v>
      </c>
      <c r="O56" s="164" t="e">
        <f t="shared" si="15"/>
        <v>#DIV/0!</v>
      </c>
      <c r="P56" s="164" t="e">
        <f t="shared" si="15"/>
        <v>#DIV/0!</v>
      </c>
      <c r="Q56" s="164" t="e">
        <f t="shared" si="15"/>
        <v>#DIV/0!</v>
      </c>
      <c r="R56" s="164" t="e">
        <f t="shared" si="15"/>
        <v>#DIV/0!</v>
      </c>
      <c r="S56" s="1"/>
    </row>
    <row r="57" spans="1:19">
      <c r="A57" s="176" t="s">
        <v>77</v>
      </c>
      <c r="B57" s="135">
        <v>2.6</v>
      </c>
      <c r="C57" s="175">
        <v>0</v>
      </c>
      <c r="D57" s="175">
        <v>0</v>
      </c>
      <c r="E57" s="175">
        <v>30</v>
      </c>
      <c r="F57" s="175">
        <v>0</v>
      </c>
      <c r="G57" s="175">
        <v>0</v>
      </c>
      <c r="H57" s="175">
        <v>0</v>
      </c>
      <c r="I57" s="175">
        <v>0</v>
      </c>
      <c r="J57" s="175">
        <v>30</v>
      </c>
      <c r="L57" s="164">
        <f t="shared" si="15"/>
        <v>0</v>
      </c>
      <c r="M57" s="164">
        <f t="shared" si="15"/>
        <v>0</v>
      </c>
      <c r="N57" s="164">
        <f t="shared" si="15"/>
        <v>1</v>
      </c>
      <c r="O57" s="164">
        <f t="shared" si="15"/>
        <v>0</v>
      </c>
      <c r="P57" s="164">
        <f t="shared" si="15"/>
        <v>0</v>
      </c>
      <c r="Q57" s="164">
        <f t="shared" si="15"/>
        <v>0</v>
      </c>
      <c r="R57" s="164">
        <f t="shared" si="15"/>
        <v>0</v>
      </c>
      <c r="S57" s="1"/>
    </row>
    <row r="58" spans="1:19">
      <c r="A58" s="176" t="s">
        <v>79</v>
      </c>
      <c r="B58" s="135">
        <v>2.6</v>
      </c>
      <c r="C58" s="175">
        <v>0</v>
      </c>
      <c r="D58" s="175">
        <v>0</v>
      </c>
      <c r="E58" s="175">
        <v>10</v>
      </c>
      <c r="F58" s="175">
        <v>0</v>
      </c>
      <c r="G58" s="175">
        <v>0</v>
      </c>
      <c r="H58" s="175">
        <v>80</v>
      </c>
      <c r="I58" s="175">
        <v>0</v>
      </c>
      <c r="J58" s="175">
        <v>90</v>
      </c>
      <c r="L58" s="164">
        <f t="shared" si="15"/>
        <v>0</v>
      </c>
      <c r="M58" s="164">
        <f t="shared" si="15"/>
        <v>0</v>
      </c>
      <c r="N58" s="164">
        <f t="shared" si="15"/>
        <v>0.1111111111111111</v>
      </c>
      <c r="O58" s="164">
        <f t="shared" si="15"/>
        <v>0</v>
      </c>
      <c r="P58" s="164">
        <f t="shared" si="15"/>
        <v>0</v>
      </c>
      <c r="Q58" s="164">
        <f t="shared" si="15"/>
        <v>0.88888888888888884</v>
      </c>
      <c r="R58" s="164">
        <f t="shared" si="15"/>
        <v>0</v>
      </c>
      <c r="S58" s="1"/>
    </row>
    <row r="59" spans="1:19">
      <c r="A59" s="176" t="s">
        <v>74</v>
      </c>
      <c r="B59" s="135">
        <v>19.5</v>
      </c>
      <c r="C59" s="175">
        <v>0</v>
      </c>
      <c r="D59" s="175">
        <v>0</v>
      </c>
      <c r="E59" s="175">
        <v>40</v>
      </c>
      <c r="F59" s="175">
        <v>0</v>
      </c>
      <c r="G59" s="175">
        <v>0</v>
      </c>
      <c r="H59" s="175"/>
      <c r="I59" s="175">
        <v>0</v>
      </c>
      <c r="J59" s="175">
        <v>40</v>
      </c>
      <c r="L59" s="164">
        <f t="shared" si="15"/>
        <v>0</v>
      </c>
      <c r="M59" s="164">
        <f t="shared" si="15"/>
        <v>0</v>
      </c>
      <c r="N59" s="164">
        <f t="shared" si="15"/>
        <v>1</v>
      </c>
      <c r="O59" s="164">
        <f t="shared" si="15"/>
        <v>0</v>
      </c>
      <c r="P59" s="164">
        <f t="shared" si="15"/>
        <v>0</v>
      </c>
      <c r="Q59" s="164">
        <f t="shared" si="15"/>
        <v>0</v>
      </c>
      <c r="R59" s="164">
        <f t="shared" si="15"/>
        <v>0</v>
      </c>
      <c r="S59" s="1"/>
    </row>
    <row r="60" spans="1:19">
      <c r="A60" s="176" t="s">
        <v>70</v>
      </c>
      <c r="B60" s="135">
        <v>7.8</v>
      </c>
      <c r="C60" s="175">
        <v>0</v>
      </c>
      <c r="D60" s="175">
        <v>0</v>
      </c>
      <c r="E60" s="175">
        <v>20</v>
      </c>
      <c r="F60" s="175">
        <v>0</v>
      </c>
      <c r="G60" s="175">
        <v>0</v>
      </c>
      <c r="H60" s="175">
        <v>25</v>
      </c>
      <c r="I60" s="175">
        <v>0</v>
      </c>
      <c r="J60" s="175">
        <v>45</v>
      </c>
      <c r="L60" s="164">
        <f t="shared" si="15"/>
        <v>0</v>
      </c>
      <c r="M60" s="164">
        <f t="shared" si="15"/>
        <v>0</v>
      </c>
      <c r="N60" s="164">
        <f t="shared" si="15"/>
        <v>0.44444444444444442</v>
      </c>
      <c r="O60" s="164">
        <f t="shared" si="15"/>
        <v>0</v>
      </c>
      <c r="P60" s="164">
        <f t="shared" si="15"/>
        <v>0</v>
      </c>
      <c r="Q60" s="164">
        <f t="shared" si="15"/>
        <v>0.55555555555555558</v>
      </c>
      <c r="R60" s="164">
        <f t="shared" si="15"/>
        <v>0</v>
      </c>
      <c r="S60" s="1"/>
    </row>
    <row r="61" spans="1:19">
      <c r="A61" s="176" t="s">
        <v>78</v>
      </c>
      <c r="B61" s="135">
        <v>4.5999999999999996</v>
      </c>
      <c r="C61" s="175">
        <v>0</v>
      </c>
      <c r="D61" s="175">
        <v>0</v>
      </c>
      <c r="E61" s="175">
        <v>40</v>
      </c>
      <c r="F61" s="175">
        <v>0</v>
      </c>
      <c r="G61" s="175">
        <v>0</v>
      </c>
      <c r="H61" s="175">
        <v>25</v>
      </c>
      <c r="I61" s="175">
        <v>0</v>
      </c>
      <c r="J61" s="175">
        <v>65</v>
      </c>
      <c r="L61" s="164">
        <f t="shared" si="15"/>
        <v>0</v>
      </c>
      <c r="M61" s="164">
        <f t="shared" si="15"/>
        <v>0</v>
      </c>
      <c r="N61" s="164">
        <f t="shared" si="15"/>
        <v>0.61538461538461542</v>
      </c>
      <c r="O61" s="164">
        <f t="shared" si="15"/>
        <v>0</v>
      </c>
      <c r="P61" s="164">
        <f t="shared" si="15"/>
        <v>0</v>
      </c>
      <c r="Q61" s="164">
        <f t="shared" si="15"/>
        <v>0.38461538461538464</v>
      </c>
      <c r="R61" s="164">
        <f t="shared" si="15"/>
        <v>0</v>
      </c>
      <c r="S61" s="1"/>
    </row>
    <row r="62" spans="1:19">
      <c r="A62" s="176" t="s">
        <v>83</v>
      </c>
      <c r="B62" s="135">
        <v>9.1</v>
      </c>
      <c r="C62" s="175">
        <v>0</v>
      </c>
      <c r="D62" s="175">
        <v>0</v>
      </c>
      <c r="E62" s="175">
        <v>20</v>
      </c>
      <c r="F62" s="175">
        <v>0</v>
      </c>
      <c r="G62" s="175">
        <v>0</v>
      </c>
      <c r="H62" s="175">
        <v>10</v>
      </c>
      <c r="I62" s="175">
        <v>0</v>
      </c>
      <c r="J62" s="175">
        <v>30</v>
      </c>
      <c r="L62" s="164">
        <f t="shared" si="15"/>
        <v>0</v>
      </c>
      <c r="M62" s="164">
        <f t="shared" si="15"/>
        <v>0</v>
      </c>
      <c r="N62" s="164">
        <f t="shared" si="15"/>
        <v>0.66666666666666663</v>
      </c>
      <c r="O62" s="164">
        <f t="shared" si="15"/>
        <v>0</v>
      </c>
      <c r="P62" s="164">
        <f t="shared" si="15"/>
        <v>0</v>
      </c>
      <c r="Q62" s="164">
        <f t="shared" si="15"/>
        <v>0.33333333333333331</v>
      </c>
      <c r="R62" s="164">
        <f t="shared" si="15"/>
        <v>0</v>
      </c>
      <c r="S62" s="1"/>
    </row>
    <row r="63" spans="1:19">
      <c r="A63" s="171" t="s">
        <v>477</v>
      </c>
      <c r="B63" s="134">
        <f>SUM(B55:B62)</f>
        <v>65.099999999999994</v>
      </c>
      <c r="C63" s="163">
        <f t="shared" ref="C63:J63" si="16">($B55*C55+$B56*C56+$B57*C57+$B58*C58+$B59*C59+$B60*C60+$B61*C61+$B62*C62)/$B63</f>
        <v>0</v>
      </c>
      <c r="D63" s="163">
        <f t="shared" si="16"/>
        <v>0</v>
      </c>
      <c r="E63" s="163">
        <f t="shared" si="16"/>
        <v>21.597542242703536</v>
      </c>
      <c r="F63" s="163">
        <f t="shared" si="16"/>
        <v>0</v>
      </c>
      <c r="G63" s="163">
        <f t="shared" si="16"/>
        <v>0</v>
      </c>
      <c r="H63" s="163">
        <f t="shared" si="16"/>
        <v>9.3548387096774199</v>
      </c>
      <c r="I63" s="163">
        <f t="shared" si="16"/>
        <v>0</v>
      </c>
      <c r="J63" s="163">
        <f t="shared" si="16"/>
        <v>30.952380952380956</v>
      </c>
      <c r="K63" s="172"/>
      <c r="L63" s="164">
        <f t="shared" si="15"/>
        <v>0</v>
      </c>
      <c r="M63" s="164">
        <f t="shared" si="15"/>
        <v>0</v>
      </c>
      <c r="N63" s="164">
        <f t="shared" si="15"/>
        <v>0.69776674937965266</v>
      </c>
      <c r="O63" s="164">
        <f t="shared" si="15"/>
        <v>0</v>
      </c>
      <c r="P63" s="164">
        <f t="shared" si="15"/>
        <v>0</v>
      </c>
      <c r="Q63" s="164">
        <f t="shared" si="15"/>
        <v>0.30223325062034739</v>
      </c>
      <c r="R63" s="164">
        <f t="shared" si="15"/>
        <v>0</v>
      </c>
      <c r="S63" s="1"/>
    </row>
    <row r="64" spans="1:19">
      <c r="A64" s="171"/>
      <c r="B64" s="171"/>
      <c r="C64" s="177"/>
      <c r="D64" s="177"/>
      <c r="E64" s="177"/>
      <c r="F64" s="177"/>
      <c r="G64" s="177"/>
      <c r="H64" s="177"/>
      <c r="I64" s="177"/>
      <c r="J64" s="177"/>
      <c r="K64" s="172"/>
      <c r="L64" s="1"/>
      <c r="M64" s="1"/>
      <c r="N64" s="1"/>
      <c r="O64" s="1"/>
      <c r="P64" s="1"/>
      <c r="Q64" s="1"/>
      <c r="R64" s="1"/>
      <c r="S64" s="1"/>
    </row>
    <row r="65" spans="1:19" ht="38.25">
      <c r="A65" s="178" t="s">
        <v>139</v>
      </c>
      <c r="B65" s="178"/>
      <c r="C65" s="160" t="s">
        <v>42</v>
      </c>
      <c r="D65" s="160" t="s">
        <v>468</v>
      </c>
      <c r="E65" s="173" t="s">
        <v>469</v>
      </c>
      <c r="F65" s="160" t="s">
        <v>470</v>
      </c>
      <c r="G65" s="160" t="s">
        <v>471</v>
      </c>
      <c r="H65" s="160" t="s">
        <v>472</v>
      </c>
      <c r="I65" s="160" t="s">
        <v>43</v>
      </c>
      <c r="J65" s="160" t="s">
        <v>224</v>
      </c>
      <c r="L65" s="160" t="s">
        <v>42</v>
      </c>
      <c r="M65" s="160" t="s">
        <v>468</v>
      </c>
      <c r="N65" s="160" t="s">
        <v>469</v>
      </c>
      <c r="O65" s="160" t="s">
        <v>470</v>
      </c>
      <c r="P65" s="160" t="s">
        <v>471</v>
      </c>
      <c r="Q65" s="160" t="s">
        <v>472</v>
      </c>
      <c r="R65" s="160" t="s">
        <v>43</v>
      </c>
      <c r="S65" s="1"/>
    </row>
    <row r="66" spans="1:19">
      <c r="A66" s="171" t="s">
        <v>80</v>
      </c>
      <c r="B66" s="135">
        <v>7.2</v>
      </c>
      <c r="C66" s="175">
        <v>0</v>
      </c>
      <c r="D66" s="175">
        <v>0</v>
      </c>
      <c r="E66" s="175"/>
      <c r="F66" s="175">
        <v>0</v>
      </c>
      <c r="G66" s="175">
        <v>0</v>
      </c>
      <c r="H66" s="175">
        <v>0</v>
      </c>
      <c r="I66" s="175">
        <v>0</v>
      </c>
      <c r="J66" s="175"/>
      <c r="L66" s="164" t="e">
        <f t="shared" ref="L66:R74" si="17">C66/$J66</f>
        <v>#DIV/0!</v>
      </c>
      <c r="M66" s="164" t="e">
        <f t="shared" si="17"/>
        <v>#DIV/0!</v>
      </c>
      <c r="N66" s="164" t="e">
        <f t="shared" si="17"/>
        <v>#DIV/0!</v>
      </c>
      <c r="O66" s="164" t="e">
        <f t="shared" si="17"/>
        <v>#DIV/0!</v>
      </c>
      <c r="P66" s="164" t="e">
        <f t="shared" si="17"/>
        <v>#DIV/0!</v>
      </c>
      <c r="Q66" s="164" t="e">
        <f t="shared" si="17"/>
        <v>#DIV/0!</v>
      </c>
      <c r="R66" s="164" t="e">
        <f t="shared" si="17"/>
        <v>#DIV/0!</v>
      </c>
      <c r="S66" s="1"/>
    </row>
    <row r="67" spans="1:19">
      <c r="A67" s="176" t="s">
        <v>72</v>
      </c>
      <c r="B67" s="135">
        <v>11.7</v>
      </c>
      <c r="C67" s="175">
        <v>0</v>
      </c>
      <c r="D67" s="175">
        <v>0</v>
      </c>
      <c r="E67" s="175">
        <v>5</v>
      </c>
      <c r="F67" s="175">
        <v>0</v>
      </c>
      <c r="G67" s="175">
        <v>0</v>
      </c>
      <c r="H67" s="175">
        <v>0</v>
      </c>
      <c r="I67" s="175">
        <v>0</v>
      </c>
      <c r="J67" s="175">
        <v>5</v>
      </c>
      <c r="L67" s="164">
        <f t="shared" si="17"/>
        <v>0</v>
      </c>
      <c r="M67" s="164">
        <f t="shared" si="17"/>
        <v>0</v>
      </c>
      <c r="N67" s="164">
        <f t="shared" si="17"/>
        <v>1</v>
      </c>
      <c r="O67" s="164">
        <f t="shared" si="17"/>
        <v>0</v>
      </c>
      <c r="P67" s="164">
        <f t="shared" si="17"/>
        <v>0</v>
      </c>
      <c r="Q67" s="164">
        <f t="shared" si="17"/>
        <v>0</v>
      </c>
      <c r="R67" s="164">
        <f t="shared" si="17"/>
        <v>0</v>
      </c>
      <c r="S67" s="1"/>
    </row>
    <row r="68" spans="1:19">
      <c r="A68" s="176" t="s">
        <v>77</v>
      </c>
      <c r="B68" s="135">
        <v>2.6</v>
      </c>
      <c r="C68" s="175">
        <v>0</v>
      </c>
      <c r="D68" s="175">
        <v>0</v>
      </c>
      <c r="E68" s="175">
        <v>10</v>
      </c>
      <c r="F68" s="175">
        <v>0</v>
      </c>
      <c r="G68" s="175">
        <v>0</v>
      </c>
      <c r="H68" s="175">
        <v>0</v>
      </c>
      <c r="I68" s="175">
        <v>0</v>
      </c>
      <c r="J68" s="175">
        <v>10</v>
      </c>
      <c r="L68" s="164">
        <f t="shared" si="17"/>
        <v>0</v>
      </c>
      <c r="M68" s="164">
        <f t="shared" si="17"/>
        <v>0</v>
      </c>
      <c r="N68" s="164">
        <f t="shared" si="17"/>
        <v>1</v>
      </c>
      <c r="O68" s="164">
        <f t="shared" si="17"/>
        <v>0</v>
      </c>
      <c r="P68" s="164">
        <f t="shared" si="17"/>
        <v>0</v>
      </c>
      <c r="Q68" s="164">
        <f t="shared" si="17"/>
        <v>0</v>
      </c>
      <c r="R68" s="164">
        <f t="shared" si="17"/>
        <v>0</v>
      </c>
      <c r="S68" s="1"/>
    </row>
    <row r="69" spans="1:19">
      <c r="A69" s="171" t="s">
        <v>79</v>
      </c>
      <c r="B69" s="135">
        <v>2.6</v>
      </c>
      <c r="C69" s="175">
        <v>0</v>
      </c>
      <c r="D69" s="175">
        <v>0</v>
      </c>
      <c r="E69" s="175"/>
      <c r="F69" s="175">
        <v>0</v>
      </c>
      <c r="G69" s="175">
        <v>0</v>
      </c>
      <c r="H69" s="175">
        <v>0</v>
      </c>
      <c r="I69" s="175">
        <v>0</v>
      </c>
      <c r="J69" s="175"/>
      <c r="L69" s="164" t="e">
        <f t="shared" si="17"/>
        <v>#DIV/0!</v>
      </c>
      <c r="M69" s="164" t="e">
        <f t="shared" si="17"/>
        <v>#DIV/0!</v>
      </c>
      <c r="N69" s="164" t="e">
        <f t="shared" si="17"/>
        <v>#DIV/0!</v>
      </c>
      <c r="O69" s="164" t="e">
        <f t="shared" si="17"/>
        <v>#DIV/0!</v>
      </c>
      <c r="P69" s="164" t="e">
        <f t="shared" si="17"/>
        <v>#DIV/0!</v>
      </c>
      <c r="Q69" s="164" t="e">
        <f t="shared" si="17"/>
        <v>#DIV/0!</v>
      </c>
      <c r="R69" s="164" t="e">
        <f t="shared" si="17"/>
        <v>#DIV/0!</v>
      </c>
      <c r="S69" s="1"/>
    </row>
    <row r="70" spans="1:19">
      <c r="A70" s="171" t="s">
        <v>74</v>
      </c>
      <c r="B70" s="135">
        <v>19.5</v>
      </c>
      <c r="C70" s="175">
        <v>0</v>
      </c>
      <c r="D70" s="175">
        <v>0</v>
      </c>
      <c r="E70" s="175"/>
      <c r="F70" s="175">
        <v>0</v>
      </c>
      <c r="G70" s="175">
        <v>0</v>
      </c>
      <c r="H70" s="175">
        <v>0</v>
      </c>
      <c r="I70" s="175">
        <v>0</v>
      </c>
      <c r="J70" s="175"/>
      <c r="L70" s="164" t="e">
        <f t="shared" si="17"/>
        <v>#DIV/0!</v>
      </c>
      <c r="M70" s="164" t="e">
        <f t="shared" si="17"/>
        <v>#DIV/0!</v>
      </c>
      <c r="N70" s="164" t="e">
        <f t="shared" si="17"/>
        <v>#DIV/0!</v>
      </c>
      <c r="O70" s="164" t="e">
        <f t="shared" si="17"/>
        <v>#DIV/0!</v>
      </c>
      <c r="P70" s="164" t="e">
        <f t="shared" si="17"/>
        <v>#DIV/0!</v>
      </c>
      <c r="Q70" s="164" t="e">
        <f t="shared" si="17"/>
        <v>#DIV/0!</v>
      </c>
      <c r="R70" s="164" t="e">
        <f t="shared" si="17"/>
        <v>#DIV/0!</v>
      </c>
      <c r="S70" s="1"/>
    </row>
    <row r="71" spans="1:19">
      <c r="A71" s="171" t="s">
        <v>70</v>
      </c>
      <c r="B71" s="135">
        <v>7.8</v>
      </c>
      <c r="C71" s="175">
        <v>0</v>
      </c>
      <c r="D71" s="175">
        <v>0</v>
      </c>
      <c r="E71" s="175"/>
      <c r="F71" s="175">
        <v>0</v>
      </c>
      <c r="G71" s="175">
        <v>0</v>
      </c>
      <c r="H71" s="175">
        <v>0</v>
      </c>
      <c r="I71" s="175">
        <v>0</v>
      </c>
      <c r="J71" s="175"/>
      <c r="L71" s="164" t="e">
        <f t="shared" si="17"/>
        <v>#DIV/0!</v>
      </c>
      <c r="M71" s="164" t="e">
        <f t="shared" si="17"/>
        <v>#DIV/0!</v>
      </c>
      <c r="N71" s="164" t="e">
        <f t="shared" si="17"/>
        <v>#DIV/0!</v>
      </c>
      <c r="O71" s="164" t="e">
        <f t="shared" si="17"/>
        <v>#DIV/0!</v>
      </c>
      <c r="P71" s="164" t="e">
        <f t="shared" si="17"/>
        <v>#DIV/0!</v>
      </c>
      <c r="Q71" s="164" t="e">
        <f t="shared" si="17"/>
        <v>#DIV/0!</v>
      </c>
      <c r="R71" s="164" t="e">
        <f t="shared" si="17"/>
        <v>#DIV/0!</v>
      </c>
      <c r="S71" s="1"/>
    </row>
    <row r="72" spans="1:19">
      <c r="A72" s="176" t="s">
        <v>78</v>
      </c>
      <c r="B72" s="135">
        <v>4.5999999999999996</v>
      </c>
      <c r="C72" s="175">
        <v>0</v>
      </c>
      <c r="D72" s="175">
        <v>0</v>
      </c>
      <c r="E72" s="175">
        <v>5</v>
      </c>
      <c r="F72" s="175">
        <v>0</v>
      </c>
      <c r="G72" s="175">
        <v>0</v>
      </c>
      <c r="H72" s="175">
        <v>0</v>
      </c>
      <c r="I72" s="175">
        <v>0</v>
      </c>
      <c r="J72" s="175">
        <v>5</v>
      </c>
      <c r="L72" s="164">
        <f t="shared" si="17"/>
        <v>0</v>
      </c>
      <c r="M72" s="164">
        <f t="shared" si="17"/>
        <v>0</v>
      </c>
      <c r="N72" s="164">
        <f t="shared" si="17"/>
        <v>1</v>
      </c>
      <c r="O72" s="164">
        <f t="shared" si="17"/>
        <v>0</v>
      </c>
      <c r="P72" s="164">
        <f t="shared" si="17"/>
        <v>0</v>
      </c>
      <c r="Q72" s="164">
        <f t="shared" si="17"/>
        <v>0</v>
      </c>
      <c r="R72" s="164">
        <f t="shared" si="17"/>
        <v>0</v>
      </c>
      <c r="S72" s="1"/>
    </row>
    <row r="73" spans="1:19">
      <c r="A73" s="176" t="s">
        <v>83</v>
      </c>
      <c r="B73" s="135">
        <v>9.1</v>
      </c>
      <c r="C73" s="175">
        <v>0</v>
      </c>
      <c r="D73" s="175">
        <v>0</v>
      </c>
      <c r="E73" s="175">
        <v>5</v>
      </c>
      <c r="F73" s="175">
        <v>0</v>
      </c>
      <c r="G73" s="175">
        <v>0</v>
      </c>
      <c r="H73" s="175">
        <v>0</v>
      </c>
      <c r="I73" s="175">
        <v>0</v>
      </c>
      <c r="J73" s="175">
        <v>5</v>
      </c>
      <c r="L73" s="164">
        <f t="shared" si="17"/>
        <v>0</v>
      </c>
      <c r="M73" s="164">
        <f t="shared" si="17"/>
        <v>0</v>
      </c>
      <c r="N73" s="164">
        <f t="shared" si="17"/>
        <v>1</v>
      </c>
      <c r="O73" s="164">
        <f t="shared" si="17"/>
        <v>0</v>
      </c>
      <c r="P73" s="164">
        <f t="shared" si="17"/>
        <v>0</v>
      </c>
      <c r="Q73" s="164">
        <f t="shared" si="17"/>
        <v>0</v>
      </c>
      <c r="R73" s="164">
        <f t="shared" si="17"/>
        <v>0</v>
      </c>
      <c r="S73" s="1"/>
    </row>
    <row r="74" spans="1:19">
      <c r="A74" s="171" t="s">
        <v>477</v>
      </c>
      <c r="B74" s="134">
        <f>SUM(B66:B73)</f>
        <v>65.099999999999994</v>
      </c>
      <c r="C74" s="163">
        <f t="shared" ref="C74:J74" si="18">($B66*C66+$B67*C67+$B68*C68+$B69*C69+$B70*C70+$B71*C71+$B72*C72+$B73*C73)/$B74</f>
        <v>0</v>
      </c>
      <c r="D74" s="163">
        <f t="shared" si="18"/>
        <v>0</v>
      </c>
      <c r="E74" s="163">
        <f t="shared" si="18"/>
        <v>2.350230414746544</v>
      </c>
      <c r="F74" s="163">
        <f t="shared" si="18"/>
        <v>0</v>
      </c>
      <c r="G74" s="163">
        <f t="shared" si="18"/>
        <v>0</v>
      </c>
      <c r="H74" s="163">
        <f t="shared" si="18"/>
        <v>0</v>
      </c>
      <c r="I74" s="163">
        <f t="shared" si="18"/>
        <v>0</v>
      </c>
      <c r="J74" s="163">
        <f t="shared" si="18"/>
        <v>2.350230414746544</v>
      </c>
      <c r="K74" s="172"/>
      <c r="L74" s="164">
        <f t="shared" si="17"/>
        <v>0</v>
      </c>
      <c r="M74" s="164">
        <f t="shared" si="17"/>
        <v>0</v>
      </c>
      <c r="N74" s="164">
        <f t="shared" si="17"/>
        <v>1</v>
      </c>
      <c r="O74" s="164">
        <f t="shared" si="17"/>
        <v>0</v>
      </c>
      <c r="P74" s="164">
        <f t="shared" si="17"/>
        <v>0</v>
      </c>
      <c r="Q74" s="164">
        <f t="shared" si="17"/>
        <v>0</v>
      </c>
      <c r="R74" s="164">
        <f t="shared" si="17"/>
        <v>0</v>
      </c>
      <c r="S74" s="1"/>
    </row>
    <row r="75" spans="1:19">
      <c r="A75" s="171"/>
      <c r="B75" s="171"/>
      <c r="C75" s="177"/>
      <c r="D75" s="177"/>
      <c r="E75" s="177"/>
      <c r="F75" s="177"/>
      <c r="G75" s="177"/>
      <c r="H75" s="177"/>
      <c r="I75" s="177"/>
      <c r="J75" s="177"/>
      <c r="K75" s="172"/>
      <c r="L75" s="1"/>
      <c r="M75" s="1"/>
      <c r="N75" s="1"/>
      <c r="O75" s="1"/>
      <c r="P75" s="1"/>
      <c r="Q75" s="1"/>
      <c r="R75" s="1"/>
      <c r="S75" s="1"/>
    </row>
    <row r="76" spans="1:19">
      <c r="A76" s="171"/>
      <c r="B76" s="171"/>
      <c r="C76" s="177"/>
      <c r="D76" s="177"/>
      <c r="E76" s="177"/>
      <c r="F76" s="177"/>
      <c r="G76" s="177"/>
      <c r="H76" s="177"/>
      <c r="I76" s="177"/>
      <c r="J76" s="177"/>
      <c r="K76" s="172"/>
      <c r="L76" s="1"/>
      <c r="M76" s="1"/>
      <c r="N76" s="1"/>
      <c r="O76" s="1"/>
      <c r="P76" s="1"/>
      <c r="Q76" s="1"/>
      <c r="R76" s="1"/>
      <c r="S76" s="1"/>
    </row>
    <row r="77" spans="1:19" ht="38.25">
      <c r="A77" s="159" t="s">
        <v>141</v>
      </c>
      <c r="B77" s="159"/>
      <c r="C77" s="160" t="s">
        <v>42</v>
      </c>
      <c r="D77" s="173" t="s">
        <v>468</v>
      </c>
      <c r="E77" s="173" t="s">
        <v>469</v>
      </c>
      <c r="F77" s="160" t="s">
        <v>470</v>
      </c>
      <c r="G77" s="160" t="s">
        <v>471</v>
      </c>
      <c r="H77" s="173" t="s">
        <v>472</v>
      </c>
      <c r="I77" s="173" t="s">
        <v>43</v>
      </c>
      <c r="J77" s="160" t="s">
        <v>224</v>
      </c>
      <c r="K77" s="172"/>
      <c r="L77" s="160" t="s">
        <v>42</v>
      </c>
      <c r="M77" s="160" t="s">
        <v>468</v>
      </c>
      <c r="N77" s="160" t="s">
        <v>469</v>
      </c>
      <c r="O77" s="160" t="s">
        <v>470</v>
      </c>
      <c r="P77" s="160" t="s">
        <v>471</v>
      </c>
      <c r="Q77" s="160" t="s">
        <v>472</v>
      </c>
      <c r="R77" s="160" t="s">
        <v>43</v>
      </c>
      <c r="S77" s="1"/>
    </row>
    <row r="78" spans="1:19">
      <c r="A78" s="171" t="s">
        <v>80</v>
      </c>
      <c r="B78" s="135">
        <v>7.2</v>
      </c>
      <c r="C78" s="175">
        <v>0</v>
      </c>
      <c r="D78" s="175"/>
      <c r="E78" s="175"/>
      <c r="F78" s="175">
        <v>0</v>
      </c>
      <c r="G78" s="175">
        <v>0</v>
      </c>
      <c r="H78" s="175"/>
      <c r="I78" s="175"/>
      <c r="J78" s="175"/>
      <c r="K78" s="172"/>
      <c r="L78" s="164" t="e">
        <f t="shared" ref="L78:R86" si="19">C78/$J78</f>
        <v>#DIV/0!</v>
      </c>
      <c r="M78" s="164" t="e">
        <f t="shared" si="19"/>
        <v>#DIV/0!</v>
      </c>
      <c r="N78" s="164" t="e">
        <f t="shared" si="19"/>
        <v>#DIV/0!</v>
      </c>
      <c r="O78" s="164" t="e">
        <f t="shared" si="19"/>
        <v>#DIV/0!</v>
      </c>
      <c r="P78" s="164" t="e">
        <f t="shared" si="19"/>
        <v>#DIV/0!</v>
      </c>
      <c r="Q78" s="164" t="e">
        <f t="shared" si="19"/>
        <v>#DIV/0!</v>
      </c>
      <c r="R78" s="164" t="e">
        <f t="shared" si="19"/>
        <v>#DIV/0!</v>
      </c>
      <c r="S78" s="1"/>
    </row>
    <row r="79" spans="1:19">
      <c r="A79" s="171" t="s">
        <v>72</v>
      </c>
      <c r="B79" s="135">
        <v>11.7</v>
      </c>
      <c r="C79" s="175">
        <v>0</v>
      </c>
      <c r="D79" s="175"/>
      <c r="E79" s="175"/>
      <c r="F79" s="175">
        <v>0</v>
      </c>
      <c r="G79" s="175">
        <v>0</v>
      </c>
      <c r="H79" s="175"/>
      <c r="I79" s="175"/>
      <c r="J79" s="175"/>
      <c r="K79" s="172"/>
      <c r="L79" s="164" t="e">
        <f t="shared" si="19"/>
        <v>#DIV/0!</v>
      </c>
      <c r="M79" s="164" t="e">
        <f t="shared" si="19"/>
        <v>#DIV/0!</v>
      </c>
      <c r="N79" s="164" t="e">
        <f t="shared" si="19"/>
        <v>#DIV/0!</v>
      </c>
      <c r="O79" s="164" t="e">
        <f t="shared" si="19"/>
        <v>#DIV/0!</v>
      </c>
      <c r="P79" s="164" t="e">
        <f t="shared" si="19"/>
        <v>#DIV/0!</v>
      </c>
      <c r="Q79" s="164" t="e">
        <f t="shared" si="19"/>
        <v>#DIV/0!</v>
      </c>
      <c r="R79" s="164" t="e">
        <f t="shared" si="19"/>
        <v>#DIV/0!</v>
      </c>
      <c r="S79" s="1"/>
    </row>
    <row r="80" spans="1:19">
      <c r="A80" s="171" t="s">
        <v>77</v>
      </c>
      <c r="B80" s="135">
        <v>2.6</v>
      </c>
      <c r="C80" s="175">
        <v>0</v>
      </c>
      <c r="D80" s="175"/>
      <c r="E80" s="175">
        <v>100</v>
      </c>
      <c r="F80" s="175">
        <v>0</v>
      </c>
      <c r="G80" s="175">
        <v>0</v>
      </c>
      <c r="H80" s="175"/>
      <c r="I80" s="175"/>
      <c r="J80" s="175">
        <v>100</v>
      </c>
      <c r="K80" s="172"/>
      <c r="L80" s="164">
        <f t="shared" si="19"/>
        <v>0</v>
      </c>
      <c r="M80" s="164">
        <f t="shared" si="19"/>
        <v>0</v>
      </c>
      <c r="N80" s="164">
        <f t="shared" si="19"/>
        <v>1</v>
      </c>
      <c r="O80" s="164">
        <f t="shared" si="19"/>
        <v>0</v>
      </c>
      <c r="P80" s="164">
        <f t="shared" si="19"/>
        <v>0</v>
      </c>
      <c r="Q80" s="164">
        <f t="shared" si="19"/>
        <v>0</v>
      </c>
      <c r="R80" s="164">
        <f t="shared" si="19"/>
        <v>0</v>
      </c>
      <c r="S80" s="1"/>
    </row>
    <row r="81" spans="1:19">
      <c r="A81" s="171" t="s">
        <v>79</v>
      </c>
      <c r="B81" s="135">
        <v>2.6</v>
      </c>
      <c r="C81" s="175">
        <v>0</v>
      </c>
      <c r="D81" s="175">
        <v>50</v>
      </c>
      <c r="E81" s="175">
        <v>100</v>
      </c>
      <c r="F81" s="175">
        <v>0</v>
      </c>
      <c r="G81" s="175">
        <v>0</v>
      </c>
      <c r="H81" s="175">
        <v>50</v>
      </c>
      <c r="I81" s="175"/>
      <c r="J81" s="175">
        <v>200</v>
      </c>
      <c r="K81" s="172"/>
      <c r="L81" s="164">
        <f t="shared" si="19"/>
        <v>0</v>
      </c>
      <c r="M81" s="164">
        <f t="shared" si="19"/>
        <v>0.25</v>
      </c>
      <c r="N81" s="164">
        <f t="shared" si="19"/>
        <v>0.5</v>
      </c>
      <c r="O81" s="164">
        <f t="shared" si="19"/>
        <v>0</v>
      </c>
      <c r="P81" s="164">
        <f t="shared" si="19"/>
        <v>0</v>
      </c>
      <c r="Q81" s="164">
        <f t="shared" si="19"/>
        <v>0.25</v>
      </c>
      <c r="R81" s="164">
        <f t="shared" si="19"/>
        <v>0</v>
      </c>
      <c r="S81" s="1"/>
    </row>
    <row r="82" spans="1:19">
      <c r="A82" s="171" t="s">
        <v>74</v>
      </c>
      <c r="B82" s="135">
        <v>19.5</v>
      </c>
      <c r="C82" s="175">
        <v>0</v>
      </c>
      <c r="D82" s="175">
        <v>60</v>
      </c>
      <c r="E82" s="175">
        <v>60</v>
      </c>
      <c r="F82" s="175">
        <v>0</v>
      </c>
      <c r="G82" s="175">
        <v>0</v>
      </c>
      <c r="H82" s="175"/>
      <c r="I82" s="175"/>
      <c r="J82" s="175">
        <v>120</v>
      </c>
      <c r="K82" s="172"/>
      <c r="L82" s="164">
        <f t="shared" si="19"/>
        <v>0</v>
      </c>
      <c r="M82" s="164">
        <f t="shared" si="19"/>
        <v>0.5</v>
      </c>
      <c r="N82" s="164">
        <f t="shared" si="19"/>
        <v>0.5</v>
      </c>
      <c r="O82" s="164">
        <f t="shared" si="19"/>
        <v>0</v>
      </c>
      <c r="P82" s="164">
        <f t="shared" si="19"/>
        <v>0</v>
      </c>
      <c r="Q82" s="164">
        <f t="shared" si="19"/>
        <v>0</v>
      </c>
      <c r="R82" s="164">
        <f t="shared" si="19"/>
        <v>0</v>
      </c>
      <c r="S82" s="1"/>
    </row>
    <row r="83" spans="1:19">
      <c r="A83" s="171" t="s">
        <v>70</v>
      </c>
      <c r="B83" s="135">
        <v>7.8</v>
      </c>
      <c r="C83" s="175">
        <v>0</v>
      </c>
      <c r="D83" s="175">
        <v>300</v>
      </c>
      <c r="E83" s="175">
        <v>100</v>
      </c>
      <c r="F83" s="175">
        <v>0</v>
      </c>
      <c r="G83" s="175">
        <v>0</v>
      </c>
      <c r="H83" s="175"/>
      <c r="I83" s="175"/>
      <c r="J83" s="175">
        <v>400</v>
      </c>
      <c r="K83" s="172"/>
      <c r="L83" s="164">
        <f t="shared" si="19"/>
        <v>0</v>
      </c>
      <c r="M83" s="164">
        <f t="shared" si="19"/>
        <v>0.75</v>
      </c>
      <c r="N83" s="164">
        <f t="shared" si="19"/>
        <v>0.25</v>
      </c>
      <c r="O83" s="164">
        <f t="shared" si="19"/>
        <v>0</v>
      </c>
      <c r="P83" s="164">
        <f t="shared" si="19"/>
        <v>0</v>
      </c>
      <c r="Q83" s="164">
        <f t="shared" si="19"/>
        <v>0</v>
      </c>
      <c r="R83" s="164">
        <f t="shared" si="19"/>
        <v>0</v>
      </c>
      <c r="S83" s="1"/>
    </row>
    <row r="84" spans="1:19">
      <c r="A84" s="171" t="s">
        <v>78</v>
      </c>
      <c r="B84" s="135">
        <v>4.5999999999999996</v>
      </c>
      <c r="C84" s="175">
        <v>0</v>
      </c>
      <c r="D84" s="175">
        <v>400</v>
      </c>
      <c r="E84" s="175">
        <v>400</v>
      </c>
      <c r="F84" s="175">
        <v>0</v>
      </c>
      <c r="G84" s="175">
        <v>0</v>
      </c>
      <c r="H84" s="175"/>
      <c r="I84" s="175">
        <v>200</v>
      </c>
      <c r="J84" s="175">
        <v>1000</v>
      </c>
      <c r="L84" s="164">
        <f t="shared" si="19"/>
        <v>0</v>
      </c>
      <c r="M84" s="164">
        <f t="shared" si="19"/>
        <v>0.4</v>
      </c>
      <c r="N84" s="164">
        <f t="shared" si="19"/>
        <v>0.4</v>
      </c>
      <c r="O84" s="164">
        <f t="shared" si="19"/>
        <v>0</v>
      </c>
      <c r="P84" s="164">
        <f t="shared" si="19"/>
        <v>0</v>
      </c>
      <c r="Q84" s="164">
        <f t="shared" si="19"/>
        <v>0</v>
      </c>
      <c r="R84" s="164">
        <f t="shared" si="19"/>
        <v>0.2</v>
      </c>
      <c r="S84" s="1"/>
    </row>
    <row r="85" spans="1:19">
      <c r="A85" s="171" t="s">
        <v>83</v>
      </c>
      <c r="B85" s="135">
        <v>9.1</v>
      </c>
      <c r="C85" s="175">
        <v>0</v>
      </c>
      <c r="D85" s="175">
        <v>200</v>
      </c>
      <c r="E85" s="175">
        <v>200</v>
      </c>
      <c r="F85" s="175">
        <v>0</v>
      </c>
      <c r="G85" s="175">
        <v>0</v>
      </c>
      <c r="H85" s="175"/>
      <c r="I85" s="175">
        <v>200</v>
      </c>
      <c r="J85" s="175">
        <v>600</v>
      </c>
      <c r="L85" s="164">
        <f t="shared" si="19"/>
        <v>0</v>
      </c>
      <c r="M85" s="164">
        <f t="shared" si="19"/>
        <v>0.33333333333333331</v>
      </c>
      <c r="N85" s="164">
        <f t="shared" si="19"/>
        <v>0.33333333333333331</v>
      </c>
      <c r="O85" s="164">
        <f t="shared" si="19"/>
        <v>0</v>
      </c>
      <c r="P85" s="164">
        <f t="shared" si="19"/>
        <v>0</v>
      </c>
      <c r="Q85" s="164">
        <f t="shared" si="19"/>
        <v>0</v>
      </c>
      <c r="R85" s="164">
        <f t="shared" si="19"/>
        <v>0.33333333333333331</v>
      </c>
      <c r="S85" s="1"/>
    </row>
    <row r="86" spans="1:19">
      <c r="A86" s="171" t="s">
        <v>477</v>
      </c>
      <c r="B86" s="134">
        <f>SUM(B78:B85)</f>
        <v>65.099999999999994</v>
      </c>
      <c r="C86" s="163">
        <f t="shared" ref="C86:J86" si="20">($B78*C78+$B79*C79+$B80*C80+$B81*C81+$B82*C82+$B83*C83+$B84*C84+$B85*C85)/$B86</f>
        <v>0</v>
      </c>
      <c r="D86" s="163">
        <f t="shared" si="20"/>
        <v>112.1351766513057</v>
      </c>
      <c r="E86" s="163">
        <f t="shared" si="20"/>
        <v>94.162826420890951</v>
      </c>
      <c r="F86" s="163">
        <f t="shared" si="20"/>
        <v>0</v>
      </c>
      <c r="G86" s="163">
        <f t="shared" si="20"/>
        <v>0</v>
      </c>
      <c r="H86" s="163">
        <f t="shared" si="20"/>
        <v>1.9969278033794164</v>
      </c>
      <c r="I86" s="163">
        <f t="shared" si="20"/>
        <v>42.08909370199693</v>
      </c>
      <c r="J86" s="163">
        <f t="shared" si="20"/>
        <v>250.38402457757297</v>
      </c>
      <c r="K86" s="172"/>
      <c r="L86" s="164">
        <f t="shared" si="19"/>
        <v>0</v>
      </c>
      <c r="M86" s="164">
        <f t="shared" si="19"/>
        <v>0.44785276073619634</v>
      </c>
      <c r="N86" s="164">
        <f t="shared" si="19"/>
        <v>0.37607361963190189</v>
      </c>
      <c r="O86" s="164">
        <f t="shared" si="19"/>
        <v>0</v>
      </c>
      <c r="P86" s="164">
        <f t="shared" si="19"/>
        <v>0</v>
      </c>
      <c r="Q86" s="164">
        <f t="shared" si="19"/>
        <v>7.9754601226993873E-3</v>
      </c>
      <c r="R86" s="164">
        <f t="shared" si="19"/>
        <v>0.16809815950920245</v>
      </c>
      <c r="S86" s="1"/>
    </row>
    <row r="87" spans="1:19">
      <c r="L87" s="1"/>
      <c r="M87" s="1"/>
      <c r="N87" s="1"/>
      <c r="O87" s="1"/>
      <c r="P87" s="1"/>
      <c r="Q87" s="1"/>
      <c r="R87" s="1"/>
      <c r="S87" s="1"/>
    </row>
    <row r="88" spans="1:19" ht="38.25">
      <c r="A88" s="159" t="s">
        <v>480</v>
      </c>
      <c r="B88" s="159"/>
      <c r="C88" s="160" t="s">
        <v>42</v>
      </c>
      <c r="D88" s="173" t="s">
        <v>468</v>
      </c>
      <c r="E88" s="173" t="s">
        <v>469</v>
      </c>
      <c r="F88" s="160" t="s">
        <v>470</v>
      </c>
      <c r="G88" s="160" t="s">
        <v>471</v>
      </c>
      <c r="H88" s="160" t="s">
        <v>472</v>
      </c>
      <c r="I88" s="173" t="s">
        <v>43</v>
      </c>
      <c r="J88" s="160" t="s">
        <v>224</v>
      </c>
      <c r="L88" s="160" t="s">
        <v>42</v>
      </c>
      <c r="M88" s="160" t="s">
        <v>468</v>
      </c>
      <c r="N88" s="160" t="s">
        <v>469</v>
      </c>
      <c r="O88" s="160" t="s">
        <v>470</v>
      </c>
      <c r="P88" s="160" t="s">
        <v>471</v>
      </c>
      <c r="Q88" s="160" t="s">
        <v>472</v>
      </c>
      <c r="R88" s="160" t="s">
        <v>43</v>
      </c>
      <c r="S88" s="1"/>
    </row>
    <row r="89" spans="1:19">
      <c r="A89" s="171" t="s">
        <v>80</v>
      </c>
      <c r="B89" s="135">
        <v>7.2</v>
      </c>
      <c r="C89" s="175">
        <v>0</v>
      </c>
      <c r="D89" s="175"/>
      <c r="E89" s="175"/>
      <c r="F89" s="175">
        <v>0</v>
      </c>
      <c r="G89" s="175">
        <v>0</v>
      </c>
      <c r="H89" s="175">
        <v>0</v>
      </c>
      <c r="I89" s="175"/>
      <c r="J89" s="175"/>
      <c r="L89" s="164" t="e">
        <f t="shared" ref="L89:R97" si="21">C89/$J89</f>
        <v>#DIV/0!</v>
      </c>
      <c r="M89" s="164" t="e">
        <f t="shared" si="21"/>
        <v>#DIV/0!</v>
      </c>
      <c r="N89" s="164" t="e">
        <f t="shared" si="21"/>
        <v>#DIV/0!</v>
      </c>
      <c r="O89" s="164" t="e">
        <f t="shared" si="21"/>
        <v>#DIV/0!</v>
      </c>
      <c r="P89" s="164" t="e">
        <f t="shared" si="21"/>
        <v>#DIV/0!</v>
      </c>
      <c r="Q89" s="164" t="e">
        <f t="shared" si="21"/>
        <v>#DIV/0!</v>
      </c>
      <c r="R89" s="164" t="e">
        <f t="shared" si="21"/>
        <v>#DIV/0!</v>
      </c>
      <c r="S89" s="1"/>
    </row>
    <row r="90" spans="1:19">
      <c r="A90" s="171" t="s">
        <v>72</v>
      </c>
      <c r="B90" s="135">
        <v>11.7</v>
      </c>
      <c r="C90" s="175">
        <v>0</v>
      </c>
      <c r="D90" s="175"/>
      <c r="E90" s="175"/>
      <c r="F90" s="175">
        <v>0</v>
      </c>
      <c r="G90" s="175">
        <v>0</v>
      </c>
      <c r="H90" s="175">
        <v>0</v>
      </c>
      <c r="I90" s="175"/>
      <c r="J90" s="175"/>
      <c r="L90" s="164" t="e">
        <f t="shared" si="21"/>
        <v>#DIV/0!</v>
      </c>
      <c r="M90" s="164" t="e">
        <f t="shared" si="21"/>
        <v>#DIV/0!</v>
      </c>
      <c r="N90" s="164" t="e">
        <f t="shared" si="21"/>
        <v>#DIV/0!</v>
      </c>
      <c r="O90" s="164" t="e">
        <f t="shared" si="21"/>
        <v>#DIV/0!</v>
      </c>
      <c r="P90" s="164" t="e">
        <f t="shared" si="21"/>
        <v>#DIV/0!</v>
      </c>
      <c r="Q90" s="164" t="e">
        <f t="shared" si="21"/>
        <v>#DIV/0!</v>
      </c>
      <c r="R90" s="164" t="e">
        <f t="shared" si="21"/>
        <v>#DIV/0!</v>
      </c>
      <c r="S90" s="1"/>
    </row>
    <row r="91" spans="1:19">
      <c r="A91" s="179" t="s">
        <v>77</v>
      </c>
      <c r="B91" s="135">
        <v>2.6</v>
      </c>
      <c r="C91" s="175">
        <v>0</v>
      </c>
      <c r="D91" s="175">
        <v>50</v>
      </c>
      <c r="E91" s="175">
        <v>50</v>
      </c>
      <c r="F91" s="175">
        <v>0</v>
      </c>
      <c r="G91" s="175">
        <v>0</v>
      </c>
      <c r="H91" s="175">
        <v>0</v>
      </c>
      <c r="I91" s="175"/>
      <c r="J91" s="175">
        <v>100</v>
      </c>
      <c r="L91" s="164">
        <f t="shared" si="21"/>
        <v>0</v>
      </c>
      <c r="M91" s="164">
        <f t="shared" si="21"/>
        <v>0.5</v>
      </c>
      <c r="N91" s="164">
        <f t="shared" si="21"/>
        <v>0.5</v>
      </c>
      <c r="O91" s="164">
        <f t="shared" si="21"/>
        <v>0</v>
      </c>
      <c r="P91" s="164">
        <f t="shared" si="21"/>
        <v>0</v>
      </c>
      <c r="Q91" s="164">
        <f t="shared" si="21"/>
        <v>0</v>
      </c>
      <c r="R91" s="164">
        <f t="shared" si="21"/>
        <v>0</v>
      </c>
      <c r="S91" s="1"/>
    </row>
    <row r="92" spans="1:19">
      <c r="A92" s="179" t="s">
        <v>79</v>
      </c>
      <c r="B92" s="135">
        <v>2.6</v>
      </c>
      <c r="C92" s="175">
        <v>0</v>
      </c>
      <c r="D92" s="175"/>
      <c r="E92" s="175">
        <v>50</v>
      </c>
      <c r="F92" s="175">
        <v>0</v>
      </c>
      <c r="G92" s="175">
        <v>0</v>
      </c>
      <c r="H92" s="175">
        <v>0</v>
      </c>
      <c r="I92" s="175"/>
      <c r="J92" s="175">
        <v>50</v>
      </c>
      <c r="L92" s="164">
        <f t="shared" si="21"/>
        <v>0</v>
      </c>
      <c r="M92" s="164">
        <f t="shared" si="21"/>
        <v>0</v>
      </c>
      <c r="N92" s="164">
        <f t="shared" si="21"/>
        <v>1</v>
      </c>
      <c r="O92" s="164">
        <f t="shared" si="21"/>
        <v>0</v>
      </c>
      <c r="P92" s="164">
        <f t="shared" si="21"/>
        <v>0</v>
      </c>
      <c r="Q92" s="164">
        <f t="shared" si="21"/>
        <v>0</v>
      </c>
      <c r="R92" s="164">
        <f t="shared" si="21"/>
        <v>0</v>
      </c>
      <c r="S92" s="1"/>
    </row>
    <row r="93" spans="1:19">
      <c r="A93" s="176" t="s">
        <v>74</v>
      </c>
      <c r="B93" s="135">
        <v>19.5</v>
      </c>
      <c r="C93" s="175">
        <v>0</v>
      </c>
      <c r="D93" s="175">
        <v>10</v>
      </c>
      <c r="E93" s="175"/>
      <c r="F93" s="175">
        <v>0</v>
      </c>
      <c r="G93" s="175">
        <v>0</v>
      </c>
      <c r="H93" s="175">
        <v>0</v>
      </c>
      <c r="I93" s="175"/>
      <c r="J93" s="175">
        <v>10</v>
      </c>
      <c r="L93" s="164">
        <f t="shared" si="21"/>
        <v>0</v>
      </c>
      <c r="M93" s="164">
        <f t="shared" si="21"/>
        <v>1</v>
      </c>
      <c r="N93" s="164">
        <f t="shared" si="21"/>
        <v>0</v>
      </c>
      <c r="O93" s="164">
        <f t="shared" si="21"/>
        <v>0</v>
      </c>
      <c r="P93" s="164">
        <f t="shared" si="21"/>
        <v>0</v>
      </c>
      <c r="Q93" s="164">
        <f t="shared" si="21"/>
        <v>0</v>
      </c>
      <c r="R93" s="164">
        <f t="shared" si="21"/>
        <v>0</v>
      </c>
      <c r="S93" s="1"/>
    </row>
    <row r="94" spans="1:19">
      <c r="A94" s="176" t="s">
        <v>70</v>
      </c>
      <c r="B94" s="135">
        <v>7.8</v>
      </c>
      <c r="C94" s="175">
        <v>0</v>
      </c>
      <c r="D94" s="175">
        <v>30</v>
      </c>
      <c r="E94" s="175">
        <v>20</v>
      </c>
      <c r="F94" s="175">
        <v>0</v>
      </c>
      <c r="G94" s="175">
        <v>0</v>
      </c>
      <c r="H94" s="175">
        <v>0</v>
      </c>
      <c r="I94" s="175"/>
      <c r="J94" s="175">
        <v>50</v>
      </c>
      <c r="L94" s="164">
        <f t="shared" si="21"/>
        <v>0</v>
      </c>
      <c r="M94" s="164">
        <f t="shared" si="21"/>
        <v>0.6</v>
      </c>
      <c r="N94" s="164">
        <f t="shared" si="21"/>
        <v>0.4</v>
      </c>
      <c r="O94" s="164">
        <f t="shared" si="21"/>
        <v>0</v>
      </c>
      <c r="P94" s="164">
        <f t="shared" si="21"/>
        <v>0</v>
      </c>
      <c r="Q94" s="164">
        <f t="shared" si="21"/>
        <v>0</v>
      </c>
      <c r="R94" s="164">
        <f t="shared" si="21"/>
        <v>0</v>
      </c>
      <c r="S94" s="1"/>
    </row>
    <row r="95" spans="1:19">
      <c r="A95" s="176" t="s">
        <v>78</v>
      </c>
      <c r="B95" s="135">
        <v>4.5999999999999996</v>
      </c>
      <c r="C95" s="175">
        <v>0</v>
      </c>
      <c r="D95" s="175">
        <v>80</v>
      </c>
      <c r="E95" s="175">
        <v>120</v>
      </c>
      <c r="F95" s="175">
        <v>0</v>
      </c>
      <c r="G95" s="175">
        <v>0</v>
      </c>
      <c r="H95" s="175">
        <v>0</v>
      </c>
      <c r="I95" s="175">
        <v>50</v>
      </c>
      <c r="J95" s="175">
        <v>250</v>
      </c>
      <c r="L95" s="164">
        <f t="shared" si="21"/>
        <v>0</v>
      </c>
      <c r="M95" s="164">
        <f t="shared" si="21"/>
        <v>0.32</v>
      </c>
      <c r="N95" s="164">
        <f t="shared" si="21"/>
        <v>0.48</v>
      </c>
      <c r="O95" s="164">
        <f t="shared" si="21"/>
        <v>0</v>
      </c>
      <c r="P95" s="164">
        <f t="shared" si="21"/>
        <v>0</v>
      </c>
      <c r="Q95" s="164">
        <f t="shared" si="21"/>
        <v>0</v>
      </c>
      <c r="R95" s="164">
        <f t="shared" si="21"/>
        <v>0.2</v>
      </c>
      <c r="S95" s="1"/>
    </row>
    <row r="96" spans="1:19">
      <c r="A96" s="176" t="s">
        <v>83</v>
      </c>
      <c r="B96" s="135">
        <v>9.1</v>
      </c>
      <c r="C96" s="175">
        <v>0</v>
      </c>
      <c r="D96" s="175">
        <v>30</v>
      </c>
      <c r="E96" s="175">
        <v>50</v>
      </c>
      <c r="F96" s="175">
        <v>0</v>
      </c>
      <c r="G96" s="175">
        <v>0</v>
      </c>
      <c r="H96" s="175">
        <v>0</v>
      </c>
      <c r="I96" s="175"/>
      <c r="J96" s="175">
        <v>80</v>
      </c>
      <c r="L96" s="164">
        <f t="shared" si="21"/>
        <v>0</v>
      </c>
      <c r="M96" s="164">
        <f t="shared" si="21"/>
        <v>0.375</v>
      </c>
      <c r="N96" s="164">
        <f t="shared" si="21"/>
        <v>0.625</v>
      </c>
      <c r="O96" s="164">
        <f t="shared" si="21"/>
        <v>0</v>
      </c>
      <c r="P96" s="164">
        <f t="shared" si="21"/>
        <v>0</v>
      </c>
      <c r="Q96" s="164">
        <f t="shared" si="21"/>
        <v>0</v>
      </c>
      <c r="R96" s="164">
        <f t="shared" si="21"/>
        <v>0</v>
      </c>
      <c r="S96" s="1"/>
    </row>
    <row r="97" spans="1:256">
      <c r="A97" s="171" t="s">
        <v>477</v>
      </c>
      <c r="B97" s="134">
        <f>SUM(B89:B96)</f>
        <v>65.099999999999994</v>
      </c>
      <c r="C97" s="163">
        <f t="shared" ref="C97:J97" si="22">($B89*C89+$B90*C90+$B91*C91+$B92*C92+$B93*C93+$B94*C94+$B95*C95+$B96*C96)/$B97</f>
        <v>0</v>
      </c>
      <c r="D97" s="163">
        <f t="shared" si="22"/>
        <v>18.433179723502306</v>
      </c>
      <c r="E97" s="163">
        <f t="shared" si="22"/>
        <v>21.858678955453151</v>
      </c>
      <c r="F97" s="163">
        <f t="shared" si="22"/>
        <v>0</v>
      </c>
      <c r="G97" s="163">
        <f t="shared" si="22"/>
        <v>0</v>
      </c>
      <c r="H97" s="163">
        <f t="shared" si="22"/>
        <v>0</v>
      </c>
      <c r="I97" s="163">
        <f t="shared" si="22"/>
        <v>3.5330261136712746</v>
      </c>
      <c r="J97" s="163">
        <f t="shared" si="22"/>
        <v>43.824884792626733</v>
      </c>
      <c r="K97" s="172"/>
      <c r="L97" s="164">
        <f t="shared" si="21"/>
        <v>0</v>
      </c>
      <c r="M97" s="164">
        <f t="shared" si="21"/>
        <v>0.4206098843322818</v>
      </c>
      <c r="N97" s="164">
        <f t="shared" si="21"/>
        <v>0.4987732211706975</v>
      </c>
      <c r="O97" s="164">
        <f t="shared" si="21"/>
        <v>0</v>
      </c>
      <c r="P97" s="164">
        <f t="shared" si="21"/>
        <v>0</v>
      </c>
      <c r="Q97" s="164">
        <f t="shared" si="21"/>
        <v>0</v>
      </c>
      <c r="R97" s="164">
        <f t="shared" si="21"/>
        <v>8.0616894497020669E-2</v>
      </c>
      <c r="S97" s="1"/>
    </row>
    <row r="98" spans="1:256">
      <c r="L98" s="1"/>
      <c r="M98" s="1"/>
      <c r="N98" s="1"/>
      <c r="O98" s="1"/>
      <c r="P98" s="1"/>
      <c r="Q98" s="1"/>
      <c r="R98" s="1"/>
      <c r="S98" s="1"/>
    </row>
    <row r="99" spans="1:256" ht="38.25">
      <c r="A99" s="159" t="s">
        <v>481</v>
      </c>
      <c r="B99" s="159"/>
      <c r="C99" s="160" t="s">
        <v>42</v>
      </c>
      <c r="D99" s="173" t="s">
        <v>468</v>
      </c>
      <c r="E99" s="173" t="s">
        <v>469</v>
      </c>
      <c r="F99" s="160" t="s">
        <v>470</v>
      </c>
      <c r="G99" s="160" t="s">
        <v>471</v>
      </c>
      <c r="H99" s="160" t="s">
        <v>472</v>
      </c>
      <c r="I99" s="160" t="s">
        <v>43</v>
      </c>
      <c r="J99" s="160" t="s">
        <v>224</v>
      </c>
      <c r="L99" s="160" t="s">
        <v>42</v>
      </c>
      <c r="M99" s="160" t="s">
        <v>468</v>
      </c>
      <c r="N99" s="160" t="s">
        <v>469</v>
      </c>
      <c r="O99" s="160" t="s">
        <v>470</v>
      </c>
      <c r="P99" s="160" t="s">
        <v>471</v>
      </c>
      <c r="Q99" s="160" t="s">
        <v>472</v>
      </c>
      <c r="R99" s="160" t="s">
        <v>43</v>
      </c>
      <c r="S99" s="1"/>
    </row>
    <row r="100" spans="1:256">
      <c r="A100" s="171" t="s">
        <v>80</v>
      </c>
      <c r="B100" s="135">
        <v>7.2</v>
      </c>
      <c r="C100" s="175">
        <v>0</v>
      </c>
      <c r="D100" s="175">
        <v>0</v>
      </c>
      <c r="E100" s="175">
        <v>0</v>
      </c>
      <c r="F100" s="175">
        <v>0</v>
      </c>
      <c r="G100" s="175">
        <v>0</v>
      </c>
      <c r="H100" s="175">
        <v>0</v>
      </c>
      <c r="I100" s="175">
        <v>0</v>
      </c>
      <c r="J100" s="175">
        <v>0</v>
      </c>
      <c r="L100" s="164" t="e">
        <f t="shared" ref="L100:R108" si="23">C100/$J100</f>
        <v>#DIV/0!</v>
      </c>
      <c r="M100" s="164" t="e">
        <f t="shared" si="23"/>
        <v>#DIV/0!</v>
      </c>
      <c r="N100" s="164" t="e">
        <f t="shared" si="23"/>
        <v>#DIV/0!</v>
      </c>
      <c r="O100" s="164" t="e">
        <f t="shared" si="23"/>
        <v>#DIV/0!</v>
      </c>
      <c r="P100" s="164" t="e">
        <f t="shared" si="23"/>
        <v>#DIV/0!</v>
      </c>
      <c r="Q100" s="164" t="e">
        <f t="shared" si="23"/>
        <v>#DIV/0!</v>
      </c>
      <c r="R100" s="164" t="e">
        <f t="shared" si="23"/>
        <v>#DIV/0!</v>
      </c>
      <c r="S100" s="1"/>
    </row>
    <row r="101" spans="1:256">
      <c r="A101" s="171" t="s">
        <v>72</v>
      </c>
      <c r="B101" s="135">
        <v>11.7</v>
      </c>
      <c r="C101" s="175">
        <v>0</v>
      </c>
      <c r="D101" s="175">
        <v>0</v>
      </c>
      <c r="E101" s="175">
        <v>0</v>
      </c>
      <c r="F101" s="175">
        <v>0</v>
      </c>
      <c r="G101" s="175">
        <v>0</v>
      </c>
      <c r="H101" s="175">
        <v>0</v>
      </c>
      <c r="I101" s="175">
        <v>0</v>
      </c>
      <c r="J101" s="175">
        <v>0</v>
      </c>
      <c r="L101" s="164" t="e">
        <f t="shared" si="23"/>
        <v>#DIV/0!</v>
      </c>
      <c r="M101" s="164" t="e">
        <f t="shared" si="23"/>
        <v>#DIV/0!</v>
      </c>
      <c r="N101" s="164" t="e">
        <f t="shared" si="23"/>
        <v>#DIV/0!</v>
      </c>
      <c r="O101" s="164" t="e">
        <f t="shared" si="23"/>
        <v>#DIV/0!</v>
      </c>
      <c r="P101" s="164" t="e">
        <f t="shared" si="23"/>
        <v>#DIV/0!</v>
      </c>
      <c r="Q101" s="164" t="e">
        <f t="shared" si="23"/>
        <v>#DIV/0!</v>
      </c>
      <c r="R101" s="164" t="e">
        <f t="shared" si="23"/>
        <v>#DIV/0!</v>
      </c>
      <c r="S101" s="1"/>
    </row>
    <row r="102" spans="1:256">
      <c r="A102" s="171" t="s">
        <v>77</v>
      </c>
      <c r="B102" s="135">
        <v>2.6</v>
      </c>
      <c r="C102" s="175">
        <v>0</v>
      </c>
      <c r="D102" s="175">
        <v>0</v>
      </c>
      <c r="E102" s="175">
        <v>0</v>
      </c>
      <c r="F102" s="175">
        <v>0</v>
      </c>
      <c r="G102" s="175">
        <v>0</v>
      </c>
      <c r="H102" s="175">
        <v>0</v>
      </c>
      <c r="I102" s="175">
        <v>0</v>
      </c>
      <c r="J102" s="175">
        <v>0</v>
      </c>
      <c r="L102" s="164" t="e">
        <f t="shared" si="23"/>
        <v>#DIV/0!</v>
      </c>
      <c r="M102" s="164" t="e">
        <f t="shared" si="23"/>
        <v>#DIV/0!</v>
      </c>
      <c r="N102" s="164" t="e">
        <f t="shared" si="23"/>
        <v>#DIV/0!</v>
      </c>
      <c r="O102" s="164" t="e">
        <f t="shared" si="23"/>
        <v>#DIV/0!</v>
      </c>
      <c r="P102" s="164" t="e">
        <f t="shared" si="23"/>
        <v>#DIV/0!</v>
      </c>
      <c r="Q102" s="164" t="e">
        <f t="shared" si="23"/>
        <v>#DIV/0!</v>
      </c>
      <c r="R102" s="164" t="e">
        <f t="shared" si="23"/>
        <v>#DIV/0!</v>
      </c>
      <c r="S102" s="1"/>
    </row>
    <row r="103" spans="1:256">
      <c r="A103" s="171" t="s">
        <v>79</v>
      </c>
      <c r="B103" s="135">
        <v>2.6</v>
      </c>
      <c r="C103" s="175">
        <v>0</v>
      </c>
      <c r="D103" s="175">
        <v>0</v>
      </c>
      <c r="E103" s="175">
        <v>0</v>
      </c>
      <c r="F103" s="175">
        <v>0</v>
      </c>
      <c r="G103" s="175">
        <v>0</v>
      </c>
      <c r="H103" s="175">
        <v>0</v>
      </c>
      <c r="I103" s="175">
        <v>0</v>
      </c>
      <c r="J103" s="175">
        <v>0</v>
      </c>
      <c r="L103" s="164" t="e">
        <f t="shared" si="23"/>
        <v>#DIV/0!</v>
      </c>
      <c r="M103" s="164" t="e">
        <f t="shared" si="23"/>
        <v>#DIV/0!</v>
      </c>
      <c r="N103" s="164" t="e">
        <f t="shared" si="23"/>
        <v>#DIV/0!</v>
      </c>
      <c r="O103" s="164" t="e">
        <f t="shared" si="23"/>
        <v>#DIV/0!</v>
      </c>
      <c r="P103" s="164" t="e">
        <f t="shared" si="23"/>
        <v>#DIV/0!</v>
      </c>
      <c r="Q103" s="164" t="e">
        <f t="shared" si="23"/>
        <v>#DIV/0!</v>
      </c>
      <c r="R103" s="164" t="e">
        <f t="shared" si="23"/>
        <v>#DIV/0!</v>
      </c>
      <c r="S103" s="1"/>
    </row>
    <row r="104" spans="1:256">
      <c r="A104" s="171" t="s">
        <v>74</v>
      </c>
      <c r="B104" s="135">
        <v>19.5</v>
      </c>
      <c r="C104" s="175">
        <v>0</v>
      </c>
      <c r="D104" s="175">
        <v>0</v>
      </c>
      <c r="E104" s="175">
        <v>0</v>
      </c>
      <c r="F104" s="175">
        <v>0</v>
      </c>
      <c r="G104" s="175">
        <v>0</v>
      </c>
      <c r="H104" s="175">
        <v>0</v>
      </c>
      <c r="I104" s="175">
        <v>0</v>
      </c>
      <c r="J104" s="175">
        <v>0</v>
      </c>
      <c r="L104" s="164" t="e">
        <f t="shared" si="23"/>
        <v>#DIV/0!</v>
      </c>
      <c r="M104" s="164" t="e">
        <f t="shared" si="23"/>
        <v>#DIV/0!</v>
      </c>
      <c r="N104" s="164" t="e">
        <f t="shared" si="23"/>
        <v>#DIV/0!</v>
      </c>
      <c r="O104" s="164" t="e">
        <f t="shared" si="23"/>
        <v>#DIV/0!</v>
      </c>
      <c r="P104" s="164" t="e">
        <f t="shared" si="23"/>
        <v>#DIV/0!</v>
      </c>
      <c r="Q104" s="164" t="e">
        <f t="shared" si="23"/>
        <v>#DIV/0!</v>
      </c>
      <c r="R104" s="164" t="e">
        <f t="shared" si="23"/>
        <v>#DIV/0!</v>
      </c>
      <c r="S104" s="1"/>
    </row>
    <row r="105" spans="1:256">
      <c r="A105" s="171" t="s">
        <v>70</v>
      </c>
      <c r="B105" s="135">
        <v>7.8</v>
      </c>
      <c r="C105" s="175">
        <v>0</v>
      </c>
      <c r="D105" s="175">
        <v>0</v>
      </c>
      <c r="E105" s="175">
        <v>10</v>
      </c>
      <c r="F105" s="175">
        <v>0</v>
      </c>
      <c r="G105" s="175">
        <v>0</v>
      </c>
      <c r="H105" s="175">
        <v>0</v>
      </c>
      <c r="I105" s="175">
        <v>0</v>
      </c>
      <c r="J105" s="175">
        <v>10</v>
      </c>
      <c r="L105" s="164">
        <f t="shared" si="23"/>
        <v>0</v>
      </c>
      <c r="M105" s="164">
        <f t="shared" si="23"/>
        <v>0</v>
      </c>
      <c r="N105" s="164">
        <f t="shared" si="23"/>
        <v>1</v>
      </c>
      <c r="O105" s="164">
        <f t="shared" si="23"/>
        <v>0</v>
      </c>
      <c r="P105" s="164">
        <f t="shared" si="23"/>
        <v>0</v>
      </c>
      <c r="Q105" s="164">
        <f t="shared" si="23"/>
        <v>0</v>
      </c>
      <c r="R105" s="164">
        <f t="shared" si="23"/>
        <v>0</v>
      </c>
      <c r="S105" s="1"/>
    </row>
    <row r="106" spans="1:256">
      <c r="A106" s="171" t="s">
        <v>78</v>
      </c>
      <c r="B106" s="135">
        <v>4.5999999999999996</v>
      </c>
      <c r="C106" s="175">
        <v>0</v>
      </c>
      <c r="D106" s="175">
        <v>25</v>
      </c>
      <c r="E106" s="175">
        <v>15</v>
      </c>
      <c r="F106" s="175">
        <v>0</v>
      </c>
      <c r="G106" s="175">
        <v>0</v>
      </c>
      <c r="H106" s="175">
        <v>0</v>
      </c>
      <c r="I106" s="175">
        <v>0</v>
      </c>
      <c r="J106" s="175">
        <v>40</v>
      </c>
      <c r="L106" s="164">
        <f t="shared" si="23"/>
        <v>0</v>
      </c>
      <c r="M106" s="164">
        <f t="shared" si="23"/>
        <v>0.625</v>
      </c>
      <c r="N106" s="164">
        <f t="shared" si="23"/>
        <v>0.375</v>
      </c>
      <c r="O106" s="164">
        <f t="shared" si="23"/>
        <v>0</v>
      </c>
      <c r="P106" s="164">
        <f t="shared" si="23"/>
        <v>0</v>
      </c>
      <c r="Q106" s="164">
        <f t="shared" si="23"/>
        <v>0</v>
      </c>
      <c r="R106" s="164">
        <f t="shared" si="23"/>
        <v>0</v>
      </c>
      <c r="S106" s="1"/>
    </row>
    <row r="107" spans="1:256">
      <c r="A107" s="171" t="s">
        <v>83</v>
      </c>
      <c r="B107" s="135">
        <v>9.1</v>
      </c>
      <c r="C107" s="175">
        <v>0</v>
      </c>
      <c r="D107" s="175">
        <v>0</v>
      </c>
      <c r="E107" s="175">
        <v>15</v>
      </c>
      <c r="F107" s="175">
        <v>0</v>
      </c>
      <c r="G107" s="175">
        <v>0</v>
      </c>
      <c r="H107" s="175">
        <v>0</v>
      </c>
      <c r="I107" s="175">
        <v>0</v>
      </c>
      <c r="J107" s="175">
        <v>15</v>
      </c>
      <c r="L107" s="164">
        <f t="shared" si="23"/>
        <v>0</v>
      </c>
      <c r="M107" s="164">
        <f t="shared" si="23"/>
        <v>0</v>
      </c>
      <c r="N107" s="164">
        <f t="shared" si="23"/>
        <v>1</v>
      </c>
      <c r="O107" s="164">
        <f t="shared" si="23"/>
        <v>0</v>
      </c>
      <c r="P107" s="164">
        <f t="shared" si="23"/>
        <v>0</v>
      </c>
      <c r="Q107" s="164">
        <f t="shared" si="23"/>
        <v>0</v>
      </c>
      <c r="R107" s="164">
        <f t="shared" si="23"/>
        <v>0</v>
      </c>
      <c r="S107" s="1"/>
    </row>
    <row r="108" spans="1:256">
      <c r="A108" s="171" t="s">
        <v>477</v>
      </c>
      <c r="B108" s="134">
        <f>SUM(B100:B107)</f>
        <v>65.099999999999994</v>
      </c>
      <c r="C108" s="163">
        <f t="shared" ref="C108:J108" si="24">($B100*C100+$B101*C101+$B102*C102+$B103*C103+$B104*C104+$B105*C105+$B106*C106+$B107*C107)/$B108</f>
        <v>0</v>
      </c>
      <c r="D108" s="163">
        <f t="shared" si="24"/>
        <v>1.7665130568356373</v>
      </c>
      <c r="E108" s="163">
        <f t="shared" si="24"/>
        <v>4.3548387096774199</v>
      </c>
      <c r="F108" s="163">
        <f t="shared" si="24"/>
        <v>0</v>
      </c>
      <c r="G108" s="163">
        <f t="shared" si="24"/>
        <v>0</v>
      </c>
      <c r="H108" s="163">
        <f t="shared" si="24"/>
        <v>0</v>
      </c>
      <c r="I108" s="163">
        <f t="shared" si="24"/>
        <v>0</v>
      </c>
      <c r="J108" s="163">
        <f t="shared" si="24"/>
        <v>6.1213517665130572</v>
      </c>
      <c r="K108" s="172"/>
      <c r="L108" s="164">
        <f t="shared" si="23"/>
        <v>0</v>
      </c>
      <c r="M108" s="164">
        <f t="shared" si="23"/>
        <v>0.288582183186951</v>
      </c>
      <c r="N108" s="164">
        <f t="shared" si="23"/>
        <v>0.71141781681304894</v>
      </c>
      <c r="O108" s="164">
        <f t="shared" si="23"/>
        <v>0</v>
      </c>
      <c r="P108" s="164">
        <f t="shared" si="23"/>
        <v>0</v>
      </c>
      <c r="Q108" s="164">
        <f t="shared" si="23"/>
        <v>0</v>
      </c>
      <c r="R108" s="164">
        <f t="shared" si="23"/>
        <v>0</v>
      </c>
      <c r="S108" s="1"/>
    </row>
    <row r="109" spans="1:256">
      <c r="L109" s="1"/>
      <c r="M109" s="1"/>
      <c r="N109" s="1"/>
      <c r="O109" s="1"/>
      <c r="P109" s="1"/>
      <c r="Q109" s="1"/>
      <c r="R109" s="1"/>
      <c r="S109" s="1"/>
    </row>
    <row r="110" spans="1:256">
      <c r="A110" s="171"/>
      <c r="B110" s="171"/>
      <c r="C110" s="180"/>
      <c r="D110" s="180"/>
      <c r="E110" s="180"/>
      <c r="F110" s="180"/>
      <c r="G110" s="180"/>
      <c r="H110" s="180"/>
      <c r="I110" s="180"/>
      <c r="J110" s="180"/>
      <c r="L110" s="1"/>
      <c r="M110" s="1"/>
      <c r="N110" s="1"/>
      <c r="O110" s="1"/>
      <c r="P110" s="1"/>
      <c r="Q110" s="1"/>
      <c r="R110" s="1"/>
      <c r="S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78"/>
      <c r="B112" s="178"/>
      <c r="C112" s="180"/>
      <c r="D112" s="180"/>
      <c r="E112" s="180"/>
      <c r="F112" s="180"/>
      <c r="G112" s="180"/>
      <c r="H112" s="180"/>
      <c r="I112" s="180"/>
      <c r="J112" s="180"/>
    </row>
    <row r="113" spans="1:19">
      <c r="A113" s="1"/>
      <c r="B113" s="1"/>
      <c r="C113" s="1"/>
      <c r="D113" s="1"/>
      <c r="E113" s="1"/>
      <c r="F113" s="1"/>
      <c r="G113" s="1"/>
      <c r="H113" s="1"/>
      <c r="I113" s="1"/>
      <c r="J113" s="1"/>
      <c r="K113" s="1"/>
      <c r="L113" s="1"/>
      <c r="M113" s="1"/>
      <c r="N113" s="1"/>
      <c r="O113" s="1"/>
      <c r="P113" s="1"/>
      <c r="Q113" s="1"/>
      <c r="R113" s="1"/>
    </row>
    <row r="114" spans="1:19">
      <c r="A114" s="1"/>
      <c r="B114" s="1"/>
      <c r="C114" s="1"/>
      <c r="D114" s="1"/>
      <c r="E114" s="1"/>
      <c r="F114" s="1"/>
      <c r="G114" s="1"/>
      <c r="H114" s="1"/>
      <c r="I114" s="1"/>
      <c r="J114" s="1"/>
      <c r="K114" s="1"/>
      <c r="L114" s="1"/>
      <c r="M114" s="1"/>
      <c r="N114" s="1"/>
      <c r="O114" s="1"/>
      <c r="P114" s="1"/>
      <c r="Q114" s="1"/>
      <c r="R114" s="1"/>
    </row>
    <row r="115" spans="1:19">
      <c r="A115" s="1"/>
      <c r="B115" s="1"/>
      <c r="C115" s="1"/>
      <c r="D115" s="1"/>
      <c r="E115" s="1"/>
      <c r="F115" s="1"/>
      <c r="G115" s="1"/>
      <c r="H115" s="1"/>
      <c r="I115" s="1"/>
      <c r="J115" s="1"/>
      <c r="K115" s="1"/>
      <c r="L115" s="1"/>
      <c r="M115" s="1"/>
      <c r="N115" s="1"/>
      <c r="O115" s="1"/>
      <c r="P115" s="1"/>
      <c r="Q115" s="1"/>
      <c r="R115" s="1"/>
    </row>
    <row r="116" spans="1:19">
      <c r="A116" s="1"/>
      <c r="B116" s="1"/>
      <c r="C116" s="1"/>
      <c r="D116" s="1"/>
      <c r="E116" s="1"/>
      <c r="F116" s="1"/>
      <c r="G116" s="1"/>
      <c r="H116" s="1"/>
      <c r="I116" s="1"/>
      <c r="J116" s="1"/>
      <c r="K116" s="1"/>
      <c r="L116" s="1"/>
      <c r="M116" s="1"/>
      <c r="N116" s="1"/>
      <c r="O116" s="1"/>
      <c r="P116" s="1"/>
      <c r="Q116" s="1"/>
      <c r="R116" s="1"/>
    </row>
    <row r="117" spans="1:19">
      <c r="A117" s="1"/>
      <c r="B117" s="1"/>
      <c r="C117" s="1"/>
      <c r="D117" s="1"/>
      <c r="E117" s="1"/>
      <c r="F117" s="1"/>
      <c r="G117" s="1"/>
      <c r="H117" s="1"/>
      <c r="I117" s="1"/>
      <c r="J117" s="1"/>
      <c r="K117" s="1"/>
      <c r="L117" s="1"/>
      <c r="M117" s="1"/>
      <c r="N117" s="1"/>
      <c r="O117" s="1"/>
      <c r="P117" s="1"/>
      <c r="Q117" s="1"/>
      <c r="R117" s="1"/>
    </row>
    <row r="118" spans="1:19">
      <c r="A118" s="1"/>
      <c r="B118" s="1"/>
      <c r="C118" s="1"/>
      <c r="D118" s="1"/>
      <c r="E118" s="1"/>
      <c r="F118" s="1"/>
      <c r="G118" s="1"/>
      <c r="H118" s="1"/>
      <c r="I118" s="1"/>
      <c r="J118" s="1"/>
      <c r="K118" s="1"/>
      <c r="L118" s="1"/>
      <c r="M118" s="1"/>
      <c r="N118" s="1"/>
      <c r="O118" s="1"/>
      <c r="P118" s="1"/>
      <c r="Q118" s="1"/>
      <c r="R118" s="1"/>
    </row>
    <row r="119" spans="1:19">
      <c r="A119" s="1"/>
      <c r="B119" s="1"/>
      <c r="C119" s="1"/>
      <c r="D119" s="1"/>
      <c r="E119" s="1"/>
      <c r="F119" s="1"/>
      <c r="G119" s="1"/>
      <c r="H119" s="1"/>
      <c r="I119" s="1"/>
      <c r="J119" s="1"/>
      <c r="K119" s="1"/>
      <c r="L119" s="1"/>
      <c r="M119" s="1"/>
      <c r="N119" s="1"/>
      <c r="O119" s="1"/>
      <c r="P119" s="1"/>
      <c r="Q119" s="1"/>
      <c r="R119" s="1"/>
    </row>
    <row r="120" spans="1:19">
      <c r="A120" s="1"/>
      <c r="B120" s="1"/>
      <c r="C120" s="1"/>
      <c r="D120" s="1"/>
      <c r="E120" s="1"/>
      <c r="F120" s="1"/>
      <c r="G120" s="1"/>
      <c r="H120" s="1"/>
      <c r="I120" s="1"/>
      <c r="J120" s="1"/>
      <c r="K120" s="1"/>
      <c r="L120" s="1"/>
      <c r="M120" s="1"/>
      <c r="N120" s="1"/>
      <c r="O120" s="1"/>
      <c r="P120" s="1"/>
      <c r="Q120" s="1"/>
      <c r="R120" s="1"/>
    </row>
    <row r="121" spans="1:19">
      <c r="A121" s="1"/>
      <c r="B121" s="1"/>
      <c r="C121" s="1"/>
      <c r="D121" s="1"/>
      <c r="E121" s="1"/>
      <c r="F121" s="1"/>
      <c r="G121" s="1"/>
      <c r="H121" s="1"/>
      <c r="I121" s="1"/>
      <c r="J121" s="1"/>
      <c r="K121" s="1"/>
      <c r="L121" s="1"/>
      <c r="M121" s="1"/>
      <c r="N121" s="1"/>
      <c r="O121" s="1"/>
      <c r="P121" s="1"/>
      <c r="Q121" s="1"/>
      <c r="R121" s="1"/>
      <c r="S121" s="172"/>
    </row>
    <row r="122" spans="1:19">
      <c r="A122" s="171"/>
      <c r="B122" s="171"/>
      <c r="C122" s="180"/>
      <c r="D122" s="180"/>
      <c r="E122" s="180"/>
      <c r="F122" s="180"/>
      <c r="G122" s="180"/>
      <c r="H122" s="180"/>
      <c r="I122" s="180"/>
      <c r="J122" s="180"/>
    </row>
  </sheetData>
  <sheetProtection selectLockedCells="1" selectUnlockedCells="1"/>
  <mergeCells count="3">
    <mergeCell ref="A16:J16"/>
    <mergeCell ref="A27:J27"/>
    <mergeCell ref="A40:J40"/>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dimension ref="A1:IV41"/>
  <sheetViews>
    <sheetView topLeftCell="A3" workbookViewId="0"/>
  </sheetViews>
  <sheetFormatPr defaultColWidth="9" defaultRowHeight="12.75"/>
  <cols>
    <col min="1" max="1" width="24.140625" style="68" customWidth="1"/>
    <col min="2" max="3" width="7.7109375" style="68" customWidth="1"/>
    <col min="4" max="6" width="9" style="68"/>
    <col min="7" max="7" width="12.85546875" style="68" customWidth="1"/>
    <col min="8" max="10" width="9" style="68"/>
    <col min="11" max="11" width="9" style="172"/>
    <col min="12" max="12" width="12.42578125" style="68" customWidth="1"/>
    <col min="13" max="16384" width="9" style="68"/>
  </cols>
  <sheetData>
    <row r="1" spans="1:256" s="44" customFormat="1">
      <c r="A1" s="42" t="s">
        <v>179</v>
      </c>
      <c r="B1" s="43"/>
      <c r="C1" s="43"/>
      <c r="D1" s="43"/>
      <c r="E1" s="43"/>
      <c r="F1" s="43"/>
      <c r="G1" s="43"/>
      <c r="H1" s="43"/>
      <c r="I1" s="43"/>
      <c r="J1" s="43"/>
      <c r="K1" s="43"/>
      <c r="L1" s="43"/>
      <c r="M1" s="43"/>
      <c r="N1" s="43"/>
      <c r="O1" s="43"/>
      <c r="P1" s="43"/>
      <c r="Q1" s="43"/>
      <c r="R1" s="43"/>
      <c r="S1" s="43"/>
      <c r="T1" s="43"/>
      <c r="U1" s="43"/>
      <c r="V1" s="43"/>
      <c r="W1" s="43"/>
    </row>
    <row r="2" spans="1:256">
      <c r="A2" s="45" t="s">
        <v>180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row>
    <row r="3" spans="1:256">
      <c r="A3" s="21" t="s">
        <v>181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row>
    <row r="4" spans="1:256">
      <c r="A4" s="46" t="s">
        <v>182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row>
    <row r="5" spans="1:256">
      <c r="A5" s="47" t="s">
        <v>183</v>
      </c>
      <c r="B5" s="41"/>
      <c r="C5" s="41"/>
      <c r="D5" s="41"/>
      <c r="E5" s="41"/>
      <c r="F5" s="41"/>
      <c r="G5" s="41"/>
      <c r="H5" s="1"/>
      <c r="I5" s="1"/>
      <c r="J5" s="1"/>
      <c r="K5" s="1"/>
      <c r="L5" s="1"/>
      <c r="M5" s="1"/>
      <c r="N5" s="41"/>
      <c r="O5" s="41"/>
      <c r="P5" s="41"/>
      <c r="Q5" s="41"/>
      <c r="R5" s="41"/>
      <c r="S5" s="41"/>
      <c r="T5" s="41"/>
      <c r="U5" s="41"/>
      <c r="V5" s="41"/>
      <c r="W5" s="4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row>
    <row r="6" spans="1:2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row>
    <row r="7" spans="1:256" s="158" customFormat="1" ht="12.75" customHeight="1">
      <c r="A7" s="799" t="s">
        <v>482</v>
      </c>
      <c r="B7" s="799"/>
      <c r="C7" s="799"/>
      <c r="D7" s="799"/>
      <c r="E7" s="799"/>
      <c r="F7" s="799"/>
      <c r="G7" s="799"/>
      <c r="H7" s="799"/>
      <c r="I7" s="799"/>
      <c r="J7" s="799"/>
      <c r="K7" s="156"/>
      <c r="L7" s="156"/>
      <c r="M7" s="156"/>
      <c r="N7" s="156"/>
      <c r="O7" s="156"/>
      <c r="P7" s="156"/>
      <c r="Q7" s="156"/>
      <c r="R7" s="156"/>
      <c r="S7" s="157"/>
    </row>
    <row r="8" spans="1:256">
      <c r="A8" s="1"/>
      <c r="B8" s="1"/>
      <c r="C8" s="1"/>
      <c r="D8" s="1"/>
      <c r="E8" s="1"/>
      <c r="F8" s="1"/>
      <c r="G8" s="1"/>
      <c r="H8" s="1"/>
      <c r="I8" s="1"/>
      <c r="J8" s="1"/>
      <c r="K8" s="4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row>
    <row r="9" spans="1:256">
      <c r="A9" s="9" t="s">
        <v>110</v>
      </c>
      <c r="B9" s="14">
        <v>2001</v>
      </c>
      <c r="C9" s="30"/>
      <c r="D9" s="1"/>
      <c r="E9" s="1"/>
      <c r="F9" s="1"/>
      <c r="G9" s="1"/>
      <c r="H9" s="1"/>
      <c r="I9" s="1"/>
      <c r="J9" s="1"/>
      <c r="K9" s="4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row>
    <row r="10" spans="1:256">
      <c r="A10" s="12" t="s">
        <v>137</v>
      </c>
      <c r="B10" s="181">
        <v>63509.010807600003</v>
      </c>
      <c r="C10" s="182"/>
      <c r="D10" s="1"/>
      <c r="E10" s="1"/>
      <c r="F10" s="1"/>
      <c r="G10" s="1"/>
      <c r="H10" s="1"/>
      <c r="I10" s="1"/>
      <c r="J10" s="1"/>
      <c r="K10" s="4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row>
    <row r="11" spans="1:256">
      <c r="A11" s="12" t="s">
        <v>138</v>
      </c>
      <c r="B11" s="183">
        <v>12</v>
      </c>
      <c r="C11" s="1"/>
      <c r="D11" s="1"/>
      <c r="E11" s="1"/>
      <c r="F11" s="1"/>
      <c r="G11" s="1"/>
      <c r="H11" s="1"/>
      <c r="I11" s="1"/>
      <c r="J11" s="1"/>
      <c r="K11" s="4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row>
    <row r="12" spans="1:256">
      <c r="A12" s="12" t="s">
        <v>139</v>
      </c>
      <c r="B12" s="183">
        <v>150</v>
      </c>
      <c r="C12" s="1"/>
      <c r="D12" s="1"/>
      <c r="E12" s="1"/>
      <c r="F12" s="1"/>
      <c r="G12" s="1"/>
      <c r="H12" s="1"/>
      <c r="I12" s="1"/>
      <c r="J12" s="1"/>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row>
    <row r="13" spans="1:256">
      <c r="A13" s="12" t="s">
        <v>141</v>
      </c>
      <c r="B13" s="183">
        <v>20000</v>
      </c>
      <c r="C13" s="1"/>
      <c r="D13" s="1"/>
      <c r="E13" s="1"/>
      <c r="F13" s="1"/>
      <c r="G13" s="1"/>
      <c r="H13" s="1"/>
      <c r="I13" s="1"/>
      <c r="J13" s="1"/>
      <c r="K13" s="4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row>
    <row r="14" spans="1:256">
      <c r="A14" s="12" t="s">
        <v>464</v>
      </c>
      <c r="B14" s="183"/>
      <c r="C14" s="1"/>
      <c r="D14" s="1"/>
      <c r="E14" s="1"/>
      <c r="F14" s="1"/>
      <c r="G14" s="1"/>
      <c r="H14" s="1"/>
      <c r="I14" s="1"/>
      <c r="J14" s="1"/>
      <c r="K14" s="4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row>
    <row r="15" spans="1:256">
      <c r="A15" s="12" t="s">
        <v>465</v>
      </c>
      <c r="B15" s="183">
        <v>1160</v>
      </c>
      <c r="C15" s="1"/>
      <c r="D15" s="1"/>
      <c r="E15" s="1"/>
      <c r="F15" s="1"/>
      <c r="G15" s="1"/>
      <c r="H15" s="1"/>
      <c r="I15" s="1"/>
      <c r="J15" s="1"/>
      <c r="K15" s="4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row>
    <row r="16" spans="1:256">
      <c r="A16" s="1"/>
      <c r="B16" s="1"/>
      <c r="C16" s="1"/>
      <c r="D16" s="1"/>
      <c r="E16" s="1"/>
      <c r="F16" s="1"/>
      <c r="G16" s="1"/>
      <c r="H16" s="1"/>
      <c r="I16" s="1"/>
      <c r="J16" s="1"/>
      <c r="K16" s="4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row>
    <row r="17" spans="1:256" s="158" customFormat="1" ht="12.75" customHeight="1">
      <c r="A17" s="799" t="s">
        <v>483</v>
      </c>
      <c r="B17" s="799"/>
      <c r="C17" s="799"/>
      <c r="D17" s="799"/>
      <c r="E17" s="799"/>
      <c r="F17" s="799"/>
      <c r="G17" s="799"/>
      <c r="H17" s="799"/>
      <c r="I17" s="799"/>
      <c r="J17" s="799"/>
      <c r="K17" s="156"/>
      <c r="L17" s="156"/>
      <c r="M17" s="156"/>
      <c r="N17" s="156"/>
      <c r="O17" s="156"/>
      <c r="P17" s="156"/>
      <c r="Q17" s="156"/>
      <c r="R17" s="156"/>
      <c r="S17" s="157"/>
    </row>
    <row r="18" spans="1:256">
      <c r="A18" s="1"/>
      <c r="B18" s="1"/>
      <c r="C18" s="1"/>
      <c r="D18" s="1"/>
      <c r="E18" s="1"/>
      <c r="F18" s="1"/>
      <c r="G18" s="1"/>
      <c r="H18" s="1"/>
      <c r="I18" s="1"/>
      <c r="J18" s="1"/>
      <c r="K18" s="4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row>
    <row r="19" spans="1:256">
      <c r="A19" s="1" t="s">
        <v>484</v>
      </c>
      <c r="B19" s="1">
        <f>'devilliers floor space projecti'!O45</f>
        <v>86.848396517460017</v>
      </c>
      <c r="C19" s="1" t="s">
        <v>485</v>
      </c>
      <c r="D19" s="1"/>
      <c r="E19" s="1"/>
      <c r="F19" s="1"/>
      <c r="G19" s="1"/>
      <c r="H19" s="1"/>
      <c r="I19" s="1"/>
      <c r="J19" s="1"/>
      <c r="K19" s="4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row>
    <row r="20" spans="1:256">
      <c r="A20" s="1"/>
      <c r="B20" s="1"/>
      <c r="C20" s="1"/>
      <c r="D20" s="1"/>
      <c r="E20" s="1"/>
      <c r="F20" s="1"/>
      <c r="G20" s="1"/>
      <c r="H20" s="1"/>
      <c r="I20" s="1"/>
      <c r="J20" s="1"/>
      <c r="K20" s="4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row>
    <row r="21" spans="1:256" s="158" customFormat="1" ht="12.75" customHeight="1">
      <c r="A21" s="799" t="s">
        <v>486</v>
      </c>
      <c r="B21" s="799"/>
      <c r="C21" s="799"/>
      <c r="D21" s="799"/>
      <c r="E21" s="799"/>
      <c r="F21" s="799"/>
      <c r="G21" s="799"/>
      <c r="H21" s="799"/>
      <c r="I21" s="799"/>
      <c r="J21" s="799"/>
      <c r="K21" s="156"/>
      <c r="L21" s="156"/>
      <c r="M21" s="156"/>
      <c r="N21" s="156"/>
      <c r="O21" s="156"/>
      <c r="P21" s="156"/>
      <c r="Q21" s="156"/>
      <c r="R21" s="156"/>
      <c r="S21" s="157"/>
    </row>
    <row r="22" spans="1:256">
      <c r="A22" s="1"/>
      <c r="B22" s="161"/>
      <c r="C22" s="161"/>
      <c r="D22" s="161"/>
      <c r="E22" s="161"/>
      <c r="F22" s="161"/>
      <c r="G22" s="161"/>
      <c r="H22" s="161"/>
      <c r="I22" s="1"/>
      <c r="J22" s="1"/>
      <c r="K22" s="161"/>
      <c r="L22" s="161"/>
      <c r="M22" s="161"/>
      <c r="N22" s="161"/>
      <c r="O22" s="161"/>
      <c r="P22" s="161"/>
      <c r="Q22" s="161"/>
      <c r="R22" s="161"/>
      <c r="S22" s="161"/>
    </row>
    <row r="23" spans="1:256" ht="38.25">
      <c r="A23" s="159" t="s">
        <v>467</v>
      </c>
      <c r="B23" s="160" t="s">
        <v>42</v>
      </c>
      <c r="C23" s="160" t="s">
        <v>468</v>
      </c>
      <c r="D23" s="160" t="s">
        <v>469</v>
      </c>
      <c r="E23" s="160" t="s">
        <v>470</v>
      </c>
      <c r="F23" s="160" t="s">
        <v>471</v>
      </c>
      <c r="G23" s="160" t="s">
        <v>472</v>
      </c>
      <c r="H23" s="160" t="s">
        <v>43</v>
      </c>
      <c r="I23" s="160" t="s">
        <v>224</v>
      </c>
      <c r="J23" s="1"/>
      <c r="L23" s="1"/>
      <c r="M23" s="1"/>
      <c r="N23" s="1"/>
      <c r="O23" s="1"/>
      <c r="P23" s="1"/>
      <c r="Q23" s="1"/>
      <c r="R23" s="1"/>
      <c r="S23" s="161"/>
    </row>
    <row r="24" spans="1:256">
      <c r="A24" s="56" t="s">
        <v>137</v>
      </c>
      <c r="B24" s="168">
        <f t="shared" ref="B24:H29" si="0">$B10*B35/$B$19</f>
        <v>192.82227918136772</v>
      </c>
      <c r="C24" s="168">
        <f>$B10*C35/$B$19</f>
        <v>58.635370783969329</v>
      </c>
      <c r="D24" s="168">
        <f t="shared" si="0"/>
        <v>23.509204999769864</v>
      </c>
      <c r="E24" s="168">
        <f t="shared" si="0"/>
        <v>315.44728348051859</v>
      </c>
      <c r="F24" s="168">
        <f t="shared" si="0"/>
        <v>42.641403448060323</v>
      </c>
      <c r="G24" s="168">
        <f t="shared" si="0"/>
        <v>4.2944215222062043</v>
      </c>
      <c r="H24" s="168">
        <f t="shared" si="0"/>
        <v>93.91294245516967</v>
      </c>
      <c r="I24" s="168">
        <f t="shared" ref="I24:I30" si="1">SUM(B24:H24)</f>
        <v>731.26290587106166</v>
      </c>
      <c r="J24" s="1"/>
      <c r="K24" s="103"/>
      <c r="L24" s="1"/>
      <c r="M24" s="1"/>
      <c r="N24" s="1"/>
      <c r="O24" s="1"/>
      <c r="P24" s="1"/>
      <c r="Q24" s="1"/>
      <c r="R24" s="1"/>
      <c r="S24" s="161"/>
    </row>
    <row r="25" spans="1:256">
      <c r="A25" s="56" t="s">
        <v>138</v>
      </c>
      <c r="B25" s="168">
        <f t="shared" si="0"/>
        <v>0</v>
      </c>
      <c r="C25" s="168">
        <f t="shared" si="0"/>
        <v>0</v>
      </c>
      <c r="D25" s="168">
        <f t="shared" si="0"/>
        <v>9.6411693575395863E-2</v>
      </c>
      <c r="E25" s="168">
        <f t="shared" si="0"/>
        <v>0</v>
      </c>
      <c r="F25" s="168">
        <f t="shared" si="0"/>
        <v>0</v>
      </c>
      <c r="G25" s="168">
        <f t="shared" si="0"/>
        <v>4.1760114784790948E-2</v>
      </c>
      <c r="H25" s="168">
        <f t="shared" si="0"/>
        <v>0</v>
      </c>
      <c r="I25" s="168">
        <f t="shared" si="1"/>
        <v>0.1381718083601868</v>
      </c>
      <c r="J25" s="1"/>
      <c r="K25" s="103"/>
      <c r="L25" s="1"/>
      <c r="M25" s="1"/>
      <c r="N25" s="1"/>
      <c r="O25" s="1"/>
      <c r="P25" s="1"/>
      <c r="Q25" s="1"/>
      <c r="R25" s="1"/>
      <c r="S25" s="161"/>
    </row>
    <row r="26" spans="1:256">
      <c r="A26" s="56" t="s">
        <v>139</v>
      </c>
      <c r="B26" s="168">
        <f t="shared" si="0"/>
        <v>0</v>
      </c>
      <c r="C26" s="168">
        <f t="shared" si="0"/>
        <v>0</v>
      </c>
      <c r="D26" s="168">
        <f t="shared" si="0"/>
        <v>1.7271476045023351</v>
      </c>
      <c r="E26" s="168">
        <f t="shared" si="0"/>
        <v>0</v>
      </c>
      <c r="F26" s="168">
        <f t="shared" si="0"/>
        <v>0</v>
      </c>
      <c r="G26" s="168">
        <f t="shared" si="0"/>
        <v>0</v>
      </c>
      <c r="H26" s="168">
        <f t="shared" si="0"/>
        <v>0</v>
      </c>
      <c r="I26" s="168">
        <f t="shared" si="1"/>
        <v>1.7271476045023351</v>
      </c>
      <c r="J26" s="1"/>
      <c r="K26" s="103"/>
      <c r="L26" s="1"/>
      <c r="M26" s="1"/>
      <c r="N26" s="1"/>
      <c r="O26" s="1"/>
      <c r="P26" s="1"/>
      <c r="Q26" s="1"/>
      <c r="R26" s="1"/>
      <c r="S26" s="161"/>
    </row>
    <row r="27" spans="1:256">
      <c r="A27" s="56" t="s">
        <v>141</v>
      </c>
      <c r="B27" s="168">
        <f t="shared" si="0"/>
        <v>0</v>
      </c>
      <c r="C27" s="168">
        <f t="shared" si="0"/>
        <v>103.13437638337052</v>
      </c>
      <c r="D27" s="168">
        <f t="shared" si="0"/>
        <v>86.604620168501555</v>
      </c>
      <c r="E27" s="168">
        <f t="shared" si="0"/>
        <v>0</v>
      </c>
      <c r="F27" s="168">
        <f t="shared" si="0"/>
        <v>0</v>
      </c>
      <c r="G27" s="168">
        <f t="shared" si="0"/>
        <v>1.836639579429886</v>
      </c>
      <c r="H27" s="168">
        <f t="shared" si="0"/>
        <v>38.710711135676057</v>
      </c>
      <c r="I27" s="168">
        <f t="shared" si="1"/>
        <v>230.28634726697803</v>
      </c>
      <c r="J27" s="1"/>
      <c r="K27" s="103"/>
      <c r="L27" s="1"/>
      <c r="M27" s="1"/>
      <c r="N27" s="1"/>
      <c r="O27" s="1"/>
      <c r="P27" s="1"/>
      <c r="Q27" s="1"/>
      <c r="R27" s="1"/>
      <c r="S27" s="161"/>
    </row>
    <row r="28" spans="1:256">
      <c r="A28" s="56" t="s">
        <v>464</v>
      </c>
      <c r="B28" s="168">
        <f t="shared" si="0"/>
        <v>0</v>
      </c>
      <c r="C28" s="168">
        <f t="shared" si="0"/>
        <v>0</v>
      </c>
      <c r="D28" s="168">
        <f t="shared" si="0"/>
        <v>0</v>
      </c>
      <c r="E28" s="168">
        <f t="shared" si="0"/>
        <v>0</v>
      </c>
      <c r="F28" s="168">
        <f t="shared" si="0"/>
        <v>0</v>
      </c>
      <c r="G28" s="168">
        <f t="shared" si="0"/>
        <v>0</v>
      </c>
      <c r="H28" s="168">
        <f t="shared" si="0"/>
        <v>0</v>
      </c>
      <c r="I28" s="168">
        <f t="shared" si="1"/>
        <v>0</v>
      </c>
      <c r="J28" s="1"/>
      <c r="K28" s="103"/>
      <c r="L28" s="1"/>
      <c r="M28" s="1"/>
      <c r="N28" s="1"/>
      <c r="O28" s="1"/>
      <c r="P28" s="1"/>
      <c r="Q28" s="1"/>
      <c r="R28" s="1"/>
      <c r="S28" s="161"/>
    </row>
    <row r="29" spans="1:256">
      <c r="A29" s="56" t="s">
        <v>473</v>
      </c>
      <c r="B29" s="168">
        <f t="shared" si="0"/>
        <v>0</v>
      </c>
      <c r="C29" s="168">
        <f t="shared" si="0"/>
        <v>3.8544791374422656</v>
      </c>
      <c r="D29" s="168">
        <f t="shared" si="0"/>
        <v>9.5021290040424571</v>
      </c>
      <c r="E29" s="168">
        <f t="shared" si="0"/>
        <v>0</v>
      </c>
      <c r="F29" s="168">
        <f t="shared" si="0"/>
        <v>0</v>
      </c>
      <c r="G29" s="168">
        <f t="shared" si="0"/>
        <v>0</v>
      </c>
      <c r="H29" s="168">
        <f t="shared" si="0"/>
        <v>0</v>
      </c>
      <c r="I29" s="168">
        <f t="shared" si="1"/>
        <v>13.356608141484722</v>
      </c>
      <c r="J29" s="1"/>
      <c r="K29" s="103"/>
      <c r="L29" s="1"/>
      <c r="M29" s="1"/>
      <c r="N29" s="1"/>
      <c r="O29" s="1"/>
      <c r="P29" s="1"/>
      <c r="Q29" s="1"/>
      <c r="R29" s="1"/>
      <c r="S29" s="161"/>
    </row>
    <row r="30" spans="1:256">
      <c r="A30" s="184" t="s">
        <v>487</v>
      </c>
      <c r="B30" s="168">
        <f t="shared" ref="B30:H30" si="2">SUM(B24:B29)</f>
        <v>192.82227918136772</v>
      </c>
      <c r="C30" s="168">
        <f t="shared" si="2"/>
        <v>165.62422630478213</v>
      </c>
      <c r="D30" s="168">
        <f t="shared" si="2"/>
        <v>121.4395134703916</v>
      </c>
      <c r="E30" s="168">
        <f t="shared" si="2"/>
        <v>315.44728348051859</v>
      </c>
      <c r="F30" s="168">
        <f t="shared" si="2"/>
        <v>42.641403448060323</v>
      </c>
      <c r="G30" s="168">
        <f t="shared" si="2"/>
        <v>6.1728212164208811</v>
      </c>
      <c r="H30" s="168">
        <f t="shared" si="2"/>
        <v>132.62365359084572</v>
      </c>
      <c r="I30" s="168">
        <f t="shared" si="1"/>
        <v>976.77118069238691</v>
      </c>
      <c r="J30" s="1"/>
      <c r="L30" s="1"/>
      <c r="M30" s="1"/>
      <c r="N30" s="1"/>
      <c r="O30" s="1"/>
      <c r="P30" s="1"/>
      <c r="Q30" s="1"/>
      <c r="R30" s="1"/>
      <c r="S30" s="161"/>
    </row>
    <row r="31" spans="1:256">
      <c r="S31" s="161"/>
    </row>
    <row r="32" spans="1:256" ht="12.75" customHeight="1">
      <c r="A32" s="799" t="s">
        <v>488</v>
      </c>
      <c r="B32" s="799"/>
      <c r="C32" s="799"/>
      <c r="D32" s="799"/>
      <c r="E32" s="799"/>
      <c r="F32" s="799"/>
      <c r="G32" s="799"/>
      <c r="H32" s="799"/>
      <c r="I32" s="799"/>
      <c r="J32" s="799"/>
      <c r="K32" s="156"/>
      <c r="L32" s="156"/>
      <c r="M32" s="156"/>
      <c r="N32" s="156"/>
      <c r="O32" s="156"/>
      <c r="P32" s="156"/>
      <c r="Q32" s="156"/>
      <c r="R32" s="156"/>
      <c r="S32" s="1"/>
    </row>
    <row r="33" spans="1:19">
      <c r="A33" s="1"/>
      <c r="B33" s="1"/>
      <c r="C33" s="1"/>
      <c r="D33" s="1"/>
      <c r="E33" s="1"/>
      <c r="F33" s="1"/>
      <c r="G33" s="1"/>
      <c r="H33" s="1"/>
      <c r="I33" s="1"/>
      <c r="J33" s="1"/>
      <c r="K33" s="41"/>
      <c r="L33" s="1"/>
      <c r="M33" s="1"/>
      <c r="N33" s="1"/>
      <c r="O33" s="1"/>
      <c r="P33" s="1"/>
      <c r="Q33" s="1"/>
      <c r="R33" s="1"/>
      <c r="S33" s="161"/>
    </row>
    <row r="34" spans="1:19" ht="38.25">
      <c r="A34" s="185"/>
      <c r="B34" s="160" t="s">
        <v>42</v>
      </c>
      <c r="C34" s="160" t="s">
        <v>468</v>
      </c>
      <c r="D34" s="160" t="s">
        <v>469</v>
      </c>
      <c r="E34" s="160" t="s">
        <v>470</v>
      </c>
      <c r="F34" s="160" t="s">
        <v>471</v>
      </c>
      <c r="G34" s="160" t="s">
        <v>472</v>
      </c>
      <c r="H34" s="160" t="s">
        <v>43</v>
      </c>
      <c r="I34" s="1"/>
      <c r="J34" s="1"/>
      <c r="K34" s="161"/>
      <c r="L34" s="1"/>
      <c r="M34" s="1"/>
      <c r="N34" s="1"/>
      <c r="O34" s="1"/>
      <c r="P34" s="1"/>
      <c r="Q34" s="1"/>
      <c r="R34" s="1"/>
      <c r="S34" s="161"/>
    </row>
    <row r="35" spans="1:19">
      <c r="A35" s="56" t="s">
        <v>137</v>
      </c>
      <c r="B35" s="186">
        <f>'End use share 1994'!L19</f>
        <v>0.26368393314259903</v>
      </c>
      <c r="C35" s="186">
        <f>'End use share 1994'!M19</f>
        <v>8.0183707273001045E-2</v>
      </c>
      <c r="D35" s="186">
        <f>'End use share 1994'!N19</f>
        <v>3.2148772775184457E-2</v>
      </c>
      <c r="E35" s="186">
        <f>'End use share 1994'!O19</f>
        <v>0.43137328715554885</v>
      </c>
      <c r="F35" s="186">
        <f>'End use share 1994'!P19</f>
        <v>5.8312001204637857E-2</v>
      </c>
      <c r="G35" s="186">
        <f>'End use share 1994'!Q19</f>
        <v>5.8726095467550067E-3</v>
      </c>
      <c r="H35" s="186">
        <f>'End use share 1994'!R19</f>
        <v>0.12842568890227377</v>
      </c>
      <c r="I35" s="1"/>
      <c r="J35" s="1"/>
      <c r="L35" s="1"/>
      <c r="M35" s="1"/>
      <c r="N35" s="1"/>
      <c r="O35" s="1"/>
      <c r="P35" s="1"/>
      <c r="Q35" s="1"/>
      <c r="R35" s="1"/>
      <c r="S35" s="161"/>
    </row>
    <row r="36" spans="1:19">
      <c r="A36" s="56" t="s">
        <v>138</v>
      </c>
      <c r="B36" s="186">
        <f>'End use share 1994'!L20</f>
        <v>0</v>
      </c>
      <c r="C36" s="186">
        <f>'End use share 1994'!M20</f>
        <v>0</v>
      </c>
      <c r="D36" s="186">
        <f>'End use share 1994'!N20</f>
        <v>0.69776674937965266</v>
      </c>
      <c r="E36" s="186">
        <f>'End use share 1994'!O20</f>
        <v>0</v>
      </c>
      <c r="F36" s="186">
        <f>'End use share 1994'!P20</f>
        <v>0</v>
      </c>
      <c r="G36" s="186">
        <f>'End use share 1994'!Q20</f>
        <v>0.30223325062034739</v>
      </c>
      <c r="H36" s="186">
        <f>'End use share 1994'!R20</f>
        <v>0</v>
      </c>
      <c r="I36" s="1"/>
      <c r="J36" s="1"/>
      <c r="L36" s="1"/>
      <c r="M36" s="1"/>
      <c r="N36" s="1"/>
      <c r="O36" s="1"/>
      <c r="P36" s="1"/>
      <c r="Q36" s="1"/>
      <c r="R36" s="1"/>
      <c r="S36" s="161"/>
    </row>
    <row r="37" spans="1:19">
      <c r="A37" s="56" t="s">
        <v>139</v>
      </c>
      <c r="B37" s="186">
        <f>'End use share 1994'!L21</f>
        <v>0</v>
      </c>
      <c r="C37" s="186">
        <f>'End use share 1994'!M21</f>
        <v>0</v>
      </c>
      <c r="D37" s="186">
        <f>'End use share 1994'!N21</f>
        <v>1</v>
      </c>
      <c r="E37" s="186">
        <f>'End use share 1994'!O21</f>
        <v>0</v>
      </c>
      <c r="F37" s="186">
        <f>'End use share 1994'!P21</f>
        <v>0</v>
      </c>
      <c r="G37" s="186">
        <f>'End use share 1994'!Q21</f>
        <v>0</v>
      </c>
      <c r="H37" s="186">
        <f>'End use share 1994'!R21</f>
        <v>0</v>
      </c>
      <c r="I37" s="1"/>
      <c r="J37" s="1"/>
      <c r="L37" s="1"/>
      <c r="M37" s="1"/>
      <c r="N37" s="1"/>
      <c r="O37" s="1"/>
      <c r="P37" s="1"/>
      <c r="Q37" s="1"/>
      <c r="R37" s="1"/>
      <c r="S37" s="161"/>
    </row>
    <row r="38" spans="1:19">
      <c r="A38" s="56" t="s">
        <v>141</v>
      </c>
      <c r="B38" s="186">
        <f>'End use share 1994'!L22</f>
        <v>0</v>
      </c>
      <c r="C38" s="186">
        <f>'End use share 1994'!M22</f>
        <v>0.44785276073619634</v>
      </c>
      <c r="D38" s="186">
        <f>'End use share 1994'!N22</f>
        <v>0.37607361963190189</v>
      </c>
      <c r="E38" s="186">
        <f>'End use share 1994'!O22</f>
        <v>0</v>
      </c>
      <c r="F38" s="186">
        <f>'End use share 1994'!P22</f>
        <v>0</v>
      </c>
      <c r="G38" s="186">
        <f>'End use share 1994'!Q22</f>
        <v>7.9754601226993873E-3</v>
      </c>
      <c r="H38" s="186">
        <f>'End use share 1994'!R22</f>
        <v>0.16809815950920245</v>
      </c>
      <c r="I38" s="1"/>
      <c r="J38" s="1"/>
      <c r="L38" s="1"/>
      <c r="M38" s="1"/>
      <c r="N38" s="1"/>
      <c r="O38" s="1"/>
      <c r="P38" s="1"/>
      <c r="Q38" s="1"/>
      <c r="R38" s="1"/>
      <c r="S38" s="161"/>
    </row>
    <row r="39" spans="1:19">
      <c r="A39" s="56" t="s">
        <v>464</v>
      </c>
      <c r="B39" s="186">
        <f>'End use share 1994'!L23</f>
        <v>0</v>
      </c>
      <c r="C39" s="186">
        <f>'End use share 1994'!M23</f>
        <v>0.4206098843322818</v>
      </c>
      <c r="D39" s="186">
        <f>'End use share 1994'!N23</f>
        <v>0.4987732211706975</v>
      </c>
      <c r="E39" s="186">
        <f>'End use share 1994'!O23</f>
        <v>0</v>
      </c>
      <c r="F39" s="186">
        <f>'End use share 1994'!P23</f>
        <v>0</v>
      </c>
      <c r="G39" s="186">
        <f>'End use share 1994'!Q23</f>
        <v>0</v>
      </c>
      <c r="H39" s="186">
        <f>'End use share 1994'!R23</f>
        <v>8.0616894497020669E-2</v>
      </c>
      <c r="I39" s="1"/>
      <c r="J39" s="1"/>
      <c r="L39" s="1"/>
      <c r="M39" s="1"/>
      <c r="N39" s="1"/>
      <c r="O39" s="1"/>
      <c r="P39" s="1"/>
      <c r="Q39" s="1"/>
      <c r="R39" s="1"/>
      <c r="S39" s="161"/>
    </row>
    <row r="40" spans="1:19">
      <c r="A40" s="56" t="s">
        <v>473</v>
      </c>
      <c r="B40" s="186">
        <f>'End use share 1994'!L24</f>
        <v>0</v>
      </c>
      <c r="C40" s="186">
        <f>'End use share 1994'!M24</f>
        <v>0.288582183186951</v>
      </c>
      <c r="D40" s="186">
        <f>'End use share 1994'!N24</f>
        <v>0.71141781681304894</v>
      </c>
      <c r="E40" s="186">
        <f>'End use share 1994'!O24</f>
        <v>0</v>
      </c>
      <c r="F40" s="186">
        <f>'End use share 1994'!P24</f>
        <v>0</v>
      </c>
      <c r="G40" s="186">
        <f>'End use share 1994'!Q24</f>
        <v>0</v>
      </c>
      <c r="H40" s="186">
        <f>'End use share 1994'!R24</f>
        <v>0</v>
      </c>
      <c r="I40" s="1"/>
      <c r="J40" s="1"/>
      <c r="L40" s="1"/>
      <c r="M40" s="1"/>
      <c r="N40" s="1"/>
      <c r="O40" s="1"/>
      <c r="P40" s="1"/>
      <c r="Q40" s="1"/>
      <c r="R40" s="1"/>
      <c r="S40" s="161"/>
    </row>
    <row r="41" spans="1:19">
      <c r="A41" s="1"/>
      <c r="B41" s="1"/>
      <c r="C41" s="1"/>
      <c r="D41" s="1"/>
      <c r="E41" s="1"/>
      <c r="F41" s="1"/>
      <c r="G41" s="1"/>
      <c r="H41" s="1"/>
      <c r="I41" s="1"/>
      <c r="J41" s="1"/>
      <c r="K41" s="41"/>
      <c r="L41" s="1"/>
      <c r="M41" s="1"/>
      <c r="N41" s="1"/>
      <c r="O41" s="1"/>
      <c r="P41" s="1"/>
      <c r="Q41" s="1"/>
      <c r="R41" s="1"/>
      <c r="S41" s="161"/>
    </row>
  </sheetData>
  <sheetProtection selectLockedCells="1" selectUnlockedCells="1"/>
  <mergeCells count="4">
    <mergeCell ref="A7:J7"/>
    <mergeCell ref="A17:J17"/>
    <mergeCell ref="A21:J21"/>
    <mergeCell ref="A32:J32"/>
  </mergeCells>
  <pageMargins left="0.78749999999999998" right="0.78749999999999998" top="1.0249999999999999" bottom="1.0249999999999999" header="0.78749999999999998" footer="0.78749999999999998"/>
  <pageSetup paperSize="9" firstPageNumber="0" orientation="portrait" horizontalDpi="300" verticalDpi="300"/>
  <headerFooter alignWithMargins="0">
    <oddHeader>&amp;C&amp;A</oddHeader>
    <oddFooter>&amp;CPage &amp;P</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
  <dimension ref="A1:M42"/>
  <sheetViews>
    <sheetView workbookViewId="0"/>
  </sheetViews>
  <sheetFormatPr defaultColWidth="8.85546875" defaultRowHeight="12.75"/>
  <cols>
    <col min="1" max="1" width="50" customWidth="1"/>
    <col min="2" max="2" width="17" customWidth="1"/>
    <col min="4" max="4" width="15.7109375" customWidth="1"/>
    <col min="6" max="6" width="15" customWidth="1"/>
    <col min="7" max="7" width="20.28515625" customWidth="1"/>
    <col min="8" max="8" width="14.28515625" customWidth="1"/>
  </cols>
  <sheetData>
    <row r="1" spans="1:13">
      <c r="A1" s="314" t="s">
        <v>779</v>
      </c>
      <c r="B1">
        <v>2000</v>
      </c>
      <c r="C1">
        <v>2001</v>
      </c>
      <c r="D1">
        <v>2002</v>
      </c>
      <c r="E1">
        <v>2003</v>
      </c>
      <c r="F1">
        <v>2004</v>
      </c>
      <c r="G1">
        <v>2005</v>
      </c>
      <c r="H1">
        <v>2006</v>
      </c>
      <c r="I1">
        <v>2007</v>
      </c>
      <c r="J1">
        <v>2008</v>
      </c>
      <c r="K1">
        <v>2009</v>
      </c>
      <c r="L1">
        <v>2010</v>
      </c>
      <c r="M1">
        <v>2011</v>
      </c>
    </row>
    <row r="2" spans="1:13">
      <c r="B2">
        <v>62.5</v>
      </c>
      <c r="C2">
        <v>66.099999999999994</v>
      </c>
      <c r="D2">
        <v>72.099999999999994</v>
      </c>
      <c r="E2">
        <v>76.3</v>
      </c>
      <c r="F2">
        <v>77.400000000000006</v>
      </c>
      <c r="G2">
        <v>80</v>
      </c>
      <c r="H2">
        <v>83.7</v>
      </c>
      <c r="I2">
        <v>89.7</v>
      </c>
      <c r="J2">
        <v>100</v>
      </c>
      <c r="K2">
        <v>107.1</v>
      </c>
      <c r="L2">
        <v>111.7</v>
      </c>
      <c r="M2">
        <v>118.1</v>
      </c>
    </row>
    <row r="4" spans="1:13" ht="13.5" thickBot="1">
      <c r="B4" s="480" t="s">
        <v>923</v>
      </c>
      <c r="C4" s="481">
        <f>Deflator!P25</f>
        <v>6.3593283333333304</v>
      </c>
      <c r="D4" t="s">
        <v>920</v>
      </c>
      <c r="E4" s="458"/>
    </row>
    <row r="5" spans="1:13" ht="13.5" thickBot="1">
      <c r="D5" s="795" t="s">
        <v>781</v>
      </c>
      <c r="E5" s="796"/>
      <c r="F5" s="797"/>
      <c r="G5" s="795" t="s">
        <v>780</v>
      </c>
      <c r="H5" s="796"/>
      <c r="I5" s="797"/>
      <c r="J5" s="314"/>
    </row>
    <row r="6" spans="1:13">
      <c r="C6" s="314" t="s">
        <v>777</v>
      </c>
      <c r="D6" s="314" t="s">
        <v>778</v>
      </c>
      <c r="E6" s="314" t="s">
        <v>442</v>
      </c>
      <c r="F6" s="314" t="s">
        <v>919</v>
      </c>
      <c r="G6" s="392" t="s">
        <v>782</v>
      </c>
      <c r="H6" s="393" t="s">
        <v>783</v>
      </c>
      <c r="I6" s="394" t="s">
        <v>786</v>
      </c>
    </row>
    <row r="7" spans="1:13" ht="15">
      <c r="A7" s="385" t="str">
        <f>COM_2012!A61</f>
        <v>Commercial - Cooling - Electricity - Chiller - Existing</v>
      </c>
      <c r="B7" s="385" t="str">
        <f>COM_2012!B61</f>
        <v>CECELCCHIL-E</v>
      </c>
      <c r="D7" s="389">
        <v>3.2238678090575279</v>
      </c>
      <c r="E7">
        <v>2005</v>
      </c>
      <c r="F7" s="402">
        <f>D7*$C$4*deflate05to10</f>
        <v>34.624935878840169</v>
      </c>
      <c r="G7" s="395">
        <v>199.095</v>
      </c>
      <c r="H7" s="389">
        <f>($I$2/$C$2)*G7</f>
        <v>270.17884266263241</v>
      </c>
      <c r="I7" s="400">
        <f>H7*Deflator!$B$14</f>
        <v>315.16938354815198</v>
      </c>
    </row>
    <row r="8" spans="1:13" ht="15">
      <c r="A8" s="385" t="str">
        <f>COM_2012!A62</f>
        <v>Commercial - Cooling - Electricity - Central - Existing</v>
      </c>
      <c r="B8" s="385" t="str">
        <f>COM_2012!B62</f>
        <v>CECELCCEN-E</v>
      </c>
      <c r="D8" s="389">
        <v>5.4305997552019587</v>
      </c>
      <c r="E8">
        <v>2005</v>
      </c>
      <c r="F8" s="402">
        <f>D8*$C$4*deflate05to10</f>
        <v>58.325644674147867</v>
      </c>
      <c r="G8" s="395">
        <v>122.52</v>
      </c>
      <c r="H8" s="389">
        <f>($I$2/$C$2)*G8</f>
        <v>166.26390317700455</v>
      </c>
      <c r="I8" s="400">
        <f>H8*Deflator!$B$14</f>
        <v>193.95038987578585</v>
      </c>
    </row>
    <row r="9" spans="1:13" ht="15">
      <c r="A9" s="385" t="str">
        <f>COM_2012!A63</f>
        <v>Commercial - Cooling - Electricity - Heat Pump - Existing</v>
      </c>
      <c r="B9" s="385" t="str">
        <f>COM_2012!B63</f>
        <v>CECELCHP-E</v>
      </c>
      <c r="D9" s="389">
        <v>7.0616891064871483</v>
      </c>
      <c r="E9">
        <v>2005</v>
      </c>
      <c r="F9" s="402">
        <f>D9*$C$4*deflate05to10</f>
        <v>75.843845650700658</v>
      </c>
      <c r="G9" s="395">
        <v>321.61500000000001</v>
      </c>
      <c r="H9" s="389">
        <f t="shared" ref="H9:H22" si="0">($I$2/$C$2)*G9</f>
        <v>436.44274583963698</v>
      </c>
      <c r="I9" s="400">
        <f>H9*Deflator!$B$14</f>
        <v>509.11977342393783</v>
      </c>
    </row>
    <row r="10" spans="1:13" ht="15">
      <c r="A10" s="385" t="str">
        <f>COM_2012!A64</f>
        <v>Commercial - Cooling - Electricity - Room - Existing</v>
      </c>
      <c r="B10" s="385" t="str">
        <f>COM_2012!B64</f>
        <v>CECELCROOM-E</v>
      </c>
      <c r="D10" s="389">
        <v>2.9474908200734395</v>
      </c>
      <c r="E10">
        <v>2005</v>
      </c>
      <c r="F10" s="402">
        <f>D10*$C$4*deflate05to10</f>
        <v>31.656595956503665</v>
      </c>
      <c r="G10" s="395">
        <v>168.465</v>
      </c>
      <c r="H10" s="389">
        <f t="shared" si="0"/>
        <v>228.61286686838127</v>
      </c>
      <c r="I10" s="400">
        <f>H10*Deflator!$B$14</f>
        <v>266.68178607920555</v>
      </c>
    </row>
    <row r="11" spans="1:13" ht="15">
      <c r="A11" s="386" t="str">
        <f>COM_2012!A69</f>
        <v>Commercial - Space Heating - Coal - Existing</v>
      </c>
      <c r="B11" s="386" t="str">
        <f>COM_2012!B69</f>
        <v>CEHCOA-E</v>
      </c>
      <c r="D11" s="389"/>
      <c r="E11">
        <v>2005</v>
      </c>
      <c r="F11" s="402">
        <f>I11</f>
        <v>606.09496836183064</v>
      </c>
      <c r="G11" s="396">
        <v>382.875</v>
      </c>
      <c r="H11" s="389">
        <f t="shared" si="0"/>
        <v>519.57469742813919</v>
      </c>
      <c r="I11" s="400">
        <f>H11*Deflator!$B$14</f>
        <v>606.09496836183064</v>
      </c>
    </row>
    <row r="12" spans="1:13" ht="15">
      <c r="A12" s="386" t="str">
        <f>COM_2012!A70</f>
        <v>Commercial - Space Heating - Electricity - Existing</v>
      </c>
      <c r="B12" s="386" t="str">
        <f>COM_2012!B70</f>
        <v>CEHELC-E</v>
      </c>
      <c r="D12" s="389">
        <v>1.8651162790697675</v>
      </c>
      <c r="E12">
        <v>2005</v>
      </c>
      <c r="F12" s="402">
        <f>D12*$C$4*deflate05to10</f>
        <v>20.031693417432948</v>
      </c>
      <c r="G12" s="396">
        <v>229.72499999999999</v>
      </c>
      <c r="H12" s="389">
        <f t="shared" si="0"/>
        <v>311.74481845688354</v>
      </c>
      <c r="I12" s="400">
        <f>H12*Deflator!$B$14</f>
        <v>363.65698101709842</v>
      </c>
    </row>
    <row r="13" spans="1:13" ht="15">
      <c r="A13" s="384" t="str">
        <f>COM_2012!A76</f>
        <v>Commercial - Cooking - Oil LPG - Existing</v>
      </c>
      <c r="B13" s="384" t="str">
        <f>COM_2012!B76</f>
        <v>CEKOLP-E</v>
      </c>
      <c r="D13" s="389"/>
      <c r="E13">
        <v>2005</v>
      </c>
      <c r="F13" s="402">
        <f>I13</f>
        <v>79.150501908172487</v>
      </c>
      <c r="G13" s="397" t="s">
        <v>784</v>
      </c>
      <c r="H13" s="389"/>
      <c r="I13" s="400">
        <f>I19</f>
        <v>79.150501908172487</v>
      </c>
    </row>
    <row r="14" spans="1:13" ht="15">
      <c r="A14" s="387" t="str">
        <f>COM_2012!A81</f>
        <v>Commercial - Lighting - Electricity - CFL - Existing</v>
      </c>
      <c r="B14" s="387" t="str">
        <f>COM_2012!B81</f>
        <v>CELELCCFL-E</v>
      </c>
      <c r="D14" s="389">
        <v>66.299877600979201</v>
      </c>
      <c r="E14">
        <v>2005</v>
      </c>
      <c r="F14" s="402">
        <f t="shared" ref="F14:F20" si="1">D14*$C$4*deflate05to10</f>
        <v>712.07293433658651</v>
      </c>
      <c r="G14" s="395">
        <v>45.2</v>
      </c>
      <c r="H14" s="389">
        <f t="shared" si="0"/>
        <v>61.337972768532538</v>
      </c>
      <c r="I14" s="400">
        <f>H14*Deflator!$B$14</f>
        <v>71.552053724987928</v>
      </c>
    </row>
    <row r="15" spans="1:13" ht="15">
      <c r="A15" s="387" t="str">
        <f>COM_2012!A82</f>
        <v>Commercial - Lighting - Electricity - FLU - Existing</v>
      </c>
      <c r="B15" s="387" t="str">
        <f>COM_2012!B82</f>
        <v>CELELCFLU-E</v>
      </c>
      <c r="D15" s="389">
        <v>66.581150550795599</v>
      </c>
      <c r="E15">
        <v>2005</v>
      </c>
      <c r="F15" s="402">
        <f t="shared" si="1"/>
        <v>715.09385778279079</v>
      </c>
      <c r="G15" s="395">
        <v>37.700000000000003</v>
      </c>
      <c r="H15" s="389">
        <f t="shared" si="0"/>
        <v>51.160211800302584</v>
      </c>
      <c r="I15" s="400">
        <f>H15*Deflator!$B$14</f>
        <v>59.679478438762054</v>
      </c>
    </row>
    <row r="16" spans="1:13" ht="15">
      <c r="A16" s="387" t="str">
        <f>COM_2012!A83</f>
        <v>Commercial - Lighting - Electricity - HAL - Existing</v>
      </c>
      <c r="B16" s="387" t="str">
        <f>COM_2012!B83</f>
        <v>CELELCHAL-E</v>
      </c>
      <c r="D16" s="389">
        <v>80.897184822521425</v>
      </c>
      <c r="E16">
        <v>2005</v>
      </c>
      <c r="F16" s="402">
        <f t="shared" si="1"/>
        <v>868.85071074838947</v>
      </c>
      <c r="G16" s="395">
        <v>13.6</v>
      </c>
      <c r="H16" s="389">
        <f t="shared" si="0"/>
        <v>18.45567322239032</v>
      </c>
      <c r="I16" s="400">
        <f>H16*Deflator!$B$14</f>
        <v>21.528936519022913</v>
      </c>
    </row>
    <row r="17" spans="1:9" ht="15">
      <c r="A17" s="387" t="str">
        <f>COM_2012!A84</f>
        <v>Commercial - Lighting - Electricity - HID - Existing</v>
      </c>
      <c r="B17" s="387" t="str">
        <f>COM_2012!B84</f>
        <v>CELELCHID-E</v>
      </c>
      <c r="D17" s="389">
        <v>61.527417380660957</v>
      </c>
      <c r="E17">
        <v>2005</v>
      </c>
      <c r="F17" s="402">
        <f t="shared" si="1"/>
        <v>660.81582985836576</v>
      </c>
      <c r="G17" s="395">
        <v>5.5</v>
      </c>
      <c r="H17" s="389">
        <f t="shared" si="0"/>
        <v>7.4636913767019673</v>
      </c>
      <c r="I17" s="400">
        <f>H17*Deflator!$B$14</f>
        <v>8.7065552098989727</v>
      </c>
    </row>
    <row r="18" spans="1:9" ht="15">
      <c r="A18" s="387" t="str">
        <f>COM_2012!A85</f>
        <v>Commercial - Lighting - Electricity - INC - Existing</v>
      </c>
      <c r="B18" s="387" t="str">
        <f>COM_2012!B85</f>
        <v>CELELCINC-E</v>
      </c>
      <c r="D18" s="389">
        <v>18.720195838433295</v>
      </c>
      <c r="E18">
        <v>2005</v>
      </c>
      <c r="F18" s="402">
        <f t="shared" si="1"/>
        <v>201.05836186086529</v>
      </c>
      <c r="G18" s="395">
        <v>74.8</v>
      </c>
      <c r="H18" s="389">
        <f t="shared" si="0"/>
        <v>101.50620272314676</v>
      </c>
      <c r="I18" s="400">
        <f>H18*Deflator!$B$14</f>
        <v>118.40915085462602</v>
      </c>
    </row>
    <row r="19" spans="1:9" ht="15">
      <c r="A19" s="384" t="str">
        <f>COM_2012!A89</f>
        <v>Commercial - Refrigeration - Electricity - Existing</v>
      </c>
      <c r="B19" s="384" t="str">
        <f>COM_2012!B89</f>
        <v>CERELC-E</v>
      </c>
      <c r="D19" s="389">
        <v>102.94565483476133</v>
      </c>
      <c r="E19">
        <v>2005</v>
      </c>
      <c r="F19" s="402">
        <f t="shared" si="1"/>
        <v>1105.6553521345754</v>
      </c>
      <c r="G19" s="395">
        <v>50</v>
      </c>
      <c r="H19" s="389">
        <f t="shared" si="0"/>
        <v>67.851739788199708</v>
      </c>
      <c r="I19" s="400">
        <f>H19*Deflator!$B$14</f>
        <v>79.150501908172487</v>
      </c>
    </row>
    <row r="20" spans="1:9" ht="15">
      <c r="A20" s="388" t="str">
        <f>COM_2012!A93</f>
        <v>Commercial - Water Heating - Electricity - Existing</v>
      </c>
      <c r="B20" s="388" t="str">
        <f>COM_2012!B93</f>
        <v>CEWELC-E</v>
      </c>
      <c r="D20" s="389">
        <v>1.8746634026927786</v>
      </c>
      <c r="E20">
        <v>2005</v>
      </c>
      <c r="F20" s="402">
        <f t="shared" si="1"/>
        <v>20.134231288975133</v>
      </c>
      <c r="G20" s="395">
        <v>40</v>
      </c>
      <c r="H20" s="389">
        <f t="shared" si="0"/>
        <v>54.281391830559762</v>
      </c>
      <c r="I20" s="400">
        <f>H20*Deflator!$B$14</f>
        <v>63.320401526537978</v>
      </c>
    </row>
    <row r="21" spans="1:9" ht="15">
      <c r="A21" s="388" t="str">
        <f>COM_2012!A94</f>
        <v>Commercial - Water Heating - Coal - Existing</v>
      </c>
      <c r="B21" s="388" t="str">
        <f>COM_2012!B94</f>
        <v>CEWCOA-E</v>
      </c>
      <c r="D21" s="389"/>
      <c r="E21">
        <v>2005</v>
      </c>
      <c r="F21" s="402">
        <f>I21</f>
        <v>94.980602289806981</v>
      </c>
      <c r="G21" s="395">
        <v>60</v>
      </c>
      <c r="H21" s="389">
        <f t="shared" si="0"/>
        <v>81.422087745839647</v>
      </c>
      <c r="I21" s="400">
        <f>H21*Deflator!$B$14</f>
        <v>94.980602289806981</v>
      </c>
    </row>
    <row r="22" spans="1:9" ht="15">
      <c r="A22" s="388" t="str">
        <f>COM_2012!A95</f>
        <v>Commercial - Water Heating - Oil LPG - Existing</v>
      </c>
      <c r="B22" s="388" t="str">
        <f>COM_2012!B95</f>
        <v>CEWOLP-E</v>
      </c>
      <c r="D22" s="389">
        <v>1.4736842105263159</v>
      </c>
      <c r="E22">
        <v>2005</v>
      </c>
      <c r="F22" s="402">
        <f>D22*$C$4*deflate05to10</f>
        <v>15.827640684203486</v>
      </c>
      <c r="G22" s="395">
        <v>60</v>
      </c>
      <c r="H22" s="389">
        <f t="shared" si="0"/>
        <v>81.422087745839647</v>
      </c>
      <c r="I22" s="400">
        <f>H22*Deflator!$B$14</f>
        <v>94.980602289806981</v>
      </c>
    </row>
    <row r="23" spans="1:9" ht="15">
      <c r="A23" t="str">
        <f>COM_2012!A113</f>
        <v>Commercial - Other - Coal - Existing</v>
      </c>
      <c r="B23" t="str">
        <f>COM_2012!B113</f>
        <v>CEOCOA-E</v>
      </c>
      <c r="D23" s="389"/>
      <c r="E23">
        <v>2005</v>
      </c>
      <c r="F23" s="402">
        <f t="shared" ref="F23:F29" si="2">I23*deflate07to10</f>
        <v>214.7953690251681</v>
      </c>
      <c r="G23" s="397" t="s">
        <v>785</v>
      </c>
      <c r="H23" s="389"/>
      <c r="I23" s="400">
        <f>AVERAGE($I$7:$I$22)</f>
        <v>184.13325418598782</v>
      </c>
    </row>
    <row r="24" spans="1:9" ht="15">
      <c r="A24" t="str">
        <f>COM_2012!A114</f>
        <v>Commercial - Other - Oil Diesel - Existing</v>
      </c>
      <c r="B24" t="str">
        <f>COM_2012!B114</f>
        <v>CEOODS-E</v>
      </c>
      <c r="D24" s="390"/>
      <c r="E24">
        <v>2005</v>
      </c>
      <c r="F24" s="402">
        <f t="shared" si="2"/>
        <v>214.7953690251681</v>
      </c>
      <c r="G24" s="397" t="s">
        <v>785</v>
      </c>
      <c r="H24" s="389"/>
      <c r="I24" s="400">
        <f>AVERAGE($I$7:$I$22)</f>
        <v>184.13325418598782</v>
      </c>
    </row>
    <row r="25" spans="1:9" ht="15">
      <c r="A25" t="str">
        <f>COM_2012!A115</f>
        <v>Commercial - Other - Electricity - Existing</v>
      </c>
      <c r="B25" t="str">
        <f>COM_2012!B115</f>
        <v>CEOELC-E</v>
      </c>
      <c r="D25" s="389">
        <v>139.96988984088128</v>
      </c>
      <c r="E25">
        <v>2005</v>
      </c>
      <c r="F25" s="402">
        <f t="shared" si="2"/>
        <v>214.7953690251681</v>
      </c>
      <c r="G25" s="397" t="s">
        <v>785</v>
      </c>
      <c r="H25" s="389"/>
      <c r="I25" s="400">
        <f t="shared" ref="I25:I28" si="3">AVERAGE($I$7:$I$22)</f>
        <v>184.13325418598782</v>
      </c>
    </row>
    <row r="26" spans="1:9" ht="15">
      <c r="A26" t="str">
        <f>COM_2012!A116</f>
        <v>Commercial - Other - Gas - Existing</v>
      </c>
      <c r="B26" t="str">
        <f>COM_2012!B116</f>
        <v>CEOGAS-E</v>
      </c>
      <c r="D26" s="389"/>
      <c r="E26">
        <v>2005</v>
      </c>
      <c r="F26" s="402">
        <f t="shared" si="2"/>
        <v>214.7953690251681</v>
      </c>
      <c r="G26" s="397" t="s">
        <v>785</v>
      </c>
      <c r="H26" s="389"/>
      <c r="I26" s="400">
        <f t="shared" si="3"/>
        <v>184.13325418598782</v>
      </c>
    </row>
    <row r="27" spans="1:9" ht="15">
      <c r="A27" t="str">
        <f>COM_2012!A117</f>
        <v>Commercial - Other - Oil Gasoline - Existing</v>
      </c>
      <c r="B27" t="str">
        <f>COM_2012!B117</f>
        <v>CEOOGS-E</v>
      </c>
      <c r="D27" s="389"/>
      <c r="E27">
        <v>2005</v>
      </c>
      <c r="F27" s="402">
        <f t="shared" si="2"/>
        <v>214.7953690251681</v>
      </c>
      <c r="G27" s="397" t="s">
        <v>785</v>
      </c>
      <c r="H27" s="389"/>
      <c r="I27" s="400">
        <f t="shared" si="3"/>
        <v>184.13325418598782</v>
      </c>
    </row>
    <row r="28" spans="1:9" ht="15">
      <c r="A28" t="str">
        <f>COM_2012!A118</f>
        <v>Commercial - Other - Oil HFO - Existing</v>
      </c>
      <c r="B28" t="str">
        <f>COM_2012!B118</f>
        <v>CEOOHF-E</v>
      </c>
      <c r="D28" s="389"/>
      <c r="E28">
        <v>2005</v>
      </c>
      <c r="F28" s="402">
        <f t="shared" si="2"/>
        <v>214.7953690251681</v>
      </c>
      <c r="G28" s="397" t="s">
        <v>785</v>
      </c>
      <c r="H28" s="389"/>
      <c r="I28" s="400">
        <f t="shared" si="3"/>
        <v>184.13325418598782</v>
      </c>
    </row>
    <row r="29" spans="1:9" ht="15.75" thickBot="1">
      <c r="A29" t="str">
        <f>COM_2012!A119</f>
        <v>Commercial - Other - Oil Paraffin - Existing</v>
      </c>
      <c r="B29" t="str">
        <f>COM_2012!B119</f>
        <v>CEOOKE-E</v>
      </c>
      <c r="D29" s="389"/>
      <c r="E29">
        <v>2005</v>
      </c>
      <c r="F29" s="402">
        <f t="shared" si="2"/>
        <v>214.7953690251681</v>
      </c>
      <c r="G29" s="398" t="s">
        <v>785</v>
      </c>
      <c r="H29" s="399"/>
      <c r="I29" s="401">
        <f>AVERAGE($I$7:$I$22)</f>
        <v>184.13325418598782</v>
      </c>
    </row>
    <row r="30" spans="1:9">
      <c r="D30" s="390" t="s">
        <v>847</v>
      </c>
    </row>
    <row r="31" spans="1:9" ht="15">
      <c r="A31" s="314"/>
      <c r="F31" s="389">
        <f>F18</f>
        <v>201.05836186086529</v>
      </c>
      <c r="I31" s="457">
        <f>I18</f>
        <v>118.40915085462602</v>
      </c>
    </row>
    <row r="32" spans="1:9">
      <c r="A32" s="314"/>
      <c r="F32" s="389">
        <f>F16</f>
        <v>868.85071074838947</v>
      </c>
      <c r="I32">
        <f>I16</f>
        <v>21.528936519022913</v>
      </c>
    </row>
    <row r="33" spans="1:10">
      <c r="A33" s="314"/>
      <c r="E33">
        <v>2011</v>
      </c>
      <c r="I33">
        <f>I17</f>
        <v>8.7065552098989727</v>
      </c>
    </row>
    <row r="34" spans="1:10">
      <c r="A34" s="314" t="str">
        <f>COM_2012!A105</f>
        <v>Commercial - Public Lights - Electricity - HPS - Existing</v>
      </c>
      <c r="E34">
        <v>2011</v>
      </c>
      <c r="I34">
        <f>I17</f>
        <v>8.7065552098989727</v>
      </c>
    </row>
    <row r="35" spans="1:10">
      <c r="A35" s="314" t="str">
        <f>COM_2012!A106</f>
        <v>Commercial - Public Lights - Electricity - MHL - Existing</v>
      </c>
      <c r="E35">
        <v>2011</v>
      </c>
      <c r="I35">
        <f>I17</f>
        <v>8.7065552098989727</v>
      </c>
    </row>
    <row r="36" spans="1:10">
      <c r="A36" s="314" t="str">
        <f>COM_2012!A107</f>
        <v>Commercial - Public Lights - Electricity - LED - New</v>
      </c>
      <c r="I36">
        <f>I32</f>
        <v>21.528936519022913</v>
      </c>
    </row>
    <row r="37" spans="1:10">
      <c r="A37" s="314" t="str">
        <f>COM_2012!A108</f>
        <v>\I: Share Check &amp; sub-totals</v>
      </c>
      <c r="E37">
        <v>2011</v>
      </c>
      <c r="I37">
        <f t="shared" ref="I37:I39" si="4">I33</f>
        <v>8.7065552098989727</v>
      </c>
    </row>
    <row r="38" spans="1:10">
      <c r="A38" s="314" t="str">
        <f>COM_2012!A109</f>
        <v>\I:Commercial - Public Water</v>
      </c>
      <c r="E38">
        <v>2011</v>
      </c>
      <c r="I38">
        <f t="shared" si="4"/>
        <v>8.7065552098989727</v>
      </c>
    </row>
    <row r="39" spans="1:10">
      <c r="A39" s="314" t="str">
        <f>COM_2012!A110</f>
        <v>Commercial - Public Water - Electricity -  - Existing</v>
      </c>
      <c r="E39">
        <v>2011</v>
      </c>
      <c r="I39">
        <f t="shared" si="4"/>
        <v>8.7065552098989727</v>
      </c>
    </row>
    <row r="40" spans="1:10">
      <c r="A40" s="314" t="str">
        <f>COM_2012!A107</f>
        <v>Commercial - Public Lights - Electricity - LED - New</v>
      </c>
      <c r="E40">
        <v>2011</v>
      </c>
      <c r="I40">
        <f>I39*J42</f>
        <v>16.368323794610067</v>
      </c>
      <c r="J40" t="s">
        <v>848</v>
      </c>
    </row>
    <row r="41" spans="1:10">
      <c r="A41" s="314"/>
    </row>
    <row r="42" spans="1:10">
      <c r="J42">
        <f>4700/2500</f>
        <v>1.88</v>
      </c>
    </row>
  </sheetData>
  <mergeCells count="2">
    <mergeCell ref="D5:F5"/>
    <mergeCell ref="G5:I5"/>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13</vt:i4>
      </vt:variant>
    </vt:vector>
  </HeadingPairs>
  <TitlesOfParts>
    <vt:vector size="70" baseType="lpstr">
      <vt:lpstr>Index</vt:lpstr>
      <vt:lpstr>Methods</vt:lpstr>
      <vt:lpstr>Sources</vt:lpstr>
      <vt:lpstr>Change Log</vt:lpstr>
      <vt:lpstr>RES equip</vt:lpstr>
      <vt:lpstr>floor space projections 1990-19</vt:lpstr>
      <vt:lpstr>COM_2017</vt:lpstr>
      <vt:lpstr>COM_N_2017</vt:lpstr>
      <vt:lpstr>End use share comparison of yea</vt:lpstr>
      <vt:lpstr>Deflator</vt:lpstr>
      <vt:lpstr>Technology costs</vt:lpstr>
      <vt:lpstr>REGIONS</vt:lpstr>
      <vt:lpstr>Appliances_original</vt:lpstr>
      <vt:lpstr>Appliances (2)</vt:lpstr>
      <vt:lpstr>Appliances</vt:lpstr>
      <vt:lpstr>End use share 2006c (2)</vt:lpstr>
      <vt:lpstr>End use share 2006c</vt:lpstr>
      <vt:lpstr> COM_2017_old</vt:lpstr>
      <vt:lpstr>COM_2012</vt:lpstr>
      <vt:lpstr>COM_N_2012</vt:lpstr>
      <vt:lpstr>ITEMS_Tech</vt:lpstr>
      <vt:lpstr>ITEMS_nTech</vt:lpstr>
      <vt:lpstr>ncapaf</vt:lpstr>
      <vt:lpstr>TS DTech</vt:lpstr>
      <vt:lpstr>TS nDTech</vt:lpstr>
      <vt:lpstr>TS DMARK</vt:lpstr>
      <vt:lpstr>TS nDMARK</vt:lpstr>
      <vt:lpstr>TID DTech</vt:lpstr>
      <vt:lpstr>TID nDTech</vt:lpstr>
      <vt:lpstr>ITEMS_Comm</vt:lpstr>
      <vt:lpstr>TID ZZCOM</vt:lpstr>
      <vt:lpstr>TS BYDem</vt:lpstr>
      <vt:lpstr>TS COMFR</vt:lpstr>
      <vt:lpstr>TS COMFR_10</vt:lpstr>
      <vt:lpstr>TRIGEN-1</vt:lpstr>
      <vt:lpstr>TRIGEN-2</vt:lpstr>
      <vt:lpstr>TRIGEN-3</vt:lpstr>
      <vt:lpstr>NameConv</vt:lpstr>
      <vt:lpstr>AFA</vt:lpstr>
      <vt:lpstr>Trigen data MTN + gas boiler</vt:lpstr>
      <vt:lpstr>Total Light bulbs</vt:lpstr>
      <vt:lpstr>Instructions for forecast</vt:lpstr>
      <vt:lpstr>STATSSA_Monthly</vt:lpstr>
      <vt:lpstr>STATSSA_Annual</vt:lpstr>
      <vt:lpstr>SA GDP</vt:lpstr>
      <vt:lpstr>floor space forecast_SA</vt:lpstr>
      <vt:lpstr>2019 floor space</vt:lpstr>
      <vt:lpstr>Forecast</vt:lpstr>
      <vt:lpstr>Forecast Comparison</vt:lpstr>
      <vt:lpstr>Glossary</vt:lpstr>
      <vt:lpstr>devilliers floor space projecti</vt:lpstr>
      <vt:lpstr>Stats SA floor 1993-2006</vt:lpstr>
      <vt:lpstr>floor space 1993-2007</vt:lpstr>
      <vt:lpstr>2006 Energy data </vt:lpstr>
      <vt:lpstr>End use share 1994</vt:lpstr>
      <vt:lpstr>End use share 2001</vt:lpstr>
      <vt:lpstr>Technology costs_2010</vt:lpstr>
      <vt:lpstr>' COM_2017_old'!ComTechs</vt:lpstr>
      <vt:lpstr>COM_2017!ComTechs</vt:lpstr>
      <vt:lpstr>COM_N_2012!ComTechs</vt:lpstr>
      <vt:lpstr>COM_N_2017!ComTechs</vt:lpstr>
      <vt:lpstr>ComTechs</vt:lpstr>
      <vt:lpstr>deflate05to10</vt:lpstr>
      <vt:lpstr>deflate06to10</vt:lpstr>
      <vt:lpstr>deflate07to10</vt:lpstr>
      <vt:lpstr>eps</vt:lpstr>
      <vt:lpstr>ESDataSet__1</vt:lpstr>
      <vt:lpstr>'TS COMFR_10'!Extract</vt:lpstr>
      <vt:lpstr>FuelNames</vt:lpstr>
      <vt:lpstr>TScode</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dc:description>2012EB</dc:description>
  <cp:lastModifiedBy>Bryce Mc Call</cp:lastModifiedBy>
  <dcterms:created xsi:type="dcterms:W3CDTF">2011-08-29T19:48:28Z</dcterms:created>
  <dcterms:modified xsi:type="dcterms:W3CDTF">2023-09-18T10:03:21Z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130796968936920</vt:r8>
  </property>
</Properties>
</file>